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i Data" sheetId="1" r:id="rId5"/>
    <sheet state="visible" name="Agen CUM" sheetId="2" r:id="rId6"/>
    <sheet state="hidden" name="RDTR" sheetId="3" r:id="rId7"/>
    <sheet state="hidden" name="CUM BYPASS" sheetId="4" r:id="rId8"/>
    <sheet state="hidden" name="CA Aneka Jasa" sheetId="5" r:id="rId9"/>
    <sheet state="visible" name="CA GNR" sheetId="6" r:id="rId10"/>
    <sheet state="hidden" name="CA MBI" sheetId="7" r:id="rId11"/>
    <sheet state="hidden" name="CA HBR" sheetId="8" r:id="rId12"/>
    <sheet state="visible" name="CA NRY" sheetId="9" r:id="rId13"/>
    <sheet state="hidden" name="CA BI MASAGO" sheetId="10" r:id="rId14"/>
    <sheet state="hidden" name="Sub" sheetId="11" r:id="rId15"/>
    <sheet state="hidden" name="Retail" sheetId="12" r:id="rId16"/>
  </sheets>
  <definedNames>
    <definedName hidden="1" localSheetId="1" name="_xlnm._FilterDatabase">'Agen CUM'!$A$1:$CN$4</definedName>
    <definedName hidden="1" localSheetId="4" name="_xlnm._FilterDatabase">'CA Aneka Jasa'!$A$1:$BI$1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6">
      <text>
        <t xml:space="preserve">Lenovo:
BCA</t>
      </text>
    </comment>
    <comment authorId="0" ref="I9">
      <text>
        <t xml:space="preserve">Lenovo:
non pph23 krn di tanggung CUM</t>
      </text>
    </comment>
    <comment authorId="0" ref="G6">
      <text>
        <t xml:space="preserve">Lenovo:
'4371504774</t>
      </text>
    </comment>
    <comment authorId="0" ref="H6">
      <text>
        <t xml:space="preserve">Lenovo:
MIRA RAHAYU</t>
      </text>
    </comment>
    <comment authorId="0" ref="F3">
      <text>
        <t xml:space="preserve">Lenovo:
BCA</t>
      </text>
    </comment>
    <comment authorId="0" ref="G3">
      <text>
        <t xml:space="preserve">Lenovo:
'4371931168</t>
      </text>
    </comment>
    <comment authorId="0" ref="B14">
      <text>
        <t xml:space="preserve">Lenovo:
JAMKRIDA, ARTDECO, TELKOM, KOMISI INFORMASI</t>
      </text>
    </comment>
    <comment authorId="0" ref="H3">
      <text>
        <t xml:space="preserve">Lenovo:
UDI PRAYOKO</t>
      </text>
    </comment>
    <comment authorId="0" ref="H9">
      <text>
        <t xml:space="preserve">Lenovo:
karena fee di muka sehingga di catat ke piutang lain-lain</t>
      </text>
    </comment>
  </commentList>
</comments>
</file>

<file path=xl/sharedStrings.xml><?xml version="1.0" encoding="utf-8"?>
<sst xmlns="http://schemas.openxmlformats.org/spreadsheetml/2006/main" count="1906" uniqueCount="1223">
  <si>
    <t>LIST AGEN TERKENDALA RDTR</t>
  </si>
  <si>
    <t>TGL BYPASS</t>
  </si>
  <si>
    <t>PPID</t>
  </si>
  <si>
    <t>NAMA AGEN</t>
  </si>
  <si>
    <t>NOPEND</t>
  </si>
  <si>
    <t>IDLOC</t>
  </si>
  <si>
    <t>no</t>
  </si>
  <si>
    <t>pemilik</t>
  </si>
  <si>
    <t>nama agen</t>
  </si>
  <si>
    <t>KCU/KC</t>
  </si>
  <si>
    <t>SINGRESI001KIKAY</t>
  </si>
  <si>
    <t>NO</t>
  </si>
  <si>
    <t>KETERANGAN</t>
  </si>
  <si>
    <t>[DH] MUC KIKAYA MULYA I</t>
  </si>
  <si>
    <t>17425S1</t>
  </si>
  <si>
    <t>STATUS</t>
  </si>
  <si>
    <t xml:space="preserve">681edd91693d80d2ea049e02 </t>
  </si>
  <si>
    <t>user</t>
  </si>
  <si>
    <t>SINGRESI005RAYSY</t>
  </si>
  <si>
    <t>pass</t>
  </si>
  <si>
    <t>Rayya Aisy Agency</t>
  </si>
  <si>
    <t>45556S7</t>
  </si>
  <si>
    <t>673ab7c1c02b5661800c7700</t>
  </si>
  <si>
    <t>SINGRESI006BMW01</t>
  </si>
  <si>
    <t>Rahmat Akbar</t>
  </si>
  <si>
    <t>BMW</t>
  </si>
  <si>
    <t>muc nizam cell</t>
  </si>
  <si>
    <t>45662S8</t>
  </si>
  <si>
    <t>KC MEULABOH</t>
  </si>
  <si>
    <t>666eb2543575b157fb00d296</t>
  </si>
  <si>
    <t>RDTR TIDAK TERSEDIA</t>
  </si>
  <si>
    <t>SUDAH REGIST SIMAGENPOS</t>
  </si>
  <si>
    <t>DUMA ROHANI HUTAGALUNG</t>
  </si>
  <si>
    <t>MUC METLAND CILEUNGSI AB14</t>
  </si>
  <si>
    <t>KC CIKARANG</t>
  </si>
  <si>
    <t>Menunggu Verifikasi Persyaratan KKPR</t>
  </si>
  <si>
    <t>metlandcileungsi14@outlook.com</t>
  </si>
  <si>
    <t>Masukan PPID Lengkap / Kode PPID</t>
  </si>
  <si>
    <t>:</t>
  </si>
  <si>
    <t>MUCSPA63640PSIND</t>
  </si>
  <si>
    <t>m3tl@ndc!leungsi</t>
  </si>
  <si>
    <t>HESTI IRA PUSPITASARI</t>
  </si>
  <si>
    <t>MUC SRIWEDARI</t>
  </si>
  <si>
    <t>KC MAGELANG</t>
  </si>
  <si>
    <t>possriwedari@outlook.com</t>
  </si>
  <si>
    <t>Nopend/Kode Dirian</t>
  </si>
  <si>
    <t>sr!w3d@ri</t>
  </si>
  <si>
    <t>ADHI PUTRA</t>
  </si>
  <si>
    <t>MUC Lunnastationery</t>
  </si>
  <si>
    <t>KCU BOGOR</t>
  </si>
  <si>
    <t>adhyputtra@gmail.com</t>
  </si>
  <si>
    <t>AdamAbiwara2018#$$#</t>
  </si>
  <si>
    <t>RAFIAH</t>
  </si>
  <si>
    <t>MUC RASA</t>
  </si>
  <si>
    <t>KC PARIAMAN</t>
  </si>
  <si>
    <t>EVI YENETI</t>
  </si>
  <si>
    <t>MUC MANDIRI JAYA</t>
  </si>
  <si>
    <t>IdLoc</t>
  </si>
  <si>
    <t>WILIANTO</t>
  </si>
  <si>
    <t>MUC SINAR PONSEL</t>
  </si>
  <si>
    <t>KC DUMAI</t>
  </si>
  <si>
    <t>ZULKARNAIN</t>
  </si>
  <si>
    <t>MUC F2H</t>
  </si>
  <si>
    <t>IYAN ALFIAN</t>
  </si>
  <si>
    <t>MUC KALISHA STORE</t>
  </si>
  <si>
    <t>KC KUNINGAN</t>
  </si>
  <si>
    <t>SUWENO ALBINTORO</t>
  </si>
  <si>
    <t>MUC TOKO WENO</t>
  </si>
  <si>
    <t>KC PRABUMULIH</t>
  </si>
  <si>
    <t>KAMAL</t>
  </si>
  <si>
    <t>MUC CEMERLANG GROUP</t>
  </si>
  <si>
    <t>LISTIANI LUMINTO</t>
  </si>
  <si>
    <t>MUC Masnagaraya</t>
  </si>
  <si>
    <t>KCU BEKASI</t>
  </si>
  <si>
    <t>lisluminto0@gmail.com</t>
  </si>
  <si>
    <t>User</t>
  </si>
  <si>
    <t>Lis101225@</t>
  </si>
  <si>
    <t>NURSAYIDAH KUSMAHARANINGRUM</t>
  </si>
  <si>
    <t>MUC TIRTOMULYO</t>
  </si>
  <si>
    <t>KC KLATEN</t>
  </si>
  <si>
    <t>tirtomulyo1@outlook.com</t>
  </si>
  <si>
    <t>Pass</t>
  </si>
  <si>
    <t>t!rt0mulyo</t>
  </si>
  <si>
    <t>DEBORA FEBE WILLIANI</t>
  </si>
  <si>
    <t>MUC DITO CELL</t>
  </si>
  <si>
    <t>KC SIDOARJO</t>
  </si>
  <si>
    <t xml:space="preserve">Sukamto </t>
  </si>
  <si>
    <t>MUC WARKOP</t>
  </si>
  <si>
    <t>KC SUKOHARJO</t>
  </si>
  <si>
    <t>kamtokamto988@gmail.com</t>
  </si>
  <si>
    <t>Nama Agenpos</t>
  </si>
  <si>
    <t>Sukamto#123</t>
  </si>
  <si>
    <t>SYAEFURIZA</t>
  </si>
  <si>
    <t>MUC ARTHA PUTRA MANDIRI</t>
  </si>
  <si>
    <t>KC CIMAHI</t>
  </si>
  <si>
    <t>apmexpress@outlook.com</t>
  </si>
  <si>
    <t>Alamat Agenpos</t>
  </si>
  <si>
    <t>@pm3xpr3ss!</t>
  </si>
  <si>
    <t>DELA ROSITA DELVIANI</t>
  </si>
  <si>
    <t>MUC MUKTIWARI</t>
  </si>
  <si>
    <t>posmuktiwari@outlook.com</t>
  </si>
  <si>
    <t>mukt!war1CBL</t>
  </si>
  <si>
    <t>NURSAIDAH</t>
  </si>
  <si>
    <t>MUC TEFA MPLB SMKN 2 KARAWANG</t>
  </si>
  <si>
    <t>KCU KARAWANG</t>
  </si>
  <si>
    <t>postefa@outlook.com</t>
  </si>
  <si>
    <t>Kelurahan</t>
  </si>
  <si>
    <t>KURLOG</t>
  </si>
  <si>
    <t>mplbt3f@9273</t>
  </si>
  <si>
    <t>NUGROHO</t>
  </si>
  <si>
    <t>MUC LEGAL SEND POINT</t>
  </si>
  <si>
    <t>KC KUDUS</t>
  </si>
  <si>
    <t>NAMA LOKET DI ONPAYS</t>
  </si>
  <si>
    <t>-</t>
  </si>
  <si>
    <t>DISWANTO</t>
  </si>
  <si>
    <t>MUC Salmawisata</t>
  </si>
  <si>
    <t>possalmawisata@outlook.com</t>
  </si>
  <si>
    <t>Kecamatan</t>
  </si>
  <si>
    <t>NAMA LOKET DI KURLOG</t>
  </si>
  <si>
    <t>NAMA PEMILIK</t>
  </si>
  <si>
    <t>ALAMAT LENGKAP</t>
  </si>
  <si>
    <t>p0ss@alma24213</t>
  </si>
  <si>
    <t xml:space="preserve">ANAS FATIHURRAHMAN </t>
  </si>
  <si>
    <t>MUC NASFA EXPRESS</t>
  </si>
  <si>
    <t>NO KTP</t>
  </si>
  <si>
    <t>KC PURBALINGGA</t>
  </si>
  <si>
    <t>Kota/Kab</t>
  </si>
  <si>
    <t>081282666873</t>
  </si>
  <si>
    <t>@Nandapiya1992</t>
  </si>
  <si>
    <t>NO NPWP</t>
  </si>
  <si>
    <t>WAHYUDI PUJIANTO</t>
  </si>
  <si>
    <t>ELECTRIC AREA</t>
  </si>
  <si>
    <t>MUC GNR KUD PAKIS</t>
  </si>
  <si>
    <t>KCU MALANG</t>
  </si>
  <si>
    <t>REKOMENDASI</t>
  </si>
  <si>
    <t>MUC GNR WIGUNA</t>
  </si>
  <si>
    <t>NO HP PEMILIK</t>
  </si>
  <si>
    <t>AULIA PRIBADI ANANDA</t>
  </si>
  <si>
    <t>MUC MAMA AULIA</t>
  </si>
  <si>
    <t>KCU CIREBON</t>
  </si>
  <si>
    <t>NO.HP LOKET</t>
  </si>
  <si>
    <t>EMAIL</t>
  </si>
  <si>
    <t>AKHMAD SABIQ</t>
  </si>
  <si>
    <t>MUC DJOGJA GROUP</t>
  </si>
  <si>
    <t>KC TEGAL</t>
  </si>
  <si>
    <t>NO DIRIAN</t>
  </si>
  <si>
    <t>RINI DAMAYANTI DAULAY</t>
  </si>
  <si>
    <t>LOCATION ID</t>
  </si>
  <si>
    <t>MUC KP UTAN</t>
  </si>
  <si>
    <t>KC TANGERANGSELATAN</t>
  </si>
  <si>
    <t>USER MILE</t>
  </si>
  <si>
    <t>Nama Pemilik/Pengelola</t>
  </si>
  <si>
    <t>DEDE ALAM</t>
  </si>
  <si>
    <t>MUC RINI25</t>
  </si>
  <si>
    <t>PASSWORD MILE</t>
  </si>
  <si>
    <t>REGIONAL</t>
  </si>
  <si>
    <t>ROSIYANTI</t>
  </si>
  <si>
    <t>MUC KAK ROS</t>
  </si>
  <si>
    <t>NIB ( NO INDUK BERUSAHA)</t>
  </si>
  <si>
    <t>Rini Nopianti</t>
  </si>
  <si>
    <t xml:space="preserve">NO KBLI </t>
  </si>
  <si>
    <t>MUC BASOKA</t>
  </si>
  <si>
    <t>NOMOR REKENING</t>
  </si>
  <si>
    <t>Nama Bank</t>
  </si>
  <si>
    <t>MUHAMMAD DIAN HIKMAWAN</t>
  </si>
  <si>
    <t>MUC Juraganmurah99</t>
  </si>
  <si>
    <t>No Handphone</t>
  </si>
  <si>
    <t>Nama Pemilik</t>
  </si>
  <si>
    <t>LATITUDE</t>
  </si>
  <si>
    <t>LONGITUDE</t>
  </si>
  <si>
    <t>KELENGKAPAN ADMIN</t>
  </si>
  <si>
    <t>Email</t>
  </si>
  <si>
    <t>PKS</t>
  </si>
  <si>
    <t>PERANGKAT</t>
  </si>
  <si>
    <t>NIK</t>
  </si>
  <si>
    <t>DATA PENGGANTI KARENA MASALAH NIB</t>
  </si>
  <si>
    <t>JENIS USAHA AGEN</t>
  </si>
  <si>
    <t>NPWP</t>
  </si>
  <si>
    <t>SYARAT</t>
  </si>
  <si>
    <t>PENGAJUAN SURVEY KE POS</t>
  </si>
  <si>
    <t>PENGAJUAN POS</t>
  </si>
  <si>
    <t>PENDAFTARAN KURLOG</t>
  </si>
  <si>
    <t>KELENGKAPAN PERANGKAT</t>
  </si>
  <si>
    <t>AKTIVASI KURLOG</t>
  </si>
  <si>
    <t>AKTIVASI SICEPAT</t>
  </si>
  <si>
    <t>TRAINING</t>
  </si>
  <si>
    <t>TRANSAKSI</t>
  </si>
  <si>
    <t>CATATAN</t>
  </si>
  <si>
    <t>waktu</t>
  </si>
  <si>
    <t>POS + PPOB</t>
  </si>
  <si>
    <t>POS ONLY</t>
  </si>
  <si>
    <t>SICEPAT</t>
  </si>
  <si>
    <t>ALAMAT PEMIILIK KTP</t>
  </si>
  <si>
    <t>ALAMAT LENGKAP LOKET</t>
  </si>
  <si>
    <t>RT/RW</t>
  </si>
  <si>
    <t>KEL/DESA</t>
  </si>
  <si>
    <t>KEC</t>
  </si>
  <si>
    <t>KAB/KOT</t>
  </si>
  <si>
    <t>PROPINSI</t>
  </si>
  <si>
    <t>KODE POS</t>
  </si>
  <si>
    <t>FORMULIR</t>
  </si>
  <si>
    <t>FORM AJUAN POS</t>
  </si>
  <si>
    <t>BELUM DIKIRIM</t>
  </si>
  <si>
    <t>SUDAH DIKIRIM BELUM KEMBALI</t>
  </si>
  <si>
    <t>SUDAH DIKIRIM SUDAH KEMBALI</t>
  </si>
  <si>
    <t>PENGAJUAN NO DIRIAN KE POS</t>
  </si>
  <si>
    <t>KTP</t>
  </si>
  <si>
    <t>NIB</t>
  </si>
  <si>
    <t>KBLI</t>
  </si>
  <si>
    <t>FOTO TAMPAK DEPAN LOKET</t>
  </si>
  <si>
    <t>KOMPUTER/LAPTOP</t>
  </si>
  <si>
    <t>HP ANDROID</t>
  </si>
  <si>
    <t>PRINTER STICKER</t>
  </si>
  <si>
    <t>TIMBANGAN DIGITAL</t>
  </si>
  <si>
    <t>KERTAS STICKER</t>
  </si>
  <si>
    <t>ATK DARI POS</t>
  </si>
  <si>
    <t>POLA DANA</t>
  </si>
  <si>
    <t>NAMA</t>
  </si>
  <si>
    <t>ALAMAT</t>
  </si>
  <si>
    <t>ALAMAT PEMIILIK</t>
  </si>
  <si>
    <t>TANGGAL LAHIR</t>
  </si>
  <si>
    <t>TELP</t>
  </si>
  <si>
    <t>KATEGORI</t>
  </si>
  <si>
    <t>POS</t>
  </si>
  <si>
    <t>SPX</t>
  </si>
  <si>
    <t>Lion Parcel</t>
  </si>
  <si>
    <t>wahana</t>
  </si>
  <si>
    <t>JNT CARGO</t>
  </si>
  <si>
    <t>JNT EXPRESS</t>
  </si>
  <si>
    <t>JNE</t>
  </si>
  <si>
    <t>TIKI</t>
  </si>
  <si>
    <t>SAP</t>
  </si>
  <si>
    <t>ID EXPRESS</t>
  </si>
  <si>
    <t>ANTERAJA</t>
  </si>
  <si>
    <t>LEX ID</t>
  </si>
  <si>
    <t>CVANEKAJASA03439</t>
  </si>
  <si>
    <t>MUC-AJ ANDIRA MULTI JASA</t>
  </si>
  <si>
    <t>ANDI DWI RISMA, SH</t>
  </si>
  <si>
    <t>JL. CENDRAWASIH BTN PERUMNAS WEKKE E NO. 291 RT 001 RW 007</t>
  </si>
  <si>
    <t>JL. JEND. M. YUSUF</t>
  </si>
  <si>
    <t>GALUNG MALOANG</t>
  </si>
  <si>
    <t>BACUKIKI</t>
  </si>
  <si>
    <t>PAREPARE</t>
  </si>
  <si>
    <t>SULAWESI SELATAN</t>
  </si>
  <si>
    <t>91125</t>
  </si>
  <si>
    <t>7313105806910001</t>
  </si>
  <si>
    <t>53.180.786.5-802.000</t>
  </si>
  <si>
    <t>ANEKA JASA</t>
  </si>
  <si>
    <t>082347880457</t>
  </si>
  <si>
    <t>andidwirisma@gmail.com</t>
  </si>
  <si>
    <t>91126S2</t>
  </si>
  <si>
    <t>66b87ee7ceee084f990d58a1</t>
  </si>
  <si>
    <t>dm91126s2</t>
  </si>
  <si>
    <t>#91126Pos</t>
  </si>
  <si>
    <t>KANTOR REGIONAL VI MAKASAR 90004</t>
  </si>
  <si>
    <t>KC PAREPARE 91100</t>
  </si>
  <si>
    <t>1011210049995</t>
  </si>
  <si>
    <t>10112100499950003</t>
  </si>
  <si>
    <t>-4.0031035</t>
  </si>
  <si>
    <t>119.666691</t>
  </si>
  <si>
    <t>CVANEKAJASA00483</t>
  </si>
  <si>
    <t>MUC AJ ALNUR MART</t>
  </si>
  <si>
    <t>ANDI INDRI JUMIATI</t>
  </si>
  <si>
    <t>BORONG UTI RT 002 RW 002</t>
  </si>
  <si>
    <t>TANGKEBAJENG</t>
  </si>
  <si>
    <t>BAJENG</t>
  </si>
  <si>
    <t>KAB. GOWA</t>
  </si>
  <si>
    <t>92151</t>
  </si>
  <si>
    <t>7471035606860001</t>
  </si>
  <si>
    <t>61.989.234.2-807.000</t>
  </si>
  <si>
    <t>085101208796</t>
  </si>
  <si>
    <t>nurmi8337@gmail.com</t>
  </si>
  <si>
    <t>92152S1</t>
  </si>
  <si>
    <t>670138802e4f229b5b09f78e</t>
  </si>
  <si>
    <t>dm92152s1</t>
  </si>
  <si>
    <t>#92152Pos</t>
  </si>
  <si>
    <t>KCU MAKASSAR 90000</t>
  </si>
  <si>
    <t>2208240018432</t>
  </si>
  <si>
    <t>22082400184320001</t>
  </si>
  <si>
    <t>-5.316749</t>
  </si>
  <si>
    <t>119.430518</t>
  </si>
  <si>
    <t>CVANEKAJASA0093</t>
  </si>
  <si>
    <t>MUC AJ MUZAMMIL</t>
  </si>
  <si>
    <t>SUKMAWATI</t>
  </si>
  <si>
    <t>JL. KESEJAHTERAAN, RT/RW 001/002, KEL. MAPPASAILE, KEC. PANGKAJENE, KAB. PANGKAJENE KEPULAUAN</t>
  </si>
  <si>
    <t>JL. KESEJAHTERAAN, RT/RW 001/002</t>
  </si>
  <si>
    <t>MAPPASAILE</t>
  </si>
  <si>
    <t>PANGKAJENE</t>
  </si>
  <si>
    <t>PANGKAJENE DAN KEPULAUAN</t>
  </si>
  <si>
    <t>90613</t>
  </si>
  <si>
    <t>7310046907860001</t>
  </si>
  <si>
    <t>65.272.181.2-809.000</t>
  </si>
  <si>
    <t>085398949888</t>
  </si>
  <si>
    <t>adith.putra72@gmail.com</t>
  </si>
  <si>
    <t>0310240093605</t>
  </si>
  <si>
    <t>03102400936050001</t>
  </si>
  <si>
    <t>-4.8306649</t>
  </si>
  <si>
    <t>119.5476568</t>
  </si>
  <si>
    <t>CVANEKAJASA00265</t>
  </si>
  <si>
    <t>MUC AJ AQSA AZKA</t>
  </si>
  <si>
    <t>SRI WAHYUNI</t>
  </si>
  <si>
    <t>TANETE, RT/RW 004/002, KEL/DESA MANORANG SALO, KEC. MARIORIAWA, KAB. SOPPENG</t>
  </si>
  <si>
    <t>TANETE RT 004 RW 002</t>
  </si>
  <si>
    <t>MANORANG SALO</t>
  </si>
  <si>
    <t>MARIORIWA</t>
  </si>
  <si>
    <t>SOPPENG</t>
  </si>
  <si>
    <t>90852</t>
  </si>
  <si>
    <t>7312054110920001</t>
  </si>
  <si>
    <t>80.156.759.5-808.000</t>
  </si>
  <si>
    <t>085256425952</t>
  </si>
  <si>
    <t>nunywahyuni2@gmail.com</t>
  </si>
  <si>
    <t>90852S1</t>
  </si>
  <si>
    <t>672e1d8a3b8e89329209083a</t>
  </si>
  <si>
    <t>dm90852s1</t>
  </si>
  <si>
    <t>#90852Pos</t>
  </si>
  <si>
    <t>KC WATAMPONE</t>
  </si>
  <si>
    <t>0210240084672</t>
  </si>
  <si>
    <t>02102400846720001</t>
  </si>
  <si>
    <t>-4.146605</t>
  </si>
  <si>
    <t>119.880375</t>
  </si>
  <si>
    <t>CVANEKAJASA00318</t>
  </si>
  <si>
    <t>MUC AJ HIDAYAH</t>
  </si>
  <si>
    <t>WAHYUDDIN</t>
  </si>
  <si>
    <t>MALLEKANA, RT/RW 002/001</t>
  </si>
  <si>
    <t>MALEKKANA, Desa/Kelurahan Tettikenrarae, Kec. Marioriwawo</t>
  </si>
  <si>
    <t>TETTIKENRARAE</t>
  </si>
  <si>
    <t>MARIORIWAWO</t>
  </si>
  <si>
    <t>90862</t>
  </si>
  <si>
    <t>7312011412780003</t>
  </si>
  <si>
    <t>84.358.791.6-808.000</t>
  </si>
  <si>
    <t>085255682982</t>
  </si>
  <si>
    <t>wahyuyhu78@gmail.com</t>
  </si>
  <si>
    <t>90862S1</t>
  </si>
  <si>
    <t>67177699bf6c346890065bed</t>
  </si>
  <si>
    <t>dm90862s1</t>
  </si>
  <si>
    <t>#90862Pos</t>
  </si>
  <si>
    <t>0210240042717</t>
  </si>
  <si>
    <t>02102400427170001</t>
  </si>
  <si>
    <t>-4.4547021</t>
  </si>
  <si>
    <t>119.9468791</t>
  </si>
  <si>
    <t>CVANEKAJASA00307</t>
  </si>
  <si>
    <t>MUC AJ KUD LAKOROKOCI</t>
  </si>
  <si>
    <t>NATILANI</t>
  </si>
  <si>
    <t xml:space="preserve"> MACCINI, RT/RW 003/003, KEL/DESA ROMPEGADING, KEC. LILIRIAJA, KAB. SOPPENG </t>
  </si>
  <si>
    <t>MACCINI ROMPEGADING LILIRIAJA</t>
  </si>
  <si>
    <t>ROMPEGADING</t>
  </si>
  <si>
    <t>LILIRIAJA</t>
  </si>
  <si>
    <t>90861</t>
  </si>
  <si>
    <t>7312027112650014</t>
  </si>
  <si>
    <t>07.713.275.1-808.000</t>
  </si>
  <si>
    <t>082290276152</t>
  </si>
  <si>
    <t>hajanatilani@gmail.com</t>
  </si>
  <si>
    <t>90861S2</t>
  </si>
  <si>
    <t>67190518ee4a1f3ad808df04</t>
  </si>
  <si>
    <t>dm90861s2</t>
  </si>
  <si>
    <t>#90861Pos</t>
  </si>
  <si>
    <t>0210240047063</t>
  </si>
  <si>
    <t>02102400470630001</t>
  </si>
  <si>
    <t>-4.396532</t>
  </si>
  <si>
    <t>119.923300</t>
  </si>
  <si>
    <t>CVANEKAJASA00469</t>
  </si>
  <si>
    <t>MUC AJ ASSALAM</t>
  </si>
  <si>
    <t>ST. MARHAMAH</t>
  </si>
  <si>
    <t>JL. BTN TIMURAMA RT 002 RW 007</t>
  </si>
  <si>
    <t>JL. GELORA MANDIRI PERUM GRY REZKI RESIDENCE BLOK F/5</t>
  </si>
  <si>
    <t>LOMPOE</t>
  </si>
  <si>
    <t>7372014409650001</t>
  </si>
  <si>
    <t>08.294.550.2-802.000</t>
  </si>
  <si>
    <t>082346343953</t>
  </si>
  <si>
    <t>safharhyani80@gmail.com</t>
  </si>
  <si>
    <t>91125S2</t>
  </si>
  <si>
    <t>6710d78443d4db9e8b0882d6</t>
  </si>
  <si>
    <t>dm91125s2</t>
  </si>
  <si>
    <t>#91125Pos</t>
  </si>
  <si>
    <t>2409240087206</t>
  </si>
  <si>
    <t>24092400872060001</t>
  </si>
  <si>
    <t>-4.024264</t>
  </si>
  <si>
    <t>119.650531</t>
  </si>
  <si>
    <t>CVANEKAJASA00107</t>
  </si>
  <si>
    <t>MUC AJ SILVADIRGA</t>
  </si>
  <si>
    <t>MEGAWATI</t>
  </si>
  <si>
    <t xml:space="preserve">JL. GOA RIA KALANG TUBUN, RT/RW 001/007, SUDIANG, KEC. BIRING KANAYA, KOTA MAKASSAR </t>
  </si>
  <si>
    <t>JL. GOA RIANG KALANG TUBUN, RT/RW 001/007</t>
  </si>
  <si>
    <t>SUDIANG</t>
  </si>
  <si>
    <t>BIRING KANAYA</t>
  </si>
  <si>
    <t>MAKASSAR</t>
  </si>
  <si>
    <t>90242</t>
  </si>
  <si>
    <t>8171024903800006</t>
  </si>
  <si>
    <t>70.105.801.8-809.000</t>
  </si>
  <si>
    <t>085255932900</t>
  </si>
  <si>
    <t>megawatisilva@gmail.com</t>
  </si>
  <si>
    <t>90242S3</t>
  </si>
  <si>
    <t>6724f0a4ab5e009a0500bc40</t>
  </si>
  <si>
    <t>dm90242s3</t>
  </si>
  <si>
    <t>#90242Pos</t>
  </si>
  <si>
    <t>2103240093923</t>
  </si>
  <si>
    <t>21032400939230001</t>
  </si>
  <si>
    <t>-5.078229</t>
  </si>
  <si>
    <t>119.524593</t>
  </si>
  <si>
    <t>MUC AJ CV Selatan2</t>
  </si>
  <si>
    <t>ASTUTI H. ALI</t>
  </si>
  <si>
    <t xml:space="preserve">Jl. Attang Benteng No. 29, RT/RW 001/001, Kel/desa Botto, Kec. Lalabata, Kab. Soppeng </t>
  </si>
  <si>
    <t>Jl. Attang Benteng No. 29, RT/RW 001/001</t>
  </si>
  <si>
    <t>BOTTO</t>
  </si>
  <si>
    <t>LALABATA</t>
  </si>
  <si>
    <t>90811</t>
  </si>
  <si>
    <t>7312046303740001</t>
  </si>
  <si>
    <t>59.900.399.3-808.000</t>
  </si>
  <si>
    <t>astutyali32@gmail.com</t>
  </si>
  <si>
    <t>90811S1</t>
  </si>
  <si>
    <t>6718e1d1ec6ed730ac00de00</t>
  </si>
  <si>
    <t>dm90811s1</t>
  </si>
  <si>
    <t>#90811Pos</t>
  </si>
  <si>
    <t>0210240055769</t>
  </si>
  <si>
    <t>02102400557690001</t>
  </si>
  <si>
    <t>-4.351705</t>
  </si>
  <si>
    <t>119.886176</t>
  </si>
  <si>
    <t>CVANEKAJASA00260</t>
  </si>
  <si>
    <t>MUC AJ HERIANI</t>
  </si>
  <si>
    <t>HERIANI</t>
  </si>
  <si>
    <t xml:space="preserve">CENRENA RT 002 RW 002 KEL. SALOKARAJA KEC. LALABATA SOPPENG </t>
  </si>
  <si>
    <t>JL. PASAR SENTRAL</t>
  </si>
  <si>
    <t>OMPO</t>
  </si>
  <si>
    <t>90813</t>
  </si>
  <si>
    <t>7312047112670022</t>
  </si>
  <si>
    <t>81.572.483.6-808.000</t>
  </si>
  <si>
    <t>082394292088</t>
  </si>
  <si>
    <t>aniheriani141@gmail.com</t>
  </si>
  <si>
    <t>90813S1</t>
  </si>
  <si>
    <t>671844d4f27ba8be100a7561</t>
  </si>
  <si>
    <t>KC WATAMPONE 92700</t>
  </si>
  <si>
    <t>0510240007725</t>
  </si>
  <si>
    <t>05102400077250001</t>
  </si>
  <si>
    <t>-4.344260</t>
  </si>
  <si>
    <t>119.886189</t>
  </si>
  <si>
    <t>CVANEKAJASA00571</t>
  </si>
  <si>
    <t>MUC AJ SMKN 1 BARRU</t>
  </si>
  <si>
    <t>IRSYAD, S.PD</t>
  </si>
  <si>
    <t xml:space="preserve">PANCANA, KEL. PANCANA KEC. TANETE RILAU KAB. BARRU </t>
  </si>
  <si>
    <t>Jl. MELATI</t>
  </si>
  <si>
    <t>SUMPANG BINANGAE</t>
  </si>
  <si>
    <t>BARRU</t>
  </si>
  <si>
    <t>90713</t>
  </si>
  <si>
    <t>7311020612780002</t>
  </si>
  <si>
    <t>15.040.393.9-802.000</t>
  </si>
  <si>
    <t>081340084279</t>
  </si>
  <si>
    <t xml:space="preserve">cha2.fb5@gmail.com </t>
  </si>
  <si>
    <t>90713S1</t>
  </si>
  <si>
    <t>6717c360adc61543be018e3a</t>
  </si>
  <si>
    <t>dm90713s1</t>
  </si>
  <si>
    <t>#90713Pos</t>
  </si>
  <si>
    <t>1510240091191</t>
  </si>
  <si>
    <t>15102400911910001</t>
  </si>
  <si>
    <t>-4.405911</t>
  </si>
  <si>
    <t>119.6133062</t>
  </si>
  <si>
    <t>CVANEKAJASA00036</t>
  </si>
  <si>
    <t xml:space="preserve">MUC AJ KUD Sentosa  </t>
  </si>
  <si>
    <t>SUDIRMAN LAMA</t>
  </si>
  <si>
    <t>TAKALALA SOPPENG</t>
  </si>
  <si>
    <t>TAKALALA, RT/RW 003/002, KEL/DESA TETTIKENRARAE, KEC MARIORIWAWO, KAB. SOPPENG</t>
  </si>
  <si>
    <t>7312011710690001</t>
  </si>
  <si>
    <t>88.191.279.4-808.000</t>
  </si>
  <si>
    <t>081355952123</t>
  </si>
  <si>
    <t>sudirmanlama123@gmail.com</t>
  </si>
  <si>
    <t>90862S2</t>
  </si>
  <si>
    <t>672e15081489d6f6dd0702d2</t>
  </si>
  <si>
    <t>dm90862s2</t>
  </si>
  <si>
    <t xml:space="preserve">0210240111185 </t>
  </si>
  <si>
    <t>02102401111850001</t>
  </si>
  <si>
    <t>-4.457957</t>
  </si>
  <si>
    <t>119.950430</t>
  </si>
  <si>
    <t>CVANEKAJASA0141</t>
  </si>
  <si>
    <t>MUC AJ Biro Jasa Sakty</t>
  </si>
  <si>
    <t>Hj. Wahyuni, SE</t>
  </si>
  <si>
    <t>Jl. Lasangkuru No. 91, Sengkang, Kab. Wajo</t>
  </si>
  <si>
    <t>Jl. Lasangkuru No. 91</t>
  </si>
  <si>
    <t>Padduppa</t>
  </si>
  <si>
    <t>Tempe</t>
  </si>
  <si>
    <t>Kab. Wajo</t>
  </si>
  <si>
    <t>90914</t>
  </si>
  <si>
    <t>7313065810810004</t>
  </si>
  <si>
    <t>72.994.999.0-808.000</t>
  </si>
  <si>
    <t>081241696107</t>
  </si>
  <si>
    <t>cv.nurulhafidzah@gmail.com</t>
  </si>
  <si>
    <t>90914S2</t>
  </si>
  <si>
    <t>67627fcc47dd0b78a303bc90</t>
  </si>
  <si>
    <t>dm90914s2</t>
  </si>
  <si>
    <t>#90914Pos</t>
  </si>
  <si>
    <t>0811240003747</t>
  </si>
  <si>
    <t>08112400037470001</t>
  </si>
  <si>
    <t>-4.1378495</t>
  </si>
  <si>
    <t>120.0296601</t>
  </si>
  <si>
    <t>CVANEKAJASA00585</t>
  </si>
  <si>
    <t>MUC AJ LOGIC EXPRESS</t>
  </si>
  <si>
    <t>MUHAMMMAD ANHAR SY</t>
  </si>
  <si>
    <t>JL. SULAWESI NO. 67, PAREPARE</t>
  </si>
  <si>
    <t>JL. BAU MASSEPE NO.34 (SMKN 1 PAREPARE)</t>
  </si>
  <si>
    <t>LUMPUE</t>
  </si>
  <si>
    <t>BACUKIKI BARAT</t>
  </si>
  <si>
    <t>91123</t>
  </si>
  <si>
    <t>7372022606820021</t>
  </si>
  <si>
    <t>87.796.003.9-802.000</t>
  </si>
  <si>
    <t>085256911276</t>
  </si>
  <si>
    <t>muhammadanhar66@guru.smk.belajar.id</t>
  </si>
  <si>
    <t>91123S2</t>
  </si>
  <si>
    <t>67b6d82ad11880ed8e0733f7</t>
  </si>
  <si>
    <t>dm91123s2</t>
  </si>
  <si>
    <t>#91123Pos</t>
  </si>
  <si>
    <t>1601250027552</t>
  </si>
  <si>
    <t>16012500275520001</t>
  </si>
  <si>
    <t>-4.0637189</t>
  </si>
  <si>
    <t>119.6202297</t>
  </si>
  <si>
    <t>GUNUNGRAYA000005</t>
  </si>
  <si>
    <t>MUC GNR WENDIT</t>
  </si>
  <si>
    <t>Wiroyo Girham Pasa</t>
  </si>
  <si>
    <t>Perum Sukun Pondok Indah Cc1 RT.004 RW.007, BANDUNGREJOSARI, SUKUN, KOTA MALANG</t>
  </si>
  <si>
    <t>Jl Raya Wendit</t>
  </si>
  <si>
    <t>Mangliawan</t>
  </si>
  <si>
    <t>Pakis</t>
  </si>
  <si>
    <t>Malang</t>
  </si>
  <si>
    <t>JAWA TIMUR</t>
  </si>
  <si>
    <t>65154</t>
  </si>
  <si>
    <t>35730120058700002</t>
  </si>
  <si>
    <t>46.138.448.623.000</t>
  </si>
  <si>
    <t>CA GUNUNG RAYA</t>
  </si>
  <si>
    <t>089668414390</t>
  </si>
  <si>
    <t>Wiroyogirham@Gmail.Com</t>
  </si>
  <si>
    <t>KANTOR REGIONAL V SURABAYA</t>
  </si>
  <si>
    <t>2410250018889</t>
  </si>
  <si>
    <t>24102500188890002</t>
  </si>
  <si>
    <t>DJARKASI00000001</t>
  </si>
  <si>
    <t>MUC GNR SAPTO RAYA</t>
  </si>
  <si>
    <t>Perumahan Graha Sapto Raya Bc 36</t>
  </si>
  <si>
    <t>Saptorenggo</t>
  </si>
  <si>
    <t>65154SE</t>
  </si>
  <si>
    <t>69115c7af684ab598c0bf409</t>
  </si>
  <si>
    <t>dm65154se</t>
  </si>
  <si>
    <t>#65154Pos</t>
  </si>
  <si>
    <t>-7.93562</t>
  </si>
  <si>
    <t>112.69227</t>
  </si>
  <si>
    <t>Dusun Nusantoro RT 005 RW 004 Desa Ampeldento Kec. Pakis Kab. Malang</t>
  </si>
  <si>
    <t>Jl. Raya Asrikaton No. 38</t>
  </si>
  <si>
    <t>Asrikaton</t>
  </si>
  <si>
    <t>3507181105700002</t>
  </si>
  <si>
    <t>24.134.222.9-657.000</t>
  </si>
  <si>
    <t>082141915588</t>
  </si>
  <si>
    <t>kudperdagangan@gmail.com</t>
  </si>
  <si>
    <t>1512230053807</t>
  </si>
  <si>
    <t>MENYUSUL</t>
  </si>
  <si>
    <t>-7.9528967</t>
  </si>
  <si>
    <t>112.6892707</t>
  </si>
  <si>
    <t>ADITYA ADJIE WIGUNA</t>
  </si>
  <si>
    <t>Jalan Raya Gunungsari Nomor 42, Desa/Kelurahan Gunungsari, Kec. Tajinan, Kab. Malang, Provinsi Jawa Timur</t>
  </si>
  <si>
    <t>gunung sari</t>
  </si>
  <si>
    <t>tajinan</t>
  </si>
  <si>
    <t>Kabupaten Malang</t>
  </si>
  <si>
    <t>Jawa Timur</t>
  </si>
  <si>
    <t>65172</t>
  </si>
  <si>
    <t>3507151110000001</t>
  </si>
  <si>
    <t>wigunajayaraya@gmail.com</t>
  </si>
  <si>
    <t>65172S4</t>
  </si>
  <si>
    <t>698c3d826063f4c2b40b3f1e</t>
  </si>
  <si>
    <t>0112250074017</t>
  </si>
  <si>
    <t>-8.04638</t>
  </si>
  <si>
    <t>112.69214</t>
  </si>
  <si>
    <t>MB1365</t>
  </si>
  <si>
    <t>MUC MBI SOLUTION PRINTING</t>
  </si>
  <si>
    <t>ASTRIONO</t>
  </si>
  <si>
    <t>PUCANGANOM LOR</t>
  </si>
  <si>
    <t>PUCANGANOM</t>
  </si>
  <si>
    <t>GIRITONTRO</t>
  </si>
  <si>
    <t>WONOGIRI</t>
  </si>
  <si>
    <t>JAWA TENGAH</t>
  </si>
  <si>
    <t>57676</t>
  </si>
  <si>
    <t>3312020804820002</t>
  </si>
  <si>
    <t>46.331.244.7-532.000</t>
  </si>
  <si>
    <t>MEDIA BISNIS INDONESIA</t>
  </si>
  <si>
    <t>085327839415</t>
  </si>
  <si>
    <t>astriono354@gmail.com</t>
  </si>
  <si>
    <t>57676S1</t>
  </si>
  <si>
    <t>67217545a2d1f108720bc418</t>
  </si>
  <si>
    <t>dm57676s1</t>
  </si>
  <si>
    <t>#57676Pos</t>
  </si>
  <si>
    <t>KANTOR REGIONAL IV SEMARANG 50004</t>
  </si>
  <si>
    <t>KC WONOGIRI 57600</t>
  </si>
  <si>
    <t>2208240040309</t>
  </si>
  <si>
    <t>22082400403090001</t>
  </si>
  <si>
    <t>-803758</t>
  </si>
  <si>
    <t>110.88643</t>
  </si>
  <si>
    <t>HFSMADANIKRW7078</t>
  </si>
  <si>
    <t>MUC HBR MADANI</t>
  </si>
  <si>
    <t>Andar Zulkarnain Hutagalung</t>
  </si>
  <si>
    <t>Dusun Pasir Jengkol II RT 024/010 No.22 Pasir Jengkol, Majalaya, Karawang</t>
  </si>
  <si>
    <t>Pasir Jengkol</t>
  </si>
  <si>
    <t>Majalaya</t>
  </si>
  <si>
    <t>Karawang</t>
  </si>
  <si>
    <t>Jawabarat</t>
  </si>
  <si>
    <t>41388</t>
  </si>
  <si>
    <t>3215210212720001</t>
  </si>
  <si>
    <t>02.311.907.6-408.000</t>
  </si>
  <si>
    <t>HAFSAH&amp;BROTHERS</t>
  </si>
  <si>
    <t>081315798007</t>
  </si>
  <si>
    <t>hafsah_info@yahoo.co.id</t>
  </si>
  <si>
    <t>41388S1</t>
  </si>
  <si>
    <t>674b211cbd57a2895c02281e</t>
  </si>
  <si>
    <t>dm41388s1</t>
  </si>
  <si>
    <t>#41388Pos</t>
  </si>
  <si>
    <t>KANTOR REGIONAL III BANDUNG 40004</t>
  </si>
  <si>
    <t>KCU KARAWANG 41300</t>
  </si>
  <si>
    <t>0220001711424</t>
  </si>
  <si>
    <t>02200017114240001</t>
  </si>
  <si>
    <t>-6.296594</t>
  </si>
  <si>
    <t>107.339029</t>
  </si>
  <si>
    <t>Hfsmadanikrw7099</t>
  </si>
  <si>
    <t>MUC HBR Milabudi</t>
  </si>
  <si>
    <t>BUDIYANTO</t>
  </si>
  <si>
    <t>ANJUN RT 004/02  Kel. TANJUNGPURA</t>
  </si>
  <si>
    <t>BUBULAK PARACIS</t>
  </si>
  <si>
    <t>TANJUNGPURA</t>
  </si>
  <si>
    <t>KARAWANG BARAT</t>
  </si>
  <si>
    <t>KARAWANG</t>
  </si>
  <si>
    <t>JAWA BARAT</t>
  </si>
  <si>
    <t>41316</t>
  </si>
  <si>
    <t>321501280883002</t>
  </si>
  <si>
    <t>83.734.314.4-408.000</t>
  </si>
  <si>
    <t>08128170565</t>
  </si>
  <si>
    <t>budi_8382@yahoo.com</t>
  </si>
  <si>
    <t>41316S1</t>
  </si>
  <si>
    <t>675a649132365e62020e5964</t>
  </si>
  <si>
    <t>dm41316s1</t>
  </si>
  <si>
    <t>#41316Pos</t>
  </si>
  <si>
    <t>0912240018399</t>
  </si>
  <si>
    <t>09122400183990001</t>
  </si>
  <si>
    <t>-6.297360</t>
  </si>
  <si>
    <t>107.291589</t>
  </si>
  <si>
    <t>hfsmadanikrw7162</t>
  </si>
  <si>
    <t>MUC HBR Sunario</t>
  </si>
  <si>
    <t>Sunario</t>
  </si>
  <si>
    <t>Pesona Cengkong Asri 1, D7/33 RT 004 RW 003</t>
  </si>
  <si>
    <t>Pesona Cengkong Asri 1, D7/33</t>
  </si>
  <si>
    <t xml:space="preserve">Cengkong </t>
  </si>
  <si>
    <t xml:space="preserve">Purwasari </t>
  </si>
  <si>
    <t xml:space="preserve">Karawang </t>
  </si>
  <si>
    <t xml:space="preserve">Jawa Barat </t>
  </si>
  <si>
    <t>41377</t>
  </si>
  <si>
    <t>1205171511840007</t>
  </si>
  <si>
    <t>84.586.910.6-433.000</t>
  </si>
  <si>
    <t>081511307244</t>
  </si>
  <si>
    <t>ryanmulia90@gmail.com</t>
  </si>
  <si>
    <t>41376S3</t>
  </si>
  <si>
    <t>679479edf4bdad0747081ec5</t>
  </si>
  <si>
    <t>dm41376s3</t>
  </si>
  <si>
    <t>#41376Pos</t>
  </si>
  <si>
    <t>1702240025731</t>
  </si>
  <si>
    <t>17022400257310001</t>
  </si>
  <si>
    <t>-6.357394850768912</t>
  </si>
  <si>
    <t>107.3915770685160</t>
  </si>
  <si>
    <t>HFSMADANIJKT7006</t>
  </si>
  <si>
    <t>MUC HBR Maskur</t>
  </si>
  <si>
    <t>Heny Susilawaty</t>
  </si>
  <si>
    <t>Jl. Ujung gedong No. 37 Rt 010/010 Pasar Rebo Jakarta Timur</t>
  </si>
  <si>
    <t>Jl. Ujung Gedong No. 37 Rt 010/010</t>
  </si>
  <si>
    <t>Gedong</t>
  </si>
  <si>
    <t>Pasar Rebo</t>
  </si>
  <si>
    <t>Jakarta Timur</t>
  </si>
  <si>
    <t>Dki Jakarta</t>
  </si>
  <si>
    <t>13760</t>
  </si>
  <si>
    <t>3175054304710003</t>
  </si>
  <si>
    <t>69.891.400.9-009.000</t>
  </si>
  <si>
    <t>082120559157</t>
  </si>
  <si>
    <t>henykurnaini@gmail.com</t>
  </si>
  <si>
    <t>13760S1</t>
  </si>
  <si>
    <t>6785d659e2f669ef4a0c3eb3</t>
  </si>
  <si>
    <t>dm13760s1</t>
  </si>
  <si>
    <t>#13760Pos</t>
  </si>
  <si>
    <t>KANTOR REGIONAL II JAKARTA 10004</t>
  </si>
  <si>
    <t>KCU JAKARTAPREMIER</t>
  </si>
  <si>
    <t>0201250005991</t>
  </si>
  <si>
    <t>02012500059910001</t>
  </si>
  <si>
    <t>-6.295728</t>
  </si>
  <si>
    <t>106.863590</t>
  </si>
  <si>
    <t>HFSMADANIKRW7136</t>
  </si>
  <si>
    <t>MUC HBR Amanah</t>
  </si>
  <si>
    <t>Suryadi</t>
  </si>
  <si>
    <t>KP. BABAKAN BOGOR RT.001 RW.006 Dawuan barat Cikampek</t>
  </si>
  <si>
    <t xml:space="preserve">Kp.Payuyon Rt02/09 </t>
  </si>
  <si>
    <t>Dawuan barat</t>
  </si>
  <si>
    <t>Cikampek</t>
  </si>
  <si>
    <t>jawa barat</t>
  </si>
  <si>
    <t>41373</t>
  </si>
  <si>
    <t>3215132408730001</t>
  </si>
  <si>
    <t>77.085.205.1-433.000</t>
  </si>
  <si>
    <t>081290906700</t>
  </si>
  <si>
    <t>suryadi1088@gmail.com</t>
  </si>
  <si>
    <t>41373S2</t>
  </si>
  <si>
    <t>6785e0ff94eb8cdc550d2c06</t>
  </si>
  <si>
    <t>dm41373s2</t>
  </si>
  <si>
    <t>#41373Pos</t>
  </si>
  <si>
    <t>0103240045328</t>
  </si>
  <si>
    <t>01032400453280001</t>
  </si>
  <si>
    <t>-6.403904</t>
  </si>
  <si>
    <t>107.418346</t>
  </si>
  <si>
    <t>hfsmadanikrw7053</t>
  </si>
  <si>
    <t>MUC HBR DEDE MOTOR</t>
  </si>
  <si>
    <t>MUHAMMAD KHOZIN AFANDI</t>
  </si>
  <si>
    <t>DUSUN SUNGAI BAMBU RT.001 RW.004 SUNGAIBUNTU, PEDES, KAB. KARAWANG</t>
  </si>
  <si>
    <t>DUSUN SUNGAI BAMBU</t>
  </si>
  <si>
    <t>SUNGAIBUNTU</t>
  </si>
  <si>
    <t>PEDES</t>
  </si>
  <si>
    <t>41353</t>
  </si>
  <si>
    <t>3215102506730001</t>
  </si>
  <si>
    <t>34.660.705.4-408.000</t>
  </si>
  <si>
    <t>08161318073</t>
  </si>
  <si>
    <t>chozyn007@mail.com</t>
  </si>
  <si>
    <t>41353S1</t>
  </si>
  <si>
    <t>679893833fdc0cc4b100d557</t>
  </si>
  <si>
    <t>dm41353s1</t>
  </si>
  <si>
    <t>#41353Pos</t>
  </si>
  <si>
    <t>1707230047166</t>
  </si>
  <si>
    <t>17072300471660001</t>
  </si>
  <si>
    <t xml:space="preserve">-6.29886660698438 </t>
  </si>
  <si>
    <t>106.84949108009955</t>
  </si>
  <si>
    <t>hfsmadanikrw7080</t>
  </si>
  <si>
    <t>MUC HBR ERBAS</t>
  </si>
  <si>
    <t>IIM HARYANI</t>
  </si>
  <si>
    <t>Dusun 1Kp Krajan Rt/RW 010/005</t>
  </si>
  <si>
    <t>Dusun 1Kp Krajan Rt/RW 010/005 Desa kutapohaci kec Ciampel kab karawang</t>
  </si>
  <si>
    <t>KutaPohaci</t>
  </si>
  <si>
    <t>Ciampel</t>
  </si>
  <si>
    <t>Jawa Barat</t>
  </si>
  <si>
    <t>41361</t>
  </si>
  <si>
    <t>3215043101750001</t>
  </si>
  <si>
    <t>42.880.032.0-408.000</t>
  </si>
  <si>
    <t>081282045800</t>
  </si>
  <si>
    <t>erbaslangga@yahoo.co.id</t>
  </si>
  <si>
    <t>41363S1</t>
  </si>
  <si>
    <t>67861c1a29395fda600aa56d</t>
  </si>
  <si>
    <t>dm41363s1</t>
  </si>
  <si>
    <t>#41363Pos</t>
  </si>
  <si>
    <t>0201250033597</t>
  </si>
  <si>
    <t>02012500335970001</t>
  </si>
  <si>
    <t>-6.3847226</t>
  </si>
  <si>
    <t>107.3986301</t>
  </si>
  <si>
    <t>hfsmadanikrw7012</t>
  </si>
  <si>
    <t>MUC HBR Amzar Fhotocopy</t>
  </si>
  <si>
    <t>ELA NURMAYA</t>
  </si>
  <si>
    <t>Kp.Rengasepuluh Rt 05/02,Parungsari,Telukjambe Barat,Karawang</t>
  </si>
  <si>
    <t>RENGASEPULUH RT/RW 05/02</t>
  </si>
  <si>
    <t>Parungsari</t>
  </si>
  <si>
    <t>Telukjambe Barat</t>
  </si>
  <si>
    <t>Jawa barat</t>
  </si>
  <si>
    <t>3215276011890001</t>
  </si>
  <si>
    <t>77.187.778.4-408.000</t>
  </si>
  <si>
    <t>08568425053</t>
  </si>
  <si>
    <t>nurmaya@3121gmail.com</t>
  </si>
  <si>
    <t>41344S1</t>
  </si>
  <si>
    <t>6786328cb040cfeb9f0440a3</t>
  </si>
  <si>
    <t>dm41344s1</t>
  </si>
  <si>
    <t>#41344Pos</t>
  </si>
  <si>
    <t>0301250031559</t>
  </si>
  <si>
    <t>03012500315590001</t>
  </si>
  <si>
    <t xml:space="preserve">-6.295769 </t>
  </si>
  <si>
    <t>107.250630</t>
  </si>
  <si>
    <t>HFSMADANIKRW7105</t>
  </si>
  <si>
    <t>MUC HBR Azzahra</t>
  </si>
  <si>
    <t>RAHMAT TEGUH</t>
  </si>
  <si>
    <t>PALM KONDANG ASRI B.6/1 RT 026 RW 010 DESA KONDANG JAYA KEC. KARAWANG TIMUR KAB.KARAWANG</t>
  </si>
  <si>
    <t>KONDANGJAYA</t>
  </si>
  <si>
    <t>KARAWANG TIMUR</t>
  </si>
  <si>
    <t>41371</t>
  </si>
  <si>
    <t>3215261701800006</t>
  </si>
  <si>
    <t>14.365.594.2-408.000</t>
  </si>
  <si>
    <t>081310701080</t>
  </si>
  <si>
    <t>azzahrashofaa@gmail.com</t>
  </si>
  <si>
    <t>41324S2</t>
  </si>
  <si>
    <t>67aac73abb2c10fc0c0aa164</t>
  </si>
  <si>
    <t>dm41324s2</t>
  </si>
  <si>
    <t>#41324Pos</t>
  </si>
  <si>
    <t>9120008402769</t>
  </si>
  <si>
    <t>91200084027690006</t>
  </si>
  <si>
    <t>-6.351694</t>
  </si>
  <si>
    <t>107.344200</t>
  </si>
  <si>
    <t>55NRY07275SBPAYS</t>
  </si>
  <si>
    <t>MUC NRY Nariyah</t>
  </si>
  <si>
    <t>Akhsan Rosidi</t>
  </si>
  <si>
    <t>jl nangka 2 no 3 kerten</t>
  </si>
  <si>
    <t>sanggar kencana utama no 21</t>
  </si>
  <si>
    <t>jatisari</t>
  </si>
  <si>
    <t>buahbatu</t>
  </si>
  <si>
    <t>bandung</t>
  </si>
  <si>
    <t>40286</t>
  </si>
  <si>
    <t>3311120412890000</t>
  </si>
  <si>
    <t>70.496.705.8-532.000</t>
  </si>
  <si>
    <t>NARIYAH</t>
  </si>
  <si>
    <t>087777794042</t>
  </si>
  <si>
    <t>agent.ppobnariyah@gmail.com</t>
  </si>
  <si>
    <t>40286SD</t>
  </si>
  <si>
    <t>675121cf746b2aeeec0802ce</t>
  </si>
  <si>
    <t>dm40286sd</t>
  </si>
  <si>
    <t>#40286Pos</t>
  </si>
  <si>
    <t>KCU BANDUNG 40000</t>
  </si>
  <si>
    <t>2011240090095</t>
  </si>
  <si>
    <t>20112400900950001</t>
  </si>
  <si>
    <t xml:space="preserve">-6.937849120205130 </t>
  </si>
  <si>
    <t>107.66684387008300</t>
  </si>
  <si>
    <t xml:space="preserve">57SNI07312SBPAYS </t>
  </si>
  <si>
    <t>MUC NRY DANIEL FRANS SIHOMBING</t>
  </si>
  <si>
    <t>DANIEL FRANS SIHOMBING</t>
  </si>
  <si>
    <t xml:space="preserve">KOMP. GRIYA BANDUNG INDAH BLOK F21 NO 21 RT 08 RW 08, BUAHBATU, BOJONGSOANG </t>
  </si>
  <si>
    <t>JALAN CINANGKA, PASIRWANGI, UJUNG BERUNG</t>
  </si>
  <si>
    <t xml:space="preserve">PASIRWANGI </t>
  </si>
  <si>
    <t xml:space="preserve">UJUNG BERUNG </t>
  </si>
  <si>
    <t xml:space="preserve">BANDUNG </t>
  </si>
  <si>
    <t xml:space="preserve">JAWA BARAT </t>
  </si>
  <si>
    <t>40616</t>
  </si>
  <si>
    <t>3273230303900008</t>
  </si>
  <si>
    <t>65.481.788.1-429.000</t>
  </si>
  <si>
    <t>081210020269</t>
  </si>
  <si>
    <t>danielyinpo@gmail.com</t>
  </si>
  <si>
    <t>40199S1</t>
  </si>
  <si>
    <t>67ac9fedc3998e233700a08c</t>
  </si>
  <si>
    <t>dm40199s1</t>
  </si>
  <si>
    <t>#40199Pos</t>
  </si>
  <si>
    <t>KC UJUNGBERUNG</t>
  </si>
  <si>
    <t>3001250061577</t>
  </si>
  <si>
    <t>30012500615770001</t>
  </si>
  <si>
    <t>-6,9050787</t>
  </si>
  <si>
    <t>107,7042529</t>
  </si>
  <si>
    <t>57SNI07314SBPAYS</t>
  </si>
  <si>
    <t>MUC NRY Raftha Travel</t>
  </si>
  <si>
    <t xml:space="preserve">Harry Agung Sucahyo </t>
  </si>
  <si>
    <t>Komp. Bina Karya 1, RT. 04/13, Cimekar, Cileunyi, Kab. Bandung</t>
  </si>
  <si>
    <t>Jl. SMPN 1 Cileunyi, Kp. Cisitu, RT. 03/09</t>
  </si>
  <si>
    <t>Cimekar</t>
  </si>
  <si>
    <t xml:space="preserve">Cileunyi </t>
  </si>
  <si>
    <t>Kab. Bandung</t>
  </si>
  <si>
    <t>40623</t>
  </si>
  <si>
    <t>3204050902770007</t>
  </si>
  <si>
    <t>16.073.272.3-722.000</t>
  </si>
  <si>
    <t>085252039867</t>
  </si>
  <si>
    <t>halimatussadiyahagung@gmail.com</t>
  </si>
  <si>
    <t>40393SA</t>
  </si>
  <si>
    <t>67ad63118f37bb7d3a0e7847</t>
  </si>
  <si>
    <t>dm40393sa</t>
  </si>
  <si>
    <t>#40393Pos</t>
  </si>
  <si>
    <t>0302250114645</t>
  </si>
  <si>
    <t>03022501146450001</t>
  </si>
  <si>
    <t>-6.92413</t>
  </si>
  <si>
    <t>107.74310</t>
  </si>
  <si>
    <t xml:space="preserve">58NRY07338BSBSNI </t>
  </si>
  <si>
    <t>MUC NRY Mars Tengah</t>
  </si>
  <si>
    <t>Rully Rosmeidy Winata</t>
  </si>
  <si>
    <t>Jl Mars Tengah No 34 Kec Rancasari Kota Bandung</t>
  </si>
  <si>
    <t>Jl Mars Tengah No 34</t>
  </si>
  <si>
    <t>Manjahlega</t>
  </si>
  <si>
    <t>Rancasari</t>
  </si>
  <si>
    <t>Bandung</t>
  </si>
  <si>
    <t>3273112805900001</t>
  </si>
  <si>
    <t>35.963.521.6-424.000</t>
  </si>
  <si>
    <t>081222228133</t>
  </si>
  <si>
    <t>rully.r.winata@gmail.com</t>
  </si>
  <si>
    <t>40292S9</t>
  </si>
  <si>
    <t>67d5238ea863a33cc904fe0b</t>
  </si>
  <si>
    <t>dm40292s9</t>
  </si>
  <si>
    <t>#40292Pos</t>
  </si>
  <si>
    <t>1103250033046</t>
  </si>
  <si>
    <t>11032500330460001</t>
  </si>
  <si>
    <t>-6.9460773</t>
  </si>
  <si>
    <t>107.664898317</t>
  </si>
  <si>
    <t>MUC NRY FAWWAZ</t>
  </si>
  <si>
    <t>40292SA</t>
  </si>
  <si>
    <t>67f4e5bfa6d11f3527057d94</t>
  </si>
  <si>
    <t>dm40292sa</t>
  </si>
  <si>
    <t>MUC NRY DTech</t>
  </si>
  <si>
    <t>40355S5</t>
  </si>
  <si>
    <t>67f4cec8608f6848b5068e31</t>
  </si>
  <si>
    <t>dm40355s5</t>
  </si>
  <si>
    <t>#40355Pos</t>
  </si>
  <si>
    <t>61SBPAYS07394NRY</t>
  </si>
  <si>
    <t>MUC NRY NAONI EXPREESS</t>
  </si>
  <si>
    <t>RONI HERMANTO</t>
  </si>
  <si>
    <t>GG.H.KURDI II/6 NO.351/201 A RT.005 RW.001 KEL.KARASAK KEC.ASTANA ANYAR</t>
  </si>
  <si>
    <t>PERUMAHAN GRAND PKJ RANCAMANYAR BLOK G1 NO.6</t>
  </si>
  <si>
    <t>RANCAMULYA</t>
  </si>
  <si>
    <t>PAMEUNGPEUK</t>
  </si>
  <si>
    <t>KAB.BANDUNG</t>
  </si>
  <si>
    <t>JAWABARAT</t>
  </si>
  <si>
    <t>40375</t>
  </si>
  <si>
    <t>3273100311840003</t>
  </si>
  <si>
    <t>35.677.098.2-422.000</t>
  </si>
  <si>
    <t>0818660860</t>
  </si>
  <si>
    <t>RONIHERMANTO1984@GMAIL.COM</t>
  </si>
  <si>
    <t>40376S3</t>
  </si>
  <si>
    <t>6800a2e26eaacfa02d0c3529</t>
  </si>
  <si>
    <t>dm40376s3</t>
  </si>
  <si>
    <t>#40376Pos</t>
  </si>
  <si>
    <t>KC SOREANG</t>
  </si>
  <si>
    <t>1203250054572</t>
  </si>
  <si>
    <t>12032500545720002</t>
  </si>
  <si>
    <t>-7.001045</t>
  </si>
  <si>
    <t>107.596832</t>
  </si>
  <si>
    <t>CANCEL</t>
  </si>
  <si>
    <t>53ZARA17627SNINR</t>
  </si>
  <si>
    <t>MUC NRY Abmcom</t>
  </si>
  <si>
    <t>Dede Abim</t>
  </si>
  <si>
    <t xml:space="preserve">kp.talegong rt01 rw01desa sukamulya </t>
  </si>
  <si>
    <t>Kp. Talegong</t>
  </si>
  <si>
    <t>sukamulya</t>
  </si>
  <si>
    <t>talegong</t>
  </si>
  <si>
    <t>garut</t>
  </si>
  <si>
    <t>44167</t>
  </si>
  <si>
    <t>3205371712810002</t>
  </si>
  <si>
    <t>55.052.189.2-443.000</t>
  </si>
  <si>
    <t>081322064444</t>
  </si>
  <si>
    <t>nameabim@gmail.com</t>
  </si>
  <si>
    <t>KC GARUT</t>
  </si>
  <si>
    <t>1006230038156</t>
  </si>
  <si>
    <t>10062300381560001</t>
  </si>
  <si>
    <t>-7.033809</t>
  </si>
  <si>
    <t>107.594373</t>
  </si>
  <si>
    <t>62BSBSNI07407NRY</t>
  </si>
  <si>
    <t>MUC NRY Revaz Express</t>
  </si>
  <si>
    <t>Shafira Marela Permana</t>
  </si>
  <si>
    <t>Pesona Bintang Batujajar Blok H7</t>
  </si>
  <si>
    <t>Kp Neglasari No.186 RT/RW 01/14</t>
  </si>
  <si>
    <t>0000082322149224</t>
  </si>
  <si>
    <t>MUC MG HANIN</t>
  </si>
  <si>
    <t>ARI WIDIYANTO</t>
  </si>
  <si>
    <t>BALEDONO RT 004 RW 006, BALEDONO, PURWOREJO, PURWOREJO</t>
  </si>
  <si>
    <t>BALEDONO</t>
  </si>
  <si>
    <t>PURWOREJO</t>
  </si>
  <si>
    <t>54118</t>
  </si>
  <si>
    <t>3306061202740001</t>
  </si>
  <si>
    <t>54.191.328.1-531.000</t>
  </si>
  <si>
    <t>CA BI MASAGO</t>
  </si>
  <si>
    <t>082322149224</t>
  </si>
  <si>
    <t>ariwidiyanto120274@gmail.com</t>
  </si>
  <si>
    <t>54118S2</t>
  </si>
  <si>
    <t>67aac0b51088d2ba9903e7a7</t>
  </si>
  <si>
    <t>dm54118s2</t>
  </si>
  <si>
    <t>#54118Pos</t>
  </si>
  <si>
    <t>KANTOR REGIONAL IV SEMARANG</t>
  </si>
  <si>
    <t>KC PURWOEREJO</t>
  </si>
  <si>
    <t>0801250054171</t>
  </si>
  <si>
    <t>08012500541710001</t>
  </si>
  <si>
    <t>-7,7100180</t>
  </si>
  <si>
    <t>110,0204640</t>
  </si>
  <si>
    <t>000008122781654</t>
  </si>
  <si>
    <t>MUC MG H3 TEKNIK</t>
  </si>
  <si>
    <t>Eristyawan Prihantoro</t>
  </si>
  <si>
    <t>Tepus kulon RT 01 / RW 01, Tepus Kulon, Kutoarjo, Purworejo, Jawa tengah</t>
  </si>
  <si>
    <t>Jl. Ring Road utara, no.16</t>
  </si>
  <si>
    <t>Lugosobo</t>
  </si>
  <si>
    <t>Gebang</t>
  </si>
  <si>
    <t>Purworejo</t>
  </si>
  <si>
    <t>Jawa Tengah</t>
  </si>
  <si>
    <t>54191</t>
  </si>
  <si>
    <t>3306090404810001</t>
  </si>
  <si>
    <t>93.754.658.8-531.000</t>
  </si>
  <si>
    <t>08122781654</t>
  </si>
  <si>
    <t>erish3teknik@gmail.com</t>
  </si>
  <si>
    <t>54191S5</t>
  </si>
  <si>
    <t>67a87dbf26947c1fd609a49b</t>
  </si>
  <si>
    <t>dm54191s5</t>
  </si>
  <si>
    <t>#54191Pos</t>
  </si>
  <si>
    <t>2206220100155</t>
  </si>
  <si>
    <t>22062201001550001</t>
  </si>
  <si>
    <t>-7.690810</t>
  </si>
  <si>
    <t xml:space="preserve">109.991735 </t>
  </si>
  <si>
    <t>0000000811266461</t>
  </si>
  <si>
    <t>MUC MG PANCON CELL</t>
  </si>
  <si>
    <t>TUKIJAN</t>
  </si>
  <si>
    <t>TOMPAK RT01/RW05, GIRITIRTO, PURWOSARI, GUNUNGKIDUL</t>
  </si>
  <si>
    <t xml:space="preserve">TOMPAK RT01/RW05, </t>
  </si>
  <si>
    <t>GIRITIRTO</t>
  </si>
  <si>
    <t>PURWOSARI</t>
  </si>
  <si>
    <t>GUNUNGKIDUL</t>
  </si>
  <si>
    <t>DAERAH ISTIMEWA YOGYAKARTA</t>
  </si>
  <si>
    <t>55873</t>
  </si>
  <si>
    <t>3403181008660001</t>
  </si>
  <si>
    <t>34.979.078.2-545.000</t>
  </si>
  <si>
    <t>0811266461</t>
  </si>
  <si>
    <t>Tukijantukijan846@gmail.com</t>
  </si>
  <si>
    <t>KC WONOSARIYOGYA</t>
  </si>
  <si>
    <t>2602250030941</t>
  </si>
  <si>
    <t>26022500309410001</t>
  </si>
  <si>
    <t>-7.9973902</t>
  </si>
  <si>
    <t>110.3779027</t>
  </si>
  <si>
    <t>0000081804200030</t>
  </si>
  <si>
    <t>MUC MG CV BETTA IKASINDO</t>
  </si>
  <si>
    <t>MUH ARIEF ALBETTA</t>
  </si>
  <si>
    <t>JALAN PEMUKTI UH 7 / 361 B, RT 23 / RW 08, GIWANGAN, UMBULHARJO, YOGYAKARTA</t>
  </si>
  <si>
    <t>JALAN PERINTIS KEMERDEKAAN, GANG PISANG, NOMOR 655B</t>
  </si>
  <si>
    <t>PANDEYAN</t>
  </si>
  <si>
    <t>UMBULHARJO</t>
  </si>
  <si>
    <t>YOGYAKARTA</t>
  </si>
  <si>
    <t>53161</t>
  </si>
  <si>
    <t>3402120705770002</t>
  </si>
  <si>
    <t>02.780.793.2-453.000</t>
  </si>
  <si>
    <t>082328849191</t>
  </si>
  <si>
    <t>bettaikasindo2@gmail.com</t>
  </si>
  <si>
    <t xml:space="preserve"> 55161S1</t>
  </si>
  <si>
    <t>68085222757549020d07cb7b</t>
  </si>
  <si>
    <t>dm55161s1</t>
  </si>
  <si>
    <t>#55161Pos</t>
  </si>
  <si>
    <t>KCU YOGYAKARTA</t>
  </si>
  <si>
    <t>2104250024037</t>
  </si>
  <si>
    <t>21042500240370001</t>
  </si>
  <si>
    <t>-7,8162807</t>
  </si>
  <si>
    <t>110,3869802</t>
  </si>
  <si>
    <t>REKOMENDER</t>
  </si>
  <si>
    <t>NIK REKOMENDER</t>
  </si>
  <si>
    <t>NPWP REKOMENDER</t>
  </si>
  <si>
    <t>ALAMAT KTP</t>
  </si>
  <si>
    <t>ALAMAT NPWP</t>
  </si>
  <si>
    <t>FEE POS REGULER</t>
  </si>
  <si>
    <t>FEE POS NON REGULER</t>
  </si>
  <si>
    <t>NO REKENING</t>
  </si>
  <si>
    <t>BANK</t>
  </si>
  <si>
    <t>ATAS NAMA</t>
  </si>
  <si>
    <t>REFERRAL MITRA</t>
  </si>
  <si>
    <t>REFERRAL CUM</t>
  </si>
  <si>
    <t>SAMIDI</t>
  </si>
  <si>
    <t>3310202102720002</t>
  </si>
  <si>
    <t>57.943.318.6-525.000</t>
  </si>
  <si>
    <t>Kadirejo RT 50/RW 17 Mranggen, Jatinom, Klaten</t>
  </si>
  <si>
    <t>IMRAN ROSYADI</t>
  </si>
  <si>
    <t>5204051508860003</t>
  </si>
  <si>
    <t>45.601.462.0-915.000</t>
  </si>
  <si>
    <t>Dusun Praya Rt.003 Rw.008 Desa Kalimango Kec. Alas Kab. Sumbawa-Ntb</t>
  </si>
  <si>
    <t>ASRORI</t>
  </si>
  <si>
    <t>3276010711890004</t>
  </si>
  <si>
    <t>57.690.167.2-412.000</t>
  </si>
  <si>
    <t>Kp. Kekupu Rt. 003/013 Kel. Rangkapan Jaya Kec. Pancoran Mas. Depok</t>
  </si>
  <si>
    <t>JAPAR SODIQ</t>
  </si>
  <si>
    <t>3210072301860000</t>
  </si>
  <si>
    <t>57.690.170.6-438.000</t>
  </si>
  <si>
    <t>Jl. Pertanian No. 86 Rt 002 Rw 009 Majalengka Wetan 45411</t>
  </si>
  <si>
    <t>ADE ADANG</t>
  </si>
  <si>
    <t>3210071707770001</t>
  </si>
  <si>
    <t>57.690.169.8-438.000</t>
  </si>
  <si>
    <t>Lingk.Kamulyan RT. 01 RW. 12 No. 52 Majalengka Kulon, 45418</t>
  </si>
  <si>
    <t>ARI SETIYANTO</t>
  </si>
  <si>
    <t>3310242205820004</t>
  </si>
  <si>
    <t>67.967.063.8-527.000</t>
  </si>
  <si>
    <t>Dk Gading Santren Rt 002/Rw 009, Ds Belang Wetan,Kec Klaten Utara,Kab Klaten</t>
  </si>
  <si>
    <t>DONY HARYONO</t>
  </si>
  <si>
    <t>35290215037900002</t>
  </si>
  <si>
    <t>Jl. Pelabuhan Kertasada Rt. 08 Rw. 04 Kertasada Kec. Kalianget Sumenep</t>
  </si>
  <si>
    <t>ASEP ROSAD</t>
  </si>
  <si>
    <t>TORIKIN</t>
  </si>
  <si>
    <t>3209212708780000</t>
  </si>
  <si>
    <t>49.392.047.4-426.000</t>
  </si>
  <si>
    <t>Jl. Tambas 1 Desa Adidharma Rt 003 Rw 005 Komp. Pemda 2 Blok E No. 122</t>
  </si>
  <si>
    <t>JELANI KARIM ABUBAKRIN</t>
  </si>
  <si>
    <t>32732231305720002</t>
  </si>
  <si>
    <t>68.440.981.7-424.000</t>
  </si>
  <si>
    <t>Jl Rancabolang RT.06 RW.016, Manjahlega, Rancasari, Bandung 40286</t>
  </si>
  <si>
    <t>RITA SETIADI</t>
  </si>
  <si>
    <t>3204077003920001</t>
  </si>
  <si>
    <t>67.967.072.9-444.000</t>
  </si>
  <si>
    <t>Kp.Cigarukgak Rt.03/Rw.12 Ds.Girimekar Cilengkrang Kab.Bandung, 40619</t>
  </si>
  <si>
    <t>TATANG SAEPUL ROHMAN</t>
  </si>
  <si>
    <t>3205052801730001</t>
  </si>
  <si>
    <t>49.529.066.0-443.000</t>
  </si>
  <si>
    <t xml:space="preserve">1770007666313 </t>
  </si>
  <si>
    <t>Mandiri</t>
  </si>
  <si>
    <t>tatang saeful rochman</t>
  </si>
  <si>
    <t>tatangsaepulrohman73@gmail.com</t>
  </si>
  <si>
    <t>PAK JAY</t>
  </si>
  <si>
    <t>FATHONI</t>
  </si>
  <si>
    <t>3203013004860001</t>
  </si>
  <si>
    <t>75.215.633.1-406.000</t>
  </si>
  <si>
    <t>Kp. Bojong Meron Wetan RT.003/001, Kel.Sayang, Kec.Cianjur, Kab.Cianjur</t>
  </si>
  <si>
    <t>Jl.Siliwangi Gg.Apel I RT.001/002 Sawahgede, Cianjur</t>
  </si>
  <si>
    <t xml:space="preserve">407201013351532 </t>
  </si>
  <si>
    <t>Fatoni</t>
  </si>
  <si>
    <t>fathonialfath3@gmail.com</t>
  </si>
  <si>
    <t>PAK IWAN</t>
  </si>
  <si>
    <t>Abdurahman S.KOM</t>
  </si>
  <si>
    <t>14160908860006</t>
  </si>
  <si>
    <t>KP PONDOKBUNGUR RT 001 RW 001 DESA PONDOKBUNGUR KEC PONDOKSALAM KAB PURWAKARTA JAWA BARAT</t>
  </si>
  <si>
    <t xml:space="preserve">2310134824 </t>
  </si>
  <si>
    <t>BCA</t>
  </si>
  <si>
    <t xml:space="preserve">SITI SAHARAH </t>
  </si>
  <si>
    <t>abdurahman.rahmanskom384@gmail.com</t>
  </si>
  <si>
    <t>AHMAD KOSIM</t>
  </si>
  <si>
    <t>3213020704720005</t>
  </si>
  <si>
    <t>48.897.431.2-439.000</t>
  </si>
  <si>
    <t>Kmp Gardusayang RT.003/002, Kel.Gardusayang, Kec.Cisalak, Kab.Subang</t>
  </si>
  <si>
    <t>012301108829504 </t>
  </si>
  <si>
    <t>BRI</t>
  </si>
  <si>
    <t>ahkos0704072@gmail.com</t>
  </si>
  <si>
    <t>MOCHAMAD RANGGA BINTANG MANGGALA</t>
  </si>
  <si>
    <t>3211130707940004</t>
  </si>
  <si>
    <t>74.713.130.8-446.000</t>
  </si>
  <si>
    <t>Perum Graha Alana B6-17 RT 001 RW 009 Kel Kuningan Kec Kuningan Kab Kuningan Jawa Barat</t>
  </si>
  <si>
    <t>013301053846507</t>
  </si>
  <si>
    <t>Mochamad Rangga Bintang Manggala</t>
  </si>
  <si>
    <t>ranggabintang07@gmail.com</t>
  </si>
  <si>
    <t>DENDHY VICI BUANA</t>
  </si>
  <si>
    <t>3302102812960002</t>
  </si>
  <si>
    <t>90.085.675.8-521.000</t>
  </si>
  <si>
    <t>KP BULEUD RT 07/03 DESA JATI KEC TAROGONG KALER KAB GARUT JAWA BARAT</t>
  </si>
  <si>
    <t>0381992307</t>
  </si>
  <si>
    <t>BNI</t>
  </si>
  <si>
    <t>dendhydeadpool28@gmail.com</t>
  </si>
  <si>
    <t>GUMILAR SEPTIADI</t>
  </si>
  <si>
    <t>3208130309900004</t>
  </si>
  <si>
    <t>76.189.871.7-426.000</t>
  </si>
  <si>
    <t>Blok V RT 07 RW 03 Desa Surakarta Kecamatan Suranenggala Kabupaten Cirebon Jawa Barat</t>
  </si>
  <si>
    <t>0100167691</t>
  </si>
  <si>
    <t>Pospay</t>
  </si>
  <si>
    <t>Gumilar Septiadi</t>
  </si>
  <si>
    <t>gmeila20mar@gmail.com</t>
  </si>
  <si>
    <t>BANDI, SE</t>
  </si>
  <si>
    <t>3273232004750002</t>
  </si>
  <si>
    <t>67.933.578.6-424.000</t>
  </si>
  <si>
    <t>Dusun Sidamulya Rt. 001 Rw. 13 Desa Bojong Gedang Kec Rancah Kab Ciamis Jawa Barat</t>
  </si>
  <si>
    <t>1088801570024497</t>
  </si>
  <si>
    <t>BTN</t>
  </si>
  <si>
    <t>Bandi</t>
  </si>
  <si>
    <t>975386992@posindonesia.co.id</t>
  </si>
  <si>
    <t xml:space="preserve">Rohim </t>
  </si>
  <si>
    <t>RISZWENDY JUNIED</t>
  </si>
  <si>
    <t>3212162906920001</t>
  </si>
  <si>
    <t>75.097.389.3-437.000</t>
  </si>
  <si>
    <t>Jl Ismail No 09 RT 08 Rw 02 Ds Dermayu Kec. Sindang Kab Indramayu Jawa Barat</t>
  </si>
  <si>
    <t>3030661051</t>
  </si>
  <si>
    <t>Riszwendy Junied</t>
  </si>
  <si>
    <t>wendyjunied@gmail.com</t>
  </si>
  <si>
    <t>RONY SANDI SUHAERI</t>
  </si>
  <si>
    <t>3273240306880004</t>
  </si>
  <si>
    <t>72.769.270.9-429.000</t>
  </si>
  <si>
    <t>Jl.Terusan Pesantren I No.C/31 RT.001/RW.016, Kel.Sukamiskin, Kec.Arcamanik, Kota Bandung</t>
  </si>
  <si>
    <t>040701016095502</t>
  </si>
  <si>
    <t>rony.sandi07@gmail.com</t>
  </si>
  <si>
    <t>08999490917</t>
  </si>
  <si>
    <t xml:space="preserve">SUSILO </t>
  </si>
  <si>
    <t>3314090106770003</t>
  </si>
  <si>
    <t>TEGUH JALAR RT 008 RW 002 KEL. PLUMBUNGAN KEC. KARANGMALANG, KAB. SRAGEN</t>
  </si>
  <si>
    <t>014001049870507</t>
  </si>
  <si>
    <t>hafizsusilo77@gmail.com</t>
  </si>
  <si>
    <t>0812-2645-852</t>
  </si>
  <si>
    <t>No</t>
  </si>
  <si>
    <t>Nama Mitra Retail</t>
  </si>
  <si>
    <t>Kode Mitra</t>
  </si>
  <si>
    <t>PIC MITRA</t>
  </si>
  <si>
    <t>SKEMA</t>
  </si>
  <si>
    <t>NO REK</t>
  </si>
  <si>
    <t>MAPS</t>
  </si>
  <si>
    <t>JAM PICKUP</t>
  </si>
  <si>
    <t xml:space="preserve">KIRIMAN </t>
  </si>
  <si>
    <t>PT. PERFORMA INTEGRASI INFORMASI</t>
  </si>
  <si>
    <t>[PII]</t>
  </si>
  <si>
    <t>UDI PRAYOKO</t>
  </si>
  <si>
    <t xml:space="preserve">HOLD </t>
  </si>
  <si>
    <t>3273263005790004</t>
  </si>
  <si>
    <t>JL. KALIJATI ANTAPANI</t>
  </si>
  <si>
    <t>https://maps.app.goo.gl/wfYRxJp1VgSefFKf8</t>
  </si>
  <si>
    <t>SITUASIONAL</t>
  </si>
  <si>
    <t>PENGADILAN TATA USAHA NEGARA</t>
  </si>
  <si>
    <t>[PTUN]</t>
  </si>
  <si>
    <t>SURYA GV</t>
  </si>
  <si>
    <t>038901013980508 </t>
  </si>
  <si>
    <t>SURYA GANDA VITRIADIN</t>
  </si>
  <si>
    <t>60.039.152.8-421.000</t>
  </si>
  <si>
    <t>JL. DIPONEGORO</t>
  </si>
  <si>
    <t>JAM 16.30</t>
  </si>
  <si>
    <t>BANK BJB TAMANSARI</t>
  </si>
  <si>
    <t>[BJB]</t>
  </si>
  <si>
    <t>HENDI DERMAWAN</t>
  </si>
  <si>
    <t>BJB</t>
  </si>
  <si>
    <t>0010387507100</t>
  </si>
  <si>
    <t>BJB TAMANSARI</t>
  </si>
  <si>
    <t>3217111211870012</t>
  </si>
  <si>
    <t>JL. TAMANSARI</t>
  </si>
  <si>
    <t>KAFFA INDONESIA</t>
  </si>
  <si>
    <t>[KAFFA]</t>
  </si>
  <si>
    <t>MINDY</t>
  </si>
  <si>
    <t>58.319.792.6-443.000</t>
  </si>
  <si>
    <t>JL. GOLF</t>
  </si>
  <si>
    <t>JAM 15.30</t>
  </si>
  <si>
    <t>TULIPWARE</t>
  </si>
  <si>
    <t>[TULWR]</t>
  </si>
  <si>
    <t>SOLEH RAMADAN</t>
  </si>
  <si>
    <t>MANDIRI</t>
  </si>
  <si>
    <t>1310018884983</t>
  </si>
  <si>
    <t>93.057.614.5-421.000</t>
  </si>
  <si>
    <t>32277020912990001</t>
  </si>
  <si>
    <t>JL. WASTUKENCANA</t>
  </si>
  <si>
    <t>THE BEST</t>
  </si>
  <si>
    <t>[BEST]</t>
  </si>
  <si>
    <t>YAYAN</t>
  </si>
  <si>
    <t>JL. CUKANG KAWUNG</t>
  </si>
  <si>
    <t>JAM 18.00</t>
  </si>
  <si>
    <t>PAK GHANI (ORGANIK POS)</t>
  </si>
  <si>
    <t>[GHN]</t>
  </si>
  <si>
    <t>GHANI HAERUMAN</t>
  </si>
  <si>
    <t>210401000081301</t>
  </si>
  <si>
    <t xml:space="preserve">PT CIPTA USAHA MAKMUR </t>
  </si>
  <si>
    <t>ORGANIK POS</t>
  </si>
  <si>
    <t>PERSATUAN DOKTER GIGI INDONESIA</t>
  </si>
  <si>
    <t>[PDGI]</t>
  </si>
  <si>
    <t>HADI</t>
  </si>
  <si>
    <t>JL. RERENG ADUMANIS</t>
  </si>
  <si>
    <t>USNADI</t>
  </si>
  <si>
    <t>USNADI ARDI</t>
  </si>
  <si>
    <t>075801040553533</t>
  </si>
  <si>
    <t>3273162704740002</t>
  </si>
  <si>
    <t>JL.SUKAKARYA I RT/RW 004/012, KEL.CICAHEUM, KEC.KIARACONDONG, KOTA BANDUNG</t>
  </si>
  <si>
    <t>MARVEL SHOP</t>
  </si>
  <si>
    <t>JL. SUKAHARJA NO. 230, KEL. SUKAPADA</t>
  </si>
  <si>
    <t xml:space="preserve"> LNS LEATHER</t>
  </si>
  <si>
    <t>JL. CIKUTRA BARAT BELAKANG NO. 115, KEL. SUKALUYU</t>
  </si>
  <si>
    <t>PAK ABDUL (AGP GATSU)</t>
  </si>
  <si>
    <t>[ABDUL]</t>
  </si>
  <si>
    <t>ABDUL ROHMAN YUSTARDI</t>
  </si>
  <si>
    <t>1560064809</t>
  </si>
  <si>
    <t>ABDUL ROHMAN</t>
  </si>
  <si>
    <t>476312160424000</t>
  </si>
  <si>
    <t>3273121205730001</t>
  </si>
  <si>
    <t xml:space="preserve"> JL. SALAK NO.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</si>
</sst>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&quot;/&quot;mmmm&quot;/&quot;yyyy"/>
    <numFmt numFmtId="165" formatCode="[$-421]dd\ mmmm\ yyyy"/>
    <numFmt numFmtId="166" formatCode="[$-13809]d\ mmm\ yyyy"/>
    <numFmt numFmtId="167" formatCode="_-* #,##0_-;\-* #,##0_-;_-* &quot;-&quot;??_-;_-@"/>
    <numFmt numFmtId="168" formatCode="_(* #,##0_);_(* \(#,##0\);_(* &quot;-&quot;??_);_(@_)"/>
  </numFmts>
  <fonts count="21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color theme="1"/>
      <name val="Verdana"/>
    </font>
    <font>
      <u/>
      <sz val="11.0"/>
      <color theme="10"/>
      <name val="Calibri"/>
    </font>
    <font>
      <sz val="11.0"/>
      <color rgb="FFFF0000"/>
      <name val="Calibri"/>
    </font>
    <font>
      <u/>
      <sz val="11.0"/>
      <color theme="10"/>
      <name val="Calibri"/>
    </font>
    <font/>
    <font>
      <sz val="10.0"/>
      <color theme="1"/>
      <name val="Calibri"/>
    </font>
    <font>
      <sz val="10.0"/>
      <color theme="1"/>
      <name val="Arial"/>
    </font>
    <font>
      <u/>
      <color rgb="FF0000FF"/>
    </font>
    <font>
      <sz val="8.0"/>
      <color theme="1"/>
      <name val="Calibri"/>
    </font>
    <font>
      <sz val="10.0"/>
      <color rgb="FFFF0000"/>
      <name val="Calibri"/>
    </font>
    <font>
      <b/>
      <sz val="10.0"/>
      <color rgb="FFFFFFFF"/>
      <name val="Calibri"/>
    </font>
    <font>
      <sz val="10.0"/>
      <color rgb="FF00000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b/>
      <sz val="11.0"/>
      <color theme="0"/>
      <name val="Calibri"/>
    </font>
    <font>
      <b/>
      <sz val="10.0"/>
      <color theme="0"/>
      <name val="Calibri"/>
    </font>
    <font>
      <sz val="11.0"/>
      <color theme="0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C8C8C8"/>
        <bgColor rgb="FFC8C8C8"/>
      </patternFill>
    </fill>
    <fill>
      <patternFill patternType="solid">
        <fgColor rgb="FFBFBFBF"/>
        <bgColor rgb="FFBFBFBF"/>
      </patternFill>
    </fill>
    <fill>
      <patternFill patternType="solid">
        <fgColor rgb="FFF7CB4D"/>
        <bgColor rgb="FFF7CB4D"/>
      </patternFill>
    </fill>
    <fill>
      <patternFill patternType="solid">
        <fgColor rgb="FFFFFFFF"/>
        <bgColor rgb="FFFFFFFF"/>
      </patternFill>
    </fill>
    <fill>
      <patternFill patternType="solid">
        <fgColor rgb="FFFEF8E3"/>
        <bgColor rgb="FFFEF8E3"/>
      </patternFill>
    </fill>
    <fill>
      <patternFill patternType="solid">
        <fgColor rgb="FF000000"/>
        <bgColor rgb="FF000000"/>
      </patternFill>
    </fill>
    <fill>
      <patternFill patternType="solid">
        <fgColor theme="1"/>
        <bgColor theme="1"/>
      </patternFill>
    </fill>
    <fill>
      <patternFill patternType="solid">
        <fgColor rgb="FFA8D08D"/>
        <bgColor rgb="FFA8D08D"/>
      </patternFill>
    </fill>
  </fills>
  <borders count="2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/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/>
      <bottom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18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Font="1"/>
    <xf borderId="0" fillId="0" fontId="2" numFmtId="0" xfId="0" applyAlignment="1" applyFont="1">
      <alignment horizontal="center"/>
    </xf>
    <xf borderId="0" fillId="0" fontId="2" numFmtId="16" xfId="0" applyFont="1" applyNumberFormat="1"/>
    <xf borderId="1" fillId="2" fontId="3" numFmtId="0" xfId="0" applyAlignment="1" applyBorder="1" applyFill="1" applyFont="1">
      <alignment horizontal="center"/>
    </xf>
    <xf borderId="2" fillId="3" fontId="2" numFmtId="0" xfId="0" applyBorder="1" applyFill="1" applyFont="1"/>
    <xf borderId="3" fillId="0" fontId="2" numFmtId="0" xfId="0" applyAlignment="1" applyBorder="1" applyFont="1">
      <alignment horizontal="right" vertical="bottom"/>
    </xf>
    <xf borderId="3" fillId="0" fontId="2" numFmtId="164" xfId="0" applyAlignment="1" applyBorder="1" applyFont="1" applyNumberFormat="1">
      <alignment horizontal="right" vertical="bottom"/>
    </xf>
    <xf borderId="3" fillId="0" fontId="4" numFmtId="0" xfId="0" applyAlignment="1" applyBorder="1" applyFont="1">
      <alignment vertical="bottom"/>
    </xf>
    <xf borderId="2" fillId="3" fontId="3" numFmtId="0" xfId="0" applyAlignment="1" applyBorder="1" applyFill="1" applyFont="1">
      <alignment horizontal="left"/>
    </xf>
    <xf borderId="0" fillId="0" fontId="1" numFmtId="0" xfId="0" applyAlignment="1" applyFont="1">
      <alignment readingOrder="0"/>
    </xf>
    <xf borderId="3" fillId="0" fontId="2" numFmtId="0" xfId="0" applyAlignment="1" applyBorder="1" applyFont="1">
      <alignment vertical="bottom"/>
    </xf>
    <xf borderId="0" fillId="0" fontId="5" numFmtId="0" xfId="0" applyFont="1"/>
    <xf borderId="0" fillId="0" fontId="6" numFmtId="0" xfId="0" applyAlignment="1" applyFont="1">
      <alignment horizontal="center"/>
    </xf>
    <xf borderId="3" fillId="0" fontId="2" numFmtId="0" xfId="0" applyAlignment="1" applyBorder="1" applyFont="1">
      <alignment horizontal="center" vertical="bottom"/>
    </xf>
    <xf borderId="3" fillId="0" fontId="2" numFmtId="49" xfId="0" applyAlignment="1" applyBorder="1" applyFont="1" applyNumberFormat="1">
      <alignment vertical="bottom"/>
    </xf>
    <xf borderId="0" fillId="0" fontId="2" numFmtId="0" xfId="0" applyAlignment="1" applyFont="1">
      <alignment horizontal="left"/>
    </xf>
    <xf borderId="3" fillId="0" fontId="4" numFmtId="49" xfId="0" applyAlignment="1" applyBorder="1" applyFont="1" applyNumberFormat="1">
      <alignment vertical="bottom"/>
    </xf>
    <xf quotePrefix="1" borderId="0" fillId="0" fontId="7" numFmtId="0" xfId="0" applyFont="1"/>
    <xf quotePrefix="1" borderId="0" fillId="0" fontId="2" numFmtId="0" xfId="0" applyFont="1"/>
    <xf borderId="0" fillId="0" fontId="2" numFmtId="0" xfId="0" applyAlignment="1" applyFont="1">
      <alignment horizontal="left" vertical="top"/>
    </xf>
    <xf borderId="4" fillId="2" fontId="3" numFmtId="0" xfId="0" applyAlignment="1" applyBorder="1" applyFill="1" applyFont="1">
      <alignment horizontal="center" vertical="center"/>
    </xf>
    <xf borderId="0" fillId="0" fontId="2" numFmtId="0" xfId="0" applyAlignment="1" applyFont="1">
      <alignment vertical="top"/>
    </xf>
    <xf borderId="0" fillId="0" fontId="4" numFmtId="0" xfId="0" applyAlignment="1" applyFont="1">
      <alignment vertical="bottom"/>
    </xf>
    <xf borderId="5" fillId="0" fontId="8" numFmtId="0" xfId="0" applyBorder="1" applyFont="1"/>
    <xf borderId="3" fillId="0" fontId="2" numFmtId="0" xfId="0" applyBorder="1" applyFont="1"/>
    <xf borderId="6" fillId="2" fontId="3" numFmtId="0" xfId="0" applyAlignment="1" applyBorder="1" applyFill="1" applyFont="1">
      <alignment horizontal="center"/>
    </xf>
    <xf borderId="7" fillId="0" fontId="8" numFmtId="0" xfId="0" applyBorder="1" applyFont="1"/>
    <xf borderId="0" fillId="0" fontId="2" numFmtId="0" xfId="0" applyAlignment="1" applyFont="1">
      <alignment horizontal="left" shrinkToFit="0" vertical="top" wrapText="1"/>
    </xf>
    <xf borderId="8" fillId="0" fontId="8" numFmtId="0" xfId="0" applyBorder="1" applyFont="1"/>
    <xf borderId="1" fillId="2" fontId="3" numFmtId="0" xfId="0" applyAlignment="1" applyBorder="1" applyFill="1" applyFont="1">
      <alignment horizontal="center" shrinkToFit="0" wrapText="1"/>
    </xf>
    <xf borderId="3" fillId="2" fontId="4" numFmtId="0" xfId="0" applyBorder="1" applyFill="1" applyFont="1"/>
    <xf borderId="6" fillId="2" fontId="3" numFmtId="0" xfId="0" applyAlignment="1" applyBorder="1" applyFill="1" applyFont="1">
      <alignment horizontal="center" vertical="bottom"/>
    </xf>
    <xf borderId="0" fillId="0" fontId="9" numFmtId="0" xfId="0" applyAlignment="1" applyFont="1">
      <alignment horizontal="left"/>
    </xf>
    <xf borderId="1" fillId="2" fontId="2" numFmtId="0" xfId="0" applyAlignment="1" applyBorder="1" applyFill="1" applyFont="1">
      <alignment horizontal="center"/>
    </xf>
    <xf borderId="1" fillId="2" fontId="3" numFmtId="49" xfId="0" applyAlignment="1" applyBorder="1" applyFill="1" applyFont="1" applyNumberFormat="1">
      <alignment horizontal="center"/>
    </xf>
    <xf borderId="9" fillId="2" fontId="3" numFmtId="0" xfId="0" applyAlignment="1" applyBorder="1" applyFill="1" applyFont="1">
      <alignment horizontal="center" vertical="center"/>
    </xf>
    <xf borderId="10" fillId="2" fontId="3" numFmtId="0" xfId="0" applyAlignment="1" applyBorder="1" applyFill="1" applyFont="1">
      <alignment horizontal="center" vertical="center"/>
    </xf>
    <xf borderId="1" fillId="2" fontId="3" numFmtId="49" xfId="0" applyAlignment="1" applyBorder="1" applyFill="1" applyFont="1" applyNumberFormat="1">
      <alignment horizontal="center" shrinkToFit="0" wrapText="1"/>
    </xf>
    <xf borderId="3" fillId="0" fontId="9" numFmtId="0" xfId="0" applyBorder="1" applyFont="1"/>
    <xf borderId="3" fillId="2" fontId="3" numFmtId="49" xfId="0" applyAlignment="1" applyBorder="1" applyFill="1" applyFont="1" applyNumberFormat="1">
      <alignment horizontal="center" shrinkToFit="0" wrapText="1"/>
    </xf>
    <xf borderId="1" fillId="2" fontId="3" numFmtId="0" xfId="0" applyAlignment="1" applyBorder="1" applyFill="1" applyFont="1">
      <alignment horizontal="center" vertical="center"/>
    </xf>
    <xf borderId="3" fillId="2" fontId="3" numFmtId="0" xfId="0" applyAlignment="1" applyBorder="1" applyFill="1" applyFont="1">
      <alignment horizontal="center"/>
    </xf>
    <xf borderId="3" fillId="2" fontId="3" numFmtId="0" xfId="0" applyBorder="1" applyFill="1" applyFont="1"/>
    <xf borderId="1" fillId="2" fontId="3" numFmtId="0" xfId="0" applyAlignment="1" applyBorder="1" applyFill="1" applyFont="1">
      <alignment horizontal="center" shrinkToFit="0" vertical="center" wrapText="1"/>
    </xf>
    <xf borderId="1" fillId="2" fontId="3" numFmtId="0" xfId="0" applyBorder="1" applyFill="1" applyFont="1"/>
    <xf borderId="3" fillId="2" fontId="3" numFmtId="0" xfId="0" applyAlignment="1" applyBorder="1" applyFill="1" applyFont="1">
      <alignment horizontal="center" vertical="center"/>
    </xf>
    <xf borderId="3" fillId="2" fontId="3" numFmtId="0" xfId="0" applyAlignment="1" applyBorder="1" applyFill="1" applyFont="1">
      <alignment vertical="bottom"/>
    </xf>
    <xf borderId="3" fillId="2" fontId="4" numFmtId="0" xfId="0" applyAlignment="1" applyBorder="1" applyFill="1" applyFont="1">
      <alignment vertical="bottom"/>
    </xf>
    <xf borderId="4" fillId="2" fontId="4" numFmtId="0" xfId="0" applyAlignment="1" applyBorder="1" applyFill="1" applyFont="1">
      <alignment vertical="bottom"/>
    </xf>
    <xf borderId="11" fillId="2" fontId="4" numFmtId="0" xfId="0" applyAlignment="1" applyBorder="1" applyFill="1" applyFont="1">
      <alignment vertical="bottom"/>
    </xf>
    <xf borderId="11" fillId="2" fontId="3" numFmtId="0" xfId="0" applyAlignment="1" applyBorder="1" applyFill="1" applyFont="1">
      <alignment vertical="bottom"/>
    </xf>
    <xf borderId="12" fillId="2" fontId="4" numFmtId="0" xfId="0" applyAlignment="1" applyBorder="1" applyFill="1" applyFont="1">
      <alignment vertical="bottom"/>
    </xf>
    <xf borderId="13" fillId="0" fontId="8" numFmtId="0" xfId="0" applyBorder="1" applyFont="1"/>
    <xf borderId="14" fillId="0" fontId="8" numFmtId="0" xfId="0" applyBorder="1" applyFont="1"/>
    <xf borderId="15" fillId="2" fontId="3" numFmtId="0" xfId="0" applyAlignment="1" applyBorder="1" applyFill="1" applyFont="1">
      <alignment horizontal="center" vertical="bottom"/>
    </xf>
    <xf borderId="16" fillId="0" fontId="8" numFmtId="0" xfId="0" applyBorder="1" applyFont="1"/>
    <xf borderId="0" fillId="0" fontId="2" numFmtId="0" xfId="0" applyAlignment="1" applyFont="1">
      <alignment shrinkToFit="0" wrapText="1"/>
    </xf>
    <xf borderId="3" fillId="2" fontId="3" numFmtId="165" xfId="0" applyAlignment="1" applyBorder="1" applyFill="1" applyFont="1" applyNumberFormat="1">
      <alignment horizontal="center" shrinkToFit="0" wrapText="1"/>
    </xf>
    <xf borderId="1" fillId="2" fontId="3" numFmtId="0" xfId="0" applyAlignment="1" applyBorder="1" applyFill="1" applyFont="1">
      <alignment horizontal="left" vertical="center"/>
    </xf>
    <xf borderId="3" fillId="2" fontId="3" numFmtId="0" xfId="0" applyAlignment="1" applyBorder="1" applyFill="1" applyFont="1">
      <alignment horizontal="center" shrinkToFit="0" wrapText="1"/>
    </xf>
    <xf borderId="3" fillId="2" fontId="3" numFmtId="164" xfId="0" applyAlignment="1" applyBorder="1" applyFill="1" applyFont="1" applyNumberFormat="1">
      <alignment horizontal="center"/>
    </xf>
    <xf borderId="17" fillId="0" fontId="8" numFmtId="0" xfId="0" applyBorder="1" applyFont="1"/>
    <xf borderId="3" fillId="2" fontId="3" numFmtId="0" xfId="0" applyAlignment="1" applyBorder="1" applyFill="1" applyFont="1">
      <alignment horizontal="center" readingOrder="0"/>
    </xf>
    <xf borderId="2" fillId="4" fontId="2" numFmtId="0" xfId="0" applyBorder="1" applyFill="1" applyFont="1"/>
    <xf borderId="18" fillId="2" fontId="3" numFmtId="0" xfId="0" applyAlignment="1" applyBorder="1" applyFill="1" applyFont="1">
      <alignment horizontal="center" vertical="center"/>
    </xf>
    <xf borderId="3" fillId="2" fontId="4" numFmtId="49" xfId="0" applyBorder="1" applyFill="1" applyFont="1" applyNumberFormat="1"/>
    <xf borderId="19" fillId="2" fontId="3" numFmtId="0" xfId="0" applyAlignment="1" applyBorder="1" applyFill="1" applyFont="1">
      <alignment horizontal="center" vertical="center"/>
    </xf>
    <xf borderId="4" fillId="2" fontId="3" numFmtId="0" xfId="0" applyAlignment="1" applyBorder="1" applyFill="1" applyFont="1">
      <alignment horizontal="center" shrinkToFit="0" vertical="center" wrapText="1"/>
    </xf>
    <xf borderId="3" fillId="2" fontId="2" numFmtId="0" xfId="0" applyBorder="1" applyFill="1" applyFont="1"/>
    <xf borderId="3" fillId="0" fontId="4" numFmtId="0" xfId="0" applyBorder="1" applyFont="1"/>
    <xf borderId="20" fillId="2" fontId="3" numFmtId="0" xfId="0" applyAlignment="1" applyBorder="1" applyFill="1" applyFont="1">
      <alignment horizontal="center" vertical="center"/>
    </xf>
    <xf borderId="0" fillId="0" fontId="4" numFmtId="0" xfId="0" applyFont="1"/>
    <xf borderId="20" fillId="2" fontId="3" numFmtId="0" xfId="0" applyAlignment="1" applyBorder="1" applyFill="1" applyFont="1">
      <alignment horizontal="center" shrinkToFit="0" vertical="center" wrapText="1"/>
    </xf>
    <xf borderId="0" fillId="5" fontId="1" numFmtId="0" xfId="0" applyFill="1" applyFont="1"/>
    <xf quotePrefix="1" borderId="3" fillId="0" fontId="2" numFmtId="0" xfId="0" applyBorder="1" applyFont="1"/>
    <xf borderId="0" fillId="5" fontId="1" numFmtId="164" xfId="0" applyFill="1" applyFont="1" applyNumberFormat="1"/>
    <xf borderId="0" fillId="5" fontId="1" numFmtId="165" xfId="0" applyFill="1" applyFont="1" applyNumberFormat="1"/>
    <xf borderId="0" fillId="5" fontId="1" numFmtId="49" xfId="0" applyFill="1" applyFont="1" applyNumberFormat="1"/>
    <xf borderId="0" fillId="6" fontId="1" numFmtId="0" xfId="0" applyFill="1" applyFont="1"/>
    <xf borderId="0" fillId="6" fontId="1" numFmtId="164" xfId="0" applyFill="1" applyFont="1" applyNumberFormat="1"/>
    <xf borderId="0" fillId="6" fontId="1" numFmtId="165" xfId="0" applyFill="1" applyFont="1" applyNumberFormat="1"/>
    <xf borderId="0" fillId="6" fontId="1" numFmtId="49" xfId="0" applyFill="1" applyFont="1" applyNumberFormat="1"/>
    <xf borderId="3" fillId="0" fontId="2" numFmtId="166" xfId="0" applyBorder="1" applyFont="1" applyNumberFormat="1"/>
    <xf borderId="0" fillId="7" fontId="1" numFmtId="0" xfId="0" applyFill="1" applyFont="1"/>
    <xf borderId="0" fillId="7" fontId="1" numFmtId="164" xfId="0" applyFill="1" applyFont="1" applyNumberFormat="1"/>
    <xf borderId="0" fillId="0" fontId="2" numFmtId="11" xfId="0" applyFont="1" applyNumberFormat="1"/>
    <xf borderId="0" fillId="7" fontId="1" numFmtId="165" xfId="0" applyFill="1" applyFont="1" applyNumberFormat="1"/>
    <xf borderId="3" fillId="0" fontId="2" numFmtId="0" xfId="0" applyAlignment="1" applyBorder="1" applyFont="1">
      <alignment horizontal="left"/>
    </xf>
    <xf borderId="3" fillId="0" fontId="2" numFmtId="0" xfId="0" applyAlignment="1" applyBorder="1" applyFont="1">
      <alignment horizontal="center"/>
    </xf>
    <xf borderId="3" fillId="0" fontId="9" numFmtId="0" xfId="0" applyAlignment="1" applyBorder="1" applyFont="1">
      <alignment horizontal="left"/>
    </xf>
    <xf borderId="6" fillId="2" fontId="3" numFmtId="0" xfId="0" applyAlignment="1" applyBorder="1" applyFill="1" applyFont="1">
      <alignment horizontal="center" vertical="center"/>
    </xf>
    <xf borderId="0" fillId="7" fontId="1" numFmtId="49" xfId="0" applyFill="1" applyFont="1" applyNumberFormat="1"/>
    <xf borderId="3" fillId="2" fontId="3" numFmtId="166" xfId="0" applyAlignment="1" applyBorder="1" applyFill="1" applyFont="1" applyNumberFormat="1">
      <alignment horizontal="center" vertical="center"/>
    </xf>
    <xf borderId="3" fillId="2" fontId="3" numFmtId="0" xfId="0" applyAlignment="1" applyBorder="1" applyFill="1" applyFont="1">
      <alignment horizontal="center" shrinkToFit="0" vertical="center" wrapText="1"/>
    </xf>
    <xf borderId="3" fillId="0" fontId="2" numFmtId="0" xfId="0" applyAlignment="1" applyBorder="1" applyFont="1">
      <alignment readingOrder="0"/>
    </xf>
    <xf quotePrefix="1" borderId="3" fillId="0" fontId="2" numFmtId="0" xfId="0" applyAlignment="1" applyBorder="1" applyFont="1">
      <alignment readingOrder="0"/>
    </xf>
    <xf quotePrefix="1" borderId="0" fillId="0" fontId="10" numFmtId="0" xfId="0" applyFont="1"/>
    <xf borderId="0" fillId="6" fontId="1" numFmtId="0" xfId="0" applyAlignment="1" applyFill="1" applyFont="1">
      <alignment readingOrder="0"/>
    </xf>
    <xf borderId="3" fillId="0" fontId="2" numFmtId="14" xfId="0" applyBorder="1" applyFont="1" applyNumberFormat="1"/>
    <xf borderId="0" fillId="7" fontId="11" numFmtId="0" xfId="0" applyFill="1" applyFont="1"/>
    <xf quotePrefix="1" borderId="5" fillId="0" fontId="2" numFmtId="0" xfId="0" applyBorder="1" applyFont="1"/>
    <xf quotePrefix="1" borderId="3" fillId="0" fontId="12" numFmtId="0" xfId="0" applyBorder="1" applyFont="1"/>
    <xf borderId="3" fillId="0" fontId="6" numFmtId="0" xfId="0" applyBorder="1" applyFont="1"/>
    <xf quotePrefix="1" borderId="3" fillId="0" fontId="6" numFmtId="0" xfId="0" applyBorder="1" applyFont="1"/>
    <xf borderId="3" fillId="0" fontId="13" numFmtId="0" xfId="0" applyBorder="1" applyFont="1"/>
    <xf borderId="3" fillId="0" fontId="2" numFmtId="16" xfId="0" applyBorder="1" applyFont="1" applyNumberFormat="1"/>
    <xf quotePrefix="1" borderId="3" fillId="0" fontId="2" numFmtId="0" xfId="0" applyAlignment="1" applyBorder="1" applyFont="1">
      <alignment shrinkToFit="0" wrapText="1"/>
    </xf>
    <xf borderId="0" fillId="0" fontId="9" numFmtId="0" xfId="0" applyFont="1"/>
    <xf borderId="3" fillId="8" fontId="14" numFmtId="167" xfId="0" applyAlignment="1" applyBorder="1" applyFill="1" applyFont="1" applyNumberFormat="1">
      <alignment horizontal="center" shrinkToFit="0" vertical="center" wrapText="1"/>
    </xf>
    <xf borderId="3" fillId="0" fontId="15" numFmtId="0" xfId="0" applyAlignment="1" applyBorder="1" applyFont="1">
      <alignment horizontal="left" vertical="center"/>
    </xf>
    <xf borderId="3" fillId="0" fontId="9" numFmtId="49" xfId="0" applyAlignment="1" applyBorder="1" applyFont="1" applyNumberFormat="1">
      <alignment vertical="center"/>
    </xf>
    <xf borderId="8" fillId="0" fontId="9" numFmtId="0" xfId="0" applyAlignment="1" applyBorder="1" applyFont="1">
      <alignment horizontal="left" vertical="center"/>
    </xf>
    <xf borderId="0" fillId="0" fontId="9" numFmtId="0" xfId="0" applyAlignment="1" applyFont="1">
      <alignment horizontal="center" vertical="center"/>
    </xf>
    <xf borderId="0" fillId="0" fontId="9" numFmtId="0" xfId="0" applyAlignment="1" applyFont="1">
      <alignment horizontal="left" vertical="center"/>
    </xf>
    <xf borderId="3" fillId="0" fontId="15" numFmtId="0" xfId="0" applyAlignment="1" applyBorder="1" applyFont="1">
      <alignment horizontal="left" vertical="top"/>
    </xf>
    <xf borderId="3" fillId="0" fontId="15" numFmtId="0" xfId="0" applyAlignment="1" applyBorder="1" applyFont="1">
      <alignment horizontal="left" shrinkToFit="0" vertical="top" wrapText="1"/>
    </xf>
    <xf quotePrefix="1" borderId="3" fillId="0" fontId="15" numFmtId="0" xfId="0" applyAlignment="1" applyBorder="1" applyFont="1">
      <alignment horizontal="left" shrinkToFit="0" vertical="top" wrapText="1"/>
    </xf>
    <xf borderId="3" fillId="0" fontId="15" numFmtId="0" xfId="0" applyAlignment="1" applyBorder="1" applyFont="1">
      <alignment horizontal="center" vertical="top"/>
    </xf>
    <xf quotePrefix="1" borderId="3" fillId="0" fontId="9" numFmtId="0" xfId="0" applyBorder="1" applyFont="1"/>
    <xf borderId="8" fillId="0" fontId="9" numFmtId="0" xfId="0" applyAlignment="1" applyBorder="1" applyFont="1">
      <alignment horizontal="left" vertical="top"/>
    </xf>
    <xf borderId="0" fillId="0" fontId="9" numFmtId="0" xfId="0" applyAlignment="1" applyFont="1">
      <alignment horizontal="center" vertical="top"/>
    </xf>
    <xf borderId="0" fillId="0" fontId="9" numFmtId="0" xfId="0" applyAlignment="1" applyFont="1">
      <alignment horizontal="left" vertical="top"/>
    </xf>
    <xf borderId="3" fillId="0" fontId="9" numFmtId="0" xfId="0" applyAlignment="1" applyBorder="1" applyFont="1">
      <alignment vertical="center"/>
    </xf>
    <xf borderId="3" fillId="0" fontId="15" numFmtId="49" xfId="0" applyAlignment="1" applyBorder="1" applyFont="1" applyNumberFormat="1">
      <alignment vertical="center"/>
    </xf>
    <xf borderId="3" fillId="0" fontId="15" numFmtId="0" xfId="0" applyAlignment="1" applyBorder="1" applyFont="1">
      <alignment vertical="center"/>
    </xf>
    <xf borderId="0" fillId="0" fontId="9" numFmtId="0" xfId="0" applyAlignment="1" applyFont="1">
      <alignment vertical="center"/>
    </xf>
    <xf borderId="3" fillId="0" fontId="9" numFmtId="0" xfId="0" applyAlignment="1" applyBorder="1" applyFont="1">
      <alignment horizontal="left" vertical="center"/>
    </xf>
    <xf quotePrefix="1" borderId="3" fillId="0" fontId="9" numFmtId="49" xfId="0" applyAlignment="1" applyBorder="1" applyFont="1" applyNumberFormat="1">
      <alignment vertical="center"/>
    </xf>
    <xf borderId="3" fillId="0" fontId="9" numFmtId="49" xfId="0" applyAlignment="1" applyBorder="1" applyFont="1" applyNumberFormat="1">
      <alignment horizontal="left" vertical="center"/>
    </xf>
    <xf borderId="8" fillId="0" fontId="15" numFmtId="0" xfId="0" applyAlignment="1" applyBorder="1" applyFont="1">
      <alignment horizontal="left" vertical="center"/>
    </xf>
    <xf borderId="3" fillId="0" fontId="15" numFmtId="0" xfId="0" applyAlignment="1" applyBorder="1" applyFont="1">
      <alignment vertical="top"/>
    </xf>
    <xf borderId="0" fillId="0" fontId="9" numFmtId="0" xfId="0" applyAlignment="1" applyFont="1">
      <alignment vertical="top"/>
    </xf>
    <xf borderId="0" fillId="0" fontId="15" numFmtId="0" xfId="0" applyAlignment="1" applyFont="1">
      <alignment horizontal="left" shrinkToFit="0" vertical="top" wrapText="1"/>
    </xf>
    <xf borderId="0" fillId="0" fontId="15" numFmtId="0" xfId="0" applyAlignment="1" applyFont="1">
      <alignment horizontal="left" vertical="top"/>
    </xf>
    <xf borderId="0" fillId="0" fontId="15" numFmtId="0" xfId="0" applyAlignment="1" applyFont="1">
      <alignment horizontal="center" vertical="top"/>
    </xf>
    <xf borderId="6" fillId="0" fontId="9" numFmtId="0" xfId="0" applyAlignment="1" applyBorder="1" applyFont="1">
      <alignment horizontal="left" vertical="center"/>
    </xf>
    <xf borderId="3" fillId="0" fontId="15" numFmtId="3" xfId="0" applyAlignment="1" applyBorder="1" applyFont="1" applyNumberFormat="1">
      <alignment horizontal="left" vertical="center"/>
    </xf>
    <xf quotePrefix="1" borderId="3" fillId="0" fontId="9" numFmtId="0" xfId="0" applyAlignment="1" applyBorder="1" applyFont="1">
      <alignment vertical="center"/>
    </xf>
    <xf quotePrefix="1" borderId="3" fillId="0" fontId="15" numFmtId="3" xfId="0" applyAlignment="1" applyBorder="1" applyFont="1" applyNumberFormat="1">
      <alignment horizontal="left" vertical="center"/>
    </xf>
    <xf borderId="3" fillId="0" fontId="15" numFmtId="3" xfId="0" applyAlignment="1" applyBorder="1" applyFont="1" applyNumberFormat="1">
      <alignment horizontal="center" vertical="center"/>
    </xf>
    <xf borderId="3" fillId="0" fontId="9" numFmtId="49" xfId="0" applyAlignment="1" applyBorder="1" applyFont="1" applyNumberFormat="1">
      <alignment horizontal="left"/>
    </xf>
    <xf borderId="3" fillId="0" fontId="9" numFmtId="0" xfId="0" applyAlignment="1" applyBorder="1" applyFont="1">
      <alignment horizontal="left" shrinkToFit="0" vertical="top" wrapText="1"/>
    </xf>
    <xf borderId="4" fillId="2" fontId="15" numFmtId="3" xfId="0" applyAlignment="1" applyBorder="1" applyFill="1" applyFont="1" applyNumberFormat="1">
      <alignment horizontal="left" vertical="center"/>
    </xf>
    <xf quotePrefix="1" borderId="1" fillId="0" fontId="9" numFmtId="0" xfId="0" applyAlignment="1" applyBorder="1" applyFont="1">
      <alignment vertical="center"/>
    </xf>
    <xf quotePrefix="1" borderId="1" fillId="0" fontId="15" numFmtId="3" xfId="0" applyAlignment="1" applyBorder="1" applyFont="1" applyNumberFormat="1">
      <alignment horizontal="left" vertical="center"/>
    </xf>
    <xf borderId="1" fillId="0" fontId="15" numFmtId="3" xfId="0" applyAlignment="1" applyBorder="1" applyFont="1" applyNumberFormat="1">
      <alignment horizontal="left" vertical="center"/>
    </xf>
    <xf borderId="3" fillId="0" fontId="9" numFmtId="10" xfId="0" applyAlignment="1" applyBorder="1" applyFont="1" applyNumberFormat="1">
      <alignment horizontal="center"/>
    </xf>
    <xf borderId="1" fillId="0" fontId="16" numFmtId="3" xfId="0" applyAlignment="1" applyBorder="1" applyFont="1" applyNumberFormat="1">
      <alignment horizontal="left" vertical="center"/>
    </xf>
    <xf borderId="1" fillId="0" fontId="9" numFmtId="0" xfId="0" applyAlignment="1" applyBorder="1" applyFont="1">
      <alignment horizontal="left" shrinkToFit="0" vertical="top" wrapText="1"/>
    </xf>
    <xf borderId="3" fillId="2" fontId="9" numFmtId="0" xfId="0" applyBorder="1" applyFill="1" applyFont="1"/>
    <xf borderId="3" fillId="0" fontId="17" numFmtId="0" xfId="0" applyBorder="1" applyFont="1"/>
    <xf quotePrefix="1" borderId="3" fillId="0" fontId="9" numFmtId="0" xfId="0" applyAlignment="1" applyBorder="1" applyFont="1">
      <alignment shrinkToFit="0" wrapText="1"/>
    </xf>
    <xf borderId="0" fillId="0" fontId="9" numFmtId="0" xfId="0" applyAlignment="1" applyFont="1">
      <alignment horizontal="center"/>
    </xf>
    <xf borderId="3" fillId="0" fontId="9" numFmtId="0" xfId="0" applyAlignment="1" applyBorder="1" applyFont="1">
      <alignment horizontal="center"/>
    </xf>
    <xf quotePrefix="1" borderId="0" fillId="0" fontId="9" numFmtId="0" xfId="0" applyFont="1"/>
    <xf borderId="3" fillId="9" fontId="18" numFmtId="0" xfId="0" applyAlignment="1" applyBorder="1" applyFill="1" applyFont="1">
      <alignment horizontal="center"/>
    </xf>
    <xf borderId="21" fillId="9" fontId="19" numFmtId="0" xfId="0" applyAlignment="1" applyBorder="1" applyFill="1" applyFont="1">
      <alignment horizontal="center"/>
    </xf>
    <xf borderId="22" fillId="9" fontId="18" numFmtId="0" xfId="0" applyAlignment="1" applyBorder="1" applyFill="1" applyFont="1">
      <alignment horizontal="center"/>
    </xf>
    <xf borderId="23" fillId="0" fontId="8" numFmtId="0" xfId="0" applyBorder="1" applyFont="1"/>
    <xf borderId="24" fillId="0" fontId="8" numFmtId="0" xfId="0" applyBorder="1" applyFont="1"/>
    <xf borderId="4" fillId="9" fontId="18" numFmtId="0" xfId="0" applyAlignment="1" applyBorder="1" applyFill="1" applyFont="1">
      <alignment horizontal="center"/>
    </xf>
    <xf borderId="2" fillId="9" fontId="18" numFmtId="0" xfId="0" applyAlignment="1" applyBorder="1" applyFill="1" applyFont="1">
      <alignment horizontal="center"/>
    </xf>
    <xf borderId="2" fillId="9" fontId="20" numFmtId="0" xfId="0" applyBorder="1" applyFill="1" applyFont="1"/>
    <xf borderId="4" fillId="9" fontId="18" numFmtId="17" xfId="0" applyAlignment="1" applyBorder="1" applyFill="1" applyFont="1" applyNumberFormat="1">
      <alignment horizontal="center"/>
    </xf>
    <xf borderId="3" fillId="0" fontId="15" numFmtId="0" xfId="0" applyAlignment="1" applyBorder="1" applyFont="1">
      <alignment horizontal="center"/>
    </xf>
    <xf borderId="3" fillId="0" fontId="15" numFmtId="0" xfId="0" applyBorder="1" applyFont="1"/>
    <xf borderId="3" fillId="0" fontId="15" numFmtId="0" xfId="0" applyAlignment="1" applyBorder="1" applyFont="1">
      <alignment horizontal="left"/>
    </xf>
    <xf borderId="3" fillId="0" fontId="15" numFmtId="9" xfId="0" applyAlignment="1" applyBorder="1" applyFont="1" applyNumberFormat="1">
      <alignment horizontal="left"/>
    </xf>
    <xf borderId="3" fillId="0" fontId="13" numFmtId="0" xfId="0" applyAlignment="1" applyBorder="1" applyFont="1">
      <alignment vertical="center"/>
    </xf>
    <xf quotePrefix="1" borderId="3" fillId="0" fontId="15" numFmtId="0" xfId="0" applyBorder="1" applyFont="1"/>
    <xf borderId="3" fillId="0" fontId="15" numFmtId="168" xfId="0" applyBorder="1" applyFont="1" applyNumberFormat="1"/>
    <xf borderId="0" fillId="0" fontId="15" numFmtId="0" xfId="0" applyFont="1"/>
    <xf quotePrefix="1" borderId="3" fillId="0" fontId="15" numFmtId="0" xfId="0" applyAlignment="1" applyBorder="1" applyFont="1">
      <alignment vertical="center"/>
    </xf>
    <xf borderId="3" fillId="2" fontId="15" numFmtId="0" xfId="0" applyBorder="1" applyFill="1" applyFont="1"/>
    <xf borderId="16" fillId="0" fontId="15" numFmtId="0" xfId="0" applyAlignment="1" applyBorder="1" applyFont="1">
      <alignment horizontal="center"/>
    </xf>
    <xf borderId="3" fillId="10" fontId="15" numFmtId="9" xfId="0" applyAlignment="1" applyBorder="1" applyFill="1" applyFont="1" applyNumberFormat="1">
      <alignment horizontal="left"/>
    </xf>
    <xf borderId="16" fillId="0" fontId="15" numFmtId="168" xfId="0" applyBorder="1" applyFont="1" applyNumberFormat="1"/>
    <xf borderId="0" fillId="6" fontId="1" numFmtId="164" xfId="0" applyAlignment="1" applyFill="1" applyFont="1" applyNumberFormat="1">
      <alignment readingOrder="0"/>
    </xf>
    <xf borderId="0" fillId="7" fontId="1" numFmtId="164" xfId="0" applyAlignment="1" applyFill="1" applyFont="1" applyNumberFormat="1">
      <alignment readingOrder="0"/>
    </xf>
  </cellXfs>
  <cellStyles count="1">
    <cellStyle xfId="0" name="Normal" builtinId="0"/>
  </cellStyles>
  <dxfs count="2">
    <dxf>
      <font/>
      <fill>
        <patternFill patternType="none"/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</xdr:colOff>
      <xdr:row>0</xdr:row>
      <xdr:rowOff>114300</xdr:rowOff>
    </xdr:from>
    <xdr:ext cx="409575" cy="3524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jewelery.co" TargetMode="External"/><Relationship Id="rId2" Type="http://schemas.openxmlformats.org/officeDocument/2006/relationships/hyperlink" Target="http://jewellery.co" TargetMode="External"/><Relationship Id="rId3" Type="http://schemas.openxmlformats.org/officeDocument/2006/relationships/hyperlink" Target="http://shantimelan.yahoo.com" TargetMode="External"/><Relationship Id="rId4" Type="http://schemas.openxmlformats.org/officeDocument/2006/relationships/hyperlink" Target="http://irianto.s.si" TargetMode="External"/><Relationship Id="rId5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mailto:posmuktiwari@outlook.com" TargetMode="External"/><Relationship Id="rId10" Type="http://schemas.openxmlformats.org/officeDocument/2006/relationships/hyperlink" Target="mailto:apmexpress@outlook.com" TargetMode="External"/><Relationship Id="rId13" Type="http://schemas.openxmlformats.org/officeDocument/2006/relationships/hyperlink" Target="mailto:possalmawisata@outlook.com" TargetMode="External"/><Relationship Id="rId12" Type="http://schemas.openxmlformats.org/officeDocument/2006/relationships/hyperlink" Target="mailto:postefa@outlook.com" TargetMode="External"/><Relationship Id="rId1" Type="http://schemas.openxmlformats.org/officeDocument/2006/relationships/hyperlink" Target="mailto:metlandcileungsi14@outlook.com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mailto:possriwedari@outlook.com" TargetMode="External"/><Relationship Id="rId4" Type="http://schemas.openxmlformats.org/officeDocument/2006/relationships/hyperlink" Target="about:blank" TargetMode="External"/><Relationship Id="rId9" Type="http://schemas.openxmlformats.org/officeDocument/2006/relationships/hyperlink" Target="mailto:kamtokamto988@gmail.com" TargetMode="External"/><Relationship Id="rId14" Type="http://schemas.openxmlformats.org/officeDocument/2006/relationships/drawing" Target="../drawings/drawing3.xml"/><Relationship Id="rId5" Type="http://schemas.openxmlformats.org/officeDocument/2006/relationships/hyperlink" Target="mailto:adhyputtra@gmail.com" TargetMode="External"/><Relationship Id="rId6" Type="http://schemas.openxmlformats.org/officeDocument/2006/relationships/hyperlink" Target="mailto:lisluminto0@gmail.com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mailto:tirtomulyo1@outlook.com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1" Type="http://schemas.openxmlformats.org/officeDocument/2006/relationships/hyperlink" Target="mailto:hafizsusilo77@gmail.com" TargetMode="External"/><Relationship Id="rId10" Type="http://schemas.openxmlformats.org/officeDocument/2006/relationships/hyperlink" Target="mailto:rony.sandi07@gmail.com" TargetMode="External"/><Relationship Id="rId12" Type="http://schemas.openxmlformats.org/officeDocument/2006/relationships/drawing" Target="../drawings/drawing11.xml"/><Relationship Id="rId1" Type="http://schemas.openxmlformats.org/officeDocument/2006/relationships/hyperlink" Target="mailto:tatangsaepulrohman73@gmail.com" TargetMode="External"/><Relationship Id="rId2" Type="http://schemas.openxmlformats.org/officeDocument/2006/relationships/hyperlink" Target="mailto:fathonialfath3@gmail.com" TargetMode="External"/><Relationship Id="rId3" Type="http://schemas.openxmlformats.org/officeDocument/2006/relationships/hyperlink" Target="mailto:abdurahman.rahmanskom384@gmail.com" TargetMode="External"/><Relationship Id="rId4" Type="http://schemas.openxmlformats.org/officeDocument/2006/relationships/hyperlink" Target="mailto:ahkos0704072@gmail.com" TargetMode="External"/><Relationship Id="rId9" Type="http://schemas.openxmlformats.org/officeDocument/2006/relationships/hyperlink" Target="mailto:wendyjunied@gmail.com" TargetMode="External"/><Relationship Id="rId5" Type="http://schemas.openxmlformats.org/officeDocument/2006/relationships/hyperlink" Target="mailto:ranggabintang07@gmail.com" TargetMode="External"/><Relationship Id="rId6" Type="http://schemas.openxmlformats.org/officeDocument/2006/relationships/hyperlink" Target="mailto:dendhydeadpool28@gmail.com" TargetMode="External"/><Relationship Id="rId7" Type="http://schemas.openxmlformats.org/officeDocument/2006/relationships/hyperlink" Target="mailto:gmeila20mar@gmail.com" TargetMode="External"/><Relationship Id="rId8" Type="http://schemas.openxmlformats.org/officeDocument/2006/relationships/hyperlink" Target="mailto:975386992@posindonesia.co.id" TargetMode="Externa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6.0" topLeftCell="A27" activePane="bottomLeft" state="frozen"/>
      <selection activeCell="B28" sqref="B28" pane="bottomLeft"/>
    </sheetView>
  </sheetViews>
  <sheetFormatPr customHeight="1" defaultColWidth="14.43" defaultRowHeight="15.0"/>
  <cols>
    <col customWidth="1" hidden="1" min="1" max="1" width="9.14"/>
    <col customWidth="1" min="2" max="2" width="9.14"/>
    <col customWidth="1" min="3" max="3" width="37.57"/>
    <col customWidth="1" min="4" max="4" width="1.57"/>
    <col customWidth="1" min="5" max="5" width="34.86"/>
    <col customWidth="1" min="6" max="6" width="5.86"/>
    <col customWidth="1" min="7" max="26" width="9.14"/>
  </cols>
  <sheetData>
    <row r="1" ht="14.25" customHeight="1">
      <c r="B1" s="6"/>
      <c r="C1" s="6"/>
      <c r="D1" s="6"/>
      <c r="E1" s="6"/>
      <c r="F1" s="6"/>
      <c r="G1" s="6"/>
    </row>
    <row r="2" ht="14.25" customHeight="1">
      <c r="A2" s="2" t="str">
        <f>CONCATENATE("*",E2,"*")</f>
        <v>*MUCSPA63640PSIND*</v>
      </c>
      <c r="B2" s="6"/>
      <c r="C2" s="10" t="s">
        <v>37</v>
      </c>
      <c r="D2" s="6" t="s">
        <v>38</v>
      </c>
      <c r="E2" s="11" t="s">
        <v>39</v>
      </c>
      <c r="F2" s="6"/>
      <c r="G2" s="6"/>
    </row>
    <row r="3" ht="14.25" customHeight="1">
      <c r="B3" s="6"/>
      <c r="C3" s="6"/>
      <c r="D3" s="6"/>
      <c r="E3" s="6"/>
      <c r="F3" s="6"/>
      <c r="G3" s="6"/>
    </row>
    <row r="4" ht="14.25" customHeight="1"/>
    <row r="5" ht="14.25" customHeight="1">
      <c r="D5" s="2" t="s">
        <v>38</v>
      </c>
    </row>
    <row r="6" ht="14.25" customHeight="1">
      <c r="C6" s="14" t="str">
        <f>IF(E2="","",IF(E7="","Belum terdaftar sebagai AgenPos",""))</f>
        <v/>
      </c>
    </row>
    <row r="7" ht="14.25" customHeight="1">
      <c r="C7" s="2" t="s">
        <v>45</v>
      </c>
      <c r="D7" s="2" t="s">
        <v>38</v>
      </c>
      <c r="E7" s="17" t="str">
        <f>IF(E2="","",IFERROR(VLOOKUP(A2,'Agen CUM'!$P:$CJ,20,FALSE),""))</f>
        <v>16412SC</v>
      </c>
    </row>
    <row r="8" ht="14.25" customHeight="1">
      <c r="C8" s="2" t="s">
        <v>57</v>
      </c>
      <c r="D8" s="2" t="s">
        <v>38</v>
      </c>
      <c r="E8" s="17" t="str">
        <f>IF(E2="","",IFERROR(VLOOKUP(A2,'Agen CUM'!$P:$CJ,21,FALSE),""))</f>
        <v>6a97bdccd1fe1f64120dcc26</v>
      </c>
    </row>
    <row r="9" ht="14.25" customHeight="1">
      <c r="C9" s="2" t="s">
        <v>75</v>
      </c>
      <c r="D9" s="2" t="s">
        <v>38</v>
      </c>
      <c r="E9" s="17" t="str">
        <f>IF(E2="","",IFERROR(VLOOKUP(A2,'Agen CUM'!$P:$CJ,22,FALSE),""))</f>
        <v>info@jte.co.id</v>
      </c>
    </row>
    <row r="10" ht="14.25" customHeight="1">
      <c r="C10" s="2" t="s">
        <v>81</v>
      </c>
      <c r="D10" s="2" t="s">
        <v>38</v>
      </c>
      <c r="E10" s="17" t="str">
        <f>IF(E2="","",IFERROR(VLOOKUP(A2,'Agen CUM'!$P:$CJ,23,FALSE),""))</f>
        <v>#Muc16412SC$</v>
      </c>
    </row>
    <row r="11" ht="14.25" customHeight="1">
      <c r="C11" s="2" t="s">
        <v>90</v>
      </c>
      <c r="D11" s="2" t="s">
        <v>38</v>
      </c>
      <c r="E11" s="17" t="str">
        <f>IF(E2="","",IFERROR(VLOOKUP(A2,'Agen CUM'!$P:$CJ,3,FALSE),""))</f>
        <v>MUC JTE</v>
      </c>
    </row>
    <row r="12" ht="60.0" customHeight="1">
      <c r="C12" s="21" t="s">
        <v>96</v>
      </c>
      <c r="D12" s="23" t="s">
        <v>38</v>
      </c>
      <c r="E12" s="29" t="str">
        <f>IF(E2="","",IFERROR(VLOOKUP(A2,'Agen CUM'!$P:$CJ,6,FALSE),""))</f>
        <v>Jl. Raden Saleh No.6B, Sukmajaya, Kec. Sukmajaya, Kota Depok, Jawa Barat 16411</v>
      </c>
    </row>
    <row r="13" ht="14.25" customHeight="1">
      <c r="C13" s="2" t="s">
        <v>106</v>
      </c>
      <c r="D13" s="2" t="s">
        <v>38</v>
      </c>
      <c r="E13" s="17" t="str">
        <f>IF(E2="","",IFERROR(VLOOKUP(A2,'Agen CUM'!$P:$CJ,8,FALSE),""))</f>
        <v>Sukmajaya</v>
      </c>
    </row>
    <row r="14" ht="14.25" customHeight="1">
      <c r="C14" s="2" t="s">
        <v>117</v>
      </c>
      <c r="D14" s="2" t="s">
        <v>38</v>
      </c>
      <c r="E14" s="17" t="str">
        <f>IF(E2="","",IFERROR(VLOOKUP(A2,'Agen CUM'!$P:$CJ,9,FALSE),""))</f>
        <v>Sukmajaya</v>
      </c>
    </row>
    <row r="15" ht="14.25" customHeight="1">
      <c r="C15" s="2" t="s">
        <v>126</v>
      </c>
      <c r="D15" s="2" t="s">
        <v>38</v>
      </c>
      <c r="E15" s="17" t="str">
        <f>IF(E2="","",IFERROR(VLOOKUP(A2,'Agen CUM'!$P:$CJ,10,FALSE),""))</f>
        <v>Depok</v>
      </c>
    </row>
    <row r="16" ht="14.25" customHeight="1">
      <c r="C16" s="2" t="s">
        <v>151</v>
      </c>
      <c r="D16" s="2" t="s">
        <v>38</v>
      </c>
      <c r="E16" s="17" t="str">
        <f>IF(E2="","",IFERROR(VLOOKUP(A2,'Agen CUM'!$P:$CJ,4,FALSE),""))</f>
        <v>ARIYANTO</v>
      </c>
    </row>
    <row r="17" ht="14.25" customHeight="1">
      <c r="C17" s="2" t="s">
        <v>166</v>
      </c>
      <c r="D17" s="2" t="s">
        <v>38</v>
      </c>
      <c r="E17" s="17" t="str">
        <f>IF(E2="","",IFERROR(VLOOKUP(A2,'Agen CUM'!$P:$CJ,17,FALSE),""))</f>
        <v>08111814351</v>
      </c>
    </row>
    <row r="18" ht="14.25" customHeight="1">
      <c r="C18" s="2" t="s">
        <v>171</v>
      </c>
      <c r="D18" s="2" t="s">
        <v>38</v>
      </c>
      <c r="E18" s="17" t="str">
        <f>IF(E2="","",IFERROR(VLOOKUP(A2,'Agen CUM'!$P:$CJ,19,FALSE),""))</f>
        <v>info@jte.co.id</v>
      </c>
    </row>
    <row r="19" ht="14.25" customHeight="1">
      <c r="C19" s="2" t="s">
        <v>174</v>
      </c>
      <c r="D19" s="2" t="s">
        <v>38</v>
      </c>
      <c r="E19" s="17" t="str">
        <f>IF(E2="","",IFERROR(VLOOKUP(A2,'Agen CUM'!$P:$CJ,13,FALSE),""))</f>
        <v>3171031808800013</v>
      </c>
    </row>
    <row r="20" ht="14.25" customHeight="1">
      <c r="C20" s="58" t="s">
        <v>177</v>
      </c>
      <c r="D20" s="58" t="s">
        <v>38</v>
      </c>
      <c r="E20" s="58" t="str">
        <f>IF(E2="","",IFERROR(VLOOKUP(A2,'Agen CUM'!$P:$CJ,14,FALSE),""))</f>
        <v>44.509.760.3-027.000</v>
      </c>
    </row>
    <row r="21" ht="14.25" customHeight="1"/>
    <row r="22" ht="14.25" customHeight="1">
      <c r="B22" s="65"/>
      <c r="C22" s="65"/>
      <c r="D22" s="65"/>
      <c r="E22" s="65"/>
      <c r="F22" s="65"/>
      <c r="G22" s="65"/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C6:E6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7.0" ySplit="3.0" topLeftCell="R4" activePane="bottomRight" state="frozen"/>
      <selection activeCell="R1" sqref="R1" pane="topRight"/>
      <selection activeCell="A4" sqref="A4" pane="bottomLeft"/>
      <selection activeCell="R4" sqref="R4" pane="bottomRight"/>
    </sheetView>
  </sheetViews>
  <sheetFormatPr customHeight="1" defaultColWidth="14.43" defaultRowHeight="15.0"/>
  <cols>
    <col customWidth="1" min="1" max="1" width="5.29"/>
    <col customWidth="1" hidden="1" min="2" max="2" width="18.86"/>
    <col customWidth="1" hidden="1" min="3" max="3" width="26.71"/>
    <col customWidth="1" min="4" max="4" width="17.43"/>
    <col customWidth="1" hidden="1" min="5" max="5" width="15.14"/>
    <col customWidth="1" hidden="1" min="6" max="6" width="26.0"/>
    <col customWidth="1" min="7" max="7" width="19.29"/>
    <col customWidth="1" hidden="1" min="8" max="8" width="19.29"/>
    <col customWidth="1" hidden="1" min="9" max="10" width="19.57"/>
    <col customWidth="1" hidden="1" min="11" max="11" width="56.86"/>
    <col customWidth="1" min="12" max="12" width="9.43"/>
    <col customWidth="1" min="13" max="13" width="6.86"/>
    <col customWidth="1" min="14" max="14" width="6.57"/>
    <col customWidth="1" min="15" max="15" width="8.71"/>
    <col customWidth="1" min="16" max="16" width="20.57"/>
    <col customWidth="1" min="17" max="17" width="28.43"/>
    <col customWidth="1" min="18" max="18" width="21.43"/>
    <col customWidth="1" min="19" max="19" width="40.43"/>
    <col customWidth="1" min="20" max="20" width="88.29"/>
    <col customWidth="1" min="21" max="21" width="112.57"/>
    <col customWidth="1" min="22" max="22" width="20.86"/>
    <col customWidth="1" min="23" max="23" width="13.43"/>
    <col customWidth="1" min="24" max="24" width="21.43"/>
    <col customWidth="1" min="25" max="25" width="24.0"/>
    <col customWidth="1" min="26" max="26" width="10.57"/>
    <col customWidth="1" min="27" max="27" width="19.14"/>
    <col customWidth="1" min="28" max="29" width="20.86"/>
    <col customWidth="1" min="30" max="30" width="26.43"/>
    <col customWidth="1" min="31" max="31" width="18.14"/>
    <col customWidth="1" hidden="1" min="32" max="32" width="24.71"/>
    <col customWidth="1" min="33" max="33" width="29.43"/>
    <col customWidth="1" min="34" max="34" width="11.0"/>
    <col customWidth="1" min="35" max="35" width="25.29"/>
    <col customWidth="1" min="36" max="36" width="12.0"/>
    <col customWidth="1" min="37" max="37" width="20.71"/>
    <col customWidth="1" min="38" max="38" width="35.86"/>
    <col customWidth="1" min="39" max="39" width="35.0"/>
    <col customWidth="1" min="40" max="40" width="15.86"/>
    <col customWidth="1" min="41" max="42" width="25.86"/>
    <col customWidth="1" min="43" max="43" width="14.29"/>
    <col customWidth="1" min="44" max="44" width="16.43"/>
    <col customWidth="1" min="45" max="45" width="29.57"/>
    <col customWidth="1" min="46" max="47" width="17.71"/>
    <col customWidth="1" hidden="1" min="48" max="48" width="17.71"/>
    <col customWidth="1" hidden="1" min="49" max="49" width="29.71"/>
    <col customWidth="1" hidden="1" min="50" max="50" width="5.0"/>
    <col customWidth="1" hidden="1" min="51" max="51" width="6.71"/>
    <col customWidth="1" hidden="1" min="52" max="53" width="5.14"/>
    <col customWidth="1" hidden="1" min="54" max="54" width="14.14"/>
    <col customWidth="1" hidden="1" min="55" max="55" width="19.14"/>
    <col customWidth="1" hidden="1" min="56" max="56" width="13.0"/>
    <col customWidth="1" hidden="1" min="57" max="57" width="23.86"/>
    <col customWidth="1" hidden="1" min="58" max="58" width="20.14"/>
    <col customWidth="1" hidden="1" min="59" max="62" width="16.29"/>
    <col customWidth="1" hidden="1" min="63" max="63" width="84.86"/>
    <col customWidth="1" hidden="1" min="64" max="64" width="18.71"/>
    <col customWidth="1" hidden="1" min="65" max="65" width="15.43"/>
    <col customWidth="1" hidden="1" min="66" max="66" width="20.57"/>
    <col customWidth="1" hidden="1" min="67" max="67" width="29.57"/>
    <col customWidth="1" hidden="1" min="68" max="68" width="31.43"/>
    <col customWidth="1" hidden="1" min="69" max="69" width="28.86"/>
    <col customWidth="1" hidden="1" min="70" max="72" width="9.14"/>
    <col customWidth="1" hidden="1" min="73" max="73" width="25.71"/>
    <col customWidth="1" hidden="1" min="74" max="74" width="12.0"/>
    <col customWidth="1" hidden="1" min="75" max="75" width="4.29"/>
    <col customWidth="1" hidden="1" min="76" max="76" width="10.57"/>
    <col customWidth="1" hidden="1" min="77" max="77" width="8.0"/>
    <col customWidth="1" hidden="1" min="78" max="78" width="10.86"/>
    <col customWidth="1" hidden="1" min="79" max="79" width="12.0"/>
    <col customWidth="1" hidden="1" min="80" max="80" width="8.14"/>
    <col customWidth="1" hidden="1" min="81" max="81" width="4.14"/>
    <col customWidth="1" hidden="1" min="82" max="85" width="9.14"/>
    <col customWidth="1" hidden="1" min="86" max="86" width="13.57"/>
    <col customWidth="1" hidden="1" min="87" max="92" width="9.14"/>
    <col customWidth="1" min="93" max="95" width="9.14"/>
  </cols>
  <sheetData>
    <row r="1" ht="12.75" customHeight="1">
      <c r="A1" s="5" t="s">
        <v>11</v>
      </c>
      <c r="B1" s="7">
        <f t="shared" ref="B1:D1" si="1">COUNT(B4:B1049089)</f>
        <v>0</v>
      </c>
      <c r="C1" s="7">
        <f t="shared" si="1"/>
        <v>0</v>
      </c>
      <c r="D1" s="8">
        <f t="shared" si="1"/>
        <v>1081</v>
      </c>
      <c r="E1" s="9"/>
      <c r="F1" s="7">
        <f t="shared" ref="F1:G1" si="2">COUNT(F4:F1049089)</f>
        <v>0</v>
      </c>
      <c r="G1" s="8">
        <f t="shared" si="2"/>
        <v>819</v>
      </c>
      <c r="H1" s="9"/>
      <c r="I1" s="7">
        <f t="shared" ref="I1:J1" si="3">COUNT(I4:I1049089)</f>
        <v>0</v>
      </c>
      <c r="J1" s="7">
        <f t="shared" si="3"/>
        <v>0</v>
      </c>
      <c r="K1" s="9"/>
      <c r="L1" s="9"/>
      <c r="M1" s="9"/>
      <c r="N1" s="9"/>
      <c r="O1" s="9"/>
      <c r="P1" s="7">
        <v>1.0</v>
      </c>
      <c r="Q1" s="12">
        <v>2.0</v>
      </c>
      <c r="R1" s="7">
        <f t="shared" ref="R1:AP1" si="4">Q1+1</f>
        <v>3</v>
      </c>
      <c r="S1" s="7">
        <f t="shared" si="4"/>
        <v>4</v>
      </c>
      <c r="T1" s="7">
        <f t="shared" si="4"/>
        <v>5</v>
      </c>
      <c r="U1" s="7">
        <f t="shared" si="4"/>
        <v>6</v>
      </c>
      <c r="V1" s="7">
        <f t="shared" si="4"/>
        <v>7</v>
      </c>
      <c r="W1" s="7">
        <f t="shared" si="4"/>
        <v>8</v>
      </c>
      <c r="X1" s="7">
        <f t="shared" si="4"/>
        <v>9</v>
      </c>
      <c r="Y1" s="7">
        <f t="shared" si="4"/>
        <v>10</v>
      </c>
      <c r="Z1" s="7">
        <f t="shared" si="4"/>
        <v>11</v>
      </c>
      <c r="AA1" s="15">
        <f t="shared" si="4"/>
        <v>12</v>
      </c>
      <c r="AB1" s="7">
        <f t="shared" si="4"/>
        <v>13</v>
      </c>
      <c r="AC1" s="7">
        <f t="shared" si="4"/>
        <v>14</v>
      </c>
      <c r="AD1" s="7">
        <f t="shared" si="4"/>
        <v>15</v>
      </c>
      <c r="AE1" s="7">
        <f t="shared" si="4"/>
        <v>16</v>
      </c>
      <c r="AF1" s="16">
        <f t="shared" si="4"/>
        <v>17</v>
      </c>
      <c r="AG1" s="16">
        <f t="shared" si="4"/>
        <v>18</v>
      </c>
      <c r="AH1" s="16">
        <f t="shared" si="4"/>
        <v>19</v>
      </c>
      <c r="AI1" s="16">
        <f t="shared" si="4"/>
        <v>20</v>
      </c>
      <c r="AJ1" s="16">
        <f t="shared" si="4"/>
        <v>21</v>
      </c>
      <c r="AK1" s="16">
        <f t="shared" si="4"/>
        <v>22</v>
      </c>
      <c r="AL1" s="16">
        <f t="shared" si="4"/>
        <v>23</v>
      </c>
      <c r="AM1" s="16">
        <f t="shared" si="4"/>
        <v>24</v>
      </c>
      <c r="AN1" s="16">
        <f t="shared" si="4"/>
        <v>25</v>
      </c>
      <c r="AO1" s="16">
        <f t="shared" si="4"/>
        <v>26</v>
      </c>
      <c r="AP1" s="16">
        <f t="shared" si="4"/>
        <v>27</v>
      </c>
      <c r="AQ1" s="18"/>
      <c r="AR1" s="9"/>
      <c r="AS1" s="9"/>
      <c r="AT1" s="16">
        <f>AP1+1</f>
        <v>28</v>
      </c>
      <c r="AU1" s="16">
        <f t="shared" ref="AU1:CD1" si="5">AT1+1</f>
        <v>29</v>
      </c>
      <c r="AV1" s="16">
        <f t="shared" si="5"/>
        <v>30</v>
      </c>
      <c r="AW1" s="16">
        <f t="shared" si="5"/>
        <v>31</v>
      </c>
      <c r="AX1" s="16">
        <f t="shared" si="5"/>
        <v>32</v>
      </c>
      <c r="AY1" s="16">
        <f t="shared" si="5"/>
        <v>33</v>
      </c>
      <c r="AZ1" s="16">
        <f t="shared" si="5"/>
        <v>34</v>
      </c>
      <c r="BA1" s="16">
        <f t="shared" si="5"/>
        <v>35</v>
      </c>
      <c r="BB1" s="16">
        <f t="shared" si="5"/>
        <v>36</v>
      </c>
      <c r="BC1" s="16">
        <f t="shared" si="5"/>
        <v>37</v>
      </c>
      <c r="BD1" s="16">
        <f t="shared" si="5"/>
        <v>38</v>
      </c>
      <c r="BE1" s="16">
        <f t="shared" si="5"/>
        <v>39</v>
      </c>
      <c r="BF1" s="16">
        <f t="shared" si="5"/>
        <v>40</v>
      </c>
      <c r="BG1" s="16">
        <f t="shared" si="5"/>
        <v>41</v>
      </c>
      <c r="BH1" s="16">
        <f t="shared" si="5"/>
        <v>42</v>
      </c>
      <c r="BI1" s="16">
        <f t="shared" si="5"/>
        <v>43</v>
      </c>
      <c r="BJ1" s="16">
        <f t="shared" si="5"/>
        <v>44</v>
      </c>
      <c r="BK1" s="16">
        <f t="shared" si="5"/>
        <v>45</v>
      </c>
      <c r="BL1" s="16">
        <f t="shared" si="5"/>
        <v>46</v>
      </c>
      <c r="BM1" s="16">
        <f t="shared" si="5"/>
        <v>47</v>
      </c>
      <c r="BN1" s="16">
        <f t="shared" si="5"/>
        <v>48</v>
      </c>
      <c r="BO1" s="16">
        <f t="shared" si="5"/>
        <v>49</v>
      </c>
      <c r="BP1" s="16">
        <f t="shared" si="5"/>
        <v>50</v>
      </c>
      <c r="BQ1" s="16">
        <f t="shared" si="5"/>
        <v>51</v>
      </c>
      <c r="BR1" s="16">
        <f t="shared" si="5"/>
        <v>52</v>
      </c>
      <c r="BS1" s="16">
        <f t="shared" si="5"/>
        <v>53</v>
      </c>
      <c r="BT1" s="16">
        <f t="shared" si="5"/>
        <v>54</v>
      </c>
      <c r="BU1" s="16">
        <f t="shared" si="5"/>
        <v>55</v>
      </c>
      <c r="BV1" s="16">
        <f t="shared" si="5"/>
        <v>56</v>
      </c>
      <c r="BW1" s="16">
        <f t="shared" si="5"/>
        <v>57</v>
      </c>
      <c r="BX1" s="16">
        <f t="shared" si="5"/>
        <v>58</v>
      </c>
      <c r="BY1" s="16">
        <f t="shared" si="5"/>
        <v>59</v>
      </c>
      <c r="BZ1" s="16">
        <f t="shared" si="5"/>
        <v>60</v>
      </c>
      <c r="CA1" s="16">
        <f t="shared" si="5"/>
        <v>61</v>
      </c>
      <c r="CB1" s="16">
        <f t="shared" si="5"/>
        <v>62</v>
      </c>
      <c r="CC1" s="16">
        <f t="shared" si="5"/>
        <v>63</v>
      </c>
      <c r="CD1" s="16">
        <f t="shared" si="5"/>
        <v>64</v>
      </c>
      <c r="CE1" s="9"/>
      <c r="CF1" s="9"/>
      <c r="CG1" s="9"/>
      <c r="CH1" s="9"/>
      <c r="CI1" s="9"/>
      <c r="CJ1" s="9"/>
      <c r="CK1" s="9"/>
      <c r="CL1" s="9"/>
      <c r="CM1" s="9"/>
      <c r="CN1" s="24"/>
      <c r="CO1" s="24"/>
      <c r="CP1" s="24"/>
      <c r="CQ1" s="24"/>
    </row>
    <row r="2" ht="30.0" customHeight="1">
      <c r="A2" s="25"/>
      <c r="B2" s="27" t="s">
        <v>15</v>
      </c>
      <c r="C2" s="28"/>
      <c r="D2" s="28"/>
      <c r="E2" s="28"/>
      <c r="F2" s="28"/>
      <c r="G2" s="28"/>
      <c r="H2" s="28"/>
      <c r="I2" s="28"/>
      <c r="J2" s="28"/>
      <c r="K2" s="28"/>
      <c r="L2" s="30"/>
      <c r="M2" s="27" t="s">
        <v>107</v>
      </c>
      <c r="N2" s="28"/>
      <c r="O2" s="30"/>
      <c r="P2" s="5" t="s">
        <v>2</v>
      </c>
      <c r="Q2" s="31" t="s">
        <v>112</v>
      </c>
      <c r="R2" s="31" t="s">
        <v>118</v>
      </c>
      <c r="S2" s="5" t="s">
        <v>119</v>
      </c>
      <c r="T2" s="32"/>
      <c r="U2" s="33" t="s">
        <v>120</v>
      </c>
      <c r="V2" s="28"/>
      <c r="W2" s="28"/>
      <c r="X2" s="28"/>
      <c r="Y2" s="28"/>
      <c r="Z2" s="28"/>
      <c r="AA2" s="30"/>
      <c r="AB2" s="35" t="s">
        <v>124</v>
      </c>
      <c r="AC2" s="5" t="s">
        <v>129</v>
      </c>
      <c r="AD2" s="5" t="s">
        <v>131</v>
      </c>
      <c r="AE2" s="5" t="s">
        <v>134</v>
      </c>
      <c r="AF2" s="36" t="s">
        <v>136</v>
      </c>
      <c r="AG2" s="5" t="s">
        <v>140</v>
      </c>
      <c r="AH2" s="5" t="s">
        <v>141</v>
      </c>
      <c r="AI2" s="5" t="s">
        <v>145</v>
      </c>
      <c r="AJ2" s="5" t="s">
        <v>147</v>
      </c>
      <c r="AK2" s="5" t="s">
        <v>150</v>
      </c>
      <c r="AL2" s="5" t="s">
        <v>154</v>
      </c>
      <c r="AM2" s="5" t="s">
        <v>155</v>
      </c>
      <c r="AN2" s="5" t="s">
        <v>9</v>
      </c>
      <c r="AO2" s="39" t="s">
        <v>158</v>
      </c>
      <c r="AP2" s="39" t="s">
        <v>160</v>
      </c>
      <c r="AQ2" s="41" t="s">
        <v>162</v>
      </c>
      <c r="AR2" s="43" t="s">
        <v>163</v>
      </c>
      <c r="AS2" s="44" t="s">
        <v>167</v>
      </c>
      <c r="AT2" s="46" t="s">
        <v>168</v>
      </c>
      <c r="AU2" s="46" t="s">
        <v>169</v>
      </c>
      <c r="AV2" s="48" t="s">
        <v>170</v>
      </c>
      <c r="AW2" s="49"/>
      <c r="AX2" s="50"/>
      <c r="AY2" s="51"/>
      <c r="AZ2" s="52" t="s">
        <v>172</v>
      </c>
      <c r="BA2" s="53"/>
      <c r="BB2" s="54"/>
      <c r="BC2" s="54"/>
      <c r="BD2" s="54"/>
      <c r="BE2" s="55"/>
      <c r="BF2" s="56" t="s">
        <v>173</v>
      </c>
      <c r="BG2" s="54"/>
      <c r="BH2" s="54"/>
      <c r="BI2" s="54"/>
      <c r="BJ2" s="55"/>
      <c r="BK2" s="56" t="s">
        <v>175</v>
      </c>
      <c r="BL2" s="54"/>
      <c r="BM2" s="54"/>
      <c r="BN2" s="54"/>
      <c r="BO2" s="54"/>
      <c r="BP2" s="54"/>
      <c r="BQ2" s="54"/>
      <c r="BR2" s="54"/>
      <c r="BS2" s="54"/>
      <c r="BT2" s="55"/>
      <c r="BU2" s="24"/>
      <c r="BV2" s="24"/>
      <c r="BW2" s="24"/>
      <c r="BX2" s="56" t="s">
        <v>176</v>
      </c>
      <c r="BY2" s="54"/>
      <c r="BZ2" s="54"/>
      <c r="CA2" s="54"/>
      <c r="CB2" s="54"/>
      <c r="CC2" s="54"/>
      <c r="CD2" s="55"/>
      <c r="CE2" s="9"/>
      <c r="CF2" s="9"/>
      <c r="CG2" s="9"/>
      <c r="CH2" s="9"/>
      <c r="CI2" s="9"/>
      <c r="CJ2" s="9"/>
      <c r="CK2" s="9"/>
      <c r="CL2" s="9"/>
      <c r="CM2" s="9"/>
      <c r="CN2" s="24"/>
      <c r="CO2" s="24"/>
      <c r="CP2" s="24"/>
      <c r="CQ2" s="24"/>
    </row>
    <row r="3" ht="29.25" customHeight="1">
      <c r="A3" s="57"/>
      <c r="B3" s="43" t="s">
        <v>178</v>
      </c>
      <c r="C3" s="43" t="s">
        <v>179</v>
      </c>
      <c r="D3" s="59" t="s">
        <v>180</v>
      </c>
      <c r="E3" s="61" t="s">
        <v>181</v>
      </c>
      <c r="F3" s="43" t="s">
        <v>182</v>
      </c>
      <c r="G3" s="62" t="s">
        <v>183</v>
      </c>
      <c r="H3" s="43" t="s">
        <v>184</v>
      </c>
      <c r="I3" s="43" t="s">
        <v>185</v>
      </c>
      <c r="J3" s="43" t="s">
        <v>186</v>
      </c>
      <c r="K3" s="43" t="s">
        <v>187</v>
      </c>
      <c r="L3" s="43" t="s">
        <v>188</v>
      </c>
      <c r="M3" s="61" t="s">
        <v>189</v>
      </c>
      <c r="N3" s="61" t="s">
        <v>190</v>
      </c>
      <c r="O3" s="43" t="s">
        <v>191</v>
      </c>
      <c r="P3" s="57"/>
      <c r="Q3" s="57"/>
      <c r="R3" s="57"/>
      <c r="S3" s="57"/>
      <c r="T3" s="64" t="s">
        <v>192</v>
      </c>
      <c r="U3" s="64" t="s">
        <v>193</v>
      </c>
      <c r="V3" s="43" t="s">
        <v>194</v>
      </c>
      <c r="W3" s="43" t="s">
        <v>195</v>
      </c>
      <c r="X3" s="43" t="s">
        <v>196</v>
      </c>
      <c r="Y3" s="43" t="s">
        <v>197</v>
      </c>
      <c r="Z3" s="43" t="s">
        <v>198</v>
      </c>
      <c r="AA3" s="43" t="s">
        <v>199</v>
      </c>
      <c r="AB3" s="57"/>
      <c r="AC3" s="57"/>
      <c r="AD3" s="57"/>
      <c r="AE3" s="57"/>
      <c r="AF3" s="57"/>
      <c r="AG3" s="57"/>
      <c r="AH3" s="57"/>
      <c r="AI3" s="57"/>
      <c r="AJ3" s="57"/>
      <c r="AK3" s="57"/>
      <c r="AL3" s="57"/>
      <c r="AM3" s="57"/>
      <c r="AN3" s="57"/>
      <c r="AO3" s="57"/>
      <c r="AP3" s="57"/>
      <c r="AQ3" s="67"/>
      <c r="AR3" s="32"/>
      <c r="AS3" s="32"/>
      <c r="AT3" s="57"/>
      <c r="AU3" s="57"/>
      <c r="AV3" s="43" t="s">
        <v>200</v>
      </c>
      <c r="AW3" s="43" t="s">
        <v>201</v>
      </c>
      <c r="AX3" s="43" t="s">
        <v>202</v>
      </c>
      <c r="AY3" s="43" t="s">
        <v>203</v>
      </c>
      <c r="AZ3" s="43" t="s">
        <v>204</v>
      </c>
      <c r="BA3" s="43" t="s">
        <v>206</v>
      </c>
      <c r="BB3" s="43" t="s">
        <v>177</v>
      </c>
      <c r="BC3" s="43" t="s">
        <v>207</v>
      </c>
      <c r="BD3" s="43" t="s">
        <v>208</v>
      </c>
      <c r="BE3" s="61" t="s">
        <v>209</v>
      </c>
      <c r="BF3" s="43" t="s">
        <v>210</v>
      </c>
      <c r="BG3" s="43" t="s">
        <v>211</v>
      </c>
      <c r="BH3" s="43" t="s">
        <v>212</v>
      </c>
      <c r="BI3" s="43" t="s">
        <v>213</v>
      </c>
      <c r="BJ3" s="43" t="s">
        <v>214</v>
      </c>
      <c r="BK3" s="43" t="s">
        <v>215</v>
      </c>
      <c r="BL3" s="43" t="s">
        <v>216</v>
      </c>
      <c r="BM3" s="43" t="s">
        <v>217</v>
      </c>
      <c r="BN3" s="43" t="s">
        <v>218</v>
      </c>
      <c r="BO3" s="43" t="s">
        <v>124</v>
      </c>
      <c r="BP3" s="43" t="s">
        <v>220</v>
      </c>
      <c r="BQ3" s="43" t="s">
        <v>177</v>
      </c>
      <c r="BR3" s="43" t="s">
        <v>221</v>
      </c>
      <c r="BS3" s="43" t="s">
        <v>141</v>
      </c>
      <c r="BT3" s="43" t="s">
        <v>15</v>
      </c>
      <c r="BU3" s="32"/>
      <c r="BV3" s="32"/>
      <c r="BW3" s="32"/>
      <c r="BX3" s="70" t="s">
        <v>222</v>
      </c>
      <c r="BY3" s="70" t="s">
        <v>223</v>
      </c>
      <c r="BZ3" s="70" t="s">
        <v>224</v>
      </c>
      <c r="CA3" s="70" t="s">
        <v>225</v>
      </c>
      <c r="CB3" s="70" t="s">
        <v>226</v>
      </c>
      <c r="CC3" s="70" t="s">
        <v>227</v>
      </c>
      <c r="CD3" s="70" t="s">
        <v>228</v>
      </c>
      <c r="CE3" s="70" t="s">
        <v>191</v>
      </c>
      <c r="CF3" s="70" t="s">
        <v>229</v>
      </c>
      <c r="CG3" s="70" t="s">
        <v>230</v>
      </c>
      <c r="CH3" s="70" t="s">
        <v>231</v>
      </c>
      <c r="CI3" s="70" t="s">
        <v>232</v>
      </c>
      <c r="CJ3" s="26" t="s">
        <v>233</v>
      </c>
      <c r="CK3" s="71"/>
      <c r="CL3" s="26" t="s">
        <v>234</v>
      </c>
      <c r="CM3" s="71"/>
      <c r="CN3" s="73"/>
      <c r="CO3" s="73"/>
      <c r="CP3" s="73"/>
      <c r="CQ3" s="73"/>
    </row>
    <row r="4" ht="12.75" customHeight="1">
      <c r="A4" s="75">
        <f>IFERROR(__xludf.DUMMYFUNCTION("QUERY(IMPORTRANGE(""https://docs.google.com/spreadsheets/d/1_5pr7i179ukUeMStgLt8tDyJl04piFhnAUYWtrScCDU/edit?pli=1&amp;gid=1386834576#gid=1386834576"", ""'DATLENG'!A4:CK""), ""SELECT * WHERE Col1 IS NOT NULL"", 0)"),1.0)</f>
        <v>1</v>
      </c>
      <c r="B4" s="75" t="str">
        <f>IFERROR(__xludf.DUMMYFUNCTION("""COMPUTED_VALUE"""),"11 Januari 2022")</f>
        <v>11 Januari 2022</v>
      </c>
      <c r="C4" s="75" t="str">
        <f>IFERROR(__xludf.DUMMYFUNCTION("""COMPUTED_VALUE"""),"11 Januari 2022")</f>
        <v>11 Januari 2022</v>
      </c>
      <c r="D4" s="77"/>
      <c r="E4" s="78"/>
      <c r="F4" s="75" t="str">
        <f>IFERROR(__xludf.DUMMYFUNCTION("""COMPUTED_VALUE"""),"3 OKTOBER 2022")</f>
        <v>3 OKTOBER 2022</v>
      </c>
      <c r="G4" s="77">
        <f>IFERROR(__xludf.DUMMYFUNCTION("""COMPUTED_VALUE"""),44837.0)</f>
        <v>44837</v>
      </c>
      <c r="H4" s="75"/>
      <c r="I4" s="75" t="str">
        <f>IFERROR(__xludf.DUMMYFUNCTION("""COMPUTED_VALUE"""),"3/10/2022")</f>
        <v>3/10/2022</v>
      </c>
      <c r="J4" s="75" t="str">
        <f>IFERROR(__xludf.DUMMYFUNCTION("""COMPUTED_VALUE"""),"3/10/2022")</f>
        <v>3/10/2022</v>
      </c>
      <c r="K4" s="75"/>
      <c r="L4" s="75"/>
      <c r="M4" s="75"/>
      <c r="N4" s="75"/>
      <c r="O4" s="75"/>
      <c r="P4" s="75" t="str">
        <f>IFERROR(__xludf.DUMMYFUNCTION("""COMPUTED_VALUE"""),"53BSPA29321JBNDS")</f>
        <v>53BSPA29321JBNDS</v>
      </c>
      <c r="Q4" s="75" t="str">
        <f>IFERROR(__xludf.DUMMYFUNCTION("""COMPUTED_VALUE"""),"ALBI")</f>
        <v>ALBI</v>
      </c>
      <c r="R4" s="75" t="str">
        <f>IFERROR(__xludf.DUMMYFUNCTION("""COMPUTED_VALUE"""),"IND EXPRESS")</f>
        <v>IND EXPRESS</v>
      </c>
      <c r="S4" s="75" t="str">
        <f>IFERROR(__xludf.DUMMYFUNCTION("""COMPUTED_VALUE"""),"Ucup Taojiri")</f>
        <v>Ucup Taojiri</v>
      </c>
      <c r="T4" s="75" t="str">
        <f>IFERROR(__xludf.DUMMYFUNCTION("""COMPUTED_VALUE"""),"Panyalahan Rt03 Rw04 Ds. Sinargalih Kec. Lemahsugih Kab Majelangka Jawa Barat")</f>
        <v>Panyalahan Rt03 Rw04 Ds. Sinargalih Kec. Lemahsugih Kab Majelangka Jawa Barat</v>
      </c>
      <c r="U4" s="75" t="str">
        <f>IFERROR(__xludf.DUMMYFUNCTION("""COMPUTED_VALUE"""),"Jl Raya Siliwangi No 119 Bantarujeg Blok Cigedang RT 01 RW 07 Kab Majalengka Jawa Barat 45464")</f>
        <v>Jl Raya Siliwangi No 119 Bantarujeg Blok Cigedang RT 01 RW 07 Kab Majalengka Jawa Barat 45464</v>
      </c>
      <c r="V4" s="75" t="str">
        <f>IFERROR(__xludf.DUMMYFUNCTION("""COMPUTED_VALUE"""),"RT01 RW 07")</f>
        <v>RT01 RW 07</v>
      </c>
      <c r="W4" s="75" t="str">
        <f>IFERROR(__xludf.DUMMYFUNCTION("""COMPUTED_VALUE"""),"SINARGALIH")</f>
        <v>SINARGALIH</v>
      </c>
      <c r="X4" s="75" t="str">
        <f>IFERROR(__xludf.DUMMYFUNCTION("""COMPUTED_VALUE"""),"Lemahsugih")</f>
        <v>Lemahsugih</v>
      </c>
      <c r="Y4" s="75" t="str">
        <f>IFERROR(__xludf.DUMMYFUNCTION("""COMPUTED_VALUE"""),"Majalengka")</f>
        <v>Majalengka</v>
      </c>
      <c r="Z4" s="75" t="str">
        <f>IFERROR(__xludf.DUMMYFUNCTION("""COMPUTED_VALUE"""),"JAWA BARAT")</f>
        <v>JAWA BARAT</v>
      </c>
      <c r="AA4" s="75" t="str">
        <f>IFERROR(__xludf.DUMMYFUNCTION("""COMPUTED_VALUE"""),"45464")</f>
        <v>45464</v>
      </c>
      <c r="AB4" s="75" t="str">
        <f>IFERROR(__xludf.DUMMYFUNCTION("""COMPUTED_VALUE"""),"3210010804830141")</f>
        <v>3210010804830141</v>
      </c>
      <c r="AC4" s="75" t="str">
        <f>IFERROR(__xludf.DUMMYFUNCTION("""COMPUTED_VALUE"""),"93.567.420.0-438.000")</f>
        <v>93.567.420.0-438.000</v>
      </c>
      <c r="AD4" s="75" t="str">
        <f>IFERROR(__xludf.DUMMYFUNCTION("""COMPUTED_VALUE"""),"CUM - NDS")</f>
        <v>CUM - NDS</v>
      </c>
      <c r="AE4" s="75" t="str">
        <f>IFERROR(__xludf.DUMMYFUNCTION("""COMPUTED_VALUE"""),"SUB NURUL DIMAS")</f>
        <v>SUB NURUL DIMAS</v>
      </c>
      <c r="AF4" s="75" t="str">
        <f>IFERROR(__xludf.DUMMYFUNCTION("""COMPUTED_VALUE"""),"081313061606")</f>
        <v>081313061606</v>
      </c>
      <c r="AG4" s="75" t="str">
        <f>IFERROR(__xludf.DUMMYFUNCTION("""COMPUTED_VALUE"""),"081313061606")</f>
        <v>081313061606</v>
      </c>
      <c r="AH4" s="75" t="str">
        <f>IFERROR(__xludf.DUMMYFUNCTION("""COMPUTED_VALUE"""),"yusuftaojiri83@gmail.com")</f>
        <v>yusuftaojiri83@gmail.com</v>
      </c>
      <c r="AI4" s="75" t="str">
        <f>IFERROR(__xludf.DUMMYFUNCTION("""COMPUTED_VALUE"""),"45465S1")</f>
        <v>45465S1</v>
      </c>
      <c r="AJ4" s="75" t="str">
        <f>IFERROR(__xludf.DUMMYFUNCTION("""COMPUTED_VALUE"""),"6211a4edde67be2ec0415b34")</f>
        <v>6211a4edde67be2ec0415b34</v>
      </c>
      <c r="AK4" s="75" t="str">
        <f>IFERROR(__xludf.DUMMYFUNCTION("""COMPUTED_VALUE"""),"dm45465s1")</f>
        <v>dm45465s1</v>
      </c>
      <c r="AL4" s="75" t="str">
        <f>IFERROR(__xludf.DUMMYFUNCTION("""COMPUTED_VALUE"""),"password")</f>
        <v>password</v>
      </c>
      <c r="AM4" s="75" t="str">
        <f>IFERROR(__xludf.DUMMYFUNCTION("""COMPUTED_VALUE"""),"KANTOR REGIONAL III BANDUNG 40004")</f>
        <v>KANTOR REGIONAL III BANDUNG 40004</v>
      </c>
      <c r="AN4" s="75" t="str">
        <f>IFERROR(__xludf.DUMMYFUNCTION("""COMPUTED_VALUE"""),"KPRK MAJALENGKA 45400")</f>
        <v>KPRK MAJALENGKA 45400</v>
      </c>
      <c r="AO4" s="75" t="str">
        <f>IFERROR(__xludf.DUMMYFUNCTION("""COMPUTED_VALUE"""),"0308220037226")</f>
        <v>0308220037226</v>
      </c>
      <c r="AP4" s="75" t="str">
        <f>IFERROR(__xludf.DUMMYFUNCTION("""COMPUTED_VALUE"""),"03082200372260001")</f>
        <v>03082200372260001</v>
      </c>
      <c r="AQ4" s="79"/>
      <c r="AR4" s="75"/>
      <c r="AS4" s="75"/>
      <c r="AT4" s="75" t="str">
        <f>IFERROR(__xludf.DUMMYFUNCTION("""COMPUTED_VALUE"""),"-69,735,611")</f>
        <v>-69,735,611</v>
      </c>
      <c r="AU4" s="75" t="str">
        <f>IFERROR(__xludf.DUMMYFUNCTION("""COMPUTED_VALUE"""),"108,2385667")</f>
        <v>108,2385667</v>
      </c>
      <c r="AV4" s="75" t="str">
        <f>IFERROR(__xludf.DUMMYFUNCTION("""COMPUTED_VALUE"""),"ADA")</f>
        <v>ADA</v>
      </c>
      <c r="AW4" s="75" t="str">
        <f>IFERROR(__xludf.DUMMYFUNCTION("""COMPUTED_VALUE"""),"ADA")</f>
        <v>ADA</v>
      </c>
      <c r="AX4" s="75"/>
      <c r="AY4" s="75"/>
      <c r="AZ4" s="75"/>
      <c r="BA4" s="75" t="str">
        <f>IFERROR(__xludf.DUMMYFUNCTION("""COMPUTED_VALUE"""),"ADA")</f>
        <v>ADA</v>
      </c>
      <c r="BB4" s="75" t="str">
        <f>IFERROR(__xludf.DUMMYFUNCTION("""COMPUTED_VALUE"""),"ADA")</f>
        <v>ADA</v>
      </c>
      <c r="BC4" s="75" t="str">
        <f>IFERROR(__xludf.DUMMYFUNCTION("""COMPUTED_VALUE"""),"ADA")</f>
        <v>ADA</v>
      </c>
      <c r="BD4" s="75" t="str">
        <f>IFERROR(__xludf.DUMMYFUNCTION("""COMPUTED_VALUE"""),"ADA")</f>
        <v>ADA</v>
      </c>
      <c r="BE4" s="75" t="str">
        <f>IFERROR(__xludf.DUMMYFUNCTION("""COMPUTED_VALUE"""),"ADA")</f>
        <v>ADA</v>
      </c>
      <c r="BF4" s="75" t="str">
        <f>IFERROR(__xludf.DUMMYFUNCTION("""COMPUTED_VALUE"""),"ADA")</f>
        <v>ADA</v>
      </c>
      <c r="BG4" s="75" t="str">
        <f>IFERROR(__xludf.DUMMYFUNCTION("""COMPUTED_VALUE"""),"ADA")</f>
        <v>ADA</v>
      </c>
      <c r="BH4" s="75" t="str">
        <f>IFERROR(__xludf.DUMMYFUNCTION("""COMPUTED_VALUE"""),"CANON IP 2770")</f>
        <v>CANON IP 2770</v>
      </c>
      <c r="BI4" s="75" t="str">
        <f>IFERROR(__xludf.DUMMYFUNCTION("""COMPUTED_VALUE"""),"ADA")</f>
        <v>ADA</v>
      </c>
      <c r="BJ4" s="75" t="str">
        <f>IFERROR(__xludf.DUMMYFUNCTION("""COMPUTED_VALUE"""),"KERTAS HVS")</f>
        <v>KERTAS HVS</v>
      </c>
      <c r="BK4" s="75" t="str">
        <f>IFERROR(__xludf.DUMMYFUNCTION("""COMPUTED_VALUE"""),"TIDAK ADA")</f>
        <v>TIDAK ADA</v>
      </c>
      <c r="BL4" s="75" t="str">
        <f>IFERROR(__xludf.DUMMYFUNCTION("""COMPUTED_VALUE"""),"DEPOSIT")</f>
        <v>DEPOSIT</v>
      </c>
      <c r="BM4" s="75"/>
      <c r="BN4" s="75" t="str">
        <f>IFERROR(__xludf.DUMMYFUNCTION("""COMPUTED_VALUE"""),"panyalahan rt.003/004 kel.sinargalih kec.lemahsugih kab.majalengka")</f>
        <v>panyalahan rt.003/004 kel.sinargalih kec.lemahsugih kab.majalengka</v>
      </c>
      <c r="BO4" s="75" t="str">
        <f>IFERROR(__xludf.DUMMYFUNCTION("""COMPUTED_VALUE"""),"3210017012890001")</f>
        <v>3210017012890001</v>
      </c>
      <c r="BP4" s="75" t="str">
        <f>IFERROR(__xludf.DUMMYFUNCTION("""COMPUTED_VALUE"""),"30-12-1989")</f>
        <v>30-12-1989</v>
      </c>
      <c r="BQ4" s="75" t="str">
        <f>IFERROR(__xludf.DUMMYFUNCTION("""COMPUTED_VALUE"""),"93.567.420.0-438.000")</f>
        <v>93.567.420.0-438.000</v>
      </c>
      <c r="BR4" s="75" t="str">
        <f>IFERROR(__xludf.DUMMYFUNCTION("""COMPUTED_VALUE"""),"85351152899")</f>
        <v>85351152899</v>
      </c>
      <c r="BS4" s="75" t="str">
        <f>IFERROR(__xludf.DUMMYFUNCTION("""COMPUTED_VALUE"""),"albyizladp93@gmail.com")</f>
        <v>albyizladp93@gmail.com</v>
      </c>
      <c r="BT4" s="75" t="str">
        <f>IFERROR(__xludf.DUMMYFUNCTION("""COMPUTED_VALUE"""),"ISTRI PEMILIK SEBELUMNYA")</f>
        <v>ISTRI PEMILIK SEBELUMNYA</v>
      </c>
      <c r="BU4" s="75" t="str">
        <f>IFERROR(__xludf.DUMMYFUNCTION("""COMPUTED_VALUE"""),"perangkat sudah lengkap,,petugas Pos siap membantu")</f>
        <v>perangkat sudah lengkap,,petugas Pos siap membantu</v>
      </c>
      <c r="BV4" s="75" t="str">
        <f>IFERROR(__xludf.DUMMYFUNCTION("""COMPUTED_VALUE"""),"Panyalahan Rt03 Rw04 Ds. Sinargalih Kec. Lemahsugih Kab Majelangka Jawa Barat")</f>
        <v>Panyalahan Rt03 Rw04 Ds. Sinargalih Kec. Lemahsugih Kab Majelangka Jawa Barat</v>
      </c>
      <c r="BW4" s="75"/>
      <c r="BX4" s="75"/>
      <c r="BY4" s="75"/>
      <c r="BZ4" s="75"/>
      <c r="CA4" s="75"/>
      <c r="CB4" s="75"/>
      <c r="CC4" s="75"/>
      <c r="CD4" s="75"/>
      <c r="CE4" s="75"/>
      <c r="CF4" s="75"/>
      <c r="CG4" s="75"/>
      <c r="CH4" s="75"/>
      <c r="CI4" s="75"/>
      <c r="CJ4" s="75"/>
      <c r="CK4" s="2"/>
    </row>
    <row r="5" ht="14.25" customHeight="1">
      <c r="A5" s="80">
        <f>IFERROR(__xludf.DUMMYFUNCTION("""COMPUTED_VALUE"""),2.0)</f>
        <v>2</v>
      </c>
      <c r="B5" s="80" t="str">
        <f>IFERROR(__xludf.DUMMYFUNCTION("""COMPUTED_VALUE""")," 11 Januari 2022")</f>
        <v> 11 Januari 2022</v>
      </c>
      <c r="C5" s="80" t="str">
        <f>IFERROR(__xludf.DUMMYFUNCTION("""COMPUTED_VALUE""")," 11 Januari 2022")</f>
        <v> 11 Januari 2022</v>
      </c>
      <c r="D5" s="81"/>
      <c r="E5" s="82"/>
      <c r="F5" s="80" t="str">
        <f>IFERROR(__xludf.DUMMYFUNCTION("""COMPUTED_VALUE"""),"7 OKTOBER 2022")</f>
        <v>7 OKTOBER 2022</v>
      </c>
      <c r="G5" s="81">
        <f>IFERROR(__xludf.DUMMYFUNCTION("""COMPUTED_VALUE"""),44841.0)</f>
        <v>44841</v>
      </c>
      <c r="H5" s="80"/>
      <c r="I5" s="80" t="str">
        <f>IFERROR(__xludf.DUMMYFUNCTION("""COMPUTED_VALUE"""),"7/10/2022")</f>
        <v>7/10/2022</v>
      </c>
      <c r="J5" s="80" t="str">
        <f>IFERROR(__xludf.DUMMYFUNCTION("""COMPUTED_VALUE"""),"10/10/2022")</f>
        <v>10/10/2022</v>
      </c>
      <c r="K5" s="80"/>
      <c r="L5" s="80"/>
      <c r="M5" s="80"/>
      <c r="N5" s="80"/>
      <c r="O5" s="80"/>
      <c r="P5" s="80" t="str">
        <f>IFERROR(__xludf.DUMMYFUNCTION("""COMPUTED_VALUE"""),"53BSPA06520JBHDT")</f>
        <v>53BSPA06520JBHDT</v>
      </c>
      <c r="Q5" s="80" t="str">
        <f>IFERROR(__xludf.DUMMYFUNCTION("""COMPUTED_VALUE"""),"ADVAN")</f>
        <v>ADVAN</v>
      </c>
      <c r="R5" s="80" t="str">
        <f>IFERROR(__xludf.DUMMYFUNCTION("""COMPUTED_VALUE"""),"ADVAN")</f>
        <v>ADVAN</v>
      </c>
      <c r="S5" s="80" t="str">
        <f>IFERROR(__xludf.DUMMYFUNCTION("""COMPUTED_VALUE"""),"Tri Berkah Komunika")</f>
        <v>Tri Berkah Komunika</v>
      </c>
      <c r="T5" s="80" t="str">
        <f>IFERROR(__xludf.DUMMYFUNCTION("""COMPUTED_VALUE"""),"Ruby Residence No.5 Jalan Palgenep Margahayu Selatan Kab Bandung Jawa Barat")</f>
        <v>Ruby Residence No.5 Jalan Palgenep Margahayu Selatan Kab Bandung Jawa Barat</v>
      </c>
      <c r="U5" s="80" t="str">
        <f>IFERROR(__xludf.DUMMYFUNCTION("""COMPUTED_VALUE""")," JL.AHMAD YANI 221-223, RUKO SEGITIGAMAS KOSAMBI BLOK F9")</f>
        <v> JL.AHMAD YANI 221-223, RUKO SEGITIGAMAS KOSAMBI BLOK F9</v>
      </c>
      <c r="V5" s="80" t="str">
        <f>IFERROR(__xludf.DUMMYFUNCTION("""COMPUTED_VALUE"""),"006/005")</f>
        <v>006/005</v>
      </c>
      <c r="W5" s="80" t="str">
        <f>IFERROR(__xludf.DUMMYFUNCTION("""COMPUTED_VALUE"""),"Merdeka")</f>
        <v>Merdeka</v>
      </c>
      <c r="X5" s="80" t="str">
        <f>IFERROR(__xludf.DUMMYFUNCTION("""COMPUTED_VALUE"""),"Sumur Bandung")</f>
        <v>Sumur Bandung</v>
      </c>
      <c r="Y5" s="80" t="str">
        <f>IFERROR(__xludf.DUMMYFUNCTION("""COMPUTED_VALUE"""),"Kota Bandung")</f>
        <v>Kota Bandung</v>
      </c>
      <c r="Z5" s="80" t="str">
        <f>IFERROR(__xludf.DUMMYFUNCTION("""COMPUTED_VALUE"""),"JAWA BARAT")</f>
        <v>JAWA BARAT</v>
      </c>
      <c r="AA5" s="80" t="str">
        <f>IFERROR(__xludf.DUMMYFUNCTION("""COMPUTED_VALUE"""),"40113")</f>
        <v>40113</v>
      </c>
      <c r="AB5" s="80" t="str">
        <f>IFERROR(__xludf.DUMMYFUNCTION("""COMPUTED_VALUE"""),"3204103105820004")</f>
        <v>3204103105820004</v>
      </c>
      <c r="AC5" s="80" t="str">
        <f>IFERROR(__xludf.DUMMYFUNCTION("""COMPUTED_VALUE"""),"96.937.067.5-445.000 / 54.709.885.5-445.000")</f>
        <v>96.937.067.5-445.000 / 54.709.885.5-445.000</v>
      </c>
      <c r="AD5" s="80" t="str">
        <f>IFERROR(__xludf.DUMMYFUNCTION("""COMPUTED_VALUE"""),"CUM - HDT")</f>
        <v>CUM - HDT</v>
      </c>
      <c r="AE5" s="80" t="str">
        <f>IFERROR(__xludf.DUMMYFUNCTION("""COMPUTED_VALUE"""),"Sub Hidayat")</f>
        <v>Sub Hidayat</v>
      </c>
      <c r="AF5" s="80" t="str">
        <f>IFERROR(__xludf.DUMMYFUNCTION("""COMPUTED_VALUE"""),"085225006163")</f>
        <v>085225006163</v>
      </c>
      <c r="AG5" s="80" t="str">
        <f>IFERROR(__xludf.DUMMYFUNCTION("""COMPUTED_VALUE"""),"085225006163")</f>
        <v>085225006163</v>
      </c>
      <c r="AH5" s="80" t="str">
        <f>IFERROR(__xludf.DUMMYFUNCTION("""COMPUTED_VALUE"""),"triberkahkomunika@gmail.com")</f>
        <v>triberkahkomunika@gmail.com</v>
      </c>
      <c r="AI5" s="80" t="str">
        <f>IFERROR(__xludf.DUMMYFUNCTION("""COMPUTED_VALUE"""),"40113S2")</f>
        <v>40113S2</v>
      </c>
      <c r="AJ5" s="80" t="str">
        <f>IFERROR(__xludf.DUMMYFUNCTION("""COMPUTED_VALUE"""),"620f44fde73af431f508dd63")</f>
        <v>620f44fde73af431f508dd63</v>
      </c>
      <c r="AK5" s="80" t="str">
        <f>IFERROR(__xludf.DUMMYFUNCTION("""COMPUTED_VALUE"""),"dm40113s2")</f>
        <v>dm40113s2</v>
      </c>
      <c r="AL5" s="80" t="str">
        <f>IFERROR(__xludf.DUMMYFUNCTION("""COMPUTED_VALUE"""),"password")</f>
        <v>password</v>
      </c>
      <c r="AM5" s="80" t="str">
        <f>IFERROR(__xludf.DUMMYFUNCTION("""COMPUTED_VALUE"""),"KANTOR REGIONAL III BANDUNG 40004")</f>
        <v>KANTOR REGIONAL III BANDUNG 40004</v>
      </c>
      <c r="AN5" s="80" t="str">
        <f>IFERROR(__xludf.DUMMYFUNCTION("""COMPUTED_VALUE"""),"SPP BANDUNG 40400")</f>
        <v>SPP BANDUNG 40400</v>
      </c>
      <c r="AO5" s="80" t="str">
        <f>IFERROR(__xludf.DUMMYFUNCTION("""COMPUTED_VALUE"""),"'0308220016199")</f>
        <v>'0308220016199</v>
      </c>
      <c r="AP5" s="80" t="str">
        <f>IFERROR(__xludf.DUMMYFUNCTION("""COMPUTED_VALUE"""),"03082200161990001")</f>
        <v>03082200161990001</v>
      </c>
      <c r="AQ5" s="83"/>
      <c r="AR5" s="80"/>
      <c r="AS5" s="80"/>
      <c r="AT5" s="80" t="str">
        <f>IFERROR(__xludf.DUMMYFUNCTION("""COMPUTED_VALUE"""),"-6.9192693")</f>
        <v>-6.9192693</v>
      </c>
      <c r="AU5" s="80" t="str">
        <f>IFERROR(__xludf.DUMMYFUNCTION("""COMPUTED_VALUE"""),"107.6267906")</f>
        <v>107.6267906</v>
      </c>
      <c r="AV5" s="80" t="str">
        <f>IFERROR(__xludf.DUMMYFUNCTION("""COMPUTED_VALUE"""),"BELUM ADA")</f>
        <v>BELUM ADA</v>
      </c>
      <c r="AW5" s="80" t="str">
        <f>IFERROR(__xludf.DUMMYFUNCTION("""COMPUTED_VALUE"""),"ADA")</f>
        <v>ADA</v>
      </c>
      <c r="AX5" s="80"/>
      <c r="AY5" s="80"/>
      <c r="AZ5" s="80"/>
      <c r="BA5" s="80" t="str">
        <f>IFERROR(__xludf.DUMMYFUNCTION("""COMPUTED_VALUE"""),"ADA")</f>
        <v>ADA</v>
      </c>
      <c r="BB5" s="80" t="str">
        <f>IFERROR(__xludf.DUMMYFUNCTION("""COMPUTED_VALUE"""),"ADA")</f>
        <v>ADA</v>
      </c>
      <c r="BC5" s="80" t="str">
        <f>IFERROR(__xludf.DUMMYFUNCTION("""COMPUTED_VALUE"""),"ADA")</f>
        <v>ADA</v>
      </c>
      <c r="BD5" s="80" t="str">
        <f>IFERROR(__xludf.DUMMYFUNCTION("""COMPUTED_VALUE"""),"ADA")</f>
        <v>ADA</v>
      </c>
      <c r="BE5" s="80" t="str">
        <f>IFERROR(__xludf.DUMMYFUNCTION("""COMPUTED_VALUE"""),"ADA")</f>
        <v>ADA</v>
      </c>
      <c r="BF5" s="80" t="str">
        <f>IFERROR(__xludf.DUMMYFUNCTION("""COMPUTED_VALUE"""),"ADA")</f>
        <v>ADA</v>
      </c>
      <c r="BG5" s="80" t="str">
        <f>IFERROR(__xludf.DUMMYFUNCTION("""COMPUTED_VALUE"""),"ADA")</f>
        <v>ADA</v>
      </c>
      <c r="BH5" s="80" t="str">
        <f>IFERROR(__xludf.DUMMYFUNCTION("""COMPUTED_VALUE"""),"ZJIANG 9200 BLUETOOTH")</f>
        <v>ZJIANG 9200 BLUETOOTH</v>
      </c>
      <c r="BI5" s="80" t="str">
        <f>IFERROR(__xludf.DUMMYFUNCTION("""COMPUTED_VALUE"""),"ADA")</f>
        <v>ADA</v>
      </c>
      <c r="BJ5" s="80" t="str">
        <f>IFERROR(__xludf.DUMMYFUNCTION("""COMPUTED_VALUE"""),"ADA")</f>
        <v>ADA</v>
      </c>
      <c r="BK5" s="80" t="str">
        <f>IFERROR(__xludf.DUMMYFUNCTION("""COMPUTED_VALUE"""),"TIDAK ADA")</f>
        <v>TIDAK ADA</v>
      </c>
      <c r="BL5" s="80" t="str">
        <f>IFERROR(__xludf.DUMMYFUNCTION("""COMPUTED_VALUE"""),"DEPOSIT")</f>
        <v>DEPOSIT</v>
      </c>
      <c r="BM5" s="80"/>
      <c r="BN5" s="80"/>
      <c r="BO5" s="80"/>
      <c r="BP5" s="80"/>
      <c r="BQ5" s="80"/>
      <c r="BR5" s="80"/>
      <c r="BS5" s="80"/>
      <c r="BT5" s="80"/>
      <c r="BU5" s="80"/>
      <c r="BV5" s="80" t="str">
        <f>IFERROR(__xludf.DUMMYFUNCTION("""COMPUTED_VALUE"""),"Ruby Residence No.5 Jalan Palgenep Margahayu Selatan Kab Bandung Jawa Barat")</f>
        <v>Ruby Residence No.5 Jalan Palgenep Margahayu Selatan Kab Bandung Jawa Barat</v>
      </c>
      <c r="BW5" s="80"/>
      <c r="BX5" s="80"/>
      <c r="BY5" s="80"/>
      <c r="BZ5" s="80"/>
      <c r="CA5" s="80"/>
      <c r="CB5" s="80"/>
      <c r="CC5" s="80"/>
      <c r="CD5" s="80"/>
      <c r="CE5" s="80"/>
      <c r="CF5" s="80"/>
      <c r="CG5" s="80"/>
      <c r="CH5" s="80"/>
      <c r="CI5" s="80"/>
      <c r="CJ5" s="80"/>
      <c r="CK5" s="2"/>
    </row>
    <row r="6" ht="12.75" customHeight="1">
      <c r="A6" s="85">
        <f>IFERROR(__xludf.DUMMYFUNCTION("""COMPUTED_VALUE"""),3.0)</f>
        <v>3</v>
      </c>
      <c r="B6" s="85" t="str">
        <f>IFERROR(__xludf.DUMMYFUNCTION("""COMPUTED_VALUE""")," 11 Januari 2022")</f>
        <v> 11 Januari 2022</v>
      </c>
      <c r="C6" s="85" t="str">
        <f>IFERROR(__xludf.DUMMYFUNCTION("""COMPUTED_VALUE""")," 11 Januari 2022")</f>
        <v> 11 Januari 2022</v>
      </c>
      <c r="D6" s="86"/>
      <c r="E6" s="88"/>
      <c r="F6" s="85" t="str">
        <f>IFERROR(__xludf.DUMMYFUNCTION("""COMPUTED_VALUE"""),"7 OKTOBER 2022")</f>
        <v>7 OKTOBER 2022</v>
      </c>
      <c r="G6" s="86">
        <f>IFERROR(__xludf.DUMMYFUNCTION("""COMPUTED_VALUE"""),44789.0)</f>
        <v>44789</v>
      </c>
      <c r="H6" s="85"/>
      <c r="I6" s="85" t="str">
        <f>IFERROR(__xludf.DUMMYFUNCTION("""COMPUTED_VALUE"""),"1/10/2022")</f>
        <v>1/10/2022</v>
      </c>
      <c r="J6" s="85" t="str">
        <f>IFERROR(__xludf.DUMMYFUNCTION("""COMPUTED_VALUE"""),"23/08/2022")</f>
        <v>23/08/2022</v>
      </c>
      <c r="K6" s="85"/>
      <c r="L6" s="85"/>
      <c r="M6" s="85"/>
      <c r="N6" s="85"/>
      <c r="O6" s="85"/>
      <c r="P6" s="85" t="str">
        <f>IFERROR(__xludf.DUMMYFUNCTION("""COMPUTED_VALUE"""),"53BSPA23563JBRND")</f>
        <v>53BSPA23563JBRND</v>
      </c>
      <c r="Q6" s="85" t="str">
        <f>IFERROR(__xludf.DUMMYFUNCTION("""COMPUTED_VALUE"""),"IND")</f>
        <v>IND</v>
      </c>
      <c r="R6" s="85" t="str">
        <f>IFERROR(__xludf.DUMMYFUNCTION("""COMPUTED_VALUE"""),"KARYANO")</f>
        <v>KARYANO</v>
      </c>
      <c r="S6" s="85" t="str">
        <f>IFERROR(__xludf.DUMMYFUNCTION("""COMPUTED_VALUE"""),"Karyano")</f>
        <v>Karyano</v>
      </c>
      <c r="T6" s="85" t="str">
        <f>IFERROR(__xludf.DUMMYFUNCTION("""COMPUTED_VALUE"""),"Desa Panjalin Lor Rt 02 Rw 01 Kel Panjalin Lor Kec Sumber Jaya Kab Majalengka Jawa Barat 45455")</f>
        <v>Desa Panjalin Lor Rt 02 Rw 01 Kel Panjalin Lor Kec Sumber Jaya Kab Majalengka Jawa Barat 45455</v>
      </c>
      <c r="U6" s="85" t="str">
        <f>IFERROR(__xludf.DUMMYFUNCTION("""COMPUTED_VALUE"""),"DESA PANJALIN LOR RT 02 RW 01")</f>
        <v>DESA PANJALIN LOR RT 02 RW 01</v>
      </c>
      <c r="V6" s="85" t="str">
        <f>IFERROR(__xludf.DUMMYFUNCTION("""COMPUTED_VALUE"""),"002/001")</f>
        <v>002/001</v>
      </c>
      <c r="W6" s="85" t="str">
        <f>IFERROR(__xludf.DUMMYFUNCTION("""COMPUTED_VALUE"""),"PANJALIN LOR")</f>
        <v>PANJALIN LOR</v>
      </c>
      <c r="X6" s="85" t="str">
        <f>IFERROR(__xludf.DUMMYFUNCTION("""COMPUTED_VALUE"""),"SUMBER JAYA")</f>
        <v>SUMBER JAYA</v>
      </c>
      <c r="Y6" s="85" t="str">
        <f>IFERROR(__xludf.DUMMYFUNCTION("""COMPUTED_VALUE"""),"KAB. MAJALENGKA")</f>
        <v>KAB. MAJALENGKA</v>
      </c>
      <c r="Z6" s="85" t="str">
        <f>IFERROR(__xludf.DUMMYFUNCTION("""COMPUTED_VALUE"""),"JAWA BARAT")</f>
        <v>JAWA BARAT</v>
      </c>
      <c r="AA6" s="85" t="str">
        <f>IFERROR(__xludf.DUMMYFUNCTION("""COMPUTED_VALUE"""),"45455")</f>
        <v>45455</v>
      </c>
      <c r="AB6" s="85" t="str">
        <f>IFERROR(__xludf.DUMMYFUNCTION("""COMPUTED_VALUE"""),"3210171809750021")</f>
        <v>3210171809750021</v>
      </c>
      <c r="AC6" s="85" t="str">
        <f>IFERROR(__xludf.DUMMYFUNCTION("""COMPUTED_VALUE"""),"95.514.434.0-438.000")</f>
        <v>95.514.434.0-438.000</v>
      </c>
      <c r="AD6" s="85" t="str">
        <f>IFERROR(__xludf.DUMMYFUNCTION("""COMPUTED_VALUE"""),"CUM - NDS")</f>
        <v>CUM - NDS</v>
      </c>
      <c r="AE6" s="85" t="str">
        <f>IFERROR(__xludf.DUMMYFUNCTION("""COMPUTED_VALUE"""),"SUB NURUL DIMAS")</f>
        <v>SUB NURUL DIMAS</v>
      </c>
      <c r="AF6" s="85" t="str">
        <f>IFERROR(__xludf.DUMMYFUNCTION("""COMPUTED_VALUE"""),"081324512860")</f>
        <v>081324512860</v>
      </c>
      <c r="AG6" s="85" t="str">
        <f>IFERROR(__xludf.DUMMYFUNCTION("""COMPUTED_VALUE"""),"081324512860")</f>
        <v>081324512860</v>
      </c>
      <c r="AH6" s="85" t="str">
        <f>IFERROR(__xludf.DUMMYFUNCTION("""COMPUTED_VALUE"""),"karyano1975@gmail.com")</f>
        <v>karyano1975@gmail.com</v>
      </c>
      <c r="AI6" s="85" t="str">
        <f>IFERROR(__xludf.DUMMYFUNCTION("""COMPUTED_VALUE"""),"45455S2")</f>
        <v>45455S2</v>
      </c>
      <c r="AJ6" s="85" t="str">
        <f>IFERROR(__xludf.DUMMYFUNCTION("""COMPUTED_VALUE"""),"6211a3ce5bb90f52364e0b09")</f>
        <v>6211a3ce5bb90f52364e0b09</v>
      </c>
      <c r="AK6" s="85" t="str">
        <f>IFERROR(__xludf.DUMMYFUNCTION("""COMPUTED_VALUE"""),"dm45455s2")</f>
        <v>dm45455s2</v>
      </c>
      <c r="AL6" s="85" t="str">
        <f>IFERROR(__xludf.DUMMYFUNCTION("""COMPUTED_VALUE"""),"password")</f>
        <v>password</v>
      </c>
      <c r="AM6" s="85" t="str">
        <f>IFERROR(__xludf.DUMMYFUNCTION("""COMPUTED_VALUE"""),"KANTOR REGIONAL III BANDUNG 40004")</f>
        <v>KANTOR REGIONAL III BANDUNG 40004</v>
      </c>
      <c r="AN6" s="85" t="str">
        <f>IFERROR(__xludf.DUMMYFUNCTION("""COMPUTED_VALUE"""),"KPRK MAJALENGKA 45400")</f>
        <v>KPRK MAJALENGKA 45400</v>
      </c>
      <c r="AO6" s="85" t="str">
        <f>IFERROR(__xludf.DUMMYFUNCTION("""COMPUTED_VALUE"""),"0208220052716")</f>
        <v>0208220052716</v>
      </c>
      <c r="AP6" s="85" t="str">
        <f>IFERROR(__xludf.DUMMYFUNCTION("""COMPUTED_VALUE"""),"02082200527160001")</f>
        <v>02082200527160001</v>
      </c>
      <c r="AQ6" s="93"/>
      <c r="AR6" s="85"/>
      <c r="AS6" s="85"/>
      <c r="AT6" s="85" t="str">
        <f>IFERROR(__xludf.DUMMYFUNCTION("""COMPUTED_VALUE"""),"-66,841,102")</f>
        <v>-66,841,102</v>
      </c>
      <c r="AU6" s="85" t="str">
        <f>IFERROR(__xludf.DUMMYFUNCTION("""COMPUTED_VALUE"""),"1,083,501,149")</f>
        <v>1,083,501,149</v>
      </c>
      <c r="AV6" s="85" t="str">
        <f>IFERROR(__xludf.DUMMYFUNCTION("""COMPUTED_VALUE"""),"ADA")</f>
        <v>ADA</v>
      </c>
      <c r="AW6" s="85" t="str">
        <f>IFERROR(__xludf.DUMMYFUNCTION("""COMPUTED_VALUE"""),"ADA")</f>
        <v>ADA</v>
      </c>
      <c r="AX6" s="85"/>
      <c r="AY6" s="85"/>
      <c r="AZ6" s="85"/>
      <c r="BA6" s="85" t="str">
        <f>IFERROR(__xludf.DUMMYFUNCTION("""COMPUTED_VALUE"""),"ADA")</f>
        <v>ADA</v>
      </c>
      <c r="BB6" s="85" t="str">
        <f>IFERROR(__xludf.DUMMYFUNCTION("""COMPUTED_VALUE"""),"ADA")</f>
        <v>ADA</v>
      </c>
      <c r="BC6" s="85" t="str">
        <f>IFERROR(__xludf.DUMMYFUNCTION("""COMPUTED_VALUE"""),"ADA")</f>
        <v>ADA</v>
      </c>
      <c r="BD6" s="85" t="str">
        <f>IFERROR(__xludf.DUMMYFUNCTION("""COMPUTED_VALUE"""),"ADA")</f>
        <v>ADA</v>
      </c>
      <c r="BE6" s="85" t="str">
        <f>IFERROR(__xludf.DUMMYFUNCTION("""COMPUTED_VALUE"""),"ADA")</f>
        <v>ADA</v>
      </c>
      <c r="BF6" s="85" t="str">
        <f>IFERROR(__xludf.DUMMYFUNCTION("""COMPUTED_VALUE"""),"ADA")</f>
        <v>ADA</v>
      </c>
      <c r="BG6" s="85" t="str">
        <f>IFERROR(__xludf.DUMMYFUNCTION("""COMPUTED_VALUE"""),"ADA")</f>
        <v>ADA</v>
      </c>
      <c r="BH6" s="85" t="str">
        <f>IFERROR(__xludf.DUMMYFUNCTION("""COMPUTED_VALUE"""),"CANON G1010")</f>
        <v>CANON G1010</v>
      </c>
      <c r="BI6" s="85" t="str">
        <f>IFERROR(__xludf.DUMMYFUNCTION("""COMPUTED_VALUE"""),"ADA")</f>
        <v>ADA</v>
      </c>
      <c r="BJ6" s="85" t="str">
        <f>IFERROR(__xludf.DUMMYFUNCTION("""COMPUTED_VALUE"""),"KERTAS HVS")</f>
        <v>KERTAS HVS</v>
      </c>
      <c r="BK6" s="85" t="str">
        <f>IFERROR(__xludf.DUMMYFUNCTION("""COMPUTED_VALUE"""),"TIDAK ADA")</f>
        <v>TIDAK ADA</v>
      </c>
      <c r="BL6" s="85" t="str">
        <f>IFERROR(__xludf.DUMMYFUNCTION("""COMPUTED_VALUE"""),"PLAFON")</f>
        <v>PLAFON</v>
      </c>
      <c r="BM6" s="85"/>
      <c r="BN6" s="85"/>
      <c r="BO6" s="85"/>
      <c r="BP6" s="85"/>
      <c r="BQ6" s="85"/>
      <c r="BR6" s="85"/>
      <c r="BS6" s="85"/>
      <c r="BT6" s="85"/>
      <c r="BU6" s="85"/>
      <c r="BV6" s="85" t="str">
        <f>IFERROR(__xludf.DUMMYFUNCTION("""COMPUTED_VALUE"""),"Desa Panjalin Lor Rt 02 Rw 01 Kel Panjalin Lor Kec Sumber Jaya Kab Majalengka Jawa Barat 45455")</f>
        <v>Desa Panjalin Lor Rt 02 Rw 01 Kel Panjalin Lor Kec Sumber Jaya Kab Majalengka Jawa Barat 45455</v>
      </c>
      <c r="BW6" s="85"/>
      <c r="BX6" s="85"/>
      <c r="BY6" s="85"/>
      <c r="BZ6" s="85"/>
      <c r="CA6" s="85"/>
      <c r="CB6" s="85"/>
      <c r="CC6" s="85"/>
      <c r="CD6" s="85"/>
      <c r="CE6" s="85"/>
      <c r="CF6" s="85"/>
      <c r="CG6" s="85"/>
      <c r="CH6" s="85"/>
      <c r="CI6" s="85"/>
      <c r="CJ6" s="85"/>
      <c r="CK6" s="2"/>
    </row>
    <row r="7" ht="12.75" customHeight="1">
      <c r="A7" s="80">
        <f>IFERROR(__xludf.DUMMYFUNCTION("""COMPUTED_VALUE"""),4.0)</f>
        <v>4</v>
      </c>
      <c r="B7" s="80" t="str">
        <f>IFERROR(__xludf.DUMMYFUNCTION("""COMPUTED_VALUE"""),"20 Januari 2022")</f>
        <v>20 Januari 2022</v>
      </c>
      <c r="C7" s="80" t="str">
        <f>IFERROR(__xludf.DUMMYFUNCTION("""COMPUTED_VALUE"""),"20 Januari 2022")</f>
        <v>20 Januari 2022</v>
      </c>
      <c r="D7" s="81"/>
      <c r="E7" s="82"/>
      <c r="F7" s="80" t="str">
        <f>IFERROR(__xludf.DUMMYFUNCTION("""COMPUTED_VALUE"""),"6 OKTOBER 2022")</f>
        <v>6 OKTOBER 2022</v>
      </c>
      <c r="G7" s="81">
        <f>IFERROR(__xludf.DUMMYFUNCTION("""COMPUTED_VALUE"""),44839.0)</f>
        <v>44839</v>
      </c>
      <c r="H7" s="80"/>
      <c r="I7" s="80" t="str">
        <f>IFERROR(__xludf.DUMMYFUNCTION("""COMPUTED_VALUE"""),"6/10/2022")</f>
        <v>6/10/2022</v>
      </c>
      <c r="J7" s="80" t="str">
        <f>IFERROR(__xludf.DUMMYFUNCTION("""COMPUTED_VALUE"""),"23/12/2022")</f>
        <v>23/12/2022</v>
      </c>
      <c r="K7" s="80"/>
      <c r="L7" s="80"/>
      <c r="M7" s="80"/>
      <c r="N7" s="80"/>
      <c r="O7" s="80"/>
      <c r="P7" s="80" t="str">
        <f>IFERROR(__xludf.DUMMYFUNCTION("""COMPUTED_VALUE"""),"53BSPA16129JBNDS")</f>
        <v>53BSPA16129JBNDS</v>
      </c>
      <c r="Q7" s="80" t="str">
        <f>IFERROR(__xludf.DUMMYFUNCTION("""COMPUTED_VALUE"""),"DODON CELL")</f>
        <v>DODON CELL</v>
      </c>
      <c r="R7" s="80" t="str">
        <f>IFERROR(__xludf.DUMMYFUNCTION("""COMPUTED_VALUE"""),"DODON CELL")</f>
        <v>DODON CELL</v>
      </c>
      <c r="S7" s="80" t="str">
        <f>IFERROR(__xludf.DUMMYFUNCTION("""COMPUTED_VALUE"""),"Suhardi")</f>
        <v>Suhardi</v>
      </c>
      <c r="T7" s="80" t="str">
        <f>IFERROR(__xludf.DUMMYFUNCTION("""COMPUTED_VALUE"""),"Dalam Desa Rt 001 Rw 001 Kel Pakembangan Kec Garawangi Kab Kuningan Jawa Barat 45571")</f>
        <v>Dalam Desa Rt 001 Rw 001 Kel Pakembangan Kec Garawangi Kab Kuningan Jawa Barat 45571</v>
      </c>
      <c r="U7" s="80" t="str">
        <f>IFERROR(__xludf.DUMMYFUNCTION("""COMPUTED_VALUE"""),"Dalam Desa Rt 001 RW 001 Kel Pakembangan Kec Garawangi Kab Kuningan Jawa Barat 45571")</f>
        <v>Dalam Desa Rt 001 RW 001 Kel Pakembangan Kec Garawangi Kab Kuningan Jawa Barat 45571</v>
      </c>
      <c r="V7" s="80" t="str">
        <f>IFERROR(__xludf.DUMMYFUNCTION("""COMPUTED_VALUE"""),"001/001")</f>
        <v>001/001</v>
      </c>
      <c r="W7" s="80" t="str">
        <f>IFERROR(__xludf.DUMMYFUNCTION("""COMPUTED_VALUE"""),"Pakembangan")</f>
        <v>Pakembangan</v>
      </c>
      <c r="X7" s="80" t="str">
        <f>IFERROR(__xludf.DUMMYFUNCTION("""COMPUTED_VALUE"""),"Garawangi")</f>
        <v>Garawangi</v>
      </c>
      <c r="Y7" s="80" t="str">
        <f>IFERROR(__xludf.DUMMYFUNCTION("""COMPUTED_VALUE"""),"Kuningan")</f>
        <v>Kuningan</v>
      </c>
      <c r="Z7" s="80" t="str">
        <f>IFERROR(__xludf.DUMMYFUNCTION("""COMPUTED_VALUE"""),"JAWA BARAT")</f>
        <v>JAWA BARAT</v>
      </c>
      <c r="AA7" s="80" t="str">
        <f>IFERROR(__xludf.DUMMYFUNCTION("""COMPUTED_VALUE"""),"45571")</f>
        <v>45571</v>
      </c>
      <c r="AB7" s="80" t="str">
        <f>IFERROR(__xludf.DUMMYFUNCTION("""COMPUTED_VALUE"""),"3208081507750006")</f>
        <v>3208081507750006</v>
      </c>
      <c r="AC7" s="80" t="str">
        <f>IFERROR(__xludf.DUMMYFUNCTION("""COMPUTED_VALUE"""),"82.640.029.3-438.000")</f>
        <v>82.640.029.3-438.000</v>
      </c>
      <c r="AD7" s="80" t="str">
        <f>IFERROR(__xludf.DUMMYFUNCTION("""COMPUTED_VALUE"""),"CUM - NDS")</f>
        <v>CUM - NDS</v>
      </c>
      <c r="AE7" s="80" t="str">
        <f>IFERROR(__xludf.DUMMYFUNCTION("""COMPUTED_VALUE"""),"SUB NURUL DIMAS")</f>
        <v>SUB NURUL DIMAS</v>
      </c>
      <c r="AF7" s="80" t="str">
        <f>IFERROR(__xludf.DUMMYFUNCTION("""COMPUTED_VALUE"""),"087893435753")</f>
        <v>087893435753</v>
      </c>
      <c r="AG7" s="80" t="str">
        <f>IFERROR(__xludf.DUMMYFUNCTION("""COMPUTED_VALUE"""),"087893435753")</f>
        <v>087893435753</v>
      </c>
      <c r="AH7" s="80" t="str">
        <f>IFERROR(__xludf.DUMMYFUNCTION("""COMPUTED_VALUE"""),"dodoncell@gmail.com")</f>
        <v>dodoncell@gmail.com</v>
      </c>
      <c r="AI7" s="80" t="str">
        <f>IFERROR(__xludf.DUMMYFUNCTION("""COMPUTED_VALUE"""),"45571S1")</f>
        <v>45571S1</v>
      </c>
      <c r="AJ7" s="80" t="str">
        <f>IFERROR(__xludf.DUMMYFUNCTION("""COMPUTED_VALUE"""),"6210ec2857f5ac485347ddd9")</f>
        <v>6210ec2857f5ac485347ddd9</v>
      </c>
      <c r="AK7" s="80" t="str">
        <f>IFERROR(__xludf.DUMMYFUNCTION("""COMPUTED_VALUE"""),"dm45571s1")</f>
        <v>dm45571s1</v>
      </c>
      <c r="AL7" s="80" t="str">
        <f>IFERROR(__xludf.DUMMYFUNCTION("""COMPUTED_VALUE"""),"password")</f>
        <v>password</v>
      </c>
      <c r="AM7" s="80" t="str">
        <f>IFERROR(__xludf.DUMMYFUNCTION("""COMPUTED_VALUE"""),"KANTOR REGIONAL III BANDUNG 40004")</f>
        <v>KANTOR REGIONAL III BANDUNG 40004</v>
      </c>
      <c r="AN7" s="80" t="str">
        <f>IFERROR(__xludf.DUMMYFUNCTION("""COMPUTED_VALUE"""),"KPRK KUNINGAN 45500")</f>
        <v>KPRK KUNINGAN 45500</v>
      </c>
      <c r="AO7" s="80" t="str">
        <f>IFERROR(__xludf.DUMMYFUNCTION("""COMPUTED_VALUE"""),"0208220057532")</f>
        <v>0208220057532</v>
      </c>
      <c r="AP7" s="80" t="str">
        <f>IFERROR(__xludf.DUMMYFUNCTION("""COMPUTED_VALUE"""),"02082200575320001")</f>
        <v>02082200575320001</v>
      </c>
      <c r="AQ7" s="83"/>
      <c r="AR7" s="80"/>
      <c r="AS7" s="80"/>
      <c r="AT7" s="80" t="str">
        <f>IFERROR(__xludf.DUMMYFUNCTION("""COMPUTED_VALUE"""),"-70,135,689")</f>
        <v>-70,135,689</v>
      </c>
      <c r="AU7" s="80" t="str">
        <f>IFERROR(__xludf.DUMMYFUNCTION("""COMPUTED_VALUE"""),"1,085,190,858")</f>
        <v>1,085,190,858</v>
      </c>
      <c r="AV7" s="80" t="str">
        <f>IFERROR(__xludf.DUMMYFUNCTION("""COMPUTED_VALUE"""),"ADA")</f>
        <v>ADA</v>
      </c>
      <c r="AW7" s="80" t="str">
        <f>IFERROR(__xludf.DUMMYFUNCTION("""COMPUTED_VALUE"""),"ADA")</f>
        <v>ADA</v>
      </c>
      <c r="AX7" s="80"/>
      <c r="AY7" s="80"/>
      <c r="AZ7" s="80"/>
      <c r="BA7" s="80" t="str">
        <f>IFERROR(__xludf.DUMMYFUNCTION("""COMPUTED_VALUE"""),"ADA")</f>
        <v>ADA</v>
      </c>
      <c r="BB7" s="80" t="str">
        <f>IFERROR(__xludf.DUMMYFUNCTION("""COMPUTED_VALUE"""),"ADA")</f>
        <v>ADA</v>
      </c>
      <c r="BC7" s="80" t="str">
        <f>IFERROR(__xludf.DUMMYFUNCTION("""COMPUTED_VALUE"""),"ADA")</f>
        <v>ADA</v>
      </c>
      <c r="BD7" s="80" t="str">
        <f>IFERROR(__xludf.DUMMYFUNCTION("""COMPUTED_VALUE"""),"ADA")</f>
        <v>ADA</v>
      </c>
      <c r="BE7" s="80" t="str">
        <f>IFERROR(__xludf.DUMMYFUNCTION("""COMPUTED_VALUE"""),"ADA")</f>
        <v>ADA</v>
      </c>
      <c r="BF7" s="80" t="str">
        <f>IFERROR(__xludf.DUMMYFUNCTION("""COMPUTED_VALUE"""),"ADA")</f>
        <v>ADA</v>
      </c>
      <c r="BG7" s="80" t="str">
        <f>IFERROR(__xludf.DUMMYFUNCTION("""COMPUTED_VALUE"""),"ADA")</f>
        <v>ADA</v>
      </c>
      <c r="BH7" s="80" t="str">
        <f>IFERROR(__xludf.DUMMYFUNCTION("""COMPUTED_VALUE"""),"BLUEPRINT")</f>
        <v>BLUEPRINT</v>
      </c>
      <c r="BI7" s="80" t="str">
        <f>IFERROR(__xludf.DUMMYFUNCTION("""COMPUTED_VALUE"""),"ADA")</f>
        <v>ADA</v>
      </c>
      <c r="BJ7" s="80" t="str">
        <f>IFERROR(__xludf.DUMMYFUNCTION("""COMPUTED_VALUE"""),"STICKER")</f>
        <v>STICKER</v>
      </c>
      <c r="BK7" s="80" t="str">
        <f>IFERROR(__xludf.DUMMYFUNCTION("""COMPUTED_VALUE"""),"ADA")</f>
        <v>ADA</v>
      </c>
      <c r="BL7" s="80" t="str">
        <f>IFERROR(__xludf.DUMMYFUNCTION("""COMPUTED_VALUE"""),"DEPOSIT")</f>
        <v>DEPOSIT</v>
      </c>
      <c r="BM7" s="80"/>
      <c r="BN7" s="80"/>
      <c r="BO7" s="80"/>
      <c r="BP7" s="80"/>
      <c r="BQ7" s="80"/>
      <c r="BR7" s="80"/>
      <c r="BS7" s="80"/>
      <c r="BT7" s="80"/>
      <c r="BU7" s="80"/>
      <c r="BV7" s="80" t="str">
        <f>IFERROR(__xludf.DUMMYFUNCTION("""COMPUTED_VALUE"""),"Dalam Desa Rt 001 Rw 001 Kel Pakembangan Kec Garawangi Kab Kuningan Jawa Barat 45571")</f>
        <v>Dalam Desa Rt 001 Rw 001 Kel Pakembangan Kec Garawangi Kab Kuningan Jawa Barat 45571</v>
      </c>
      <c r="BW7" s="80"/>
      <c r="BX7" s="80"/>
      <c r="BY7" s="80"/>
      <c r="BZ7" s="80"/>
      <c r="CA7" s="80"/>
      <c r="CB7" s="80"/>
      <c r="CC7" s="80"/>
      <c r="CD7" s="80"/>
      <c r="CE7" s="80"/>
      <c r="CF7" s="80"/>
      <c r="CG7" s="80"/>
      <c r="CH7" s="80"/>
      <c r="CI7" s="80"/>
      <c r="CJ7" s="80"/>
      <c r="CK7" s="2"/>
    </row>
    <row r="8" ht="12.75" customHeight="1">
      <c r="A8" s="85">
        <f>IFERROR(__xludf.DUMMYFUNCTION("""COMPUTED_VALUE"""),5.0)</f>
        <v>5</v>
      </c>
      <c r="B8" s="85" t="str">
        <f>IFERROR(__xludf.DUMMYFUNCTION("""COMPUTED_VALUE"""),"11 Januari 2022")</f>
        <v>11 Januari 2022</v>
      </c>
      <c r="C8" s="85" t="str">
        <f>IFERROR(__xludf.DUMMYFUNCTION("""COMPUTED_VALUE"""),"11 Januari 2022")</f>
        <v>11 Januari 2022</v>
      </c>
      <c r="D8" s="86"/>
      <c r="E8" s="88"/>
      <c r="F8" s="85" t="str">
        <f>IFERROR(__xludf.DUMMYFUNCTION("""COMPUTED_VALUE"""),"25-08-2022")</f>
        <v>25-08-2022</v>
      </c>
      <c r="G8" s="86">
        <f>IFERROR(__xludf.DUMMYFUNCTION("""COMPUTED_VALUE"""),44799.0)</f>
        <v>44799</v>
      </c>
      <c r="H8" s="85"/>
      <c r="I8" s="85" t="str">
        <f>IFERROR(__xludf.DUMMYFUNCTION("""COMPUTED_VALUE"""),"25-08-2022")</f>
        <v>25-08-2022</v>
      </c>
      <c r="J8" s="85" t="str">
        <f>IFERROR(__xludf.DUMMYFUNCTION("""COMPUTED_VALUE"""),"12/10/2022")</f>
        <v>12/10/2022</v>
      </c>
      <c r="K8" s="85"/>
      <c r="L8" s="85"/>
      <c r="M8" s="85"/>
      <c r="N8" s="85"/>
      <c r="O8" s="85"/>
      <c r="P8" s="85" t="str">
        <f>IFERROR(__xludf.DUMMYFUNCTION("""COMPUTED_VALUE"""),"KH3SPA12903JTAMD")</f>
        <v>KH3SPA12903JTAMD</v>
      </c>
      <c r="Q8" s="85" t="str">
        <f>IFERROR(__xludf.DUMMYFUNCTION("""COMPUTED_VALUE"""),"CV. AlKautsar")</f>
        <v>CV. AlKautsar</v>
      </c>
      <c r="R8" s="85" t="str">
        <f>IFERROR(__xludf.DUMMYFUNCTION("""COMPUTED_VALUE"""),"AL KAUTSAR")</f>
        <v>AL KAUTSAR</v>
      </c>
      <c r="S8" s="85" t="str">
        <f>IFERROR(__xludf.DUMMYFUNCTION("""COMPUTED_VALUE"""),"Sundari")</f>
        <v>Sundari</v>
      </c>
      <c r="T8" s="85" t="str">
        <f>IFERROR(__xludf.DUMMYFUNCTION("""COMPUTED_VALUE"""),"Kadirejo Rt 50/17, Mranggen, Jatinom Klaten Jawa Tengah 57481")</f>
        <v>Kadirejo Rt 50/17, Mranggen, Jatinom Klaten Jawa Tengah 57481</v>
      </c>
      <c r="U8" s="85" t="str">
        <f>IFERROR(__xludf.DUMMYFUNCTION("""COMPUTED_VALUE"""),"KADIREJO RT 50/17, MRANGGEN, JATINOM KLATEN JAWA TENGAH 57481")</f>
        <v>KADIREJO RT 50/17, MRANGGEN, JATINOM KLATEN JAWA TENGAH 57481</v>
      </c>
      <c r="V8" s="85" t="str">
        <f>IFERROR(__xludf.DUMMYFUNCTION("""COMPUTED_VALUE"""),"50/17")</f>
        <v>50/17</v>
      </c>
      <c r="W8" s="85" t="str">
        <f>IFERROR(__xludf.DUMMYFUNCTION("""COMPUTED_VALUE"""),"MRANGGEN")</f>
        <v>MRANGGEN</v>
      </c>
      <c r="X8" s="85" t="str">
        <f>IFERROR(__xludf.DUMMYFUNCTION("""COMPUTED_VALUE"""),"JATINOM")</f>
        <v>JATINOM</v>
      </c>
      <c r="Y8" s="85" t="str">
        <f>IFERROR(__xludf.DUMMYFUNCTION("""COMPUTED_VALUE"""),"Klaten")</f>
        <v>Klaten</v>
      </c>
      <c r="Z8" s="85" t="str">
        <f>IFERROR(__xludf.DUMMYFUNCTION("""COMPUTED_VALUE"""),"JAWA TENGAH")</f>
        <v>JAWA TENGAH</v>
      </c>
      <c r="AA8" s="85" t="str">
        <f>IFERROR(__xludf.DUMMYFUNCTION("""COMPUTED_VALUE"""),"57481")</f>
        <v>57481</v>
      </c>
      <c r="AB8" s="85" t="str">
        <f>IFERROR(__xludf.DUMMYFUNCTION("""COMPUTED_VALUE"""),"3310206709810002")</f>
        <v>3310206709810002</v>
      </c>
      <c r="AC8" s="85" t="str">
        <f>IFERROR(__xludf.DUMMYFUNCTION("""COMPUTED_VALUE"""),"57.943.318.6-525.000")</f>
        <v>57.943.318.6-525.000</v>
      </c>
      <c r="AD8" s="85" t="str">
        <f>IFERROR(__xludf.DUMMYFUNCTION("""COMPUTED_VALUE"""),"CUM - AMI")</f>
        <v>CUM - AMI</v>
      </c>
      <c r="AE8" s="85" t="str">
        <f>IFERROR(__xludf.DUMMYFUNCTION("""COMPUTED_VALUE"""),"SUB AMINUDDIN")</f>
        <v>SUB AMINUDDIN</v>
      </c>
      <c r="AF8" s="85" t="str">
        <f>IFERROR(__xludf.DUMMYFUNCTION("""COMPUTED_VALUE"""),"081329294335")</f>
        <v>081329294335</v>
      </c>
      <c r="AG8" s="85" t="str">
        <f>IFERROR(__xludf.DUMMYFUNCTION("""COMPUTED_VALUE"""),"081329294335")</f>
        <v>081329294335</v>
      </c>
      <c r="AH8" s="85" t="str">
        <f>IFERROR(__xludf.DUMMYFUNCTION("""COMPUTED_VALUE"""),"samidi.klt@gmail.com")</f>
        <v>samidi.klt@gmail.com</v>
      </c>
      <c r="AI8" s="85" t="str">
        <f>IFERROR(__xludf.DUMMYFUNCTION("""COMPUTED_VALUE"""),"57481S3")</f>
        <v>57481S3</v>
      </c>
      <c r="AJ8" s="85" t="str">
        <f>IFERROR(__xludf.DUMMYFUNCTION("""COMPUTED_VALUE"""),"61f253f47fc1ac7560092ab3")</f>
        <v>61f253f47fc1ac7560092ab3</v>
      </c>
      <c r="AK8" s="85" t="str">
        <f>IFERROR(__xludf.DUMMYFUNCTION("""COMPUTED_VALUE"""),"dm57481s3")</f>
        <v>dm57481s3</v>
      </c>
      <c r="AL8" s="85" t="str">
        <f>IFERROR(__xludf.DUMMYFUNCTION("""COMPUTED_VALUE"""),"password")</f>
        <v>password</v>
      </c>
      <c r="AM8" s="85" t="str">
        <f>IFERROR(__xludf.DUMMYFUNCTION("""COMPUTED_VALUE"""),"KANTOR REGIONAL IV SEMARANG 50004")</f>
        <v>KANTOR REGIONAL IV SEMARANG 50004</v>
      </c>
      <c r="AN8" s="85" t="str">
        <f>IFERROR(__xludf.DUMMYFUNCTION("""COMPUTED_VALUE"""),"KPRK KLATEN 57400")</f>
        <v>KPRK KLATEN 57400</v>
      </c>
      <c r="AO8" s="85" t="str">
        <f>IFERROR(__xludf.DUMMYFUNCTION("""COMPUTED_VALUE"""),"010822006168")</f>
        <v>010822006168</v>
      </c>
      <c r="AP8" s="85" t="str">
        <f>IFERROR(__xludf.DUMMYFUNCTION("""COMPUTED_VALUE"""),"01082200561680001")</f>
        <v>01082200561680001</v>
      </c>
      <c r="AQ8" s="93"/>
      <c r="AR8" s="85"/>
      <c r="AS8" s="85"/>
      <c r="AT8" s="85" t="str">
        <f>IFERROR(__xludf.DUMMYFUNCTION("""COMPUTED_VALUE"""),"S 7°40'16.2336"" ")</f>
        <v>S 7°40'16.2336" </v>
      </c>
      <c r="AU8" s="85" t="str">
        <f>IFERROR(__xludf.DUMMYFUNCTION("""COMPUTED_VALUE"""),"E 110°34'45.4476"" ")</f>
        <v>E 110°34'45.4476" </v>
      </c>
      <c r="AV8" s="85" t="str">
        <f>IFERROR(__xludf.DUMMYFUNCTION("""COMPUTED_VALUE"""),"ADA")</f>
        <v>ADA</v>
      </c>
      <c r="AW8" s="85" t="str">
        <f>IFERROR(__xludf.DUMMYFUNCTION("""COMPUTED_VALUE"""),"ADA")</f>
        <v>ADA</v>
      </c>
      <c r="AX8" s="85"/>
      <c r="AY8" s="85"/>
      <c r="AZ8" s="85"/>
      <c r="BA8" s="85" t="str">
        <f>IFERROR(__xludf.DUMMYFUNCTION("""COMPUTED_VALUE"""),"ADA")</f>
        <v>ADA</v>
      </c>
      <c r="BB8" s="85" t="str">
        <f>IFERROR(__xludf.DUMMYFUNCTION("""COMPUTED_VALUE"""),"ADA")</f>
        <v>ADA</v>
      </c>
      <c r="BC8" s="85" t="str">
        <f>IFERROR(__xludf.DUMMYFUNCTION("""COMPUTED_VALUE"""),"ADA")</f>
        <v>ADA</v>
      </c>
      <c r="BD8" s="85" t="str">
        <f>IFERROR(__xludf.DUMMYFUNCTION("""COMPUTED_VALUE"""),"ADA")</f>
        <v>ADA</v>
      </c>
      <c r="BE8" s="85" t="str">
        <f>IFERROR(__xludf.DUMMYFUNCTION("""COMPUTED_VALUE"""),"ADA")</f>
        <v>ADA</v>
      </c>
      <c r="BF8" s="85" t="str">
        <f>IFERROR(__xludf.DUMMYFUNCTION("""COMPUTED_VALUE"""),"ADA")</f>
        <v>ADA</v>
      </c>
      <c r="BG8" s="85" t="str">
        <f>IFERROR(__xludf.DUMMYFUNCTION("""COMPUTED_VALUE"""),"ADA")</f>
        <v>ADA</v>
      </c>
      <c r="BH8" s="85" t="str">
        <f>IFERROR(__xludf.DUMMYFUNCTION("""COMPUTED_VALUE"""),"EPPOS EP-9200U")</f>
        <v>EPPOS EP-9200U</v>
      </c>
      <c r="BI8" s="85" t="str">
        <f>IFERROR(__xludf.DUMMYFUNCTION("""COMPUTED_VALUE"""),"ADA")</f>
        <v>ADA</v>
      </c>
      <c r="BJ8" s="85" t="str">
        <f>IFERROR(__xludf.DUMMYFUNCTION("""COMPUTED_VALUE"""),"TIDAK ADA")</f>
        <v>TIDAK ADA</v>
      </c>
      <c r="BK8" s="85" t="str">
        <f>IFERROR(__xludf.DUMMYFUNCTION("""COMPUTED_VALUE"""),"TIDAK ADA")</f>
        <v>TIDAK ADA</v>
      </c>
      <c r="BL8" s="85" t="str">
        <f>IFERROR(__xludf.DUMMYFUNCTION("""COMPUTED_VALUE"""),"PLAFON")</f>
        <v>PLAFON</v>
      </c>
      <c r="BM8" s="85"/>
      <c r="BN8" s="85"/>
      <c r="BO8" s="85"/>
      <c r="BP8" s="85"/>
      <c r="BQ8" s="85"/>
      <c r="BR8" s="85"/>
      <c r="BS8" s="85"/>
      <c r="BT8" s="85"/>
      <c r="BU8" s="85"/>
      <c r="BV8" s="85" t="str">
        <f>IFERROR(__xludf.DUMMYFUNCTION("""COMPUTED_VALUE"""),"Kadirejo Rt 50/17, Mranggen, Jatinom Klaten Jawa Tengah 57481")</f>
        <v>Kadirejo Rt 50/17, Mranggen, Jatinom Klaten Jawa Tengah 57481</v>
      </c>
      <c r="BW8" s="85"/>
      <c r="BX8" s="85"/>
      <c r="BY8" s="85"/>
      <c r="BZ8" s="85"/>
      <c r="CA8" s="85"/>
      <c r="CB8" s="85"/>
      <c r="CC8" s="85"/>
      <c r="CD8" s="85"/>
      <c r="CE8" s="85"/>
      <c r="CF8" s="85"/>
      <c r="CG8" s="85"/>
      <c r="CH8" s="85"/>
      <c r="CI8" s="85"/>
      <c r="CJ8" s="85"/>
      <c r="CK8" s="2"/>
    </row>
    <row r="9" ht="12.75" customHeight="1">
      <c r="A9" s="80">
        <f>IFERROR(__xludf.DUMMYFUNCTION("""COMPUTED_VALUE"""),6.0)</f>
        <v>6</v>
      </c>
      <c r="B9" s="80" t="str">
        <f>IFERROR(__xludf.DUMMYFUNCTION("""COMPUTED_VALUE"""),"11 Januari 2022")</f>
        <v>11 Januari 2022</v>
      </c>
      <c r="C9" s="80" t="str">
        <f>IFERROR(__xludf.DUMMYFUNCTION("""COMPUTED_VALUE"""),"11 Januari 2022")</f>
        <v>11 Januari 2022</v>
      </c>
      <c r="D9" s="81"/>
      <c r="E9" s="82"/>
      <c r="F9" s="80" t="str">
        <f>IFERROR(__xludf.DUMMYFUNCTION("""COMPUTED_VALUE"""),"16 AGUSTUS 2022")</f>
        <v>16 AGUSTUS 2022</v>
      </c>
      <c r="G9" s="81">
        <f>IFERROR(__xludf.DUMMYFUNCTION("""COMPUTED_VALUE"""),44789.0)</f>
        <v>44789</v>
      </c>
      <c r="H9" s="80"/>
      <c r="I9" s="80" t="str">
        <f>IFERROR(__xludf.DUMMYFUNCTION("""COMPUTED_VALUE"""),"16-08-2022")</f>
        <v>16-08-2022</v>
      </c>
      <c r="J9" s="80" t="str">
        <f>IFERROR(__xludf.DUMMYFUNCTION("""COMPUTED_VALUE"""),"16-08-2022")</f>
        <v>16-08-2022</v>
      </c>
      <c r="K9" s="80"/>
      <c r="L9" s="80"/>
      <c r="M9" s="80"/>
      <c r="N9" s="80"/>
      <c r="O9" s="80"/>
      <c r="P9" s="80" t="str">
        <f>IFERROR(__xludf.DUMMYFUNCTION("""COMPUTED_VALUE"""),"53BSPA29473JBEEN")</f>
        <v>53BSPA29473JBEEN</v>
      </c>
      <c r="Q9" s="80" t="str">
        <f>IFERROR(__xludf.DUMMYFUNCTION("""COMPUTED_VALUE"""),"PRI GROUP")</f>
        <v>PRI GROUP</v>
      </c>
      <c r="R9" s="80" t="str">
        <f>IFERROR(__xludf.DUMMYFUNCTION("""COMPUTED_VALUE"""),"PRI GROUP")</f>
        <v>PRI GROUP</v>
      </c>
      <c r="S9" s="80" t="str">
        <f>IFERROR(__xludf.DUMMYFUNCTION("""COMPUTED_VALUE"""),"Supriyanto Amd, A.Md")</f>
        <v>Supriyanto Amd, A.Md</v>
      </c>
      <c r="T9" s="80" t="str">
        <f>IFERROR(__xludf.DUMMYFUNCTION("""COMPUTED_VALUE"""),"Jl. Ikhlas No. 11A Kel. Binjai Kec. Medan Denai Medan Sumatera Utara 20228")</f>
        <v>Jl. Ikhlas No. 11A Kel. Binjai Kec. Medan Denai Medan Sumatera Utara 20228</v>
      </c>
      <c r="U9" s="80" t="str">
        <f>IFERROR(__xludf.DUMMYFUNCTION("""COMPUTED_VALUE"""),"JL. IKHLAS NO. 11A KEL. BINJAI KEC. MEDAN DENAI Medan Sumatera Utara 20228")</f>
        <v>JL. IKHLAS NO. 11A KEL. BINJAI KEC. MEDAN DENAI Medan Sumatera Utara 20228</v>
      </c>
      <c r="V9" s="80"/>
      <c r="W9" s="80" t="str">
        <f>IFERROR(__xludf.DUMMYFUNCTION("""COMPUTED_VALUE"""),"BINJAI")</f>
        <v>BINJAI</v>
      </c>
      <c r="X9" s="80" t="str">
        <f>IFERROR(__xludf.DUMMYFUNCTION("""COMPUTED_VALUE"""),"MEDAN DENAI")</f>
        <v>MEDAN DENAI</v>
      </c>
      <c r="Y9" s="80" t="str">
        <f>IFERROR(__xludf.DUMMYFUNCTION("""COMPUTED_VALUE"""),"medan")</f>
        <v>medan</v>
      </c>
      <c r="Z9" s="80" t="str">
        <f>IFERROR(__xludf.DUMMYFUNCTION("""COMPUTED_VALUE"""),"SUMATERA UTARA")</f>
        <v>SUMATERA UTARA</v>
      </c>
      <c r="AA9" s="80" t="str">
        <f>IFERROR(__xludf.DUMMYFUNCTION("""COMPUTED_VALUE"""),"20228")</f>
        <v>20228</v>
      </c>
      <c r="AB9" s="80" t="str">
        <f>IFERROR(__xludf.DUMMYFUNCTION("""COMPUTED_VALUE"""),"1271041101850009")</f>
        <v>1271041101850009</v>
      </c>
      <c r="AC9" s="80" t="str">
        <f>IFERROR(__xludf.DUMMYFUNCTION("""COMPUTED_VALUE"""),"25.246.029.0-112.000")</f>
        <v>25.246.029.0-112.000</v>
      </c>
      <c r="AD9" s="80" t="str">
        <f>IFERROR(__xludf.DUMMYFUNCTION("""COMPUTED_VALUE"""),"CUM - EEN")</f>
        <v>CUM - EEN</v>
      </c>
      <c r="AE9" s="80" t="str">
        <f>IFERROR(__xludf.DUMMYFUNCTION("""COMPUTED_VALUE"""),"SUB EEN")</f>
        <v>SUB EEN</v>
      </c>
      <c r="AF9" s="80" t="str">
        <f>IFERROR(__xludf.DUMMYFUNCTION("""COMPUTED_VALUE"""),"082168041162 / 081990448804")</f>
        <v>082168041162 / 081990448804</v>
      </c>
      <c r="AG9" s="80" t="str">
        <f>IFERROR(__xludf.DUMMYFUNCTION("""COMPUTED_VALUE"""),"082168041162")</f>
        <v>082168041162</v>
      </c>
      <c r="AH9" s="80" t="str">
        <f>IFERROR(__xludf.DUMMYFUNCTION("""COMPUTED_VALUE"""),"supriy.pri@gmail.com")</f>
        <v>supriy.pri@gmail.com</v>
      </c>
      <c r="AI9" s="80" t="str">
        <f>IFERROR(__xludf.DUMMYFUNCTION("""COMPUTED_VALUE"""),"20228S3")</f>
        <v>20228S3</v>
      </c>
      <c r="AJ9" s="80" t="str">
        <f>IFERROR(__xludf.DUMMYFUNCTION("""COMPUTED_VALUE"""),"620e17d0498b976fad115b28")</f>
        <v>620e17d0498b976fad115b28</v>
      </c>
      <c r="AK9" s="80" t="str">
        <f>IFERROR(__xludf.DUMMYFUNCTION("""COMPUTED_VALUE"""),"dm20228s3")</f>
        <v>dm20228s3</v>
      </c>
      <c r="AL9" s="80" t="str">
        <f>IFERROR(__xludf.DUMMYFUNCTION("""COMPUTED_VALUE"""),"password")</f>
        <v>password</v>
      </c>
      <c r="AM9" s="80" t="str">
        <f>IFERROR(__xludf.DUMMYFUNCTION("""COMPUTED_VALUE"""),"KANTOR REGIONAL I MEDAN 20004")</f>
        <v>KANTOR REGIONAL I MEDAN 20004</v>
      </c>
      <c r="AN9" s="80" t="str">
        <f>IFERROR(__xludf.DUMMYFUNCTION("""COMPUTED_VALUE"""),"SPP MEDAN 20900")</f>
        <v>SPP MEDAN 20900</v>
      </c>
      <c r="AO9" s="80" t="str">
        <f>IFERROR(__xludf.DUMMYFUNCTION("""COMPUTED_VALUE"""),"0208220034165")</f>
        <v>0208220034165</v>
      </c>
      <c r="AP9" s="80" t="str">
        <f>IFERROR(__xludf.DUMMYFUNCTION("""COMPUTED_VALUE"""),"02082200341650001")</f>
        <v>02082200341650001</v>
      </c>
      <c r="AQ9" s="83"/>
      <c r="AR9" s="80"/>
      <c r="AS9" s="80"/>
      <c r="AT9" s="80" t="str">
        <f>IFERROR(__xludf.DUMMYFUNCTION("""COMPUTED_VALUE"""),"35,718,501.98")</f>
        <v>35,718,501.98</v>
      </c>
      <c r="AU9" s="80" t="str">
        <f>IFERROR(__xludf.DUMMYFUNCTION("""COMPUTED_VALUE"""),"98,721,141")</f>
        <v>98,721,141</v>
      </c>
      <c r="AV9" s="80" t="str">
        <f>IFERROR(__xludf.DUMMYFUNCTION("""COMPUTED_VALUE"""),"ADA")</f>
        <v>ADA</v>
      </c>
      <c r="AW9" s="80" t="str">
        <f>IFERROR(__xludf.DUMMYFUNCTION("""COMPUTED_VALUE"""),"ADA")</f>
        <v>ADA</v>
      </c>
      <c r="AX9" s="80"/>
      <c r="AY9" s="80"/>
      <c r="AZ9" s="80"/>
      <c r="BA9" s="80" t="str">
        <f>IFERROR(__xludf.DUMMYFUNCTION("""COMPUTED_VALUE"""),"ADA")</f>
        <v>ADA</v>
      </c>
      <c r="BB9" s="80" t="str">
        <f>IFERROR(__xludf.DUMMYFUNCTION("""COMPUTED_VALUE"""),"ADA")</f>
        <v>ADA</v>
      </c>
      <c r="BC9" s="80" t="str">
        <f>IFERROR(__xludf.DUMMYFUNCTION("""COMPUTED_VALUE"""),"ADA")</f>
        <v>ADA</v>
      </c>
      <c r="BD9" s="80" t="str">
        <f>IFERROR(__xludf.DUMMYFUNCTION("""COMPUTED_VALUE"""),"ADA")</f>
        <v>ADA</v>
      </c>
      <c r="BE9" s="80" t="str">
        <f>IFERROR(__xludf.DUMMYFUNCTION("""COMPUTED_VALUE"""),"ADA")</f>
        <v>ADA</v>
      </c>
      <c r="BF9" s="80" t="str">
        <f>IFERROR(__xludf.DUMMYFUNCTION("""COMPUTED_VALUE"""),"ADA")</f>
        <v>ADA</v>
      </c>
      <c r="BG9" s="80" t="str">
        <f>IFERROR(__xludf.DUMMYFUNCTION("""COMPUTED_VALUE"""),"ADA")</f>
        <v>ADA</v>
      </c>
      <c r="BH9" s="80" t="str">
        <f>IFERROR(__xludf.DUMMYFUNCTION("""COMPUTED_VALUE"""),"CANON MP237")</f>
        <v>CANON MP237</v>
      </c>
      <c r="BI9" s="80" t="str">
        <f>IFERROR(__xludf.DUMMYFUNCTION("""COMPUTED_VALUE"""),"ADA")</f>
        <v>ADA</v>
      </c>
      <c r="BJ9" s="80" t="str">
        <f>IFERROR(__xludf.DUMMYFUNCTION("""COMPUTED_VALUE"""),"KERTAS HVS")</f>
        <v>KERTAS HVS</v>
      </c>
      <c r="BK9" s="80" t="str">
        <f>IFERROR(__xludf.DUMMYFUNCTION("""COMPUTED_VALUE"""),"TIDAK ADA")</f>
        <v>TIDAK ADA</v>
      </c>
      <c r="BL9" s="80" t="str">
        <f>IFERROR(__xludf.DUMMYFUNCTION("""COMPUTED_VALUE"""),"PLAFON")</f>
        <v>PLAFON</v>
      </c>
      <c r="BM9" s="80"/>
      <c r="BN9" s="80"/>
      <c r="BO9" s="80"/>
      <c r="BP9" s="80"/>
      <c r="BQ9" s="80"/>
      <c r="BR9" s="80"/>
      <c r="BS9" s="80"/>
      <c r="BT9" s="80"/>
      <c r="BU9" s="80"/>
      <c r="BV9" s="80" t="str">
        <f>IFERROR(__xludf.DUMMYFUNCTION("""COMPUTED_VALUE"""),"Jl. Ikhlas No. 11A Kel. Binjai Kec. Medan Denai Medan Sumatera Utara 20228")</f>
        <v>Jl. Ikhlas No. 11A Kel. Binjai Kec. Medan Denai Medan Sumatera Utara 20228</v>
      </c>
      <c r="BW9" s="80"/>
      <c r="BX9" s="80"/>
      <c r="BY9" s="80"/>
      <c r="BZ9" s="80"/>
      <c r="CA9" s="80"/>
      <c r="CB9" s="80"/>
      <c r="CC9" s="80"/>
      <c r="CD9" s="80"/>
      <c r="CE9" s="80"/>
      <c r="CF9" s="80"/>
      <c r="CG9" s="80"/>
      <c r="CH9" s="80"/>
      <c r="CI9" s="80"/>
      <c r="CJ9" s="80"/>
      <c r="CK9" s="2"/>
    </row>
    <row r="10" ht="12.75" customHeight="1">
      <c r="A10" s="85">
        <f>IFERROR(__xludf.DUMMYFUNCTION("""COMPUTED_VALUE"""),7.0)</f>
        <v>7</v>
      </c>
      <c r="B10" s="85" t="str">
        <f>IFERROR(__xludf.DUMMYFUNCTION("""COMPUTED_VALUE"""),"11 Januari 2022")</f>
        <v>11 Januari 2022</v>
      </c>
      <c r="C10" s="85" t="str">
        <f>IFERROR(__xludf.DUMMYFUNCTION("""COMPUTED_VALUE"""),"11 Januari 2022")</f>
        <v>11 Januari 2022</v>
      </c>
      <c r="D10" s="86"/>
      <c r="E10" s="88"/>
      <c r="F10" s="85"/>
      <c r="G10" s="86"/>
      <c r="H10" s="85"/>
      <c r="I10" s="85"/>
      <c r="J10" s="85"/>
      <c r="K10" s="85"/>
      <c r="L10" s="85"/>
      <c r="M10" s="85"/>
      <c r="N10" s="85"/>
      <c r="O10" s="85"/>
      <c r="P10" s="85" t="str">
        <f>IFERROR(__xludf.DUMMYFUNCTION("""COMPUTED_VALUE"""),"52BSPA22777JTKRS")</f>
        <v>52BSPA22777JTKRS</v>
      </c>
      <c r="Q10" s="85" t="str">
        <f>IFERROR(__xludf.DUMMYFUNCTION("""COMPUTED_VALUE"""),"Barokah Expres ")</f>
        <v>Barokah Expres </v>
      </c>
      <c r="R10" s="85" t="str">
        <f>IFERROR(__xludf.DUMMYFUNCTION("""COMPUTED_VALUE"""),"BAROKAH EXPRESS")</f>
        <v>BAROKAH EXPRESS</v>
      </c>
      <c r="S10" s="85" t="str">
        <f>IFERROR(__xludf.DUMMYFUNCTION("""COMPUTED_VALUE"""),"Tegar")</f>
        <v>Tegar</v>
      </c>
      <c r="T10" s="85" t="str">
        <f>IFERROR(__xludf.DUMMYFUNCTION("""COMPUTED_VALUE"""),"Perumahan New Grand Residence Blok O5, Kedung Gede Kec Banyumas Kab Banyumas Jawa Tengah")</f>
        <v>Perumahan New Grand Residence Blok O5, Kedung Gede Kec Banyumas Kab Banyumas Jawa Tengah</v>
      </c>
      <c r="U10" s="85" t="str">
        <f>IFERROR(__xludf.DUMMYFUNCTION("""COMPUTED_VALUE"""),"PERUMAHAN NEW GRAND RESIDENCE BLOK O5, KEDUNG GEDE KEC BANYUMAS KAB BANYUMAS JAWA TENGAH")</f>
        <v>PERUMAHAN NEW GRAND RESIDENCE BLOK O5, KEDUNG GEDE KEC BANYUMAS KAB BANYUMAS JAWA TENGAH</v>
      </c>
      <c r="V10" s="85" t="str">
        <f>IFERROR(__xludf.DUMMYFUNCTION("""COMPUTED_VALUE"""),"003/003")</f>
        <v>003/003</v>
      </c>
      <c r="W10" s="85" t="str">
        <f>IFERROR(__xludf.DUMMYFUNCTION("""COMPUTED_VALUE"""),"KEDUNG GEDE")</f>
        <v>KEDUNG GEDE</v>
      </c>
      <c r="X10" s="85" t="str">
        <f>IFERROR(__xludf.DUMMYFUNCTION("""COMPUTED_VALUE"""),"BANYUMAS")</f>
        <v>BANYUMAS</v>
      </c>
      <c r="Y10" s="85" t="str">
        <f>IFERROR(__xludf.DUMMYFUNCTION("""COMPUTED_VALUE"""),"KAB.BANYUMAS")</f>
        <v>KAB.BANYUMAS</v>
      </c>
      <c r="Z10" s="85" t="str">
        <f>IFERROR(__xludf.DUMMYFUNCTION("""COMPUTED_VALUE"""),"JAWA TENGAH")</f>
        <v>JAWA TENGAH</v>
      </c>
      <c r="AA10" s="85" t="str">
        <f>IFERROR(__xludf.DUMMYFUNCTION("""COMPUTED_VALUE"""),"53192")</f>
        <v>53192</v>
      </c>
      <c r="AB10" s="85" t="str">
        <f>IFERROR(__xludf.DUMMYFUNCTION("""COMPUTED_VALUE"""),"3301061001950001")</f>
        <v>3301061001950001</v>
      </c>
      <c r="AC10" s="85" t="str">
        <f>IFERROR(__xludf.DUMMYFUNCTION("""COMPUTED_VALUE"""),"92.983.066.9-521.000")</f>
        <v>92.983.066.9-521.000</v>
      </c>
      <c r="AD10" s="85" t="str">
        <f>IFERROR(__xludf.DUMMYFUNCTION("""COMPUTED_VALUE"""),"CUM - KRS")</f>
        <v>CUM - KRS</v>
      </c>
      <c r="AE10" s="85" t="str">
        <f>IFERROR(__xludf.DUMMYFUNCTION("""COMPUTED_VALUE"""),"SUB KARSINI")</f>
        <v>SUB KARSINI</v>
      </c>
      <c r="AF10" s="85" t="str">
        <f>IFERROR(__xludf.DUMMYFUNCTION("""COMPUTED_VALUE"""),"081213283240")</f>
        <v>081213283240</v>
      </c>
      <c r="AG10" s="85" t="str">
        <f>IFERROR(__xludf.DUMMYFUNCTION("""COMPUTED_VALUE"""),"081213283240")</f>
        <v>081213283240</v>
      </c>
      <c r="AH10" s="85"/>
      <c r="AI10" s="85" t="str">
        <f>IFERROR(__xludf.DUMMYFUNCTION("""COMPUTED_VALUE"""),"53192S4")</f>
        <v>53192S4</v>
      </c>
      <c r="AJ10" s="85" t="str">
        <f>IFERROR(__xludf.DUMMYFUNCTION("""COMPUTED_VALUE"""),"6210e241baa11a5eeb6f1193")</f>
        <v>6210e241baa11a5eeb6f1193</v>
      </c>
      <c r="AK10" s="85" t="str">
        <f>IFERROR(__xludf.DUMMYFUNCTION("""COMPUTED_VALUE"""),"dm53192s4")</f>
        <v>dm53192s4</v>
      </c>
      <c r="AL10" s="85" t="str">
        <f>IFERROR(__xludf.DUMMYFUNCTION("""COMPUTED_VALUE"""),"password")</f>
        <v>password</v>
      </c>
      <c r="AM10" s="85" t="str">
        <f>IFERROR(__xludf.DUMMYFUNCTION("""COMPUTED_VALUE"""),"KANTOR REGIONAL IV SEMARANG 50004")</f>
        <v>KANTOR REGIONAL IV SEMARANG 50004</v>
      </c>
      <c r="AN10" s="85" t="str">
        <f>IFERROR(__xludf.DUMMYFUNCTION("""COMPUTED_VALUE"""),"KPRK BANYUMAS 53100")</f>
        <v>KPRK BANYUMAS 53100</v>
      </c>
      <c r="AO10" s="85"/>
      <c r="AP10" s="85"/>
      <c r="AQ10" s="93"/>
      <c r="AR10" s="85"/>
      <c r="AS10" s="85"/>
      <c r="AT10" s="85" t="str">
        <f>IFERROR(__xludf.DUMMYFUNCTION("""COMPUTED_VALUE"""),"-75,213,714.11")</f>
        <v>-75,213,714.11</v>
      </c>
      <c r="AU10" s="85" t="str">
        <f>IFERROR(__xludf.DUMMYFUNCTION("""COMPUTED_VALUE"""),"1,092,945,115")</f>
        <v>1,092,945,115</v>
      </c>
      <c r="AV10" s="85" t="str">
        <f>IFERROR(__xludf.DUMMYFUNCTION("""COMPUTED_VALUE"""),"ADA")</f>
        <v>ADA</v>
      </c>
      <c r="AW10" s="85" t="str">
        <f>IFERROR(__xludf.DUMMYFUNCTION("""COMPUTED_VALUE"""),"ADA")</f>
        <v>ADA</v>
      </c>
      <c r="AX10" s="85"/>
      <c r="AY10" s="85"/>
      <c r="AZ10" s="85"/>
      <c r="BA10" s="85" t="str">
        <f>IFERROR(__xludf.DUMMYFUNCTION("""COMPUTED_VALUE"""),"ADA")</f>
        <v>ADA</v>
      </c>
      <c r="BB10" s="85" t="str">
        <f>IFERROR(__xludf.DUMMYFUNCTION("""COMPUTED_VALUE"""),"ADA")</f>
        <v>ADA</v>
      </c>
      <c r="BC10" s="85"/>
      <c r="BD10" s="85"/>
      <c r="BE10" s="85" t="str">
        <f>IFERROR(__xludf.DUMMYFUNCTION("""COMPUTED_VALUE"""),"ADA")</f>
        <v>ADA</v>
      </c>
      <c r="BF10" s="85" t="str">
        <f>IFERROR(__xludf.DUMMYFUNCTION("""COMPUTED_VALUE"""),"ADA")</f>
        <v>ADA</v>
      </c>
      <c r="BG10" s="85" t="str">
        <f>IFERROR(__xludf.DUMMYFUNCTION("""COMPUTED_VALUE"""),"ADA")</f>
        <v>ADA</v>
      </c>
      <c r="BH10" s="85"/>
      <c r="BI10" s="85"/>
      <c r="BJ10" s="85"/>
      <c r="BK10" s="85"/>
      <c r="BL10" s="85" t="str">
        <f>IFERROR(__xludf.DUMMYFUNCTION("""COMPUTED_VALUE"""),"DEPOSIT")</f>
        <v>DEPOSIT</v>
      </c>
      <c r="BM10" s="85"/>
      <c r="BN10" s="85"/>
      <c r="BO10" s="85"/>
      <c r="BP10" s="85"/>
      <c r="BQ10" s="85"/>
      <c r="BR10" s="85"/>
      <c r="BS10" s="85"/>
      <c r="BT10" s="85"/>
      <c r="BU10" s="85"/>
      <c r="BV10" s="85" t="str">
        <f>IFERROR(__xludf.DUMMYFUNCTION("""COMPUTED_VALUE"""),"Perumahan New Grand Residence Blok O5, Kedung Gede Kec Banyumas Kab Banyumas Jawa Tengah")</f>
        <v>Perumahan New Grand Residence Blok O5, Kedung Gede Kec Banyumas Kab Banyumas Jawa Tengah</v>
      </c>
      <c r="BW10" s="85"/>
      <c r="BX10" s="85"/>
      <c r="BY10" s="85"/>
      <c r="BZ10" s="85"/>
      <c r="CA10" s="85"/>
      <c r="CB10" s="85"/>
      <c r="CC10" s="85"/>
      <c r="CD10" s="85"/>
      <c r="CE10" s="85"/>
      <c r="CF10" s="85"/>
      <c r="CG10" s="85"/>
      <c r="CH10" s="85"/>
      <c r="CI10" s="85"/>
      <c r="CJ10" s="85"/>
      <c r="CK10" s="2"/>
    </row>
    <row r="11" ht="12.75" customHeight="1">
      <c r="A11" s="80">
        <f>IFERROR(__xludf.DUMMYFUNCTION("""COMPUTED_VALUE"""),8.0)</f>
        <v>8</v>
      </c>
      <c r="B11" s="80" t="str">
        <f>IFERROR(__xludf.DUMMYFUNCTION("""COMPUTED_VALUE"""),"11 Januari 2022")</f>
        <v>11 Januari 2022</v>
      </c>
      <c r="C11" s="80" t="str">
        <f>IFERROR(__xludf.DUMMYFUNCTION("""COMPUTED_VALUE"""),"11 Januari 2022")</f>
        <v>11 Januari 2022</v>
      </c>
      <c r="D11" s="81"/>
      <c r="E11" s="82"/>
      <c r="F11" s="80"/>
      <c r="G11" s="81"/>
      <c r="H11" s="80"/>
      <c r="I11" s="80"/>
      <c r="J11" s="80"/>
      <c r="K11" s="80" t="str">
        <f>IFERROR(__xludf.DUMMYFUNCTION("""COMPUTED_VALUE"""),"PERANGKAT BELUM LENGKAP")</f>
        <v>PERANGKAT BELUM LENGKAP</v>
      </c>
      <c r="L11" s="80"/>
      <c r="M11" s="80"/>
      <c r="N11" s="80"/>
      <c r="O11" s="80"/>
      <c r="P11" s="80" t="str">
        <f>IFERROR(__xludf.DUMMYFUNCTION("""COMPUTED_VALUE"""),"53BSPA23079BDGKT")</f>
        <v>53BSPA23079BDGKT</v>
      </c>
      <c r="Q11" s="80" t="str">
        <f>IFERROR(__xludf.DUMMYFUNCTION("""COMPUTED_VALUE"""),"KARTINI")</f>
        <v>KARTINI</v>
      </c>
      <c r="R11" s="80" t="str">
        <f>IFERROR(__xludf.DUMMYFUNCTION("""COMPUTED_VALUE"""),"KARTINI")</f>
        <v>KARTINI</v>
      </c>
      <c r="S11" s="80" t="str">
        <f>IFERROR(__xludf.DUMMYFUNCTION("""COMPUTED_VALUE"""),"Kartini")</f>
        <v>Kartini</v>
      </c>
      <c r="T11" s="80" t="str">
        <f>IFERROR(__xludf.DUMMYFUNCTION("""COMPUTED_VALUE"""),"Nagrak Rt 02 Rw 07 Kel Jatisari Kec Cangkuang Kab Bandung Jawa Barat 40238")</f>
        <v>Nagrak Rt 02 Rw 07 Kel Jatisari Kec Cangkuang Kab Bandung Jawa Barat 40238</v>
      </c>
      <c r="U11" s="80" t="str">
        <f>IFERROR(__xludf.DUMMYFUNCTION("""COMPUTED_VALUE"""),"Nagrak RT 02 RW 07 Kel Jatisari Kec Cangkuang Kab Bandung Jawa Barat 40238")</f>
        <v>Nagrak RT 02 RW 07 Kel Jatisari Kec Cangkuang Kab Bandung Jawa Barat 40238</v>
      </c>
      <c r="V11" s="80" t="str">
        <f>IFERROR(__xludf.DUMMYFUNCTION("""COMPUTED_VALUE"""),"002/007")</f>
        <v>002/007</v>
      </c>
      <c r="W11" s="80" t="str">
        <f>IFERROR(__xludf.DUMMYFUNCTION("""COMPUTED_VALUE"""),"JATISARI")</f>
        <v>JATISARI</v>
      </c>
      <c r="X11" s="80" t="str">
        <f>IFERROR(__xludf.DUMMYFUNCTION("""COMPUTED_VALUE"""),"CANGKUANG")</f>
        <v>CANGKUANG</v>
      </c>
      <c r="Y11" s="80" t="str">
        <f>IFERROR(__xludf.DUMMYFUNCTION("""COMPUTED_VALUE"""),"KAB. BANDUNG")</f>
        <v>KAB. BANDUNG</v>
      </c>
      <c r="Z11" s="80" t="str">
        <f>IFERROR(__xludf.DUMMYFUNCTION("""COMPUTED_VALUE"""),"JAWA BARAT")</f>
        <v>JAWA BARAT</v>
      </c>
      <c r="AA11" s="80" t="str">
        <f>IFERROR(__xludf.DUMMYFUNCTION("""COMPUTED_VALUE"""),"40238")</f>
        <v>40238</v>
      </c>
      <c r="AB11" s="80" t="str">
        <f>IFERROR(__xludf.DUMMYFUNCTION("""COMPUTED_VALUE"""),"3204446104790006")</f>
        <v>3204446104790006</v>
      </c>
      <c r="AC11" s="80" t="str">
        <f>IFERROR(__xludf.DUMMYFUNCTION("""COMPUTED_VALUE"""),"67.283.107.0-445.000")</f>
        <v>67.283.107.0-445.000</v>
      </c>
      <c r="AD11" s="80" t="str">
        <f>IFERROR(__xludf.DUMMYFUNCTION("""COMPUTED_VALUE"""),"CUM - HDT")</f>
        <v>CUM - HDT</v>
      </c>
      <c r="AE11" s="80" t="str">
        <f>IFERROR(__xludf.DUMMYFUNCTION("""COMPUTED_VALUE"""),"SUB HIDAYAT")</f>
        <v>SUB HIDAYAT</v>
      </c>
      <c r="AF11" s="80" t="str">
        <f>IFERROR(__xludf.DUMMYFUNCTION("""COMPUTED_VALUE"""),"085723488915 / 085794803374")</f>
        <v>085723488915 / 085794803374</v>
      </c>
      <c r="AG11" s="80" t="str">
        <f>IFERROR(__xludf.DUMMYFUNCTION("""COMPUTED_VALUE"""),"085723488915 / 085794803374")</f>
        <v>085723488915 / 085794803374</v>
      </c>
      <c r="AH11" s="80" t="str">
        <f>IFERROR(__xludf.DUMMYFUNCTION("""COMPUTED_VALUE"""),"niekartini33@gmail.com")</f>
        <v>niekartini33@gmail.com</v>
      </c>
      <c r="AI11" s="80" t="str">
        <f>IFERROR(__xludf.DUMMYFUNCTION("""COMPUTED_VALUE"""),"40361S4")</f>
        <v>40361S4</v>
      </c>
      <c r="AJ11" s="80" t="str">
        <f>IFERROR(__xludf.DUMMYFUNCTION("""COMPUTED_VALUE"""),"620e1942a0e6bc1786602760")</f>
        <v>620e1942a0e6bc1786602760</v>
      </c>
      <c r="AK11" s="80" t="str">
        <f>IFERROR(__xludf.DUMMYFUNCTION("""COMPUTED_VALUE"""),"dm40361s4")</f>
        <v>dm40361s4</v>
      </c>
      <c r="AL11" s="80" t="str">
        <f>IFERROR(__xludf.DUMMYFUNCTION("""COMPUTED_VALUE"""),"password")</f>
        <v>password</v>
      </c>
      <c r="AM11" s="80" t="str">
        <f>IFERROR(__xludf.DUMMYFUNCTION("""COMPUTED_VALUE"""),"KANTOR REGIONAL III BANDUNG 40004")</f>
        <v>KANTOR REGIONAL III BANDUNG 40004</v>
      </c>
      <c r="AN11" s="80" t="str">
        <f>IFERROR(__xludf.DUMMYFUNCTION("""COMPUTED_VALUE"""),"KPRK SOREANG 40900")</f>
        <v>KPRK SOREANG 40900</v>
      </c>
      <c r="AO11" s="80" t="str">
        <f>IFERROR(__xludf.DUMMYFUNCTION("""COMPUTED_VALUE"""),"0408220022026")</f>
        <v>0408220022026</v>
      </c>
      <c r="AP11" s="80" t="str">
        <f>IFERROR(__xludf.DUMMYFUNCTION("""COMPUTED_VALUE"""),"04082200220260001")</f>
        <v>04082200220260001</v>
      </c>
      <c r="AQ11" s="83"/>
      <c r="AR11" s="80"/>
      <c r="AS11" s="80"/>
      <c r="AT11" s="80" t="str">
        <f>IFERROR(__xludf.DUMMYFUNCTION("""COMPUTED_VALUE"""),"-7.0653866")</f>
        <v>-7.0653866</v>
      </c>
      <c r="AU11" s="80" t="str">
        <f>IFERROR(__xludf.DUMMYFUNCTION("""COMPUTED_VALUE"""),"1,075,471,922")</f>
        <v>1,075,471,922</v>
      </c>
      <c r="AV11" s="80" t="str">
        <f>IFERROR(__xludf.DUMMYFUNCTION("""COMPUTED_VALUE"""),"BELUM ADA")</f>
        <v>BELUM ADA</v>
      </c>
      <c r="AW11" s="80" t="str">
        <f>IFERROR(__xludf.DUMMYFUNCTION("""COMPUTED_VALUE"""),"ADA")</f>
        <v>ADA</v>
      </c>
      <c r="AX11" s="80"/>
      <c r="AY11" s="80"/>
      <c r="AZ11" s="80"/>
      <c r="BA11" s="80" t="str">
        <f>IFERROR(__xludf.DUMMYFUNCTION("""COMPUTED_VALUE"""),"ADA")</f>
        <v>ADA</v>
      </c>
      <c r="BB11" s="80" t="str">
        <f>IFERROR(__xludf.DUMMYFUNCTION("""COMPUTED_VALUE"""),"ADA")</f>
        <v>ADA</v>
      </c>
      <c r="BC11" s="80" t="str">
        <f>IFERROR(__xludf.DUMMYFUNCTION("""COMPUTED_VALUE"""),"ADA")</f>
        <v>ADA</v>
      </c>
      <c r="BD11" s="80" t="str">
        <f>IFERROR(__xludf.DUMMYFUNCTION("""COMPUTED_VALUE"""),"ADA")</f>
        <v>ADA</v>
      </c>
      <c r="BE11" s="80" t="str">
        <f>IFERROR(__xludf.DUMMYFUNCTION("""COMPUTED_VALUE"""),"ADA")</f>
        <v>ADA</v>
      </c>
      <c r="BF11" s="80" t="str">
        <f>IFERROR(__xludf.DUMMYFUNCTION("""COMPUTED_VALUE"""),"ADA")</f>
        <v>ADA</v>
      </c>
      <c r="BG11" s="80" t="str">
        <f>IFERROR(__xludf.DUMMYFUNCTION("""COMPUTED_VALUE"""),"ADA")</f>
        <v>ADA</v>
      </c>
      <c r="BH11" s="80" t="str">
        <f>IFERROR(__xludf.DUMMYFUNCTION("""COMPUTED_VALUE"""),"TIDAK ADA")</f>
        <v>TIDAK ADA</v>
      </c>
      <c r="BI11" s="80" t="str">
        <f>IFERROR(__xludf.DUMMYFUNCTION("""COMPUTED_VALUE"""),"ADA")</f>
        <v>ADA</v>
      </c>
      <c r="BJ11" s="80" t="str">
        <f>IFERROR(__xludf.DUMMYFUNCTION("""COMPUTED_VALUE"""),"TIDAK ADA")</f>
        <v>TIDAK ADA</v>
      </c>
      <c r="BK11" s="80" t="str">
        <f>IFERROR(__xludf.DUMMYFUNCTION("""COMPUTED_VALUE"""),"TIDAK ADA")</f>
        <v>TIDAK ADA</v>
      </c>
      <c r="BL11" s="80" t="str">
        <f>IFERROR(__xludf.DUMMYFUNCTION("""COMPUTED_VALUE"""),"PLAFON")</f>
        <v>PLAFON</v>
      </c>
      <c r="BM11" s="80"/>
      <c r="BN11" s="80"/>
      <c r="BO11" s="80"/>
      <c r="BP11" s="80"/>
      <c r="BQ11" s="80"/>
      <c r="BR11" s="80"/>
      <c r="BS11" s="80"/>
      <c r="BT11" s="80"/>
      <c r="BU11" s="80"/>
      <c r="BV11" s="80" t="str">
        <f>IFERROR(__xludf.DUMMYFUNCTION("""COMPUTED_VALUE"""),"Nagrak Rt 02 Rw 07 Kel Jatisari Kec Cangkuang Kab Bandung Jawa Barat 40238")</f>
        <v>Nagrak Rt 02 Rw 07 Kel Jatisari Kec Cangkuang Kab Bandung Jawa Barat 40238</v>
      </c>
      <c r="BW11" s="80"/>
      <c r="BX11" s="80"/>
      <c r="BY11" s="80"/>
      <c r="BZ11" s="80"/>
      <c r="CA11" s="80"/>
      <c r="CB11" s="80"/>
      <c r="CC11" s="80"/>
      <c r="CD11" s="80"/>
      <c r="CE11" s="80"/>
      <c r="CF11" s="80"/>
      <c r="CG11" s="80"/>
      <c r="CH11" s="80"/>
      <c r="CI11" s="80"/>
      <c r="CJ11" s="80"/>
      <c r="CK11" s="2"/>
    </row>
    <row r="12" ht="12.75" customHeight="1">
      <c r="A12" s="85">
        <f>IFERROR(__xludf.DUMMYFUNCTION("""COMPUTED_VALUE"""),9.0)</f>
        <v>9</v>
      </c>
      <c r="B12" s="85" t="str">
        <f>IFERROR(__xludf.DUMMYFUNCTION("""COMPUTED_VALUE"""),"12 Januari 2022")</f>
        <v>12 Januari 2022</v>
      </c>
      <c r="C12" s="85" t="str">
        <f>IFERROR(__xludf.DUMMYFUNCTION("""COMPUTED_VALUE"""),"12 Januari 2022")</f>
        <v>12 Januari 2022</v>
      </c>
      <c r="D12" s="86"/>
      <c r="E12" s="88"/>
      <c r="F12" s="85"/>
      <c r="G12" s="86"/>
      <c r="H12" s="85"/>
      <c r="I12" s="85"/>
      <c r="J12" s="85"/>
      <c r="K12" s="85" t="str">
        <f>IFERROR(__xludf.DUMMYFUNCTION("""COMPUTED_VALUE"""),"PERANGKAT BELUM LENGKAP")</f>
        <v>PERANGKAT BELUM LENGKAP</v>
      </c>
      <c r="L12" s="85"/>
      <c r="M12" s="85"/>
      <c r="N12" s="85"/>
      <c r="O12" s="85"/>
      <c r="P12" s="85" t="str">
        <f>IFERROR(__xludf.DUMMYFUNCTION("""COMPUTED_VALUE"""),"KH3SPA26075JBRHD")</f>
        <v>KH3SPA26075JBRHD</v>
      </c>
      <c r="Q12" s="85" t="str">
        <f>IFERROR(__xludf.DUMMYFUNCTION("""COMPUTED_VALUE"""),"Berkah Putra ")</f>
        <v>Berkah Putra </v>
      </c>
      <c r="R12" s="85" t="str">
        <f>IFERROR(__xludf.DUMMYFUNCTION("""COMPUTED_VALUE"""),"BERKAH PUTRA")</f>
        <v>BERKAH PUTRA</v>
      </c>
      <c r="S12" s="85" t="str">
        <f>IFERROR(__xludf.DUMMYFUNCTION("""COMPUTED_VALUE"""),"Deden Susnandar")</f>
        <v>Deden Susnandar</v>
      </c>
      <c r="T12" s="85" t="str">
        <f>IFERROR(__xludf.DUMMYFUNCTION("""COMPUTED_VALUE"""),"Kp Cipinang Rt 02 Rw 13 Kel Cipinang Kec Cimaung Kab Bandung Jawa Barat 40375")</f>
        <v>Kp Cipinang Rt 02 Rw 13 Kel Cipinang Kec Cimaung Kab Bandung Jawa Barat 40375</v>
      </c>
      <c r="U12" s="85" t="str">
        <f>IFERROR(__xludf.DUMMYFUNCTION("""COMPUTED_VALUE"""),"Kp Cipinang RT 02 RW 13 Kel Cipinang Kec Cimaung Kab Bandung Jawa Barat 40375")</f>
        <v>Kp Cipinang RT 02 RW 13 Kel Cipinang Kec Cimaung Kab Bandung Jawa Barat 40375</v>
      </c>
      <c r="V12" s="85" t="str">
        <f>IFERROR(__xludf.DUMMYFUNCTION("""COMPUTED_VALUE"""),"002/13")</f>
        <v>002/13</v>
      </c>
      <c r="W12" s="85" t="str">
        <f>IFERROR(__xludf.DUMMYFUNCTION("""COMPUTED_VALUE"""),"CIPINANG")</f>
        <v>CIPINANG</v>
      </c>
      <c r="X12" s="85" t="str">
        <f>IFERROR(__xludf.DUMMYFUNCTION("""COMPUTED_VALUE"""),"CIMAUNG")</f>
        <v>CIMAUNG</v>
      </c>
      <c r="Y12" s="85" t="str">
        <f>IFERROR(__xludf.DUMMYFUNCTION("""COMPUTED_VALUE"""),"KAB. BANDUNG")</f>
        <v>KAB. BANDUNG</v>
      </c>
      <c r="Z12" s="85" t="str">
        <f>IFERROR(__xludf.DUMMYFUNCTION("""COMPUTED_VALUE"""),"JAWA BARAT")</f>
        <v>JAWA BARAT</v>
      </c>
      <c r="AA12" s="85" t="str">
        <f>IFERROR(__xludf.DUMMYFUNCTION("""COMPUTED_VALUE"""),"40375")</f>
        <v>40375</v>
      </c>
      <c r="AB12" s="85" t="str">
        <f>IFERROR(__xludf.DUMMYFUNCTION("""COMPUTED_VALUE"""),"3204172103700001")</f>
        <v>3204172103700001</v>
      </c>
      <c r="AC12" s="85" t="str">
        <f>IFERROR(__xludf.DUMMYFUNCTION("""COMPUTED_VALUE"""),"92.973.733.6-445.000")</f>
        <v>92.973.733.6-445.000</v>
      </c>
      <c r="AD12" s="85" t="str">
        <f>IFERROR(__xludf.DUMMYFUNCTION("""COMPUTED_VALUE"""),"CUM - HDT")</f>
        <v>CUM - HDT</v>
      </c>
      <c r="AE12" s="85" t="str">
        <f>IFERROR(__xludf.DUMMYFUNCTION("""COMPUTED_VALUE"""),"Sub Hidayat")</f>
        <v>Sub Hidayat</v>
      </c>
      <c r="AF12" s="85" t="str">
        <f>IFERROR(__xludf.DUMMYFUNCTION("""COMPUTED_VALUE"""),"0813-2262-0525")</f>
        <v>0813-2262-0525</v>
      </c>
      <c r="AG12" s="85" t="str">
        <f>IFERROR(__xludf.DUMMYFUNCTION("""COMPUTED_VALUE"""),"0813-2262-0525")</f>
        <v>0813-2262-0525</v>
      </c>
      <c r="AH12" s="85" t="str">
        <f>IFERROR(__xludf.DUMMYFUNCTION("""COMPUTED_VALUE"""),"dsnandar65@gmail.com")</f>
        <v>dsnandar65@gmail.com</v>
      </c>
      <c r="AI12" s="85" t="str">
        <f>IFERROR(__xludf.DUMMYFUNCTION("""COMPUTED_VALUE"""),"40374S4")</f>
        <v>40374S4</v>
      </c>
      <c r="AJ12" s="85" t="str">
        <f>IFERROR(__xludf.DUMMYFUNCTION("""COMPUTED_VALUE"""),"6231b59a1c70080ee15d946a")</f>
        <v>6231b59a1c70080ee15d946a</v>
      </c>
      <c r="AK12" s="85" t="str">
        <f>IFERROR(__xludf.DUMMYFUNCTION("""COMPUTED_VALUE"""),"dm40374s4")</f>
        <v>dm40374s4</v>
      </c>
      <c r="AL12" s="85" t="str">
        <f>IFERROR(__xludf.DUMMYFUNCTION("""COMPUTED_VALUE"""),"password")</f>
        <v>password</v>
      </c>
      <c r="AM12" s="85" t="str">
        <f>IFERROR(__xludf.DUMMYFUNCTION("""COMPUTED_VALUE"""),"KANTOR REGIONAL III BANDUNG 40004")</f>
        <v>KANTOR REGIONAL III BANDUNG 40004</v>
      </c>
      <c r="AN12" s="85" t="str">
        <f>IFERROR(__xludf.DUMMYFUNCTION("""COMPUTED_VALUE"""),"KPRK SOREANG 40900")</f>
        <v>KPRK SOREANG 40900</v>
      </c>
      <c r="AO12" s="85" t="str">
        <f>IFERROR(__xludf.DUMMYFUNCTION("""COMPUTED_VALUE"""),"0308220026461")</f>
        <v>0308220026461</v>
      </c>
      <c r="AP12" s="85" t="str">
        <f>IFERROR(__xludf.DUMMYFUNCTION("""COMPUTED_VALUE"""),"03082200264610001")</f>
        <v>03082200264610001</v>
      </c>
      <c r="AQ12" s="93"/>
      <c r="AR12" s="85"/>
      <c r="AS12" s="85"/>
      <c r="AT12" s="85" t="str">
        <f>IFERROR(__xludf.DUMMYFUNCTION("""COMPUTED_VALUE"""),"-71,067,736")</f>
        <v>-71,067,736</v>
      </c>
      <c r="AU12" s="85" t="str">
        <f>IFERROR(__xludf.DUMMYFUNCTION("""COMPUTED_VALUE"""),"1,075,636,071")</f>
        <v>1,075,636,071</v>
      </c>
      <c r="AV12" s="85" t="str">
        <f>IFERROR(__xludf.DUMMYFUNCTION("""COMPUTED_VALUE"""),"BELUM ADA")</f>
        <v>BELUM ADA</v>
      </c>
      <c r="AW12" s="85" t="str">
        <f>IFERROR(__xludf.DUMMYFUNCTION("""COMPUTED_VALUE"""),"ADA")</f>
        <v>ADA</v>
      </c>
      <c r="AX12" s="85"/>
      <c r="AY12" s="85"/>
      <c r="AZ12" s="85"/>
      <c r="BA12" s="85" t="str">
        <f>IFERROR(__xludf.DUMMYFUNCTION("""COMPUTED_VALUE"""),"ADA")</f>
        <v>ADA</v>
      </c>
      <c r="BB12" s="85" t="str">
        <f>IFERROR(__xludf.DUMMYFUNCTION("""COMPUTED_VALUE"""),"ADA")</f>
        <v>ADA</v>
      </c>
      <c r="BC12" s="85" t="str">
        <f>IFERROR(__xludf.DUMMYFUNCTION("""COMPUTED_VALUE"""),"ADA")</f>
        <v>ADA</v>
      </c>
      <c r="BD12" s="85" t="str">
        <f>IFERROR(__xludf.DUMMYFUNCTION("""COMPUTED_VALUE"""),"ADA")</f>
        <v>ADA</v>
      </c>
      <c r="BE12" s="85" t="str">
        <f>IFERROR(__xludf.DUMMYFUNCTION("""COMPUTED_VALUE"""),"ADA")</f>
        <v>ADA</v>
      </c>
      <c r="BF12" s="85" t="str">
        <f>IFERROR(__xludf.DUMMYFUNCTION("""COMPUTED_VALUE"""),"ADA")</f>
        <v>ADA</v>
      </c>
      <c r="BG12" s="85" t="str">
        <f>IFERROR(__xludf.DUMMYFUNCTION("""COMPUTED_VALUE"""),"ADA")</f>
        <v>ADA</v>
      </c>
      <c r="BH12" s="85" t="str">
        <f>IFERROR(__xludf.DUMMYFUNCTION("""COMPUTED_VALUE"""),"TIDAK ADA")</f>
        <v>TIDAK ADA</v>
      </c>
      <c r="BI12" s="85" t="str">
        <f>IFERROR(__xludf.DUMMYFUNCTION("""COMPUTED_VALUE"""),"TIDAK ADA")</f>
        <v>TIDAK ADA</v>
      </c>
      <c r="BJ12" s="85" t="str">
        <f>IFERROR(__xludf.DUMMYFUNCTION("""COMPUTED_VALUE"""),"TIDAK ADA")</f>
        <v>TIDAK ADA</v>
      </c>
      <c r="BK12" s="85" t="str">
        <f>IFERROR(__xludf.DUMMYFUNCTION("""COMPUTED_VALUE"""),"TIDAK ADA")</f>
        <v>TIDAK ADA</v>
      </c>
      <c r="BL12" s="85" t="str">
        <f>IFERROR(__xludf.DUMMYFUNCTION("""COMPUTED_VALUE"""),"PLAFON")</f>
        <v>PLAFON</v>
      </c>
      <c r="BM12" s="85"/>
      <c r="BN12" s="85"/>
      <c r="BO12" s="85"/>
      <c r="BP12" s="85"/>
      <c r="BQ12" s="85"/>
      <c r="BR12" s="85"/>
      <c r="BS12" s="85"/>
      <c r="BT12" s="85"/>
      <c r="BU12" s="85"/>
      <c r="BV12" s="85" t="str">
        <f>IFERROR(__xludf.DUMMYFUNCTION("""COMPUTED_VALUE"""),"Kp Cipinang Rt 02 Rw 13 Kel Cipinang Kec Cimaung Kab Bandung Jawa Barat 40375")</f>
        <v>Kp Cipinang Rt 02 Rw 13 Kel Cipinang Kec Cimaung Kab Bandung Jawa Barat 40375</v>
      </c>
      <c r="BW12" s="85"/>
      <c r="BX12" s="85"/>
      <c r="BY12" s="85"/>
      <c r="BZ12" s="85"/>
      <c r="CA12" s="85"/>
      <c r="CB12" s="85"/>
      <c r="CC12" s="85"/>
      <c r="CD12" s="85"/>
      <c r="CE12" s="85"/>
      <c r="CF12" s="85"/>
      <c r="CG12" s="85"/>
      <c r="CH12" s="85"/>
      <c r="CI12" s="85"/>
      <c r="CJ12" s="85"/>
      <c r="CK12" s="2"/>
    </row>
    <row r="13" ht="12.75" customHeight="1">
      <c r="A13" s="80">
        <f>IFERROR(__xludf.DUMMYFUNCTION("""COMPUTED_VALUE"""),10.0)</f>
        <v>10</v>
      </c>
      <c r="B13" s="80" t="str">
        <f>IFERROR(__xludf.DUMMYFUNCTION("""COMPUTED_VALUE"""),"12 Januari 2022")</f>
        <v>12 Januari 2022</v>
      </c>
      <c r="C13" s="80" t="str">
        <f>IFERROR(__xludf.DUMMYFUNCTION("""COMPUTED_VALUE"""),"12 Januari 2022")</f>
        <v>12 Januari 2022</v>
      </c>
      <c r="D13" s="81"/>
      <c r="E13" s="82"/>
      <c r="F13" s="80"/>
      <c r="G13" s="81"/>
      <c r="H13" s="80"/>
      <c r="I13" s="80"/>
      <c r="J13" s="80"/>
      <c r="K13" s="80" t="str">
        <f>IFERROR(__xludf.DUMMYFUNCTION("""COMPUTED_VALUE"""),"perangkat sudah lengkap, tidak ada petlok")</f>
        <v>perangkat sudah lengkap, tidak ada petlok</v>
      </c>
      <c r="L13" s="80"/>
      <c r="M13" s="80"/>
      <c r="N13" s="80"/>
      <c r="O13" s="80"/>
      <c r="P13" s="80" t="str">
        <f>IFERROR(__xludf.DUMMYFUNCTION("""COMPUTED_VALUE"""),"52BSPA22071JTGKR")</f>
        <v>52BSPA22071JTGKR</v>
      </c>
      <c r="Q13" s="80" t="str">
        <f>IFERROR(__xludf.DUMMYFUNCTION("""COMPUTED_VALUE"""),"RIFDA")</f>
        <v>RIFDA</v>
      </c>
      <c r="R13" s="80" t="str">
        <f>IFERROR(__xludf.DUMMYFUNCTION("""COMPUTED_VALUE"""),"RIFDA")</f>
        <v>RIFDA</v>
      </c>
      <c r="S13" s="80" t="str">
        <f>IFERROR(__xludf.DUMMYFUNCTION("""COMPUTED_VALUE"""),"Rifky Anggara Mardhyatmoko")</f>
        <v>Rifky Anggara Mardhyatmoko</v>
      </c>
      <c r="T13" s="80" t="str">
        <f>IFERROR(__xludf.DUMMYFUNCTION("""COMPUTED_VALUE"""),"Dukuh Kemantren Rt 02 Rw 01  ")</f>
        <v>Dukuh Kemantren Rt 02 Rw 01  </v>
      </c>
      <c r="U13" s="80" t="str">
        <f>IFERROR(__xludf.DUMMYFUNCTION("""COMPUTED_VALUE"""),"DUKUH KEMANTREN RT 02 RW 01 DESA KRETEK, KECAMATAN ROWOKELE, 54472")</f>
        <v>DUKUH KEMANTREN RT 02 RW 01 DESA KRETEK, KECAMATAN ROWOKELE, 54472</v>
      </c>
      <c r="V13" s="80" t="str">
        <f>IFERROR(__xludf.DUMMYFUNCTION("""COMPUTED_VALUE"""),"002/001")</f>
        <v>002/001</v>
      </c>
      <c r="W13" s="80" t="str">
        <f>IFERROR(__xludf.DUMMYFUNCTION("""COMPUTED_VALUE"""),"DS.KRETEK")</f>
        <v>DS.KRETEK</v>
      </c>
      <c r="X13" s="80" t="str">
        <f>IFERROR(__xludf.DUMMYFUNCTION("""COMPUTED_VALUE"""),"KEC.ROWOKELE")</f>
        <v>KEC.ROWOKELE</v>
      </c>
      <c r="Y13" s="80" t="str">
        <f>IFERROR(__xludf.DUMMYFUNCTION("""COMPUTED_VALUE"""),"KAB. KEBUMEN")</f>
        <v>KAB. KEBUMEN</v>
      </c>
      <c r="Z13" s="80" t="str">
        <f>IFERROR(__xludf.DUMMYFUNCTION("""COMPUTED_VALUE"""),"JAWA TENGAH")</f>
        <v>JAWA TENGAH</v>
      </c>
      <c r="AA13" s="80" t="str">
        <f>IFERROR(__xludf.DUMMYFUNCTION("""COMPUTED_VALUE"""),"54472")</f>
        <v>54472</v>
      </c>
      <c r="AB13" s="80" t="str">
        <f>IFERROR(__xludf.DUMMYFUNCTION("""COMPUTED_VALUE"""),"3305170503910003")</f>
        <v>3305170503910003</v>
      </c>
      <c r="AC13" s="80" t="str">
        <f>IFERROR(__xludf.DUMMYFUNCTION("""COMPUTED_VALUE"""),"71.741.044.3-523.000")</f>
        <v>71.741.044.3-523.000</v>
      </c>
      <c r="AD13" s="80" t="str">
        <f>IFERROR(__xludf.DUMMYFUNCTION("""COMPUTED_VALUE"""),"CUM - KRS")</f>
        <v>CUM - KRS</v>
      </c>
      <c r="AE13" s="80" t="str">
        <f>IFERROR(__xludf.DUMMYFUNCTION("""COMPUTED_VALUE"""),"SUB KARSINI")</f>
        <v>SUB KARSINI</v>
      </c>
      <c r="AF13" s="80" t="str">
        <f>IFERROR(__xludf.DUMMYFUNCTION("""COMPUTED_VALUE"""),"081356333315")</f>
        <v>081356333315</v>
      </c>
      <c r="AG13" s="80" t="str">
        <f>IFERROR(__xludf.DUMMYFUNCTION("""COMPUTED_VALUE"""),"081356333315")</f>
        <v>081356333315</v>
      </c>
      <c r="AH13" s="80" t="str">
        <f>IFERROR(__xludf.DUMMYFUNCTION("""COMPUTED_VALUE"""),"angga.tisangga.tisna85@gmail.com")</f>
        <v>angga.tisangga.tisna85@gmail.com</v>
      </c>
      <c r="AI13" s="80" t="str">
        <f>IFERROR(__xludf.DUMMYFUNCTION("""COMPUTED_VALUE"""),"54372S1")</f>
        <v>54372S1</v>
      </c>
      <c r="AJ13" s="80" t="str">
        <f>IFERROR(__xludf.DUMMYFUNCTION("""COMPUTED_VALUE"""),"61f25fba1f8c4b129846a7f5")</f>
        <v>61f25fba1f8c4b129846a7f5</v>
      </c>
      <c r="AK13" s="80" t="str">
        <f>IFERROR(__xludf.DUMMYFUNCTION("""COMPUTED_VALUE"""),"dm54372s1")</f>
        <v>dm54372s1</v>
      </c>
      <c r="AL13" s="80" t="str">
        <f>IFERROR(__xludf.DUMMYFUNCTION("""COMPUTED_VALUE"""),"password")</f>
        <v>password</v>
      </c>
      <c r="AM13" s="80" t="str">
        <f>IFERROR(__xludf.DUMMYFUNCTION("""COMPUTED_VALUE"""),"KANTOR REGIONAL IV SEMARANG 50004")</f>
        <v>KANTOR REGIONAL IV SEMARANG 50004</v>
      </c>
      <c r="AN13" s="80" t="str">
        <f>IFERROR(__xludf.DUMMYFUNCTION("""COMPUTED_VALUE"""),"KPRK KEBUMEN 54300")</f>
        <v>KPRK KEBUMEN 54300</v>
      </c>
      <c r="AO13" s="80" t="str">
        <f>IFERROR(__xludf.DUMMYFUNCTION("""COMPUTED_VALUE"""),"0108220052388")</f>
        <v>0108220052388</v>
      </c>
      <c r="AP13" s="80" t="str">
        <f>IFERROR(__xludf.DUMMYFUNCTION("""COMPUTED_VALUE"""),"01082200523880001")</f>
        <v>01082200523880001</v>
      </c>
      <c r="AQ13" s="83"/>
      <c r="AR13" s="80"/>
      <c r="AS13" s="80"/>
      <c r="AT13" s="80" t="str">
        <f>IFERROR(__xludf.DUMMYFUNCTION("""COMPUTED_VALUE"""),"7°36’01.2")</f>
        <v>7°36’01.2</v>
      </c>
      <c r="AU13" s="80" t="str">
        <f>IFERROR(__xludf.DUMMYFUNCTION("""COMPUTED_VALUE"""),"109°27’33,1")</f>
        <v>109°27’33,1</v>
      </c>
      <c r="AV13" s="80" t="str">
        <f>IFERROR(__xludf.DUMMYFUNCTION("""COMPUTED_VALUE"""),"ADA")</f>
        <v>ADA</v>
      </c>
      <c r="AW13" s="80" t="str">
        <f>IFERROR(__xludf.DUMMYFUNCTION("""COMPUTED_VALUE"""),"ADA")</f>
        <v>ADA</v>
      </c>
      <c r="AX13" s="80"/>
      <c r="AY13" s="80"/>
      <c r="AZ13" s="80"/>
      <c r="BA13" s="80" t="str">
        <f>IFERROR(__xludf.DUMMYFUNCTION("""COMPUTED_VALUE"""),"ADA")</f>
        <v>ADA</v>
      </c>
      <c r="BB13" s="80" t="str">
        <f>IFERROR(__xludf.DUMMYFUNCTION("""COMPUTED_VALUE"""),"ADA")</f>
        <v>ADA</v>
      </c>
      <c r="BC13" s="80" t="str">
        <f>IFERROR(__xludf.DUMMYFUNCTION("""COMPUTED_VALUE"""),"ADA")</f>
        <v>ADA</v>
      </c>
      <c r="BD13" s="80" t="str">
        <f>IFERROR(__xludf.DUMMYFUNCTION("""COMPUTED_VALUE"""),"ADA")</f>
        <v>ADA</v>
      </c>
      <c r="BE13" s="80" t="str">
        <f>IFERROR(__xludf.DUMMYFUNCTION("""COMPUTED_VALUE"""),"ada")</f>
        <v>ada</v>
      </c>
      <c r="BF13" s="80" t="str">
        <f>IFERROR(__xludf.DUMMYFUNCTION("""COMPUTED_VALUE"""),"ADA")</f>
        <v>ADA</v>
      </c>
      <c r="BG13" s="80" t="str">
        <f>IFERROR(__xludf.DUMMYFUNCTION("""COMPUTED_VALUE"""),"ADA")</f>
        <v>ADA</v>
      </c>
      <c r="BH13" s="80" t="str">
        <f>IFERROR(__xludf.DUMMYFUNCTION("""COMPUTED_VALUE"""),"EP-9200")</f>
        <v>EP-9200</v>
      </c>
      <c r="BI13" s="80" t="str">
        <f>IFERROR(__xludf.DUMMYFUNCTION("""COMPUTED_VALUE"""),"ADA")</f>
        <v>ADA</v>
      </c>
      <c r="BJ13" s="80" t="str">
        <f>IFERROR(__xludf.DUMMYFUNCTION("""COMPUTED_VALUE"""),"ADA")</f>
        <v>ADA</v>
      </c>
      <c r="BK13" s="80" t="str">
        <f>IFERROR(__xludf.DUMMYFUNCTION("""COMPUTED_VALUE"""),"TIDAK ADA")</f>
        <v>TIDAK ADA</v>
      </c>
      <c r="BL13" s="80" t="str">
        <f>IFERROR(__xludf.DUMMYFUNCTION("""COMPUTED_VALUE"""),"DEPOSIT")</f>
        <v>DEPOSIT</v>
      </c>
      <c r="BM13" s="80"/>
      <c r="BN13" s="80"/>
      <c r="BO13" s="80"/>
      <c r="BP13" s="80"/>
      <c r="BQ13" s="80"/>
      <c r="BR13" s="80"/>
      <c r="BS13" s="80"/>
      <c r="BT13" s="80"/>
      <c r="BU13" s="80" t="str">
        <f>IFERROR(__xludf.DUMMYFUNCTION("""COMPUTED_VALUE"""),"petugas pos siap bantu, loket Rifda susah dihub")</f>
        <v>petugas pos siap bantu, loket Rifda susah dihub</v>
      </c>
      <c r="BV13" s="80" t="str">
        <f>IFERROR(__xludf.DUMMYFUNCTION("""COMPUTED_VALUE"""),"Dukuh Kemantren Rt 02 Rw 01  ")</f>
        <v>Dukuh Kemantren Rt 02 Rw 01  </v>
      </c>
      <c r="BW13" s="80"/>
      <c r="BX13" s="80"/>
      <c r="BY13" s="80"/>
      <c r="BZ13" s="80"/>
      <c r="CA13" s="80"/>
      <c r="CB13" s="80"/>
      <c r="CC13" s="80"/>
      <c r="CD13" s="80"/>
      <c r="CE13" s="80"/>
      <c r="CF13" s="80"/>
      <c r="CG13" s="80"/>
      <c r="CH13" s="80"/>
      <c r="CI13" s="80"/>
      <c r="CJ13" s="80"/>
      <c r="CK13" s="2"/>
    </row>
    <row r="14" ht="12.75" customHeight="1">
      <c r="A14" s="85">
        <f>IFERROR(__xludf.DUMMYFUNCTION("""COMPUTED_VALUE"""),11.0)</f>
        <v>11</v>
      </c>
      <c r="B14" s="85" t="str">
        <f>IFERROR(__xludf.DUMMYFUNCTION("""COMPUTED_VALUE"""),"12 Januari 2022")</f>
        <v>12 Januari 2022</v>
      </c>
      <c r="C14" s="85" t="str">
        <f>IFERROR(__xludf.DUMMYFUNCTION("""COMPUTED_VALUE"""),"12 Januari 2022")</f>
        <v>12 Januari 2022</v>
      </c>
      <c r="D14" s="86"/>
      <c r="E14" s="88"/>
      <c r="F14" s="85" t="str">
        <f>IFERROR(__xludf.DUMMYFUNCTION("""COMPUTED_VALUE"""),"16 AGUSTUS 2022")</f>
        <v>16 AGUSTUS 2022</v>
      </c>
      <c r="G14" s="86">
        <f>IFERROR(__xludf.DUMMYFUNCTION("""COMPUTED_VALUE"""),44789.0)</f>
        <v>44789</v>
      </c>
      <c r="H14" s="85"/>
      <c r="I14" s="85" t="str">
        <f>IFERROR(__xludf.DUMMYFUNCTION("""COMPUTED_VALUE"""),"16-08-22")</f>
        <v>16-08-22</v>
      </c>
      <c r="J14" s="85" t="str">
        <f>IFERROR(__xludf.DUMMYFUNCTION("""COMPUTED_VALUE"""),"15-09-22")</f>
        <v>15-09-22</v>
      </c>
      <c r="K14" s="85"/>
      <c r="L14" s="85"/>
      <c r="M14" s="85"/>
      <c r="N14" s="85"/>
      <c r="O14" s="85"/>
      <c r="P14" s="85" t="str">
        <f>IFERROR(__xludf.DUMMYFUNCTION("""COMPUTED_VALUE"""),"KH2BSPA27003JBEN")</f>
        <v>KH2BSPA27003JBEN</v>
      </c>
      <c r="Q14" s="85" t="str">
        <f>IFERROR(__xludf.DUMMYFUNCTION("""COMPUTED_VALUE"""),"pp ananda 01")</f>
        <v>pp ananda 01</v>
      </c>
      <c r="R14" s="85" t="str">
        <f>IFERROR(__xludf.DUMMYFUNCTION("""COMPUTED_VALUE"""),"PP ANANDA 01")</f>
        <v>PP ANANDA 01</v>
      </c>
      <c r="S14" s="85" t="str">
        <f>IFERROR(__xludf.DUMMYFUNCTION("""COMPUTED_VALUE"""),"Riyaddi  Mulya")</f>
        <v>Riyaddi  Mulya</v>
      </c>
      <c r="T14" s="85" t="str">
        <f>IFERROR(__xludf.DUMMYFUNCTION("""COMPUTED_VALUE"""),"Jl.Nurkim No.09 Rt.03 Rw.12  ")</f>
        <v>Jl.Nurkim No.09 Rt.03 Rw.12  </v>
      </c>
      <c r="U14" s="85" t="str">
        <f>IFERROR(__xludf.DUMMYFUNCTION("""COMPUTED_VALUE"""),"Jl.Nurkim No.09 RT.03 RW.12 Ds.KOTABATU KEC.CIOMAS ")</f>
        <v>Jl.Nurkim No.09 RT.03 RW.12 Ds.KOTABATU KEC.CIOMAS </v>
      </c>
      <c r="V14" s="85" t="str">
        <f>IFERROR(__xludf.DUMMYFUNCTION("""COMPUTED_VALUE"""),"002/005")</f>
        <v>002/005</v>
      </c>
      <c r="W14" s="85" t="str">
        <f>IFERROR(__xludf.DUMMYFUNCTION("""COMPUTED_VALUE"""),"DS.KOTA BATU")</f>
        <v>DS.KOTA BATU</v>
      </c>
      <c r="X14" s="85" t="str">
        <f>IFERROR(__xludf.DUMMYFUNCTION("""COMPUTED_VALUE"""),"KEC.CIOMAS")</f>
        <v>KEC.CIOMAS</v>
      </c>
      <c r="Y14" s="85" t="str">
        <f>IFERROR(__xludf.DUMMYFUNCTION("""COMPUTED_VALUE"""),"KAB. BOGOR")</f>
        <v>KAB. BOGOR</v>
      </c>
      <c r="Z14" s="85" t="str">
        <f>IFERROR(__xludf.DUMMYFUNCTION("""COMPUTED_VALUE"""),"JAWA BARAT")</f>
        <v>JAWA BARAT</v>
      </c>
      <c r="AA14" s="85" t="str">
        <f>IFERROR(__xludf.DUMMYFUNCTION("""COMPUTED_VALUE"""),"16610")</f>
        <v>16610</v>
      </c>
      <c r="AB14" s="85" t="str">
        <f>IFERROR(__xludf.DUMMYFUNCTION("""COMPUTED_VALUE"""),"3201291307830006")</f>
        <v>3201291307830006</v>
      </c>
      <c r="AC14" s="85" t="str">
        <f>IFERROR(__xludf.DUMMYFUNCTION("""COMPUTED_VALUE"""),"59.080.139.5.434.000")</f>
        <v>59.080.139.5.434.000</v>
      </c>
      <c r="AD14" s="85" t="str">
        <f>IFERROR(__xludf.DUMMYFUNCTION("""COMPUTED_VALUE"""),"CUM - EEN")</f>
        <v>CUM - EEN</v>
      </c>
      <c r="AE14" s="85" t="str">
        <f>IFERROR(__xludf.DUMMYFUNCTION("""COMPUTED_VALUE"""),"SUB KARSINI")</f>
        <v>SUB KARSINI</v>
      </c>
      <c r="AF14" s="85" t="str">
        <f>IFERROR(__xludf.DUMMYFUNCTION("""COMPUTED_VALUE"""),"0852 1583 7717")</f>
        <v>0852 1583 7717</v>
      </c>
      <c r="AG14" s="85" t="str">
        <f>IFERROR(__xludf.DUMMYFUNCTION("""COMPUTED_VALUE"""),"0852 1583 7717")</f>
        <v>0852 1583 7717</v>
      </c>
      <c r="AH14" s="85" t="str">
        <f>IFERROR(__xludf.DUMMYFUNCTION("""COMPUTED_VALUE"""),"fauzi13andri@gmail.com")</f>
        <v>fauzi13andri@gmail.com</v>
      </c>
      <c r="AI14" s="85" t="str">
        <f>IFERROR(__xludf.DUMMYFUNCTION("""COMPUTED_VALUE"""),"16618S1")</f>
        <v>16618S1</v>
      </c>
      <c r="AJ14" s="85" t="str">
        <f>IFERROR(__xludf.DUMMYFUNCTION("""COMPUTED_VALUE"""),"620f2305ee26a37eab45889c")</f>
        <v>620f2305ee26a37eab45889c</v>
      </c>
      <c r="AK14" s="85" t="str">
        <f>IFERROR(__xludf.DUMMYFUNCTION("""COMPUTED_VALUE"""),"dm16618s1")</f>
        <v>dm16618s1</v>
      </c>
      <c r="AL14" s="85" t="str">
        <f>IFERROR(__xludf.DUMMYFUNCTION("""COMPUTED_VALUE"""),"password")</f>
        <v>password</v>
      </c>
      <c r="AM14" s="85" t="str">
        <f>IFERROR(__xludf.DUMMYFUNCTION("""COMPUTED_VALUE"""),"KANTOR REGIONAL II JAKARTA 10004")</f>
        <v>KANTOR REGIONAL II JAKARTA 10004</v>
      </c>
      <c r="AN14" s="85" t="str">
        <f>IFERROR(__xludf.DUMMYFUNCTION("""COMPUTED_VALUE"""),"KPRK BOGOR 16000")</f>
        <v>KPRK BOGOR 16000</v>
      </c>
      <c r="AO14" s="85" t="str">
        <f>IFERROR(__xludf.DUMMYFUNCTION("""COMPUTED_VALUE"""),"0208220019585")</f>
        <v>0208220019585</v>
      </c>
      <c r="AP14" s="85" t="str">
        <f>IFERROR(__xludf.DUMMYFUNCTION("""COMPUTED_VALUE"""),"02082200195850001")</f>
        <v>02082200195850001</v>
      </c>
      <c r="AQ14" s="93"/>
      <c r="AR14" s="85"/>
      <c r="AS14" s="85"/>
      <c r="AT14" s="85" t="str">
        <f>IFERROR(__xludf.DUMMYFUNCTION("""COMPUTED_VALUE"""),"-66,223")</f>
        <v>-66,223</v>
      </c>
      <c r="AU14" s="85" t="str">
        <f>IFERROR(__xludf.DUMMYFUNCTION("""COMPUTED_VALUE"""),"10,677,774")</f>
        <v>10,677,774</v>
      </c>
      <c r="AV14" s="85" t="str">
        <f>IFERROR(__xludf.DUMMYFUNCTION("""COMPUTED_VALUE"""),"ADA")</f>
        <v>ADA</v>
      </c>
      <c r="AW14" s="85" t="str">
        <f>IFERROR(__xludf.DUMMYFUNCTION("""COMPUTED_VALUE"""),"ADA")</f>
        <v>ADA</v>
      </c>
      <c r="AX14" s="85"/>
      <c r="AY14" s="85"/>
      <c r="AZ14" s="85"/>
      <c r="BA14" s="85" t="str">
        <f>IFERROR(__xludf.DUMMYFUNCTION("""COMPUTED_VALUE"""),"ADA")</f>
        <v>ADA</v>
      </c>
      <c r="BB14" s="85" t="str">
        <f>IFERROR(__xludf.DUMMYFUNCTION("""COMPUTED_VALUE"""),"ADA")</f>
        <v>ADA</v>
      </c>
      <c r="BC14" s="85" t="str">
        <f>IFERROR(__xludf.DUMMYFUNCTION("""COMPUTED_VALUE"""),"ADA")</f>
        <v>ADA</v>
      </c>
      <c r="BD14" s="85" t="str">
        <f>IFERROR(__xludf.DUMMYFUNCTION("""COMPUTED_VALUE"""),"ADA")</f>
        <v>ADA</v>
      </c>
      <c r="BE14" s="85" t="str">
        <f>IFERROR(__xludf.DUMMYFUNCTION("""COMPUTED_VALUE"""),"ADA")</f>
        <v>ADA</v>
      </c>
      <c r="BF14" s="85" t="str">
        <f>IFERROR(__xludf.DUMMYFUNCTION("""COMPUTED_VALUE"""),"ADA")</f>
        <v>ADA</v>
      </c>
      <c r="BG14" s="85" t="str">
        <f>IFERROR(__xludf.DUMMYFUNCTION("""COMPUTED_VALUE"""),"ADA")</f>
        <v>ADA</v>
      </c>
      <c r="BH14" s="85"/>
      <c r="BI14" s="85" t="str">
        <f>IFERROR(__xludf.DUMMYFUNCTION("""COMPUTED_VALUE"""),"ADA")</f>
        <v>ADA</v>
      </c>
      <c r="BJ14" s="85" t="str">
        <f>IFERROR(__xludf.DUMMYFUNCTION("""COMPUTED_VALUE"""),"ADA")</f>
        <v>ADA</v>
      </c>
      <c r="BK14" s="85" t="str">
        <f>IFERROR(__xludf.DUMMYFUNCTION("""COMPUTED_VALUE"""),"ADA")</f>
        <v>ADA</v>
      </c>
      <c r="BL14" s="85" t="str">
        <f>IFERROR(__xludf.DUMMYFUNCTION("""COMPUTED_VALUE"""),"PLAFON")</f>
        <v>PLAFON</v>
      </c>
      <c r="BM14" s="85"/>
      <c r="BN14" s="85"/>
      <c r="BO14" s="85"/>
      <c r="BP14" s="85"/>
      <c r="BQ14" s="85"/>
      <c r="BR14" s="85"/>
      <c r="BS14" s="85"/>
      <c r="BT14" s="85"/>
      <c r="BU14" s="85"/>
      <c r="BV14" s="85" t="str">
        <f>IFERROR(__xludf.DUMMYFUNCTION("""COMPUTED_VALUE"""),"Jl.Nurkim No.09 Rt.03 Rw.12  ")</f>
        <v>Jl.Nurkim No.09 Rt.03 Rw.12  </v>
      </c>
      <c r="BW14" s="85"/>
      <c r="BX14" s="85"/>
      <c r="BY14" s="85"/>
      <c r="BZ14" s="85"/>
      <c r="CA14" s="85"/>
      <c r="CB14" s="85"/>
      <c r="CC14" s="85"/>
      <c r="CD14" s="85"/>
      <c r="CE14" s="85"/>
      <c r="CF14" s="85"/>
      <c r="CG14" s="85"/>
      <c r="CH14" s="85"/>
      <c r="CI14" s="85"/>
      <c r="CJ14" s="85"/>
      <c r="CK14" s="2"/>
    </row>
    <row r="15" ht="12.75" customHeight="1">
      <c r="A15" s="80">
        <f>IFERROR(__xludf.DUMMYFUNCTION("""COMPUTED_VALUE"""),12.0)</f>
        <v>12</v>
      </c>
      <c r="B15" s="80" t="str">
        <f>IFERROR(__xludf.DUMMYFUNCTION("""COMPUTED_VALUE"""),"12 Januari 2022")</f>
        <v>12 Januari 2022</v>
      </c>
      <c r="C15" s="80" t="str">
        <f>IFERROR(__xludf.DUMMYFUNCTION("""COMPUTED_VALUE"""),"12 Januari 2022")</f>
        <v>12 Januari 2022</v>
      </c>
      <c r="D15" s="81"/>
      <c r="E15" s="82"/>
      <c r="F15" s="80"/>
      <c r="G15" s="81"/>
      <c r="H15" s="80"/>
      <c r="I15" s="80"/>
      <c r="J15" s="80"/>
      <c r="K15" s="80" t="str">
        <f>IFERROR(__xludf.DUMMYFUNCTION("""COMPUTED_VALUE"""),"PERANGKAT BELUM LENGKAP")</f>
        <v>PERANGKAT BELUM LENGKAP</v>
      </c>
      <c r="L15" s="80"/>
      <c r="M15" s="80"/>
      <c r="N15" s="80"/>
      <c r="O15" s="80"/>
      <c r="P15" s="80" t="str">
        <f>IFERROR(__xludf.DUMMYFUNCTION("""COMPUTED_VALUE"""),"53BSPA26271JBRND")</f>
        <v>53BSPA26271JBRND</v>
      </c>
      <c r="Q15" s="80" t="str">
        <f>IFERROR(__xludf.DUMMYFUNCTION("""COMPUTED_VALUE"""),"SADEWA")</f>
        <v>SADEWA</v>
      </c>
      <c r="R15" s="80" t="str">
        <f>IFERROR(__xludf.DUMMYFUNCTION("""COMPUTED_VALUE"""),"SADEWA")</f>
        <v>SADEWA</v>
      </c>
      <c r="S15" s="80" t="str">
        <f>IFERROR(__xludf.DUMMYFUNCTION("""COMPUTED_VALUE"""),"Ero Juhara")</f>
        <v>Ero Juhara</v>
      </c>
      <c r="T15" s="80" t="str">
        <f>IFERROR(__xludf.DUMMYFUNCTION("""COMPUTED_VALUE"""),"Dusun Manis Rt09 Rw03 Kel. Lengkong Kec. Garawangi")</f>
        <v>Dusun Manis Rt09 Rw03 Kel. Lengkong Kec. Garawangi</v>
      </c>
      <c r="U15" s="80" t="str">
        <f>IFERROR(__xludf.DUMMYFUNCTION("""COMPUTED_VALUE"""),"DUSUN KALIWON RT02 RW01 DESA PURWASARI")</f>
        <v>DUSUN KALIWON RT02 RW01 DESA PURWASARI</v>
      </c>
      <c r="V15" s="80" t="str">
        <f>IFERROR(__xludf.DUMMYFUNCTION("""COMPUTED_VALUE"""),"009/003")</f>
        <v>009/003</v>
      </c>
      <c r="W15" s="80" t="str">
        <f>IFERROR(__xludf.DUMMYFUNCTION("""COMPUTED_VALUE"""),"PURWASARI")</f>
        <v>PURWASARI</v>
      </c>
      <c r="X15" s="80" t="str">
        <f>IFERROR(__xludf.DUMMYFUNCTION("""COMPUTED_VALUE"""),"KEC.GARAWANGI")</f>
        <v>KEC.GARAWANGI</v>
      </c>
      <c r="Y15" s="80" t="str">
        <f>IFERROR(__xludf.DUMMYFUNCTION("""COMPUTED_VALUE"""),"KAB. KUNINGAN")</f>
        <v>KAB. KUNINGAN</v>
      </c>
      <c r="Z15" s="80" t="str">
        <f>IFERROR(__xludf.DUMMYFUNCTION("""COMPUTED_VALUE"""),"JAWA BARAT")</f>
        <v>JAWA BARAT</v>
      </c>
      <c r="AA15" s="80" t="str">
        <f>IFERROR(__xludf.DUMMYFUNCTION("""COMPUTED_VALUE"""),"45571")</f>
        <v>45571</v>
      </c>
      <c r="AB15" s="80" t="str">
        <f>IFERROR(__xludf.DUMMYFUNCTION("""COMPUTED_VALUE"""),"3208081007690002")</f>
        <v>3208081007690002</v>
      </c>
      <c r="AC15" s="80" t="str">
        <f>IFERROR(__xludf.DUMMYFUNCTION("""COMPUTED_VALUE"""),"46.889.979.4-438.000")</f>
        <v>46.889.979.4-438.000</v>
      </c>
      <c r="AD15" s="80" t="str">
        <f>IFERROR(__xludf.DUMMYFUNCTION("""COMPUTED_VALUE"""),"CUM - NDS")</f>
        <v>CUM - NDS</v>
      </c>
      <c r="AE15" s="80" t="str">
        <f>IFERROR(__xludf.DUMMYFUNCTION("""COMPUTED_VALUE"""),"SUB NURUL DIMAS")</f>
        <v>SUB NURUL DIMAS</v>
      </c>
      <c r="AF15" s="80" t="str">
        <f>IFERROR(__xludf.DUMMYFUNCTION("""COMPUTED_VALUE"""),"085659724107")</f>
        <v>085659724107</v>
      </c>
      <c r="AG15" s="80" t="str">
        <f>IFERROR(__xludf.DUMMYFUNCTION("""COMPUTED_VALUE"""),"085659724107")</f>
        <v>085659724107</v>
      </c>
      <c r="AH15" s="80" t="str">
        <f>IFERROR(__xludf.DUMMYFUNCTION("""COMPUTED_VALUE"""),"erojuhar@gmail.com")</f>
        <v>erojuhar@gmail.com</v>
      </c>
      <c r="AI15" s="80" t="str">
        <f>IFERROR(__xludf.DUMMYFUNCTION("""COMPUTED_VALUE"""),"45571S2")</f>
        <v>45571S2</v>
      </c>
      <c r="AJ15" s="80" t="str">
        <f>IFERROR(__xludf.DUMMYFUNCTION("""COMPUTED_VALUE"""),"6210eb16d6167e6e1908d284")</f>
        <v>6210eb16d6167e6e1908d284</v>
      </c>
      <c r="AK15" s="80" t="str">
        <f>IFERROR(__xludf.DUMMYFUNCTION("""COMPUTED_VALUE"""),"dm45571s2")</f>
        <v>dm45571s2</v>
      </c>
      <c r="AL15" s="80" t="str">
        <f>IFERROR(__xludf.DUMMYFUNCTION("""COMPUTED_VALUE"""),"password")</f>
        <v>password</v>
      </c>
      <c r="AM15" s="80" t="str">
        <f>IFERROR(__xludf.DUMMYFUNCTION("""COMPUTED_VALUE"""),"KANTOR REGIONAL III BANDUNG 40004")</f>
        <v>KANTOR REGIONAL III BANDUNG 40004</v>
      </c>
      <c r="AN15" s="80" t="str">
        <f>IFERROR(__xludf.DUMMYFUNCTION("""COMPUTED_VALUE"""),"KPRK KUNINGAN 45500")</f>
        <v>KPRK KUNINGAN 45500</v>
      </c>
      <c r="AO15" s="80" t="str">
        <f>IFERROR(__xludf.DUMMYFUNCTION("""COMPUTED_VALUE"""),"'0308220019599")</f>
        <v>'0308220019599</v>
      </c>
      <c r="AP15" s="80" t="str">
        <f>IFERROR(__xludf.DUMMYFUNCTION("""COMPUTED_VALUE"""),"03082200195990001")</f>
        <v>03082200195990001</v>
      </c>
      <c r="AQ15" s="83"/>
      <c r="AR15" s="80"/>
      <c r="AS15" s="80"/>
      <c r="AT15" s="80" t="str">
        <f>IFERROR(__xludf.DUMMYFUNCTION("""COMPUTED_VALUE"""),"-6,998,832")</f>
        <v>-6,998,832</v>
      </c>
      <c r="AU15" s="80" t="str">
        <f>IFERROR(__xludf.DUMMYFUNCTION("""COMPUTED_VALUE"""),"108,534,867")</f>
        <v>108,534,867</v>
      </c>
      <c r="AV15" s="80" t="str">
        <f>IFERROR(__xludf.DUMMYFUNCTION("""COMPUTED_VALUE"""),"ADA")</f>
        <v>ADA</v>
      </c>
      <c r="AW15" s="80" t="str">
        <f>IFERROR(__xludf.DUMMYFUNCTION("""COMPUTED_VALUE"""),"ADA")</f>
        <v>ADA</v>
      </c>
      <c r="AX15" s="80"/>
      <c r="AY15" s="80"/>
      <c r="AZ15" s="80"/>
      <c r="BA15" s="80" t="str">
        <f>IFERROR(__xludf.DUMMYFUNCTION("""COMPUTED_VALUE"""),"ADA")</f>
        <v>ADA</v>
      </c>
      <c r="BB15" s="80" t="str">
        <f>IFERROR(__xludf.DUMMYFUNCTION("""COMPUTED_VALUE"""),"ADA")</f>
        <v>ADA</v>
      </c>
      <c r="BC15" s="80" t="str">
        <f>IFERROR(__xludf.DUMMYFUNCTION("""COMPUTED_VALUE"""),"ADA")</f>
        <v>ADA</v>
      </c>
      <c r="BD15" s="80" t="str">
        <f>IFERROR(__xludf.DUMMYFUNCTION("""COMPUTED_VALUE"""),"ADA")</f>
        <v>ADA</v>
      </c>
      <c r="BE15" s="80" t="str">
        <f>IFERROR(__xludf.DUMMYFUNCTION("""COMPUTED_VALUE"""),"ADA")</f>
        <v>ADA</v>
      </c>
      <c r="BF15" s="80" t="str">
        <f>IFERROR(__xludf.DUMMYFUNCTION("""COMPUTED_VALUE"""),"ADA")</f>
        <v>ADA</v>
      </c>
      <c r="BG15" s="80" t="str">
        <f>IFERROR(__xludf.DUMMYFUNCTION("""COMPUTED_VALUE"""),"ADA")</f>
        <v>ADA</v>
      </c>
      <c r="BH15" s="80" t="str">
        <f>IFERROR(__xludf.DUMMYFUNCTION("""COMPUTED_VALUE"""),"TIDAK ADA")</f>
        <v>TIDAK ADA</v>
      </c>
      <c r="BI15" s="80" t="str">
        <f>IFERROR(__xludf.DUMMYFUNCTION("""COMPUTED_VALUE"""),"ADA")</f>
        <v>ADA</v>
      </c>
      <c r="BJ15" s="80" t="str">
        <f>IFERROR(__xludf.DUMMYFUNCTION("""COMPUTED_VALUE"""),"TIDAK ADA")</f>
        <v>TIDAK ADA</v>
      </c>
      <c r="BK15" s="80" t="str">
        <f>IFERROR(__xludf.DUMMYFUNCTION("""COMPUTED_VALUE"""),"TIDAK ADA")</f>
        <v>TIDAK ADA</v>
      </c>
      <c r="BL15" s="80" t="str">
        <f>IFERROR(__xludf.DUMMYFUNCTION("""COMPUTED_VALUE"""),"PLAFON")</f>
        <v>PLAFON</v>
      </c>
      <c r="BM15" s="80"/>
      <c r="BN15" s="80"/>
      <c r="BO15" s="80"/>
      <c r="BP15" s="80"/>
      <c r="BQ15" s="80"/>
      <c r="BR15" s="80"/>
      <c r="BS15" s="80"/>
      <c r="BT15" s="80"/>
      <c r="BU15" s="80"/>
      <c r="BV15" s="80" t="str">
        <f>IFERROR(__xludf.DUMMYFUNCTION("""COMPUTED_VALUE"""),"Dusun Manis Rt09 Rw03 Kel. Lengkong Kec. Garawangi")</f>
        <v>Dusun Manis Rt09 Rw03 Kel. Lengkong Kec. Garawangi</v>
      </c>
      <c r="BW15" s="80"/>
      <c r="BX15" s="80"/>
      <c r="BY15" s="80"/>
      <c r="BZ15" s="80"/>
      <c r="CA15" s="80"/>
      <c r="CB15" s="80"/>
      <c r="CC15" s="80"/>
      <c r="CD15" s="80"/>
      <c r="CE15" s="80"/>
      <c r="CF15" s="80"/>
      <c r="CG15" s="80"/>
      <c r="CH15" s="80"/>
      <c r="CI15" s="80"/>
      <c r="CJ15" s="80"/>
      <c r="CK15" s="2"/>
    </row>
    <row r="16" ht="12.75" customHeight="1">
      <c r="A16" s="85">
        <f>IFERROR(__xludf.DUMMYFUNCTION("""COMPUTED_VALUE"""),13.0)</f>
        <v>13</v>
      </c>
      <c r="B16" s="85" t="str">
        <f>IFERROR(__xludf.DUMMYFUNCTION("""COMPUTED_VALUE"""),"19 Januari 2022")</f>
        <v>19 Januari 2022</v>
      </c>
      <c r="C16" s="85" t="str">
        <f>IFERROR(__xludf.DUMMYFUNCTION("""COMPUTED_VALUE"""),"19 Januari 2022")</f>
        <v>19 Januari 2022</v>
      </c>
      <c r="D16" s="86"/>
      <c r="E16" s="88"/>
      <c r="F16" s="85" t="str">
        <f>IFERROR(__xludf.DUMMYFUNCTION("""COMPUTED_VALUE"""),"16 OKTOBER 2022")</f>
        <v>16 OKTOBER 2022</v>
      </c>
      <c r="G16" s="86">
        <f>IFERROR(__xludf.DUMMYFUNCTION("""COMPUTED_VALUE"""),44851.0)</f>
        <v>44851</v>
      </c>
      <c r="H16" s="85"/>
      <c r="I16" s="85" t="str">
        <f>IFERROR(__xludf.DUMMYFUNCTION("""COMPUTED_VALUE"""),"18 OKTOBER 2022")</f>
        <v>18 OKTOBER 2022</v>
      </c>
      <c r="J16" s="85" t="str">
        <f>IFERROR(__xludf.DUMMYFUNCTION("""COMPUTED_VALUE"""),"31 OKTOBER 2022")</f>
        <v>31 OKTOBER 2022</v>
      </c>
      <c r="K16" s="85"/>
      <c r="L16" s="85"/>
      <c r="M16" s="85"/>
      <c r="N16" s="85"/>
      <c r="O16" s="85"/>
      <c r="P16" s="85" t="str">
        <f>IFERROR(__xludf.DUMMYFUNCTION("""COMPUTED_VALUE"""),"53BSPA25759JBRND")</f>
        <v>53BSPA25759JBRND</v>
      </c>
      <c r="Q16" s="85" t="str">
        <f>IFERROR(__xludf.DUMMYFUNCTION("""COMPUTED_VALUE"""),"  ANI")</f>
        <v>  ANI</v>
      </c>
      <c r="R16" s="85" t="str">
        <f>IFERROR(__xludf.DUMMYFUNCTION("""COMPUTED_VALUE"""),"ANI")</f>
        <v>ANI</v>
      </c>
      <c r="S16" s="85" t="str">
        <f>IFERROR(__xludf.DUMMYFUNCTION("""COMPUTED_VALUE"""),"Agus Tukiman")</f>
        <v>Agus Tukiman</v>
      </c>
      <c r="T16" s="85" t="str">
        <f>IFERROR(__xludf.DUMMYFUNCTION("""COMPUTED_VALUE"""),"Jl. Re Martadinata Depan Jogja Cijoho")</f>
        <v>Jl. Re Martadinata Depan Jogja Cijoho</v>
      </c>
      <c r="U16" s="85" t="str">
        <f>IFERROR(__xludf.DUMMYFUNCTION("""COMPUTED_VALUE"""),"JL. LINGGA KENCANA NO. 41 KOMP. BTN CIJOHO RT25 RW03 Kode Pos 45513")</f>
        <v>JL. LINGGA KENCANA NO. 41 KOMP. BTN CIJOHO RT25 RW03 Kode Pos 45513</v>
      </c>
      <c r="V16" s="85" t="str">
        <f>IFERROR(__xludf.DUMMYFUNCTION("""COMPUTED_VALUE"""),"25/003")</f>
        <v>25/003</v>
      </c>
      <c r="W16" s="85" t="str">
        <f>IFERROR(__xludf.DUMMYFUNCTION("""COMPUTED_VALUE"""),"CIJOHO")</f>
        <v>CIJOHO</v>
      </c>
      <c r="X16" s="85" t="str">
        <f>IFERROR(__xludf.DUMMYFUNCTION("""COMPUTED_VALUE"""),"KUNINGAN")</f>
        <v>KUNINGAN</v>
      </c>
      <c r="Y16" s="85" t="str">
        <f>IFERROR(__xludf.DUMMYFUNCTION("""COMPUTED_VALUE"""),"KAB. KUNINGAN")</f>
        <v>KAB. KUNINGAN</v>
      </c>
      <c r="Z16" s="85" t="str">
        <f>IFERROR(__xludf.DUMMYFUNCTION("""COMPUTED_VALUE"""),"JAWA BARAT")</f>
        <v>JAWA BARAT</v>
      </c>
      <c r="AA16" s="85" t="str">
        <f>IFERROR(__xludf.DUMMYFUNCTION("""COMPUTED_VALUE"""),"45571")</f>
        <v>45571</v>
      </c>
      <c r="AB16" s="85" t="str">
        <f>IFERROR(__xludf.DUMMYFUNCTION("""COMPUTED_VALUE"""),"3208091308720000")</f>
        <v>3208091308720000</v>
      </c>
      <c r="AC16" s="85" t="str">
        <f>IFERROR(__xludf.DUMMYFUNCTION("""COMPUTED_VALUE"""),"09.400.815.8-426.000")</f>
        <v>09.400.815.8-426.000</v>
      </c>
      <c r="AD16" s="85" t="str">
        <f>IFERROR(__xludf.DUMMYFUNCTION("""COMPUTED_VALUE"""),"CUM - NDS")</f>
        <v>CUM - NDS</v>
      </c>
      <c r="AE16" s="85" t="str">
        <f>IFERROR(__xludf.DUMMYFUNCTION("""COMPUTED_VALUE"""),"SUB NURUL DIMAS")</f>
        <v>SUB NURUL DIMAS</v>
      </c>
      <c r="AF16" s="85" t="str">
        <f>IFERROR(__xludf.DUMMYFUNCTION("""COMPUTED_VALUE"""),"085324403777")</f>
        <v>085324403777</v>
      </c>
      <c r="AG16" s="85" t="str">
        <f>IFERROR(__xludf.DUMMYFUNCTION("""COMPUTED_VALUE"""),"085324403777")</f>
        <v>085324403777</v>
      </c>
      <c r="AH16" s="85" t="str">
        <f>IFERROR(__xludf.DUMMYFUNCTION("""COMPUTED_VALUE"""),"atukiaja@gmail.com")</f>
        <v>atukiaja@gmail.com</v>
      </c>
      <c r="AI16" s="85" t="str">
        <f>IFERROR(__xludf.DUMMYFUNCTION("""COMPUTED_VALUE"""),"45513S2")</f>
        <v>45513S2</v>
      </c>
      <c r="AJ16" s="85" t="str">
        <f>IFERROR(__xludf.DUMMYFUNCTION("""COMPUTED_VALUE"""),"6210ed19217f5e1320033b43")</f>
        <v>6210ed19217f5e1320033b43</v>
      </c>
      <c r="AK16" s="85" t="str">
        <f>IFERROR(__xludf.DUMMYFUNCTION("""COMPUTED_VALUE"""),"dm45513s2")</f>
        <v>dm45513s2</v>
      </c>
      <c r="AL16" s="85" t="str">
        <f>IFERROR(__xludf.DUMMYFUNCTION("""COMPUTED_VALUE"""),"password")</f>
        <v>password</v>
      </c>
      <c r="AM16" s="85" t="str">
        <f>IFERROR(__xludf.DUMMYFUNCTION("""COMPUTED_VALUE"""),"KANTOR REGIONAL III BANDUNG 40004")</f>
        <v>KANTOR REGIONAL III BANDUNG 40004</v>
      </c>
      <c r="AN16" s="85" t="str">
        <f>IFERROR(__xludf.DUMMYFUNCTION("""COMPUTED_VALUE"""),"KPRK KUNINGAN 45500")</f>
        <v>KPRK KUNINGAN 45500</v>
      </c>
      <c r="AO16" s="85" t="str">
        <f>IFERROR(__xludf.DUMMYFUNCTION("""COMPUTED_VALUE"""),"0510220079194")</f>
        <v>0510220079194</v>
      </c>
      <c r="AP16" s="85" t="str">
        <f>IFERROR(__xludf.DUMMYFUNCTION("""COMPUTED_VALUE"""),"05102200791940001")</f>
        <v>05102200791940001</v>
      </c>
      <c r="AQ16" s="93"/>
      <c r="AR16" s="85"/>
      <c r="AS16" s="85"/>
      <c r="AT16" s="85" t="str">
        <f>IFERROR(__xludf.DUMMYFUNCTION("""COMPUTED_VALUE"""),"-6.9703623")</f>
        <v>-6.9703623</v>
      </c>
      <c r="AU16" s="85" t="str">
        <f>IFERROR(__xludf.DUMMYFUNCTION("""COMPUTED_VALUE"""),"1,084,941,865")</f>
        <v>1,084,941,865</v>
      </c>
      <c r="AV16" s="85" t="str">
        <f>IFERROR(__xludf.DUMMYFUNCTION("""COMPUTED_VALUE"""),"ADA")</f>
        <v>ADA</v>
      </c>
      <c r="AW16" s="85" t="str">
        <f>IFERROR(__xludf.DUMMYFUNCTION("""COMPUTED_VALUE"""),"ADA")</f>
        <v>ADA</v>
      </c>
      <c r="AX16" s="85"/>
      <c r="AY16" s="85"/>
      <c r="AZ16" s="85"/>
      <c r="BA16" s="85" t="str">
        <f>IFERROR(__xludf.DUMMYFUNCTION("""COMPUTED_VALUE"""),"ADA")</f>
        <v>ADA</v>
      </c>
      <c r="BB16" s="85" t="str">
        <f>IFERROR(__xludf.DUMMYFUNCTION("""COMPUTED_VALUE"""),"ADA")</f>
        <v>ADA</v>
      </c>
      <c r="BC16" s="85" t="str">
        <f>IFERROR(__xludf.DUMMYFUNCTION("""COMPUTED_VALUE"""),"ADA")</f>
        <v>ADA</v>
      </c>
      <c r="BD16" s="85" t="str">
        <f>IFERROR(__xludf.DUMMYFUNCTION("""COMPUTED_VALUE"""),"ADA")</f>
        <v>ADA</v>
      </c>
      <c r="BE16" s="85" t="str">
        <f>IFERROR(__xludf.DUMMYFUNCTION("""COMPUTED_VALUE"""),"ADA")</f>
        <v>ADA</v>
      </c>
      <c r="BF16" s="85" t="str">
        <f>IFERROR(__xludf.DUMMYFUNCTION("""COMPUTED_VALUE"""),"ADA")</f>
        <v>ADA</v>
      </c>
      <c r="BG16" s="85" t="str">
        <f>IFERROR(__xludf.DUMMYFUNCTION("""COMPUTED_VALUE"""),"ADA")</f>
        <v>ADA</v>
      </c>
      <c r="BH16" s="85" t="str">
        <f>IFERROR(__xludf.DUMMYFUNCTION("""COMPUTED_VALUE"""),"ZJIANG")</f>
        <v>ZJIANG</v>
      </c>
      <c r="BI16" s="85" t="str">
        <f>IFERROR(__xludf.DUMMYFUNCTION("""COMPUTED_VALUE"""),"ADA")</f>
        <v>ADA</v>
      </c>
      <c r="BJ16" s="85" t="str">
        <f>IFERROR(__xludf.DUMMYFUNCTION("""COMPUTED_VALUE"""),"ADA")</f>
        <v>ADA</v>
      </c>
      <c r="BK16" s="85"/>
      <c r="BL16" s="85" t="str">
        <f>IFERROR(__xludf.DUMMYFUNCTION("""COMPUTED_VALUE"""),"DEPOSIT")</f>
        <v>DEPOSIT</v>
      </c>
      <c r="BM16" s="85"/>
      <c r="BN16" s="85"/>
      <c r="BO16" s="85"/>
      <c r="BP16" s="85"/>
      <c r="BQ16" s="85"/>
      <c r="BR16" s="85"/>
      <c r="BS16" s="85"/>
      <c r="BT16" s="85"/>
      <c r="BU16" s="85"/>
      <c r="BV16" s="85" t="str">
        <f>IFERROR(__xludf.DUMMYFUNCTION("""COMPUTED_VALUE"""),"Jl. Re Martadinata Depan Jogja Cijoho")</f>
        <v>Jl. Re Martadinata Depan Jogja Cijoho</v>
      </c>
      <c r="BW16" s="85"/>
      <c r="BX16" s="85"/>
      <c r="BY16" s="85"/>
      <c r="BZ16" s="85"/>
      <c r="CA16" s="85"/>
      <c r="CB16" s="85"/>
      <c r="CC16" s="85"/>
      <c r="CD16" s="85"/>
      <c r="CE16" s="85"/>
      <c r="CF16" s="85"/>
      <c r="CG16" s="85"/>
      <c r="CH16" s="85"/>
      <c r="CI16" s="85"/>
      <c r="CJ16" s="85"/>
      <c r="CK16" s="2"/>
    </row>
    <row r="17" ht="12.75" customHeight="1">
      <c r="A17" s="80">
        <f>IFERROR(__xludf.DUMMYFUNCTION("""COMPUTED_VALUE"""),14.0)</f>
        <v>14</v>
      </c>
      <c r="B17" s="80" t="str">
        <f>IFERROR(__xludf.DUMMYFUNCTION("""COMPUTED_VALUE"""),"12 Januari 2022")</f>
        <v>12 Januari 2022</v>
      </c>
      <c r="C17" s="80" t="str">
        <f>IFERROR(__xludf.DUMMYFUNCTION("""COMPUTED_VALUE"""),"12 Januari 2022")</f>
        <v>12 Januari 2022</v>
      </c>
      <c r="D17" s="81"/>
      <c r="E17" s="82"/>
      <c r="F17" s="80"/>
      <c r="G17" s="81"/>
      <c r="H17" s="80"/>
      <c r="I17" s="80"/>
      <c r="J17" s="80"/>
      <c r="K17" s="80"/>
      <c r="L17" s="80"/>
      <c r="M17" s="80"/>
      <c r="N17" s="80"/>
      <c r="O17" s="80"/>
      <c r="P17" s="80" t="str">
        <f>IFERROR(__xludf.DUMMYFUNCTION("""COMPUTED_VALUE"""),"53BSPA23191JBRND")</f>
        <v>53BSPA23191JBRND</v>
      </c>
      <c r="Q17" s="80" t="str">
        <f>IFERROR(__xludf.DUMMYFUNCTION("""COMPUTED_VALUE"""),"AZKA II")</f>
        <v>AZKA II</v>
      </c>
      <c r="R17" s="80" t="str">
        <f>IFERROR(__xludf.DUMMYFUNCTION("""COMPUTED_VALUE"""),"AZKA")</f>
        <v>AZKA</v>
      </c>
      <c r="S17" s="80" t="str">
        <f>IFERROR(__xludf.DUMMYFUNCTION("""COMPUTED_VALUE"""),"PT. Rencang Raharja Putra")</f>
        <v>PT. Rencang Raharja Putra</v>
      </c>
      <c r="T17" s="80" t="str">
        <f>IFERROR(__xludf.DUMMYFUNCTION("""COMPUTED_VALUE"""),"Jl. Tanggul Raya No. 16 Rt. 04 Rw. 03 Kel. Kesepuhan Cirebon 45114")</f>
        <v>Jl. Tanggul Raya No. 16 Rt. 04 Rw. 03 Kel. Kesepuhan Cirebon 45114</v>
      </c>
      <c r="U17" s="80" t="str">
        <f>IFERROR(__xludf.DUMMYFUNCTION("""COMPUTED_VALUE"""),"Jl. Tanggul Raya No. 16 RT. 04 RW. 03 Kel. Kesepuhan Cirebon 45114")</f>
        <v>Jl. Tanggul Raya No. 16 RT. 04 RW. 03 Kel. Kesepuhan Cirebon 45114</v>
      </c>
      <c r="V17" s="80" t="str">
        <f>IFERROR(__xludf.DUMMYFUNCTION("""COMPUTED_VALUE"""),"004/003")</f>
        <v>004/003</v>
      </c>
      <c r="W17" s="80" t="str">
        <f>IFERROR(__xludf.DUMMYFUNCTION("""COMPUTED_VALUE"""),"KEL.KASEPUHAN")</f>
        <v>KEL.KASEPUHAN</v>
      </c>
      <c r="X17" s="80" t="str">
        <f>IFERROR(__xludf.DUMMYFUNCTION("""COMPUTED_VALUE"""),"Lemah Wungkuk")</f>
        <v>Lemah Wungkuk</v>
      </c>
      <c r="Y17" s="80" t="str">
        <f>IFERROR(__xludf.DUMMYFUNCTION("""COMPUTED_VALUE"""),"CIREBON")</f>
        <v>CIREBON</v>
      </c>
      <c r="Z17" s="80" t="str">
        <f>IFERROR(__xludf.DUMMYFUNCTION("""COMPUTED_VALUE"""),"JAWA BARAT")</f>
        <v>JAWA BARAT</v>
      </c>
      <c r="AA17" s="80" t="str">
        <f>IFERROR(__xludf.DUMMYFUNCTION("""COMPUTED_VALUE"""),"45114")</f>
        <v>45114</v>
      </c>
      <c r="AB17" s="80" t="str">
        <f>IFERROR(__xludf.DUMMYFUNCTION("""COMPUTED_VALUE"""),"3274021104860004")</f>
        <v>3274021104860004</v>
      </c>
      <c r="AC17" s="80" t="str">
        <f>IFERROR(__xludf.DUMMYFUNCTION("""COMPUTED_VALUE"""),"80.074.596.0-426.000")</f>
        <v>80.074.596.0-426.000</v>
      </c>
      <c r="AD17" s="80" t="str">
        <f>IFERROR(__xludf.DUMMYFUNCTION("""COMPUTED_VALUE"""),"CUM - NDS")</f>
        <v>CUM - NDS</v>
      </c>
      <c r="AE17" s="80" t="str">
        <f>IFERROR(__xludf.DUMMYFUNCTION("""COMPUTED_VALUE"""),"SUB NURUL DIMAS")</f>
        <v>SUB NURUL DIMAS</v>
      </c>
      <c r="AF17" s="80" t="str">
        <f>IFERROR(__xludf.DUMMYFUNCTION("""COMPUTED_VALUE"""),"081931154537")</f>
        <v>081931154537</v>
      </c>
      <c r="AG17" s="80" t="str">
        <f>IFERROR(__xludf.DUMMYFUNCTION("""COMPUTED_VALUE"""),"081931154537")</f>
        <v>081931154537</v>
      </c>
      <c r="AH17" s="80" t="str">
        <f>IFERROR(__xludf.DUMMYFUNCTION("""COMPUTED_VALUE"""),"advokat.radenari@gmail.com")</f>
        <v>advokat.radenari@gmail.com</v>
      </c>
      <c r="AI17" s="80" t="str">
        <f>IFERROR(__xludf.DUMMYFUNCTION("""COMPUTED_VALUE"""),"45114S2")</f>
        <v>45114S2</v>
      </c>
      <c r="AJ17" s="80" t="str">
        <f>IFERROR(__xludf.DUMMYFUNCTION("""COMPUTED_VALUE"""),"61f24d644bdd0c7ce3196d2e")</f>
        <v>61f24d644bdd0c7ce3196d2e</v>
      </c>
      <c r="AK17" s="80" t="str">
        <f>IFERROR(__xludf.DUMMYFUNCTION("""COMPUTED_VALUE"""),"dm45114s2")</f>
        <v>dm45114s2</v>
      </c>
      <c r="AL17" s="80" t="str">
        <f>IFERROR(__xludf.DUMMYFUNCTION("""COMPUTED_VALUE"""),"password")</f>
        <v>password</v>
      </c>
      <c r="AM17" s="80" t="str">
        <f>IFERROR(__xludf.DUMMYFUNCTION("""COMPUTED_VALUE"""),"KANTOR REGIONAL III BANDUNG 40004")</f>
        <v>KANTOR REGIONAL III BANDUNG 40004</v>
      </c>
      <c r="AN17" s="80" t="str">
        <f>IFERROR(__xludf.DUMMYFUNCTION("""COMPUTED_VALUE"""),"KPRK CIREBON 45100")</f>
        <v>KPRK CIREBON 45100</v>
      </c>
      <c r="AO17" s="80" t="str">
        <f>IFERROR(__xludf.DUMMYFUNCTION("""COMPUTED_VALUE"""),"0408220063057")</f>
        <v>0408220063057</v>
      </c>
      <c r="AP17" s="80" t="str">
        <f>IFERROR(__xludf.DUMMYFUNCTION("""COMPUTED_VALUE"""),"04082200630570001")</f>
        <v>04082200630570001</v>
      </c>
      <c r="AQ17" s="83"/>
      <c r="AR17" s="80"/>
      <c r="AS17" s="80"/>
      <c r="AT17" s="80" t="str">
        <f>IFERROR(__xludf.DUMMYFUNCTION("""COMPUTED_VALUE"""),"672,980,762")</f>
        <v>672,980,762</v>
      </c>
      <c r="AU17" s="80" t="str">
        <f>IFERROR(__xludf.DUMMYFUNCTION("""COMPUTED_VALUE"""),"10,857,165,026")</f>
        <v>10,857,165,026</v>
      </c>
      <c r="AV17" s="80" t="str">
        <f>IFERROR(__xludf.DUMMYFUNCTION("""COMPUTED_VALUE"""),"ADA")</f>
        <v>ADA</v>
      </c>
      <c r="AW17" s="80" t="str">
        <f>IFERROR(__xludf.DUMMYFUNCTION("""COMPUTED_VALUE"""),"ADA")</f>
        <v>ADA</v>
      </c>
      <c r="AX17" s="80"/>
      <c r="AY17" s="80"/>
      <c r="AZ17" s="80"/>
      <c r="BA17" s="80" t="str">
        <f>IFERROR(__xludf.DUMMYFUNCTION("""COMPUTED_VALUE"""),"ADA")</f>
        <v>ADA</v>
      </c>
      <c r="BB17" s="80" t="str">
        <f>IFERROR(__xludf.DUMMYFUNCTION("""COMPUTED_VALUE"""),"ADA")</f>
        <v>ADA</v>
      </c>
      <c r="BC17" s="80" t="str">
        <f>IFERROR(__xludf.DUMMYFUNCTION("""COMPUTED_VALUE"""),"ADA")</f>
        <v>ADA</v>
      </c>
      <c r="BD17" s="80" t="str">
        <f>IFERROR(__xludf.DUMMYFUNCTION("""COMPUTED_VALUE"""),"ADA")</f>
        <v>ADA</v>
      </c>
      <c r="BE17" s="80" t="str">
        <f>IFERROR(__xludf.DUMMYFUNCTION("""COMPUTED_VALUE"""),"ADA")</f>
        <v>ADA</v>
      </c>
      <c r="BF17" s="80" t="str">
        <f>IFERROR(__xludf.DUMMYFUNCTION("""COMPUTED_VALUE"""),"ADA")</f>
        <v>ADA</v>
      </c>
      <c r="BG17" s="80" t="str">
        <f>IFERROR(__xludf.DUMMYFUNCTION("""COMPUTED_VALUE"""),"ADA")</f>
        <v>ADA</v>
      </c>
      <c r="BH17" s="80"/>
      <c r="BI17" s="80" t="str">
        <f>IFERROR(__xludf.DUMMYFUNCTION("""COMPUTED_VALUE"""),"TIDAK ADA")</f>
        <v>TIDAK ADA</v>
      </c>
      <c r="BJ17" s="80" t="str">
        <f>IFERROR(__xludf.DUMMYFUNCTION("""COMPUTED_VALUE"""),"TIDAK ADA")</f>
        <v>TIDAK ADA</v>
      </c>
      <c r="BK17" s="80" t="str">
        <f>IFERROR(__xludf.DUMMYFUNCTION("""COMPUTED_VALUE"""),"TIDAK ADA")</f>
        <v>TIDAK ADA</v>
      </c>
      <c r="BL17" s="80" t="str">
        <f>IFERROR(__xludf.DUMMYFUNCTION("""COMPUTED_VALUE"""),"PLAFON")</f>
        <v>PLAFON</v>
      </c>
      <c r="BM17" s="80"/>
      <c r="BN17" s="80"/>
      <c r="BO17" s="80"/>
      <c r="BP17" s="80"/>
      <c r="BQ17" s="80"/>
      <c r="BR17" s="80"/>
      <c r="BS17" s="80"/>
      <c r="BT17" s="80"/>
      <c r="BU17" s="80"/>
      <c r="BV17" s="80" t="str">
        <f>IFERROR(__xludf.DUMMYFUNCTION("""COMPUTED_VALUE"""),"Jl. Tanggul Raya No. 16 Rt. 04 Rw. 03 Kel. Kesepuhan Cirebon 45114")</f>
        <v>Jl. Tanggul Raya No. 16 Rt. 04 Rw. 03 Kel. Kesepuhan Cirebon 45114</v>
      </c>
      <c r="BW17" s="80"/>
      <c r="BX17" s="80"/>
      <c r="BY17" s="80"/>
      <c r="BZ17" s="80"/>
      <c r="CA17" s="80"/>
      <c r="CB17" s="80"/>
      <c r="CC17" s="80"/>
      <c r="CD17" s="80"/>
      <c r="CE17" s="80"/>
      <c r="CF17" s="80"/>
      <c r="CG17" s="80"/>
      <c r="CH17" s="80"/>
      <c r="CI17" s="80"/>
      <c r="CJ17" s="80"/>
      <c r="CK17" s="2"/>
    </row>
    <row r="18" ht="12.75" customHeight="1">
      <c r="A18" s="85">
        <f>IFERROR(__xludf.DUMMYFUNCTION("""COMPUTED_VALUE"""),15.0)</f>
        <v>15</v>
      </c>
      <c r="B18" s="85" t="str">
        <f>IFERROR(__xludf.DUMMYFUNCTION("""COMPUTED_VALUE"""),"19 Januari 2022")</f>
        <v>19 Januari 2022</v>
      </c>
      <c r="C18" s="85" t="str">
        <f>IFERROR(__xludf.DUMMYFUNCTION("""COMPUTED_VALUE"""),"19 Januari 2022")</f>
        <v>19 Januari 2022</v>
      </c>
      <c r="D18" s="86"/>
      <c r="E18" s="88"/>
      <c r="F18" s="85" t="str">
        <f>IFERROR(__xludf.DUMMYFUNCTION("""COMPUTED_VALUE"""),"3 OKTOBER 2022")</f>
        <v>3 OKTOBER 2022</v>
      </c>
      <c r="G18" s="86">
        <f>IFERROR(__xludf.DUMMYFUNCTION("""COMPUTED_VALUE"""),44837.0)</f>
        <v>44837</v>
      </c>
      <c r="H18" s="85"/>
      <c r="I18" s="85"/>
      <c r="J18" s="85"/>
      <c r="K18" s="85"/>
      <c r="L18" s="85"/>
      <c r="M18" s="85"/>
      <c r="N18" s="85"/>
      <c r="O18" s="85"/>
      <c r="P18" s="85" t="str">
        <f>IFERROR(__xludf.DUMMYFUNCTION("""COMPUTED_VALUE"""),"53BSPA29584JBHDT")</f>
        <v>53BSPA29584JBHDT</v>
      </c>
      <c r="Q18" s="85" t="str">
        <f>IFERROR(__xludf.DUMMYFUNCTION("""COMPUTED_VALUE"""),"NURIL PRINT")</f>
        <v>NURIL PRINT</v>
      </c>
      <c r="R18" s="85" t="str">
        <f>IFERROR(__xludf.DUMMYFUNCTION("""COMPUTED_VALUE"""),"NURIL PRINT")</f>
        <v>NURIL PRINT</v>
      </c>
      <c r="S18" s="85" t="str">
        <f>IFERROR(__xludf.DUMMYFUNCTION("""COMPUTED_VALUE"""),"Dadang Rijwan")</f>
        <v>Dadang Rijwan</v>
      </c>
      <c r="T18" s="85" t="str">
        <f>IFERROR(__xludf.DUMMYFUNCTION("""COMPUTED_VALUE"""),"Kp. Cikaso Rt03 Rw09 Desa Cikadut Ke. Cimenyan 40191")</f>
        <v>Kp. Cikaso Rt03 Rw09 Desa Cikadut Ke. Cimenyan 40191</v>
      </c>
      <c r="U18" s="85" t="str">
        <f>IFERROR(__xludf.DUMMYFUNCTION("""COMPUTED_VALUE"""),"Cimenyan, Cikadut, Kec. Cimenyan, Kabupaten Bandung, Jawa Barat 40191")</f>
        <v>Cimenyan, Cikadut, Kec. Cimenyan, Kabupaten Bandung, Jawa Barat 40191</v>
      </c>
      <c r="V18" s="85" t="str">
        <f>IFERROR(__xludf.DUMMYFUNCTION("""COMPUTED_VALUE"""),"003/009")</f>
        <v>003/009</v>
      </c>
      <c r="W18" s="85" t="str">
        <f>IFERROR(__xludf.DUMMYFUNCTION("""COMPUTED_VALUE"""),"DS.CIKADUT")</f>
        <v>DS.CIKADUT</v>
      </c>
      <c r="X18" s="85" t="str">
        <f>IFERROR(__xludf.DUMMYFUNCTION("""COMPUTED_VALUE"""),"KEC.CIMENYAN")</f>
        <v>KEC.CIMENYAN</v>
      </c>
      <c r="Y18" s="85" t="str">
        <f>IFERROR(__xludf.DUMMYFUNCTION("""COMPUTED_VALUE"""),"KAB. BANDUNG")</f>
        <v>KAB. BANDUNG</v>
      </c>
      <c r="Z18" s="85" t="str">
        <f>IFERROR(__xludf.DUMMYFUNCTION("""COMPUTED_VALUE"""),"JAWA BARAT")</f>
        <v>JAWA BARAT</v>
      </c>
      <c r="AA18" s="85" t="str">
        <f>IFERROR(__xludf.DUMMYFUNCTION("""COMPUTED_VALUE"""),"40191")</f>
        <v>40191</v>
      </c>
      <c r="AB18" s="85" t="str">
        <f>IFERROR(__xludf.DUMMYFUNCTION("""COMPUTED_VALUE"""),"3204172103700001")</f>
        <v>3204172103700001</v>
      </c>
      <c r="AC18" s="85" t="str">
        <f>IFERROR(__xludf.DUMMYFUNCTION("""COMPUTED_VALUE"""),"83.617.049.8-444.000")</f>
        <v>83.617.049.8-444.000</v>
      </c>
      <c r="AD18" s="85" t="str">
        <f>IFERROR(__xludf.DUMMYFUNCTION("""COMPUTED_VALUE"""),"CUM - HDT")</f>
        <v>CUM - HDT</v>
      </c>
      <c r="AE18" s="85" t="str">
        <f>IFERROR(__xludf.DUMMYFUNCTION("""COMPUTED_VALUE"""),"Sub Hidayat")</f>
        <v>Sub Hidayat</v>
      </c>
      <c r="AF18" s="85" t="str">
        <f>IFERROR(__xludf.DUMMYFUNCTION("""COMPUTED_VALUE"""),"085722692141")</f>
        <v>085722692141</v>
      </c>
      <c r="AG18" s="85" t="str">
        <f>IFERROR(__xludf.DUMMYFUNCTION("""COMPUTED_VALUE"""),"085722692141")</f>
        <v>085722692141</v>
      </c>
      <c r="AH18" s="85" t="str">
        <f>IFERROR(__xludf.DUMMYFUNCTION("""COMPUTED_VALUE"""),"uupuulpah95@gmail.com")</f>
        <v>uupuulpah95@gmail.com</v>
      </c>
      <c r="AI18" s="85" t="str">
        <f>IFERROR(__xludf.DUMMYFUNCTION("""COMPUTED_VALUE"""),"40399S3")</f>
        <v>40399S3</v>
      </c>
      <c r="AJ18" s="85" t="str">
        <f>IFERROR(__xludf.DUMMYFUNCTION("""COMPUTED_VALUE"""),"620f49612078937f1e7be035")</f>
        <v>620f49612078937f1e7be035</v>
      </c>
      <c r="AK18" s="85" t="str">
        <f>IFERROR(__xludf.DUMMYFUNCTION("""COMPUTED_VALUE"""),"dm40399s3")</f>
        <v>dm40399s3</v>
      </c>
      <c r="AL18" s="85" t="str">
        <f>IFERROR(__xludf.DUMMYFUNCTION("""COMPUTED_VALUE"""),"password")</f>
        <v>password</v>
      </c>
      <c r="AM18" s="85" t="str">
        <f>IFERROR(__xludf.DUMMYFUNCTION("""COMPUTED_VALUE"""),"KANTOR REGIONAL III BANDUNG 40004")</f>
        <v>KANTOR REGIONAL III BANDUNG 40004</v>
      </c>
      <c r="AN18" s="85" t="str">
        <f>IFERROR(__xludf.DUMMYFUNCTION("""COMPUTED_VALUE"""),"SPP BANDUNG 40400")</f>
        <v>SPP BANDUNG 40400</v>
      </c>
      <c r="AO18" s="85" t="str">
        <f>IFERROR(__xludf.DUMMYFUNCTION("""COMPUTED_VALUE"""),"0809220093497")</f>
        <v>0809220093497</v>
      </c>
      <c r="AP18" s="85" t="str">
        <f>IFERROR(__xludf.DUMMYFUNCTION("""COMPUTED_VALUE"""),"08092200934970001")</f>
        <v>08092200934970001</v>
      </c>
      <c r="AQ18" s="93"/>
      <c r="AR18" s="85"/>
      <c r="AS18" s="85"/>
      <c r="AT18" s="85" t="str">
        <f>IFERROR(__xludf.DUMMYFUNCTION("""COMPUTED_VALUE"""),"-6,889,785")</f>
        <v>-6,889,785</v>
      </c>
      <c r="AU18" s="85" t="str">
        <f>IFERROR(__xludf.DUMMYFUNCTION("""COMPUTED_VALUE"""),"107,679,616")</f>
        <v>107,679,616</v>
      </c>
      <c r="AV18" s="85" t="str">
        <f>IFERROR(__xludf.DUMMYFUNCTION("""COMPUTED_VALUE"""),"BELUM ADA")</f>
        <v>BELUM ADA</v>
      </c>
      <c r="AW18" s="85" t="str">
        <f>IFERROR(__xludf.DUMMYFUNCTION("""COMPUTED_VALUE"""),"ADA")</f>
        <v>ADA</v>
      </c>
      <c r="AX18" s="85"/>
      <c r="AY18" s="85"/>
      <c r="AZ18" s="85"/>
      <c r="BA18" s="85" t="str">
        <f>IFERROR(__xludf.DUMMYFUNCTION("""COMPUTED_VALUE"""),"ADA")</f>
        <v>ADA</v>
      </c>
      <c r="BB18" s="85" t="str">
        <f>IFERROR(__xludf.DUMMYFUNCTION("""COMPUTED_VALUE"""),"ADA")</f>
        <v>ADA</v>
      </c>
      <c r="BC18" s="85" t="str">
        <f>IFERROR(__xludf.DUMMYFUNCTION("""COMPUTED_VALUE"""),"ADA")</f>
        <v>ADA</v>
      </c>
      <c r="BD18" s="85" t="str">
        <f>IFERROR(__xludf.DUMMYFUNCTION("""COMPUTED_VALUE"""),"ADA")</f>
        <v>ADA</v>
      </c>
      <c r="BE18" s="85" t="str">
        <f>IFERROR(__xludf.DUMMYFUNCTION("""COMPUTED_VALUE"""),"ADA")</f>
        <v>ADA</v>
      </c>
      <c r="BF18" s="85"/>
      <c r="BG18" s="85"/>
      <c r="BH18" s="85"/>
      <c r="BI18" s="85"/>
      <c r="BJ18" s="85"/>
      <c r="BK18" s="85"/>
      <c r="BL18" s="85" t="str">
        <f>IFERROR(__xludf.DUMMYFUNCTION("""COMPUTED_VALUE"""),"DEPOSIT")</f>
        <v>DEPOSIT</v>
      </c>
      <c r="BM18" s="85"/>
      <c r="BN18" s="85"/>
      <c r="BO18" s="85"/>
      <c r="BP18" s="85"/>
      <c r="BQ18" s="85"/>
      <c r="BR18" s="85"/>
      <c r="BS18" s="85"/>
      <c r="BT18" s="85"/>
      <c r="BU18" s="85"/>
      <c r="BV18" s="85" t="str">
        <f>IFERROR(__xludf.DUMMYFUNCTION("""COMPUTED_VALUE"""),"Kp. Cikaso Rt03 Rw09 Desa Cikadut Ke. Cimenyan 40191")</f>
        <v>Kp. Cikaso Rt03 Rw09 Desa Cikadut Ke. Cimenyan 40191</v>
      </c>
      <c r="BW18" s="85"/>
      <c r="BX18" s="85"/>
      <c r="BY18" s="85"/>
      <c r="BZ18" s="85"/>
      <c r="CA18" s="85"/>
      <c r="CB18" s="85"/>
      <c r="CC18" s="85"/>
      <c r="CD18" s="85"/>
      <c r="CE18" s="85"/>
      <c r="CF18" s="85"/>
      <c r="CG18" s="85"/>
      <c r="CH18" s="85"/>
      <c r="CI18" s="85"/>
      <c r="CJ18" s="85"/>
      <c r="CK18" s="2"/>
    </row>
    <row r="19" ht="12.75" customHeight="1">
      <c r="A19" s="80">
        <f>IFERROR(__xludf.DUMMYFUNCTION("""COMPUTED_VALUE"""),16.0)</f>
        <v>16</v>
      </c>
      <c r="B19" s="80"/>
      <c r="C19" s="80"/>
      <c r="D19" s="81"/>
      <c r="E19" s="82"/>
      <c r="F19" s="80"/>
      <c r="G19" s="81"/>
      <c r="H19" s="80"/>
      <c r="I19" s="80"/>
      <c r="J19" s="80"/>
      <c r="K19" s="80"/>
      <c r="L19" s="80"/>
      <c r="M19" s="80"/>
      <c r="N19" s="80"/>
      <c r="O19" s="80"/>
      <c r="P19" s="80" t="str">
        <f>IFERROR(__xludf.DUMMYFUNCTION("""COMPUTED_VALUE"""),"25338")</f>
        <v>25338</v>
      </c>
      <c r="Q19" s="80"/>
      <c r="R19" s="80" t="str">
        <f>IFERROR(__xludf.DUMMYFUNCTION("""COMPUTED_VALUE"""),"RIZKI AGUNG JAYA")</f>
        <v>RIZKI AGUNG JAYA</v>
      </c>
      <c r="S19" s="80"/>
      <c r="T19" s="80"/>
      <c r="U19" s="80"/>
      <c r="V19" s="80"/>
      <c r="W19" s="80"/>
      <c r="X19" s="80"/>
      <c r="Y19" s="80"/>
      <c r="Z19" s="80"/>
      <c r="AA19" s="80"/>
      <c r="AB19" s="80"/>
      <c r="AC19" s="80"/>
      <c r="AD19" s="80"/>
      <c r="AE19" s="80"/>
      <c r="AF19" s="80" t="str">
        <f>IFERROR(__xludf.DUMMYFUNCTION("""COMPUTED_VALUE"""),"085722692141")</f>
        <v>085722692141</v>
      </c>
      <c r="AG19" s="80"/>
      <c r="AH19" s="80"/>
      <c r="AI19" s="80" t="str">
        <f>IFERROR(__xludf.DUMMYFUNCTION("""COMPUTED_VALUE"""),"NO ACC")</f>
        <v>NO ACC</v>
      </c>
      <c r="AJ19" s="80"/>
      <c r="AK19" s="80"/>
      <c r="AL19" s="80"/>
      <c r="AM19" s="80" t="str">
        <f>IFERROR(__xludf.DUMMYFUNCTION("""COMPUTED_VALUE"""),"KANTOR REGIONAL IV SEMARANG 50004")</f>
        <v>KANTOR REGIONAL IV SEMARANG 50004</v>
      </c>
      <c r="AN19" s="80"/>
      <c r="AO19" s="80"/>
      <c r="AP19" s="80"/>
      <c r="AQ19" s="83"/>
      <c r="AR19" s="80"/>
      <c r="AS19" s="80"/>
      <c r="AT19" s="80"/>
      <c r="AU19" s="80"/>
      <c r="AV19" s="80"/>
      <c r="AW19" s="80"/>
      <c r="AX19" s="80"/>
      <c r="AY19" s="80"/>
      <c r="AZ19" s="80"/>
      <c r="BA19" s="80"/>
      <c r="BB19" s="80"/>
      <c r="BC19" s="80"/>
      <c r="BD19" s="80"/>
      <c r="BE19" s="80"/>
      <c r="BF19" s="80"/>
      <c r="BG19" s="80"/>
      <c r="BH19" s="80"/>
      <c r="BI19" s="80"/>
      <c r="BJ19" s="80"/>
      <c r="BK19" s="80"/>
      <c r="BL19" s="80"/>
      <c r="BM19" s="80"/>
      <c r="BN19" s="80"/>
      <c r="BO19" s="80"/>
      <c r="BP19" s="80"/>
      <c r="BQ19" s="80"/>
      <c r="BR19" s="80"/>
      <c r="BS19" s="80"/>
      <c r="BT19" s="80"/>
      <c r="BU19" s="80"/>
      <c r="BV19" s="80"/>
      <c r="BW19" s="80"/>
      <c r="BX19" s="80"/>
      <c r="BY19" s="80"/>
      <c r="BZ19" s="80"/>
      <c r="CA19" s="80"/>
      <c r="CB19" s="80"/>
      <c r="CC19" s="80"/>
      <c r="CD19" s="80"/>
      <c r="CE19" s="80"/>
      <c r="CF19" s="80"/>
      <c r="CG19" s="80"/>
      <c r="CH19" s="80"/>
      <c r="CI19" s="80"/>
      <c r="CJ19" s="80"/>
      <c r="CK19" s="2"/>
    </row>
    <row r="20" ht="12.75" customHeight="1">
      <c r="A20" s="85">
        <f>IFERROR(__xludf.DUMMYFUNCTION("""COMPUTED_VALUE"""),17.0)</f>
        <v>17</v>
      </c>
      <c r="B20" s="85" t="str">
        <f>IFERROR(__xludf.DUMMYFUNCTION("""COMPUTED_VALUE"""),"19 Januari 2022")</f>
        <v>19 Januari 2022</v>
      </c>
      <c r="C20" s="85" t="str">
        <f>IFERROR(__xludf.DUMMYFUNCTION("""COMPUTED_VALUE"""),"19 Januari 2022")</f>
        <v>19 Januari 2022</v>
      </c>
      <c r="D20" s="86"/>
      <c r="E20" s="88"/>
      <c r="F20" s="85" t="str">
        <f>IFERROR(__xludf.DUMMYFUNCTION("""COMPUTED_VALUE"""),"1-Nov-22")</f>
        <v>1-Nov-22</v>
      </c>
      <c r="G20" s="86">
        <f>IFERROR(__xludf.DUMMYFUNCTION("""COMPUTED_VALUE"""),44866.0)</f>
        <v>44866</v>
      </c>
      <c r="H20" s="85"/>
      <c r="I20" s="85"/>
      <c r="J20" s="85"/>
      <c r="K20" s="85"/>
      <c r="L20" s="85"/>
      <c r="M20" s="85"/>
      <c r="N20" s="85"/>
      <c r="O20" s="85"/>
      <c r="P20" s="85" t="str">
        <f>IFERROR(__xludf.DUMMYFUNCTION("""COMPUTED_VALUE"""),"52BSPA22819JTAMD")</f>
        <v>52BSPA22819JTAMD</v>
      </c>
      <c r="Q20" s="85" t="str">
        <f>IFERROR(__xludf.DUMMYFUNCTION("""COMPUTED_VALUE"""),"USP KUD")</f>
        <v>USP KUD</v>
      </c>
      <c r="R20" s="85" t="str">
        <f>IFERROR(__xludf.DUMMYFUNCTION("""COMPUTED_VALUE"""),"USP KUD JATINOM")</f>
        <v>USP KUD JATINOM</v>
      </c>
      <c r="S20" s="85" t="str">
        <f>IFERROR(__xludf.DUMMYFUNCTION("""COMPUTED_VALUE"""),"Ridwan Choiri")</f>
        <v>Ridwan Choiri</v>
      </c>
      <c r="T20" s="85" t="str">
        <f>IFERROR(__xludf.DUMMYFUNCTION("""COMPUTED_VALUE"""),"Pasar Gabus, Krajan, Jatinom")</f>
        <v>Pasar Gabus, Krajan, Jatinom</v>
      </c>
      <c r="U20" s="85" t="str">
        <f>IFERROR(__xludf.DUMMYFUNCTION("""COMPUTED_VALUE"""),"Pasar Gabus, Krajan, Jatinom")</f>
        <v>Pasar Gabus, Krajan, Jatinom</v>
      </c>
      <c r="V20" s="85" t="str">
        <f>IFERROR(__xludf.DUMMYFUNCTION("""COMPUTED_VALUE"""),"002/003")</f>
        <v>002/003</v>
      </c>
      <c r="W20" s="85" t="str">
        <f>IFERROR(__xludf.DUMMYFUNCTION("""COMPUTED_VALUE""")," CIMANINTIN")</f>
        <v> CIMANINTIN</v>
      </c>
      <c r="X20" s="85" t="str">
        <f>IFERROR(__xludf.DUMMYFUNCTION("""COMPUTED_VALUE"""),"JATINUNGGAL")</f>
        <v>JATINUNGGAL</v>
      </c>
      <c r="Y20" s="85" t="str">
        <f>IFERROR(__xludf.DUMMYFUNCTION("""COMPUTED_VALUE"""),"KLATEN, JATENG")</f>
        <v>KLATEN, JATENG</v>
      </c>
      <c r="Z20" s="85" t="str">
        <f>IFERROR(__xludf.DUMMYFUNCTION("""COMPUTED_VALUE"""),"JAWA TENGAH")</f>
        <v>JAWA TENGAH</v>
      </c>
      <c r="AA20" s="85" t="str">
        <f>IFERROR(__xludf.DUMMYFUNCTION("""COMPUTED_VALUE"""),"57481")</f>
        <v>57481</v>
      </c>
      <c r="AB20" s="85" t="str">
        <f>IFERROR(__xludf.DUMMYFUNCTION("""COMPUTED_VALUE"""),"3310202609760001")</f>
        <v>3310202609760001</v>
      </c>
      <c r="AC20" s="85" t="str">
        <f>IFERROR(__xludf.DUMMYFUNCTION("""COMPUTED_VALUE"""),"23.605.454.0-525.000")</f>
        <v>23.605.454.0-525.000</v>
      </c>
      <c r="AD20" s="85" t="str">
        <f>IFERROR(__xludf.DUMMYFUNCTION("""COMPUTED_VALUE"""),"CUM - AMI")</f>
        <v>CUM - AMI</v>
      </c>
      <c r="AE20" s="85" t="str">
        <f>IFERROR(__xludf.DUMMYFUNCTION("""COMPUTED_VALUE"""),"SUB AMINUDDIN")</f>
        <v>SUB AMINUDDIN</v>
      </c>
      <c r="AF20" s="85" t="str">
        <f>IFERROR(__xludf.DUMMYFUNCTION("""COMPUTED_VALUE"""),"083867991138")</f>
        <v>083867991138</v>
      </c>
      <c r="AG20" s="85" t="str">
        <f>IFERROR(__xludf.DUMMYFUNCTION("""COMPUTED_VALUE"""),"083867991138")</f>
        <v>083867991138</v>
      </c>
      <c r="AH20" s="85" t="str">
        <f>IFERROR(__xludf.DUMMYFUNCTION("""COMPUTED_VALUE"""),"ridwanchoiri@gmail.com")</f>
        <v>ridwanchoiri@gmail.com</v>
      </c>
      <c r="AI20" s="85" t="str">
        <f>IFERROR(__xludf.DUMMYFUNCTION("""COMPUTED_VALUE"""),"57481S4")</f>
        <v>57481S4</v>
      </c>
      <c r="AJ20" s="85" t="str">
        <f>IFERROR(__xludf.DUMMYFUNCTION("""COMPUTED_VALUE"""),"6210de6af6e0b079c9183725")</f>
        <v>6210de6af6e0b079c9183725</v>
      </c>
      <c r="AK20" s="85" t="str">
        <f>IFERROR(__xludf.DUMMYFUNCTION("""COMPUTED_VALUE"""),"dm57481s4")</f>
        <v>dm57481s4</v>
      </c>
      <c r="AL20" s="85" t="str">
        <f>IFERROR(__xludf.DUMMYFUNCTION("""COMPUTED_VALUE"""),"password")</f>
        <v>password</v>
      </c>
      <c r="AM20" s="85" t="str">
        <f>IFERROR(__xludf.DUMMYFUNCTION("""COMPUTED_VALUE"""),"KANTOR REGIONAL IV SEMARANG 50004")</f>
        <v>KANTOR REGIONAL IV SEMARANG 50004</v>
      </c>
      <c r="AN20" s="85" t="str">
        <f>IFERROR(__xludf.DUMMYFUNCTION("""COMPUTED_VALUE"""),"KPRK KLATEN 57400")</f>
        <v>KPRK KLATEN 57400</v>
      </c>
      <c r="AO20" s="85" t="str">
        <f>IFERROR(__xludf.DUMMYFUNCTION("""COMPUTED_VALUE"""),"0308220044775")</f>
        <v>0308220044775</v>
      </c>
      <c r="AP20" s="85" t="str">
        <f>IFERROR(__xludf.DUMMYFUNCTION("""COMPUTED_VALUE"""),"03082200447750001")</f>
        <v>03082200447750001</v>
      </c>
      <c r="AQ20" s="93"/>
      <c r="AR20" s="85"/>
      <c r="AS20" s="85"/>
      <c r="AT20" s="85" t="str">
        <f>IFERROR(__xludf.DUMMYFUNCTION("""COMPUTED_VALUE"""),"S 7°37'45.318""")</f>
        <v>S 7°37'45.318"</v>
      </c>
      <c r="AU20" s="85" t="str">
        <f>IFERROR(__xludf.DUMMYFUNCTION("""COMPUTED_VALUE"""),"E 110°35'42.3456"" ")</f>
        <v>E 110°35'42.3456" </v>
      </c>
      <c r="AV20" s="85" t="str">
        <f>IFERROR(__xludf.DUMMYFUNCTION("""COMPUTED_VALUE"""),"ADA")</f>
        <v>ADA</v>
      </c>
      <c r="AW20" s="85" t="str">
        <f>IFERROR(__xludf.DUMMYFUNCTION("""COMPUTED_VALUE"""),"ADA")</f>
        <v>ADA</v>
      </c>
      <c r="AX20" s="85"/>
      <c r="AY20" s="85"/>
      <c r="AZ20" s="85"/>
      <c r="BA20" s="85" t="str">
        <f>IFERROR(__xludf.DUMMYFUNCTION("""COMPUTED_VALUE"""),"ADA")</f>
        <v>ADA</v>
      </c>
      <c r="BB20" s="85" t="str">
        <f>IFERROR(__xludf.DUMMYFUNCTION("""COMPUTED_VALUE"""),"ADA")</f>
        <v>ADA</v>
      </c>
      <c r="BC20" s="85" t="str">
        <f>IFERROR(__xludf.DUMMYFUNCTION("""COMPUTED_VALUE"""),"ADA")</f>
        <v>ADA</v>
      </c>
      <c r="BD20" s="85" t="str">
        <f>IFERROR(__xludf.DUMMYFUNCTION("""COMPUTED_VALUE"""),"ADA")</f>
        <v>ADA</v>
      </c>
      <c r="BE20" s="85" t="str">
        <f>IFERROR(__xludf.DUMMYFUNCTION("""COMPUTED_VALUE"""),"ADA")</f>
        <v>ADA</v>
      </c>
      <c r="BF20" s="85" t="str">
        <f>IFERROR(__xludf.DUMMYFUNCTION("""COMPUTED_VALUE"""),"ADA")</f>
        <v>ADA</v>
      </c>
      <c r="BG20" s="85" t="str">
        <f>IFERROR(__xludf.DUMMYFUNCTION("""COMPUTED_VALUE"""),"ADA")</f>
        <v>ADA</v>
      </c>
      <c r="BH20" s="85" t="str">
        <f>IFERROR(__xludf.DUMMYFUNCTION("""COMPUTED_VALUE"""),"IWARE ")</f>
        <v>IWARE </v>
      </c>
      <c r="BI20" s="85" t="str">
        <f>IFERROR(__xludf.DUMMYFUNCTION("""COMPUTED_VALUE"""),"ADA")</f>
        <v>ADA</v>
      </c>
      <c r="BJ20" s="85" t="str">
        <f>IFERROR(__xludf.DUMMYFUNCTION("""COMPUTED_VALUE"""),"TIDAK ADA")</f>
        <v>TIDAK ADA</v>
      </c>
      <c r="BK20" s="85" t="str">
        <f>IFERROR(__xludf.DUMMYFUNCTION("""COMPUTED_VALUE"""),"TIDAK ADA")</f>
        <v>TIDAK ADA</v>
      </c>
      <c r="BL20" s="85" t="str">
        <f>IFERROR(__xludf.DUMMYFUNCTION("""COMPUTED_VALUE"""),"DEPOSIT")</f>
        <v>DEPOSIT</v>
      </c>
      <c r="BM20" s="85"/>
      <c r="BN20" s="85"/>
      <c r="BO20" s="85"/>
      <c r="BP20" s="85"/>
      <c r="BQ20" s="85"/>
      <c r="BR20" s="85"/>
      <c r="BS20" s="85"/>
      <c r="BT20" s="85"/>
      <c r="BU20" s="85"/>
      <c r="BV20" s="85" t="str">
        <f>IFERROR(__xludf.DUMMYFUNCTION("""COMPUTED_VALUE"""),"Pasar Gabus, Krajan, Jatinom")</f>
        <v>Pasar Gabus, Krajan, Jatinom</v>
      </c>
      <c r="BW20" s="85"/>
      <c r="BX20" s="85"/>
      <c r="BY20" s="85"/>
      <c r="BZ20" s="85"/>
      <c r="CA20" s="85"/>
      <c r="CB20" s="85"/>
      <c r="CC20" s="85"/>
      <c r="CD20" s="85"/>
      <c r="CE20" s="85"/>
      <c r="CF20" s="85"/>
      <c r="CG20" s="85"/>
      <c r="CH20" s="85"/>
      <c r="CI20" s="85"/>
      <c r="CJ20" s="85"/>
      <c r="CK20" s="2"/>
    </row>
    <row r="21" ht="12.75" customHeight="1">
      <c r="A21" s="80">
        <f>IFERROR(__xludf.DUMMYFUNCTION("""COMPUTED_VALUE"""),18.0)</f>
        <v>18</v>
      </c>
      <c r="B21" s="80" t="str">
        <f>IFERROR(__xludf.DUMMYFUNCTION("""COMPUTED_VALUE"""),"19 Januari 2022")</f>
        <v>19 Januari 2022</v>
      </c>
      <c r="C21" s="80" t="str">
        <f>IFERROR(__xludf.DUMMYFUNCTION("""COMPUTED_VALUE"""),"19 Januari 2022")</f>
        <v>19 Januari 2022</v>
      </c>
      <c r="D21" s="81"/>
      <c r="E21" s="82"/>
      <c r="F21" s="80" t="str">
        <f>IFERROR(__xludf.DUMMYFUNCTION("""COMPUTED_VALUE"""),"16 AGUSTUS 2022")</f>
        <v>16 AGUSTUS 2022</v>
      </c>
      <c r="G21" s="81">
        <f>IFERROR(__xludf.DUMMYFUNCTION("""COMPUTED_VALUE"""),44784.0)</f>
        <v>44784</v>
      </c>
      <c r="H21" s="80"/>
      <c r="I21" s="80" t="str">
        <f>IFERROR(__xludf.DUMMYFUNCTION("""COMPUTED_VALUE"""),"25-08-2022")</f>
        <v>25-08-2022</v>
      </c>
      <c r="J21" s="80" t="str">
        <f>IFERROR(__xludf.DUMMYFUNCTION("""COMPUTED_VALUE"""),"6/9/2022")</f>
        <v>6/9/2022</v>
      </c>
      <c r="K21" s="80"/>
      <c r="L21" s="80"/>
      <c r="M21" s="80"/>
      <c r="N21" s="80"/>
      <c r="O21" s="80"/>
      <c r="P21" s="80" t="str">
        <f>IFERROR(__xludf.DUMMYFUNCTION("""COMPUTED_VALUE"""),"KH2SPA22501JTYNA")</f>
        <v>KH2SPA22501JTYNA</v>
      </c>
      <c r="Q21" s="80" t="str">
        <f>IFERROR(__xludf.DUMMYFUNCTION("""COMPUTED_VALUE"""),"BANI HARSO SUPARTO")</f>
        <v>BANI HARSO SUPARTO</v>
      </c>
      <c r="R21" s="80" t="str">
        <f>IFERROR(__xludf.DUMMYFUNCTION("""COMPUTED_VALUE"""),"Bani Harso")</f>
        <v>Bani Harso</v>
      </c>
      <c r="S21" s="80" t="str">
        <f>IFERROR(__xludf.DUMMYFUNCTION("""COMPUTED_VALUE"""),"Yohannita Nurul Arifah")</f>
        <v>Yohannita Nurul Arifah</v>
      </c>
      <c r="T21" s="80" t="str">
        <f>IFERROR(__xludf.DUMMYFUNCTION("""COMPUTED_VALUE"""),"Gading Santren Rt 002/ Rw 009,Belang Wetan,Klaten ")</f>
        <v>Gading Santren Rt 002/ Rw 009,Belang Wetan,Klaten </v>
      </c>
      <c r="U21" s="80" t="str">
        <f>IFERROR(__xludf.DUMMYFUNCTION("""COMPUTED_VALUE"""),"kerun baru rt 01/rw02,belang wetan,klaten utara,klaten 57438")</f>
        <v>kerun baru rt 01/rw02,belang wetan,klaten utara,klaten 57438</v>
      </c>
      <c r="V21" s="80" t="str">
        <f>IFERROR(__xludf.DUMMYFUNCTION("""COMPUTED_VALUE"""),"002/009")</f>
        <v>002/009</v>
      </c>
      <c r="W21" s="80" t="str">
        <f>IFERROR(__xludf.DUMMYFUNCTION("""COMPUTED_VALUE"""),"BELANGWETAN")</f>
        <v>BELANGWETAN</v>
      </c>
      <c r="X21" s="80" t="str">
        <f>IFERROR(__xludf.DUMMYFUNCTION("""COMPUTED_VALUE"""),"KLATEN UTARA")</f>
        <v>KLATEN UTARA</v>
      </c>
      <c r="Y21" s="80" t="str">
        <f>IFERROR(__xludf.DUMMYFUNCTION("""COMPUTED_VALUE"""),"KLATEN, JATENG")</f>
        <v>KLATEN, JATENG</v>
      </c>
      <c r="Z21" s="80" t="str">
        <f>IFERROR(__xludf.DUMMYFUNCTION("""COMPUTED_VALUE"""),"JAWA TENGAH")</f>
        <v>JAWA TENGAH</v>
      </c>
      <c r="AA21" s="80" t="str">
        <f>IFERROR(__xludf.DUMMYFUNCTION("""COMPUTED_VALUE"""),"57438")</f>
        <v>57438</v>
      </c>
      <c r="AB21" s="80" t="str">
        <f>IFERROR(__xludf.DUMMYFUNCTION("""COMPUTED_VALUE"""),"3310242205820004")</f>
        <v>3310242205820004</v>
      </c>
      <c r="AC21" s="80" t="str">
        <f>IFERROR(__xludf.DUMMYFUNCTION("""COMPUTED_VALUE"""),"75.349.182.8-525.000")</f>
        <v>75.349.182.8-525.000</v>
      </c>
      <c r="AD21" s="80" t="str">
        <f>IFERROR(__xludf.DUMMYFUNCTION("""COMPUTED_VALUE"""),"CUM - YNA")</f>
        <v>CUM - YNA</v>
      </c>
      <c r="AE21" s="80" t="str">
        <f>IFERROR(__xludf.DUMMYFUNCTION("""COMPUTED_VALUE"""),"SUB YOHANNITA")</f>
        <v>SUB YOHANNITA</v>
      </c>
      <c r="AF21" s="80" t="str">
        <f>IFERROR(__xludf.DUMMYFUNCTION("""COMPUTED_VALUE"""),"081329582564")</f>
        <v>081329582564</v>
      </c>
      <c r="AG21" s="80" t="str">
        <f>IFERROR(__xludf.DUMMYFUNCTION("""COMPUTED_VALUE"""),"081329582564")</f>
        <v>081329582564</v>
      </c>
      <c r="AH21" s="80" t="str">
        <f>IFERROR(__xludf.DUMMYFUNCTION("""COMPUTED_VALUE"""),"ynacell866@gmail.com")</f>
        <v>ynacell866@gmail.com</v>
      </c>
      <c r="AI21" s="80" t="str">
        <f>IFERROR(__xludf.DUMMYFUNCTION("""COMPUTED_VALUE"""),"57438S3")</f>
        <v>57438S3</v>
      </c>
      <c r="AJ21" s="80" t="str">
        <f>IFERROR(__xludf.DUMMYFUNCTION("""COMPUTED_VALUE"""),"6210dfe6b42fab5d9016ea23")</f>
        <v>6210dfe6b42fab5d9016ea23</v>
      </c>
      <c r="AK21" s="80" t="str">
        <f>IFERROR(__xludf.DUMMYFUNCTION("""COMPUTED_VALUE"""),"dm57438s3")</f>
        <v>dm57438s3</v>
      </c>
      <c r="AL21" s="80" t="str">
        <f>IFERROR(__xludf.DUMMYFUNCTION("""COMPUTED_VALUE"""),"password")</f>
        <v>password</v>
      </c>
      <c r="AM21" s="80" t="str">
        <f>IFERROR(__xludf.DUMMYFUNCTION("""COMPUTED_VALUE"""),"KANTOR REGIONAL IV SEMARANG 50004")</f>
        <v>KANTOR REGIONAL IV SEMARANG 50004</v>
      </c>
      <c r="AN21" s="80" t="str">
        <f>IFERROR(__xludf.DUMMYFUNCTION("""COMPUTED_VALUE"""),"KPRK KLATEN 57400")</f>
        <v>KPRK KLATEN 57400</v>
      </c>
      <c r="AO21" s="80" t="str">
        <f>IFERROR(__xludf.DUMMYFUNCTION("""COMPUTED_VALUE"""),"2707220048632")</f>
        <v>2707220048632</v>
      </c>
      <c r="AP21" s="80" t="str">
        <f>IFERROR(__xludf.DUMMYFUNCTION("""COMPUTED_VALUE"""),"27072200486320001")</f>
        <v>27072200486320001</v>
      </c>
      <c r="AQ21" s="83"/>
      <c r="AR21" s="80"/>
      <c r="AS21" s="80"/>
      <c r="AT21" s="80" t="str">
        <f>IFERROR(__xludf.DUMMYFUNCTION("""COMPUTED_VALUE"""),"-7,683,103")</f>
        <v>-7,683,103</v>
      </c>
      <c r="AU21" s="80" t="str">
        <f>IFERROR(__xludf.DUMMYFUNCTION("""COMPUTED_VALUE"""),"110,635,031")</f>
        <v>110,635,031</v>
      </c>
      <c r="AV21" s="80" t="str">
        <f>IFERROR(__xludf.DUMMYFUNCTION("""COMPUTED_VALUE"""),"ADA")</f>
        <v>ADA</v>
      </c>
      <c r="AW21" s="80" t="str">
        <f>IFERROR(__xludf.DUMMYFUNCTION("""COMPUTED_VALUE"""),"ADA")</f>
        <v>ADA</v>
      </c>
      <c r="AX21" s="80"/>
      <c r="AY21" s="80"/>
      <c r="AZ21" s="80"/>
      <c r="BA21" s="80" t="str">
        <f>IFERROR(__xludf.DUMMYFUNCTION("""COMPUTED_VALUE"""),"ADA")</f>
        <v>ADA</v>
      </c>
      <c r="BB21" s="80" t="str">
        <f>IFERROR(__xludf.DUMMYFUNCTION("""COMPUTED_VALUE"""),"ADA")</f>
        <v>ADA</v>
      </c>
      <c r="BC21" s="80" t="str">
        <f>IFERROR(__xludf.DUMMYFUNCTION("""COMPUTED_VALUE"""),"ADA")</f>
        <v>ADA</v>
      </c>
      <c r="BD21" s="80" t="str">
        <f>IFERROR(__xludf.DUMMYFUNCTION("""COMPUTED_VALUE"""),"ADA")</f>
        <v>ADA</v>
      </c>
      <c r="BE21" s="80" t="str">
        <f>IFERROR(__xludf.DUMMYFUNCTION("""COMPUTED_VALUE"""),"ADA")</f>
        <v>ADA</v>
      </c>
      <c r="BF21" s="80" t="str">
        <f>IFERROR(__xludf.DUMMYFUNCTION("""COMPUTED_VALUE"""),"ADA")</f>
        <v>ADA</v>
      </c>
      <c r="BG21" s="80" t="str">
        <f>IFERROR(__xludf.DUMMYFUNCTION("""COMPUTED_VALUE"""),"ADA")</f>
        <v>ADA</v>
      </c>
      <c r="BH21" s="80" t="str">
        <f>IFERROR(__xludf.DUMMYFUNCTION("""COMPUTED_VALUE"""),"CANON MP280")</f>
        <v>CANON MP280</v>
      </c>
      <c r="BI21" s="80" t="str">
        <f>IFERROR(__xludf.DUMMYFUNCTION("""COMPUTED_VALUE"""),"ADA")</f>
        <v>ADA</v>
      </c>
      <c r="BJ21" s="80" t="str">
        <f>IFERROR(__xludf.DUMMYFUNCTION("""COMPUTED_VALUE"""),"KERTAS HVS")</f>
        <v>KERTAS HVS</v>
      </c>
      <c r="BK21" s="80" t="str">
        <f>IFERROR(__xludf.DUMMYFUNCTION("""COMPUTED_VALUE"""),"TIDAK ADA")</f>
        <v>TIDAK ADA</v>
      </c>
      <c r="BL21" s="80" t="str">
        <f>IFERROR(__xludf.DUMMYFUNCTION("""COMPUTED_VALUE"""),"PLAFON")</f>
        <v>PLAFON</v>
      </c>
      <c r="BM21" s="80"/>
      <c r="BN21" s="80"/>
      <c r="BO21" s="80"/>
      <c r="BP21" s="80"/>
      <c r="BQ21" s="80"/>
      <c r="BR21" s="80"/>
      <c r="BS21" s="80"/>
      <c r="BT21" s="80"/>
      <c r="BU21" s="80"/>
      <c r="BV21" s="80" t="str">
        <f>IFERROR(__xludf.DUMMYFUNCTION("""COMPUTED_VALUE"""),"Gading Santren Rt 002/ Rw 009,Belang Wetan,Klaten ")</f>
        <v>Gading Santren Rt 002/ Rw 009,Belang Wetan,Klaten </v>
      </c>
      <c r="BW21" s="80"/>
      <c r="BX21" s="80"/>
      <c r="BY21" s="80"/>
      <c r="BZ21" s="80"/>
      <c r="CA21" s="80"/>
      <c r="CB21" s="80"/>
      <c r="CC21" s="80"/>
      <c r="CD21" s="80"/>
      <c r="CE21" s="80"/>
      <c r="CF21" s="80"/>
      <c r="CG21" s="80"/>
      <c r="CH21" s="80"/>
      <c r="CI21" s="80"/>
      <c r="CJ21" s="80"/>
      <c r="CK21" s="2"/>
    </row>
    <row r="22" ht="12.75" customHeight="1">
      <c r="A22" s="85">
        <f>IFERROR(__xludf.DUMMYFUNCTION("""COMPUTED_VALUE"""),19.0)</f>
        <v>19</v>
      </c>
      <c r="B22" s="85" t="str">
        <f>IFERROR(__xludf.DUMMYFUNCTION("""COMPUTED_VALUE"""),"19 Januari 2022")</f>
        <v>19 Januari 2022</v>
      </c>
      <c r="C22" s="85" t="str">
        <f>IFERROR(__xludf.DUMMYFUNCTION("""COMPUTED_VALUE"""),"19 Januari 2022")</f>
        <v>19 Januari 2022</v>
      </c>
      <c r="D22" s="86"/>
      <c r="E22" s="88"/>
      <c r="F22" s="85" t="str">
        <f>IFERROR(__xludf.DUMMYFUNCTION("""COMPUTED_VALUE"""),"18 OKTOBER 2022")</f>
        <v>18 OKTOBER 2022</v>
      </c>
      <c r="G22" s="86">
        <f>IFERROR(__xludf.DUMMYFUNCTION("""COMPUTED_VALUE"""),44852.0)</f>
        <v>44852</v>
      </c>
      <c r="H22" s="85"/>
      <c r="I22" s="85"/>
      <c r="J22" s="85"/>
      <c r="K22" s="85"/>
      <c r="L22" s="85"/>
      <c r="M22" s="85"/>
      <c r="N22" s="85"/>
      <c r="O22" s="85"/>
      <c r="P22" s="85" t="str">
        <f>IFERROR(__xludf.DUMMYFUNCTION("""COMPUTED_VALUE"""),"52BSPA12934JTYNA")</f>
        <v>52BSPA12934JTYNA</v>
      </c>
      <c r="Q22" s="85" t="str">
        <f>IFERROR(__xludf.DUMMYFUNCTION("""COMPUTED_VALUE"""),"ppob wahyu")</f>
        <v>ppob wahyu</v>
      </c>
      <c r="R22" s="85" t="str">
        <f>IFERROR(__xludf.DUMMYFUNCTION("""COMPUTED_VALUE"""),"PPOB Wahyu")</f>
        <v>PPOB Wahyu</v>
      </c>
      <c r="S22" s="85" t="str">
        <f>IFERROR(__xludf.DUMMYFUNCTION("""COMPUTED_VALUE"""),"Heri Suyanto")</f>
        <v>Heri Suyanto</v>
      </c>
      <c r="T22" s="85" t="str">
        <f>IFERROR(__xludf.DUMMYFUNCTION("""COMPUTED_VALUE"""),"Sutan 01/09,Jogosetran, Kalikotes,Klaten 57451")</f>
        <v>Sutan 01/09,Jogosetran, Kalikotes,Klaten 57451</v>
      </c>
      <c r="U22" s="85" t="str">
        <f>IFERROR(__xludf.DUMMYFUNCTION("""COMPUTED_VALUE"""),"Sutan 01/09,Jogosetran, Kalikotes,Klaten 57451")</f>
        <v>Sutan 01/09,Jogosetran, Kalikotes,Klaten 57451</v>
      </c>
      <c r="V22" s="85" t="str">
        <f>IFERROR(__xludf.DUMMYFUNCTION("""COMPUTED_VALUE"""),"001/009")</f>
        <v>001/009</v>
      </c>
      <c r="W22" s="85" t="str">
        <f>IFERROR(__xludf.DUMMYFUNCTION("""COMPUTED_VALUE"""),"KEL.JOGOSETRAN")</f>
        <v>KEL.JOGOSETRAN</v>
      </c>
      <c r="X22" s="85" t="str">
        <f>IFERROR(__xludf.DUMMYFUNCTION("""COMPUTED_VALUE"""),"KEC.KALIKOTES")</f>
        <v>KEC.KALIKOTES</v>
      </c>
      <c r="Y22" s="85" t="str">
        <f>IFERROR(__xludf.DUMMYFUNCTION("""COMPUTED_VALUE"""),"KLATEN, JATENG")</f>
        <v>KLATEN, JATENG</v>
      </c>
      <c r="Z22" s="85" t="str">
        <f>IFERROR(__xludf.DUMMYFUNCTION("""COMPUTED_VALUE"""),"JAWA TENGAH")</f>
        <v>JAWA TENGAH</v>
      </c>
      <c r="AA22" s="85" t="str">
        <f>IFERROR(__xludf.DUMMYFUNCTION("""COMPUTED_VALUE"""),"57451")</f>
        <v>57451</v>
      </c>
      <c r="AB22" s="85" t="str">
        <f>IFERROR(__xludf.DUMMYFUNCTION("""COMPUTED_VALUE"""),"1452181202155  (SIM A )")</f>
        <v>1452181202155  (SIM A )</v>
      </c>
      <c r="AC22" s="85" t="str">
        <f>IFERROR(__xludf.DUMMYFUNCTION("""COMPUTED_VALUE"""),"58.708.557.2-525.000")</f>
        <v>58.708.557.2-525.000</v>
      </c>
      <c r="AD22" s="85" t="str">
        <f>IFERROR(__xludf.DUMMYFUNCTION("""COMPUTED_VALUE"""),"CUM - YNA")</f>
        <v>CUM - YNA</v>
      </c>
      <c r="AE22" s="85" t="str">
        <f>IFERROR(__xludf.DUMMYFUNCTION("""COMPUTED_VALUE"""),"SUB YOHANNITA")</f>
        <v>SUB YOHANNITA</v>
      </c>
      <c r="AF22" s="85" t="str">
        <f>IFERROR(__xludf.DUMMYFUNCTION("""COMPUTED_VALUE"""),"085702051800")</f>
        <v>085702051800</v>
      </c>
      <c r="AG22" s="85" t="str">
        <f>IFERROR(__xludf.DUMMYFUNCTION("""COMPUTED_VALUE"""),"085702051800")</f>
        <v>085702051800</v>
      </c>
      <c r="AH22" s="85" t="str">
        <f>IFERROR(__xludf.DUMMYFUNCTION("""COMPUTED_VALUE"""),"suyantoheri151@gmail.com")</f>
        <v>suyantoheri151@gmail.com</v>
      </c>
      <c r="AI22" s="85" t="str">
        <f>IFERROR(__xludf.DUMMYFUNCTION("""COMPUTED_VALUE"""),"57451S3")</f>
        <v>57451S3</v>
      </c>
      <c r="AJ22" s="85" t="str">
        <f>IFERROR(__xludf.DUMMYFUNCTION("""COMPUTED_VALUE"""),"6210df2f64cf3253be1387b5")</f>
        <v>6210df2f64cf3253be1387b5</v>
      </c>
      <c r="AK22" s="85" t="str">
        <f>IFERROR(__xludf.DUMMYFUNCTION("""COMPUTED_VALUE"""),"dm57451s3")</f>
        <v>dm57451s3</v>
      </c>
      <c r="AL22" s="85" t="str">
        <f>IFERROR(__xludf.DUMMYFUNCTION("""COMPUTED_VALUE"""),"password")</f>
        <v>password</v>
      </c>
      <c r="AM22" s="85" t="str">
        <f>IFERROR(__xludf.DUMMYFUNCTION("""COMPUTED_VALUE"""),"KANTOR REGIONAL IV SEMARANG 50004")</f>
        <v>KANTOR REGIONAL IV SEMARANG 50004</v>
      </c>
      <c r="AN22" s="85" t="str">
        <f>IFERROR(__xludf.DUMMYFUNCTION("""COMPUTED_VALUE"""),"KPRK KLATEN 57400")</f>
        <v>KPRK KLATEN 57400</v>
      </c>
      <c r="AO22" s="85" t="str">
        <f>IFERROR(__xludf.DUMMYFUNCTION("""COMPUTED_VALUE"""),"0108220046764")</f>
        <v>0108220046764</v>
      </c>
      <c r="AP22" s="85" t="str">
        <f>IFERROR(__xludf.DUMMYFUNCTION("""COMPUTED_VALUE"""),"01082200467640001")</f>
        <v>01082200467640001</v>
      </c>
      <c r="AQ22" s="93"/>
      <c r="AR22" s="85"/>
      <c r="AS22" s="85"/>
      <c r="AT22" s="85" t="str">
        <f>IFERROR(__xludf.DUMMYFUNCTION("""COMPUTED_VALUE"""),"-7,711,677")</f>
        <v>-7,711,677</v>
      </c>
      <c r="AU22" s="85" t="str">
        <f>IFERROR(__xludf.DUMMYFUNCTION("""COMPUTED_VALUE"""),"110,642,644")</f>
        <v>110,642,644</v>
      </c>
      <c r="AV22" s="85" t="str">
        <f>IFERROR(__xludf.DUMMYFUNCTION("""COMPUTED_VALUE"""),"ADA")</f>
        <v>ADA</v>
      </c>
      <c r="AW22" s="85" t="str">
        <f>IFERROR(__xludf.DUMMYFUNCTION("""COMPUTED_VALUE"""),"ADA")</f>
        <v>ADA</v>
      </c>
      <c r="AX22" s="85"/>
      <c r="AY22" s="85"/>
      <c r="AZ22" s="85"/>
      <c r="BA22" s="85" t="str">
        <f>IFERROR(__xludf.DUMMYFUNCTION("""COMPUTED_VALUE"""),"ADA")</f>
        <v>ADA</v>
      </c>
      <c r="BB22" s="85" t="str">
        <f>IFERROR(__xludf.DUMMYFUNCTION("""COMPUTED_VALUE"""),"ADA")</f>
        <v>ADA</v>
      </c>
      <c r="BC22" s="85" t="str">
        <f>IFERROR(__xludf.DUMMYFUNCTION("""COMPUTED_VALUE"""),"ADA")</f>
        <v>ADA</v>
      </c>
      <c r="BD22" s="85" t="str">
        <f>IFERROR(__xludf.DUMMYFUNCTION("""COMPUTED_VALUE"""),"ADA")</f>
        <v>ADA</v>
      </c>
      <c r="BE22" s="85" t="str">
        <f>IFERROR(__xludf.DUMMYFUNCTION("""COMPUTED_VALUE"""),"ADA")</f>
        <v>ADA</v>
      </c>
      <c r="BF22" s="85" t="str">
        <f>IFERROR(__xludf.DUMMYFUNCTION("""COMPUTED_VALUE"""),"ADA")</f>
        <v>ADA</v>
      </c>
      <c r="BG22" s="85" t="str">
        <f>IFERROR(__xludf.DUMMYFUNCTION("""COMPUTED_VALUE"""),"ADA")</f>
        <v>ADA</v>
      </c>
      <c r="BH22" s="85" t="str">
        <f>IFERROR(__xludf.DUMMYFUNCTION("""COMPUTED_VALUE"""),"CANON IP2270")</f>
        <v>CANON IP2270</v>
      </c>
      <c r="BI22" s="85" t="str">
        <f>IFERROR(__xludf.DUMMYFUNCTION("""COMPUTED_VALUE"""),"ADA")</f>
        <v>ADA</v>
      </c>
      <c r="BJ22" s="85" t="str">
        <f>IFERROR(__xludf.DUMMYFUNCTION("""COMPUTED_VALUE"""),"KERTAS HVS")</f>
        <v>KERTAS HVS</v>
      </c>
      <c r="BK22" s="85" t="str">
        <f>IFERROR(__xludf.DUMMYFUNCTION("""COMPUTED_VALUE"""),"TIDAK ADA")</f>
        <v>TIDAK ADA</v>
      </c>
      <c r="BL22" s="85" t="str">
        <f>IFERROR(__xludf.DUMMYFUNCTION("""COMPUTED_VALUE"""),"PLAFON")</f>
        <v>PLAFON</v>
      </c>
      <c r="BM22" s="85"/>
      <c r="BN22" s="85" t="str">
        <f>IFERROR(__xludf.DUMMYFUNCTION("""COMPUTED_VALUE"""),"DK SUTAN RT 001 RW 009 DESA JOGOSETRAN KEC KALIKOTES KAB KLATEN JAWA TENGAH")</f>
        <v>DK SUTAN RT 001 RW 009 DESA JOGOSETRAN KEC KALIKOTES KAB KLATEN JAWA TENGAH</v>
      </c>
      <c r="BO22" s="85" t="str">
        <f>IFERROR(__xludf.DUMMYFUNCTION("""COMPUTED_VALUE"""),"3310067110830001")</f>
        <v>3310067110830001</v>
      </c>
      <c r="BP22" s="85" t="str">
        <f>IFERROR(__xludf.DUMMYFUNCTION("""COMPUTED_VALUE"""),"31-10-1983")</f>
        <v>31-10-1983</v>
      </c>
      <c r="BQ22" s="85" t="str">
        <f>IFERROR(__xludf.DUMMYFUNCTION("""COMPUTED_VALUE"""),"43.074.241.1-525.000")</f>
        <v>43.074.241.1-525.000</v>
      </c>
      <c r="BR22" s="85" t="str">
        <f>IFERROR(__xludf.DUMMYFUNCTION("""COMPUTED_VALUE"""),"085702051800 / 085728210911")</f>
        <v>085702051800 / 085728210911</v>
      </c>
      <c r="BS22" s="85" t="str">
        <f>IFERROR(__xludf.DUMMYFUNCTION("""COMPUTED_VALUE"""),"suyantoheri151@gmail.com")</f>
        <v>suyantoheri151@gmail.com</v>
      </c>
      <c r="BT22" s="85" t="str">
        <f>IFERROR(__xludf.DUMMYFUNCTION("""COMPUTED_VALUE"""),"ISTRI PEMILIK SEBELUMNYA")</f>
        <v>ISTRI PEMILIK SEBELUMNYA</v>
      </c>
      <c r="BU22" s="85"/>
      <c r="BV22" s="85" t="str">
        <f>IFERROR(__xludf.DUMMYFUNCTION("""COMPUTED_VALUE"""),"Sutan 01/09,Jogosetran, Kalikotes,Klaten 57451")</f>
        <v>Sutan 01/09,Jogosetran, Kalikotes,Klaten 57451</v>
      </c>
      <c r="BW22" s="85"/>
      <c r="BX22" s="85"/>
      <c r="BY22" s="85"/>
      <c r="BZ22" s="85"/>
      <c r="CA22" s="85"/>
      <c r="CB22" s="85"/>
      <c r="CC22" s="85"/>
      <c r="CD22" s="85"/>
      <c r="CE22" s="85"/>
      <c r="CF22" s="85"/>
      <c r="CG22" s="85"/>
      <c r="CH22" s="85"/>
      <c r="CI22" s="85"/>
      <c r="CJ22" s="85"/>
      <c r="CK22" s="2"/>
    </row>
    <row r="23" ht="12.75" customHeight="1">
      <c r="A23" s="80">
        <f>IFERROR(__xludf.DUMMYFUNCTION("""COMPUTED_VALUE"""),20.0)</f>
        <v>20</v>
      </c>
      <c r="B23" s="80"/>
      <c r="C23" s="80"/>
      <c r="D23" s="81"/>
      <c r="E23" s="82"/>
      <c r="F23" s="80"/>
      <c r="G23" s="81"/>
      <c r="H23" s="80"/>
      <c r="I23" s="80"/>
      <c r="J23" s="80"/>
      <c r="K23" s="80"/>
      <c r="L23" s="80"/>
      <c r="M23" s="80"/>
      <c r="N23" s="80"/>
      <c r="O23" s="80"/>
      <c r="P23" s="80" t="str">
        <f>IFERROR(__xludf.DUMMYFUNCTION("""COMPUTED_VALUE"""),"MAZNOEZ")</f>
        <v>MAZNOEZ</v>
      </c>
      <c r="Q23" s="80"/>
      <c r="R23" s="80" t="str">
        <f>IFERROR(__xludf.DUMMYFUNCTION("""COMPUTED_VALUE"""),"RAMZEN ON")</f>
        <v>RAMZEN ON</v>
      </c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  <c r="AI23" s="80" t="str">
        <f>IFERROR(__xludf.DUMMYFUNCTION("""COMPUTED_VALUE"""),"NO ACC")</f>
        <v>NO ACC</v>
      </c>
      <c r="AJ23" s="80"/>
      <c r="AK23" s="80"/>
      <c r="AL23" s="80"/>
      <c r="AM23" s="80" t="str">
        <f>IFERROR(__xludf.DUMMYFUNCTION("""COMPUTED_VALUE"""),"KANTOR REGIONAL IV SEMARANG 50004")</f>
        <v>KANTOR REGIONAL IV SEMARANG 50004</v>
      </c>
      <c r="AN23" s="80"/>
      <c r="AO23" s="80"/>
      <c r="AP23" s="80"/>
      <c r="AQ23" s="83"/>
      <c r="AR23" s="80"/>
      <c r="AS23" s="80"/>
      <c r="AT23" s="80"/>
      <c r="AU23" s="80"/>
      <c r="AV23" s="80"/>
      <c r="AW23" s="80"/>
      <c r="AX23" s="80"/>
      <c r="AY23" s="80"/>
      <c r="AZ23" s="80"/>
      <c r="BA23" s="80"/>
      <c r="BB23" s="80"/>
      <c r="BC23" s="80"/>
      <c r="BD23" s="80"/>
      <c r="BE23" s="80"/>
      <c r="BF23" s="80"/>
      <c r="BG23" s="80"/>
      <c r="BH23" s="80"/>
      <c r="BI23" s="80"/>
      <c r="BJ23" s="80"/>
      <c r="BK23" s="80"/>
      <c r="BL23" s="80"/>
      <c r="BM23" s="80"/>
      <c r="BN23" s="80"/>
      <c r="BO23" s="80"/>
      <c r="BP23" s="80"/>
      <c r="BQ23" s="80"/>
      <c r="BR23" s="80"/>
      <c r="BS23" s="80"/>
      <c r="BT23" s="80"/>
      <c r="BU23" s="80"/>
      <c r="BV23" s="80"/>
      <c r="BW23" s="80"/>
      <c r="BX23" s="80"/>
      <c r="BY23" s="80"/>
      <c r="BZ23" s="80"/>
      <c r="CA23" s="80"/>
      <c r="CB23" s="80"/>
      <c r="CC23" s="80"/>
      <c r="CD23" s="80"/>
      <c r="CE23" s="80"/>
      <c r="CF23" s="80"/>
      <c r="CG23" s="80"/>
      <c r="CH23" s="80"/>
      <c r="CI23" s="80"/>
      <c r="CJ23" s="80"/>
      <c r="CK23" s="2"/>
    </row>
    <row r="24" ht="12.75" customHeight="1">
      <c r="A24" s="85">
        <f>IFERROR(__xludf.DUMMYFUNCTION("""COMPUTED_VALUE"""),21.0)</f>
        <v>21</v>
      </c>
      <c r="B24" s="85" t="str">
        <f>IFERROR(__xludf.DUMMYFUNCTION("""COMPUTED_VALUE"""),"20 Januari 2022")</f>
        <v>20 Januari 2022</v>
      </c>
      <c r="C24" s="85" t="str">
        <f>IFERROR(__xludf.DUMMYFUNCTION("""COMPUTED_VALUE"""),"20 Januari 2022")</f>
        <v>20 Januari 2022</v>
      </c>
      <c r="D24" s="86"/>
      <c r="E24" s="88"/>
      <c r="F24" s="85"/>
      <c r="G24" s="86"/>
      <c r="H24" s="85"/>
      <c r="I24" s="85"/>
      <c r="J24" s="85"/>
      <c r="K24" s="85"/>
      <c r="L24" s="85"/>
      <c r="M24" s="85"/>
      <c r="N24" s="85"/>
      <c r="O24" s="85"/>
      <c r="P24" s="85" t="str">
        <f>IFERROR(__xludf.DUMMYFUNCTION("""COMPUTED_VALUE"""),"52BSPA22582JTGKR")</f>
        <v>52BSPA22582JTGKR</v>
      </c>
      <c r="Q24" s="85" t="str">
        <f>IFERROR(__xludf.DUMMYFUNCTION("""COMPUTED_VALUE"""),"PRATAMA CELL")</f>
        <v>PRATAMA CELL</v>
      </c>
      <c r="R24" s="85" t="str">
        <f>IFERROR(__xludf.DUMMYFUNCTION("""COMPUTED_VALUE"""),"JM BUMIAYU")</f>
        <v>JM BUMIAYU</v>
      </c>
      <c r="S24" s="85" t="str">
        <f>IFERROR(__xludf.DUMMYFUNCTION("""COMPUTED_VALUE"""),"Abdul Latif")</f>
        <v>Abdul Latif</v>
      </c>
      <c r="T24" s="85" t="str">
        <f>IFERROR(__xludf.DUMMYFUNCTION("""COMPUTED_VALUE"""),"Jl. Diponogoro No 567 Krajan Jatisawit Kec. Bumiayu")</f>
        <v>Jl. Diponogoro No 567 Krajan Jatisawit Kec. Bumiayu</v>
      </c>
      <c r="U24" s="85" t="str">
        <f>IFERROR(__xludf.DUMMYFUNCTION("""COMPUTED_VALUE"""),"JL. DIPONOGORO NO 567 KRAJAN JATISAWIT KEC. BUMIAYU")</f>
        <v>JL. DIPONOGORO NO 567 KRAJAN JATISAWIT KEC. BUMIAYU</v>
      </c>
      <c r="V24" s="85"/>
      <c r="W24" s="85" t="str">
        <f>IFERROR(__xludf.DUMMYFUNCTION("""COMPUTED_VALUE"""),"Krajan")</f>
        <v>Krajan</v>
      </c>
      <c r="X24" s="85" t="str">
        <f>IFERROR(__xludf.DUMMYFUNCTION("""COMPUTED_VALUE"""),"Bumiayu")</f>
        <v>Bumiayu</v>
      </c>
      <c r="Y24" s="85" t="str">
        <f>IFERROR(__xludf.DUMMYFUNCTION("""COMPUTED_VALUE"""),"Brebes")</f>
        <v>Brebes</v>
      </c>
      <c r="Z24" s="85" t="str">
        <f>IFERROR(__xludf.DUMMYFUNCTION("""COMPUTED_VALUE"""),"JAWA TENGAH")</f>
        <v>JAWA TENGAH</v>
      </c>
      <c r="AA24" s="85" t="str">
        <f>IFERROR(__xludf.DUMMYFUNCTION("""COMPUTED_VALUE"""),"52273")</f>
        <v>52273</v>
      </c>
      <c r="AB24" s="85" t="str">
        <f>IFERROR(__xludf.DUMMYFUNCTION("""COMPUTED_VALUE"""),"3302180706940000")</f>
        <v>3302180706940000</v>
      </c>
      <c r="AC24" s="85" t="str">
        <f>IFERROR(__xludf.DUMMYFUNCTION("""COMPUTED_VALUE"""),"06.000.617.8-521.000")</f>
        <v>06.000.617.8-521.000</v>
      </c>
      <c r="AD24" s="85" t="str">
        <f>IFERROR(__xludf.DUMMYFUNCTION("""COMPUTED_VALUE"""),"CUM - KRS")</f>
        <v>CUM - KRS</v>
      </c>
      <c r="AE24" s="85" t="str">
        <f>IFERROR(__xludf.DUMMYFUNCTION("""COMPUTED_VALUE"""),"SUB KARSINI")</f>
        <v>SUB KARSINI</v>
      </c>
      <c r="AF24" s="85" t="str">
        <f>IFERROR(__xludf.DUMMYFUNCTION("""COMPUTED_VALUE"""),"081225647734")</f>
        <v>081225647734</v>
      </c>
      <c r="AG24" s="85" t="str">
        <f>IFERROR(__xludf.DUMMYFUNCTION("""COMPUTED_VALUE"""),"81225647734")</f>
        <v>81225647734</v>
      </c>
      <c r="AH24" s="85" t="str">
        <f>IFERROR(__xludf.DUMMYFUNCTION("""COMPUTED_VALUE"""),"abdullatif731294@gmail.com")</f>
        <v>abdullatif731294@gmail.com</v>
      </c>
      <c r="AI24" s="85" t="str">
        <f>IFERROR(__xludf.DUMMYFUNCTION("""COMPUTED_VALUE"""),"52273S5")</f>
        <v>52273S5</v>
      </c>
      <c r="AJ24" s="85" t="str">
        <f>IFERROR(__xludf.DUMMYFUNCTION("""COMPUTED_VALUE"""),"6210f99de9af7a6ed039c063")</f>
        <v>6210f99de9af7a6ed039c063</v>
      </c>
      <c r="AK24" s="85" t="str">
        <f>IFERROR(__xludf.DUMMYFUNCTION("""COMPUTED_VALUE"""),"dm52273s5")</f>
        <v>dm52273s5</v>
      </c>
      <c r="AL24" s="85" t="str">
        <f>IFERROR(__xludf.DUMMYFUNCTION("""COMPUTED_VALUE"""),"password")</f>
        <v>password</v>
      </c>
      <c r="AM24" s="85" t="str">
        <f>IFERROR(__xludf.DUMMYFUNCTION("""COMPUTED_VALUE"""),"KANTOR REGIONAL IV SEMARANG 50004")</f>
        <v>KANTOR REGIONAL IV SEMARANG 50004</v>
      </c>
      <c r="AN24" s="85" t="str">
        <f>IFERROR(__xludf.DUMMYFUNCTION("""COMPUTED_VALUE"""),"KPRK BREBES 52200")</f>
        <v>KPRK BREBES 52200</v>
      </c>
      <c r="AO24" s="85" t="str">
        <f>IFERROR(__xludf.DUMMYFUNCTION("""COMPUTED_VALUE"""),"0508220058843")</f>
        <v>0508220058843</v>
      </c>
      <c r="AP24" s="85" t="str">
        <f>IFERROR(__xludf.DUMMYFUNCTION("""COMPUTED_VALUE"""),"05082200588430001")</f>
        <v>05082200588430001</v>
      </c>
      <c r="AQ24" s="93"/>
      <c r="AR24" s="85"/>
      <c r="AS24" s="85"/>
      <c r="AT24" s="85" t="str">
        <f>IFERROR(__xludf.DUMMYFUNCTION("""COMPUTED_VALUE"""),"-7,262,735")</f>
        <v>-7,262,735</v>
      </c>
      <c r="AU24" s="85" t="str">
        <f>IFERROR(__xludf.DUMMYFUNCTION("""COMPUTED_VALUE"""),"109. 010212")</f>
        <v>109. 010212</v>
      </c>
      <c r="AV24" s="85" t="str">
        <f>IFERROR(__xludf.DUMMYFUNCTION("""COMPUTED_VALUE"""),"ADA")</f>
        <v>ADA</v>
      </c>
      <c r="AW24" s="85" t="str">
        <f>IFERROR(__xludf.DUMMYFUNCTION("""COMPUTED_VALUE"""),"ADA")</f>
        <v>ADA</v>
      </c>
      <c r="AX24" s="85"/>
      <c r="AY24" s="85"/>
      <c r="AZ24" s="85"/>
      <c r="BA24" s="85" t="str">
        <f>IFERROR(__xludf.DUMMYFUNCTION("""COMPUTED_VALUE"""),"ADA")</f>
        <v>ADA</v>
      </c>
      <c r="BB24" s="85" t="str">
        <f>IFERROR(__xludf.DUMMYFUNCTION("""COMPUTED_VALUE"""),"ADA")</f>
        <v>ADA</v>
      </c>
      <c r="BC24" s="85" t="str">
        <f>IFERROR(__xludf.DUMMYFUNCTION("""COMPUTED_VALUE"""),"ADA")</f>
        <v>ADA</v>
      </c>
      <c r="BD24" s="85" t="str">
        <f>IFERROR(__xludf.DUMMYFUNCTION("""COMPUTED_VALUE"""),"ADA")</f>
        <v>ADA</v>
      </c>
      <c r="BE24" s="85" t="str">
        <f>IFERROR(__xludf.DUMMYFUNCTION("""COMPUTED_VALUE"""),"ADA")</f>
        <v>ADA</v>
      </c>
      <c r="BF24" s="85"/>
      <c r="BG24" s="85"/>
      <c r="BH24" s="85"/>
      <c r="BI24" s="85"/>
      <c r="BJ24" s="85"/>
      <c r="BK24" s="85"/>
      <c r="BL24" s="85" t="str">
        <f>IFERROR(__xludf.DUMMYFUNCTION("""COMPUTED_VALUE"""),"DEPOSIT")</f>
        <v>DEPOSIT</v>
      </c>
      <c r="BM24" s="85"/>
      <c r="BN24" s="85"/>
      <c r="BO24" s="85"/>
      <c r="BP24" s="85"/>
      <c r="BQ24" s="85"/>
      <c r="BR24" s="85"/>
      <c r="BS24" s="85"/>
      <c r="BT24" s="85"/>
      <c r="BU24" s="85"/>
      <c r="BV24" s="85" t="str">
        <f>IFERROR(__xludf.DUMMYFUNCTION("""COMPUTED_VALUE"""),"Jl. Diponogoro No 567 Krajan Jatisawit Kec. Bumiayu")</f>
        <v>Jl. Diponogoro No 567 Krajan Jatisawit Kec. Bumiayu</v>
      </c>
      <c r="BW24" s="85"/>
      <c r="BX24" s="85"/>
      <c r="BY24" s="85"/>
      <c r="BZ24" s="85"/>
      <c r="CA24" s="85"/>
      <c r="CB24" s="85"/>
      <c r="CC24" s="85"/>
      <c r="CD24" s="85"/>
      <c r="CE24" s="85"/>
      <c r="CF24" s="85"/>
      <c r="CG24" s="85"/>
      <c r="CH24" s="85"/>
      <c r="CI24" s="85"/>
      <c r="CJ24" s="85"/>
      <c r="CK24" s="2"/>
    </row>
    <row r="25" ht="12.75" customHeight="1">
      <c r="A25" s="80">
        <f>IFERROR(__xludf.DUMMYFUNCTION("""COMPUTED_VALUE"""),22.0)</f>
        <v>22</v>
      </c>
      <c r="B25" s="80" t="str">
        <f>IFERROR(__xludf.DUMMYFUNCTION("""COMPUTED_VALUE"""),"20 Januari 2022")</f>
        <v>20 Januari 2022</v>
      </c>
      <c r="C25" s="80" t="str">
        <f>IFERROR(__xludf.DUMMYFUNCTION("""COMPUTED_VALUE"""),"20 Januari 2022")</f>
        <v>20 Januari 2022</v>
      </c>
      <c r="D25" s="81"/>
      <c r="E25" s="82"/>
      <c r="F25" s="80" t="str">
        <f>IFERROR(__xludf.DUMMYFUNCTION("""COMPUTED_VALUE"""),"2 NOPEMBER 2022")</f>
        <v>2 NOPEMBER 2022</v>
      </c>
      <c r="G25" s="81"/>
      <c r="H25" s="80"/>
      <c r="I25" s="80"/>
      <c r="J25" s="80"/>
      <c r="K25" s="80"/>
      <c r="L25" s="80"/>
      <c r="M25" s="80"/>
      <c r="N25" s="80"/>
      <c r="O25" s="80"/>
      <c r="P25" s="80" t="str">
        <f>IFERROR(__xludf.DUMMYFUNCTION("""COMPUTED_VALUE"""),"52BSPA22786JTKRS")</f>
        <v>52BSPA22786JTKRS</v>
      </c>
      <c r="Q25" s="80" t="str">
        <f>IFERROR(__xludf.DUMMYFUNCTION("""COMPUTED_VALUE"""),"HIKMAH")</f>
        <v>HIKMAH</v>
      </c>
      <c r="R25" s="80" t="str">
        <f>IFERROR(__xludf.DUMMYFUNCTION("""COMPUTED_VALUE"""),"HIKMAH")</f>
        <v>HIKMAH</v>
      </c>
      <c r="S25" s="80" t="str">
        <f>IFERROR(__xludf.DUMMYFUNCTION("""COMPUTED_VALUE"""),"Tinto Fourdianto")</f>
        <v>Tinto Fourdianto</v>
      </c>
      <c r="T25" s="80" t="str">
        <f>IFERROR(__xludf.DUMMYFUNCTION("""COMPUTED_VALUE"""),"Jalan Raya Desa Kemutug Kidul Rt 06 Rw 02")</f>
        <v>Jalan Raya Desa Kemutug Kidul Rt 06 Rw 02</v>
      </c>
      <c r="U25" s="80" t="str">
        <f>IFERROR(__xludf.DUMMYFUNCTION("""COMPUTED_VALUE"""),"Jl. RAYA DESA KEMUTUG KIDUL RT 06 RW 02 KEC. BATURRADEN 53151")</f>
        <v>Jl. RAYA DESA KEMUTUG KIDUL RT 06 RW 02 KEC. BATURRADEN 53151</v>
      </c>
      <c r="V25" s="80" t="str">
        <f>IFERROR(__xludf.DUMMYFUNCTION("""COMPUTED_VALUE"""),"006/002")</f>
        <v>006/002</v>
      </c>
      <c r="W25" s="80" t="str">
        <f>IFERROR(__xludf.DUMMYFUNCTION("""COMPUTED_VALUE"""),"Kemutug Kidul")</f>
        <v>Kemutug Kidul</v>
      </c>
      <c r="X25" s="80" t="str">
        <f>IFERROR(__xludf.DUMMYFUNCTION("""COMPUTED_VALUE"""),"Baturaden")</f>
        <v>Baturaden</v>
      </c>
      <c r="Y25" s="80" t="str">
        <f>IFERROR(__xludf.DUMMYFUNCTION("""COMPUTED_VALUE"""),"Banyumas")</f>
        <v>Banyumas</v>
      </c>
      <c r="Z25" s="80" t="str">
        <f>IFERROR(__xludf.DUMMYFUNCTION("""COMPUTED_VALUE"""),"JAWA TENGAH")</f>
        <v>JAWA TENGAH</v>
      </c>
      <c r="AA25" s="80" t="str">
        <f>IFERROR(__xludf.DUMMYFUNCTION("""COMPUTED_VALUE"""),"53151")</f>
        <v>53151</v>
      </c>
      <c r="AB25" s="80" t="str">
        <f>IFERROR(__xludf.DUMMYFUNCTION("""COMPUTED_VALUE"""),"3302221501920002")</f>
        <v>3302221501920002</v>
      </c>
      <c r="AC25" s="80" t="str">
        <f>IFERROR(__xludf.DUMMYFUNCTION("""COMPUTED_VALUE"""),"76.250.436.3-521.000")</f>
        <v>76.250.436.3-521.000</v>
      </c>
      <c r="AD25" s="80" t="str">
        <f>IFERROR(__xludf.DUMMYFUNCTION("""COMPUTED_VALUE"""),"CUM - KRS")</f>
        <v>CUM - KRS</v>
      </c>
      <c r="AE25" s="80" t="str">
        <f>IFERROR(__xludf.DUMMYFUNCTION("""COMPUTED_VALUE"""),"SUB KARSINI")</f>
        <v>SUB KARSINI</v>
      </c>
      <c r="AF25" s="80" t="str">
        <f>IFERROR(__xludf.DUMMYFUNCTION("""COMPUTED_VALUE"""),"(0281) 681129/ 0857 2625 9797")</f>
        <v>(0281) 681129/ 0857 2625 9797</v>
      </c>
      <c r="AG25" s="80" t="str">
        <f>IFERROR(__xludf.DUMMYFUNCTION("""COMPUTED_VALUE"""),"(0281) 681129/ 0857 2625 9797")</f>
        <v>(0281) 681129/ 0857 2625 9797</v>
      </c>
      <c r="AH25" s="80" t="str">
        <f>IFERROR(__xludf.DUMMYFUNCTION("""COMPUTED_VALUE"""),"tintofourdianto@gmail.com")</f>
        <v>tintofourdianto@gmail.com</v>
      </c>
      <c r="AI25" s="80" t="str">
        <f>IFERROR(__xludf.DUMMYFUNCTION("""COMPUTED_VALUE"""),"53151S4")</f>
        <v>53151S4</v>
      </c>
      <c r="AJ25" s="80" t="str">
        <f>IFERROR(__xludf.DUMMYFUNCTION("""COMPUTED_VALUE"""),"6210e9ccd13310575a4e9474")</f>
        <v>6210e9ccd13310575a4e9474</v>
      </c>
      <c r="AK25" s="80" t="str">
        <f>IFERROR(__xludf.DUMMYFUNCTION("""COMPUTED_VALUE"""),"dm53151s4")</f>
        <v>dm53151s4</v>
      </c>
      <c r="AL25" s="80" t="str">
        <f>IFERROR(__xludf.DUMMYFUNCTION("""COMPUTED_VALUE"""),"password")</f>
        <v>password</v>
      </c>
      <c r="AM25" s="80" t="str">
        <f>IFERROR(__xludf.DUMMYFUNCTION("""COMPUTED_VALUE"""),"KANTOR REGIONAL IV SEMARANG 50004")</f>
        <v>KANTOR REGIONAL IV SEMARANG 50004</v>
      </c>
      <c r="AN25" s="80" t="str">
        <f>IFERROR(__xludf.DUMMYFUNCTION("""COMPUTED_VALUE"""),"KPRK BANYUMAS 53100")</f>
        <v>KPRK BANYUMAS 53100</v>
      </c>
      <c r="AO25" s="80" t="str">
        <f>IFERROR(__xludf.DUMMYFUNCTION("""COMPUTED_VALUE"""),"0208220052154")</f>
        <v>0208220052154</v>
      </c>
      <c r="AP25" s="80" t="str">
        <f>IFERROR(__xludf.DUMMYFUNCTION("""COMPUTED_VALUE"""),"02082200521540001")</f>
        <v>02082200521540001</v>
      </c>
      <c r="AQ25" s="83"/>
      <c r="AR25" s="80"/>
      <c r="AS25" s="80"/>
      <c r="AT25" s="80" t="str">
        <f>IFERROR(__xludf.DUMMYFUNCTION("""COMPUTED_VALUE"""),"-7,342,765")</f>
        <v>-7,342,765</v>
      </c>
      <c r="AU25" s="80" t="str">
        <f>IFERROR(__xludf.DUMMYFUNCTION("""COMPUTED_VALUE"""),"109,237,595")</f>
        <v>109,237,595</v>
      </c>
      <c r="AV25" s="80" t="str">
        <f>IFERROR(__xludf.DUMMYFUNCTION("""COMPUTED_VALUE"""),"ADA")</f>
        <v>ADA</v>
      </c>
      <c r="AW25" s="80" t="str">
        <f>IFERROR(__xludf.DUMMYFUNCTION("""COMPUTED_VALUE"""),"ADA")</f>
        <v>ADA</v>
      </c>
      <c r="AX25" s="80"/>
      <c r="AY25" s="80"/>
      <c r="AZ25" s="80"/>
      <c r="BA25" s="80" t="str">
        <f>IFERROR(__xludf.DUMMYFUNCTION("""COMPUTED_VALUE"""),"ADA")</f>
        <v>ADA</v>
      </c>
      <c r="BB25" s="80" t="str">
        <f>IFERROR(__xludf.DUMMYFUNCTION("""COMPUTED_VALUE"""),"ADA")</f>
        <v>ADA</v>
      </c>
      <c r="BC25" s="80" t="str">
        <f>IFERROR(__xludf.DUMMYFUNCTION("""COMPUTED_VALUE"""),"ADA")</f>
        <v>ADA</v>
      </c>
      <c r="BD25" s="80" t="str">
        <f>IFERROR(__xludf.DUMMYFUNCTION("""COMPUTED_VALUE"""),"ADA")</f>
        <v>ADA</v>
      </c>
      <c r="BE25" s="80" t="str">
        <f>IFERROR(__xludf.DUMMYFUNCTION("""COMPUTED_VALUE"""),"ADA")</f>
        <v>ADA</v>
      </c>
      <c r="BF25" s="80" t="str">
        <f>IFERROR(__xludf.DUMMYFUNCTION("""COMPUTED_VALUE"""),"ADA")</f>
        <v>ADA</v>
      </c>
      <c r="BG25" s="80" t="str">
        <f>IFERROR(__xludf.DUMMYFUNCTION("""COMPUTED_VALUE"""),"ADA")</f>
        <v>ADA</v>
      </c>
      <c r="BH25" s="80" t="str">
        <f>IFERROR(__xludf.DUMMYFUNCTION("""COMPUTED_VALUE"""),"EPSON L3210")</f>
        <v>EPSON L3210</v>
      </c>
      <c r="BI25" s="80" t="str">
        <f>IFERROR(__xludf.DUMMYFUNCTION("""COMPUTED_VALUE"""),"ADA")</f>
        <v>ADA</v>
      </c>
      <c r="BJ25" s="80" t="str">
        <f>IFERROR(__xludf.DUMMYFUNCTION("""COMPUTED_VALUE"""),"ADA")</f>
        <v>ADA</v>
      </c>
      <c r="BK25" s="80" t="str">
        <f>IFERROR(__xludf.DUMMYFUNCTION("""COMPUTED_VALUE"""),"TIDAK ADA")</f>
        <v>TIDAK ADA</v>
      </c>
      <c r="BL25" s="80" t="str">
        <f>IFERROR(__xludf.DUMMYFUNCTION("""COMPUTED_VALUE"""),"DEPOSIT")</f>
        <v>DEPOSIT</v>
      </c>
      <c r="BM25" s="80"/>
      <c r="BN25" s="80"/>
      <c r="BO25" s="80"/>
      <c r="BP25" s="80"/>
      <c r="BQ25" s="80"/>
      <c r="BR25" s="80"/>
      <c r="BS25" s="80"/>
      <c r="BT25" s="80"/>
      <c r="BU25" s="80"/>
      <c r="BV25" s="80" t="str">
        <f>IFERROR(__xludf.DUMMYFUNCTION("""COMPUTED_VALUE"""),"Jalan Raya Desa Kemutug Kidul Rt 06 Rw 02")</f>
        <v>Jalan Raya Desa Kemutug Kidul Rt 06 Rw 02</v>
      </c>
      <c r="BW25" s="80"/>
      <c r="BX25" s="80"/>
      <c r="BY25" s="80"/>
      <c r="BZ25" s="80"/>
      <c r="CA25" s="80"/>
      <c r="CB25" s="80"/>
      <c r="CC25" s="80"/>
      <c r="CD25" s="80"/>
      <c r="CE25" s="80"/>
      <c r="CF25" s="80"/>
      <c r="CG25" s="80"/>
      <c r="CH25" s="80"/>
      <c r="CI25" s="80"/>
      <c r="CJ25" s="80"/>
      <c r="CK25" s="2"/>
    </row>
    <row r="26" ht="12.75" customHeight="1">
      <c r="A26" s="85">
        <f>IFERROR(__xludf.DUMMYFUNCTION("""COMPUTED_VALUE"""),23.0)</f>
        <v>23</v>
      </c>
      <c r="B26" s="85" t="str">
        <f>IFERROR(__xludf.DUMMYFUNCTION("""COMPUTED_VALUE"""),"20 Januari 2022")</f>
        <v>20 Januari 2022</v>
      </c>
      <c r="C26" s="85" t="str">
        <f>IFERROR(__xludf.DUMMYFUNCTION("""COMPUTED_VALUE"""),"20 Januari 2022")</f>
        <v>20 Januari 2022</v>
      </c>
      <c r="D26" s="86"/>
      <c r="E26" s="88"/>
      <c r="F26" s="85"/>
      <c r="G26" s="86"/>
      <c r="H26" s="85"/>
      <c r="I26" s="85"/>
      <c r="J26" s="85"/>
      <c r="K26" s="85" t="str">
        <f>IFERROR(__xludf.DUMMYFUNCTION("""COMPUTED_VALUE"""),"konfirmasi ke orang rumah")</f>
        <v>konfirmasi ke orang rumah</v>
      </c>
      <c r="L26" s="85"/>
      <c r="M26" s="85"/>
      <c r="N26" s="85"/>
      <c r="O26" s="85"/>
      <c r="P26" s="85" t="str">
        <f>IFERROR(__xludf.DUMMYFUNCTION("""COMPUTED_VALUE"""),"52BSPA02772JTGKR")</f>
        <v>52BSPA02772JTGKR</v>
      </c>
      <c r="Q26" s="85" t="str">
        <f>IFERROR(__xludf.DUMMYFUNCTION("""COMPUTED_VALUE"""),"CAHAYA MITRA ABADI")</f>
        <v>CAHAYA MITRA ABADI</v>
      </c>
      <c r="R26" s="85" t="str">
        <f>IFERROR(__xludf.DUMMYFUNCTION("""COMPUTED_VALUE"""),"CAHAYA MITRA ABADI")</f>
        <v>CAHAYA MITRA ABADI</v>
      </c>
      <c r="S26" s="85" t="str">
        <f>IFERROR(__xludf.DUMMYFUNCTION("""COMPUTED_VALUE"""),"Saifurokhman")</f>
        <v>Saifurokhman</v>
      </c>
      <c r="T26" s="85" t="str">
        <f>IFERROR(__xludf.DUMMYFUNCTION("""COMPUTED_VALUE"""),"Kedungbanteng Rt 02 Rw 03 Kec. Kedungbanteng Kab. Banyumas Jateng 53152")</f>
        <v>Kedungbanteng Rt 02 Rw 03 Kec. Kedungbanteng Kab. Banyumas Jateng 53152</v>
      </c>
      <c r="U26" s="85" t="str">
        <f>IFERROR(__xludf.DUMMYFUNCTION("""COMPUTED_VALUE"""),"KEDUNGBANTENG RT 02 RW 03 KEC. KEDUNGBANTENG KAB. BANYUMAS Jateng 53152")</f>
        <v>KEDUNGBANTENG RT 02 RW 03 KEC. KEDUNGBANTENG KAB. BANYUMAS Jateng 53152</v>
      </c>
      <c r="V26" s="85" t="str">
        <f>IFERROR(__xludf.DUMMYFUNCTION("""COMPUTED_VALUE"""),"002/003")</f>
        <v>002/003</v>
      </c>
      <c r="W26" s="85" t="str">
        <f>IFERROR(__xludf.DUMMYFUNCTION("""COMPUTED_VALUE"""),"Kedung Banteng")</f>
        <v>Kedung Banteng</v>
      </c>
      <c r="X26" s="85" t="str">
        <f>IFERROR(__xludf.DUMMYFUNCTION("""COMPUTED_VALUE"""),"Kedungbanteng")</f>
        <v>Kedungbanteng</v>
      </c>
      <c r="Y26" s="85" t="str">
        <f>IFERROR(__xludf.DUMMYFUNCTION("""COMPUTED_VALUE"""),"Banyumas")</f>
        <v>Banyumas</v>
      </c>
      <c r="Z26" s="85" t="str">
        <f>IFERROR(__xludf.DUMMYFUNCTION("""COMPUTED_VALUE"""),"JAWA TENGAH")</f>
        <v>JAWA TENGAH</v>
      </c>
      <c r="AA26" s="85" t="str">
        <f>IFERROR(__xludf.DUMMYFUNCTION("""COMPUTED_VALUE"""),"53152")</f>
        <v>53152</v>
      </c>
      <c r="AB26" s="85" t="str">
        <f>IFERROR(__xludf.DUMMYFUNCTION("""COMPUTED_VALUE"""),"3302230101770002")</f>
        <v>3302230101770002</v>
      </c>
      <c r="AC26" s="85" t="str">
        <f>IFERROR(__xludf.DUMMYFUNCTION("""COMPUTED_VALUE"""),"  812.872.331.521.000 ")</f>
        <v>  812.872.331.521.000 </v>
      </c>
      <c r="AD26" s="85" t="str">
        <f>IFERROR(__xludf.DUMMYFUNCTION("""COMPUTED_VALUE"""),"CUM - KRS")</f>
        <v>CUM - KRS</v>
      </c>
      <c r="AE26" s="85" t="str">
        <f>IFERROR(__xludf.DUMMYFUNCTION("""COMPUTED_VALUE"""),"SUB KARSINI")</f>
        <v>SUB KARSINI</v>
      </c>
      <c r="AF26" s="85" t="str">
        <f>IFERROR(__xludf.DUMMYFUNCTION("""COMPUTED_VALUE"""),"085101691380")</f>
        <v>085101691380</v>
      </c>
      <c r="AG26" s="85" t="str">
        <f>IFERROR(__xludf.DUMMYFUNCTION("""COMPUTED_VALUE"""),"085101691380")</f>
        <v>085101691380</v>
      </c>
      <c r="AH26" s="85" t="str">
        <f>IFERROR(__xludf.DUMMYFUNCTION("""COMPUTED_VALUE"""),"saifurokhmanlodia@gmail.com")</f>
        <v>saifurokhmanlodia@gmail.com</v>
      </c>
      <c r="AI26" s="85" t="str">
        <f>IFERROR(__xludf.DUMMYFUNCTION("""COMPUTED_VALUE"""),"53152S2")</f>
        <v>53152S2</v>
      </c>
      <c r="AJ26" s="85" t="str">
        <f>IFERROR(__xludf.DUMMYFUNCTION("""COMPUTED_VALUE"""),"6210e916b5f9414e0c49de34")</f>
        <v>6210e916b5f9414e0c49de34</v>
      </c>
      <c r="AK26" s="85" t="str">
        <f>IFERROR(__xludf.DUMMYFUNCTION("""COMPUTED_VALUE"""),"dm53152s2")</f>
        <v>dm53152s2</v>
      </c>
      <c r="AL26" s="85" t="str">
        <f>IFERROR(__xludf.DUMMYFUNCTION("""COMPUTED_VALUE"""),"password")</f>
        <v>password</v>
      </c>
      <c r="AM26" s="85" t="str">
        <f>IFERROR(__xludf.DUMMYFUNCTION("""COMPUTED_VALUE"""),"KANTOR REGIONAL IV SEMARANG 50004")</f>
        <v>KANTOR REGIONAL IV SEMARANG 50004</v>
      </c>
      <c r="AN26" s="85" t="str">
        <f>IFERROR(__xludf.DUMMYFUNCTION("""COMPUTED_VALUE"""),"KPRK BANYUMAS 53100")</f>
        <v>KPRK BANYUMAS 53100</v>
      </c>
      <c r="AO26" s="85" t="str">
        <f>IFERROR(__xludf.DUMMYFUNCTION("""COMPUTED_VALUE"""),"0208220057363")</f>
        <v>0208220057363</v>
      </c>
      <c r="AP26" s="85" t="str">
        <f>IFERROR(__xludf.DUMMYFUNCTION("""COMPUTED_VALUE"""),"02082200573630001")</f>
        <v>02082200573630001</v>
      </c>
      <c r="AQ26" s="93"/>
      <c r="AR26" s="85"/>
      <c r="AS26" s="85"/>
      <c r="AT26" s="85" t="str">
        <f>IFERROR(__xludf.DUMMYFUNCTION("""COMPUTED_VALUE"""),"-73,550,612.00")</f>
        <v>-73,550,612.00</v>
      </c>
      <c r="AU26" s="85" t="str">
        <f>IFERROR(__xludf.DUMMYFUNCTION("""COMPUTED_VALUE"""),"1,092,332,203")</f>
        <v>1,092,332,203</v>
      </c>
      <c r="AV26" s="85" t="str">
        <f>IFERROR(__xludf.DUMMYFUNCTION("""COMPUTED_VALUE"""),"ADA")</f>
        <v>ADA</v>
      </c>
      <c r="AW26" s="85" t="str">
        <f>IFERROR(__xludf.DUMMYFUNCTION("""COMPUTED_VALUE"""),"ADA")</f>
        <v>ADA</v>
      </c>
      <c r="AX26" s="85"/>
      <c r="AY26" s="85"/>
      <c r="AZ26" s="85"/>
      <c r="BA26" s="85" t="str">
        <f>IFERROR(__xludf.DUMMYFUNCTION("""COMPUTED_VALUE"""),"ADA")</f>
        <v>ADA</v>
      </c>
      <c r="BB26" s="85" t="str">
        <f>IFERROR(__xludf.DUMMYFUNCTION("""COMPUTED_VALUE"""),"ADA")</f>
        <v>ADA</v>
      </c>
      <c r="BC26" s="85" t="str">
        <f>IFERROR(__xludf.DUMMYFUNCTION("""COMPUTED_VALUE"""),"ADA")</f>
        <v>ADA</v>
      </c>
      <c r="BD26" s="85" t="str">
        <f>IFERROR(__xludf.DUMMYFUNCTION("""COMPUTED_VALUE"""),"ADA")</f>
        <v>ADA</v>
      </c>
      <c r="BE26" s="85" t="str">
        <f>IFERROR(__xludf.DUMMYFUNCTION("""COMPUTED_VALUE"""),"ADA")</f>
        <v>ADA</v>
      </c>
      <c r="BF26" s="85" t="str">
        <f>IFERROR(__xludf.DUMMYFUNCTION("""COMPUTED_VALUE"""),"ADA")</f>
        <v>ADA</v>
      </c>
      <c r="BG26" s="85" t="str">
        <f>IFERROR(__xludf.DUMMYFUNCTION("""COMPUTED_VALUE"""),"ADA")</f>
        <v>ADA</v>
      </c>
      <c r="BH26" s="85" t="str">
        <f>IFERROR(__xludf.DUMMYFUNCTION("""COMPUTED_VALUE"""),"TIDAK ADA")</f>
        <v>TIDAK ADA</v>
      </c>
      <c r="BI26" s="85" t="str">
        <f>IFERROR(__xludf.DUMMYFUNCTION("""COMPUTED_VALUE"""),"TIDAK ADA")</f>
        <v>TIDAK ADA</v>
      </c>
      <c r="BJ26" s="85" t="str">
        <f>IFERROR(__xludf.DUMMYFUNCTION("""COMPUTED_VALUE"""),"TIDAK ADA")</f>
        <v>TIDAK ADA</v>
      </c>
      <c r="BK26" s="85" t="str">
        <f>IFERROR(__xludf.DUMMYFUNCTION("""COMPUTED_VALUE"""),"TIDAK ADA")</f>
        <v>TIDAK ADA</v>
      </c>
      <c r="BL26" s="85" t="str">
        <f>IFERROR(__xludf.DUMMYFUNCTION("""COMPUTED_VALUE"""),"PLAFON")</f>
        <v>PLAFON</v>
      </c>
      <c r="BM26" s="85"/>
      <c r="BN26" s="85"/>
      <c r="BO26" s="85"/>
      <c r="BP26" s="85"/>
      <c r="BQ26" s="85"/>
      <c r="BR26" s="85"/>
      <c r="BS26" s="85"/>
      <c r="BT26" s="85"/>
      <c r="BU26" s="85"/>
      <c r="BV26" s="85" t="str">
        <f>IFERROR(__xludf.DUMMYFUNCTION("""COMPUTED_VALUE"""),"Kedungbanteng Rt 02 Rw 03 Kec. Kedungbanteng Kab. Banyumas Jateng 53152")</f>
        <v>Kedungbanteng Rt 02 Rw 03 Kec. Kedungbanteng Kab. Banyumas Jateng 53152</v>
      </c>
      <c r="BW26" s="85"/>
      <c r="BX26" s="85"/>
      <c r="BY26" s="85"/>
      <c r="BZ26" s="85"/>
      <c r="CA26" s="85"/>
      <c r="CB26" s="85"/>
      <c r="CC26" s="85"/>
      <c r="CD26" s="85"/>
      <c r="CE26" s="85"/>
      <c r="CF26" s="85"/>
      <c r="CG26" s="85"/>
      <c r="CH26" s="85"/>
      <c r="CI26" s="85"/>
      <c r="CJ26" s="85"/>
      <c r="CK26" s="2"/>
    </row>
    <row r="27" ht="12.75" customHeight="1">
      <c r="A27" s="80">
        <f>IFERROR(__xludf.DUMMYFUNCTION("""COMPUTED_VALUE"""),24.0)</f>
        <v>24</v>
      </c>
      <c r="B27" s="80" t="str">
        <f>IFERROR(__xludf.DUMMYFUNCTION("""COMPUTED_VALUE"""),"21 Januari 2022")</f>
        <v>21 Januari 2022</v>
      </c>
      <c r="C27" s="80" t="str">
        <f>IFERROR(__xludf.DUMMYFUNCTION("""COMPUTED_VALUE"""),"21 Januari 2022")</f>
        <v>21 Januari 2022</v>
      </c>
      <c r="D27" s="81"/>
      <c r="E27" s="82"/>
      <c r="F27" s="80" t="str">
        <f>IFERROR(__xludf.DUMMYFUNCTION("""COMPUTED_VALUE"""),"11 AGUSTUS 2022")</f>
        <v>11 AGUSTUS 2022</v>
      </c>
      <c r="G27" s="81">
        <f>IFERROR(__xludf.DUMMYFUNCTION("""COMPUTED_VALUE"""),44784.0)</f>
        <v>44784</v>
      </c>
      <c r="H27" s="80"/>
      <c r="I27" s="80"/>
      <c r="J27" s="80" t="str">
        <f>IFERROR(__xludf.DUMMYFUNCTION("""COMPUTED_VALUE"""),"23/08/2022")</f>
        <v>23/08/2022</v>
      </c>
      <c r="K27" s="80"/>
      <c r="L27" s="80"/>
      <c r="M27" s="80"/>
      <c r="N27" s="80"/>
      <c r="O27" s="80"/>
      <c r="P27" s="80" t="str">
        <f>IFERROR(__xludf.DUMMYFUNCTION("""COMPUTED_VALUE"""),"52BSPA12760JTYNA")</f>
        <v>52BSPA12760JTYNA</v>
      </c>
      <c r="Q27" s="80" t="str">
        <f>IFERROR(__xludf.DUMMYFUNCTION("""COMPUTED_VALUE"""),"mbak anis")</f>
        <v>mbak anis</v>
      </c>
      <c r="R27" s="80" t="str">
        <f>IFERROR(__xludf.DUMMYFUNCTION("""COMPUTED_VALUE"""),"MBAK ANIS")</f>
        <v>MBAK ANIS</v>
      </c>
      <c r="S27" s="80" t="str">
        <f>IFERROR(__xludf.DUMMYFUNCTION("""COMPUTED_VALUE"""),"Anis Purwandari")</f>
        <v>Anis Purwandari</v>
      </c>
      <c r="T27" s="80" t="str">
        <f>IFERROR(__xludf.DUMMYFUNCTION("""COMPUTED_VALUE"""),"Krajan Rt01 Rw06 Kel. Laban Kec. Mojolaban 57554")</f>
        <v>Krajan Rt01 Rw06 Kel. Laban Kec. Mojolaban 57554</v>
      </c>
      <c r="U27" s="80" t="str">
        <f>IFERROR(__xludf.DUMMYFUNCTION("""COMPUTED_VALUE"""),"KRAJAN RT01 RW06 KEL. LABAN KEC. MOJOLABAN 57554")</f>
        <v>KRAJAN RT01 RW06 KEL. LABAN KEC. MOJOLABAN 57554</v>
      </c>
      <c r="V27" s="80" t="str">
        <f>IFERROR(__xludf.DUMMYFUNCTION("""COMPUTED_VALUE"""),"001/006")</f>
        <v>001/006</v>
      </c>
      <c r="W27" s="80" t="str">
        <f>IFERROR(__xludf.DUMMYFUNCTION("""COMPUTED_VALUE"""),"KEL.LABAN")</f>
        <v>KEL.LABAN</v>
      </c>
      <c r="X27" s="80" t="str">
        <f>IFERROR(__xludf.DUMMYFUNCTION("""COMPUTED_VALUE"""),"KEC.MOJOLABAN")</f>
        <v>KEC.MOJOLABAN</v>
      </c>
      <c r="Y27" s="80" t="str">
        <f>IFERROR(__xludf.DUMMYFUNCTION("""COMPUTED_VALUE"""),"Sukoharjo ")</f>
        <v>Sukoharjo </v>
      </c>
      <c r="Z27" s="80" t="str">
        <f>IFERROR(__xludf.DUMMYFUNCTION("""COMPUTED_VALUE"""),"JAWA TENGAH")</f>
        <v>JAWA TENGAH</v>
      </c>
      <c r="AA27" s="80" t="str">
        <f>IFERROR(__xludf.DUMMYFUNCTION("""COMPUTED_VALUE"""),"57554")</f>
        <v>57554</v>
      </c>
      <c r="AB27" s="80" t="str">
        <f>IFERROR(__xludf.DUMMYFUNCTION("""COMPUTED_VALUE"""),"3311085011860001")</f>
        <v>3311085011860001</v>
      </c>
      <c r="AC27" s="80" t="str">
        <f>IFERROR(__xludf.DUMMYFUNCTION("""COMPUTED_VALUE"""),"905202214532000")</f>
        <v>905202214532000</v>
      </c>
      <c r="AD27" s="80" t="str">
        <f>IFERROR(__xludf.DUMMYFUNCTION("""COMPUTED_VALUE"""),"CUM - YNA")</f>
        <v>CUM - YNA</v>
      </c>
      <c r="AE27" s="80" t="str">
        <f>IFERROR(__xludf.DUMMYFUNCTION("""COMPUTED_VALUE"""),"SUB YOHANNITA")</f>
        <v>SUB YOHANNITA</v>
      </c>
      <c r="AF27" s="80" t="str">
        <f>IFERROR(__xludf.DUMMYFUNCTION("""COMPUTED_VALUE"""),"085725405211")</f>
        <v>085725405211</v>
      </c>
      <c r="AG27" s="80" t="str">
        <f>IFERROR(__xludf.DUMMYFUNCTION("""COMPUTED_VALUE"""),"085725405211")</f>
        <v>085725405211</v>
      </c>
      <c r="AH27" s="80" t="str">
        <f>IFERROR(__xludf.DUMMYFUNCTION("""COMPUTED_VALUE"""),"dedenanto@gmail.com")</f>
        <v>dedenanto@gmail.com</v>
      </c>
      <c r="AI27" s="80" t="str">
        <f>IFERROR(__xludf.DUMMYFUNCTION("""COMPUTED_VALUE"""),"57554S2")</f>
        <v>57554S2</v>
      </c>
      <c r="AJ27" s="80" t="str">
        <f>IFERROR(__xludf.DUMMYFUNCTION("""COMPUTED_VALUE"""),"621f707891da9966b21ce361")</f>
        <v>621f707891da9966b21ce361</v>
      </c>
      <c r="AK27" s="80" t="str">
        <f>IFERROR(__xludf.DUMMYFUNCTION("""COMPUTED_VALUE"""),"dm57554s2")</f>
        <v>dm57554s2</v>
      </c>
      <c r="AL27" s="80" t="str">
        <f>IFERROR(__xludf.DUMMYFUNCTION("""COMPUTED_VALUE"""),"password")</f>
        <v>password</v>
      </c>
      <c r="AM27" s="80" t="str">
        <f>IFERROR(__xludf.DUMMYFUNCTION("""COMPUTED_VALUE"""),"KANTOR REGIONAL IV SEMARANG 50004")</f>
        <v>KANTOR REGIONAL IV SEMARANG 50004</v>
      </c>
      <c r="AN27" s="80" t="str">
        <f>IFERROR(__xludf.DUMMYFUNCTION("""COMPUTED_VALUE"""),"KPRK SOLO 57100")</f>
        <v>KPRK SOLO 57100</v>
      </c>
      <c r="AO27" s="80" t="str">
        <f>IFERROR(__xludf.DUMMYFUNCTION("""COMPUTED_VALUE"""),"1215000660323")</f>
        <v>1215000660323</v>
      </c>
      <c r="AP27" s="80" t="str">
        <f>IFERROR(__xludf.DUMMYFUNCTION("""COMPUTED_VALUE"""),"12150006603230001")</f>
        <v>12150006603230001</v>
      </c>
      <c r="AQ27" s="83"/>
      <c r="AR27" s="80"/>
      <c r="AS27" s="80"/>
      <c r="AT27" s="80" t="str">
        <f>IFERROR(__xludf.DUMMYFUNCTION("""COMPUTED_VALUE"""),"-75,997,702")</f>
        <v>-75,997,702</v>
      </c>
      <c r="AU27" s="80" t="str">
        <f>IFERROR(__xludf.DUMMYFUNCTION("""COMPUTED_VALUE"""),"1,108,361,854")</f>
        <v>1,108,361,854</v>
      </c>
      <c r="AV27" s="80" t="str">
        <f>IFERROR(__xludf.DUMMYFUNCTION("""COMPUTED_VALUE"""),"ADA")</f>
        <v>ADA</v>
      </c>
      <c r="AW27" s="80" t="str">
        <f>IFERROR(__xludf.DUMMYFUNCTION("""COMPUTED_VALUE"""),"ADA")</f>
        <v>ADA</v>
      </c>
      <c r="AX27" s="80"/>
      <c r="AY27" s="80"/>
      <c r="AZ27" s="80"/>
      <c r="BA27" s="80" t="str">
        <f>IFERROR(__xludf.DUMMYFUNCTION("""COMPUTED_VALUE"""),"ADA")</f>
        <v>ADA</v>
      </c>
      <c r="BB27" s="80" t="str">
        <f>IFERROR(__xludf.DUMMYFUNCTION("""COMPUTED_VALUE"""),"ADA")</f>
        <v>ADA</v>
      </c>
      <c r="BC27" s="80" t="str">
        <f>IFERROR(__xludf.DUMMYFUNCTION("""COMPUTED_VALUE"""),"ADA")</f>
        <v>ADA</v>
      </c>
      <c r="BD27" s="80" t="str">
        <f>IFERROR(__xludf.DUMMYFUNCTION("""COMPUTED_VALUE"""),"ADA")</f>
        <v>ADA</v>
      </c>
      <c r="BE27" s="80" t="str">
        <f>IFERROR(__xludf.DUMMYFUNCTION("""COMPUTED_VALUE"""),"ADA")</f>
        <v>ADA</v>
      </c>
      <c r="BF27" s="80" t="str">
        <f>IFERROR(__xludf.DUMMYFUNCTION("""COMPUTED_VALUE"""),"ADA")</f>
        <v>ADA</v>
      </c>
      <c r="BG27" s="80" t="str">
        <f>IFERROR(__xludf.DUMMYFUNCTION("""COMPUTED_VALUE"""),"ADA")</f>
        <v>ADA</v>
      </c>
      <c r="BH27" s="80" t="str">
        <f>IFERROR(__xludf.DUMMYFUNCTION("""COMPUTED_VALUE"""),"EPSONL120")</f>
        <v>EPSONL120</v>
      </c>
      <c r="BI27" s="80" t="str">
        <f>IFERROR(__xludf.DUMMYFUNCTION("""COMPUTED_VALUE"""),"ADA")</f>
        <v>ADA</v>
      </c>
      <c r="BJ27" s="80" t="str">
        <f>IFERROR(__xludf.DUMMYFUNCTION("""COMPUTED_VALUE"""),"KERTAS HVS")</f>
        <v>KERTAS HVS</v>
      </c>
      <c r="BK27" s="80" t="str">
        <f>IFERROR(__xludf.DUMMYFUNCTION("""COMPUTED_VALUE"""),"TIDAK ADA")</f>
        <v>TIDAK ADA</v>
      </c>
      <c r="BL27" s="80" t="str">
        <f>IFERROR(__xludf.DUMMYFUNCTION("""COMPUTED_VALUE"""),"PLAFON")</f>
        <v>PLAFON</v>
      </c>
      <c r="BM27" s="80"/>
      <c r="BN27" s="80" t="str">
        <f>IFERROR(__xludf.DUMMYFUNCTION("""COMPUTED_VALUE"""),"Krajan, Laban, Mojolaban Kab Sukoharjo Jawa Tengah")</f>
        <v>Krajan, Laban, Mojolaban Kab Sukoharjo Jawa Tengah</v>
      </c>
      <c r="BO27" s="80" t="str">
        <f>IFERROR(__xludf.DUMMYFUNCTION("""COMPUTED_VALUE"""),"3311071406860005")</f>
        <v>3311071406860005</v>
      </c>
      <c r="BP27" s="80" t="str">
        <f>IFERROR(__xludf.DUMMYFUNCTION("""COMPUTED_VALUE"""),"14-06-1986")</f>
        <v>14-06-1986</v>
      </c>
      <c r="BQ27" s="80" t="str">
        <f>IFERROR(__xludf.DUMMYFUNCTION("""COMPUTED_VALUE"""),"90.520.221.4-532.000")</f>
        <v>90.520.221.4-532.000</v>
      </c>
      <c r="BR27" s="80" t="str">
        <f>IFERROR(__xludf.DUMMYFUNCTION("""COMPUTED_VALUE"""),"085725405211")</f>
        <v>085725405211</v>
      </c>
      <c r="BS27" s="80" t="str">
        <f>IFERROR(__xludf.DUMMYFUNCTION("""COMPUTED_VALUE"""),"dedenanto@gmail.com")</f>
        <v>dedenanto@gmail.com</v>
      </c>
      <c r="BT27" s="80" t="str">
        <f>IFERROR(__xludf.DUMMYFUNCTION("""COMPUTED_VALUE"""),"SUAMI PEMILIK SEBELUMNYA")</f>
        <v>SUAMI PEMILIK SEBELUMNYA</v>
      </c>
      <c r="BU27" s="80"/>
      <c r="BV27" s="80" t="str">
        <f>IFERROR(__xludf.DUMMYFUNCTION("""COMPUTED_VALUE"""),"Krajan Rt01 Rw06 Kel. Laban Kec. Mojolaban 57554")</f>
        <v>Krajan Rt01 Rw06 Kel. Laban Kec. Mojolaban 57554</v>
      </c>
      <c r="BW27" s="80"/>
      <c r="BX27" s="80"/>
      <c r="BY27" s="80"/>
      <c r="BZ27" s="80"/>
      <c r="CA27" s="80"/>
      <c r="CB27" s="80"/>
      <c r="CC27" s="80"/>
      <c r="CD27" s="80"/>
      <c r="CE27" s="80"/>
      <c r="CF27" s="80"/>
      <c r="CG27" s="80"/>
      <c r="CH27" s="80"/>
      <c r="CI27" s="80"/>
      <c r="CJ27" s="80"/>
      <c r="CK27" s="2"/>
    </row>
    <row r="28" ht="12.75" customHeight="1">
      <c r="A28" s="85">
        <f>IFERROR(__xludf.DUMMYFUNCTION("""COMPUTED_VALUE"""),25.0)</f>
        <v>25</v>
      </c>
      <c r="B28" s="85" t="str">
        <f>IFERROR(__xludf.DUMMYFUNCTION("""COMPUTED_VALUE"""),"03 februari 2022")</f>
        <v>03 februari 2022</v>
      </c>
      <c r="C28" s="85" t="str">
        <f>IFERROR(__xludf.DUMMYFUNCTION("""COMPUTED_VALUE"""),"03 februari 2022")</f>
        <v>03 februari 2022</v>
      </c>
      <c r="D28" s="86"/>
      <c r="E28" s="88"/>
      <c r="F28" s="85"/>
      <c r="G28" s="86"/>
      <c r="H28" s="85"/>
      <c r="I28" s="85"/>
      <c r="J28" s="85"/>
      <c r="K28" s="85" t="str">
        <f>IFERROR(__xludf.DUMMYFUNCTION("""COMPUTED_VALUE"""),"lost contact dengan Pak Asep Rosad")</f>
        <v>lost contact dengan Pak Asep Rosad</v>
      </c>
      <c r="L28" s="85"/>
      <c r="M28" s="85"/>
      <c r="N28" s="85"/>
      <c r="O28" s="85"/>
      <c r="P28" s="85" t="str">
        <f>IFERROR(__xludf.DUMMYFUNCTION("""COMPUTED_VALUE"""),"53BSPA06421JBASR")</f>
        <v>53BSPA06421JBASR</v>
      </c>
      <c r="Q28" s="85" t="str">
        <f>IFERROR(__xludf.DUMMYFUNCTION("""COMPUTED_VALUE"""),"AZKA ")</f>
        <v>AZKA </v>
      </c>
      <c r="R28" s="85" t="str">
        <f>IFERROR(__xludf.DUMMYFUNCTION("""COMPUTED_VALUE"""),"AZKA")</f>
        <v>AZKA</v>
      </c>
      <c r="S28" s="85" t="str">
        <f>IFERROR(__xludf.DUMMYFUNCTION("""COMPUTED_VALUE"""),"DUDUN JUNAEDI")</f>
        <v>DUDUN JUNAEDI</v>
      </c>
      <c r="T28" s="85" t="str">
        <f>IFERROR(__xludf.DUMMYFUNCTION("""COMPUTED_VALUE"""),"KP. LEGOK KOPO RT02 RW03 KEL. PADALUYU KEC. TANGGEUNG KAB. CIANJUR")</f>
        <v>KP. LEGOK KOPO RT02 RW03 KEL. PADALUYU KEC. TANGGEUNG KAB. CIANJUR</v>
      </c>
      <c r="U28" s="85" t="str">
        <f>IFERROR(__xludf.DUMMYFUNCTION("""COMPUTED_VALUE"""),"KP.PADAMAMUR RT 002 RW 005")</f>
        <v>KP.PADAMAMUR RT 002 RW 005</v>
      </c>
      <c r="V28" s="85" t="str">
        <f>IFERROR(__xludf.DUMMYFUNCTION("""COMPUTED_VALUE"""),"002/003")</f>
        <v>002/003</v>
      </c>
      <c r="W28" s="85" t="str">
        <f>IFERROR(__xludf.DUMMYFUNCTION("""COMPUTED_VALUE"""),"KEL.PADALUYUNG")</f>
        <v>KEL.PADALUYUNG</v>
      </c>
      <c r="X28" s="85" t="str">
        <f>IFERROR(__xludf.DUMMYFUNCTION("""COMPUTED_VALUE"""),"KEC.TANGGEUNG")</f>
        <v>KEC.TANGGEUNG</v>
      </c>
      <c r="Y28" s="85" t="str">
        <f>IFERROR(__xludf.DUMMYFUNCTION("""COMPUTED_VALUE"""),"KAB.CIANJUR")</f>
        <v>KAB.CIANJUR</v>
      </c>
      <c r="Z28" s="85" t="str">
        <f>IFERROR(__xludf.DUMMYFUNCTION("""COMPUTED_VALUE"""),"JAWA BARAT")</f>
        <v>JAWA BARAT</v>
      </c>
      <c r="AA28" s="85" t="str">
        <f>IFERROR(__xludf.DUMMYFUNCTION("""COMPUTED_VALUE"""),"45114")</f>
        <v>45114</v>
      </c>
      <c r="AB28" s="85" t="str">
        <f>IFERROR(__xludf.DUMMYFUNCTION("""COMPUTED_VALUE"""),"3203190211730000")</f>
        <v>3203190211730000</v>
      </c>
      <c r="AC28" s="85" t="str">
        <f>IFERROR(__xludf.DUMMYFUNCTION("""COMPUTED_VALUE"""),"25.115.883.8-412.000")</f>
        <v>25.115.883.8-412.000</v>
      </c>
      <c r="AD28" s="85"/>
      <c r="AE28" s="85" t="str">
        <f>IFERROR(__xludf.DUMMYFUNCTION("""COMPUTED_VALUE"""),"ASEP ROSAD")</f>
        <v>ASEP ROSAD</v>
      </c>
      <c r="AF28" s="85" t="str">
        <f>IFERROR(__xludf.DUMMYFUNCTION("""COMPUTED_VALUE"""),"0812-2223-7639")</f>
        <v>0812-2223-7639</v>
      </c>
      <c r="AG28" s="85" t="str">
        <f>IFERROR(__xludf.DUMMYFUNCTION("""COMPUTED_VALUE"""),"0812-2223-7639")</f>
        <v>0812-2223-7639</v>
      </c>
      <c r="AH28" s="85"/>
      <c r="AI28" s="85" t="str">
        <f>IFERROR(__xludf.DUMMYFUNCTION("""COMPUTED_VALUE"""),"43267S2")</f>
        <v>43267S2</v>
      </c>
      <c r="AJ28" s="85" t="str">
        <f>IFERROR(__xludf.DUMMYFUNCTION("""COMPUTED_VALUE"""),"620f4d8a5c7ae464300d1516")</f>
        <v>620f4d8a5c7ae464300d1516</v>
      </c>
      <c r="AK28" s="85" t="str">
        <f>IFERROR(__xludf.DUMMYFUNCTION("""COMPUTED_VALUE"""),"dm43267s2")</f>
        <v>dm43267s2</v>
      </c>
      <c r="AL28" s="85" t="str">
        <f>IFERROR(__xludf.DUMMYFUNCTION("""COMPUTED_VALUE"""),"password")</f>
        <v>password</v>
      </c>
      <c r="AM28" s="85"/>
      <c r="AN28" s="85" t="str">
        <f>IFERROR(__xludf.DUMMYFUNCTION("""COMPUTED_VALUE"""),"KPRK CIANJUR 43200")</f>
        <v>KPRK CIANJUR 43200</v>
      </c>
      <c r="AO28" s="85"/>
      <c r="AP28" s="85"/>
      <c r="AQ28" s="93"/>
      <c r="AR28" s="85"/>
      <c r="AS28" s="85"/>
      <c r="AT28" s="85" t="str">
        <f>IFERROR(__xludf.DUMMYFUNCTION("""COMPUTED_VALUE"""),"-7,235,686")</f>
        <v>-7,235,686</v>
      </c>
      <c r="AU28" s="85" t="str">
        <f>IFERROR(__xludf.DUMMYFUNCTION("""COMPUTED_VALUE"""),"1,071,324,969")</f>
        <v>1,071,324,969</v>
      </c>
      <c r="AV28" s="85" t="str">
        <f>IFERROR(__xludf.DUMMYFUNCTION("""COMPUTED_VALUE"""),"ADA")</f>
        <v>ADA</v>
      </c>
      <c r="AW28" s="85" t="str">
        <f>IFERROR(__xludf.DUMMYFUNCTION("""COMPUTED_VALUE"""),"ADA")</f>
        <v>ADA</v>
      </c>
      <c r="AX28" s="85"/>
      <c r="AY28" s="85"/>
      <c r="AZ28" s="85"/>
      <c r="BA28" s="85" t="str">
        <f>IFERROR(__xludf.DUMMYFUNCTION("""COMPUTED_VALUE"""),"ADA")</f>
        <v>ADA</v>
      </c>
      <c r="BB28" s="85" t="str">
        <f>IFERROR(__xludf.DUMMYFUNCTION("""COMPUTED_VALUE"""),"ADA")</f>
        <v>ADA</v>
      </c>
      <c r="BC28" s="85"/>
      <c r="BD28" s="85"/>
      <c r="BE28" s="85" t="str">
        <f>IFERROR(__xludf.DUMMYFUNCTION("""COMPUTED_VALUE"""),"ADA")</f>
        <v>ADA</v>
      </c>
      <c r="BF28" s="85" t="str">
        <f>IFERROR(__xludf.DUMMYFUNCTION("""COMPUTED_VALUE"""),"ADA")</f>
        <v>ADA</v>
      </c>
      <c r="BG28" s="85" t="str">
        <f>IFERROR(__xludf.DUMMYFUNCTION("""COMPUTED_VALUE"""),"ADA")</f>
        <v>ADA</v>
      </c>
      <c r="BH28" s="85"/>
      <c r="BI28" s="85" t="str">
        <f>IFERROR(__xludf.DUMMYFUNCTION("""COMPUTED_VALUE"""),"TIDAK ADA")</f>
        <v>TIDAK ADA</v>
      </c>
      <c r="BJ28" s="85" t="str">
        <f>IFERROR(__xludf.DUMMYFUNCTION("""COMPUTED_VALUE"""),"TIDAK ADA")</f>
        <v>TIDAK ADA</v>
      </c>
      <c r="BK28" s="85" t="str">
        <f>IFERROR(__xludf.DUMMYFUNCTION("""COMPUTED_VALUE"""),"TIDAK ADA")</f>
        <v>TIDAK ADA</v>
      </c>
      <c r="BL28" s="85" t="str">
        <f>IFERROR(__xludf.DUMMYFUNCTION("""COMPUTED_VALUE"""),"PLAFON")</f>
        <v>PLAFON</v>
      </c>
      <c r="BM28" s="85"/>
      <c r="BN28" s="85"/>
      <c r="BO28" s="85"/>
      <c r="BP28" s="85"/>
      <c r="BQ28" s="85"/>
      <c r="BR28" s="85"/>
      <c r="BS28" s="85"/>
      <c r="BT28" s="85"/>
      <c r="BU28" s="85"/>
      <c r="BV28" s="85"/>
      <c r="BW28" s="85"/>
      <c r="BX28" s="85"/>
      <c r="BY28" s="85"/>
      <c r="BZ28" s="85"/>
      <c r="CA28" s="85"/>
      <c r="CB28" s="85"/>
      <c r="CC28" s="85"/>
      <c r="CD28" s="85"/>
      <c r="CE28" s="85"/>
      <c r="CF28" s="85"/>
      <c r="CG28" s="85"/>
      <c r="CH28" s="85"/>
      <c r="CI28" s="85"/>
      <c r="CJ28" s="85"/>
      <c r="CK28" s="2"/>
    </row>
    <row r="29" ht="12.75" customHeight="1">
      <c r="A29" s="80">
        <f>IFERROR(__xludf.DUMMYFUNCTION("""COMPUTED_VALUE"""),26.0)</f>
        <v>26</v>
      </c>
      <c r="B29" s="80" t="str">
        <f>IFERROR(__xludf.DUMMYFUNCTION("""COMPUTED_VALUE"""),"07 FEBRUARI 2022")</f>
        <v>07 FEBRUARI 2022</v>
      </c>
      <c r="C29" s="80" t="str">
        <f>IFERROR(__xludf.DUMMYFUNCTION("""COMPUTED_VALUE"""),"07 FEBRUARI 2022")</f>
        <v>07 FEBRUARI 2022</v>
      </c>
      <c r="D29" s="81"/>
      <c r="E29" s="82"/>
      <c r="F29" s="80" t="str">
        <f>IFERROR(__xludf.DUMMYFUNCTION("""COMPUTED_VALUE"""),"22 AGUSTUS 2022")</f>
        <v>22 AGUSTUS 2022</v>
      </c>
      <c r="G29" s="81">
        <f>IFERROR(__xludf.DUMMYFUNCTION("""COMPUTED_VALUE"""),44795.0)</f>
        <v>44795</v>
      </c>
      <c r="H29" s="80"/>
      <c r="I29" s="80" t="str">
        <f>IFERROR(__xludf.DUMMYFUNCTION("""COMPUTED_VALUE"""),"30-08-2022")</f>
        <v>30-08-2022</v>
      </c>
      <c r="J29" s="80" t="str">
        <f>IFERROR(__xludf.DUMMYFUNCTION("""COMPUTED_VALUE"""),"30/08/22")</f>
        <v>30/08/22</v>
      </c>
      <c r="K29" s="80"/>
      <c r="L29" s="80"/>
      <c r="M29" s="80"/>
      <c r="N29" s="80"/>
      <c r="O29" s="80"/>
      <c r="P29" s="80" t="str">
        <f>IFERROR(__xludf.DUMMYFUNCTION("""COMPUTED_VALUE"""),"52BSPA22139JTWWK")</f>
        <v>52BSPA22139JTWWK</v>
      </c>
      <c r="Q29" s="80" t="str">
        <f>IFERROR(__xludf.DUMMYFUNCTION("""COMPUTED_VALUE""")," Loket Ars cell")</f>
        <v> Loket Ars cell</v>
      </c>
      <c r="R29" s="80" t="str">
        <f>IFERROR(__xludf.DUMMYFUNCTION("""COMPUTED_VALUE"""),"ARS CELL")</f>
        <v>ARS CELL</v>
      </c>
      <c r="S29" s="80" t="str">
        <f>IFERROR(__xludf.DUMMYFUNCTION("""COMPUTED_VALUE"""),"Aris Handono")</f>
        <v>Aris Handono</v>
      </c>
      <c r="T29" s="80" t="str">
        <f>IFERROR(__xludf.DUMMYFUNCTION("""COMPUTED_VALUE"""),"Jl. Sunan Ampel 7 Rt04 Rw01 Kel. Jurangombo Selatan, Kec. Magelang Selatan")</f>
        <v>Jl. Sunan Ampel 7 Rt04 Rw01 Kel. Jurangombo Selatan, Kec. Magelang Selatan</v>
      </c>
      <c r="U29" s="80" t="str">
        <f>IFERROR(__xludf.DUMMYFUNCTION("""COMPUTED_VALUE"""),"Terminal Tidar Magelang Jl. Bypass Sukarno-Hatta Kios C8B")</f>
        <v>Terminal Tidar Magelang Jl. Bypass Sukarno-Hatta Kios C8B</v>
      </c>
      <c r="V29" s="80" t="str">
        <f>IFERROR(__xludf.DUMMYFUNCTION("""COMPUTED_VALUE"""),"004/001")</f>
        <v>004/001</v>
      </c>
      <c r="W29" s="80" t="str">
        <f>IFERROR(__xludf.DUMMYFUNCTION("""COMPUTED_VALUE"""),"KEL.JURANG GOMBO")</f>
        <v>KEL.JURANG GOMBO</v>
      </c>
      <c r="X29" s="80" t="str">
        <f>IFERROR(__xludf.DUMMYFUNCTION("""COMPUTED_VALUE"""),"KEC.MAGELANG SELATAN")</f>
        <v>KEC.MAGELANG SELATAN</v>
      </c>
      <c r="Y29" s="80" t="str">
        <f>IFERROR(__xludf.DUMMYFUNCTION("""COMPUTED_VALUE"""),"MAGELANG")</f>
        <v>MAGELANG</v>
      </c>
      <c r="Z29" s="80" t="str">
        <f>IFERROR(__xludf.DUMMYFUNCTION("""COMPUTED_VALUE"""),"JAWA TENGAH")</f>
        <v>JAWA TENGAH</v>
      </c>
      <c r="AA29" s="80" t="str">
        <f>IFERROR(__xludf.DUMMYFUNCTION("""COMPUTED_VALUE"""),"56125")</f>
        <v>56125</v>
      </c>
      <c r="AB29" s="80" t="str">
        <f>IFERROR(__xludf.DUMMYFUNCTION("""COMPUTED_VALUE"""),"3371012301840000")</f>
        <v>3371012301840000</v>
      </c>
      <c r="AC29" s="80" t="str">
        <f>IFERROR(__xludf.DUMMYFUNCTION("""COMPUTED_VALUE"""),"235398336406000")</f>
        <v>235398336406000</v>
      </c>
      <c r="AD29" s="80" t="str">
        <f>IFERROR(__xludf.DUMMYFUNCTION("""COMPUTED_VALUE"""),"CUM - WWK")</f>
        <v>CUM - WWK</v>
      </c>
      <c r="AE29" s="80" t="str">
        <f>IFERROR(__xludf.DUMMYFUNCTION("""COMPUTED_VALUE"""),"SUB WIWIK")</f>
        <v>SUB WIWIK</v>
      </c>
      <c r="AF29" s="80" t="str">
        <f>IFERROR(__xludf.DUMMYFUNCTION("""COMPUTED_VALUE"""),"081578984456")</f>
        <v>081578984456</v>
      </c>
      <c r="AG29" s="80" t="str">
        <f>IFERROR(__xludf.DUMMYFUNCTION("""COMPUTED_VALUE"""),"081578984456")</f>
        <v>081578984456</v>
      </c>
      <c r="AH29" s="80" t="str">
        <f>IFERROR(__xludf.DUMMYFUNCTION("""COMPUTED_VALUE"""),"arishandono10@gmail.com")</f>
        <v>arishandono10@gmail.com</v>
      </c>
      <c r="AI29" s="80" t="str">
        <f>IFERROR(__xludf.DUMMYFUNCTION("""COMPUTED_VALUE"""),"56123S1")</f>
        <v>56123S1</v>
      </c>
      <c r="AJ29" s="80" t="str">
        <f>IFERROR(__xludf.DUMMYFUNCTION("""COMPUTED_VALUE"""),"6210e16522b1e94bb414ff7b")</f>
        <v>6210e16522b1e94bb414ff7b</v>
      </c>
      <c r="AK29" s="80" t="str">
        <f>IFERROR(__xludf.DUMMYFUNCTION("""COMPUTED_VALUE"""),"dm56123s1")</f>
        <v>dm56123s1</v>
      </c>
      <c r="AL29" s="80" t="str">
        <f>IFERROR(__xludf.DUMMYFUNCTION("""COMPUTED_VALUE"""),"password")</f>
        <v>password</v>
      </c>
      <c r="AM29" s="80" t="str">
        <f>IFERROR(__xludf.DUMMYFUNCTION("""COMPUTED_VALUE"""),"KANTOR REGIONAL IV SEMARANG 50004")</f>
        <v>KANTOR REGIONAL IV SEMARANG 50004</v>
      </c>
      <c r="AN29" s="80" t="str">
        <f>IFERROR(__xludf.DUMMYFUNCTION("""COMPUTED_VALUE"""),"KPRK MAGELANG 56100")</f>
        <v>KPRK MAGELANG 56100</v>
      </c>
      <c r="AO29" s="80" t="str">
        <f>IFERROR(__xludf.DUMMYFUNCTION("""COMPUTED_VALUE"""),"0308220015049")</f>
        <v>0308220015049</v>
      </c>
      <c r="AP29" s="80" t="str">
        <f>IFERROR(__xludf.DUMMYFUNCTION("""COMPUTED_VALUE"""),"03082200150490001")</f>
        <v>03082200150490001</v>
      </c>
      <c r="AQ29" s="83"/>
      <c r="AR29" s="80"/>
      <c r="AS29" s="80"/>
      <c r="AT29" s="80" t="str">
        <f>IFERROR(__xludf.DUMMYFUNCTION("""COMPUTED_VALUE"""),"-74,912,659")</f>
        <v>-74,912,659</v>
      </c>
      <c r="AU29" s="80" t="str">
        <f>IFERROR(__xludf.DUMMYFUNCTION("""COMPUTED_VALUE"""),"110,232,517")</f>
        <v>110,232,517</v>
      </c>
      <c r="AV29" s="80" t="str">
        <f>IFERROR(__xludf.DUMMYFUNCTION("""COMPUTED_VALUE"""),"ADA")</f>
        <v>ADA</v>
      </c>
      <c r="AW29" s="80" t="str">
        <f>IFERROR(__xludf.DUMMYFUNCTION("""COMPUTED_VALUE"""),"ADA")</f>
        <v>ADA</v>
      </c>
      <c r="AX29" s="80"/>
      <c r="AY29" s="80"/>
      <c r="AZ29" s="80"/>
      <c r="BA29" s="80" t="str">
        <f>IFERROR(__xludf.DUMMYFUNCTION("""COMPUTED_VALUE"""),"ADA")</f>
        <v>ADA</v>
      </c>
      <c r="BB29" s="80" t="str">
        <f>IFERROR(__xludf.DUMMYFUNCTION("""COMPUTED_VALUE"""),"ADA")</f>
        <v>ADA</v>
      </c>
      <c r="BC29" s="80" t="str">
        <f>IFERROR(__xludf.DUMMYFUNCTION("""COMPUTED_VALUE"""),"ADA")</f>
        <v>ADA</v>
      </c>
      <c r="BD29" s="80" t="str">
        <f>IFERROR(__xludf.DUMMYFUNCTION("""COMPUTED_VALUE"""),"ADA")</f>
        <v>ADA</v>
      </c>
      <c r="BE29" s="80" t="str">
        <f>IFERROR(__xludf.DUMMYFUNCTION("""COMPUTED_VALUE"""),"ADA")</f>
        <v>ADA</v>
      </c>
      <c r="BF29" s="80" t="str">
        <f>IFERROR(__xludf.DUMMYFUNCTION("""COMPUTED_VALUE"""),"ADA")</f>
        <v>ADA</v>
      </c>
      <c r="BG29" s="80" t="str">
        <f>IFERROR(__xludf.DUMMYFUNCTION("""COMPUTED_VALUE"""),"ADA")</f>
        <v>ADA</v>
      </c>
      <c r="BH29" s="80" t="str">
        <f>IFERROR(__xludf.DUMMYFUNCTION("""COMPUTED_VALUE"""),"CANON MP287")</f>
        <v>CANON MP287</v>
      </c>
      <c r="BI29" s="80" t="str">
        <f>IFERROR(__xludf.DUMMYFUNCTION("""COMPUTED_VALUE"""),"ADA")</f>
        <v>ADA</v>
      </c>
      <c r="BJ29" s="80" t="str">
        <f>IFERROR(__xludf.DUMMYFUNCTION("""COMPUTED_VALUE"""),"KERTAS HVS")</f>
        <v>KERTAS HVS</v>
      </c>
      <c r="BK29" s="80" t="str">
        <f>IFERROR(__xludf.DUMMYFUNCTION("""COMPUTED_VALUE"""),"ADA")</f>
        <v>ADA</v>
      </c>
      <c r="BL29" s="80" t="str">
        <f>IFERROR(__xludf.DUMMYFUNCTION("""COMPUTED_VALUE"""),"PLAFON")</f>
        <v>PLAFON</v>
      </c>
      <c r="BM29" s="80"/>
      <c r="BN29" s="80"/>
      <c r="BO29" s="80"/>
      <c r="BP29" s="80"/>
      <c r="BQ29" s="80"/>
      <c r="BR29" s="80"/>
      <c r="BS29" s="80"/>
      <c r="BT29" s="80"/>
      <c r="BU29" s="80"/>
      <c r="BV29" s="80" t="str">
        <f>IFERROR(__xludf.DUMMYFUNCTION("""COMPUTED_VALUE"""),"Jl. Sunan Ampel 7 Rt04 Rw01 Kel. Jurangombo Selatan, Kec. Magelang Selatan")</f>
        <v>Jl. Sunan Ampel 7 Rt04 Rw01 Kel. Jurangombo Selatan, Kec. Magelang Selatan</v>
      </c>
      <c r="BW29" s="80"/>
      <c r="BX29" s="80"/>
      <c r="BY29" s="80"/>
      <c r="BZ29" s="80"/>
      <c r="CA29" s="80"/>
      <c r="CB29" s="80"/>
      <c r="CC29" s="80"/>
      <c r="CD29" s="80"/>
      <c r="CE29" s="80"/>
      <c r="CF29" s="80"/>
      <c r="CG29" s="80"/>
      <c r="CH29" s="80"/>
      <c r="CI29" s="80"/>
      <c r="CJ29" s="80"/>
      <c r="CK29" s="2"/>
    </row>
    <row r="30" ht="12.75" customHeight="1">
      <c r="A30" s="85">
        <f>IFERROR(__xludf.DUMMYFUNCTION("""COMPUTED_VALUE"""),27.0)</f>
        <v>27</v>
      </c>
      <c r="B30" s="85" t="str">
        <f>IFERROR(__xludf.DUMMYFUNCTION("""COMPUTED_VALUE"""),"04 FEBRUARI 2022")</f>
        <v>04 FEBRUARI 2022</v>
      </c>
      <c r="C30" s="85" t="str">
        <f>IFERROR(__xludf.DUMMYFUNCTION("""COMPUTED_VALUE"""),"04 FEBRUARI 2022")</f>
        <v>04 FEBRUARI 2022</v>
      </c>
      <c r="D30" s="86"/>
      <c r="E30" s="88"/>
      <c r="F30" s="85"/>
      <c r="G30" s="86"/>
      <c r="H30" s="85"/>
      <c r="I30" s="85"/>
      <c r="J30" s="85"/>
      <c r="K30" s="85" t="str">
        <f>IFERROR(__xludf.DUMMYFUNCTION("""COMPUTED_VALUE"""),"PERANGKAT BELUM LENGKAP")</f>
        <v>PERANGKAT BELUM LENGKAP</v>
      </c>
      <c r="L30" s="85"/>
      <c r="M30" s="85"/>
      <c r="N30" s="85"/>
      <c r="O30" s="85"/>
      <c r="P30" s="85" t="str">
        <f>IFERROR(__xludf.DUMMYFUNCTION("""COMPUTED_VALUE"""),"52BSPA12183JTGWK")</f>
        <v>52BSPA12183JTGWK</v>
      </c>
      <c r="Q30" s="85" t="str">
        <f>IFERROR(__xludf.DUMMYFUNCTION("""COMPUTED_VALUE"""),"Loket BAGAS")</f>
        <v>Loket BAGAS</v>
      </c>
      <c r="R30" s="85" t="str">
        <f>IFERROR(__xludf.DUMMYFUNCTION("""COMPUTED_VALUE"""),"BAGAS")</f>
        <v>BAGAS</v>
      </c>
      <c r="S30" s="85" t="str">
        <f>IFERROR(__xludf.DUMMYFUNCTION("""COMPUTED_VALUE"""),"Musrifah")</f>
        <v>Musrifah</v>
      </c>
      <c r="T30" s="85" t="str">
        <f>IFERROR(__xludf.DUMMYFUNCTION("""COMPUTED_VALUE"""),"Dusun Krajan, Rt01 Rw01")</f>
        <v>Dusun Krajan, Rt01 Rw01</v>
      </c>
      <c r="U30" s="85" t="str">
        <f>IFERROR(__xludf.DUMMYFUNCTION("""COMPUTED_VALUE"""),"DUSUN KRAJAN, RT01 RW01")</f>
        <v>DUSUN KRAJAN, RT01 RW01</v>
      </c>
      <c r="V30" s="85" t="str">
        <f>IFERROR(__xludf.DUMMYFUNCTION("""COMPUTED_VALUE"""),"001/001")</f>
        <v>001/001</v>
      </c>
      <c r="W30" s="85" t="str">
        <f>IFERROR(__xludf.DUMMYFUNCTION("""COMPUTED_VALUE"""),"PAGERGUNUNG")</f>
        <v>PAGERGUNUNG</v>
      </c>
      <c r="X30" s="85" t="str">
        <f>IFERROR(__xludf.DUMMYFUNCTION("""COMPUTED_VALUE"""),"NGABLAK")</f>
        <v>NGABLAK</v>
      </c>
      <c r="Y30" s="85" t="str">
        <f>IFERROR(__xludf.DUMMYFUNCTION("""COMPUTED_VALUE"""),"MAGELANG")</f>
        <v>MAGELANG</v>
      </c>
      <c r="Z30" s="85" t="str">
        <f>IFERROR(__xludf.DUMMYFUNCTION("""COMPUTED_VALUE"""),"JAWA TENGAH")</f>
        <v>JAWA TENGAH</v>
      </c>
      <c r="AA30" s="85" t="str">
        <f>IFERROR(__xludf.DUMMYFUNCTION("""COMPUTED_VALUE"""),"56194")</f>
        <v>56194</v>
      </c>
      <c r="AB30" s="85" t="str">
        <f>IFERROR(__xludf.DUMMYFUNCTION("""COMPUTED_VALUE"""),"3308175805720000")</f>
        <v>3308175805720000</v>
      </c>
      <c r="AC30" s="85"/>
      <c r="AD30" s="85" t="str">
        <f>IFERROR(__xludf.DUMMYFUNCTION("""COMPUTED_VALUE"""),"CUM - WWK")</f>
        <v>CUM - WWK</v>
      </c>
      <c r="AE30" s="85" t="str">
        <f>IFERROR(__xludf.DUMMYFUNCTION("""COMPUTED_VALUE"""),"SUB WIWIK")</f>
        <v>SUB WIWIK</v>
      </c>
      <c r="AF30" s="85" t="str">
        <f>IFERROR(__xludf.DUMMYFUNCTION("""COMPUTED_VALUE"""),"08974296593")</f>
        <v>08974296593</v>
      </c>
      <c r="AG30" s="85" t="str">
        <f>IFERROR(__xludf.DUMMYFUNCTION("""COMPUTED_VALUE"""),"08974296593")</f>
        <v>08974296593</v>
      </c>
      <c r="AH30" s="85" t="str">
        <f>IFERROR(__xludf.DUMMYFUNCTION("""COMPUTED_VALUE"""),"musrifahpurnomo@gmail.com")</f>
        <v>musrifahpurnomo@gmail.com</v>
      </c>
      <c r="AI30" s="85" t="str">
        <f>IFERROR(__xludf.DUMMYFUNCTION("""COMPUTED_VALUE"""),"56594S2")</f>
        <v>56594S2</v>
      </c>
      <c r="AJ30" s="85" t="str">
        <f>IFERROR(__xludf.DUMMYFUNCTION("""COMPUTED_VALUE"""),"6210e09a260ff128f539f214")</f>
        <v>6210e09a260ff128f539f214</v>
      </c>
      <c r="AK30" s="85" t="str">
        <f>IFERROR(__xludf.DUMMYFUNCTION("""COMPUTED_VALUE"""),"dm56594s2")</f>
        <v>dm56594s2</v>
      </c>
      <c r="AL30" s="85" t="str">
        <f>IFERROR(__xludf.DUMMYFUNCTION("""COMPUTED_VALUE"""),"password")</f>
        <v>password</v>
      </c>
      <c r="AM30" s="85" t="str">
        <f>IFERROR(__xludf.DUMMYFUNCTION("""COMPUTED_VALUE"""),"KANTOR REGIONAL IV SEMARANG 50004")</f>
        <v>KANTOR REGIONAL IV SEMARANG 50004</v>
      </c>
      <c r="AN30" s="85" t="str">
        <f>IFERROR(__xludf.DUMMYFUNCTION("""COMPUTED_VALUE"""),"KPRK MAGELANG 56100")</f>
        <v>KPRK MAGELANG 56100</v>
      </c>
      <c r="AO30" s="85" t="str">
        <f>IFERROR(__xludf.DUMMYFUNCTION("""COMPUTED_VALUE"""),"0408220017809")</f>
        <v>0408220017809</v>
      </c>
      <c r="AP30" s="85" t="str">
        <f>IFERROR(__xludf.DUMMYFUNCTION("""COMPUTED_VALUE"""),"04082200178090001")</f>
        <v>04082200178090001</v>
      </c>
      <c r="AQ30" s="93"/>
      <c r="AR30" s="85"/>
      <c r="AS30" s="85"/>
      <c r="AT30" s="85" t="str">
        <f>IFERROR(__xludf.DUMMYFUNCTION("""COMPUTED_VALUE"""),"-73,666,794")</f>
        <v>-73,666,794</v>
      </c>
      <c r="AU30" s="85" t="str">
        <f>IFERROR(__xludf.DUMMYFUNCTION("""COMPUTED_VALUE"""),"1,103,706,733")</f>
        <v>1,103,706,733</v>
      </c>
      <c r="AV30" s="85" t="str">
        <f>IFERROR(__xludf.DUMMYFUNCTION("""COMPUTED_VALUE"""),"ADA")</f>
        <v>ADA</v>
      </c>
      <c r="AW30" s="85" t="str">
        <f>IFERROR(__xludf.DUMMYFUNCTION("""COMPUTED_VALUE"""),"ADA")</f>
        <v>ADA</v>
      </c>
      <c r="AX30" s="85"/>
      <c r="AY30" s="85"/>
      <c r="AZ30" s="85"/>
      <c r="BA30" s="85" t="str">
        <f>IFERROR(__xludf.DUMMYFUNCTION("""COMPUTED_VALUE"""),"ADA")</f>
        <v>ADA</v>
      </c>
      <c r="BB30" s="85" t="str">
        <f>IFERROR(__xludf.DUMMYFUNCTION("""COMPUTED_VALUE"""),"ADA")</f>
        <v>ADA</v>
      </c>
      <c r="BC30" s="85" t="str">
        <f>IFERROR(__xludf.DUMMYFUNCTION("""COMPUTED_VALUE"""),"ADA")</f>
        <v>ADA</v>
      </c>
      <c r="BD30" s="85" t="str">
        <f>IFERROR(__xludf.DUMMYFUNCTION("""COMPUTED_VALUE"""),"ADA")</f>
        <v>ADA</v>
      </c>
      <c r="BE30" s="85" t="str">
        <f>IFERROR(__xludf.DUMMYFUNCTION("""COMPUTED_VALUE"""),"ADA")</f>
        <v>ADA</v>
      </c>
      <c r="BF30" s="85"/>
      <c r="BG30" s="85"/>
      <c r="BH30" s="85"/>
      <c r="BI30" s="85"/>
      <c r="BJ30" s="85"/>
      <c r="BK30" s="85"/>
      <c r="BL30" s="85" t="str">
        <f>IFERROR(__xludf.DUMMYFUNCTION("""COMPUTED_VALUE"""),"PLAFON")</f>
        <v>PLAFON</v>
      </c>
      <c r="BM30" s="85"/>
      <c r="BN30" s="85" t="str">
        <f>IFERROR(__xludf.DUMMYFUNCTION("""COMPUTED_VALUE"""),"dsn.krajan,kel.pagergunung kec.ngablak kab.magelang")</f>
        <v>dsn.krajan,kel.pagergunung kec.ngablak kab.magelang</v>
      </c>
      <c r="BO30" s="85" t="str">
        <f>IFERROR(__xludf.DUMMYFUNCTION("""COMPUTED_VALUE"""),"3308172104700002")</f>
        <v>3308172104700002</v>
      </c>
      <c r="BP30" s="85" t="str">
        <f>IFERROR(__xludf.DUMMYFUNCTION("""COMPUTED_VALUE"""),"21-04-1970")</f>
        <v>21-04-1970</v>
      </c>
      <c r="BQ30" s="85" t="str">
        <f>IFERROR(__xludf.DUMMYFUNCTION("""COMPUTED_VALUE"""),"44.987.633.3-524000")</f>
        <v>44.987.633.3-524000</v>
      </c>
      <c r="BR30" s="85" t="str">
        <f>IFERROR(__xludf.DUMMYFUNCTION("""COMPUTED_VALUE"""),"081391019605")</f>
        <v>081391019605</v>
      </c>
      <c r="BS30" s="85" t="str">
        <f>IFERROR(__xludf.DUMMYFUNCTION("""COMPUTED_VALUE"""),"musrifahpurnomo@gmail.com")</f>
        <v>musrifahpurnomo@gmail.com</v>
      </c>
      <c r="BT30" s="85" t="str">
        <f>IFERROR(__xludf.DUMMYFUNCTION("""COMPUTED_VALUE"""),"SUAMI PEMILIK SEBELUMNYA")</f>
        <v>SUAMI PEMILIK SEBELUMNYA</v>
      </c>
      <c r="BU30" s="85"/>
      <c r="BV30" s="85" t="str">
        <f>IFERROR(__xludf.DUMMYFUNCTION("""COMPUTED_VALUE"""),"Dusun Krajan, Rt01 Rw01")</f>
        <v>Dusun Krajan, Rt01 Rw01</v>
      </c>
      <c r="BW30" s="85"/>
      <c r="BX30" s="85"/>
      <c r="BY30" s="85"/>
      <c r="BZ30" s="85"/>
      <c r="CA30" s="85"/>
      <c r="CB30" s="85"/>
      <c r="CC30" s="85"/>
      <c r="CD30" s="85"/>
      <c r="CE30" s="85"/>
      <c r="CF30" s="85"/>
      <c r="CG30" s="85"/>
      <c r="CH30" s="85"/>
      <c r="CI30" s="85"/>
      <c r="CJ30" s="85"/>
      <c r="CK30" s="2"/>
    </row>
    <row r="31" ht="12.75" customHeight="1">
      <c r="A31" s="80">
        <f>IFERROR(__xludf.DUMMYFUNCTION("""COMPUTED_VALUE"""),28.0)</f>
        <v>28</v>
      </c>
      <c r="B31" s="80" t="str">
        <f>IFERROR(__xludf.DUMMYFUNCTION("""COMPUTED_VALUE"""),"15 MARET 2022")</f>
        <v>15 MARET 2022</v>
      </c>
      <c r="C31" s="80" t="str">
        <f>IFERROR(__xludf.DUMMYFUNCTION("""COMPUTED_VALUE"""),"15 MARET 2022")</f>
        <v>15 MARET 2022</v>
      </c>
      <c r="D31" s="81"/>
      <c r="E31" s="82"/>
      <c r="F31" s="80"/>
      <c r="G31" s="81"/>
      <c r="H31" s="80"/>
      <c r="I31" s="80"/>
      <c r="J31" s="80"/>
      <c r="K31" s="80"/>
      <c r="L31" s="80"/>
      <c r="M31" s="80"/>
      <c r="N31" s="80"/>
      <c r="O31" s="80"/>
      <c r="P31" s="80" t="str">
        <f>IFERROR(__xludf.DUMMYFUNCTION("""COMPUTED_VALUE"""),"53BSPA28388JBCUM")</f>
        <v>53BSPA28388JBCUM</v>
      </c>
      <c r="Q31" s="80" t="str">
        <f>IFERROR(__xludf.DUMMYFUNCTION("""COMPUTED_VALUE"""),"ARTHA JATI")</f>
        <v>ARTHA JATI</v>
      </c>
      <c r="R31" s="80" t="str">
        <f>IFERROR(__xludf.DUMMYFUNCTION("""COMPUTED_VALUE"""),"ARTHAJATI")</f>
        <v>ARTHAJATI</v>
      </c>
      <c r="S31" s="80" t="str">
        <f>IFERROR(__xludf.DUMMYFUNCTION("""COMPUTED_VALUE"""),"Wirastomo Purbojati")</f>
        <v>Wirastomo Purbojati</v>
      </c>
      <c r="T31" s="80" t="str">
        <f>IFERROR(__xludf.DUMMYFUNCTION("""COMPUTED_VALUE"""),"Jl. Arcamanik No. 38B")</f>
        <v>Jl. Arcamanik No. 38B</v>
      </c>
      <c r="U31" s="80" t="str">
        <f>IFERROR(__xludf.DUMMYFUNCTION("""COMPUTED_VALUE"""),"JL.ARCAMANIK NO.38 B")</f>
        <v>JL.ARCAMANIK NO.38 B</v>
      </c>
      <c r="V31" s="80"/>
      <c r="W31" s="80" t="str">
        <f>IFERROR(__xludf.DUMMYFUNCTION("""COMPUTED_VALUE"""),"KEL.SINDANG JAYA")</f>
        <v>KEL.SINDANG JAYA</v>
      </c>
      <c r="X31" s="80" t="str">
        <f>IFERROR(__xludf.DUMMYFUNCTION("""COMPUTED_VALUE"""),"KEC.MANDALAJATI")</f>
        <v>KEC.MANDALAJATI</v>
      </c>
      <c r="Y31" s="80" t="str">
        <f>IFERROR(__xludf.DUMMYFUNCTION("""COMPUTED_VALUE"""),"KOTA BANDUNG")</f>
        <v>KOTA BANDUNG</v>
      </c>
      <c r="Z31" s="80" t="str">
        <f>IFERROR(__xludf.DUMMYFUNCTION("""COMPUTED_VALUE"""),"JAWA BARAT")</f>
        <v>JAWA BARAT</v>
      </c>
      <c r="AA31" s="80" t="str">
        <f>IFERROR(__xludf.DUMMYFUNCTION("""COMPUTED_VALUE"""),"40193")</f>
        <v>40193</v>
      </c>
      <c r="AB31" s="80"/>
      <c r="AC31" s="80" t="str">
        <f>IFERROR(__xludf.DUMMYFUNCTION("""COMPUTED_VALUE"""),"21.126.047.6-429.000")</f>
        <v>21.126.047.6-429.000</v>
      </c>
      <c r="AD31" s="80" t="str">
        <f>IFERROR(__xludf.DUMMYFUNCTION("""COMPUTED_VALUE"""),"CUM - BSB - JABAR")</f>
        <v>CUM - BSB - JABAR</v>
      </c>
      <c r="AE31" s="80" t="str">
        <f>IFERROR(__xludf.DUMMYFUNCTION("""COMPUTED_VALUE"""),"SUB CUM")</f>
        <v>SUB CUM</v>
      </c>
      <c r="AF31" s="80" t="str">
        <f>IFERROR(__xludf.DUMMYFUNCTION("""COMPUTED_VALUE"""),"022 87823955")</f>
        <v>022 87823955</v>
      </c>
      <c r="AG31" s="80" t="str">
        <f>IFERROR(__xludf.DUMMYFUNCTION("""COMPUTED_VALUE"""),"022 87823955")</f>
        <v>022 87823955</v>
      </c>
      <c r="AH31" s="80"/>
      <c r="AI31" s="80" t="str">
        <f>IFERROR(__xludf.DUMMYFUNCTION("""COMPUTED_VALUE"""),"40193S1")</f>
        <v>40193S1</v>
      </c>
      <c r="AJ31" s="80" t="str">
        <f>IFERROR(__xludf.DUMMYFUNCTION("""COMPUTED_VALUE"""),"6231b3e672780b5563153f76")</f>
        <v>6231b3e672780b5563153f76</v>
      </c>
      <c r="AK31" s="80" t="str">
        <f>IFERROR(__xludf.DUMMYFUNCTION("""COMPUTED_VALUE"""),"dm40193s1")</f>
        <v>dm40193s1</v>
      </c>
      <c r="AL31" s="80" t="str">
        <f>IFERROR(__xludf.DUMMYFUNCTION("""COMPUTED_VALUE"""),"password")</f>
        <v>password</v>
      </c>
      <c r="AM31" s="80" t="str">
        <f>IFERROR(__xludf.DUMMYFUNCTION("""COMPUTED_VALUE"""),"KANTOR REGIONAL III BANDUNG 40004")</f>
        <v>KANTOR REGIONAL III BANDUNG 40004</v>
      </c>
      <c r="AN31" s="80" t="str">
        <f>IFERROR(__xludf.DUMMYFUNCTION("""COMPUTED_VALUE"""),"SPP BANDUNG 40400")</f>
        <v>SPP BANDUNG 40400</v>
      </c>
      <c r="AO31" s="80" t="str">
        <f>IFERROR(__xludf.DUMMYFUNCTION("""COMPUTED_VALUE"""),"2607220054308")</f>
        <v>2607220054308</v>
      </c>
      <c r="AP31" s="80" t="str">
        <f>IFERROR(__xludf.DUMMYFUNCTION("""COMPUTED_VALUE"""),"53202 ( AKTIFITAS AGEN KURIR )")</f>
        <v>53202 ( AKTIFITAS AGEN KURIR )</v>
      </c>
      <c r="AQ31" s="83"/>
      <c r="AR31" s="80"/>
      <c r="AS31" s="80"/>
      <c r="AT31" s="80" t="str">
        <f>IFERROR(__xludf.DUMMYFUNCTION("""COMPUTED_VALUE"""),"-69,025,424")</f>
        <v>-69,025,424</v>
      </c>
      <c r="AU31" s="80" t="str">
        <f>IFERROR(__xludf.DUMMYFUNCTION("""COMPUTED_VALUE"""),"1,076,804,359")</f>
        <v>1,076,804,359</v>
      </c>
      <c r="AV31" s="80" t="str">
        <f>IFERROR(__xludf.DUMMYFUNCTION("""COMPUTED_VALUE"""),"BELUM ADA")</f>
        <v>BELUM ADA</v>
      </c>
      <c r="AW31" s="80" t="str">
        <f>IFERROR(__xludf.DUMMYFUNCTION("""COMPUTED_VALUE"""),"ADA")</f>
        <v>ADA</v>
      </c>
      <c r="AX31" s="80"/>
      <c r="AY31" s="80"/>
      <c r="AZ31" s="80"/>
      <c r="BA31" s="80" t="str">
        <f>IFERROR(__xludf.DUMMYFUNCTION("""COMPUTED_VALUE"""),"ADA")</f>
        <v>ADA</v>
      </c>
      <c r="BB31" s="80" t="str">
        <f>IFERROR(__xludf.DUMMYFUNCTION("""COMPUTED_VALUE"""),"ADA")</f>
        <v>ADA</v>
      </c>
      <c r="BC31" s="80" t="str">
        <f>IFERROR(__xludf.DUMMYFUNCTION("""COMPUTED_VALUE"""),"ADA")</f>
        <v>ADA</v>
      </c>
      <c r="BD31" s="80" t="str">
        <f>IFERROR(__xludf.DUMMYFUNCTION("""COMPUTED_VALUE"""),"ADA")</f>
        <v>ADA</v>
      </c>
      <c r="BE31" s="80" t="str">
        <f>IFERROR(__xludf.DUMMYFUNCTION("""COMPUTED_VALUE"""),"ADA")</f>
        <v>ADA</v>
      </c>
      <c r="BF31" s="80" t="str">
        <f>IFERROR(__xludf.DUMMYFUNCTION("""COMPUTED_VALUE"""),"ADA")</f>
        <v>ADA</v>
      </c>
      <c r="BG31" s="80" t="str">
        <f>IFERROR(__xludf.DUMMYFUNCTION("""COMPUTED_VALUE"""),"ADA")</f>
        <v>ADA</v>
      </c>
      <c r="BH31" s="80" t="str">
        <f>IFERROR(__xludf.DUMMYFUNCTION("""COMPUTED_VALUE"""),"LP-9200B")</f>
        <v>LP-9200B</v>
      </c>
      <c r="BI31" s="80" t="str">
        <f>IFERROR(__xludf.DUMMYFUNCTION("""COMPUTED_VALUE"""),"ADA")</f>
        <v>ADA</v>
      </c>
      <c r="BJ31" s="80" t="str">
        <f>IFERROR(__xludf.DUMMYFUNCTION("""COMPUTED_VALUE"""),"ADA")</f>
        <v>ADA</v>
      </c>
      <c r="BK31" s="80" t="str">
        <f>IFERROR(__xludf.DUMMYFUNCTION("""COMPUTED_VALUE"""),"ADA")</f>
        <v>ADA</v>
      </c>
      <c r="BL31" s="80" t="str">
        <f>IFERROR(__xludf.DUMMYFUNCTION("""COMPUTED_VALUE"""),"PLAFON")</f>
        <v>PLAFON</v>
      </c>
      <c r="BM31" s="80"/>
      <c r="BN31" s="80"/>
      <c r="BO31" s="80"/>
      <c r="BP31" s="80"/>
      <c r="BQ31" s="80"/>
      <c r="BR31" s="80"/>
      <c r="BS31" s="80"/>
      <c r="BT31" s="80"/>
      <c r="BU31" s="80"/>
      <c r="BV31" s="80" t="str">
        <f>IFERROR(__xludf.DUMMYFUNCTION("""COMPUTED_VALUE"""),"Jl. Arcamanik No. 38B")</f>
        <v>Jl. Arcamanik No. 38B</v>
      </c>
      <c r="BW31" s="80"/>
      <c r="BX31" s="80"/>
      <c r="BY31" s="80"/>
      <c r="BZ31" s="80"/>
      <c r="CA31" s="80"/>
      <c r="CB31" s="80"/>
      <c r="CC31" s="80"/>
      <c r="CD31" s="80"/>
      <c r="CE31" s="80"/>
      <c r="CF31" s="80"/>
      <c r="CG31" s="80"/>
      <c r="CH31" s="80"/>
      <c r="CI31" s="80"/>
      <c r="CJ31" s="80"/>
      <c r="CK31" s="2"/>
    </row>
    <row r="32" ht="12.75" customHeight="1">
      <c r="A32" s="85">
        <f>IFERROR(__xludf.DUMMYFUNCTION("""COMPUTED_VALUE"""),29.0)</f>
        <v>29</v>
      </c>
      <c r="B32" s="85" t="str">
        <f>IFERROR(__xludf.DUMMYFUNCTION("""COMPUTED_VALUE"""),"03 Agustus 2022")</f>
        <v>03 Agustus 2022</v>
      </c>
      <c r="C32" s="85" t="str">
        <f>IFERROR(__xludf.DUMMYFUNCTION("""COMPUTED_VALUE"""),"03 Agustus 2022")</f>
        <v>03 Agustus 2022</v>
      </c>
      <c r="D32" s="86"/>
      <c r="E32" s="88"/>
      <c r="F32" s="85" t="str">
        <f>IFERROR(__xludf.DUMMYFUNCTION("""COMPUTED_VALUE"""),"10 AGUSTUS 2022")</f>
        <v>10 AGUSTUS 2022</v>
      </c>
      <c r="G32" s="86">
        <f>IFERROR(__xludf.DUMMYFUNCTION("""COMPUTED_VALUE"""),44783.0)</f>
        <v>44783</v>
      </c>
      <c r="H32" s="85"/>
      <c r="I32" s="85"/>
      <c r="J32" s="85"/>
      <c r="K32" s="85"/>
      <c r="L32" s="85"/>
      <c r="M32" s="85"/>
      <c r="N32" s="85"/>
      <c r="O32" s="85"/>
      <c r="P32" s="85" t="str">
        <f>IFERROR(__xludf.DUMMYFUNCTION("""COMPUTED_VALUE"""),"53BSPA28155JBCUM")</f>
        <v>53BSPA28155JBCUM</v>
      </c>
      <c r="Q32" s="85" t="str">
        <f>IFERROR(__xludf.DUMMYFUNCTION("""COMPUTED_VALUE"""),"Loket Anyer")</f>
        <v>Loket Anyer</v>
      </c>
      <c r="R32" s="85" t="str">
        <f>IFERROR(__xludf.DUMMYFUNCTION("""COMPUTED_VALUE"""),"LOKET ANYER")</f>
        <v>LOKET ANYER</v>
      </c>
      <c r="S32" s="85" t="str">
        <f>IFERROR(__xludf.DUMMYFUNCTION("""COMPUTED_VALUE"""),"Baidillah Ma'Mun.St")</f>
        <v>Baidillah Ma'Mun.St</v>
      </c>
      <c r="T32" s="85" t="str">
        <f>IFERROR(__xludf.DUMMYFUNCTION("""COMPUTED_VALUE"""),"Kp Kamurang Masjid Rt 03 Rw 05 Desa Grogol Kec Anyer Kab Serang Banten")</f>
        <v>Kp Kamurang Masjid Rt 03 Rw 05 Desa Grogol Kec Anyer Kab Serang Banten</v>
      </c>
      <c r="U32" s="85" t="str">
        <f>IFERROR(__xludf.DUMMYFUNCTION("""COMPUTED_VALUE"""),"Jalan Raya Pasar Baru Anyer Kp Brahayu Kec Anyer Kab Serang Banten")</f>
        <v>Jalan Raya Pasar Baru Anyer Kp Brahayu Kec Anyer Kab Serang Banten</v>
      </c>
      <c r="V32" s="85" t="str">
        <f>IFERROR(__xludf.DUMMYFUNCTION("""COMPUTED_VALUE"""),"003/005")</f>
        <v>003/005</v>
      </c>
      <c r="W32" s="85" t="str">
        <f>IFERROR(__xludf.DUMMYFUNCTION("""COMPUTED_VALUE"""),"Anyer")</f>
        <v>Anyer</v>
      </c>
      <c r="X32" s="85" t="str">
        <f>IFERROR(__xludf.DUMMYFUNCTION("""COMPUTED_VALUE"""),"Anyer")</f>
        <v>Anyer</v>
      </c>
      <c r="Y32" s="85" t="str">
        <f>IFERROR(__xludf.DUMMYFUNCTION("""COMPUTED_VALUE"""),"Kab Serang")</f>
        <v>Kab Serang</v>
      </c>
      <c r="Z32" s="85" t="str">
        <f>IFERROR(__xludf.DUMMYFUNCTION("""COMPUTED_VALUE"""),"Banten")</f>
        <v>Banten</v>
      </c>
      <c r="AA32" s="85" t="str">
        <f>IFERROR(__xludf.DUMMYFUNCTION("""COMPUTED_VALUE"""),"42166")</f>
        <v>42166</v>
      </c>
      <c r="AB32" s="85" t="str">
        <f>IFERROR(__xludf.DUMMYFUNCTION("""COMPUTED_VALUE"""),"'3604302210780001")</f>
        <v>'3604302210780001</v>
      </c>
      <c r="AC32" s="85" t="str">
        <f>IFERROR(__xludf.DUMMYFUNCTION("""COMPUTED_VALUE"""),"46.242.667.7-401.000")</f>
        <v>46.242.667.7-401.000</v>
      </c>
      <c r="AD32" s="85" t="str">
        <f>IFERROR(__xludf.DUMMYFUNCTION("""COMPUTED_VALUE"""),"CUM - BAM")</f>
        <v>CUM - BAM</v>
      </c>
      <c r="AE32" s="85" t="str">
        <f>IFERROR(__xludf.DUMMYFUNCTION("""COMPUTED_VALUE"""),"SUB BAIDILAH")</f>
        <v>SUB BAIDILAH</v>
      </c>
      <c r="AF32" s="85" t="str">
        <f>IFERROR(__xludf.DUMMYFUNCTION("""COMPUTED_VALUE"""),"081287654113")</f>
        <v>081287654113</v>
      </c>
      <c r="AG32" s="85" t="str">
        <f>IFERROR(__xludf.DUMMYFUNCTION("""COMPUTED_VALUE"""),"081287654113")</f>
        <v>081287654113</v>
      </c>
      <c r="AH32" s="85" t="str">
        <f>IFERROR(__xludf.DUMMYFUNCTION("""COMPUTED_VALUE"""),"ppobonlinesyariah@gmail.com")</f>
        <v>ppobonlinesyariah@gmail.com</v>
      </c>
      <c r="AI32" s="85" t="str">
        <f>IFERROR(__xludf.DUMMYFUNCTION("""COMPUTED_VALUE"""),"42166S4")</f>
        <v>42166S4</v>
      </c>
      <c r="AJ32" s="85" t="str">
        <f>IFERROR(__xludf.DUMMYFUNCTION("""COMPUTED_VALUE"""),"62f38c4c0b3faa032166caa8")</f>
        <v>62f38c4c0b3faa032166caa8</v>
      </c>
      <c r="AK32" s="85" t="str">
        <f>IFERROR(__xludf.DUMMYFUNCTION("""COMPUTED_VALUE"""),"dm42166s4")</f>
        <v>dm42166s4</v>
      </c>
      <c r="AL32" s="85" t="str">
        <f>IFERROR(__xludf.DUMMYFUNCTION("""COMPUTED_VALUE"""),"password")</f>
        <v>password</v>
      </c>
      <c r="AM32" s="85" t="str">
        <f>IFERROR(__xludf.DUMMYFUNCTION("""COMPUTED_VALUE"""),"KANTOR REGIONAL II JAKARTA 10004")</f>
        <v>KANTOR REGIONAL II JAKARTA 10004</v>
      </c>
      <c r="AN32" s="85" t="str">
        <f>IFERROR(__xludf.DUMMYFUNCTION("""COMPUTED_VALUE"""),"KC CILEGON 42400")</f>
        <v>KC CILEGON 42400</v>
      </c>
      <c r="AO32" s="85" t="str">
        <f>IFERROR(__xludf.DUMMYFUNCTION("""COMPUTED_VALUE"""),"0308220027866")</f>
        <v>0308220027866</v>
      </c>
      <c r="AP32" s="85" t="str">
        <f>IFERROR(__xludf.DUMMYFUNCTION("""COMPUTED_VALUE"""),"53202 ( AKTIFITAS AGEN KURIR )")</f>
        <v>53202 ( AKTIFITAS AGEN KURIR )</v>
      </c>
      <c r="AQ32" s="93"/>
      <c r="AR32" s="85"/>
      <c r="AS32" s="85"/>
      <c r="AT32" s="85" t="str">
        <f>IFERROR(__xludf.DUMMYFUNCTION("""COMPUTED_VALUE"""),"-6.0536318")</f>
        <v>-6.0536318</v>
      </c>
      <c r="AU32" s="85" t="str">
        <f>IFERROR(__xludf.DUMMYFUNCTION("""COMPUTED_VALUE"""),"105.9243615")</f>
        <v>105.9243615</v>
      </c>
      <c r="AV32" s="85" t="str">
        <f>IFERROR(__xludf.DUMMYFUNCTION("""COMPUTED_VALUE"""),"ADA")</f>
        <v>ADA</v>
      </c>
      <c r="AW32" s="85" t="str">
        <f>IFERROR(__xludf.DUMMYFUNCTION("""COMPUTED_VALUE"""),"ADA")</f>
        <v>ADA</v>
      </c>
      <c r="AX32" s="85"/>
      <c r="AY32" s="85"/>
      <c r="AZ32" s="85"/>
      <c r="BA32" s="85" t="str">
        <f>IFERROR(__xludf.DUMMYFUNCTION("""COMPUTED_VALUE"""),"ADA")</f>
        <v>ADA</v>
      </c>
      <c r="BB32" s="85" t="str">
        <f>IFERROR(__xludf.DUMMYFUNCTION("""COMPUTED_VALUE"""),"ADA")</f>
        <v>ADA</v>
      </c>
      <c r="BC32" s="85" t="str">
        <f>IFERROR(__xludf.DUMMYFUNCTION("""COMPUTED_VALUE"""),"ADA")</f>
        <v>ADA</v>
      </c>
      <c r="BD32" s="85" t="str">
        <f>IFERROR(__xludf.DUMMYFUNCTION("""COMPUTED_VALUE"""),"ADA")</f>
        <v>ADA</v>
      </c>
      <c r="BE32" s="85" t="str">
        <f>IFERROR(__xludf.DUMMYFUNCTION("""COMPUTED_VALUE"""),"ADA")</f>
        <v>ADA</v>
      </c>
      <c r="BF32" s="85" t="str">
        <f>IFERROR(__xludf.DUMMYFUNCTION("""COMPUTED_VALUE"""),"ADA")</f>
        <v>ADA</v>
      </c>
      <c r="BG32" s="85" t="str">
        <f>IFERROR(__xludf.DUMMYFUNCTION("""COMPUTED_VALUE"""),"ADA")</f>
        <v>ADA</v>
      </c>
      <c r="BH32" s="85"/>
      <c r="BI32" s="85"/>
      <c r="BJ32" s="85"/>
      <c r="BK32" s="85"/>
      <c r="BL32" s="85" t="str">
        <f>IFERROR(__xludf.DUMMYFUNCTION("""COMPUTED_VALUE"""),"PLAFON")</f>
        <v>PLAFON</v>
      </c>
      <c r="BM32" s="85"/>
      <c r="BN32" s="85"/>
      <c r="BO32" s="85"/>
      <c r="BP32" s="85"/>
      <c r="BQ32" s="85"/>
      <c r="BR32" s="85"/>
      <c r="BS32" s="85"/>
      <c r="BT32" s="85"/>
      <c r="BU32" s="85"/>
      <c r="BV32" s="85" t="str">
        <f>IFERROR(__xludf.DUMMYFUNCTION("""COMPUTED_VALUE"""),"Kp Kamurang Masjid Rt 03 Rw 05 Desa Grogol Kec Anyer Kab Serang Banten")</f>
        <v>Kp Kamurang Masjid Rt 03 Rw 05 Desa Grogol Kec Anyer Kab Serang Banten</v>
      </c>
      <c r="BW32" s="85"/>
      <c r="BX32" s="85"/>
      <c r="BY32" s="85"/>
      <c r="BZ32" s="85"/>
      <c r="CA32" s="85"/>
      <c r="CB32" s="85"/>
      <c r="CC32" s="85"/>
      <c r="CD32" s="85"/>
      <c r="CE32" s="85"/>
      <c r="CF32" s="85"/>
      <c r="CG32" s="85"/>
      <c r="CH32" s="85"/>
      <c r="CI32" s="85"/>
      <c r="CJ32" s="85"/>
      <c r="CK32" s="2"/>
    </row>
    <row r="33" ht="12.75" customHeight="1">
      <c r="A33" s="80">
        <f>IFERROR(__xludf.DUMMYFUNCTION("""COMPUTED_VALUE"""),30.0)</f>
        <v>30</v>
      </c>
      <c r="B33" s="80" t="str">
        <f>IFERROR(__xludf.DUMMYFUNCTION("""COMPUTED_VALUE"""),"15 Agustus 2022")</f>
        <v>15 Agustus 2022</v>
      </c>
      <c r="C33" s="80" t="str">
        <f>IFERROR(__xludf.DUMMYFUNCTION("""COMPUTED_VALUE"""),"15 Agustus 2022")</f>
        <v>15 Agustus 2022</v>
      </c>
      <c r="D33" s="81"/>
      <c r="E33" s="82"/>
      <c r="F33" s="80" t="str">
        <f>IFERROR(__xludf.DUMMYFUNCTION("""COMPUTED_VALUE"""),"25 OKTOBER 2022")</f>
        <v>25 OKTOBER 2022</v>
      </c>
      <c r="G33" s="81">
        <f>IFERROR(__xludf.DUMMYFUNCTION("""COMPUTED_VALUE"""),44859.0)</f>
        <v>44859</v>
      </c>
      <c r="H33" s="80"/>
      <c r="I33" s="80" t="str">
        <f>IFERROR(__xludf.DUMMYFUNCTION("""COMPUTED_VALUE"""),"26 OKTOBER 2022")</f>
        <v>26 OKTOBER 2022</v>
      </c>
      <c r="J33" s="80"/>
      <c r="K33" s="80"/>
      <c r="L33" s="80"/>
      <c r="M33" s="80"/>
      <c r="N33" s="80"/>
      <c r="O33" s="80"/>
      <c r="P33" s="80" t="str">
        <f>IFERROR(__xludf.DUMMYFUNCTION("""COMPUTED_VALUE"""),"53BSPA27017JBRHD")</f>
        <v>53BSPA27017JBRHD</v>
      </c>
      <c r="Q33" s="80" t="str">
        <f>IFERROR(__xludf.DUMMYFUNCTION("""COMPUTED_VALUE"""),"LOKET SADA EKA")</f>
        <v>LOKET SADA EKA</v>
      </c>
      <c r="R33" s="80" t="str">
        <f>IFERROR(__xludf.DUMMYFUNCTION("""COMPUTED_VALUE"""),"LOKET SADA EKA")</f>
        <v>LOKET SADA EKA</v>
      </c>
      <c r="S33" s="80" t="str">
        <f>IFERROR(__xludf.DUMMYFUNCTION("""COMPUTED_VALUE"""),"Diana Candra Tunggal.Se")</f>
        <v>Diana Candra Tunggal.Se</v>
      </c>
      <c r="T33" s="80" t="str">
        <f>IFERROR(__xludf.DUMMYFUNCTION("""COMPUTED_VALUE"""),"Kp.Cisangkuy Rt.07 Rw.11 Kel.Sukamanah Kec.Pangalengan Kab Bandung")</f>
        <v>Kp.Cisangkuy Rt.07 Rw.11 Kel.Sukamanah Kec.Pangalengan Kab Bandung</v>
      </c>
      <c r="U33" s="80" t="str">
        <f>IFERROR(__xludf.DUMMYFUNCTION("""COMPUTED_VALUE"""),"KP.CISANGKUY RT.07 RW.11 KEL.SUKAMANAH KEC.PANGALENGAN KAB BANDUNG")</f>
        <v>KP.CISANGKUY RT.07 RW.11 KEL.SUKAMANAH KEC.PANGALENGAN KAB BANDUNG</v>
      </c>
      <c r="V33" s="80" t="str">
        <f>IFERROR(__xludf.DUMMYFUNCTION("""COMPUTED_VALUE"""),"007/11")</f>
        <v>007/11</v>
      </c>
      <c r="W33" s="80" t="str">
        <f>IFERROR(__xludf.DUMMYFUNCTION("""COMPUTED_VALUE"""),"SUKAMANAH")</f>
        <v>SUKAMANAH</v>
      </c>
      <c r="X33" s="80" t="str">
        <f>IFERROR(__xludf.DUMMYFUNCTION("""COMPUTED_VALUE"""),"PANGALENGAN")</f>
        <v>PANGALENGAN</v>
      </c>
      <c r="Y33" s="80" t="str">
        <f>IFERROR(__xludf.DUMMYFUNCTION("""COMPUTED_VALUE"""),"KAB.BANDUNG")</f>
        <v>KAB.BANDUNG</v>
      </c>
      <c r="Z33" s="80" t="str">
        <f>IFERROR(__xludf.DUMMYFUNCTION("""COMPUTED_VALUE"""),"JAWA BARAT")</f>
        <v>JAWA BARAT</v>
      </c>
      <c r="AA33" s="80" t="str">
        <f>IFERROR(__xludf.DUMMYFUNCTION("""COMPUTED_VALUE"""),"40378")</f>
        <v>40378</v>
      </c>
      <c r="AB33" s="80" t="str">
        <f>IFERROR(__xludf.DUMMYFUNCTION("""COMPUTED_VALUE"""),"3204151802760009")</f>
        <v>3204151802760009</v>
      </c>
      <c r="AC33" s="80" t="str">
        <f>IFERROR(__xludf.DUMMYFUNCTION("""COMPUTED_VALUE"""),"41.845.085.4-445.000")</f>
        <v>41.845.085.4-445.000</v>
      </c>
      <c r="AD33" s="80" t="str">
        <f>IFERROR(__xludf.DUMMYFUNCTION("""COMPUTED_VALUE"""),"CUM - HDT")</f>
        <v>CUM - HDT</v>
      </c>
      <c r="AE33" s="80" t="str">
        <f>IFERROR(__xludf.DUMMYFUNCTION("""COMPUTED_VALUE"""),"Sub Hidayat")</f>
        <v>Sub Hidayat</v>
      </c>
      <c r="AF33" s="80" t="str">
        <f>IFERROR(__xludf.DUMMYFUNCTION("""COMPUTED_VALUE"""),"08122339915")</f>
        <v>08122339915</v>
      </c>
      <c r="AG33" s="80" t="str">
        <f>IFERROR(__xludf.DUMMYFUNCTION("""COMPUTED_VALUE"""),"08122339915")</f>
        <v>08122339915</v>
      </c>
      <c r="AH33" s="80" t="str">
        <f>IFERROR(__xludf.DUMMYFUNCTION("""COMPUTED_VALUE"""),"zafirahzeba10@gmail.com")</f>
        <v>zafirahzeba10@gmail.com</v>
      </c>
      <c r="AI33" s="80" t="str">
        <f>IFERROR(__xludf.DUMMYFUNCTION("""COMPUTED_VALUE"""),"40378S1")</f>
        <v>40378S1</v>
      </c>
      <c r="AJ33" s="80" t="str">
        <f>IFERROR(__xludf.DUMMYFUNCTION("""COMPUTED_VALUE"""),"630c5b7d86f7f40768457142")</f>
        <v>630c5b7d86f7f40768457142</v>
      </c>
      <c r="AK33" s="80" t="str">
        <f>IFERROR(__xludf.DUMMYFUNCTION("""COMPUTED_VALUE"""),"dm40378s1")</f>
        <v>dm40378s1</v>
      </c>
      <c r="AL33" s="80" t="str">
        <f>IFERROR(__xludf.DUMMYFUNCTION("""COMPUTED_VALUE"""),"password")</f>
        <v>password</v>
      </c>
      <c r="AM33" s="80" t="str">
        <f>IFERROR(__xludf.DUMMYFUNCTION("""COMPUTED_VALUE"""),"KANTOR REGIONAL III BANDUNG 40004")</f>
        <v>KANTOR REGIONAL III BANDUNG 40004</v>
      </c>
      <c r="AN33" s="80" t="str">
        <f>IFERROR(__xludf.DUMMYFUNCTION("""COMPUTED_VALUE"""),"KC PANGALENGAN")</f>
        <v>KC PANGALENGAN</v>
      </c>
      <c r="AO33" s="80" t="str">
        <f>IFERROR(__xludf.DUMMYFUNCTION("""COMPUTED_VALUE"""),"1508220031627")</f>
        <v>1508220031627</v>
      </c>
      <c r="AP33" s="80" t="str">
        <f>IFERROR(__xludf.DUMMYFUNCTION("""COMPUTED_VALUE"""),"15082200316270001")</f>
        <v>15082200316270001</v>
      </c>
      <c r="AQ33" s="83"/>
      <c r="AR33" s="80"/>
      <c r="AS33" s="80"/>
      <c r="AT33" s="80" t="str">
        <f>IFERROR(__xludf.DUMMYFUNCTION("""COMPUTED_VALUE"""),"-7.1896604")</f>
        <v>-7.1896604</v>
      </c>
      <c r="AU33" s="80" t="str">
        <f>IFERROR(__xludf.DUMMYFUNCTION("""COMPUTED_VALUE"""),"107.5809067")</f>
        <v>107.5809067</v>
      </c>
      <c r="AV33" s="80" t="str">
        <f>IFERROR(__xludf.DUMMYFUNCTION("""COMPUTED_VALUE"""),"ADA")</f>
        <v>ADA</v>
      </c>
      <c r="AW33" s="80" t="str">
        <f>IFERROR(__xludf.DUMMYFUNCTION("""COMPUTED_VALUE"""),"ADA")</f>
        <v>ADA</v>
      </c>
      <c r="AX33" s="80"/>
      <c r="AY33" s="80"/>
      <c r="AZ33" s="80"/>
      <c r="BA33" s="80" t="str">
        <f>IFERROR(__xludf.DUMMYFUNCTION("""COMPUTED_VALUE"""),"ADA")</f>
        <v>ADA</v>
      </c>
      <c r="BB33" s="80" t="str">
        <f>IFERROR(__xludf.DUMMYFUNCTION("""COMPUTED_VALUE"""),"ADA")</f>
        <v>ADA</v>
      </c>
      <c r="BC33" s="80" t="str">
        <f>IFERROR(__xludf.DUMMYFUNCTION("""COMPUTED_VALUE"""),"ADA")</f>
        <v>ADA</v>
      </c>
      <c r="BD33" s="80" t="str">
        <f>IFERROR(__xludf.DUMMYFUNCTION("""COMPUTED_VALUE"""),"ADA")</f>
        <v>ADA</v>
      </c>
      <c r="BE33" s="80" t="str">
        <f>IFERROR(__xludf.DUMMYFUNCTION("""COMPUTED_VALUE"""),"ADA")</f>
        <v>ADA</v>
      </c>
      <c r="BF33" s="80" t="str">
        <f>IFERROR(__xludf.DUMMYFUNCTION("""COMPUTED_VALUE"""),"ADA")</f>
        <v>ADA</v>
      </c>
      <c r="BG33" s="80" t="str">
        <f>IFERROR(__xludf.DUMMYFUNCTION("""COMPUTED_VALUE"""),"ADA")</f>
        <v>ADA</v>
      </c>
      <c r="BH33" s="80" t="str">
        <f>IFERROR(__xludf.DUMMYFUNCTION("""COMPUTED_VALUE"""),"EPSON")</f>
        <v>EPSON</v>
      </c>
      <c r="BI33" s="80" t="str">
        <f>IFERROR(__xludf.DUMMYFUNCTION("""COMPUTED_VALUE"""),"ADA")</f>
        <v>ADA</v>
      </c>
      <c r="BJ33" s="80" t="str">
        <f>IFERROR(__xludf.DUMMYFUNCTION("""COMPUTED_VALUE"""),"KERTAS HVS")</f>
        <v>KERTAS HVS</v>
      </c>
      <c r="BK33" s="80" t="str">
        <f>IFERROR(__xludf.DUMMYFUNCTION("""COMPUTED_VALUE"""),"ADA")</f>
        <v>ADA</v>
      </c>
      <c r="BL33" s="80"/>
      <c r="BM33" s="80"/>
      <c r="BN33" s="80"/>
      <c r="BO33" s="80"/>
      <c r="BP33" s="80"/>
      <c r="BQ33" s="80"/>
      <c r="BR33" s="80"/>
      <c r="BS33" s="80"/>
      <c r="BT33" s="80"/>
      <c r="BU33" s="80"/>
      <c r="BV33" s="80" t="str">
        <f>IFERROR(__xludf.DUMMYFUNCTION("""COMPUTED_VALUE"""),"Kp.Cisangkuy Rt.07 Rw.11 Kel.Sukamanah Kec.Pangalengan Kab Bandung")</f>
        <v>Kp.Cisangkuy Rt.07 Rw.11 Kel.Sukamanah Kec.Pangalengan Kab Bandung</v>
      </c>
      <c r="BW33" s="80"/>
      <c r="BX33" s="80"/>
      <c r="BY33" s="80"/>
      <c r="BZ33" s="80"/>
      <c r="CA33" s="80"/>
      <c r="CB33" s="80"/>
      <c r="CC33" s="80"/>
      <c r="CD33" s="80"/>
      <c r="CE33" s="80"/>
      <c r="CF33" s="80"/>
      <c r="CG33" s="80"/>
      <c r="CH33" s="80"/>
      <c r="CI33" s="80"/>
      <c r="CJ33" s="80"/>
      <c r="CK33" s="2"/>
    </row>
    <row r="34" ht="12.75" customHeight="1">
      <c r="A34" s="85">
        <f>IFERROR(__xludf.DUMMYFUNCTION("""COMPUTED_VALUE"""),31.0)</f>
        <v>31</v>
      </c>
      <c r="B34" s="85" t="str">
        <f>IFERROR(__xludf.DUMMYFUNCTION("""COMPUTED_VALUE"""),"29 Agustus 2022")</f>
        <v>29 Agustus 2022</v>
      </c>
      <c r="C34" s="85" t="str">
        <f>IFERROR(__xludf.DUMMYFUNCTION("""COMPUTED_VALUE"""),"29 Agustus 2022")</f>
        <v>29 Agustus 2022</v>
      </c>
      <c r="D34" s="86"/>
      <c r="E34" s="88"/>
      <c r="F34" s="85" t="str">
        <f>IFERROR(__xludf.DUMMYFUNCTION("""COMPUTED_VALUE"""),"3 OKTOBER 2022")</f>
        <v>3 OKTOBER 2022</v>
      </c>
      <c r="G34" s="86">
        <f>IFERROR(__xludf.DUMMYFUNCTION("""COMPUTED_VALUE"""),44837.0)</f>
        <v>44837</v>
      </c>
      <c r="H34" s="85"/>
      <c r="I34" s="85" t="str">
        <f>IFERROR(__xludf.DUMMYFUNCTION("""COMPUTED_VALUE"""),"12/10/2022")</f>
        <v>12/10/2022</v>
      </c>
      <c r="J34" s="85" t="str">
        <f>IFERROR(__xludf.DUMMYFUNCTION("""COMPUTED_VALUE"""),"12/10/2022")</f>
        <v>12/10/2022</v>
      </c>
      <c r="K34" s="85"/>
      <c r="L34" s="85"/>
      <c r="M34" s="85"/>
      <c r="N34" s="85"/>
      <c r="O34" s="85"/>
      <c r="P34" s="85" t="str">
        <f>IFERROR(__xludf.DUMMYFUNCTION("""COMPUTED_VALUE"""),"KH2SPA12891JTAMD")</f>
        <v>KH2SPA12891JTAMD</v>
      </c>
      <c r="Q34" s="85" t="str">
        <f>IFERROR(__xludf.DUMMYFUNCTION("""COMPUTED_VALUE"""),"LOKET MBA TINI ")</f>
        <v>LOKET MBA TINI </v>
      </c>
      <c r="R34" s="85" t="str">
        <f>IFERROR(__xludf.DUMMYFUNCTION("""COMPUTED_VALUE"""),"LOKET RIYADI")</f>
        <v>LOKET RIYADI</v>
      </c>
      <c r="S34" s="85" t="str">
        <f>IFERROR(__xludf.DUMMYFUNCTION("""COMPUTED_VALUE"""),"Wandono Riyadi")</f>
        <v>Wandono Riyadi</v>
      </c>
      <c r="T34" s="85" t="str">
        <f>IFERROR(__xludf.DUMMYFUNCTION("""COMPUTED_VALUE"""),"Dk Randulangan Rt 015 Rw 007, Ds. Randulanang, Kec. Jatinom, Kab. Klaten, Prop. Jawa Tengah")</f>
        <v>Dk Randulangan Rt 015 Rw 007, Ds. Randulanang, Kec. Jatinom, Kab. Klaten, Prop. Jawa Tengah</v>
      </c>
      <c r="U34" s="85" t="str">
        <f>IFERROR(__xludf.DUMMYFUNCTION("""COMPUTED_VALUE"""),"Dk Randulangan RT 015 RW 007, Ds. Randulanang, Kec. Jatinom, Kab. Klaten, Prop. Jawa Tengah")</f>
        <v>Dk Randulangan RT 015 RW 007, Ds. Randulanang, Kec. Jatinom, Kab. Klaten, Prop. Jawa Tengah</v>
      </c>
      <c r="V34" s="85" t="str">
        <f>IFERROR(__xludf.DUMMYFUNCTION("""COMPUTED_VALUE"""),"015/007")</f>
        <v>015/007</v>
      </c>
      <c r="W34" s="85" t="str">
        <f>IFERROR(__xludf.DUMMYFUNCTION("""COMPUTED_VALUE"""),"DS.RANDULANANG")</f>
        <v>DS.RANDULANANG</v>
      </c>
      <c r="X34" s="85" t="str">
        <f>IFERROR(__xludf.DUMMYFUNCTION("""COMPUTED_VALUE"""),"KEC.JATINOM")</f>
        <v>KEC.JATINOM</v>
      </c>
      <c r="Y34" s="85" t="str">
        <f>IFERROR(__xludf.DUMMYFUNCTION("""COMPUTED_VALUE"""),"KAB.KLATEN")</f>
        <v>KAB.KLATEN</v>
      </c>
      <c r="Z34" s="85" t="str">
        <f>IFERROR(__xludf.DUMMYFUNCTION("""COMPUTED_VALUE"""),"JAWA TENGAH")</f>
        <v>JAWA TENGAH</v>
      </c>
      <c r="AA34" s="85" t="str">
        <f>IFERROR(__xludf.DUMMYFUNCTION("""COMPUTED_VALUE"""),"57481")</f>
        <v>57481</v>
      </c>
      <c r="AB34" s="85" t="str">
        <f>IFERROR(__xludf.DUMMYFUNCTION("""COMPUTED_VALUE"""),"3310201210730001")</f>
        <v>3310201210730001</v>
      </c>
      <c r="AC34" s="85" t="str">
        <f>IFERROR(__xludf.DUMMYFUNCTION("""COMPUTED_VALUE"""),"59.738.475.9-525.000")</f>
        <v>59.738.475.9-525.000</v>
      </c>
      <c r="AD34" s="85" t="str">
        <f>IFERROR(__xludf.DUMMYFUNCTION("""COMPUTED_VALUE"""),"CUM - AMI")</f>
        <v>CUM - AMI</v>
      </c>
      <c r="AE34" s="85" t="str">
        <f>IFERROR(__xludf.DUMMYFUNCTION("""COMPUTED_VALUE"""),"SUB AMINUDDIN")</f>
        <v>SUB AMINUDDIN</v>
      </c>
      <c r="AF34" s="85" t="str">
        <f>IFERROR(__xludf.DUMMYFUNCTION("""COMPUTED_VALUE"""),"081327393677")</f>
        <v>081327393677</v>
      </c>
      <c r="AG34" s="85" t="str">
        <f>IFERROR(__xludf.DUMMYFUNCTION("""COMPUTED_VALUE"""),"081327393677")</f>
        <v>081327393677</v>
      </c>
      <c r="AH34" s="85" t="str">
        <f>IFERROR(__xludf.DUMMYFUNCTION("""COMPUTED_VALUE"""),"wartinirandu7@gmail.com")</f>
        <v>wartinirandu7@gmail.com</v>
      </c>
      <c r="AI34" s="85" t="str">
        <f>IFERROR(__xludf.DUMMYFUNCTION("""COMPUTED_VALUE"""),"57481S5")</f>
        <v>57481S5</v>
      </c>
      <c r="AJ34" s="85" t="str">
        <f>IFERROR(__xludf.DUMMYFUNCTION("""COMPUTED_VALUE"""),"633117234bc97d623976ba61")</f>
        <v>633117234bc97d623976ba61</v>
      </c>
      <c r="AK34" s="85" t="str">
        <f>IFERROR(__xludf.DUMMYFUNCTION("""COMPUTED_VALUE"""),"dm57481s5")</f>
        <v>dm57481s5</v>
      </c>
      <c r="AL34" s="85" t="str">
        <f>IFERROR(__xludf.DUMMYFUNCTION("""COMPUTED_VALUE"""),"password")</f>
        <v>password</v>
      </c>
      <c r="AM34" s="85" t="str">
        <f>IFERROR(__xludf.DUMMYFUNCTION("""COMPUTED_VALUE"""),"KANTOR REGIONAL IV SEMARANG 50004")</f>
        <v>KANTOR REGIONAL IV SEMARANG 50004</v>
      </c>
      <c r="AN34" s="85" t="str">
        <f>IFERROR(__xludf.DUMMYFUNCTION("""COMPUTED_VALUE"""),"KANTOR POS NGAWEN")</f>
        <v>KANTOR POS NGAWEN</v>
      </c>
      <c r="AO34" s="85" t="str">
        <f>IFERROR(__xludf.DUMMYFUNCTION("""COMPUTED_VALUE"""),"2708220019743")</f>
        <v>2708220019743</v>
      </c>
      <c r="AP34" s="85" t="str">
        <f>IFERROR(__xludf.DUMMYFUNCTION("""COMPUTED_VALUE"""),"53202 ( AKTIFITAS AGEN KURIR )")</f>
        <v>53202 ( AKTIFITAS AGEN KURIR )</v>
      </c>
      <c r="AQ34" s="93"/>
      <c r="AR34" s="85"/>
      <c r="AS34" s="85"/>
      <c r="AT34" s="85" t="str">
        <f>IFERROR(__xludf.DUMMYFUNCTION("""COMPUTED_VALUE"""),"-7,65617")</f>
        <v>-7,65617</v>
      </c>
      <c r="AU34" s="85" t="str">
        <f>IFERROR(__xludf.DUMMYFUNCTION("""COMPUTED_VALUE"""),"110,56299")</f>
        <v>110,56299</v>
      </c>
      <c r="AV34" s="85" t="str">
        <f>IFERROR(__xludf.DUMMYFUNCTION("""COMPUTED_VALUE"""),"ADA")</f>
        <v>ADA</v>
      </c>
      <c r="AW34" s="85" t="str">
        <f>IFERROR(__xludf.DUMMYFUNCTION("""COMPUTED_VALUE"""),"ADA")</f>
        <v>ADA</v>
      </c>
      <c r="AX34" s="85"/>
      <c r="AY34" s="85"/>
      <c r="AZ34" s="85"/>
      <c r="BA34" s="85" t="str">
        <f>IFERROR(__xludf.DUMMYFUNCTION("""COMPUTED_VALUE"""),"ADA")</f>
        <v>ADA</v>
      </c>
      <c r="BB34" s="85" t="str">
        <f>IFERROR(__xludf.DUMMYFUNCTION("""COMPUTED_VALUE"""),"ADA")</f>
        <v>ADA</v>
      </c>
      <c r="BC34" s="85" t="str">
        <f>IFERROR(__xludf.DUMMYFUNCTION("""COMPUTED_VALUE"""),"ADA")</f>
        <v>ADA</v>
      </c>
      <c r="BD34" s="85" t="str">
        <f>IFERROR(__xludf.DUMMYFUNCTION("""COMPUTED_VALUE"""),"ADA")</f>
        <v>ADA</v>
      </c>
      <c r="BE34" s="85" t="str">
        <f>IFERROR(__xludf.DUMMYFUNCTION("""COMPUTED_VALUE"""),"ADA")</f>
        <v>ADA</v>
      </c>
      <c r="BF34" s="85" t="str">
        <f>IFERROR(__xludf.DUMMYFUNCTION("""COMPUTED_VALUE"""),"ADA")</f>
        <v>ADA</v>
      </c>
      <c r="BG34" s="85" t="str">
        <f>IFERROR(__xludf.DUMMYFUNCTION("""COMPUTED_VALUE"""),"ADA")</f>
        <v>ADA</v>
      </c>
      <c r="BH34" s="85" t="str">
        <f>IFERROR(__xludf.DUMMYFUNCTION("""COMPUTED_VALUE"""),"EPOS 9200U THERMAL")</f>
        <v>EPOS 9200U THERMAL</v>
      </c>
      <c r="BI34" s="85" t="str">
        <f>IFERROR(__xludf.DUMMYFUNCTION("""COMPUTED_VALUE"""),"ADA")</f>
        <v>ADA</v>
      </c>
      <c r="BJ34" s="85" t="str">
        <f>IFERROR(__xludf.DUMMYFUNCTION("""COMPUTED_VALUE"""),"ADA")</f>
        <v>ADA</v>
      </c>
      <c r="BK34" s="85" t="str">
        <f>IFERROR(__xludf.DUMMYFUNCTION("""COMPUTED_VALUE"""),"BELUM ADA")</f>
        <v>BELUM ADA</v>
      </c>
      <c r="BL34" s="85"/>
      <c r="BM34" s="85"/>
      <c r="BN34" s="85"/>
      <c r="BO34" s="85"/>
      <c r="BP34" s="85"/>
      <c r="BQ34" s="85"/>
      <c r="BR34" s="85"/>
      <c r="BS34" s="85"/>
      <c r="BT34" s="85"/>
      <c r="BU34" s="85"/>
      <c r="BV34" s="85" t="str">
        <f>IFERROR(__xludf.DUMMYFUNCTION("""COMPUTED_VALUE"""),"Dk Randulangan Rt 015 Rw 007, Ds. Randulanang, Kec. Jatinom, Kab. Klaten, Prop. Jawa Tengah")</f>
        <v>Dk Randulangan Rt 015 Rw 007, Ds. Randulanang, Kec. Jatinom, Kab. Klaten, Prop. Jawa Tengah</v>
      </c>
      <c r="BW34" s="85"/>
      <c r="BX34" s="85"/>
      <c r="BY34" s="85"/>
      <c r="BZ34" s="85"/>
      <c r="CA34" s="85"/>
      <c r="CB34" s="85"/>
      <c r="CC34" s="85"/>
      <c r="CD34" s="85"/>
      <c r="CE34" s="85"/>
      <c r="CF34" s="85"/>
      <c r="CG34" s="85"/>
      <c r="CH34" s="85"/>
      <c r="CI34" s="85"/>
      <c r="CJ34" s="85"/>
      <c r="CK34" s="2"/>
    </row>
    <row r="35" ht="12.75" customHeight="1">
      <c r="A35" s="80">
        <f>IFERROR(__xludf.DUMMYFUNCTION("""COMPUTED_VALUE"""),32.0)</f>
        <v>32</v>
      </c>
      <c r="B35" s="80" t="str">
        <f>IFERROR(__xludf.DUMMYFUNCTION("""COMPUTED_VALUE"""),"02 September 2022")</f>
        <v>02 September 2022</v>
      </c>
      <c r="C35" s="80" t="str">
        <f>IFERROR(__xludf.DUMMYFUNCTION("""COMPUTED_VALUE"""),"02 September 2022")</f>
        <v>02 September 2022</v>
      </c>
      <c r="D35" s="81"/>
      <c r="E35" s="82"/>
      <c r="F35" s="80" t="str">
        <f>IFERROR(__xludf.DUMMYFUNCTION("""COMPUTED_VALUE"""),"28 OKTOBER 2022")</f>
        <v>28 OKTOBER 2022</v>
      </c>
      <c r="G35" s="81">
        <f>IFERROR(__xludf.DUMMYFUNCTION("""COMPUTED_VALUE"""),44862.0)</f>
        <v>44862</v>
      </c>
      <c r="H35" s="80"/>
      <c r="I35" s="80" t="str">
        <f>IFERROR(__xludf.DUMMYFUNCTION("""COMPUTED_VALUE"""),"31 OKTOBER 2022")</f>
        <v>31 OKTOBER 2022</v>
      </c>
      <c r="J35" s="80"/>
      <c r="K35" s="80"/>
      <c r="L35" s="80"/>
      <c r="M35" s="80"/>
      <c r="N35" s="80"/>
      <c r="O35" s="80"/>
      <c r="P35" s="80" t="str">
        <f>IFERROR(__xludf.DUMMYFUNCTION("""COMPUTED_VALUE"""),"53BSPA23844JBRHD")</f>
        <v>53BSPA23844JBRHD</v>
      </c>
      <c r="Q35" s="80" t="str">
        <f>IFERROR(__xludf.DUMMYFUNCTION("""COMPUTED_VALUE"""),"LOKET ACE FARMA II")</f>
        <v>LOKET ACE FARMA II</v>
      </c>
      <c r="R35" s="80" t="str">
        <f>IFERROR(__xludf.DUMMYFUNCTION("""COMPUTED_VALUE"""),"LOKET ACE FARMA II")</f>
        <v>LOKET ACE FARMA II</v>
      </c>
      <c r="S35" s="80" t="str">
        <f>IFERROR(__xludf.DUMMYFUNCTION("""COMPUTED_VALUE"""),"Budi Muchlis")</f>
        <v>Budi Muchlis</v>
      </c>
      <c r="T35" s="80" t="str">
        <f>IFERROR(__xludf.DUMMYFUNCTION("""COMPUTED_VALUE"""),"Jl. Sukamenak Sayati No 41 Bandung, Jawa Barat, Indonesia 40228")</f>
        <v>Jl. Sukamenak Sayati No 41 Bandung, Jawa Barat, Indonesia 40228</v>
      </c>
      <c r="U35" s="80" t="str">
        <f>IFERROR(__xludf.DUMMYFUNCTION("""COMPUTED_VALUE"""),"Jl. Sukamenak Sayati no 41 Bandung, Jawa Barat, Indonesia 40228")</f>
        <v>Jl. Sukamenak Sayati no 41 Bandung, Jawa Barat, Indonesia 40228</v>
      </c>
      <c r="V35" s="80" t="str">
        <f>IFERROR(__xludf.DUMMYFUNCTION("""COMPUTED_VALUE"""),"002/006")</f>
        <v>002/006</v>
      </c>
      <c r="W35" s="80" t="str">
        <f>IFERROR(__xludf.DUMMYFUNCTION("""COMPUTED_VALUE"""),"SAYATI")</f>
        <v>SAYATI</v>
      </c>
      <c r="X35" s="80" t="str">
        <f>IFERROR(__xludf.DUMMYFUNCTION("""COMPUTED_VALUE"""),"MARGAHAYU")</f>
        <v>MARGAHAYU</v>
      </c>
      <c r="Y35" s="80" t="str">
        <f>IFERROR(__xludf.DUMMYFUNCTION("""COMPUTED_VALUE"""),"KAB.BANDUNG")</f>
        <v>KAB.BANDUNG</v>
      </c>
      <c r="Z35" s="80" t="str">
        <f>IFERROR(__xludf.DUMMYFUNCTION("""COMPUTED_VALUE"""),"JAWA BARAT")</f>
        <v>JAWA BARAT</v>
      </c>
      <c r="AA35" s="80" t="str">
        <f>IFERROR(__xludf.DUMMYFUNCTION("""COMPUTED_VALUE"""),"40228")</f>
        <v>40228</v>
      </c>
      <c r="AB35" s="80" t="str">
        <f>IFERROR(__xludf.DUMMYFUNCTION("""COMPUTED_VALUE"""),"3204090603770006")</f>
        <v>3204090603770006</v>
      </c>
      <c r="AC35" s="80" t="str">
        <f>IFERROR(__xludf.DUMMYFUNCTION("""COMPUTED_VALUE"""),"74.347.497.5-445.000")</f>
        <v>74.347.497.5-445.000</v>
      </c>
      <c r="AD35" s="80" t="str">
        <f>IFERROR(__xludf.DUMMYFUNCTION("""COMPUTED_VALUE"""),"CUM - HDT")</f>
        <v>CUM - HDT</v>
      </c>
      <c r="AE35" s="80" t="str">
        <f>IFERROR(__xludf.DUMMYFUNCTION("""COMPUTED_VALUE"""),"Sub Hidayat")</f>
        <v>Sub Hidayat</v>
      </c>
      <c r="AF35" s="80" t="str">
        <f>IFERROR(__xludf.DUMMYFUNCTION("""COMPUTED_VALUE"""),"0817-432-412")</f>
        <v>0817-432-412</v>
      </c>
      <c r="AG35" s="80" t="str">
        <f>IFERROR(__xludf.DUMMYFUNCTION("""COMPUTED_VALUE"""),"0817-432-412")</f>
        <v>0817-432-412</v>
      </c>
      <c r="AH35" s="80" t="str">
        <f>IFERROR(__xludf.DUMMYFUNCTION("""COMPUTED_VALUE"""),"myladieza@gmail.com")</f>
        <v>myladieza@gmail.com</v>
      </c>
      <c r="AI35" s="80" t="str">
        <f>IFERROR(__xludf.DUMMYFUNCTION("""COMPUTED_VALUE"""),"40352S3")</f>
        <v>40352S3</v>
      </c>
      <c r="AJ35" s="80" t="str">
        <f>IFERROR(__xludf.DUMMYFUNCTION("""COMPUTED_VALUE"""),"63512543f5e4b32abc646017")</f>
        <v>63512543f5e4b32abc646017</v>
      </c>
      <c r="AK35" s="80" t="str">
        <f>IFERROR(__xludf.DUMMYFUNCTION("""COMPUTED_VALUE"""),"dm40352s3")</f>
        <v>dm40352s3</v>
      </c>
      <c r="AL35" s="80" t="str">
        <f>IFERROR(__xludf.DUMMYFUNCTION("""COMPUTED_VALUE"""),"password")</f>
        <v>password</v>
      </c>
      <c r="AM35" s="80" t="str">
        <f>IFERROR(__xludf.DUMMYFUNCTION("""COMPUTED_VALUE"""),"KANTOR REGIONAL III BANDUNG 40004")</f>
        <v>KANTOR REGIONAL III BANDUNG 40004</v>
      </c>
      <c r="AN35" s="80" t="str">
        <f>IFERROR(__xludf.DUMMYFUNCTION("""COMPUTED_VALUE"""),"KANTOR POS SUKAMENAK")</f>
        <v>KANTOR POS SUKAMENAK</v>
      </c>
      <c r="AO35" s="80" t="str">
        <f>IFERROR(__xludf.DUMMYFUNCTION("""COMPUTED_VALUE"""),"2908220060987")</f>
        <v>2908220060987</v>
      </c>
      <c r="AP35" s="80" t="str">
        <f>IFERROR(__xludf.DUMMYFUNCTION("""COMPUTED_VALUE"""),"29082200609870001")</f>
        <v>29082200609870001</v>
      </c>
      <c r="AQ35" s="83"/>
      <c r="AR35" s="80"/>
      <c r="AS35" s="80"/>
      <c r="AT35" s="80" t="str">
        <f>IFERROR(__xludf.DUMMYFUNCTION("""COMPUTED_VALUE"""),"-6,971,326")</f>
        <v>-6,971,326</v>
      </c>
      <c r="AU35" s="80" t="str">
        <f>IFERROR(__xludf.DUMMYFUNCTION("""COMPUTED_VALUE"""),"107.5720766")</f>
        <v>107.5720766</v>
      </c>
      <c r="AV35" s="80" t="str">
        <f>IFERROR(__xludf.DUMMYFUNCTION("""COMPUTED_VALUE"""),"ADA")</f>
        <v>ADA</v>
      </c>
      <c r="AW35" s="80" t="str">
        <f>IFERROR(__xludf.DUMMYFUNCTION("""COMPUTED_VALUE"""),"ADA")</f>
        <v>ADA</v>
      </c>
      <c r="AX35" s="80"/>
      <c r="AY35" s="80"/>
      <c r="AZ35" s="80"/>
      <c r="BA35" s="80" t="str">
        <f>IFERROR(__xludf.DUMMYFUNCTION("""COMPUTED_VALUE"""),"ADA")</f>
        <v>ADA</v>
      </c>
      <c r="BB35" s="80" t="str">
        <f>IFERROR(__xludf.DUMMYFUNCTION("""COMPUTED_VALUE"""),"ADA")</f>
        <v>ADA</v>
      </c>
      <c r="BC35" s="80" t="str">
        <f>IFERROR(__xludf.DUMMYFUNCTION("""COMPUTED_VALUE"""),"ADA")</f>
        <v>ADA</v>
      </c>
      <c r="BD35" s="80" t="str">
        <f>IFERROR(__xludf.DUMMYFUNCTION("""COMPUTED_VALUE"""),"ADA")</f>
        <v>ADA</v>
      </c>
      <c r="BE35" s="80" t="str">
        <f>IFERROR(__xludf.DUMMYFUNCTION("""COMPUTED_VALUE"""),"ADA")</f>
        <v>ADA</v>
      </c>
      <c r="BF35" s="80"/>
      <c r="BG35" s="80"/>
      <c r="BH35" s="80"/>
      <c r="BI35" s="80"/>
      <c r="BJ35" s="80"/>
      <c r="BK35" s="80"/>
      <c r="BL35" s="80"/>
      <c r="BM35" s="80"/>
      <c r="BN35" s="80"/>
      <c r="BO35" s="80"/>
      <c r="BP35" s="80"/>
      <c r="BQ35" s="80"/>
      <c r="BR35" s="80"/>
      <c r="BS35" s="80"/>
      <c r="BT35" s="80"/>
      <c r="BU35" s="80"/>
      <c r="BV35" s="80" t="str">
        <f>IFERROR(__xludf.DUMMYFUNCTION("""COMPUTED_VALUE"""),"Jl. Sukamenak Sayati No 41 Bandung, Jawa Barat, Indonesia 40228")</f>
        <v>Jl. Sukamenak Sayati No 41 Bandung, Jawa Barat, Indonesia 40228</v>
      </c>
      <c r="BW35" s="80"/>
      <c r="BX35" s="80"/>
      <c r="BY35" s="80"/>
      <c r="BZ35" s="80"/>
      <c r="CA35" s="80"/>
      <c r="CB35" s="80"/>
      <c r="CC35" s="80"/>
      <c r="CD35" s="80"/>
      <c r="CE35" s="80"/>
      <c r="CF35" s="80"/>
      <c r="CG35" s="80"/>
      <c r="CH35" s="80"/>
      <c r="CI35" s="80"/>
      <c r="CJ35" s="80"/>
      <c r="CK35" s="2"/>
    </row>
    <row r="36" ht="12.75" customHeight="1">
      <c r="A36" s="85">
        <f>IFERROR(__xludf.DUMMYFUNCTION("""COMPUTED_VALUE"""),33.0)</f>
        <v>33</v>
      </c>
      <c r="B36" s="85" t="str">
        <f>IFERROR(__xludf.DUMMYFUNCTION("""COMPUTED_VALUE"""),"VIA MAS BAYU KANEKO")</f>
        <v>VIA MAS BAYU KANEKO</v>
      </c>
      <c r="C36" s="85" t="str">
        <f>IFERROR(__xludf.DUMMYFUNCTION("""COMPUTED_VALUE"""),"VIA MAS BAYU KANEKO")</f>
        <v>VIA MAS BAYU KANEKO</v>
      </c>
      <c r="D36" s="86"/>
      <c r="E36" s="88"/>
      <c r="F36" s="85" t="str">
        <f>IFERROR(__xludf.DUMMYFUNCTION("""COMPUTED_VALUE"""),"23 OKTOBER 2022")</f>
        <v>23 OKTOBER 2022</v>
      </c>
      <c r="G36" s="86">
        <f>IFERROR(__xludf.DUMMYFUNCTION("""COMPUTED_VALUE"""),44858.0)</f>
        <v>44858</v>
      </c>
      <c r="H36" s="85"/>
      <c r="I36" s="85" t="str">
        <f>IFERROR(__xludf.DUMMYFUNCTION("""COMPUTED_VALUE"""),"24 OKTOBER 2022")</f>
        <v>24 OKTOBER 2022</v>
      </c>
      <c r="J36" s="85"/>
      <c r="K36" s="85"/>
      <c r="L36" s="85"/>
      <c r="M36" s="85"/>
      <c r="N36" s="85"/>
      <c r="O36" s="85"/>
      <c r="P36" s="85" t="str">
        <f>IFERROR(__xludf.DUMMYFUNCTION("""COMPUTED_VALUE"""),"52BSPA07232JTWWK")</f>
        <v>52BSPA07232JTWWK</v>
      </c>
      <c r="Q36" s="85" t="str">
        <f>IFERROR(__xludf.DUMMYFUNCTION("""COMPUTED_VALUE"""),"LOKET AMANAH")</f>
        <v>LOKET AMANAH</v>
      </c>
      <c r="R36" s="85" t="str">
        <f>IFERROR(__xludf.DUMMYFUNCTION("""COMPUTED_VALUE"""),"LOKET AMANAH")</f>
        <v>LOKET AMANAH</v>
      </c>
      <c r="S36" s="85" t="str">
        <f>IFERROR(__xludf.DUMMYFUNCTION("""COMPUTED_VALUE"""),"Harmanta")</f>
        <v>Harmanta</v>
      </c>
      <c r="T36" s="85" t="str">
        <f>IFERROR(__xludf.DUMMYFUNCTION("""COMPUTED_VALUE"""),"Magunan Rt.002/027")</f>
        <v>Magunan Rt.002/027</v>
      </c>
      <c r="U36" s="85" t="str">
        <f>IFERROR(__xludf.DUMMYFUNCTION("""COMPUTED_VALUE"""),"MANGUNAN RT.002 RW.O27 KEL.CATURHARJO KEC.SLEMAN KABUPATEN SLEMAN KODE POS '55515")</f>
        <v>MANGUNAN RT.002 RW.O27 KEL.CATURHARJO KEC.SLEMAN KABUPATEN SLEMAN KODE POS '55515</v>
      </c>
      <c r="V36" s="85" t="str">
        <f>IFERROR(__xludf.DUMMYFUNCTION("""COMPUTED_VALUE"""),"002/027")</f>
        <v>002/027</v>
      </c>
      <c r="W36" s="85" t="str">
        <f>IFERROR(__xludf.DUMMYFUNCTION("""COMPUTED_VALUE"""),"CATURHARJO")</f>
        <v>CATURHARJO</v>
      </c>
      <c r="X36" s="85" t="str">
        <f>IFERROR(__xludf.DUMMYFUNCTION("""COMPUTED_VALUE"""),"SLEMAN")</f>
        <v>SLEMAN</v>
      </c>
      <c r="Y36" s="85" t="str">
        <f>IFERROR(__xludf.DUMMYFUNCTION("""COMPUTED_VALUE"""),"KAB.SLEMAN")</f>
        <v>KAB.SLEMAN</v>
      </c>
      <c r="Z36" s="85" t="str">
        <f>IFERROR(__xludf.DUMMYFUNCTION("""COMPUTED_VALUE"""),"D.I YOGYAKARTA")</f>
        <v>D.I YOGYAKARTA</v>
      </c>
      <c r="AA36" s="85" t="str">
        <f>IFERROR(__xludf.DUMMYFUNCTION("""COMPUTED_VALUE"""),"55515")</f>
        <v>55515</v>
      </c>
      <c r="AB36" s="85" t="str">
        <f>IFERROR(__xludf.DUMMYFUNCTION("""COMPUTED_VALUE"""),"3404131702730002")</f>
        <v>3404131702730002</v>
      </c>
      <c r="AC36" s="85" t="str">
        <f>IFERROR(__xludf.DUMMYFUNCTION("""COMPUTED_VALUE"""),"82.425.950.1-542.000")</f>
        <v>82.425.950.1-542.000</v>
      </c>
      <c r="AD36" s="85" t="str">
        <f>IFERROR(__xludf.DUMMYFUNCTION("""COMPUTED_VALUE"""),"CUM - WWK")</f>
        <v>CUM - WWK</v>
      </c>
      <c r="AE36" s="85" t="str">
        <f>IFERROR(__xludf.DUMMYFUNCTION("""COMPUTED_VALUE"""),"SUB WIWIK")</f>
        <v>SUB WIWIK</v>
      </c>
      <c r="AF36" s="85" t="str">
        <f>IFERROR(__xludf.DUMMYFUNCTION("""COMPUTED_VALUE"""),"081392664819")</f>
        <v>081392664819</v>
      </c>
      <c r="AG36" s="85" t="str">
        <f>IFERROR(__xludf.DUMMYFUNCTION("""COMPUTED_VALUE"""),"081392664819")</f>
        <v>081392664819</v>
      </c>
      <c r="AH36" s="85" t="str">
        <f>IFERROR(__xludf.DUMMYFUNCTION("""COMPUTED_VALUE""")," harmanta33@gmail.com")</f>
        <v> harmanta33@gmail.com</v>
      </c>
      <c r="AI36" s="85" t="str">
        <f>IFERROR(__xludf.DUMMYFUNCTION("""COMPUTED_VALUE"""),"55515S1")</f>
        <v>55515S1</v>
      </c>
      <c r="AJ36" s="85" t="str">
        <f>IFERROR(__xludf.DUMMYFUNCTION("""COMPUTED_VALUE"""),"6343775ca63a670c585a2e44")</f>
        <v>6343775ca63a670c585a2e44</v>
      </c>
      <c r="AK36" s="85" t="str">
        <f>IFERROR(__xludf.DUMMYFUNCTION("""COMPUTED_VALUE"""),"dm55515s1")</f>
        <v>dm55515s1</v>
      </c>
      <c r="AL36" s="85" t="str">
        <f>IFERROR(__xludf.DUMMYFUNCTION("""COMPUTED_VALUE"""),"password")</f>
        <v>password</v>
      </c>
      <c r="AM36" s="85" t="str">
        <f>IFERROR(__xludf.DUMMYFUNCTION("""COMPUTED_VALUE"""),"KANTOR REGIONAL IV SEMARANG 50004")</f>
        <v>KANTOR REGIONAL IV SEMARANG 50004</v>
      </c>
      <c r="AN36" s="85" t="str">
        <f>IFERROR(__xludf.DUMMYFUNCTION("""COMPUTED_VALUE"""),"Kantor Pos Sleman")</f>
        <v>Kantor Pos Sleman</v>
      </c>
      <c r="AO36" s="85" t="str">
        <f>IFERROR(__xludf.DUMMYFUNCTION("""COMPUTED_VALUE"""),"3008220051308")</f>
        <v>3008220051308</v>
      </c>
      <c r="AP36" s="85" t="str">
        <f>IFERROR(__xludf.DUMMYFUNCTION("""COMPUTED_VALUE"""),"30082200513080001")</f>
        <v>30082200513080001</v>
      </c>
      <c r="AQ36" s="93"/>
      <c r="AR36" s="85"/>
      <c r="AS36" s="85"/>
      <c r="AT36" s="85" t="str">
        <f>IFERROR(__xludf.DUMMYFUNCTION("""COMPUTED_VALUE"""),"-76,959,059")</f>
        <v>-76,959,059</v>
      </c>
      <c r="AU36" s="85" t="str">
        <f>IFERROR(__xludf.DUMMYFUNCTION("""COMPUTED_VALUE"""),"110.3256314")</f>
        <v>110.3256314</v>
      </c>
      <c r="AV36" s="85" t="str">
        <f>IFERROR(__xludf.DUMMYFUNCTION("""COMPUTED_VALUE"""),"ADA")</f>
        <v>ADA</v>
      </c>
      <c r="AW36" s="85" t="str">
        <f>IFERROR(__xludf.DUMMYFUNCTION("""COMPUTED_VALUE"""),"ADA")</f>
        <v>ADA</v>
      </c>
      <c r="AX36" s="85"/>
      <c r="AY36" s="85"/>
      <c r="AZ36" s="85"/>
      <c r="BA36" s="85" t="str">
        <f>IFERROR(__xludf.DUMMYFUNCTION("""COMPUTED_VALUE"""),"ADA")</f>
        <v>ADA</v>
      </c>
      <c r="BB36" s="85" t="str">
        <f>IFERROR(__xludf.DUMMYFUNCTION("""COMPUTED_VALUE"""),"ADA")</f>
        <v>ADA</v>
      </c>
      <c r="BC36" s="85" t="str">
        <f>IFERROR(__xludf.DUMMYFUNCTION("""COMPUTED_VALUE"""),"ADA")</f>
        <v>ADA</v>
      </c>
      <c r="BD36" s="85" t="str">
        <f>IFERROR(__xludf.DUMMYFUNCTION("""COMPUTED_VALUE"""),"ADA")</f>
        <v>ADA</v>
      </c>
      <c r="BE36" s="85" t="str">
        <f>IFERROR(__xludf.DUMMYFUNCTION("""COMPUTED_VALUE"""),"ADA")</f>
        <v>ADA</v>
      </c>
      <c r="BF36" s="85" t="str">
        <f>IFERROR(__xludf.DUMMYFUNCTION("""COMPUTED_VALUE"""),"ADA")</f>
        <v>ADA</v>
      </c>
      <c r="BG36" s="85" t="str">
        <f>IFERROR(__xludf.DUMMYFUNCTION("""COMPUTED_VALUE"""),"ADA")</f>
        <v>ADA</v>
      </c>
      <c r="BH36" s="85" t="str">
        <f>IFERROR(__xludf.DUMMYFUNCTION("""COMPUTED_VALUE"""),"ADA")</f>
        <v>ADA</v>
      </c>
      <c r="BI36" s="85" t="str">
        <f>IFERROR(__xludf.DUMMYFUNCTION("""COMPUTED_VALUE"""),"BELUM ADA")</f>
        <v>BELUM ADA</v>
      </c>
      <c r="BJ36" s="85" t="str">
        <f>IFERROR(__xludf.DUMMYFUNCTION("""COMPUTED_VALUE"""),"ADA")</f>
        <v>ADA</v>
      </c>
      <c r="BK36" s="85" t="str">
        <f>IFERROR(__xludf.DUMMYFUNCTION("""COMPUTED_VALUE"""),"BELUM ADA")</f>
        <v>BELUM ADA</v>
      </c>
      <c r="BL36" s="85"/>
      <c r="BM36" s="85"/>
      <c r="BN36" s="85"/>
      <c r="BO36" s="85"/>
      <c r="BP36" s="85"/>
      <c r="BQ36" s="85"/>
      <c r="BR36" s="85"/>
      <c r="BS36" s="85"/>
      <c r="BT36" s="85"/>
      <c r="BU36" s="85"/>
      <c r="BV36" s="85" t="str">
        <f>IFERROR(__xludf.DUMMYFUNCTION("""COMPUTED_VALUE"""),"Magunan Rt.002/027")</f>
        <v>Magunan Rt.002/027</v>
      </c>
      <c r="BW36" s="85"/>
      <c r="BX36" s="85"/>
      <c r="BY36" s="85"/>
      <c r="BZ36" s="85"/>
      <c r="CA36" s="85"/>
      <c r="CB36" s="85"/>
      <c r="CC36" s="85"/>
      <c r="CD36" s="85"/>
      <c r="CE36" s="85"/>
      <c r="CF36" s="85"/>
      <c r="CG36" s="85"/>
      <c r="CH36" s="85"/>
      <c r="CI36" s="85"/>
      <c r="CJ36" s="85"/>
      <c r="CK36" s="2"/>
    </row>
    <row r="37" ht="12.75" customHeight="1">
      <c r="A37" s="80">
        <f>IFERROR(__xludf.DUMMYFUNCTION("""COMPUTED_VALUE"""),34.0)</f>
        <v>34</v>
      </c>
      <c r="B37" s="80" t="str">
        <f>IFERROR(__xludf.DUMMYFUNCTION("""COMPUTED_VALUE"""),"01 September 2022")</f>
        <v>01 September 2022</v>
      </c>
      <c r="C37" s="80" t="str">
        <f>IFERROR(__xludf.DUMMYFUNCTION("""COMPUTED_VALUE"""),"01 September 2022")</f>
        <v>01 September 2022</v>
      </c>
      <c r="D37" s="81"/>
      <c r="E37" s="82"/>
      <c r="F37" s="80" t="str">
        <f>IFERROR(__xludf.DUMMYFUNCTION("""COMPUTED_VALUE"""),"15-Sep-22")</f>
        <v>15-Sep-22</v>
      </c>
      <c r="G37" s="81">
        <f>IFERROR(__xludf.DUMMYFUNCTION("""COMPUTED_VALUE"""),44819.0)</f>
        <v>44819</v>
      </c>
      <c r="H37" s="80"/>
      <c r="I37" s="80" t="str">
        <f>IFERROR(__xludf.DUMMYFUNCTION("""COMPUTED_VALUE"""),"15 SEPTEMBER 2022")</f>
        <v>15 SEPTEMBER 2022</v>
      </c>
      <c r="J37" s="80" t="str">
        <f>IFERROR(__xludf.DUMMYFUNCTION("""COMPUTED_VALUE"""),"19/09/22")</f>
        <v>19/09/22</v>
      </c>
      <c r="K37" s="80"/>
      <c r="L37" s="80"/>
      <c r="M37" s="80"/>
      <c r="N37" s="80"/>
      <c r="O37" s="80"/>
      <c r="P37" s="80" t="str">
        <f>IFERROR(__xludf.DUMMYFUNCTION("""COMPUTED_VALUE"""),"51BSPA11130JTDNH")</f>
        <v>51BSPA11130JTDNH</v>
      </c>
      <c r="Q37" s="80" t="str">
        <f>IFERROR(__xludf.DUMMYFUNCTION("""COMPUTED_VALUE"""),"Syafaat")</f>
        <v>Syafaat</v>
      </c>
      <c r="R37" s="80" t="str">
        <f>IFERROR(__xludf.DUMMYFUNCTION("""COMPUTED_VALUE"""),"SYAFA'AT CELL")</f>
        <v>SYAFA'AT CELL</v>
      </c>
      <c r="S37" s="80" t="str">
        <f>IFERROR(__xludf.DUMMYFUNCTION("""COMPUTED_VALUE"""),"Joni Suharto")</f>
        <v>Joni Suharto</v>
      </c>
      <c r="T37" s="80" t="str">
        <f>IFERROR(__xludf.DUMMYFUNCTION("""COMPUTED_VALUE"""),"Dusun Temor Lorong Rt 022 Rw 010 Desa Bluto Kec Bbluto Kab Sumenep Jawa Timur")</f>
        <v>Dusun Temor Lorong Rt 022 Rw 010 Desa Bluto Kec Bbluto Kab Sumenep Jawa Timur</v>
      </c>
      <c r="U37" s="80" t="str">
        <f>IFERROR(__xludf.DUMMYFUNCTION("""COMPUTED_VALUE"""),"JL. RONGNGERONG NO. 01 DUSUN TEMOR LORONG KEL BLUTO KEC BLUTO KAB SUMENEP JAWA TIMUR 69466")</f>
        <v>JL. RONGNGERONG NO. 01 DUSUN TEMOR LORONG KEL BLUTO KEC BLUTO KAB SUMENEP JAWA TIMUR 69466</v>
      </c>
      <c r="V37" s="80"/>
      <c r="W37" s="80" t="str">
        <f>IFERROR(__xludf.DUMMYFUNCTION("""COMPUTED_VALUE"""),"BLUTO")</f>
        <v>BLUTO</v>
      </c>
      <c r="X37" s="80" t="str">
        <f>IFERROR(__xludf.DUMMYFUNCTION("""COMPUTED_VALUE"""),"BLUTO")</f>
        <v>BLUTO</v>
      </c>
      <c r="Y37" s="80" t="str">
        <f>IFERROR(__xludf.DUMMYFUNCTION("""COMPUTED_VALUE"""),"SUMENEP")</f>
        <v>SUMENEP</v>
      </c>
      <c r="Z37" s="80" t="str">
        <f>IFERROR(__xludf.DUMMYFUNCTION("""COMPUTED_VALUE"""),"JAWA TIMUR")</f>
        <v>JAWA TIMUR</v>
      </c>
      <c r="AA37" s="80" t="str">
        <f>IFERROR(__xludf.DUMMYFUNCTION("""COMPUTED_VALUE"""),"69466")</f>
        <v>69466</v>
      </c>
      <c r="AB37" s="80" t="str">
        <f>IFERROR(__xludf.DUMMYFUNCTION("""COMPUTED_VALUE"""),"3529051509790001")</f>
        <v>3529051509790001</v>
      </c>
      <c r="AC37" s="80" t="str">
        <f>IFERROR(__xludf.DUMMYFUNCTION("""COMPUTED_VALUE"""),"14.256.532.4-608.000")</f>
        <v>14.256.532.4-608.000</v>
      </c>
      <c r="AD37" s="80" t="str">
        <f>IFERROR(__xludf.DUMMYFUNCTION("""COMPUTED_VALUE"""),"CUM - DNH")</f>
        <v>CUM - DNH</v>
      </c>
      <c r="AE37" s="80" t="str">
        <f>IFERROR(__xludf.DUMMYFUNCTION("""COMPUTED_VALUE"""),"SUB DONY HARYONO")</f>
        <v>SUB DONY HARYONO</v>
      </c>
      <c r="AF37" s="80" t="str">
        <f>IFERROR(__xludf.DUMMYFUNCTION("""COMPUTED_VALUE"""),"085607277775")</f>
        <v>085607277775</v>
      </c>
      <c r="AG37" s="80" t="str">
        <f>IFERROR(__xludf.DUMMYFUNCTION("""COMPUTED_VALUE"""),"085607277775")</f>
        <v>085607277775</v>
      </c>
      <c r="AH37" s="80" t="str">
        <f>IFERROR(__xludf.DUMMYFUNCTION("""COMPUTED_VALUE"""),"CHONK.JHONIE@GMAIL.COM")</f>
        <v>CHONK.JHONIE@GMAIL.COM</v>
      </c>
      <c r="AI37" s="80" t="str">
        <f>IFERROR(__xludf.DUMMYFUNCTION("""COMPUTED_VALUE"""),"69466S1")</f>
        <v>69466S1</v>
      </c>
      <c r="AJ37" s="80" t="str">
        <f>IFERROR(__xludf.DUMMYFUNCTION("""COMPUTED_VALUE"""),"63218b714f931e7105178895")</f>
        <v>63218b714f931e7105178895</v>
      </c>
      <c r="AK37" s="80" t="str">
        <f>IFERROR(__xludf.DUMMYFUNCTION("""COMPUTED_VALUE"""),"dm69466s1")</f>
        <v>dm69466s1</v>
      </c>
      <c r="AL37" s="80" t="str">
        <f>IFERROR(__xludf.DUMMYFUNCTION("""COMPUTED_VALUE"""),"password")</f>
        <v>password</v>
      </c>
      <c r="AM37" s="80" t="str">
        <f>IFERROR(__xludf.DUMMYFUNCTION("""COMPUTED_VALUE"""),"KANTOR REGIONAL V SURABAYA 60004")</f>
        <v>KANTOR REGIONAL V SURABAYA 60004</v>
      </c>
      <c r="AN37" s="80" t="str">
        <f>IFERROR(__xludf.DUMMYFUNCTION("""COMPUTED_VALUE"""),"KC SUMENEP 69400")</f>
        <v>KC SUMENEP 69400</v>
      </c>
      <c r="AO37" s="80" t="str">
        <f>IFERROR(__xludf.DUMMYFUNCTION("""COMPUTED_VALUE"""),"1006220014755")</f>
        <v>1006220014755</v>
      </c>
      <c r="AP37" s="80" t="str">
        <f>IFERROR(__xludf.DUMMYFUNCTION("""COMPUTED_VALUE"""),"53202 ( AKTIFITAS AGEN KURIR )")</f>
        <v>53202 ( AKTIFITAS AGEN KURIR )</v>
      </c>
      <c r="AQ37" s="83"/>
      <c r="AR37" s="80"/>
      <c r="AS37" s="80"/>
      <c r="AT37" s="80" t="str">
        <f>IFERROR(__xludf.DUMMYFUNCTION("""COMPUTED_VALUE"""),"-71,216,715")</f>
        <v>-71,216,715</v>
      </c>
      <c r="AU37" s="80" t="str">
        <f>IFERROR(__xludf.DUMMYFUNCTION("""COMPUTED_VALUE"""),"1,137,971,918")</f>
        <v>1,137,971,918</v>
      </c>
      <c r="AV37" s="80" t="str">
        <f>IFERROR(__xludf.DUMMYFUNCTION("""COMPUTED_VALUE"""),"ADA")</f>
        <v>ADA</v>
      </c>
      <c r="AW37" s="80" t="str">
        <f>IFERROR(__xludf.DUMMYFUNCTION("""COMPUTED_VALUE"""),"ADA")</f>
        <v>ADA</v>
      </c>
      <c r="AX37" s="80"/>
      <c r="AY37" s="80"/>
      <c r="AZ37" s="80"/>
      <c r="BA37" s="80" t="str">
        <f>IFERROR(__xludf.DUMMYFUNCTION("""COMPUTED_VALUE"""),"ADA")</f>
        <v>ADA</v>
      </c>
      <c r="BB37" s="80" t="str">
        <f>IFERROR(__xludf.DUMMYFUNCTION("""COMPUTED_VALUE"""),"ADA")</f>
        <v>ADA</v>
      </c>
      <c r="BC37" s="80"/>
      <c r="BD37" s="80"/>
      <c r="BE37" s="80" t="str">
        <f>IFERROR(__xludf.DUMMYFUNCTION("""COMPUTED_VALUE"""),"ADA")</f>
        <v>ADA</v>
      </c>
      <c r="BF37" s="80" t="str">
        <f>IFERROR(__xludf.DUMMYFUNCTION("""COMPUTED_VALUE"""),"ADA")</f>
        <v>ADA</v>
      </c>
      <c r="BG37" s="80" t="str">
        <f>IFERROR(__xludf.DUMMYFUNCTION("""COMPUTED_VALUE"""),"ADA")</f>
        <v>ADA</v>
      </c>
      <c r="BH37" s="80" t="str">
        <f>IFERROR(__xludf.DUMMYFUNCTION("""COMPUTED_VALUE"""),"PRINTER TINTA")</f>
        <v>PRINTER TINTA</v>
      </c>
      <c r="BI37" s="80" t="str">
        <f>IFERROR(__xludf.DUMMYFUNCTION("""COMPUTED_VALUE"""),"ADA")</f>
        <v>ADA</v>
      </c>
      <c r="BJ37" s="80" t="str">
        <f>IFERROR(__xludf.DUMMYFUNCTION("""COMPUTED_VALUE"""),"KERTAS HVS")</f>
        <v>KERTAS HVS</v>
      </c>
      <c r="BK37" s="80"/>
      <c r="BL37" s="80" t="str">
        <f>IFERROR(__xludf.DUMMYFUNCTION("""COMPUTED_VALUE"""),"PLAFON")</f>
        <v>PLAFON</v>
      </c>
      <c r="BM37" s="80"/>
      <c r="BN37" s="80"/>
      <c r="BO37" s="80"/>
      <c r="BP37" s="80"/>
      <c r="BQ37" s="80"/>
      <c r="BR37" s="80"/>
      <c r="BS37" s="80"/>
      <c r="BT37" s="80"/>
      <c r="BU37" s="80"/>
      <c r="BV37" s="80" t="str">
        <f>IFERROR(__xludf.DUMMYFUNCTION("""COMPUTED_VALUE"""),"Dusun Temor Lorong Rt 022 Rw 010 Desa Bluto Kec Bbluto Kab Sumenep Jawa Timur")</f>
        <v>Dusun Temor Lorong Rt 022 Rw 010 Desa Bluto Kec Bbluto Kab Sumenep Jawa Timur</v>
      </c>
      <c r="BW37" s="80"/>
      <c r="BX37" s="80"/>
      <c r="BY37" s="80"/>
      <c r="BZ37" s="80"/>
      <c r="CA37" s="80"/>
      <c r="CB37" s="80"/>
      <c r="CC37" s="80"/>
      <c r="CD37" s="80"/>
      <c r="CE37" s="80"/>
      <c r="CF37" s="80"/>
      <c r="CG37" s="80"/>
      <c r="CH37" s="80"/>
      <c r="CI37" s="80"/>
      <c r="CJ37" s="80"/>
      <c r="CK37" s="2"/>
    </row>
    <row r="38" ht="12.75" customHeight="1">
      <c r="A38" s="85">
        <f>IFERROR(__xludf.DUMMYFUNCTION("""COMPUTED_VALUE"""),35.0)</f>
        <v>35</v>
      </c>
      <c r="B38" s="85" t="str">
        <f>IFERROR(__xludf.DUMMYFUNCTION("""COMPUTED_VALUE"""),"'01 September 2022")</f>
        <v>'01 September 2022</v>
      </c>
      <c r="C38" s="85" t="str">
        <f>IFERROR(__xludf.DUMMYFUNCTION("""COMPUTED_VALUE"""),"'01 September 2022")</f>
        <v>'01 September 2022</v>
      </c>
      <c r="D38" s="86"/>
      <c r="E38" s="88"/>
      <c r="F38" s="85" t="str">
        <f>IFERROR(__xludf.DUMMYFUNCTION("""COMPUTED_VALUE"""),"3 OKTOBER 2022")</f>
        <v>3 OKTOBER 2022</v>
      </c>
      <c r="G38" s="86">
        <f>IFERROR(__xludf.DUMMYFUNCTION("""COMPUTED_VALUE"""),44838.0)</f>
        <v>44838</v>
      </c>
      <c r="H38" s="85"/>
      <c r="I38" s="85" t="str">
        <f>IFERROR(__xludf.DUMMYFUNCTION("""COMPUTED_VALUE"""),"4/10/2022")</f>
        <v>4/10/2022</v>
      </c>
      <c r="J38" s="85"/>
      <c r="K38" s="85"/>
      <c r="L38" s="85"/>
      <c r="M38" s="85"/>
      <c r="N38" s="85"/>
      <c r="O38" s="85"/>
      <c r="P38" s="85" t="str">
        <f>IFERROR(__xludf.DUMMYFUNCTION("""COMPUTED_VALUE"""),"53BSPA25162JBRND")</f>
        <v>53BSPA25162JBRND</v>
      </c>
      <c r="Q38" s="85" t="str">
        <f>IFERROR(__xludf.DUMMYFUNCTION("""COMPUTED_VALUE"""),"LOKET R&amp;R AURA ZHAAFIRA")</f>
        <v>LOKET R&amp;R AURA ZHAAFIRA</v>
      </c>
      <c r="R38" s="85" t="str">
        <f>IFERROR(__xludf.DUMMYFUNCTION("""COMPUTED_VALUE"""),"LOKET R&amp;R AURA ZHAAFIRA")</f>
        <v>LOKET R&amp;R AURA ZHAAFIRA</v>
      </c>
      <c r="S38" s="85" t="str">
        <f>IFERROR(__xludf.DUMMYFUNCTION("""COMPUTED_VALUE"""),"Cecep Mulyana")</f>
        <v>Cecep Mulyana</v>
      </c>
      <c r="T38" s="85" t="str">
        <f>IFERROR(__xludf.DUMMYFUNCTION("""COMPUTED_VALUE"""),"Blok Tajurwangi Rt.002 Rw.006")</f>
        <v>Blok Tajurwangi Rt.002 Rw.006</v>
      </c>
      <c r="U38" s="85" t="str">
        <f>IFERROR(__xludf.DUMMYFUNCTION("""COMPUTED_VALUE"""),"BLOK TAJURWANGI RT.002 RW.006")</f>
        <v>BLOK TAJURWANGI RT.002 RW.006</v>
      </c>
      <c r="V38" s="85" t="str">
        <f>IFERROR(__xludf.DUMMYFUNCTION("""COMPUTED_VALUE"""),"002/006")</f>
        <v>002/006</v>
      </c>
      <c r="W38" s="85" t="str">
        <f>IFERROR(__xludf.DUMMYFUNCTION("""COMPUTED_VALUE"""),"WARINGIN")</f>
        <v>WARINGIN</v>
      </c>
      <c r="X38" s="85" t="str">
        <f>IFERROR(__xludf.DUMMYFUNCTION("""COMPUTED_VALUE"""),"PALASAH")</f>
        <v>PALASAH</v>
      </c>
      <c r="Y38" s="85" t="str">
        <f>IFERROR(__xludf.DUMMYFUNCTION("""COMPUTED_VALUE"""),"KAB.MAJALENGKA")</f>
        <v>KAB.MAJALENGKA</v>
      </c>
      <c r="Z38" s="85" t="str">
        <f>IFERROR(__xludf.DUMMYFUNCTION("""COMPUTED_VALUE"""),"JAWA BARAT")</f>
        <v>JAWA BARAT</v>
      </c>
      <c r="AA38" s="85" t="str">
        <f>IFERROR(__xludf.DUMMYFUNCTION("""COMPUTED_VALUE"""),"45475")</f>
        <v>45475</v>
      </c>
      <c r="AB38" s="85" t="str">
        <f>IFERROR(__xludf.DUMMYFUNCTION("""COMPUTED_VALUE"""),"3210191601810001")</f>
        <v>3210191601810001</v>
      </c>
      <c r="AC38" s="85" t="str">
        <f>IFERROR(__xludf.DUMMYFUNCTION("""COMPUTED_VALUE"""),"70.352.266.4-438.000")</f>
        <v>70.352.266.4-438.000</v>
      </c>
      <c r="AD38" s="85" t="str">
        <f>IFERROR(__xludf.DUMMYFUNCTION("""COMPUTED_VALUE"""),"CUM - NDS")</f>
        <v>CUM - NDS</v>
      </c>
      <c r="AE38" s="85" t="str">
        <f>IFERROR(__xludf.DUMMYFUNCTION("""COMPUTED_VALUE"""),"SUB NURUL DIMAS")</f>
        <v>SUB NURUL DIMAS</v>
      </c>
      <c r="AF38" s="85" t="str">
        <f>IFERROR(__xludf.DUMMYFUNCTION("""COMPUTED_VALUE"""),"081324788799")</f>
        <v>081324788799</v>
      </c>
      <c r="AG38" s="85" t="str">
        <f>IFERROR(__xludf.DUMMYFUNCTION("""COMPUTED_VALUE"""),"'081324788799")</f>
        <v>'081324788799</v>
      </c>
      <c r="AH38" s="85" t="str">
        <f>IFERROR(__xludf.DUMMYFUNCTION("""COMPUTED_VALUE"""),"chep.maulan@gmail.com")</f>
        <v>chep.maulan@gmail.com</v>
      </c>
      <c r="AI38" s="85" t="str">
        <f>IFERROR(__xludf.DUMMYFUNCTION("""COMPUTED_VALUE"""),"45475S1")</f>
        <v>45475S1</v>
      </c>
      <c r="AJ38" s="85" t="str">
        <f>IFERROR(__xludf.DUMMYFUNCTION("""COMPUTED_VALUE"""),"63156340fb451063ac1a4ebb")</f>
        <v>63156340fb451063ac1a4ebb</v>
      </c>
      <c r="AK38" s="85" t="str">
        <f>IFERROR(__xludf.DUMMYFUNCTION("""COMPUTED_VALUE"""),"dm45475s1")</f>
        <v>dm45475s1</v>
      </c>
      <c r="AL38" s="85" t="str">
        <f>IFERROR(__xludf.DUMMYFUNCTION("""COMPUTED_VALUE"""),"password")</f>
        <v>password</v>
      </c>
      <c r="AM38" s="85" t="str">
        <f>IFERROR(__xludf.DUMMYFUNCTION("""COMPUTED_VALUE"""),"KANTOR REGIONAL III BANDUNG 40004")</f>
        <v>KANTOR REGIONAL III BANDUNG 40004</v>
      </c>
      <c r="AN38" s="85" t="str">
        <f>IFERROR(__xludf.DUMMYFUNCTION("""COMPUTED_VALUE"""),"KANTOR POS PALASAH")</f>
        <v>KANTOR POS PALASAH</v>
      </c>
      <c r="AO38" s="85" t="str">
        <f>IFERROR(__xludf.DUMMYFUNCTION("""COMPUTED_VALUE"""),"0109220038406")</f>
        <v>0109220038406</v>
      </c>
      <c r="AP38" s="85" t="str">
        <f>IFERROR(__xludf.DUMMYFUNCTION("""COMPUTED_VALUE"""),"01092200384060001")</f>
        <v>01092200384060001</v>
      </c>
      <c r="AQ38" s="93"/>
      <c r="AR38" s="85"/>
      <c r="AS38" s="85"/>
      <c r="AT38" s="85" t="str">
        <f>IFERROR(__xludf.DUMMYFUNCTION("""COMPUTED_VALUE"""),"-67,518,419")</f>
        <v>-67,518,419</v>
      </c>
      <c r="AU38" s="85" t="str">
        <f>IFERROR(__xludf.DUMMYFUNCTION("""COMPUTED_VALUE"""),"108.2927095")</f>
        <v>108.2927095</v>
      </c>
      <c r="AV38" s="85" t="str">
        <f>IFERROR(__xludf.DUMMYFUNCTION("""COMPUTED_VALUE"""),"ADA")</f>
        <v>ADA</v>
      </c>
      <c r="AW38" s="85" t="str">
        <f>IFERROR(__xludf.DUMMYFUNCTION("""COMPUTED_VALUE"""),"ADA")</f>
        <v>ADA</v>
      </c>
      <c r="AX38" s="85"/>
      <c r="AY38" s="85"/>
      <c r="AZ38" s="85"/>
      <c r="BA38" s="85" t="str">
        <f>IFERROR(__xludf.DUMMYFUNCTION("""COMPUTED_VALUE"""),"ADA")</f>
        <v>ADA</v>
      </c>
      <c r="BB38" s="85" t="str">
        <f>IFERROR(__xludf.DUMMYFUNCTION("""COMPUTED_VALUE"""),"ADA")</f>
        <v>ADA</v>
      </c>
      <c r="BC38" s="85" t="str">
        <f>IFERROR(__xludf.DUMMYFUNCTION("""COMPUTED_VALUE"""),"ADA")</f>
        <v>ADA</v>
      </c>
      <c r="BD38" s="85" t="str">
        <f>IFERROR(__xludf.DUMMYFUNCTION("""COMPUTED_VALUE"""),"ADA")</f>
        <v>ADA</v>
      </c>
      <c r="BE38" s="85" t="str">
        <f>IFERROR(__xludf.DUMMYFUNCTION("""COMPUTED_VALUE"""),"ADA")</f>
        <v>ADA</v>
      </c>
      <c r="BF38" s="85" t="str">
        <f>IFERROR(__xludf.DUMMYFUNCTION("""COMPUTED_VALUE"""),"ADA")</f>
        <v>ADA</v>
      </c>
      <c r="BG38" s="85" t="str">
        <f>IFERROR(__xludf.DUMMYFUNCTION("""COMPUTED_VALUE"""),"ADA")</f>
        <v>ADA</v>
      </c>
      <c r="BH38" s="85" t="str">
        <f>IFERROR(__xludf.DUMMYFUNCTION("""COMPUTED_VALUE"""),"EPSON")</f>
        <v>EPSON</v>
      </c>
      <c r="BI38" s="85" t="str">
        <f>IFERROR(__xludf.DUMMYFUNCTION("""COMPUTED_VALUE"""),"ADA")</f>
        <v>ADA</v>
      </c>
      <c r="BJ38" s="85" t="str">
        <f>IFERROR(__xludf.DUMMYFUNCTION("""COMPUTED_VALUE"""),"KERTAS HVS")</f>
        <v>KERTAS HVS</v>
      </c>
      <c r="BK38" s="85" t="str">
        <f>IFERROR(__xludf.DUMMYFUNCTION("""COMPUTED_VALUE"""),"BELUM ADA")</f>
        <v>BELUM ADA</v>
      </c>
      <c r="BL38" s="85"/>
      <c r="BM38" s="85"/>
      <c r="BN38" s="85"/>
      <c r="BO38" s="85"/>
      <c r="BP38" s="85"/>
      <c r="BQ38" s="85"/>
      <c r="BR38" s="85"/>
      <c r="BS38" s="85"/>
      <c r="BT38" s="85"/>
      <c r="BU38" s="85"/>
      <c r="BV38" s="85" t="str">
        <f>IFERROR(__xludf.DUMMYFUNCTION("""COMPUTED_VALUE"""),"Blok Tajurwangi Rt.002 Rw.006")</f>
        <v>Blok Tajurwangi Rt.002 Rw.006</v>
      </c>
      <c r="BW38" s="85"/>
      <c r="BX38" s="85"/>
      <c r="BY38" s="85"/>
      <c r="BZ38" s="85"/>
      <c r="CA38" s="85"/>
      <c r="CB38" s="85"/>
      <c r="CC38" s="85"/>
      <c r="CD38" s="85"/>
      <c r="CE38" s="85"/>
      <c r="CF38" s="85"/>
      <c r="CG38" s="85"/>
      <c r="CH38" s="85"/>
      <c r="CI38" s="85"/>
      <c r="CJ38" s="85"/>
      <c r="CK38" s="2"/>
    </row>
    <row r="39" ht="12.75" customHeight="1">
      <c r="A39" s="80">
        <f>IFERROR(__xludf.DUMMYFUNCTION("""COMPUTED_VALUE"""),36.0)</f>
        <v>36</v>
      </c>
      <c r="B39" s="80" t="str">
        <f>IFERROR(__xludf.DUMMYFUNCTION("""COMPUTED_VALUE"""),"'01 September 2022")</f>
        <v>'01 September 2022</v>
      </c>
      <c r="C39" s="80" t="str">
        <f>IFERROR(__xludf.DUMMYFUNCTION("""COMPUTED_VALUE"""),"'01 September 2022")</f>
        <v>'01 September 2022</v>
      </c>
      <c r="D39" s="81"/>
      <c r="E39" s="82"/>
      <c r="F39" s="80"/>
      <c r="G39" s="81"/>
      <c r="H39" s="80"/>
      <c r="I39" s="80"/>
      <c r="J39" s="80"/>
      <c r="K39" s="80"/>
      <c r="L39" s="80"/>
      <c r="M39" s="80"/>
      <c r="N39" s="80"/>
      <c r="O39" s="80"/>
      <c r="P39" s="80" t="str">
        <f>IFERROR(__xludf.DUMMYFUNCTION("""COMPUTED_VALUE"""),"55BSPA05285BLINN")</f>
        <v>55BSPA05285BLINN</v>
      </c>
      <c r="Q39" s="80" t="str">
        <f>IFERROR(__xludf.DUMMYFUNCTION("""COMPUTED_VALUE"""),"LOKET ONPAYS")</f>
        <v>LOKET ONPAYS</v>
      </c>
      <c r="R39" s="80" t="str">
        <f>IFERROR(__xludf.DUMMYFUNCTION("""COMPUTED_VALUE"""),"LOKET ONPAYS")</f>
        <v>LOKET ONPAYS</v>
      </c>
      <c r="S39" s="80" t="str">
        <f>IFERROR(__xludf.DUMMYFUNCTION("""COMPUTED_VALUE"""),"I Ketut Sugiarta")</f>
        <v>I Ketut Sugiarta</v>
      </c>
      <c r="T39" s="80" t="str">
        <f>IFERROR(__xludf.DUMMYFUNCTION("""COMPUTED_VALUE"""),"Jl.Buana Kubu Gg.Asam Xiv C N0.7 Kel.Tegal Harum Kec.Denpasar Barat")</f>
        <v>Jl.Buana Kubu Gg.Asam Xiv C N0.7 Kel.Tegal Harum Kec.Denpasar Barat</v>
      </c>
      <c r="U39" s="80" t="str">
        <f>IFERROR(__xludf.DUMMYFUNCTION("""COMPUTED_VALUE"""),"Jalan gunung Batur no 60 kelurahan pemecutan Denpasar barat")</f>
        <v>Jalan gunung Batur no 60 kelurahan pemecutan Denpasar barat</v>
      </c>
      <c r="V39" s="80"/>
      <c r="W39" s="80" t="str">
        <f>IFERROR(__xludf.DUMMYFUNCTION("""COMPUTED_VALUE"""),"PEMECUTAN")</f>
        <v>PEMECUTAN</v>
      </c>
      <c r="X39" s="80" t="str">
        <f>IFERROR(__xludf.DUMMYFUNCTION("""COMPUTED_VALUE"""),"DENPASAR BARAT")</f>
        <v>DENPASAR BARAT</v>
      </c>
      <c r="Y39" s="80" t="str">
        <f>IFERROR(__xludf.DUMMYFUNCTION("""COMPUTED_VALUE"""),"KOTA DENPASAR")</f>
        <v>KOTA DENPASAR</v>
      </c>
      <c r="Z39" s="80" t="str">
        <f>IFERROR(__xludf.DUMMYFUNCTION("""COMPUTED_VALUE"""),"BALI")</f>
        <v>BALI</v>
      </c>
      <c r="AA39" s="80" t="str">
        <f>IFERROR(__xludf.DUMMYFUNCTION("""COMPUTED_VALUE"""),"80119")</f>
        <v>80119</v>
      </c>
      <c r="AB39" s="80" t="str">
        <f>IFERROR(__xludf.DUMMYFUNCTION("""COMPUTED_VALUE"""),"5171030601810020")</f>
        <v>5171030601810020</v>
      </c>
      <c r="AC39" s="80" t="str">
        <f>IFERROR(__xludf.DUMMYFUNCTION("""COMPUTED_VALUE"""),"57.943.315.2-901.000")</f>
        <v>57.943.315.2-901.000</v>
      </c>
      <c r="AD39" s="80" t="str">
        <f>IFERROR(__xludf.DUMMYFUNCTION("""COMPUTED_VALUE"""),"CUM - NIN")</f>
        <v>CUM - NIN</v>
      </c>
      <c r="AE39" s="80" t="str">
        <f>IFERROR(__xludf.DUMMYFUNCTION("""COMPUTED_VALUE"""),"SUB NINING")</f>
        <v>SUB NINING</v>
      </c>
      <c r="AF39" s="80" t="str">
        <f>IFERROR(__xludf.DUMMYFUNCTION("""COMPUTED_VALUE"""),"081916655738")</f>
        <v>081916655738</v>
      </c>
      <c r="AG39" s="80" t="str">
        <f>IFERROR(__xludf.DUMMYFUNCTION("""COMPUTED_VALUE"""),"'081916655738")</f>
        <v>'081916655738</v>
      </c>
      <c r="AH39" s="99" t="str">
        <f>IFERROR(__xludf.DUMMYFUNCTION("""COMPUTED_VALUE"""),"ktunyil87@gmail.com")</f>
        <v>ktunyil87@gmail.com</v>
      </c>
      <c r="AI39" s="80" t="str">
        <f>IFERROR(__xludf.DUMMYFUNCTION("""COMPUTED_VALUE"""),"80119S5")</f>
        <v>80119S5</v>
      </c>
      <c r="AJ39" s="80" t="str">
        <f>IFERROR(__xludf.DUMMYFUNCTION("""COMPUTED_VALUE"""),"634e12ddd921c5046f51dc97")</f>
        <v>634e12ddd921c5046f51dc97</v>
      </c>
      <c r="AK39" s="80" t="str">
        <f>IFERROR(__xludf.DUMMYFUNCTION("""COMPUTED_VALUE"""),"dm80119s5")</f>
        <v>dm80119s5</v>
      </c>
      <c r="AL39" s="80" t="str">
        <f>IFERROR(__xludf.DUMMYFUNCTION("""COMPUTED_VALUE"""),"password")</f>
        <v>password</v>
      </c>
      <c r="AM39" s="80" t="str">
        <f>IFERROR(__xludf.DUMMYFUNCTION("""COMPUTED_VALUE"""),"KANTOR REGIONAL V SURABAYA 60004")</f>
        <v>KANTOR REGIONAL V SURABAYA 60004</v>
      </c>
      <c r="AN39" s="80" t="str">
        <f>IFERROR(__xludf.DUMMYFUNCTION("""COMPUTED_VALUE"""),"KANTOR POS KCU DENPASAR")</f>
        <v>KANTOR POS KCU DENPASAR</v>
      </c>
      <c r="AO39" s="80" t="str">
        <f>IFERROR(__xludf.DUMMYFUNCTION("""COMPUTED_VALUE"""),"0109220050995")</f>
        <v>0109220050995</v>
      </c>
      <c r="AP39" s="80" t="str">
        <f>IFERROR(__xludf.DUMMYFUNCTION("""COMPUTED_VALUE"""),"01092200509950001")</f>
        <v>01092200509950001</v>
      </c>
      <c r="AQ39" s="83"/>
      <c r="AR39" s="80"/>
      <c r="AS39" s="80"/>
      <c r="AT39" s="80" t="str">
        <f>IFERROR(__xludf.DUMMYFUNCTION("""COMPUTED_VALUE"""),"-8.6580397")</f>
        <v>-8.6580397</v>
      </c>
      <c r="AU39" s="80" t="str">
        <f>IFERROR(__xludf.DUMMYFUNCTION("""COMPUTED_VALUE"""),"'115.2054579")</f>
        <v>'115.2054579</v>
      </c>
      <c r="AV39" s="80" t="str">
        <f>IFERROR(__xludf.DUMMYFUNCTION("""COMPUTED_VALUE"""),"ADA")</f>
        <v>ADA</v>
      </c>
      <c r="AW39" s="80" t="str">
        <f>IFERROR(__xludf.DUMMYFUNCTION("""COMPUTED_VALUE"""),"ADA")</f>
        <v>ADA</v>
      </c>
      <c r="AX39" s="80"/>
      <c r="AY39" s="80"/>
      <c r="AZ39" s="80"/>
      <c r="BA39" s="80" t="str">
        <f>IFERROR(__xludf.DUMMYFUNCTION("""COMPUTED_VALUE"""),"ADA")</f>
        <v>ADA</v>
      </c>
      <c r="BB39" s="80" t="str">
        <f>IFERROR(__xludf.DUMMYFUNCTION("""COMPUTED_VALUE"""),"ADA")</f>
        <v>ADA</v>
      </c>
      <c r="BC39" s="80" t="str">
        <f>IFERROR(__xludf.DUMMYFUNCTION("""COMPUTED_VALUE"""),"ADA")</f>
        <v>ADA</v>
      </c>
      <c r="BD39" s="80" t="str">
        <f>IFERROR(__xludf.DUMMYFUNCTION("""COMPUTED_VALUE"""),"ADA")</f>
        <v>ADA</v>
      </c>
      <c r="BE39" s="80" t="str">
        <f>IFERROR(__xludf.DUMMYFUNCTION("""COMPUTED_VALUE"""),"ADA")</f>
        <v>ADA</v>
      </c>
      <c r="BF39" s="80" t="str">
        <f>IFERROR(__xludf.DUMMYFUNCTION("""COMPUTED_VALUE"""),"ADA")</f>
        <v>ADA</v>
      </c>
      <c r="BG39" s="80" t="str">
        <f>IFERROR(__xludf.DUMMYFUNCTION("""COMPUTED_VALUE"""),"ADA")</f>
        <v>ADA</v>
      </c>
      <c r="BH39" s="80"/>
      <c r="BI39" s="80"/>
      <c r="BJ39" s="80"/>
      <c r="BK39" s="80"/>
      <c r="BL39" s="80"/>
      <c r="BM39" s="80"/>
      <c r="BN39" s="80"/>
      <c r="BO39" s="80"/>
      <c r="BP39" s="80"/>
      <c r="BQ39" s="80"/>
      <c r="BR39" s="80"/>
      <c r="BS39" s="80"/>
      <c r="BT39" s="80"/>
      <c r="BU39" s="80"/>
      <c r="BV39" s="80" t="str">
        <f>IFERROR(__xludf.DUMMYFUNCTION("""COMPUTED_VALUE"""),"Jl.Buana Kubu Gg.Asam Xiv C N0.7 Kel.Tegal Harum Kec.Denpasar Barat")</f>
        <v>Jl.Buana Kubu Gg.Asam Xiv C N0.7 Kel.Tegal Harum Kec.Denpasar Barat</v>
      </c>
      <c r="BW39" s="80"/>
      <c r="BX39" s="80"/>
      <c r="BY39" s="80"/>
      <c r="BZ39" s="80"/>
      <c r="CA39" s="80"/>
      <c r="CB39" s="80"/>
      <c r="CC39" s="80"/>
      <c r="CD39" s="80"/>
      <c r="CE39" s="80"/>
      <c r="CF39" s="80"/>
      <c r="CG39" s="80"/>
      <c r="CH39" s="80"/>
      <c r="CI39" s="80"/>
      <c r="CJ39" s="80"/>
      <c r="CK39" s="2"/>
    </row>
    <row r="40" ht="12.75" customHeight="1">
      <c r="A40" s="85">
        <f>IFERROR(__xludf.DUMMYFUNCTION("""COMPUTED_VALUE"""),37.0)</f>
        <v>37</v>
      </c>
      <c r="B40" s="85" t="str">
        <f>IFERROR(__xludf.DUMMYFUNCTION("""COMPUTED_VALUE"""),"17 OKTOBER 2022")</f>
        <v>17 OKTOBER 2022</v>
      </c>
      <c r="C40" s="85" t="str">
        <f>IFERROR(__xludf.DUMMYFUNCTION("""COMPUTED_VALUE"""),"18 OKTOBER 2022")</f>
        <v>18 OKTOBER 2022</v>
      </c>
      <c r="D40" s="86"/>
      <c r="E40" s="88"/>
      <c r="F40" s="85"/>
      <c r="G40" s="86"/>
      <c r="H40" s="85"/>
      <c r="I40" s="85"/>
      <c r="J40" s="85"/>
      <c r="K40" s="85"/>
      <c r="L40" s="85"/>
      <c r="M40" s="85"/>
      <c r="N40" s="85"/>
      <c r="O40" s="85"/>
      <c r="P40" s="85" t="str">
        <f>IFERROR(__xludf.DUMMYFUNCTION("""COMPUTED_VALUE"""),"52BSPA07244JTWWK")</f>
        <v>52BSPA07244JTWWK</v>
      </c>
      <c r="Q40" s="85" t="str">
        <f>IFERROR(__xludf.DUMMYFUNCTION("""COMPUTED_VALUE"""),"LOKET AGEN POS NIAS")</f>
        <v>LOKET AGEN POS NIAS</v>
      </c>
      <c r="R40" s="85" t="str">
        <f>IFERROR(__xludf.DUMMYFUNCTION("""COMPUTED_VALUE"""),"LOKET AGEN POS NIAS")</f>
        <v>LOKET AGEN POS NIAS</v>
      </c>
      <c r="S40" s="85" t="str">
        <f>IFERROR(__xludf.DUMMYFUNCTION("""COMPUTED_VALUE"""),"Boy Iman Syukur Gulo")</f>
        <v>Boy Iman Syukur Gulo</v>
      </c>
      <c r="T40" s="85" t="str">
        <f>IFERROR(__xludf.DUMMYFUNCTION("""COMPUTED_VALUE"""),"Lawelu, Desa/Kelurahan Lawelu, Kec. Ulu Moro""O, Kab. Nias Barat.Provinsi Sumatera Utara")</f>
        <v>Lawelu, Desa/Kelurahan Lawelu, Kec. Ulu Moro"O, Kab. Nias Barat.Provinsi Sumatera Utara</v>
      </c>
      <c r="U40" s="85" t="str">
        <f>IFERROR(__xludf.DUMMYFUNCTION("""COMPUTED_VALUE"""),"LAWELU, Desa/Kelurahan Lawelu, Kec. Ulu Moro""o, Kab. Nias Barat.Provinsi Sumatera Utara")</f>
        <v>LAWELU, Desa/Kelurahan Lawelu, Kec. Ulu Moro"o, Kab. Nias Barat.Provinsi Sumatera Utara</v>
      </c>
      <c r="V40" s="85"/>
      <c r="W40" s="85" t="str">
        <f>IFERROR(__xludf.DUMMYFUNCTION("""COMPUTED_VALUE"""),"LAWELU")</f>
        <v>LAWELU</v>
      </c>
      <c r="X40" s="85" t="str">
        <f>IFERROR(__xludf.DUMMYFUNCTION("""COMPUTED_VALUE"""),"ULU MORO""O")</f>
        <v>ULU MORO"O</v>
      </c>
      <c r="Y40" s="85" t="str">
        <f>IFERROR(__xludf.DUMMYFUNCTION("""COMPUTED_VALUE"""),"KAB.NIAS")</f>
        <v>KAB.NIAS</v>
      </c>
      <c r="Z40" s="85" t="str">
        <f>IFERROR(__xludf.DUMMYFUNCTION("""COMPUTED_VALUE"""),"SUMATERA UTARA")</f>
        <v>SUMATERA UTARA</v>
      </c>
      <c r="AA40" s="85" t="str">
        <f>IFERROR(__xludf.DUMMYFUNCTION("""COMPUTED_VALUE"""),"22862")</f>
        <v>22862</v>
      </c>
      <c r="AB40" s="85" t="str">
        <f>IFERROR(__xludf.DUMMYFUNCTION("""COMPUTED_VALUE"""),"1204241911990002")</f>
        <v>1204241911990002</v>
      </c>
      <c r="AC40" s="85" t="str">
        <f>IFERROR(__xludf.DUMMYFUNCTION("""COMPUTED_VALUE"""),"60.848.688.2-126.000")</f>
        <v>60.848.688.2-126.000</v>
      </c>
      <c r="AD40" s="85" t="str">
        <f>IFERROR(__xludf.DUMMYFUNCTION("""COMPUTED_VALUE"""),"CUM - WWK")</f>
        <v>CUM - WWK</v>
      </c>
      <c r="AE40" s="85" t="str">
        <f>IFERROR(__xludf.DUMMYFUNCTION("""COMPUTED_VALUE"""),"SUB WIWIK")</f>
        <v>SUB WIWIK</v>
      </c>
      <c r="AF40" s="85" t="str">
        <f>IFERROR(__xludf.DUMMYFUNCTION("""COMPUTED_VALUE"""),"082237922714")</f>
        <v>082237922714</v>
      </c>
      <c r="AG40" s="85" t="str">
        <f>IFERROR(__xludf.DUMMYFUNCTION("""COMPUTED_VALUE"""),"'082237922714")</f>
        <v>'082237922714</v>
      </c>
      <c r="AH40" s="85" t="str">
        <f>IFERROR(__xludf.DUMMYFUNCTION("""COMPUTED_VALUE"""),"guloboy520@gmail.com")</f>
        <v>guloboy520@gmail.com</v>
      </c>
      <c r="AI40" s="85" t="str">
        <f>IFERROR(__xludf.DUMMYFUNCTION("""COMPUTED_VALUE"""),"22862S2")</f>
        <v>22862S2</v>
      </c>
      <c r="AJ40" s="85" t="str">
        <f>IFERROR(__xludf.DUMMYFUNCTION("""COMPUTED_VALUE"""),"635fdf4cd7b6af4997159244")</f>
        <v>635fdf4cd7b6af4997159244</v>
      </c>
      <c r="AK40" s="85" t="str">
        <f>IFERROR(__xludf.DUMMYFUNCTION("""COMPUTED_VALUE"""),"dm22862s2")</f>
        <v>dm22862s2</v>
      </c>
      <c r="AL40" s="85" t="str">
        <f>IFERROR(__xludf.DUMMYFUNCTION("""COMPUTED_VALUE"""),"password")</f>
        <v>password</v>
      </c>
      <c r="AM40" s="85" t="str">
        <f>IFERROR(__xludf.DUMMYFUNCTION("""COMPUTED_VALUE"""),"KANTOR REGIONAL I MEDAN 20004")</f>
        <v>KANTOR REGIONAL I MEDAN 20004</v>
      </c>
      <c r="AN40" s="85" t="str">
        <f>IFERROR(__xludf.DUMMYFUNCTION("""COMPUTED_VALUE"""),"KANTOR POS SIROMBU")</f>
        <v>KANTOR POS SIROMBU</v>
      </c>
      <c r="AO40" s="85" t="str">
        <f>IFERROR(__xludf.DUMMYFUNCTION("""COMPUTED_VALUE""")," 0509220054941")</f>
        <v> 0509220054941</v>
      </c>
      <c r="AP40" s="85" t="str">
        <f>IFERROR(__xludf.DUMMYFUNCTION("""COMPUTED_VALUE"""),"05092200549410001")</f>
        <v>05092200549410001</v>
      </c>
      <c r="AQ40" s="93"/>
      <c r="AR40" s="85"/>
      <c r="AS40" s="85"/>
      <c r="AT40" s="85" t="str">
        <f>IFERROR(__xludf.DUMMYFUNCTION("""COMPUTED_VALUE"""),"1.0287445")</f>
        <v>1.0287445</v>
      </c>
      <c r="AU40" s="85" t="str">
        <f>IFERROR(__xludf.DUMMYFUNCTION("""COMPUTED_VALUE"""),"97.5313685")</f>
        <v>97.5313685</v>
      </c>
      <c r="AV40" s="85" t="str">
        <f>IFERROR(__xludf.DUMMYFUNCTION("""COMPUTED_VALUE"""),"ADA")</f>
        <v>ADA</v>
      </c>
      <c r="AW40" s="85" t="str">
        <f>IFERROR(__xludf.DUMMYFUNCTION("""COMPUTED_VALUE"""),"ADA")</f>
        <v>ADA</v>
      </c>
      <c r="AX40" s="85"/>
      <c r="AY40" s="85"/>
      <c r="AZ40" s="85"/>
      <c r="BA40" s="85" t="str">
        <f>IFERROR(__xludf.DUMMYFUNCTION("""COMPUTED_VALUE"""),"ADA")</f>
        <v>ADA</v>
      </c>
      <c r="BB40" s="85" t="str">
        <f>IFERROR(__xludf.DUMMYFUNCTION("""COMPUTED_VALUE"""),"ADA")</f>
        <v>ADA</v>
      </c>
      <c r="BC40" s="85" t="str">
        <f>IFERROR(__xludf.DUMMYFUNCTION("""COMPUTED_VALUE"""),"ADA")</f>
        <v>ADA</v>
      </c>
      <c r="BD40" s="85" t="str">
        <f>IFERROR(__xludf.DUMMYFUNCTION("""COMPUTED_VALUE"""),"ADA")</f>
        <v>ADA</v>
      </c>
      <c r="BE40" s="85" t="str">
        <f>IFERROR(__xludf.DUMMYFUNCTION("""COMPUTED_VALUE"""),"ADA")</f>
        <v>ADA</v>
      </c>
      <c r="BF40" s="85" t="str">
        <f>IFERROR(__xludf.DUMMYFUNCTION("""COMPUTED_VALUE"""),"BELUM ADA")</f>
        <v>BELUM ADA</v>
      </c>
      <c r="BG40" s="85" t="str">
        <f>IFERROR(__xludf.DUMMYFUNCTION("""COMPUTED_VALUE"""),"BELUM ADA")</f>
        <v>BELUM ADA</v>
      </c>
      <c r="BH40" s="85" t="str">
        <f>IFERROR(__xludf.DUMMYFUNCTION("""COMPUTED_VALUE"""),"BELUM ADA")</f>
        <v>BELUM ADA</v>
      </c>
      <c r="BI40" s="85" t="str">
        <f>IFERROR(__xludf.DUMMYFUNCTION("""COMPUTED_VALUE"""),"BELUM ADA")</f>
        <v>BELUM ADA</v>
      </c>
      <c r="BJ40" s="85" t="str">
        <f>IFERROR(__xludf.DUMMYFUNCTION("""COMPUTED_VALUE"""),"BELUM ADA")</f>
        <v>BELUM ADA</v>
      </c>
      <c r="BK40" s="85" t="str">
        <f>IFERROR(__xludf.DUMMYFUNCTION("""COMPUTED_VALUE"""),"BELUM ADA")</f>
        <v>BELUM ADA</v>
      </c>
      <c r="BL40" s="85"/>
      <c r="BM40" s="85"/>
      <c r="BN40" s="85"/>
      <c r="BO40" s="85"/>
      <c r="BP40" s="85"/>
      <c r="BQ40" s="85"/>
      <c r="BR40" s="85"/>
      <c r="BS40" s="85"/>
      <c r="BT40" s="85"/>
      <c r="BU40" s="85"/>
      <c r="BV40" s="85" t="str">
        <f>IFERROR(__xludf.DUMMYFUNCTION("""COMPUTED_VALUE"""),"Lawelu, Desa/Kelurahan Lawelu, Kec. Ulu Moro""O, Kab. Nias Barat.Provinsi Sumatera Utara")</f>
        <v>Lawelu, Desa/Kelurahan Lawelu, Kec. Ulu Moro"O, Kab. Nias Barat.Provinsi Sumatera Utara</v>
      </c>
      <c r="BW40" s="85"/>
      <c r="BX40" s="85"/>
      <c r="BY40" s="85"/>
      <c r="BZ40" s="85"/>
      <c r="CA40" s="85"/>
      <c r="CB40" s="85"/>
      <c r="CC40" s="85"/>
      <c r="CD40" s="85"/>
      <c r="CE40" s="85"/>
      <c r="CF40" s="85"/>
      <c r="CG40" s="85"/>
      <c r="CH40" s="85"/>
      <c r="CI40" s="85"/>
      <c r="CJ40" s="85"/>
      <c r="CK40" s="2"/>
    </row>
    <row r="41" ht="12.75" customHeight="1">
      <c r="A41" s="80">
        <f>IFERROR(__xludf.DUMMYFUNCTION("""COMPUTED_VALUE"""),38.0)</f>
        <v>38</v>
      </c>
      <c r="B41" s="80" t="str">
        <f>IFERROR(__xludf.DUMMYFUNCTION("""COMPUTED_VALUE"""),"07 SEPTEMBER 2022")</f>
        <v>07 SEPTEMBER 2022</v>
      </c>
      <c r="C41" s="80" t="str">
        <f>IFERROR(__xludf.DUMMYFUNCTION("""COMPUTED_VALUE"""),"07 SEPTEMBER 2022")</f>
        <v>07 SEPTEMBER 2022</v>
      </c>
      <c r="D41" s="81"/>
      <c r="E41" s="82"/>
      <c r="F41" s="80"/>
      <c r="G41" s="81"/>
      <c r="H41" s="80"/>
      <c r="I41" s="80"/>
      <c r="J41" s="80"/>
      <c r="K41" s="80" t="str">
        <f>IFERROR(__xludf.DUMMYFUNCTION("""COMPUTED_VALUE"""),"PERANGKAT BELUM LENGKAP")</f>
        <v>PERANGKAT BELUM LENGKAP</v>
      </c>
      <c r="L41" s="80"/>
      <c r="M41" s="80"/>
      <c r="N41" s="80"/>
      <c r="O41" s="80"/>
      <c r="P41" s="80" t="str">
        <f>IFERROR(__xludf.DUMMYFUNCTION("""COMPUTED_VALUE"""),"12BSPA19408PGWNF")</f>
        <v>12BSPA19408PGWNF</v>
      </c>
      <c r="Q41" s="80" t="str">
        <f>IFERROR(__xludf.DUMMYFUNCTION("""COMPUTED_VALUE"""),"CV. BARITO KARYA INDAH")</f>
        <v>CV. BARITO KARYA INDAH</v>
      </c>
      <c r="R41" s="80" t="str">
        <f>IFERROR(__xludf.DUMMYFUNCTION("""COMPUTED_VALUE"""),"CV. BARITO KARYA INDAH")</f>
        <v>CV. BARITO KARYA INDAH</v>
      </c>
      <c r="S41" s="80" t="str">
        <f>IFERROR(__xludf.DUMMYFUNCTION("""COMPUTED_VALUE"""),"Cv. Barito Karya Indah (Yamin)")</f>
        <v>Cv. Barito Karya Indah (Yamin)</v>
      </c>
      <c r="T41" s="80" t="str">
        <f>IFERROR(__xludf.DUMMYFUNCTION("""COMPUTED_VALUE"""),"Jl Barito Blok B No 18 1488 Rt  022 Rw 010 Sukamaju Sako Kota Palembang Sumatera  Selatan")</f>
        <v>Jl Barito Blok B No 18 1488 Rt  022 Rw 010 Sukamaju Sako Kota Palembang Sumatera  Selatan</v>
      </c>
      <c r="U41" s="80" t="str">
        <f>IFERROR(__xludf.DUMMYFUNCTION("""COMPUTED_VALUE"""),"JLN. KIMAROGAN NO 2548 KEL KARYA JAYA KEC KERTAPATI KOTA PALEMBANG SUMATERA SELATAN")</f>
        <v>JLN. KIMAROGAN NO 2548 KEL KARYA JAYA KEC KERTAPATI KOTA PALEMBANG SUMATERA SELATAN</v>
      </c>
      <c r="V41" s="80"/>
      <c r="W41" s="80" t="str">
        <f>IFERROR(__xludf.DUMMYFUNCTION("""COMPUTED_VALUE"""),"KARYA JAYA")</f>
        <v>KARYA JAYA</v>
      </c>
      <c r="X41" s="80" t="str">
        <f>IFERROR(__xludf.DUMMYFUNCTION("""COMPUTED_VALUE"""),"KERTAPATI")</f>
        <v>KERTAPATI</v>
      </c>
      <c r="Y41" s="80" t="str">
        <f>IFERROR(__xludf.DUMMYFUNCTION("""COMPUTED_VALUE"""),"PALEMBANG")</f>
        <v>PALEMBANG</v>
      </c>
      <c r="Z41" s="80" t="str">
        <f>IFERROR(__xludf.DUMMYFUNCTION("""COMPUTED_VALUE"""),"SUMATERA SELATAN")</f>
        <v>SUMATERA SELATAN</v>
      </c>
      <c r="AA41" s="80" t="str">
        <f>IFERROR(__xludf.DUMMYFUNCTION("""COMPUTED_VALUE"""),"30259")</f>
        <v>30259</v>
      </c>
      <c r="AB41" s="80" t="str">
        <f>IFERROR(__xludf.DUMMYFUNCTION("""COMPUTED_VALUE"""),"1671132307740001")</f>
        <v>1671132307740001</v>
      </c>
      <c r="AC41" s="80" t="str">
        <f>IFERROR(__xludf.DUMMYFUNCTION("""COMPUTED_VALUE"""),"94.521.802.2-301.000")</f>
        <v>94.521.802.2-301.000</v>
      </c>
      <c r="AD41" s="80" t="str">
        <f>IFERROR(__xludf.DUMMYFUNCTION("""COMPUTED_VALUE"""),"CUM - WNF")</f>
        <v>CUM - WNF</v>
      </c>
      <c r="AE41" s="80" t="str">
        <f>IFERROR(__xludf.DUMMYFUNCTION("""COMPUTED_VALUE"""),"SUB WINDA NURFITRIA")</f>
        <v>SUB WINDA NURFITRIA</v>
      </c>
      <c r="AF41" s="80" t="str">
        <f>IFERROR(__xludf.DUMMYFUNCTION("""COMPUTED_VALUE"""),"088286035267")</f>
        <v>088286035267</v>
      </c>
      <c r="AG41" s="80" t="str">
        <f>IFERROR(__xludf.DUMMYFUNCTION("""COMPUTED_VALUE"""),"088286035267")</f>
        <v>088286035267</v>
      </c>
      <c r="AH41" s="80" t="str">
        <f>IFERROR(__xludf.DUMMYFUNCTION("""COMPUTED_VALUE"""),"yaminy136@gmail.com")</f>
        <v>yaminy136@gmail.com</v>
      </c>
      <c r="AI41" s="80" t="str">
        <f>IFERROR(__xludf.DUMMYFUNCTION("""COMPUTED_VALUE"""),"30259S2")</f>
        <v>30259S2</v>
      </c>
      <c r="AJ41" s="80" t="str">
        <f>IFERROR(__xludf.DUMMYFUNCTION("""COMPUTED_VALUE"""),"632eaaa68e570144f545e2fd")</f>
        <v>632eaaa68e570144f545e2fd</v>
      </c>
      <c r="AK41" s="80" t="str">
        <f>IFERROR(__xludf.DUMMYFUNCTION("""COMPUTED_VALUE"""),"dm30259s2")</f>
        <v>dm30259s2</v>
      </c>
      <c r="AL41" s="80" t="str">
        <f>IFERROR(__xludf.DUMMYFUNCTION("""COMPUTED_VALUE"""),"password")</f>
        <v>password</v>
      </c>
      <c r="AM41" s="80" t="str">
        <f>IFERROR(__xludf.DUMMYFUNCTION("""COMPUTED_VALUE"""),"KANTOR REGIONAL I MEDAN 20004")</f>
        <v>KANTOR REGIONAL I MEDAN 20004</v>
      </c>
      <c r="AN41" s="80" t="str">
        <f>IFERROR(__xludf.DUMMYFUNCTION("""COMPUTED_VALUE"""),"KCU PALEMBANG")</f>
        <v>KCU PALEMBANG</v>
      </c>
      <c r="AO41" s="80" t="str">
        <f>IFERROR(__xludf.DUMMYFUNCTION("""COMPUTED_VALUE"""),"0220208330636")</f>
        <v>0220208330636</v>
      </c>
      <c r="AP41" s="80" t="str">
        <f>IFERROR(__xludf.DUMMYFUNCTION("""COMPUTED_VALUE"""),"'53202 ( AKTIFITAS AGEN KURIR )")</f>
        <v>'53202 ( AKTIFITAS AGEN KURIR )</v>
      </c>
      <c r="AQ41" s="83"/>
      <c r="AR41" s="80"/>
      <c r="AS41" s="80"/>
      <c r="AT41" s="80" t="str">
        <f>IFERROR(__xludf.DUMMYFUNCTION("""COMPUTED_VALUE"""),"-3.0269865")</f>
        <v>-3.0269865</v>
      </c>
      <c r="AU41" s="80" t="str">
        <f>IFERROR(__xludf.DUMMYFUNCTION("""COMPUTED_VALUE"""),"104.7492058")</f>
        <v>104.7492058</v>
      </c>
      <c r="AV41" s="80" t="str">
        <f>IFERROR(__xludf.DUMMYFUNCTION("""COMPUTED_VALUE"""),"ADA")</f>
        <v>ADA</v>
      </c>
      <c r="AW41" s="80" t="str">
        <f>IFERROR(__xludf.DUMMYFUNCTION("""COMPUTED_VALUE"""),"ADA")</f>
        <v>ADA</v>
      </c>
      <c r="AX41" s="80"/>
      <c r="AY41" s="80"/>
      <c r="AZ41" s="80"/>
      <c r="BA41" s="80" t="str">
        <f>IFERROR(__xludf.DUMMYFUNCTION("""COMPUTED_VALUE"""),"ADA")</f>
        <v>ADA</v>
      </c>
      <c r="BB41" s="80" t="str">
        <f>IFERROR(__xludf.DUMMYFUNCTION("""COMPUTED_VALUE"""),"ADA")</f>
        <v>ADA</v>
      </c>
      <c r="BC41" s="80" t="str">
        <f>IFERROR(__xludf.DUMMYFUNCTION("""COMPUTED_VALUE"""),"ADA")</f>
        <v>ADA</v>
      </c>
      <c r="BD41" s="80" t="str">
        <f>IFERROR(__xludf.DUMMYFUNCTION("""COMPUTED_VALUE"""),"ADA")</f>
        <v>ADA</v>
      </c>
      <c r="BE41" s="80" t="str">
        <f>IFERROR(__xludf.DUMMYFUNCTION("""COMPUTED_VALUE"""),"ADA")</f>
        <v>ADA</v>
      </c>
      <c r="BF41" s="80" t="str">
        <f>IFERROR(__xludf.DUMMYFUNCTION("""COMPUTED_VALUE"""),"ADA")</f>
        <v>ADA</v>
      </c>
      <c r="BG41" s="80" t="str">
        <f>IFERROR(__xludf.DUMMYFUNCTION("""COMPUTED_VALUE"""),"ADA")</f>
        <v>ADA</v>
      </c>
      <c r="BH41" s="80" t="str">
        <f>IFERROR(__xludf.DUMMYFUNCTION("""COMPUTED_VALUE"""),"PRINTER TINTA")</f>
        <v>PRINTER TINTA</v>
      </c>
      <c r="BI41" s="80" t="str">
        <f>IFERROR(__xludf.DUMMYFUNCTION("""COMPUTED_VALUE"""),"ADA")</f>
        <v>ADA</v>
      </c>
      <c r="BJ41" s="80" t="str">
        <f>IFERROR(__xludf.DUMMYFUNCTION("""COMPUTED_VALUE"""),"KERTAS HVS")</f>
        <v>KERTAS HVS</v>
      </c>
      <c r="BK41" s="80"/>
      <c r="BL41" s="80"/>
      <c r="BM41" s="80"/>
      <c r="BN41" s="80"/>
      <c r="BO41" s="80"/>
      <c r="BP41" s="80"/>
      <c r="BQ41" s="80"/>
      <c r="BR41" s="80"/>
      <c r="BS41" s="80"/>
      <c r="BT41" s="80"/>
      <c r="BU41" s="80"/>
      <c r="BV41" s="80" t="str">
        <f>IFERROR(__xludf.DUMMYFUNCTION("""COMPUTED_VALUE"""),"Jl Barito Blok B No 18 1488 Rt  022 Rw 010 Sukamaju Sako Kota Palembang Sumatera  Selatan")</f>
        <v>Jl Barito Blok B No 18 1488 Rt  022 Rw 010 Sukamaju Sako Kota Palembang Sumatera  Selatan</v>
      </c>
      <c r="BW41" s="80"/>
      <c r="BX41" s="80"/>
      <c r="BY41" s="80"/>
      <c r="BZ41" s="80"/>
      <c r="CA41" s="80"/>
      <c r="CB41" s="80"/>
      <c r="CC41" s="80"/>
      <c r="CD41" s="80"/>
      <c r="CE41" s="80"/>
      <c r="CF41" s="80"/>
      <c r="CG41" s="80"/>
      <c r="CH41" s="80"/>
      <c r="CI41" s="80"/>
      <c r="CJ41" s="80"/>
      <c r="CK41" s="2"/>
    </row>
    <row r="42" ht="12.75" customHeight="1">
      <c r="A42" s="85">
        <f>IFERROR(__xludf.DUMMYFUNCTION("""COMPUTED_VALUE"""),39.0)</f>
        <v>39</v>
      </c>
      <c r="B42" s="85" t="str">
        <f>IFERROR(__xludf.DUMMYFUNCTION("""COMPUTED_VALUE"""),"07 SEPTEMBER 2022")</f>
        <v>07 SEPTEMBER 2022</v>
      </c>
      <c r="C42" s="85" t="str">
        <f>IFERROR(__xludf.DUMMYFUNCTION("""COMPUTED_VALUE"""),"07 SEPTEMBER 2022")</f>
        <v>07 SEPTEMBER 2022</v>
      </c>
      <c r="D42" s="86"/>
      <c r="E42" s="88"/>
      <c r="F42" s="85"/>
      <c r="G42" s="86"/>
      <c r="H42" s="85"/>
      <c r="I42" s="85"/>
      <c r="J42" s="85"/>
      <c r="K42" s="85" t="str">
        <f>IFERROR(__xludf.DUMMYFUNCTION("""COMPUTED_VALUE"""),"PERANGKAT BELUM LENGKAP")</f>
        <v>PERANGKAT BELUM LENGKAP</v>
      </c>
      <c r="L42" s="85"/>
      <c r="M42" s="85"/>
      <c r="N42" s="85"/>
      <c r="O42" s="85"/>
      <c r="P42" s="85" t="str">
        <f>IFERROR(__xludf.DUMMYFUNCTION("""COMPUTED_VALUE"""),"53BSPA28386JBCUM")</f>
        <v>53BSPA28386JBCUM</v>
      </c>
      <c r="Q42" s="85" t="str">
        <f>IFERROR(__xludf.DUMMYFUNCTION("""COMPUTED_VALUE"""),"TEGAR MANDIRI")</f>
        <v>TEGAR MANDIRI</v>
      </c>
      <c r="R42" s="85" t="str">
        <f>IFERROR(__xludf.DUMMYFUNCTION("""COMPUTED_VALUE"""),"TEGAR MANDIRI")</f>
        <v>TEGAR MANDIRI</v>
      </c>
      <c r="S42" s="85" t="str">
        <f>IFERROR(__xludf.DUMMYFUNCTION("""COMPUTED_VALUE"""),"Muhammad Gustifal Fauzi")</f>
        <v>Muhammad Gustifal Fauzi</v>
      </c>
      <c r="T42" s="85" t="str">
        <f>IFERROR(__xludf.DUMMYFUNCTION("""COMPUTED_VALUE"""),"Jln Opi Raya Blok H10 Rt 40 Rw 13 Kel 15 Ulu Kec Jakabaring Kota Palembang Sumatera Selatan 30257")</f>
        <v>Jln Opi Raya Blok H10 Rt 40 Rw 13 Kel 15 Ulu Kec Jakabaring Kota Palembang Sumatera Selatan 30257</v>
      </c>
      <c r="U42" s="85" t="str">
        <f>IFERROR(__xludf.DUMMYFUNCTION("""COMPUTED_VALUE"""),"JLN OPI RAYA BLOK H10 RT 40 RW 13 KEL 15 ULU KEC JAKABARING KOTA PALEMBANG SUMATERA SELATAN 30257")</f>
        <v>JLN OPI RAYA BLOK H10 RT 40 RW 13 KEL 15 ULU KEC JAKABARING KOTA PALEMBANG SUMATERA SELATAN 30257</v>
      </c>
      <c r="V42" s="85" t="str">
        <f>IFERROR(__xludf.DUMMYFUNCTION("""COMPUTED_VALUE"""),"040/13")</f>
        <v>040/13</v>
      </c>
      <c r="W42" s="85" t="str">
        <f>IFERROR(__xludf.DUMMYFUNCTION("""COMPUTED_VALUE"""),"15 ULU")</f>
        <v>15 ULU</v>
      </c>
      <c r="X42" s="85" t="str">
        <f>IFERROR(__xludf.DUMMYFUNCTION("""COMPUTED_VALUE"""),"JAKABARING")</f>
        <v>JAKABARING</v>
      </c>
      <c r="Y42" s="85" t="str">
        <f>IFERROR(__xludf.DUMMYFUNCTION("""COMPUTED_VALUE"""),"PALEMBANG")</f>
        <v>PALEMBANG</v>
      </c>
      <c r="Z42" s="85" t="str">
        <f>IFERROR(__xludf.DUMMYFUNCTION("""COMPUTED_VALUE"""),"SUMATERA SELATAN")</f>
        <v>SUMATERA SELATAN</v>
      </c>
      <c r="AA42" s="85" t="str">
        <f>IFERROR(__xludf.DUMMYFUNCTION("""COMPUTED_VALUE"""),"30257")</f>
        <v>30257</v>
      </c>
      <c r="AB42" s="85" t="str">
        <f>IFERROR(__xludf.DUMMYFUNCTION("""COMPUTED_VALUE"""),"1671020508800007")</f>
        <v>1671020508800007</v>
      </c>
      <c r="AC42" s="85" t="str">
        <f>IFERROR(__xludf.DUMMYFUNCTION("""COMPUTED_VALUE"""),"72.832.342.9-306.000")</f>
        <v>72.832.342.9-306.000</v>
      </c>
      <c r="AD42" s="85" t="str">
        <f>IFERROR(__xludf.DUMMYFUNCTION("""COMPUTED_VALUE"""),"CUM - WNF")</f>
        <v>CUM - WNF</v>
      </c>
      <c r="AE42" s="85" t="str">
        <f>IFERROR(__xludf.DUMMYFUNCTION("""COMPUTED_VALUE"""),"SUB WINDA NURFITRIA")</f>
        <v>SUB WINDA NURFITRIA</v>
      </c>
      <c r="AF42" s="85" t="str">
        <f>IFERROR(__xludf.DUMMYFUNCTION("""COMPUTED_VALUE"""),"08117261414")</f>
        <v>08117261414</v>
      </c>
      <c r="AG42" s="85" t="str">
        <f>IFERROR(__xludf.DUMMYFUNCTION("""COMPUTED_VALUE"""),"08117261414")</f>
        <v>08117261414</v>
      </c>
      <c r="AH42" s="85" t="str">
        <f>IFERROR(__xludf.DUMMYFUNCTION("""COMPUTED_VALUE"""),"ceo.tegarmandiri@gmail.com")</f>
        <v>ceo.tegarmandiri@gmail.com</v>
      </c>
      <c r="AI42" s="85" t="str">
        <f>IFERROR(__xludf.DUMMYFUNCTION("""COMPUTED_VALUE"""),"30251S4")</f>
        <v>30251S4</v>
      </c>
      <c r="AJ42" s="85" t="str">
        <f>IFERROR(__xludf.DUMMYFUNCTION("""COMPUTED_VALUE"""),"632ea6605f8e4504ef6e24e4")</f>
        <v>632ea6605f8e4504ef6e24e4</v>
      </c>
      <c r="AK42" s="85" t="str">
        <f>IFERROR(__xludf.DUMMYFUNCTION("""COMPUTED_VALUE"""),"dm30251s4")</f>
        <v>dm30251s4</v>
      </c>
      <c r="AL42" s="85" t="str">
        <f>IFERROR(__xludf.DUMMYFUNCTION("""COMPUTED_VALUE"""),"password")</f>
        <v>password</v>
      </c>
      <c r="AM42" s="85" t="str">
        <f>IFERROR(__xludf.DUMMYFUNCTION("""COMPUTED_VALUE"""),"KANTOR REGIONAL I MEDAN 20004")</f>
        <v>KANTOR REGIONAL I MEDAN 20004</v>
      </c>
      <c r="AN42" s="85" t="str">
        <f>IFERROR(__xludf.DUMMYFUNCTION("""COMPUTED_VALUE"""),"KCU PALEMBANG")</f>
        <v>KCU PALEMBANG</v>
      </c>
      <c r="AO42" s="85" t="str">
        <f>IFERROR(__xludf.DUMMYFUNCTION("""COMPUTED_VALUE"""),"0911210014095")</f>
        <v>0911210014095</v>
      </c>
      <c r="AP42" s="85" t="str">
        <f>IFERROR(__xludf.DUMMYFUNCTION("""COMPUTED_VALUE"""),"'53202 ( AKTIFITAS AGEN KURIR )")</f>
        <v>'53202 ( AKTIFITAS AGEN KURIR )</v>
      </c>
      <c r="AQ42" s="93"/>
      <c r="AR42" s="85"/>
      <c r="AS42" s="85"/>
      <c r="AT42" s="85" t="str">
        <f>IFERROR(__xludf.DUMMYFUNCTION("""COMPUTED_VALUE"""),"-3.0479703")</f>
        <v>-3.0479703</v>
      </c>
      <c r="AU42" s="85" t="str">
        <f>IFERROR(__xludf.DUMMYFUNCTION("""COMPUTED_VALUE"""),"104.7822883")</f>
        <v>104.7822883</v>
      </c>
      <c r="AV42" s="85" t="str">
        <f>IFERROR(__xludf.DUMMYFUNCTION("""COMPUTED_VALUE"""),"ADA")</f>
        <v>ADA</v>
      </c>
      <c r="AW42" s="85" t="str">
        <f>IFERROR(__xludf.DUMMYFUNCTION("""COMPUTED_VALUE"""),"ADA")</f>
        <v>ADA</v>
      </c>
      <c r="AX42" s="85"/>
      <c r="AY42" s="85"/>
      <c r="AZ42" s="85"/>
      <c r="BA42" s="85" t="str">
        <f>IFERROR(__xludf.DUMMYFUNCTION("""COMPUTED_VALUE"""),"ADA")</f>
        <v>ADA</v>
      </c>
      <c r="BB42" s="85" t="str">
        <f>IFERROR(__xludf.DUMMYFUNCTION("""COMPUTED_VALUE"""),"ADA")</f>
        <v>ADA</v>
      </c>
      <c r="BC42" s="85" t="str">
        <f>IFERROR(__xludf.DUMMYFUNCTION("""COMPUTED_VALUE"""),"ADA")</f>
        <v>ADA</v>
      </c>
      <c r="BD42" s="85" t="str">
        <f>IFERROR(__xludf.DUMMYFUNCTION("""COMPUTED_VALUE"""),"ADA")</f>
        <v>ADA</v>
      </c>
      <c r="BE42" s="85" t="str">
        <f>IFERROR(__xludf.DUMMYFUNCTION("""COMPUTED_VALUE"""),"ADA")</f>
        <v>ADA</v>
      </c>
      <c r="BF42" s="85" t="str">
        <f>IFERROR(__xludf.DUMMYFUNCTION("""COMPUTED_VALUE"""),"ADA")</f>
        <v>ADA</v>
      </c>
      <c r="BG42" s="85" t="str">
        <f>IFERROR(__xludf.DUMMYFUNCTION("""COMPUTED_VALUE"""),"ADA")</f>
        <v>ADA</v>
      </c>
      <c r="BH42" s="85" t="str">
        <f>IFERROR(__xludf.DUMMYFUNCTION("""COMPUTED_VALUE"""),"ADA")</f>
        <v>ADA</v>
      </c>
      <c r="BI42" s="85"/>
      <c r="BJ42" s="85"/>
      <c r="BK42" s="85"/>
      <c r="BL42" s="85"/>
      <c r="BM42" s="85"/>
      <c r="BN42" s="85"/>
      <c r="BO42" s="85"/>
      <c r="BP42" s="85"/>
      <c r="BQ42" s="85"/>
      <c r="BR42" s="85"/>
      <c r="BS42" s="85"/>
      <c r="BT42" s="85"/>
      <c r="BU42" s="85"/>
      <c r="BV42" s="85" t="str">
        <f>IFERROR(__xludf.DUMMYFUNCTION("""COMPUTED_VALUE"""),"Jln Opi Raya Blok H10 Rt 40 Rw 13 Kel 15 Ulu Kec Jakabaring Kota Palembang Sumatera Selatan 30257")</f>
        <v>Jln Opi Raya Blok H10 Rt 40 Rw 13 Kel 15 Ulu Kec Jakabaring Kota Palembang Sumatera Selatan 30257</v>
      </c>
      <c r="BW42" s="85"/>
      <c r="BX42" s="85"/>
      <c r="BY42" s="85"/>
      <c r="BZ42" s="85"/>
      <c r="CA42" s="85"/>
      <c r="CB42" s="85"/>
      <c r="CC42" s="85"/>
      <c r="CD42" s="85"/>
      <c r="CE42" s="85"/>
      <c r="CF42" s="85"/>
      <c r="CG42" s="85"/>
      <c r="CH42" s="85"/>
      <c r="CI42" s="85"/>
      <c r="CJ42" s="85"/>
      <c r="CK42" s="2"/>
    </row>
    <row r="43" ht="12.75" customHeight="1">
      <c r="A43" s="80">
        <f>IFERROR(__xludf.DUMMYFUNCTION("""COMPUTED_VALUE"""),40.0)</f>
        <v>40</v>
      </c>
      <c r="B43" s="80" t="str">
        <f>IFERROR(__xludf.DUMMYFUNCTION("""COMPUTED_VALUE"""),"03 SEPTEMBER 2022")</f>
        <v>03 SEPTEMBER 2022</v>
      </c>
      <c r="C43" s="80" t="str">
        <f>IFERROR(__xludf.DUMMYFUNCTION("""COMPUTED_VALUE"""),"03 SEPTEMBER 2022")</f>
        <v>03 SEPTEMBER 2022</v>
      </c>
      <c r="D43" s="81"/>
      <c r="E43" s="82"/>
      <c r="F43" s="80" t="str">
        <f>IFERROR(__xludf.DUMMYFUNCTION("""COMPUTED_VALUE"""),"14 SEPTEMBER 2022")</f>
        <v>14 SEPTEMBER 2022</v>
      </c>
      <c r="G43" s="81">
        <f>IFERROR(__xludf.DUMMYFUNCTION("""COMPUTED_VALUE"""),44818.0)</f>
        <v>44818</v>
      </c>
      <c r="H43" s="80"/>
      <c r="I43" s="80" t="str">
        <f>IFERROR(__xludf.DUMMYFUNCTION("""COMPUTED_VALUE"""),"14 SEPTEMBER 2022")</f>
        <v>14 SEPTEMBER 2022</v>
      </c>
      <c r="J43" s="80" t="str">
        <f>IFERROR(__xludf.DUMMYFUNCTION("""COMPUTED_VALUE"""),"5/10/2022")</f>
        <v>5/10/2022</v>
      </c>
      <c r="K43" s="80"/>
      <c r="L43" s="80"/>
      <c r="M43" s="80"/>
      <c r="N43" s="80"/>
      <c r="O43" s="80"/>
      <c r="P43" s="80" t="str">
        <f>IFERROR(__xludf.DUMMYFUNCTION("""COMPUTED_VALUE"""),"52BSPA22796JTYNA")</f>
        <v>52BSPA22796JTYNA</v>
      </c>
      <c r="Q43" s="80" t="str">
        <f>IFERROR(__xludf.DUMMYFUNCTION("""COMPUTED_VALUE"""),"LOKET KIOS SPBU KRAGUMAN")</f>
        <v>LOKET KIOS SPBU KRAGUMAN</v>
      </c>
      <c r="R43" s="80" t="str">
        <f>IFERROR(__xludf.DUMMYFUNCTION("""COMPUTED_VALUE"""),"LOKET KIOS SPBU KRAGUMAN")</f>
        <v>LOKET KIOS SPBU KRAGUMAN</v>
      </c>
      <c r="S43" s="80" t="str">
        <f>IFERROR(__xludf.DUMMYFUNCTION("""COMPUTED_VALUE"""),"Rochmanudin")</f>
        <v>Rochmanudin</v>
      </c>
      <c r="T43" s="80" t="str">
        <f>IFERROR(__xludf.DUMMYFUNCTION("""COMPUTED_VALUE"""),"Jl.Sumberan Rt.011 Rw.008 Kel.Bakung Kec.Jogonalan")</f>
        <v>Jl.Sumberan Rt.011 Rw.008 Kel.Bakung Kec.Jogonalan</v>
      </c>
      <c r="U43" s="80" t="str">
        <f>IFERROR(__xludf.DUMMYFUNCTION("""COMPUTED_VALUE"""),"JL.YOGYA SOLO KM 25 ")</f>
        <v>JL.YOGYA SOLO KM 25 </v>
      </c>
      <c r="V43" s="80"/>
      <c r="W43" s="80" t="str">
        <f>IFERROR(__xludf.DUMMYFUNCTION("""COMPUTED_VALUE"""),"KRAGUMAN")</f>
        <v>KRAGUMAN</v>
      </c>
      <c r="X43" s="80" t="str">
        <f>IFERROR(__xludf.DUMMYFUNCTION("""COMPUTED_VALUE"""),"JOGONALAN")</f>
        <v>JOGONALAN</v>
      </c>
      <c r="Y43" s="80" t="str">
        <f>IFERROR(__xludf.DUMMYFUNCTION("""COMPUTED_VALUE"""),"KAB KLATEN")</f>
        <v>KAB KLATEN</v>
      </c>
      <c r="Z43" s="80" t="str">
        <f>IFERROR(__xludf.DUMMYFUNCTION("""COMPUTED_VALUE"""),"JAWA TENGAH")</f>
        <v>JAWA TENGAH</v>
      </c>
      <c r="AA43" s="80" t="str">
        <f>IFERROR(__xludf.DUMMYFUNCTION("""COMPUTED_VALUE"""),"57452")</f>
        <v>57452</v>
      </c>
      <c r="AB43" s="80" t="str">
        <f>IFERROR(__xludf.DUMMYFUNCTION("""COMPUTED_VALUE"""),"3306123112790001")</f>
        <v>3306123112790001</v>
      </c>
      <c r="AC43" s="80" t="str">
        <f>IFERROR(__xludf.DUMMYFUNCTION("""COMPUTED_VALUE"""),"24.822.034.5-531.000")</f>
        <v>24.822.034.5-531.000</v>
      </c>
      <c r="AD43" s="80" t="str">
        <f>IFERROR(__xludf.DUMMYFUNCTION("""COMPUTED_VALUE"""),"CUM - YNA")</f>
        <v>CUM - YNA</v>
      </c>
      <c r="AE43" s="80" t="str">
        <f>IFERROR(__xludf.DUMMYFUNCTION("""COMPUTED_VALUE"""),"SUB YOHANNITA")</f>
        <v>SUB YOHANNITA</v>
      </c>
      <c r="AF43" s="80" t="str">
        <f>IFERROR(__xludf.DUMMYFUNCTION("""COMPUTED_VALUE"""),"081542756660")</f>
        <v>081542756660</v>
      </c>
      <c r="AG43" s="80" t="str">
        <f>IFERROR(__xludf.DUMMYFUNCTION("""COMPUTED_VALUE"""),"081542756660")</f>
        <v>081542756660</v>
      </c>
      <c r="AH43" s="80" t="str">
        <f>IFERROR(__xludf.DUMMYFUNCTION("""COMPUTED_VALUE"""),"rochmanudin79@gmail.com")</f>
        <v>rochmanudin79@gmail.com</v>
      </c>
      <c r="AI43" s="80" t="str">
        <f>IFERROR(__xludf.DUMMYFUNCTION("""COMPUTED_VALUE"""),"57452S5")</f>
        <v>57452S5</v>
      </c>
      <c r="AJ43" s="80" t="str">
        <f>IFERROR(__xludf.DUMMYFUNCTION("""COMPUTED_VALUE"""),"631adb5c2f05ea4880355784")</f>
        <v>631adb5c2f05ea4880355784</v>
      </c>
      <c r="AK43" s="80" t="str">
        <f>IFERROR(__xludf.DUMMYFUNCTION("""COMPUTED_VALUE"""),"dm57452s5")</f>
        <v>dm57452s5</v>
      </c>
      <c r="AL43" s="80" t="str">
        <f>IFERROR(__xludf.DUMMYFUNCTION("""COMPUTED_VALUE"""),"password")</f>
        <v>password</v>
      </c>
      <c r="AM43" s="80" t="str">
        <f>IFERROR(__xludf.DUMMYFUNCTION("""COMPUTED_VALUE"""),"KANTOR REGIONAL IV SEMARANG 50004")</f>
        <v>KANTOR REGIONAL IV SEMARANG 50004</v>
      </c>
      <c r="AN43" s="80" t="str">
        <f>IFERROR(__xludf.DUMMYFUNCTION("""COMPUTED_VALUE"""),"KANTOR POS GONDANGWINANGUN")</f>
        <v>KANTOR POS GONDANGWINANGUN</v>
      </c>
      <c r="AO43" s="80" t="str">
        <f>IFERROR(__xludf.DUMMYFUNCTION("""COMPUTED_VALUE""")," 0309220004625")</f>
        <v> 0309220004625</v>
      </c>
      <c r="AP43" s="80" t="str">
        <f>IFERROR(__xludf.DUMMYFUNCTION("""COMPUTED_VALUE"""),"53202 ( AKTIFITAS AGEN KURIR )")</f>
        <v>53202 ( AKTIFITAS AGEN KURIR )</v>
      </c>
      <c r="AQ43" s="83"/>
      <c r="AR43" s="80"/>
      <c r="AS43" s="80"/>
      <c r="AT43" s="80" t="str">
        <f>IFERROR(__xludf.DUMMYFUNCTION("""COMPUTED_VALUE"""),"-77247374")</f>
        <v>-77247374</v>
      </c>
      <c r="AU43" s="80" t="str">
        <f>IFERROR(__xludf.DUMMYFUNCTION("""COMPUTED_VALUE"""),"110.554789")</f>
        <v>110.554789</v>
      </c>
      <c r="AV43" s="80" t="str">
        <f>IFERROR(__xludf.DUMMYFUNCTION("""COMPUTED_VALUE"""),"ADA")</f>
        <v>ADA</v>
      </c>
      <c r="AW43" s="80" t="str">
        <f>IFERROR(__xludf.DUMMYFUNCTION("""COMPUTED_VALUE"""),"ADA")</f>
        <v>ADA</v>
      </c>
      <c r="AX43" s="80"/>
      <c r="AY43" s="80"/>
      <c r="AZ43" s="80"/>
      <c r="BA43" s="80" t="str">
        <f>IFERROR(__xludf.DUMMYFUNCTION("""COMPUTED_VALUE"""),"ADA")</f>
        <v>ADA</v>
      </c>
      <c r="BB43" s="80" t="str">
        <f>IFERROR(__xludf.DUMMYFUNCTION("""COMPUTED_VALUE"""),"ADA")</f>
        <v>ADA</v>
      </c>
      <c r="BC43" s="80" t="str">
        <f>IFERROR(__xludf.DUMMYFUNCTION("""COMPUTED_VALUE"""),"ADA")</f>
        <v>ADA</v>
      </c>
      <c r="BD43" s="80" t="str">
        <f>IFERROR(__xludf.DUMMYFUNCTION("""COMPUTED_VALUE"""),"ADA")</f>
        <v>ADA</v>
      </c>
      <c r="BE43" s="80" t="str">
        <f>IFERROR(__xludf.DUMMYFUNCTION("""COMPUTED_VALUE"""),"ADA")</f>
        <v>ADA</v>
      </c>
      <c r="BF43" s="80" t="str">
        <f>IFERROR(__xludf.DUMMYFUNCTION("""COMPUTED_VALUE"""),"ADA")</f>
        <v>ADA</v>
      </c>
      <c r="BG43" s="80" t="str">
        <f>IFERROR(__xludf.DUMMYFUNCTION("""COMPUTED_VALUE"""),"ADA")</f>
        <v>ADA</v>
      </c>
      <c r="BH43" s="80" t="str">
        <f>IFERROR(__xludf.DUMMYFUNCTION("""COMPUTED_VALUE"""),"EPSON L120")</f>
        <v>EPSON L120</v>
      </c>
      <c r="BI43" s="80" t="str">
        <f>IFERROR(__xludf.DUMMYFUNCTION("""COMPUTED_VALUE"""),"ADA")</f>
        <v>ADA</v>
      </c>
      <c r="BJ43" s="80" t="str">
        <f>IFERROR(__xludf.DUMMYFUNCTION("""COMPUTED_VALUE"""),"KERTAS HVS")</f>
        <v>KERTAS HVS</v>
      </c>
      <c r="BK43" s="80" t="str">
        <f>IFERROR(__xludf.DUMMYFUNCTION("""COMPUTED_VALUE"""),"BELUM ADA")</f>
        <v>BELUM ADA</v>
      </c>
      <c r="BL43" s="80"/>
      <c r="BM43" s="80"/>
      <c r="BN43" s="80"/>
      <c r="BO43" s="80"/>
      <c r="BP43" s="80"/>
      <c r="BQ43" s="80"/>
      <c r="BR43" s="80"/>
      <c r="BS43" s="80"/>
      <c r="BT43" s="80"/>
      <c r="BU43" s="80"/>
      <c r="BV43" s="80" t="str">
        <f>IFERROR(__xludf.DUMMYFUNCTION("""COMPUTED_VALUE"""),"Jl.Sumberan Rt.011 Rw.008 Kel.Bakung Kec.Jogonalan")</f>
        <v>Jl.Sumberan Rt.011 Rw.008 Kel.Bakung Kec.Jogonalan</v>
      </c>
      <c r="BW43" s="80"/>
      <c r="BX43" s="80"/>
      <c r="BY43" s="80"/>
      <c r="BZ43" s="80"/>
      <c r="CA43" s="80"/>
      <c r="CB43" s="80"/>
      <c r="CC43" s="80"/>
      <c r="CD43" s="80"/>
      <c r="CE43" s="80"/>
      <c r="CF43" s="80"/>
      <c r="CG43" s="80"/>
      <c r="CH43" s="80"/>
      <c r="CI43" s="80"/>
      <c r="CJ43" s="80"/>
      <c r="CK43" s="2"/>
    </row>
    <row r="44" ht="12.75" customHeight="1">
      <c r="A44" s="85">
        <f>IFERROR(__xludf.DUMMYFUNCTION("""COMPUTED_VALUE"""),41.0)</f>
        <v>41</v>
      </c>
      <c r="B44" s="85" t="str">
        <f>IFERROR(__xludf.DUMMYFUNCTION("""COMPUTED_VALUE"""),"07 SEPTEMBER 2022")</f>
        <v>07 SEPTEMBER 2022</v>
      </c>
      <c r="C44" s="85" t="str">
        <f>IFERROR(__xludf.DUMMYFUNCTION("""COMPUTED_VALUE"""),"07 SEPTEMBER 2022")</f>
        <v>07 SEPTEMBER 2022</v>
      </c>
      <c r="D44" s="86"/>
      <c r="E44" s="88"/>
      <c r="F44" s="85"/>
      <c r="G44" s="86"/>
      <c r="H44" s="85"/>
      <c r="I44" s="85"/>
      <c r="J44" s="85"/>
      <c r="K44" s="85"/>
      <c r="L44" s="85"/>
      <c r="M44" s="85"/>
      <c r="N44" s="85"/>
      <c r="O44" s="85"/>
      <c r="P44" s="85" t="str">
        <f>IFERROR(__xludf.DUMMYFUNCTION("""COMPUTED_VALUE"""),"53BSPA23240JBRAB")</f>
        <v>53BSPA23240JBRAB</v>
      </c>
      <c r="Q44" s="85" t="str">
        <f>IFERROR(__xludf.DUMMYFUNCTION("""COMPUTED_VALUE"""),"LOKET DEFI CELL")</f>
        <v>LOKET DEFI CELL</v>
      </c>
      <c r="R44" s="85" t="str">
        <f>IFERROR(__xludf.DUMMYFUNCTION("""COMPUTED_VALUE"""),"LOKET DEFI CELL")</f>
        <v>LOKET DEFI CELL</v>
      </c>
      <c r="S44" s="85" t="str">
        <f>IFERROR(__xludf.DUMMYFUNCTION("""COMPUTED_VALUE"""),"Dewi Novitasari")</f>
        <v>Dewi Novitasari</v>
      </c>
      <c r="T44" s="85" t="str">
        <f>IFERROR(__xludf.DUMMYFUNCTION("""COMPUTED_VALUE"""),"Jl.Blok Kamis Rt.003/004")</f>
        <v>Jl.Blok Kamis Rt.003/004</v>
      </c>
      <c r="U44" s="85" t="str">
        <f>IFERROR(__xludf.DUMMYFUNCTION("""COMPUTED_VALUE"""),"BLOK RABU RT.01/01")</f>
        <v>BLOK RABU RT.01/01</v>
      </c>
      <c r="V44" s="85"/>
      <c r="W44" s="85" t="str">
        <f>IFERROR(__xludf.DUMMYFUNCTION("""COMPUTED_VALUE"""),"DESA SINDANG")</f>
        <v>DESA SINDANG</v>
      </c>
      <c r="X44" s="85" t="str">
        <f>IFERROR(__xludf.DUMMYFUNCTION("""COMPUTED_VALUE"""),"SINDANG")</f>
        <v>SINDANG</v>
      </c>
      <c r="Y44" s="85" t="str">
        <f>IFERROR(__xludf.DUMMYFUNCTION("""COMPUTED_VALUE"""),"KAB MAJALENGKA")</f>
        <v>KAB MAJALENGKA</v>
      </c>
      <c r="Z44" s="85" t="str">
        <f>IFERROR(__xludf.DUMMYFUNCTION("""COMPUTED_VALUE"""),"JAWA BARAT")</f>
        <v>JAWA BARAT</v>
      </c>
      <c r="AA44" s="85" t="str">
        <f>IFERROR(__xludf.DUMMYFUNCTION("""COMPUTED_VALUE"""),"45471")</f>
        <v>45471</v>
      </c>
      <c r="AB44" s="85" t="str">
        <f>IFERROR(__xludf.DUMMYFUNCTION("""COMPUTED_VALUE"""),"3210256408900021")</f>
        <v>3210256408900021</v>
      </c>
      <c r="AC44" s="85" t="str">
        <f>IFERROR(__xludf.DUMMYFUNCTION("""COMPUTED_VALUE"""),"64.199.651.7-438.000")</f>
        <v>64.199.651.7-438.000</v>
      </c>
      <c r="AD44" s="85" t="str">
        <f>IFERROR(__xludf.DUMMYFUNCTION("""COMPUTED_VALUE"""),"CUM - ABD")</f>
        <v>CUM - ABD</v>
      </c>
      <c r="AE44" s="85" t="str">
        <f>IFERROR(__xludf.DUMMYFUNCTION("""COMPUTED_VALUE"""),"SUB ABDUL QODIR")</f>
        <v>SUB ABDUL QODIR</v>
      </c>
      <c r="AF44" s="85" t="str">
        <f>IFERROR(__xludf.DUMMYFUNCTION("""COMPUTED_VALUE"""),"082118481515")</f>
        <v>082118481515</v>
      </c>
      <c r="AG44" s="85" t="str">
        <f>IFERROR(__xludf.DUMMYFUNCTION("""COMPUTED_VALUE"""),"'082118481515")</f>
        <v>'082118481515</v>
      </c>
      <c r="AH44" s="85" t="str">
        <f>IFERROR(__xludf.DUMMYFUNCTION("""COMPUTED_VALUE"""),"dewinovitasari247@gmail.com")</f>
        <v>dewinovitasari247@gmail.com</v>
      </c>
      <c r="AI44" s="85" t="str">
        <f>IFERROR(__xludf.DUMMYFUNCTION("""COMPUTED_VALUE"""),"45478S1")</f>
        <v>45478S1</v>
      </c>
      <c r="AJ44" s="85" t="str">
        <f>IFERROR(__xludf.DUMMYFUNCTION("""COMPUTED_VALUE"""),"63218999fe5aee6d791c63ac")</f>
        <v>63218999fe5aee6d791c63ac</v>
      </c>
      <c r="AK44" s="85" t="str">
        <f>IFERROR(__xludf.DUMMYFUNCTION("""COMPUTED_VALUE"""),"dm45478s1")</f>
        <v>dm45478s1</v>
      </c>
      <c r="AL44" s="85" t="str">
        <f>IFERROR(__xludf.DUMMYFUNCTION("""COMPUTED_VALUE"""),"password")</f>
        <v>password</v>
      </c>
      <c r="AM44" s="85" t="str">
        <f>IFERROR(__xludf.DUMMYFUNCTION("""COMPUTED_VALUE"""),"KANTOR REGIONAL III BANDUNG 40004")</f>
        <v>KANTOR REGIONAL III BANDUNG 40004</v>
      </c>
      <c r="AN44" s="85" t="str">
        <f>IFERROR(__xludf.DUMMYFUNCTION("""COMPUTED_VALUE"""),"KCP SUKAHAJI")</f>
        <v>KCP SUKAHAJI</v>
      </c>
      <c r="AO44" s="85" t="str">
        <f>IFERROR(__xludf.DUMMYFUNCTION("""COMPUTED_VALUE"""),"0709220044049")</f>
        <v>0709220044049</v>
      </c>
      <c r="AP44" s="85" t="str">
        <f>IFERROR(__xludf.DUMMYFUNCTION("""COMPUTED_VALUE"""),"53202 ( AKTIFITAS AGEN KURIR )")</f>
        <v>53202 ( AKTIFITAS AGEN KURIR )</v>
      </c>
      <c r="AQ44" s="93"/>
      <c r="AR44" s="85"/>
      <c r="AS44" s="85"/>
      <c r="AT44" s="85" t="str">
        <f>IFERROR(__xludf.DUMMYFUNCTION("""COMPUTED_VALUE"""),"-68,344,439")</f>
        <v>-68,344,439</v>
      </c>
      <c r="AU44" s="85" t="str">
        <f>IFERROR(__xludf.DUMMYFUNCTION("""COMPUTED_VALUE"""),"1,083,245,244")</f>
        <v>1,083,245,244</v>
      </c>
      <c r="AV44" s="85" t="str">
        <f>IFERROR(__xludf.DUMMYFUNCTION("""COMPUTED_VALUE"""),"ADA")</f>
        <v>ADA</v>
      </c>
      <c r="AW44" s="85" t="str">
        <f>IFERROR(__xludf.DUMMYFUNCTION("""COMPUTED_VALUE"""),"ADA")</f>
        <v>ADA</v>
      </c>
      <c r="AX44" s="85"/>
      <c r="AY44" s="85"/>
      <c r="AZ44" s="85"/>
      <c r="BA44" s="85" t="str">
        <f>IFERROR(__xludf.DUMMYFUNCTION("""COMPUTED_VALUE"""),"ADA")</f>
        <v>ADA</v>
      </c>
      <c r="BB44" s="85" t="str">
        <f>IFERROR(__xludf.DUMMYFUNCTION("""COMPUTED_VALUE"""),"ADA")</f>
        <v>ADA</v>
      </c>
      <c r="BC44" s="85" t="str">
        <f>IFERROR(__xludf.DUMMYFUNCTION("""COMPUTED_VALUE"""),"ADA")</f>
        <v>ADA</v>
      </c>
      <c r="BD44" s="85" t="str">
        <f>IFERROR(__xludf.DUMMYFUNCTION("""COMPUTED_VALUE"""),"ADA")</f>
        <v>ADA</v>
      </c>
      <c r="BE44" s="85" t="str">
        <f>IFERROR(__xludf.DUMMYFUNCTION("""COMPUTED_VALUE"""),"ADA")</f>
        <v>ADA</v>
      </c>
      <c r="BF44" s="85" t="str">
        <f>IFERROR(__xludf.DUMMYFUNCTION("""COMPUTED_VALUE"""),"ADA")</f>
        <v>ADA</v>
      </c>
      <c r="BG44" s="85" t="str">
        <f>IFERROR(__xludf.DUMMYFUNCTION("""COMPUTED_VALUE"""),"ADA")</f>
        <v>ADA</v>
      </c>
      <c r="BH44" s="85"/>
      <c r="BI44" s="85" t="str">
        <f>IFERROR(__xludf.DUMMYFUNCTION("""COMPUTED_VALUE"""),"ADA")</f>
        <v>ADA</v>
      </c>
      <c r="BJ44" s="85"/>
      <c r="BK44" s="85"/>
      <c r="BL44" s="85"/>
      <c r="BM44" s="85"/>
      <c r="BN44" s="85"/>
      <c r="BO44" s="85"/>
      <c r="BP44" s="85"/>
      <c r="BQ44" s="85"/>
      <c r="BR44" s="85"/>
      <c r="BS44" s="85"/>
      <c r="BT44" s="85"/>
      <c r="BU44" s="85"/>
      <c r="BV44" s="85" t="str">
        <f>IFERROR(__xludf.DUMMYFUNCTION("""COMPUTED_VALUE"""),"Jl.Blok Kamis Rt.003/004")</f>
        <v>Jl.Blok Kamis Rt.003/004</v>
      </c>
      <c r="BW44" s="85"/>
      <c r="BX44" s="85"/>
      <c r="BY44" s="85"/>
      <c r="BZ44" s="85"/>
      <c r="CA44" s="85"/>
      <c r="CB44" s="85"/>
      <c r="CC44" s="85"/>
      <c r="CD44" s="85"/>
      <c r="CE44" s="85"/>
      <c r="CF44" s="85"/>
      <c r="CG44" s="85"/>
      <c r="CH44" s="85"/>
      <c r="CI44" s="85"/>
      <c r="CJ44" s="85"/>
      <c r="CK44" s="2"/>
    </row>
    <row r="45" ht="12.75" customHeight="1">
      <c r="A45" s="80">
        <f>IFERROR(__xludf.DUMMYFUNCTION("""COMPUTED_VALUE"""),42.0)</f>
        <v>42</v>
      </c>
      <c r="B45" s="80" t="str">
        <f>IFERROR(__xludf.DUMMYFUNCTION("""COMPUTED_VALUE"""),"07 SEPTEMBER 2022")</f>
        <v>07 SEPTEMBER 2022</v>
      </c>
      <c r="C45" s="80" t="str">
        <f>IFERROR(__xludf.DUMMYFUNCTION("""COMPUTED_VALUE"""),"07 SEPTEMBER 2022")</f>
        <v>07 SEPTEMBER 2022</v>
      </c>
      <c r="D45" s="81"/>
      <c r="E45" s="82"/>
      <c r="F45" s="80"/>
      <c r="G45" s="81"/>
      <c r="H45" s="80"/>
      <c r="I45" s="80"/>
      <c r="J45" s="80"/>
      <c r="K45" s="80"/>
      <c r="L45" s="80"/>
      <c r="M45" s="80"/>
      <c r="N45" s="80"/>
      <c r="O45" s="80"/>
      <c r="P45" s="80" t="str">
        <f>IFERROR(__xludf.DUMMYFUNCTION("""COMPUTED_VALUE"""),"53BSPA16189JBNDS")</f>
        <v>53BSPA16189JBNDS</v>
      </c>
      <c r="Q45" s="80" t="str">
        <f>IFERROR(__xludf.DUMMYFUNCTION("""COMPUTED_VALUE"""),"BBS LINK")</f>
        <v>BBS LINK</v>
      </c>
      <c r="R45" s="80" t="str">
        <f>IFERROR(__xludf.DUMMYFUNCTION("""COMPUTED_VALUE"""),"BBS LINK")</f>
        <v>BBS LINK</v>
      </c>
      <c r="S45" s="80" t="str">
        <f>IFERROR(__xludf.DUMMYFUNCTION("""COMPUTED_VALUE"""),"Oki Abdul Roki")</f>
        <v>Oki Abdul Roki</v>
      </c>
      <c r="T45" s="80" t="str">
        <f>IFERROR(__xludf.DUMMYFUNCTION("""COMPUTED_VALUE"""),"Kp.Bobos Rt.001/003")</f>
        <v>Kp.Bobos Rt.001/003</v>
      </c>
      <c r="U45" s="80" t="str">
        <f>IFERROR(__xludf.DUMMYFUNCTION("""COMPUTED_VALUE"""),"KP.BOBOS RT.001/003 KEL.MANDALAJAYA KEC.CIKALONG KAB.TASIKMALAYA JAWA BARAT")</f>
        <v>KP.BOBOS RT.001/003 KEL.MANDALAJAYA KEC.CIKALONG KAB.TASIKMALAYA JAWA BARAT</v>
      </c>
      <c r="V45" s="80"/>
      <c r="W45" s="80" t="str">
        <f>IFERROR(__xludf.DUMMYFUNCTION("""COMPUTED_VALUE"""),"MANDALAJAYA")</f>
        <v>MANDALAJAYA</v>
      </c>
      <c r="X45" s="80" t="str">
        <f>IFERROR(__xludf.DUMMYFUNCTION("""COMPUTED_VALUE"""),"CIKALONG")</f>
        <v>CIKALONG</v>
      </c>
      <c r="Y45" s="80" t="str">
        <f>IFERROR(__xludf.DUMMYFUNCTION("""COMPUTED_VALUE"""),"KAB.TASIKMALAYA")</f>
        <v>KAB.TASIKMALAYA</v>
      </c>
      <c r="Z45" s="80" t="str">
        <f>IFERROR(__xludf.DUMMYFUNCTION("""COMPUTED_VALUE"""),"JAWA BARAT")</f>
        <v>JAWA BARAT</v>
      </c>
      <c r="AA45" s="80" t="str">
        <f>IFERROR(__xludf.DUMMYFUNCTION("""COMPUTED_VALUE"""),"46195")</f>
        <v>46195</v>
      </c>
      <c r="AB45" s="80" t="str">
        <f>IFERROR(__xludf.DUMMYFUNCTION("""COMPUTED_VALUE"""),"3206030501900002")</f>
        <v>3206030501900002</v>
      </c>
      <c r="AC45" s="80" t="str">
        <f>IFERROR(__xludf.DUMMYFUNCTION("""COMPUTED_VALUE"""),"72.890.754.4-425.000")</f>
        <v>72.890.754.4-425.000</v>
      </c>
      <c r="AD45" s="80" t="str">
        <f>IFERROR(__xludf.DUMMYFUNCTION("""COMPUTED_VALUE"""),"CUM - NDS")</f>
        <v>CUM - NDS</v>
      </c>
      <c r="AE45" s="80" t="str">
        <f>IFERROR(__xludf.DUMMYFUNCTION("""COMPUTED_VALUE"""),"NURUL DIMAS")</f>
        <v>NURUL DIMAS</v>
      </c>
      <c r="AF45" s="80" t="str">
        <f>IFERROR(__xludf.DUMMYFUNCTION("""COMPUTED_VALUE"""),"085728111484")</f>
        <v>085728111484</v>
      </c>
      <c r="AG45" s="80" t="str">
        <f>IFERROR(__xludf.DUMMYFUNCTION("""COMPUTED_VALUE"""),"085728111484")</f>
        <v>085728111484</v>
      </c>
      <c r="AH45" s="80" t="str">
        <f>IFERROR(__xludf.DUMMYFUNCTION("""COMPUTED_VALUE"""),"okiadv90@gmail.com")</f>
        <v>okiadv90@gmail.com</v>
      </c>
      <c r="AI45" s="80" t="str">
        <f>IFERROR(__xludf.DUMMYFUNCTION("""COMPUTED_VALUE"""),"46495S3")</f>
        <v>46495S3</v>
      </c>
      <c r="AJ45" s="80" t="str">
        <f>IFERROR(__xludf.DUMMYFUNCTION("""COMPUTED_VALUE"""),"635fe08bbaf575657c0db965")</f>
        <v>635fe08bbaf575657c0db965</v>
      </c>
      <c r="AK45" s="80" t="str">
        <f>IFERROR(__xludf.DUMMYFUNCTION("""COMPUTED_VALUE"""),"dm46495s3")</f>
        <v>dm46495s3</v>
      </c>
      <c r="AL45" s="80" t="str">
        <f>IFERROR(__xludf.DUMMYFUNCTION("""COMPUTED_VALUE"""),"password")</f>
        <v>password</v>
      </c>
      <c r="AM45" s="80" t="str">
        <f>IFERROR(__xludf.DUMMYFUNCTION("""COMPUTED_VALUE"""),"KANTOR REGIONAL III BANDUNG 40004")</f>
        <v>KANTOR REGIONAL III BANDUNG 40004</v>
      </c>
      <c r="AN45" s="80" t="str">
        <f>IFERROR(__xludf.DUMMYFUNCTION("""COMPUTED_VALUE"""),"KCP CIKALONG")</f>
        <v>KCP CIKALONG</v>
      </c>
      <c r="AO45" s="80" t="str">
        <f>IFERROR(__xludf.DUMMYFUNCTION("""COMPUTED_VALUE"""),"0709220054502")</f>
        <v>0709220054502</v>
      </c>
      <c r="AP45" s="80" t="str">
        <f>IFERROR(__xludf.DUMMYFUNCTION("""COMPUTED_VALUE"""),"53202 ( AKTIFITAS AGEN KURIR )")</f>
        <v>53202 ( AKTIFITAS AGEN KURIR )</v>
      </c>
      <c r="AQ45" s="83"/>
      <c r="AR45" s="80"/>
      <c r="AS45" s="80"/>
      <c r="AT45" s="80" t="str">
        <f>IFERROR(__xludf.DUMMYFUNCTION("""COMPUTED_VALUE"""),"-7.7686345")</f>
        <v>-7.7686345</v>
      </c>
      <c r="AU45" s="80" t="str">
        <f>IFERROR(__xludf.DUMMYFUNCTION("""COMPUTED_VALUE"""),"108.1766297")</f>
        <v>108.1766297</v>
      </c>
      <c r="AV45" s="80" t="str">
        <f>IFERROR(__xludf.DUMMYFUNCTION("""COMPUTED_VALUE"""),"ADA")</f>
        <v>ADA</v>
      </c>
      <c r="AW45" s="80" t="str">
        <f>IFERROR(__xludf.DUMMYFUNCTION("""COMPUTED_VALUE"""),"ADA")</f>
        <v>ADA</v>
      </c>
      <c r="AX45" s="80"/>
      <c r="AY45" s="80"/>
      <c r="AZ45" s="80"/>
      <c r="BA45" s="80" t="str">
        <f>IFERROR(__xludf.DUMMYFUNCTION("""COMPUTED_VALUE"""),"ADA")</f>
        <v>ADA</v>
      </c>
      <c r="BB45" s="80" t="str">
        <f>IFERROR(__xludf.DUMMYFUNCTION("""COMPUTED_VALUE"""),"ADA")</f>
        <v>ADA</v>
      </c>
      <c r="BC45" s="80" t="str">
        <f>IFERROR(__xludf.DUMMYFUNCTION("""COMPUTED_VALUE"""),"ADA")</f>
        <v>ADA</v>
      </c>
      <c r="BD45" s="80" t="str">
        <f>IFERROR(__xludf.DUMMYFUNCTION("""COMPUTED_VALUE"""),"ADA")</f>
        <v>ADA</v>
      </c>
      <c r="BE45" s="80" t="str">
        <f>IFERROR(__xludf.DUMMYFUNCTION("""COMPUTED_VALUE"""),"ADA")</f>
        <v>ADA</v>
      </c>
      <c r="BF45" s="80" t="str">
        <f>IFERROR(__xludf.DUMMYFUNCTION("""COMPUTED_VALUE"""),"ADA")</f>
        <v>ADA</v>
      </c>
      <c r="BG45" s="80" t="str">
        <f>IFERROR(__xludf.DUMMYFUNCTION("""COMPUTED_VALUE"""),"ADA")</f>
        <v>ADA</v>
      </c>
      <c r="BH45" s="80" t="str">
        <f>IFERROR(__xludf.DUMMYFUNCTION("""COMPUTED_VALUE"""),"ADA")</f>
        <v>ADA</v>
      </c>
      <c r="BI45" s="80" t="str">
        <f>IFERROR(__xludf.DUMMYFUNCTION("""COMPUTED_VALUE"""),"SEDANG PESAN")</f>
        <v>SEDANG PESAN</v>
      </c>
      <c r="BJ45" s="80" t="str">
        <f>IFERROR(__xludf.DUMMYFUNCTION("""COMPUTED_VALUE"""),"ADA")</f>
        <v>ADA</v>
      </c>
      <c r="BK45" s="80" t="str">
        <f>IFERROR(__xludf.DUMMYFUNCTION("""COMPUTED_VALUE"""),"BELUM ADA")</f>
        <v>BELUM ADA</v>
      </c>
      <c r="BL45" s="80"/>
      <c r="BM45" s="80"/>
      <c r="BN45" s="80"/>
      <c r="BO45" s="80"/>
      <c r="BP45" s="80"/>
      <c r="BQ45" s="80"/>
      <c r="BR45" s="80"/>
      <c r="BS45" s="80"/>
      <c r="BT45" s="80"/>
      <c r="BU45" s="80"/>
      <c r="BV45" s="80" t="str">
        <f>IFERROR(__xludf.DUMMYFUNCTION("""COMPUTED_VALUE"""),"Kp.Bobos Rt.001/003")</f>
        <v>Kp.Bobos Rt.001/003</v>
      </c>
      <c r="BW45" s="80"/>
      <c r="BX45" s="80"/>
      <c r="BY45" s="80"/>
      <c r="BZ45" s="80"/>
      <c r="CA45" s="80"/>
      <c r="CB45" s="80"/>
      <c r="CC45" s="80"/>
      <c r="CD45" s="80"/>
      <c r="CE45" s="80"/>
      <c r="CF45" s="80"/>
      <c r="CG45" s="80"/>
      <c r="CH45" s="80"/>
      <c r="CI45" s="80"/>
      <c r="CJ45" s="80"/>
      <c r="CK45" s="2"/>
    </row>
    <row r="46" ht="15.0" customHeight="1">
      <c r="A46" s="85">
        <f>IFERROR(__xludf.DUMMYFUNCTION("""COMPUTED_VALUE"""),43.0)</f>
        <v>43</v>
      </c>
      <c r="B46" s="85" t="str">
        <f>IFERROR(__xludf.DUMMYFUNCTION("""COMPUTED_VALUE"""),"09 SEPTEMBER 2022")</f>
        <v>09 SEPTEMBER 2022</v>
      </c>
      <c r="C46" s="85" t="str">
        <f>IFERROR(__xludf.DUMMYFUNCTION("""COMPUTED_VALUE"""),"09 SEPTEMBER 2022")</f>
        <v>09 SEPTEMBER 2022</v>
      </c>
      <c r="D46" s="86"/>
      <c r="E46" s="88"/>
      <c r="F46" s="85"/>
      <c r="G46" s="86"/>
      <c r="H46" s="85"/>
      <c r="I46" s="85"/>
      <c r="J46" s="85"/>
      <c r="K46" s="85" t="str">
        <f>IFERROR(__xludf.DUMMYFUNCTION("""COMPUTED_VALUE"""),"Respon Loket kurang bersahabat")</f>
        <v>Respon Loket kurang bersahabat</v>
      </c>
      <c r="L46" s="85"/>
      <c r="M46" s="85"/>
      <c r="N46" s="85"/>
      <c r="O46" s="85"/>
      <c r="P46" s="85" t="str">
        <f>IFERROR(__xludf.DUMMYFUNCTION("""COMPUTED_VALUE"""),"52BSPA07246JTWWK")</f>
        <v>52BSPA07246JTWWK</v>
      </c>
      <c r="Q46" s="85" t="str">
        <f>IFERROR(__xludf.DUMMYFUNCTION("""COMPUTED_VALUE"""),"LOKET Qurrata A'yun")</f>
        <v>LOKET Qurrata A'yun</v>
      </c>
      <c r="R46" s="85" t="str">
        <f>IFERROR(__xludf.DUMMYFUNCTION("""COMPUTED_VALUE"""),"LOKET Qurrata A'yun")</f>
        <v>LOKET Qurrata A'yun</v>
      </c>
      <c r="S46" s="85" t="str">
        <f>IFERROR(__xludf.DUMMYFUNCTION("""COMPUTED_VALUE"""),"ANANG WURYANTO")</f>
        <v>ANANG WURYANTO</v>
      </c>
      <c r="T46" s="85" t="str">
        <f>IFERROR(__xludf.DUMMYFUNCTION("""COMPUTED_VALUE"""),"JL.PONDOK DUSTIRA NO.234A. RT.009/006 KEL.PADASUKA KEC.CIMAHI TENGAH KOTA CIMAHI 40526")</f>
        <v>JL.PONDOK DUSTIRA NO.234A. RT.009/006 KEL.PADASUKA KEC.CIMAHI TENGAH KOTA CIMAHI 40526</v>
      </c>
      <c r="U46" s="85" t="str">
        <f>IFERROR(__xludf.DUMMYFUNCTION("""COMPUTED_VALUE"""),"JL.PONDOK DUSTIRA NO.234A RT.009/006 KEL.PADASUKA KEC.CIMAHI TENGAH KOTA CIMAHI 40526")</f>
        <v>JL.PONDOK DUSTIRA NO.234A RT.009/006 KEL.PADASUKA KEC.CIMAHI TENGAH KOTA CIMAHI 40526</v>
      </c>
      <c r="V46" s="85" t="str">
        <f>IFERROR(__xludf.DUMMYFUNCTION("""COMPUTED_VALUE"""),"009/006")</f>
        <v>009/006</v>
      </c>
      <c r="W46" s="85" t="str">
        <f>IFERROR(__xludf.DUMMYFUNCTION("""COMPUTED_VALUE"""),"KEL.PADASUKA")</f>
        <v>KEL.PADASUKA</v>
      </c>
      <c r="X46" s="85" t="str">
        <f>IFERROR(__xludf.DUMMYFUNCTION("""COMPUTED_VALUE"""),"KEC.CIMAHI TENGAH")</f>
        <v>KEC.CIMAHI TENGAH</v>
      </c>
      <c r="Y46" s="85" t="str">
        <f>IFERROR(__xludf.DUMMYFUNCTION("""COMPUTED_VALUE"""),"KOTA CIMAHI")</f>
        <v>KOTA CIMAHI</v>
      </c>
      <c r="Z46" s="85" t="str">
        <f>IFERROR(__xludf.DUMMYFUNCTION("""COMPUTED_VALUE"""),"JAWA BARAT")</f>
        <v>JAWA BARAT</v>
      </c>
      <c r="AA46" s="85" t="str">
        <f>IFERROR(__xludf.DUMMYFUNCTION("""COMPUTED_VALUE"""),"40526")</f>
        <v>40526</v>
      </c>
      <c r="AB46" s="85" t="str">
        <f>IFERROR(__xludf.DUMMYFUNCTION("""COMPUTED_VALUE"""),"3277020311650010")</f>
        <v>3277020311650010</v>
      </c>
      <c r="AC46" s="85" t="str">
        <f>IFERROR(__xludf.DUMMYFUNCTION("""COMPUTED_VALUE"""),"80.862.898.6-421.000")</f>
        <v>80.862.898.6-421.000</v>
      </c>
      <c r="AD46" s="85"/>
      <c r="AE46" s="85" t="str">
        <f>IFERROR(__xludf.DUMMYFUNCTION("""COMPUTED_VALUE"""),"BAYU KANEKO")</f>
        <v>BAYU KANEKO</v>
      </c>
      <c r="AF46" s="85" t="str">
        <f>IFERROR(__xludf.DUMMYFUNCTION("""COMPUTED_VALUE"""),"085659428094")</f>
        <v>085659428094</v>
      </c>
      <c r="AG46" s="85" t="str">
        <f>IFERROR(__xludf.DUMMYFUNCTION("""COMPUTED_VALUE"""),"'085659428094")</f>
        <v>'085659428094</v>
      </c>
      <c r="AH46" s="85" t="str">
        <f>IFERROR(__xludf.DUMMYFUNCTION("""COMPUTED_VALUE"""),"sosisjawaojolali@gmail.com")</f>
        <v>sosisjawaojolali@gmail.com</v>
      </c>
      <c r="AI46" s="85"/>
      <c r="AJ46" s="85"/>
      <c r="AK46" s="85"/>
      <c r="AL46" s="85"/>
      <c r="AM46" s="85"/>
      <c r="AN46" s="85" t="str">
        <f>IFERROR(__xludf.DUMMYFUNCTION("""COMPUTED_VALUE"""),"KANTOR POS CIMAHI")</f>
        <v>KANTOR POS CIMAHI</v>
      </c>
      <c r="AO46" s="85" t="str">
        <f>IFERROR(__xludf.DUMMYFUNCTION("""COMPUTED_VALUE"""),"0509220039222")</f>
        <v>0509220039222</v>
      </c>
      <c r="AP46" s="85" t="str">
        <f>IFERROR(__xludf.DUMMYFUNCTION("""COMPUTED_VALUE"""),"53202 ( AKTIFITAS AGEN KURIR )")</f>
        <v>53202 ( AKTIFITAS AGEN KURIR )</v>
      </c>
      <c r="AQ46" s="93"/>
      <c r="AR46" s="85"/>
      <c r="AS46" s="85"/>
      <c r="AT46" s="85" t="str">
        <f>IFERROR(__xludf.DUMMYFUNCTION("""COMPUTED_VALUE"""),"-6.8745608")</f>
        <v>-6.8745608</v>
      </c>
      <c r="AU46" s="85" t="str">
        <f>IFERROR(__xludf.DUMMYFUNCTION("""COMPUTED_VALUE"""),"107.5232523")</f>
        <v>107.5232523</v>
      </c>
      <c r="AV46" s="85" t="str">
        <f>IFERROR(__xludf.DUMMYFUNCTION("""COMPUTED_VALUE"""),"ADA")</f>
        <v>ADA</v>
      </c>
      <c r="AW46" s="85" t="str">
        <f>IFERROR(__xludf.DUMMYFUNCTION("""COMPUTED_VALUE"""),"ADA")</f>
        <v>ADA</v>
      </c>
      <c r="AX46" s="85"/>
      <c r="AY46" s="85"/>
      <c r="AZ46" s="85"/>
      <c r="BA46" s="85" t="str">
        <f>IFERROR(__xludf.DUMMYFUNCTION("""COMPUTED_VALUE"""),"ADA")</f>
        <v>ADA</v>
      </c>
      <c r="BB46" s="85" t="str">
        <f>IFERROR(__xludf.DUMMYFUNCTION("""COMPUTED_VALUE"""),"ADA")</f>
        <v>ADA</v>
      </c>
      <c r="BC46" s="85" t="str">
        <f>IFERROR(__xludf.DUMMYFUNCTION("""COMPUTED_VALUE"""),"ADA")</f>
        <v>ADA</v>
      </c>
      <c r="BD46" s="85" t="str">
        <f>IFERROR(__xludf.DUMMYFUNCTION("""COMPUTED_VALUE"""),"ADA")</f>
        <v>ADA</v>
      </c>
      <c r="BE46" s="85" t="str">
        <f>IFERROR(__xludf.DUMMYFUNCTION("""COMPUTED_VALUE"""),"ADA")</f>
        <v>ADA</v>
      </c>
      <c r="BF46" s="85"/>
      <c r="BG46" s="85"/>
      <c r="BH46" s="85"/>
      <c r="BI46" s="85"/>
      <c r="BJ46" s="85"/>
      <c r="BK46" s="85"/>
      <c r="BL46" s="85"/>
      <c r="BM46" s="85"/>
      <c r="BN46" s="85"/>
      <c r="BO46" s="85"/>
      <c r="BP46" s="85"/>
      <c r="BQ46" s="85"/>
      <c r="BR46" s="85"/>
      <c r="BS46" s="85"/>
      <c r="BT46" s="85"/>
      <c r="BU46" s="85"/>
      <c r="BV46" s="85"/>
      <c r="BW46" s="85"/>
      <c r="BX46" s="85"/>
      <c r="BY46" s="85"/>
      <c r="BZ46" s="85"/>
      <c r="CA46" s="85"/>
      <c r="CB46" s="85"/>
      <c r="CC46" s="85"/>
      <c r="CD46" s="85"/>
      <c r="CE46" s="85"/>
      <c r="CF46" s="85"/>
      <c r="CG46" s="85"/>
      <c r="CH46" s="85"/>
      <c r="CI46" s="85"/>
      <c r="CJ46" s="85"/>
      <c r="CK46" s="2"/>
    </row>
    <row r="47" ht="12.75" customHeight="1">
      <c r="A47" s="80">
        <f>IFERROR(__xludf.DUMMYFUNCTION("""COMPUTED_VALUE"""),44.0)</f>
        <v>44</v>
      </c>
      <c r="B47" s="80" t="str">
        <f>IFERROR(__xludf.DUMMYFUNCTION("""COMPUTED_VALUE"""),"09 SEPTEMBER 2022")</f>
        <v>09 SEPTEMBER 2022</v>
      </c>
      <c r="C47" s="80" t="str">
        <f>IFERROR(__xludf.DUMMYFUNCTION("""COMPUTED_VALUE"""),"09 SEPTEMBER 2022")</f>
        <v>09 SEPTEMBER 2022</v>
      </c>
      <c r="D47" s="81"/>
      <c r="E47" s="82"/>
      <c r="F47" s="80" t="str">
        <f>IFERROR(__xludf.DUMMYFUNCTION("""COMPUTED_VALUE"""),"28 OKTOBER 2022")</f>
        <v>28 OKTOBER 2022</v>
      </c>
      <c r="G47" s="81">
        <f>IFERROR(__xludf.DUMMYFUNCTION("""COMPUTED_VALUE"""),44862.0)</f>
        <v>44862</v>
      </c>
      <c r="H47" s="80"/>
      <c r="I47" s="80"/>
      <c r="J47" s="80"/>
      <c r="K47" s="80"/>
      <c r="L47" s="80"/>
      <c r="M47" s="80"/>
      <c r="N47" s="80"/>
      <c r="O47" s="80"/>
      <c r="P47" s="80" t="str">
        <f>IFERROR(__xludf.DUMMYFUNCTION("""COMPUTED_VALUE"""),"KH3SPA22182JTYNA")</f>
        <v>KH3SPA22182JTYNA</v>
      </c>
      <c r="Q47" s="80" t="str">
        <f>IFERROR(__xludf.DUMMYFUNCTION("""COMPUTED_VALUE"""),"LOKET TOKO AN NUR")</f>
        <v>LOKET TOKO AN NUR</v>
      </c>
      <c r="R47" s="80" t="str">
        <f>IFERROR(__xludf.DUMMYFUNCTION("""COMPUTED_VALUE"""),"LOKET TOKO AN NUR")</f>
        <v>LOKET TOKO AN NUR</v>
      </c>
      <c r="S47" s="80" t="str">
        <f>IFERROR(__xludf.DUMMYFUNCTION("""COMPUTED_VALUE"""),"Nur Achmad Syarifuddin")</f>
        <v>Nur Achmad Syarifuddin</v>
      </c>
      <c r="T47" s="80" t="str">
        <f>IFERROR(__xludf.DUMMYFUNCTION("""COMPUTED_VALUE"""),"Jl.Waringinrejo Rt.033/000 Kel.Mojopuro Kec.Sumberlawang Jawa Tengah")</f>
        <v>Jl.Waringinrejo Rt.033/000 Kel.Mojopuro Kec.Sumberlawang Jawa Tengah</v>
      </c>
      <c r="U47" s="80" t="str">
        <f>IFERROR(__xludf.DUMMYFUNCTION("""COMPUTED_VALUE"""),"JL.WARINGINREJO RT.033/000 KEL.MOJOPURO KEC.SUMBERLAWANG JAWA TENGAH")</f>
        <v>JL.WARINGINREJO RT.033/000 KEL.MOJOPURO KEC.SUMBERLAWANG JAWA TENGAH</v>
      </c>
      <c r="V47" s="80" t="str">
        <f>IFERROR(__xludf.DUMMYFUNCTION("""COMPUTED_VALUE"""),"033/000")</f>
        <v>033/000</v>
      </c>
      <c r="W47" s="80" t="str">
        <f>IFERROR(__xludf.DUMMYFUNCTION("""COMPUTED_VALUE"""),"KEL.MOJOPURO")</f>
        <v>KEL.MOJOPURO</v>
      </c>
      <c r="X47" s="80" t="str">
        <f>IFERROR(__xludf.DUMMYFUNCTION("""COMPUTED_VALUE"""),"KEC.SUMBERLAWANG")</f>
        <v>KEC.SUMBERLAWANG</v>
      </c>
      <c r="Y47" s="80" t="str">
        <f>IFERROR(__xludf.DUMMYFUNCTION("""COMPUTED_VALUE"""),"KAB.SRAGEN")</f>
        <v>KAB.SRAGEN</v>
      </c>
      <c r="Z47" s="80" t="str">
        <f>IFERROR(__xludf.DUMMYFUNCTION("""COMPUTED_VALUE"""),"JAWA TENGAH")</f>
        <v>JAWA TENGAH</v>
      </c>
      <c r="AA47" s="80" t="str">
        <f>IFERROR(__xludf.DUMMYFUNCTION("""COMPUTED_VALUE"""),"57272")</f>
        <v>57272</v>
      </c>
      <c r="AB47" s="80" t="str">
        <f>IFERROR(__xludf.DUMMYFUNCTION("""COMPUTED_VALUE"""),"3314150805860003")</f>
        <v>3314150805860003</v>
      </c>
      <c r="AC47" s="80" t="str">
        <f>IFERROR(__xludf.DUMMYFUNCTION("""COMPUTED_VALUE"""),"74.389.113.7-528.000")</f>
        <v>74.389.113.7-528.000</v>
      </c>
      <c r="AD47" s="80" t="str">
        <f>IFERROR(__xludf.DUMMYFUNCTION("""COMPUTED_VALUE"""),"CUM - YNA")</f>
        <v>CUM - YNA</v>
      </c>
      <c r="AE47" s="80" t="str">
        <f>IFERROR(__xludf.DUMMYFUNCTION("""COMPUTED_VALUE"""),"SUB YOHANNITA")</f>
        <v>SUB YOHANNITA</v>
      </c>
      <c r="AF47" s="80" t="str">
        <f>IFERROR(__xludf.DUMMYFUNCTION("""COMPUTED_VALUE"""),"082223990000")</f>
        <v>082223990000</v>
      </c>
      <c r="AG47" s="80" t="str">
        <f>IFERROR(__xludf.DUMMYFUNCTION("""COMPUTED_VALUE"""),"'082223990000")</f>
        <v>'082223990000</v>
      </c>
      <c r="AH47" s="80" t="str">
        <f>IFERROR(__xludf.DUMMYFUNCTION("""COMPUTED_VALUE"""),"annurproliman2@gmail.com")</f>
        <v>annurproliman2@gmail.com</v>
      </c>
      <c r="AI47" s="80" t="str">
        <f>IFERROR(__xludf.DUMMYFUNCTION("""COMPUTED_VALUE"""),"57272S1")</f>
        <v>57272S1</v>
      </c>
      <c r="AJ47" s="80" t="str">
        <f>IFERROR(__xludf.DUMMYFUNCTION("""COMPUTED_VALUE"""),"632e98ad90cce13007751235")</f>
        <v>632e98ad90cce13007751235</v>
      </c>
      <c r="AK47" s="80" t="str">
        <f>IFERROR(__xludf.DUMMYFUNCTION("""COMPUTED_VALUE"""),"dm57272s1")</f>
        <v>dm57272s1</v>
      </c>
      <c r="AL47" s="80" t="str">
        <f>IFERROR(__xludf.DUMMYFUNCTION("""COMPUTED_VALUE"""),"password")</f>
        <v>password</v>
      </c>
      <c r="AM47" s="80" t="str">
        <f>IFERROR(__xludf.DUMMYFUNCTION("""COMPUTED_VALUE"""),"KANTOR REGIONAL IV SEMARANG 50004")</f>
        <v>KANTOR REGIONAL IV SEMARANG 50004</v>
      </c>
      <c r="AN47" s="80" t="str">
        <f>IFERROR(__xludf.DUMMYFUNCTION("""COMPUTED_VALUE"""),"KANTOR POS SRAGEN")</f>
        <v>KANTOR POS SRAGEN</v>
      </c>
      <c r="AO47" s="80" t="str">
        <f>IFERROR(__xludf.DUMMYFUNCTION("""COMPUTED_VALUE"""),"0809220014262")</f>
        <v>0809220014262</v>
      </c>
      <c r="AP47" s="80" t="str">
        <f>IFERROR(__xludf.DUMMYFUNCTION("""COMPUTED_VALUE"""),"53202 ( AKTIFITAS AGEN KURIR )")</f>
        <v>53202 ( AKTIFITAS AGEN KURIR )</v>
      </c>
      <c r="AQ47" s="83"/>
      <c r="AR47" s="80"/>
      <c r="AS47" s="80"/>
      <c r="AT47" s="80" t="str">
        <f>IFERROR(__xludf.DUMMYFUNCTION("""COMPUTED_VALUE"""),"-7.3448373")</f>
        <v>-7.3448373</v>
      </c>
      <c r="AU47" s="80" t="str">
        <f>IFERROR(__xludf.DUMMYFUNCTION("""COMPUTED_VALUE"""),"110.86956")</f>
        <v>110.86956</v>
      </c>
      <c r="AV47" s="80" t="str">
        <f>IFERROR(__xludf.DUMMYFUNCTION("""COMPUTED_VALUE"""),"ADA")</f>
        <v>ADA</v>
      </c>
      <c r="AW47" s="80" t="str">
        <f>IFERROR(__xludf.DUMMYFUNCTION("""COMPUTED_VALUE"""),"ADA")</f>
        <v>ADA</v>
      </c>
      <c r="AX47" s="80"/>
      <c r="AY47" s="80"/>
      <c r="AZ47" s="80"/>
      <c r="BA47" s="80" t="str">
        <f>IFERROR(__xludf.DUMMYFUNCTION("""COMPUTED_VALUE"""),"ADA")</f>
        <v>ADA</v>
      </c>
      <c r="BB47" s="80" t="str">
        <f>IFERROR(__xludf.DUMMYFUNCTION("""COMPUTED_VALUE"""),"ADA")</f>
        <v>ADA</v>
      </c>
      <c r="BC47" s="80" t="str">
        <f>IFERROR(__xludf.DUMMYFUNCTION("""COMPUTED_VALUE"""),"ADA")</f>
        <v>ADA</v>
      </c>
      <c r="BD47" s="80" t="str">
        <f>IFERROR(__xludf.DUMMYFUNCTION("""COMPUTED_VALUE"""),"ADA")</f>
        <v>ADA</v>
      </c>
      <c r="BE47" s="80" t="str">
        <f>IFERROR(__xludf.DUMMYFUNCTION("""COMPUTED_VALUE"""),"ADA")</f>
        <v>ADA</v>
      </c>
      <c r="BF47" s="80" t="str">
        <f>IFERROR(__xludf.DUMMYFUNCTION("""COMPUTED_VALUE"""),"ADA")</f>
        <v>ADA</v>
      </c>
      <c r="BG47" s="80" t="str">
        <f>IFERROR(__xludf.DUMMYFUNCTION("""COMPUTED_VALUE"""),"ADA")</f>
        <v>ADA</v>
      </c>
      <c r="BH47" s="80" t="str">
        <f>IFERROR(__xludf.DUMMYFUNCTION("""COMPUTED_VALUE"""),"BELUM ADA")</f>
        <v>BELUM ADA</v>
      </c>
      <c r="BI47" s="80" t="str">
        <f>IFERROR(__xludf.DUMMYFUNCTION("""COMPUTED_VALUE"""),"ADA")</f>
        <v>ADA</v>
      </c>
      <c r="BJ47" s="80" t="str">
        <f>IFERROR(__xludf.DUMMYFUNCTION("""COMPUTED_VALUE"""),"BELUM ADA")</f>
        <v>BELUM ADA</v>
      </c>
      <c r="BK47" s="80" t="str">
        <f>IFERROR(__xludf.DUMMYFUNCTION("""COMPUTED_VALUE"""),"BELUM ADA")</f>
        <v>BELUM ADA</v>
      </c>
      <c r="BL47" s="80"/>
      <c r="BM47" s="80"/>
      <c r="BN47" s="80"/>
      <c r="BO47" s="80"/>
      <c r="BP47" s="80"/>
      <c r="BQ47" s="80"/>
      <c r="BR47" s="80"/>
      <c r="BS47" s="80"/>
      <c r="BT47" s="80"/>
      <c r="BU47" s="80"/>
      <c r="BV47" s="80" t="str">
        <f>IFERROR(__xludf.DUMMYFUNCTION("""COMPUTED_VALUE"""),"Jl.Waringinrejo Rt.033/000 Kel.Mojopuro Kec.Sumberlawang Jawa Tengah")</f>
        <v>Jl.Waringinrejo Rt.033/000 Kel.Mojopuro Kec.Sumberlawang Jawa Tengah</v>
      </c>
      <c r="BW47" s="80"/>
      <c r="BX47" s="80"/>
      <c r="BY47" s="80"/>
      <c r="BZ47" s="80"/>
      <c r="CA47" s="80"/>
      <c r="CB47" s="80"/>
      <c r="CC47" s="80"/>
      <c r="CD47" s="80"/>
      <c r="CE47" s="80"/>
      <c r="CF47" s="80"/>
      <c r="CG47" s="80"/>
      <c r="CH47" s="80"/>
      <c r="CI47" s="80"/>
      <c r="CJ47" s="80"/>
      <c r="CK47" s="2"/>
    </row>
    <row r="48" ht="12.75" customHeight="1">
      <c r="A48" s="85">
        <f>IFERROR(__xludf.DUMMYFUNCTION("""COMPUTED_VALUE"""),45.0)</f>
        <v>45</v>
      </c>
      <c r="B48" s="85" t="str">
        <f>IFERROR(__xludf.DUMMYFUNCTION("""COMPUTED_VALUE"""),"12 SEPTEMBER 2022")</f>
        <v>12 SEPTEMBER 2022</v>
      </c>
      <c r="C48" s="85" t="str">
        <f>IFERROR(__xludf.DUMMYFUNCTION("""COMPUTED_VALUE"""),"12 SEPTEMBER 2022")</f>
        <v>12 SEPTEMBER 2022</v>
      </c>
      <c r="D48" s="86"/>
      <c r="E48" s="88"/>
      <c r="F48" s="85" t="str">
        <f>IFERROR(__xludf.DUMMYFUNCTION("""COMPUTED_VALUE"""),"9 MEI 2023")</f>
        <v>9 MEI 2023</v>
      </c>
      <c r="G48" s="86">
        <f>IFERROR(__xludf.DUMMYFUNCTION("""COMPUTED_VALUE"""),45055.0)</f>
        <v>45055</v>
      </c>
      <c r="H48" s="85" t="str">
        <f>IFERROR(__xludf.DUMMYFUNCTION("""COMPUTED_VALUE"""),"9 MEI 2023")</f>
        <v>9 MEI 2023</v>
      </c>
      <c r="I48" s="85"/>
      <c r="J48" s="85"/>
      <c r="K48" s="85"/>
      <c r="L48" s="85"/>
      <c r="M48" s="85"/>
      <c r="N48" s="85"/>
      <c r="O48" s="85"/>
      <c r="P48" s="85" t="str">
        <f>IFERROR(__xludf.DUMMYFUNCTION("""COMPUTED_VALUE"""),"53BSPA05564JBCUM")</f>
        <v>53BSPA05564JBCUM</v>
      </c>
      <c r="Q48" s="85" t="str">
        <f>IFERROR(__xludf.DUMMYFUNCTION("""COMPUTED_VALUE"""),"PPOB NUANSA NUSA")</f>
        <v>PPOB NUANSA NUSA</v>
      </c>
      <c r="R48" s="85" t="str">
        <f>IFERROR(__xludf.DUMMYFUNCTION("""COMPUTED_VALUE"""),"PPOB NUANSA NUSA")</f>
        <v>PPOB NUANSA NUSA</v>
      </c>
      <c r="S48" s="85" t="str">
        <f>IFERROR(__xludf.DUMMYFUNCTION("""COMPUTED_VALUE"""),"Drs.Gatot Dwiyono.Se.Mm")</f>
        <v>Drs.Gatot Dwiyono.Se.Mm</v>
      </c>
      <c r="T48" s="85" t="str">
        <f>IFERROR(__xludf.DUMMYFUNCTION("""COMPUTED_VALUE"""),"Gading Santren Ii No 27 Komp Gading Tutuka Cingcin - Soreang Kab Bandung")</f>
        <v>Gading Santren Ii No 27 Komp Gading Tutuka Cingcin - Soreang Kab Bandung</v>
      </c>
      <c r="U48" s="85" t="str">
        <f>IFERROR(__xludf.DUMMYFUNCTION("""COMPUTED_VALUE"""),"BUMI PARAHYANGAN KENCANA BLOK A3 NO 10-12 DESA NAGRAK KEC CANGKUANG KAB BANDUNG JAWA BARAT 40238")</f>
        <v>BUMI PARAHYANGAN KENCANA BLOK A3 NO 10-12 DESA NAGRAK KEC CANGKUANG KAB BANDUNG JAWA BARAT 40238</v>
      </c>
      <c r="V48" s="85" t="str">
        <f>IFERROR(__xludf.DUMMYFUNCTION("""COMPUTED_VALUE"""),"002/013")</f>
        <v>002/013</v>
      </c>
      <c r="W48" s="85" t="str">
        <f>IFERROR(__xludf.DUMMYFUNCTION("""COMPUTED_VALUE"""),"CINGCIN")</f>
        <v>CINGCIN</v>
      </c>
      <c r="X48" s="85" t="str">
        <f>IFERROR(__xludf.DUMMYFUNCTION("""COMPUTED_VALUE"""),"SOREANG")</f>
        <v>SOREANG</v>
      </c>
      <c r="Y48" s="85" t="str">
        <f>IFERROR(__xludf.DUMMYFUNCTION("""COMPUTED_VALUE"""),"KAB.BANDUNG")</f>
        <v>KAB.BANDUNG</v>
      </c>
      <c r="Z48" s="85" t="str">
        <f>IFERROR(__xludf.DUMMYFUNCTION("""COMPUTED_VALUE"""),"JAWA BARAT")</f>
        <v>JAWA BARAT</v>
      </c>
      <c r="AA48" s="85" t="str">
        <f>IFERROR(__xludf.DUMMYFUNCTION("""COMPUTED_VALUE"""),"40238")</f>
        <v>40238</v>
      </c>
      <c r="AB48" s="85" t="str">
        <f>IFERROR(__xludf.DUMMYFUNCTION("""COMPUTED_VALUE"""),"320437030464003")</f>
        <v>320437030464003</v>
      </c>
      <c r="AC48" s="85" t="str">
        <f>IFERROR(__xludf.DUMMYFUNCTION("""COMPUTED_VALUE"""),"35.006.880.5-445.000")</f>
        <v>35.006.880.5-445.000</v>
      </c>
      <c r="AD48" s="85" t="str">
        <f>IFERROR(__xludf.DUMMYFUNCTION("""COMPUTED_VALUE"""),"CUM - SPT 2")</f>
        <v>CUM - SPT 2</v>
      </c>
      <c r="AE48" s="85" t="str">
        <f>IFERROR(__xludf.DUMMYFUNCTION("""COMPUTED_VALUE"""),"CUM TELEMARKETING ARIA")</f>
        <v>CUM TELEMARKETING ARIA</v>
      </c>
      <c r="AF48" s="85" t="str">
        <f>IFERROR(__xludf.DUMMYFUNCTION("""COMPUTED_VALUE"""),"081573122282")</f>
        <v>081573122282</v>
      </c>
      <c r="AG48" s="85" t="str">
        <f>IFERROR(__xludf.DUMMYFUNCTION("""COMPUTED_VALUE"""),"081573122282")</f>
        <v>081573122282</v>
      </c>
      <c r="AH48" s="85" t="str">
        <f>IFERROR(__xludf.DUMMYFUNCTION("""COMPUTED_VALUE"""),"gatotdwiyono0304@gmail.com")</f>
        <v>gatotdwiyono0304@gmail.com</v>
      </c>
      <c r="AI48" s="85" t="str">
        <f>IFERROR(__xludf.DUMMYFUNCTION("""COMPUTED_VALUE"""),"40361S5")</f>
        <v>40361S5</v>
      </c>
      <c r="AJ48" s="85" t="str">
        <f>IFERROR(__xludf.DUMMYFUNCTION("""COMPUTED_VALUE"""),"63463707b083c7755b315c98")</f>
        <v>63463707b083c7755b315c98</v>
      </c>
      <c r="AK48" s="85" t="str">
        <f>IFERROR(__xludf.DUMMYFUNCTION("""COMPUTED_VALUE"""),"dm40361s5")</f>
        <v>dm40361s5</v>
      </c>
      <c r="AL48" s="85" t="str">
        <f>IFERROR(__xludf.DUMMYFUNCTION("""COMPUTED_VALUE"""),"password")</f>
        <v>password</v>
      </c>
      <c r="AM48" s="85" t="str">
        <f>IFERROR(__xludf.DUMMYFUNCTION("""COMPUTED_VALUE"""),"KANTOR REGIONAL III BANDUNG 40004")</f>
        <v>KANTOR REGIONAL III BANDUNG 40004</v>
      </c>
      <c r="AN48" s="85" t="str">
        <f>IFERROR(__xludf.DUMMYFUNCTION("""COMPUTED_VALUE"""),"KANTOR POS CABANG SOREANG")</f>
        <v>KANTOR POS CABANG SOREANG</v>
      </c>
      <c r="AO48" s="85" t="str">
        <f>IFERROR(__xludf.DUMMYFUNCTION("""COMPUTED_VALUE"""),"0909220076095")</f>
        <v>0909220076095</v>
      </c>
      <c r="AP48" s="85" t="str">
        <f>IFERROR(__xludf.DUMMYFUNCTION("""COMPUTED_VALUE"""),"53202 ( AKTIFITAS AGEN KURIR )")</f>
        <v>53202 ( AKTIFITAS AGEN KURIR )</v>
      </c>
      <c r="AQ48" s="93"/>
      <c r="AR48" s="85"/>
      <c r="AS48" s="85"/>
      <c r="AT48" s="85" t="str">
        <f>IFERROR(__xludf.DUMMYFUNCTION("""COMPUTED_VALUE"""),"-7.0615584")</f>
        <v>-7.0615584</v>
      </c>
      <c r="AU48" s="85" t="str">
        <f>IFERROR(__xludf.DUMMYFUNCTION("""COMPUTED_VALUE"""),"107.5426145")</f>
        <v>107.5426145</v>
      </c>
      <c r="AV48" s="85" t="str">
        <f>IFERROR(__xludf.DUMMYFUNCTION("""COMPUTED_VALUE"""),"ADA")</f>
        <v>ADA</v>
      </c>
      <c r="AW48" s="85" t="str">
        <f>IFERROR(__xludf.DUMMYFUNCTION("""COMPUTED_VALUE"""),"ADA")</f>
        <v>ADA</v>
      </c>
      <c r="AX48" s="85"/>
      <c r="AY48" s="85"/>
      <c r="AZ48" s="85"/>
      <c r="BA48" s="85" t="str">
        <f>IFERROR(__xludf.DUMMYFUNCTION("""COMPUTED_VALUE"""),"ADA")</f>
        <v>ADA</v>
      </c>
      <c r="BB48" s="85" t="str">
        <f>IFERROR(__xludf.DUMMYFUNCTION("""COMPUTED_VALUE"""),"ADA")</f>
        <v>ADA</v>
      </c>
      <c r="BC48" s="85" t="str">
        <f>IFERROR(__xludf.DUMMYFUNCTION("""COMPUTED_VALUE"""),"ADA")</f>
        <v>ADA</v>
      </c>
      <c r="BD48" s="85" t="str">
        <f>IFERROR(__xludf.DUMMYFUNCTION("""COMPUTED_VALUE"""),"ADA")</f>
        <v>ADA</v>
      </c>
      <c r="BE48" s="85" t="str">
        <f>IFERROR(__xludf.DUMMYFUNCTION("""COMPUTED_VALUE"""),"ADA")</f>
        <v>ADA</v>
      </c>
      <c r="BF48" s="85" t="str">
        <f>IFERROR(__xludf.DUMMYFUNCTION("""COMPUTED_VALUE"""),"ADA")</f>
        <v>ADA</v>
      </c>
      <c r="BG48" s="85" t="str">
        <f>IFERROR(__xludf.DUMMYFUNCTION("""COMPUTED_VALUE"""),"ADA")</f>
        <v>ADA</v>
      </c>
      <c r="BH48" s="85" t="str">
        <f>IFERROR(__xludf.DUMMYFUNCTION("""COMPUTED_VALUE"""),"HP 3276")</f>
        <v>HP 3276</v>
      </c>
      <c r="BI48" s="85"/>
      <c r="BJ48" s="85"/>
      <c r="BK48" s="85"/>
      <c r="BL48" s="85"/>
      <c r="BM48" s="85"/>
      <c r="BN48" s="85"/>
      <c r="BO48" s="85"/>
      <c r="BP48" s="85"/>
      <c r="BQ48" s="85"/>
      <c r="BR48" s="85"/>
      <c r="BS48" s="85"/>
      <c r="BT48" s="85"/>
      <c r="BU48" s="85"/>
      <c r="BV48" s="85" t="str">
        <f>IFERROR(__xludf.DUMMYFUNCTION("""COMPUTED_VALUE"""),"Gading Santren Ii No 27 Komp Gading Tutuka Cingcin - Soreang Kab Bandung")</f>
        <v>Gading Santren Ii No 27 Komp Gading Tutuka Cingcin - Soreang Kab Bandung</v>
      </c>
      <c r="BW48" s="85"/>
      <c r="BX48" s="85"/>
      <c r="BY48" s="85"/>
      <c r="BZ48" s="85"/>
      <c r="CA48" s="85"/>
      <c r="CB48" s="85"/>
      <c r="CC48" s="85"/>
      <c r="CD48" s="85"/>
      <c r="CE48" s="85"/>
      <c r="CF48" s="85"/>
      <c r="CG48" s="85"/>
      <c r="CH48" s="85"/>
      <c r="CI48" s="85"/>
      <c r="CJ48" s="85"/>
      <c r="CK48" s="2"/>
    </row>
    <row r="49" ht="12.75" customHeight="1">
      <c r="A49" s="80">
        <f>IFERROR(__xludf.DUMMYFUNCTION("""COMPUTED_VALUE"""),46.0)</f>
        <v>46</v>
      </c>
      <c r="B49" s="80" t="str">
        <f>IFERROR(__xludf.DUMMYFUNCTION("""COMPUTED_VALUE"""),"12 SEPTEMBER 2022")</f>
        <v>12 SEPTEMBER 2022</v>
      </c>
      <c r="C49" s="80" t="str">
        <f>IFERROR(__xludf.DUMMYFUNCTION("""COMPUTED_VALUE"""),"12 SEPTEMBER 2022")</f>
        <v>12 SEPTEMBER 2022</v>
      </c>
      <c r="D49" s="81"/>
      <c r="E49" s="82"/>
      <c r="F49" s="80" t="str">
        <f>IFERROR(__xludf.DUMMYFUNCTION("""COMPUTED_VALUE"""),"27 OKTOBER 2022")</f>
        <v>27 OKTOBER 2022</v>
      </c>
      <c r="G49" s="81">
        <f>IFERROR(__xludf.DUMMYFUNCTION("""COMPUTED_VALUE"""),44861.0)</f>
        <v>44861</v>
      </c>
      <c r="H49" s="80"/>
      <c r="I49" s="80"/>
      <c r="J49" s="80" t="str">
        <f>IFERROR(__xludf.DUMMYFUNCTION("""COMPUTED_VALUE"""),"1 DESEMBER 2022")</f>
        <v>1 DESEMBER 2022</v>
      </c>
      <c r="K49" s="80"/>
      <c r="L49" s="80"/>
      <c r="M49" s="80"/>
      <c r="N49" s="80"/>
      <c r="O49" s="80"/>
      <c r="P49" s="80" t="str">
        <f>IFERROR(__xludf.DUMMYFUNCTION("""COMPUTED_VALUE"""),"53BSPA26312JBRND")</f>
        <v>53BSPA26312JBRND</v>
      </c>
      <c r="Q49" s="80" t="str">
        <f>IFERROR(__xludf.DUMMYFUNCTION("""COMPUTED_VALUE"""),"BUMDES CIMARA 3")</f>
        <v>BUMDES CIMARA 3</v>
      </c>
      <c r="R49" s="80" t="str">
        <f>IFERROR(__xludf.DUMMYFUNCTION("""COMPUTED_VALUE"""),"LOKET RICKY SALON 1")</f>
        <v>LOKET RICKY SALON 1</v>
      </c>
      <c r="S49" s="80" t="str">
        <f>IFERROR(__xludf.DUMMYFUNCTION("""COMPUTED_VALUE"""),"Nina Widianengsih")</f>
        <v>Nina Widianengsih</v>
      </c>
      <c r="T49" s="80" t="str">
        <f>IFERROR(__xludf.DUMMYFUNCTION("""COMPUTED_VALUE"""),"Dusun 1 Rt.003/001 Desa/Kelurahan Cimara, Kec. Cibeureum, Kab. Kuningan 45588, Jawa Barat")</f>
        <v>Dusun 1 Rt.003/001 Desa/Kelurahan Cimara, Kec. Cibeureum, Kab. Kuningan 45588, Jawa Barat</v>
      </c>
      <c r="U49" s="80" t="str">
        <f>IFERROR(__xludf.DUMMYFUNCTION("""COMPUTED_VALUE"""),"DUSUN 1 RT.003/001 Desa/Kelurahan Cimara, Kec. Cibeureum, Kab. Kuningan, JAWA BARAT")</f>
        <v>DUSUN 1 RT.003/001 Desa/Kelurahan Cimara, Kec. Cibeureum, Kab. Kuningan, JAWA BARAT</v>
      </c>
      <c r="V49" s="80" t="str">
        <f>IFERROR(__xludf.DUMMYFUNCTION("""COMPUTED_VALUE"""),"003/001")</f>
        <v>003/001</v>
      </c>
      <c r="W49" s="80" t="str">
        <f>IFERROR(__xludf.DUMMYFUNCTION("""COMPUTED_VALUE"""),"CIMARA")</f>
        <v>CIMARA</v>
      </c>
      <c r="X49" s="80" t="str">
        <f>IFERROR(__xludf.DUMMYFUNCTION("""COMPUTED_VALUE"""),"KEC.CIBEUREUM")</f>
        <v>KEC.CIBEUREUM</v>
      </c>
      <c r="Y49" s="80" t="str">
        <f>IFERROR(__xludf.DUMMYFUNCTION("""COMPUTED_VALUE"""),"KAB.KUNINGAN")</f>
        <v>KAB.KUNINGAN</v>
      </c>
      <c r="Z49" s="80" t="str">
        <f>IFERROR(__xludf.DUMMYFUNCTION("""COMPUTED_VALUE"""),"JAWA BARAT")</f>
        <v>JAWA BARAT</v>
      </c>
      <c r="AA49" s="80" t="str">
        <f>IFERROR(__xludf.DUMMYFUNCTION("""COMPUTED_VALUE"""),"45588")</f>
        <v>45588</v>
      </c>
      <c r="AB49" s="80" t="str">
        <f>IFERROR(__xludf.DUMMYFUNCTION("""COMPUTED_VALUE"""),"3208286708860002")</f>
        <v>3208286708860002</v>
      </c>
      <c r="AC49" s="80" t="str">
        <f>IFERROR(__xludf.DUMMYFUNCTION("""COMPUTED_VALUE"""),"44.513.499.2-438.000")</f>
        <v>44.513.499.2-438.000</v>
      </c>
      <c r="AD49" s="80" t="str">
        <f>IFERROR(__xludf.DUMMYFUNCTION("""COMPUTED_VALUE"""),"CUM - NDS")</f>
        <v>CUM - NDS</v>
      </c>
      <c r="AE49" s="80" t="str">
        <f>IFERROR(__xludf.DUMMYFUNCTION("""COMPUTED_VALUE"""),"NURUL DIMAS")</f>
        <v>NURUL DIMAS</v>
      </c>
      <c r="AF49" s="80" t="str">
        <f>IFERROR(__xludf.DUMMYFUNCTION("""COMPUTED_VALUE"""),"0812-2218-2069")</f>
        <v>0812-2218-2069</v>
      </c>
      <c r="AG49" s="80" t="str">
        <f>IFERROR(__xludf.DUMMYFUNCTION("""COMPUTED_VALUE"""),"'0812-2218-2069")</f>
        <v>'0812-2218-2069</v>
      </c>
      <c r="AH49" s="80" t="str">
        <f>IFERROR(__xludf.DUMMYFUNCTION("""COMPUTED_VALUE"""),"riczraneha@gmail.com")</f>
        <v>riczraneha@gmail.com</v>
      </c>
      <c r="AI49" s="80" t="str">
        <f>IFERROR(__xludf.DUMMYFUNCTION("""COMPUTED_VALUE"""),"45588S1")</f>
        <v>45588S1</v>
      </c>
      <c r="AJ49" s="80" t="str">
        <f>IFERROR(__xludf.DUMMYFUNCTION("""COMPUTED_VALUE"""),"63513e5176a61561cc0cbd0b")</f>
        <v>63513e5176a61561cc0cbd0b</v>
      </c>
      <c r="AK49" s="80" t="str">
        <f>IFERROR(__xludf.DUMMYFUNCTION("""COMPUTED_VALUE"""),"dm45588s1")</f>
        <v>dm45588s1</v>
      </c>
      <c r="AL49" s="80" t="str">
        <f>IFERROR(__xludf.DUMMYFUNCTION("""COMPUTED_VALUE"""),"password")</f>
        <v>password</v>
      </c>
      <c r="AM49" s="80" t="str">
        <f>IFERROR(__xludf.DUMMYFUNCTION("""COMPUTED_VALUE"""),"KANTOR REGIONAL III BANDUNG 40004")</f>
        <v>KANTOR REGIONAL III BANDUNG 40004</v>
      </c>
      <c r="AN49" s="80" t="str">
        <f>IFERROR(__xludf.DUMMYFUNCTION("""COMPUTED_VALUE"""),"Kantor pos Cibingbin")</f>
        <v>Kantor pos Cibingbin</v>
      </c>
      <c r="AO49" s="80" t="str">
        <f>IFERROR(__xludf.DUMMYFUNCTION("""COMPUTED_VALUE"""),"'1209220057444")</f>
        <v>'1209220057444</v>
      </c>
      <c r="AP49" s="80" t="str">
        <f>IFERROR(__xludf.DUMMYFUNCTION("""COMPUTED_VALUE"""),"53202 ( AKTIFITAS AGEN KURIR )")</f>
        <v>53202 ( AKTIFITAS AGEN KURIR )</v>
      </c>
      <c r="AQ49" s="83"/>
      <c r="AR49" s="80"/>
      <c r="AS49" s="80"/>
      <c r="AT49" s="80" t="str">
        <f>IFERROR(__xludf.DUMMYFUNCTION("""COMPUTED_VALUE"""),"-7.0851995")</f>
        <v>-7.0851995</v>
      </c>
      <c r="AU49" s="80" t="str">
        <f>IFERROR(__xludf.DUMMYFUNCTION("""COMPUTED_VALUE"""),"108.7149424")</f>
        <v>108.7149424</v>
      </c>
      <c r="AV49" s="80" t="str">
        <f>IFERROR(__xludf.DUMMYFUNCTION("""COMPUTED_VALUE"""),"ADA")</f>
        <v>ADA</v>
      </c>
      <c r="AW49" s="80" t="str">
        <f>IFERROR(__xludf.DUMMYFUNCTION("""COMPUTED_VALUE"""),"ADA")</f>
        <v>ADA</v>
      </c>
      <c r="AX49" s="80"/>
      <c r="AY49" s="80"/>
      <c r="AZ49" s="80"/>
      <c r="BA49" s="80" t="str">
        <f>IFERROR(__xludf.DUMMYFUNCTION("""COMPUTED_VALUE"""),"ADA")</f>
        <v>ADA</v>
      </c>
      <c r="BB49" s="80" t="str">
        <f>IFERROR(__xludf.DUMMYFUNCTION("""COMPUTED_VALUE"""),"ADA")</f>
        <v>ADA</v>
      </c>
      <c r="BC49" s="80" t="str">
        <f>IFERROR(__xludf.DUMMYFUNCTION("""COMPUTED_VALUE"""),"ADA")</f>
        <v>ADA</v>
      </c>
      <c r="BD49" s="80" t="str">
        <f>IFERROR(__xludf.DUMMYFUNCTION("""COMPUTED_VALUE"""),"ADA")</f>
        <v>ADA</v>
      </c>
      <c r="BE49" s="80" t="str">
        <f>IFERROR(__xludf.DUMMYFUNCTION("""COMPUTED_VALUE"""),"ADA")</f>
        <v>ADA</v>
      </c>
      <c r="BF49" s="80" t="str">
        <f>IFERROR(__xludf.DUMMYFUNCTION("""COMPUTED_VALUE"""),"ADA")</f>
        <v>ADA</v>
      </c>
      <c r="BG49" s="80" t="str">
        <f>IFERROR(__xludf.DUMMYFUNCTION("""COMPUTED_VALUE"""),"ADA")</f>
        <v>ADA</v>
      </c>
      <c r="BH49" s="80" t="str">
        <f>IFERROR(__xludf.DUMMYFUNCTION("""COMPUTED_VALUE"""),"EPSON L310")</f>
        <v>EPSON L310</v>
      </c>
      <c r="BI49" s="80" t="str">
        <f>IFERROR(__xludf.DUMMYFUNCTION("""COMPUTED_VALUE"""),"ADA")</f>
        <v>ADA</v>
      </c>
      <c r="BJ49" s="80" t="str">
        <f>IFERROR(__xludf.DUMMYFUNCTION("""COMPUTED_VALUE"""),"KERTAS HVS")</f>
        <v>KERTAS HVS</v>
      </c>
      <c r="BK49" s="80" t="str">
        <f>IFERROR(__xludf.DUMMYFUNCTION("""COMPUTED_VALUE"""),"BELUM ADA")</f>
        <v>BELUM ADA</v>
      </c>
      <c r="BL49" s="80"/>
      <c r="BM49" s="80"/>
      <c r="BN49" s="80"/>
      <c r="BO49" s="80"/>
      <c r="BP49" s="80"/>
      <c r="BQ49" s="80"/>
      <c r="BR49" s="80"/>
      <c r="BS49" s="80"/>
      <c r="BT49" s="80"/>
      <c r="BU49" s="80"/>
      <c r="BV49" s="80" t="str">
        <f>IFERROR(__xludf.DUMMYFUNCTION("""COMPUTED_VALUE"""),"Dusun 1 Rt.003/001 Desa/Kelurahan Cimara, Kec. Cibeureum, Kab. Kuningan 45588, Jawa Barat")</f>
        <v>Dusun 1 Rt.003/001 Desa/Kelurahan Cimara, Kec. Cibeureum, Kab. Kuningan 45588, Jawa Barat</v>
      </c>
      <c r="BW49" s="80"/>
      <c r="BX49" s="80"/>
      <c r="BY49" s="80"/>
      <c r="BZ49" s="80"/>
      <c r="CA49" s="80"/>
      <c r="CB49" s="80"/>
      <c r="CC49" s="80"/>
      <c r="CD49" s="80"/>
      <c r="CE49" s="80"/>
      <c r="CF49" s="80"/>
      <c r="CG49" s="80"/>
      <c r="CH49" s="80"/>
      <c r="CI49" s="80"/>
      <c r="CJ49" s="80"/>
      <c r="CK49" s="2"/>
    </row>
    <row r="50" ht="12.75" customHeight="1">
      <c r="A50" s="85">
        <f>IFERROR(__xludf.DUMMYFUNCTION("""COMPUTED_VALUE"""),47.0)</f>
        <v>47</v>
      </c>
      <c r="B50" s="85"/>
      <c r="C50" s="85"/>
      <c r="D50" s="86"/>
      <c r="E50" s="88"/>
      <c r="F50" s="85" t="str">
        <f>IFERROR(__xludf.DUMMYFUNCTION("""COMPUTED_VALUE"""),"20 OKTOBER 2022")</f>
        <v>20 OKTOBER 2022</v>
      </c>
      <c r="G50" s="86">
        <f>IFERROR(__xludf.DUMMYFUNCTION("""COMPUTED_VALUE"""),44854.0)</f>
        <v>44854</v>
      </c>
      <c r="H50" s="85"/>
      <c r="I50" s="85" t="str">
        <f>IFERROR(__xludf.DUMMYFUNCTION("""COMPUTED_VALUE"""),"20 OKTOBER 2022")</f>
        <v>20 OKTOBER 2022</v>
      </c>
      <c r="J50" s="85"/>
      <c r="K50" s="85"/>
      <c r="L50" s="85"/>
      <c r="M50" s="85"/>
      <c r="N50" s="85"/>
      <c r="O50" s="85"/>
      <c r="P50" s="85" t="str">
        <f>IFERROR(__xludf.DUMMYFUNCTION("""COMPUTED_VALUE"""),"44BSPA44404NTB12")</f>
        <v>44BSPA44404NTB12</v>
      </c>
      <c r="Q50" s="85" t="str">
        <f>IFERROR(__xludf.DUMMYFUNCTION("""COMPUTED_VALUE"""),"LOKET UD TERAS JAYA")</f>
        <v>LOKET UD TERAS JAYA</v>
      </c>
      <c r="R50" s="85" t="str">
        <f>IFERROR(__xludf.DUMMYFUNCTION("""COMPUTED_VALUE"""),"LOKET UD TERAS JAYA")</f>
        <v>LOKET UD TERAS JAYA</v>
      </c>
      <c r="S50" s="85" t="str">
        <f>IFERROR(__xludf.DUMMYFUNCTION("""COMPUTED_VALUE"""),"Rusdin")</f>
        <v>Rusdin</v>
      </c>
      <c r="T50" s="85" t="str">
        <f>IFERROR(__xludf.DUMMYFUNCTION("""COMPUTED_VALUE"""),"Jln. Lang Sesat Lingk. Kota Baru Kelurahan Dalam Kec. Taliwang ")</f>
        <v>Jln. Lang Sesat Lingk. Kota Baru Kelurahan Dalam Kec. Taliwang </v>
      </c>
      <c r="U50" s="85" t="str">
        <f>IFERROR(__xludf.DUMMYFUNCTION("""COMPUTED_VALUE"""),"Jl.Lang Sesat-Lingkungan Kota Baru-Kelurahan Dalam-Kecamatan Taliwang-Sumbawa Barat-NTB")</f>
        <v>Jl.Lang Sesat-Lingkungan Kota Baru-Kelurahan Dalam-Kecamatan Taliwang-Sumbawa Barat-NTB</v>
      </c>
      <c r="V50" s="85"/>
      <c r="W50" s="85" t="str">
        <f>IFERROR(__xludf.DUMMYFUNCTION("""COMPUTED_VALUE"""),"DALAM")</f>
        <v>DALAM</v>
      </c>
      <c r="X50" s="85" t="str">
        <f>IFERROR(__xludf.DUMMYFUNCTION("""COMPUTED_VALUE"""),"TALIWANG")</f>
        <v>TALIWANG</v>
      </c>
      <c r="Y50" s="85" t="str">
        <f>IFERROR(__xludf.DUMMYFUNCTION("""COMPUTED_VALUE"""),"KAB.SUMBAWA BARAT")</f>
        <v>KAB.SUMBAWA BARAT</v>
      </c>
      <c r="Z50" s="85" t="str">
        <f>IFERROR(__xludf.DUMMYFUNCTION("""COMPUTED_VALUE"""),"NUSA TENGGARA BARAT")</f>
        <v>NUSA TENGGARA BARAT</v>
      </c>
      <c r="AA50" s="85" t="str">
        <f>IFERROR(__xludf.DUMMYFUNCTION("""COMPUTED_VALUE"""),"84355")</f>
        <v>84355</v>
      </c>
      <c r="AB50" s="85" t="str">
        <f>IFERROR(__xludf.DUMMYFUNCTION("""COMPUTED_VALUE"""),"5207022707780001")</f>
        <v>5207022707780001</v>
      </c>
      <c r="AC50" s="85" t="str">
        <f>IFERROR(__xludf.DUMMYFUNCTION("""COMPUTED_VALUE"""),"72.829.165.9-913.000")</f>
        <v>72.829.165.9-913.000</v>
      </c>
      <c r="AD50" s="85" t="str">
        <f>IFERROR(__xludf.DUMMYFUNCTION("""COMPUTED_VALUE"""),"CUM - BSB - DRIEN")</f>
        <v>CUM - BSB - DRIEN</v>
      </c>
      <c r="AE50" s="85" t="str">
        <f>IFERROR(__xludf.DUMMYFUNCTION("""COMPUTED_VALUE"""),"SUB DWI RATNA NURMAYANTI")</f>
        <v>SUB DWI RATNA NURMAYANTI</v>
      </c>
      <c r="AF50" s="85" t="str">
        <f>IFERROR(__xludf.DUMMYFUNCTION("""COMPUTED_VALUE"""),"6282339277778")</f>
        <v>6282339277778</v>
      </c>
      <c r="AG50" s="85" t="str">
        <f>IFERROR(__xludf.DUMMYFUNCTION("""COMPUTED_VALUE"""),"6282339277778")</f>
        <v>6282339277778</v>
      </c>
      <c r="AH50" s="85" t="str">
        <f>IFERROR(__xludf.DUMMYFUNCTION("""COMPUTED_VALUE"""),"bossredua@gmail.com")</f>
        <v>bossredua@gmail.com</v>
      </c>
      <c r="AI50" s="85" t="str">
        <f>IFERROR(__xludf.DUMMYFUNCTION("""COMPUTED_VALUE"""),"84413S1")</f>
        <v>84413S1</v>
      </c>
      <c r="AJ50" s="85" t="str">
        <f>IFERROR(__xludf.DUMMYFUNCTION("""COMPUTED_VALUE"""),"63437919aa36305ad61ac5f4")</f>
        <v>63437919aa36305ad61ac5f4</v>
      </c>
      <c r="AK50" s="85" t="str">
        <f>IFERROR(__xludf.DUMMYFUNCTION("""COMPUTED_VALUE"""),"dm84413s1")</f>
        <v>dm84413s1</v>
      </c>
      <c r="AL50" s="85" t="str">
        <f>IFERROR(__xludf.DUMMYFUNCTION("""COMPUTED_VALUE"""),"password")</f>
        <v>password</v>
      </c>
      <c r="AM50" s="85"/>
      <c r="AN50" s="85" t="str">
        <f>IFERROR(__xludf.DUMMYFUNCTION("""COMPUTED_VALUE"""),"KANTOR POS TALIWANG")</f>
        <v>KANTOR POS TALIWANG</v>
      </c>
      <c r="AO50" s="85" t="str">
        <f>IFERROR(__xludf.DUMMYFUNCTION("""COMPUTED_VALUE"""),"1309220066684")</f>
        <v>1309220066684</v>
      </c>
      <c r="AP50" s="85" t="str">
        <f>IFERROR(__xludf.DUMMYFUNCTION("""COMPUTED_VALUE"""),"53202 ( AKTIFITAS AGEN KURIR )")</f>
        <v>53202 ( AKTIFITAS AGEN KURIR )</v>
      </c>
      <c r="AQ50" s="93"/>
      <c r="AR50" s="85"/>
      <c r="AS50" s="85"/>
      <c r="AT50" s="85" t="str">
        <f>IFERROR(__xludf.DUMMYFUNCTION("""COMPUTED_VALUE"""),"-8.7343047")</f>
        <v>-8.7343047</v>
      </c>
      <c r="AU50" s="85" t="str">
        <f>IFERROR(__xludf.DUMMYFUNCTION("""COMPUTED_VALUE"""),"116.8506029")</f>
        <v>116.8506029</v>
      </c>
      <c r="AV50" s="85" t="str">
        <f>IFERROR(__xludf.DUMMYFUNCTION("""COMPUTED_VALUE"""),"ADA")</f>
        <v>ADA</v>
      </c>
      <c r="AW50" s="85" t="str">
        <f>IFERROR(__xludf.DUMMYFUNCTION("""COMPUTED_VALUE"""),"ADA")</f>
        <v>ADA</v>
      </c>
      <c r="AX50" s="85"/>
      <c r="AY50" s="85"/>
      <c r="AZ50" s="85"/>
      <c r="BA50" s="85" t="str">
        <f>IFERROR(__xludf.DUMMYFUNCTION("""COMPUTED_VALUE"""),"ADA")</f>
        <v>ADA</v>
      </c>
      <c r="BB50" s="85" t="str">
        <f>IFERROR(__xludf.DUMMYFUNCTION("""COMPUTED_VALUE"""),"ADA")</f>
        <v>ADA</v>
      </c>
      <c r="BC50" s="85" t="str">
        <f>IFERROR(__xludf.DUMMYFUNCTION("""COMPUTED_VALUE"""),"ADA")</f>
        <v>ADA</v>
      </c>
      <c r="BD50" s="85" t="str">
        <f>IFERROR(__xludf.DUMMYFUNCTION("""COMPUTED_VALUE"""),"ADA")</f>
        <v>ADA</v>
      </c>
      <c r="BE50" s="85" t="str">
        <f>IFERROR(__xludf.DUMMYFUNCTION("""COMPUTED_VALUE"""),"ADA")</f>
        <v>ADA</v>
      </c>
      <c r="BF50" s="85" t="str">
        <f>IFERROR(__xludf.DUMMYFUNCTION("""COMPUTED_VALUE"""),"ADA")</f>
        <v>ADA</v>
      </c>
      <c r="BG50" s="85" t="str">
        <f>IFERROR(__xludf.DUMMYFUNCTION("""COMPUTED_VALUE"""),"ADA")</f>
        <v>ADA</v>
      </c>
      <c r="BH50" s="85"/>
      <c r="BI50" s="85" t="str">
        <f>IFERROR(__xludf.DUMMYFUNCTION("""COMPUTED_VALUE"""),"ADA")</f>
        <v>ADA</v>
      </c>
      <c r="BJ50" s="85"/>
      <c r="BK50" s="85" t="str">
        <f>IFERROR(__xludf.DUMMYFUNCTION("""COMPUTED_VALUE"""),"BELUM ADA")</f>
        <v>BELUM ADA</v>
      </c>
      <c r="BL50" s="85"/>
      <c r="BM50" s="85"/>
      <c r="BN50" s="85"/>
      <c r="BO50" s="85"/>
      <c r="BP50" s="85"/>
      <c r="BQ50" s="85"/>
      <c r="BR50" s="85"/>
      <c r="BS50" s="85"/>
      <c r="BT50" s="85"/>
      <c r="BU50" s="85"/>
      <c r="BV50" s="85" t="str">
        <f>IFERROR(__xludf.DUMMYFUNCTION("""COMPUTED_VALUE"""),"Jln. Lang Sesat Lingk. Kota Baru Kelurahan Dalam Kec. Taliwang ")</f>
        <v>Jln. Lang Sesat Lingk. Kota Baru Kelurahan Dalam Kec. Taliwang </v>
      </c>
      <c r="BW50" s="85"/>
      <c r="BX50" s="85"/>
      <c r="BY50" s="85"/>
      <c r="BZ50" s="85"/>
      <c r="CA50" s="85"/>
      <c r="CB50" s="85"/>
      <c r="CC50" s="85"/>
      <c r="CD50" s="85"/>
      <c r="CE50" s="85"/>
      <c r="CF50" s="85"/>
      <c r="CG50" s="85"/>
      <c r="CH50" s="85"/>
      <c r="CI50" s="85"/>
      <c r="CJ50" s="85"/>
      <c r="CK50" s="2"/>
    </row>
    <row r="51" ht="12.75" customHeight="1">
      <c r="A51" s="80">
        <f>IFERROR(__xludf.DUMMYFUNCTION("""COMPUTED_VALUE"""),48.0)</f>
        <v>48</v>
      </c>
      <c r="B51" s="80" t="str">
        <f>IFERROR(__xludf.DUMMYFUNCTION("""COMPUTED_VALUE"""),"13 SEPTEMBER 2022")</f>
        <v>13 SEPTEMBER 2022</v>
      </c>
      <c r="C51" s="80" t="str">
        <f>IFERROR(__xludf.DUMMYFUNCTION("""COMPUTED_VALUE"""),"13 SEPTEMBER 2022")</f>
        <v>13 SEPTEMBER 2022</v>
      </c>
      <c r="D51" s="81"/>
      <c r="E51" s="82"/>
      <c r="F51" s="80"/>
      <c r="G51" s="81"/>
      <c r="H51" s="80"/>
      <c r="I51" s="80"/>
      <c r="J51" s="80"/>
      <c r="K51" s="80"/>
      <c r="L51" s="80"/>
      <c r="M51" s="80"/>
      <c r="N51" s="80"/>
      <c r="O51" s="80"/>
      <c r="P51" s="80" t="str">
        <f>IFERROR(__xludf.DUMMYFUNCTION("""COMPUTED_VALUE"""),"53BSPA28538JBNDS")</f>
        <v>53BSPA28538JBNDS</v>
      </c>
      <c r="Q51" s="80" t="str">
        <f>IFERROR(__xludf.DUMMYFUNCTION("""COMPUTED_VALUE"""),"LOKET TOKO ROSS")</f>
        <v>LOKET TOKO ROSS</v>
      </c>
      <c r="R51" s="80" t="str">
        <f>IFERROR(__xludf.DUMMYFUNCTION("""COMPUTED_VALUE"""),"LOKET TOKO ROSS")</f>
        <v>LOKET TOKO ROSS</v>
      </c>
      <c r="S51" s="80" t="str">
        <f>IFERROR(__xludf.DUMMYFUNCTION("""COMPUTED_VALUE"""),"Ai Yuyun Rosdiana")</f>
        <v>Ai Yuyun Rosdiana</v>
      </c>
      <c r="T51" s="80" t="str">
        <f>IFERROR(__xludf.DUMMYFUNCTION("""COMPUTED_VALUE"""),"Dsn.Sukatamu Rt.001 Rw.004 Kel.Jingkang Kec.Tanjungmedar Kab.Sumedang Jawa Barat")</f>
        <v>Dsn.Sukatamu Rt.001 Rw.004 Kel.Jingkang Kec.Tanjungmedar Kab.Sumedang Jawa Barat</v>
      </c>
      <c r="U51" s="80" t="str">
        <f>IFERROR(__xludf.DUMMYFUNCTION("""COMPUTED_VALUE"""),"DSN.SUKATAMU RT.001 RW.004 KEL.JINGKANG KEC.TANJUNGMEDAR KAB.SUMEDANG JAWA BARAT")</f>
        <v>DSN.SUKATAMU RT.001 RW.004 KEL.JINGKANG KEC.TANJUNGMEDAR KAB.SUMEDANG JAWA BARAT</v>
      </c>
      <c r="V51" s="80" t="str">
        <f>IFERROR(__xludf.DUMMYFUNCTION("""COMPUTED_VALUE"""),"001/004")</f>
        <v>001/004</v>
      </c>
      <c r="W51" s="80" t="str">
        <f>IFERROR(__xludf.DUMMYFUNCTION("""COMPUTED_VALUE"""),"JINGKANG")</f>
        <v>JINGKANG</v>
      </c>
      <c r="X51" s="80" t="str">
        <f>IFERROR(__xludf.DUMMYFUNCTION("""COMPUTED_VALUE"""),"TANJUNGMEDAR")</f>
        <v>TANJUNGMEDAR</v>
      </c>
      <c r="Y51" s="80" t="str">
        <f>IFERROR(__xludf.DUMMYFUNCTION("""COMPUTED_VALUE"""),"KAB.SUMEDANG")</f>
        <v>KAB.SUMEDANG</v>
      </c>
      <c r="Z51" s="80" t="str">
        <f>IFERROR(__xludf.DUMMYFUNCTION("""COMPUTED_VALUE"""),"JAWA BARAT")</f>
        <v>JAWA BARAT</v>
      </c>
      <c r="AA51" s="80" t="str">
        <f>IFERROR(__xludf.DUMMYFUNCTION("""COMPUTED_VALUE"""),"45354")</f>
        <v>45354</v>
      </c>
      <c r="AB51" s="80" t="str">
        <f>IFERROR(__xludf.DUMMYFUNCTION("""COMPUTED_VALUE"""),"3211215104820001")</f>
        <v>3211215104820001</v>
      </c>
      <c r="AC51" s="80" t="str">
        <f>IFERROR(__xludf.DUMMYFUNCTION("""COMPUTED_VALUE"""),"95.097.970.8-446.000")</f>
        <v>95.097.970.8-446.000</v>
      </c>
      <c r="AD51" s="80" t="str">
        <f>IFERROR(__xludf.DUMMYFUNCTION("""COMPUTED_VALUE"""),"CUM - NDS")</f>
        <v>CUM - NDS</v>
      </c>
      <c r="AE51" s="80" t="str">
        <f>IFERROR(__xludf.DUMMYFUNCTION("""COMPUTED_VALUE"""),"NURUL DIMAS")</f>
        <v>NURUL DIMAS</v>
      </c>
      <c r="AF51" s="80" t="str">
        <f>IFERROR(__xludf.DUMMYFUNCTION("""COMPUTED_VALUE"""),"081214385903")</f>
        <v>081214385903</v>
      </c>
      <c r="AG51" s="80" t="str">
        <f>IFERROR(__xludf.DUMMYFUNCTION("""COMPUTED_VALUE"""),"'081214385903")</f>
        <v>'081214385903</v>
      </c>
      <c r="AH51" s="80" t="str">
        <f>IFERROR(__xludf.DUMMYFUNCTION("""COMPUTED_VALUE"""),"aiyuyun754@gmail.com")</f>
        <v>aiyuyun754@gmail.com</v>
      </c>
      <c r="AI51" s="80"/>
      <c r="AJ51" s="80"/>
      <c r="AK51" s="80"/>
      <c r="AL51" s="80"/>
      <c r="AM51" s="80" t="str">
        <f>IFERROR(__xludf.DUMMYFUNCTION("""COMPUTED_VALUE"""),"KANTOR REGIONAL III BANDUNG 40004")</f>
        <v>KANTOR REGIONAL III BANDUNG 40004</v>
      </c>
      <c r="AN51" s="80" t="str">
        <f>IFERROR(__xludf.DUMMYFUNCTION("""COMPUTED_VALUE"""),"KANTOR POS TANJUNGKERTA")</f>
        <v>KANTOR POS TANJUNGKERTA</v>
      </c>
      <c r="AO51" s="80" t="str">
        <f>IFERROR(__xludf.DUMMYFUNCTION("""COMPUTED_VALUE"""),"2907220025243")</f>
        <v>2907220025243</v>
      </c>
      <c r="AP51" s="80" t="str">
        <f>IFERROR(__xludf.DUMMYFUNCTION("""COMPUTED_VALUE"""),"53202 ( AKTIFITAS AGEN KURIR )")</f>
        <v>53202 ( AKTIFITAS AGEN KURIR )</v>
      </c>
      <c r="AQ51" s="83"/>
      <c r="AR51" s="80"/>
      <c r="AS51" s="80"/>
      <c r="AT51" s="80" t="str">
        <f>IFERROR(__xludf.DUMMYFUNCTION("""COMPUTED_VALUE"""),"-6.7179803")</f>
        <v>-6.7179803</v>
      </c>
      <c r="AU51" s="80" t="str">
        <f>IFERROR(__xludf.DUMMYFUNCTION("""COMPUTED_VALUE"""),"107.8656706")</f>
        <v>107.8656706</v>
      </c>
      <c r="AV51" s="80" t="str">
        <f>IFERROR(__xludf.DUMMYFUNCTION("""COMPUTED_VALUE"""),"ADA")</f>
        <v>ADA</v>
      </c>
      <c r="AW51" s="80" t="str">
        <f>IFERROR(__xludf.DUMMYFUNCTION("""COMPUTED_VALUE"""),"ADA")</f>
        <v>ADA</v>
      </c>
      <c r="AX51" s="80"/>
      <c r="AY51" s="80"/>
      <c r="AZ51" s="80"/>
      <c r="BA51" s="80" t="str">
        <f>IFERROR(__xludf.DUMMYFUNCTION("""COMPUTED_VALUE"""),"ADA")</f>
        <v>ADA</v>
      </c>
      <c r="BB51" s="80" t="str">
        <f>IFERROR(__xludf.DUMMYFUNCTION("""COMPUTED_VALUE"""),"ADA")</f>
        <v>ADA</v>
      </c>
      <c r="BC51" s="80" t="str">
        <f>IFERROR(__xludf.DUMMYFUNCTION("""COMPUTED_VALUE"""),"ADA")</f>
        <v>ADA</v>
      </c>
      <c r="BD51" s="80" t="str">
        <f>IFERROR(__xludf.DUMMYFUNCTION("""COMPUTED_VALUE"""),"ADA")</f>
        <v>ADA</v>
      </c>
      <c r="BE51" s="80" t="str">
        <f>IFERROR(__xludf.DUMMYFUNCTION("""COMPUTED_VALUE"""),"ADA")</f>
        <v>ADA</v>
      </c>
      <c r="BF51" s="80" t="str">
        <f>IFERROR(__xludf.DUMMYFUNCTION("""COMPUTED_VALUE"""),"ADA")</f>
        <v>ADA</v>
      </c>
      <c r="BG51" s="80" t="str">
        <f>IFERROR(__xludf.DUMMYFUNCTION("""COMPUTED_VALUE"""),"ADA")</f>
        <v>ADA</v>
      </c>
      <c r="BH51" s="80" t="str">
        <f>IFERROR(__xludf.DUMMYFUNCTION("""COMPUTED_VALUE"""),"EPSON L3110")</f>
        <v>EPSON L3110</v>
      </c>
      <c r="BI51" s="80" t="str">
        <f>IFERROR(__xludf.DUMMYFUNCTION("""COMPUTED_VALUE"""),"ADA")</f>
        <v>ADA</v>
      </c>
      <c r="BJ51" s="80" t="str">
        <f>IFERROR(__xludf.DUMMYFUNCTION("""COMPUTED_VALUE"""),"KERTAS HVS")</f>
        <v>KERTAS HVS</v>
      </c>
      <c r="BK51" s="80" t="str">
        <f>IFERROR(__xludf.DUMMYFUNCTION("""COMPUTED_VALUE"""),"BELUM ADA")</f>
        <v>BELUM ADA</v>
      </c>
      <c r="BL51" s="80"/>
      <c r="BM51" s="80"/>
      <c r="BN51" s="80"/>
      <c r="BO51" s="80"/>
      <c r="BP51" s="80"/>
      <c r="BQ51" s="80"/>
      <c r="BR51" s="80"/>
      <c r="BS51" s="80"/>
      <c r="BT51" s="80"/>
      <c r="BU51" s="80"/>
      <c r="BV51" s="80" t="str">
        <f>IFERROR(__xludf.DUMMYFUNCTION("""COMPUTED_VALUE"""),"Dsn.Sukatamu Rt.001 Rw.004 Kel.Jingkang Kec.Tanjungmedar Kab.Sumedang Jawa Barat")</f>
        <v>Dsn.Sukatamu Rt.001 Rw.004 Kel.Jingkang Kec.Tanjungmedar Kab.Sumedang Jawa Barat</v>
      </c>
      <c r="BW51" s="80"/>
      <c r="BX51" s="80"/>
      <c r="BY51" s="80"/>
      <c r="BZ51" s="80"/>
      <c r="CA51" s="80"/>
      <c r="CB51" s="80"/>
      <c r="CC51" s="80"/>
      <c r="CD51" s="80"/>
      <c r="CE51" s="80"/>
      <c r="CF51" s="80"/>
      <c r="CG51" s="80"/>
      <c r="CH51" s="80"/>
      <c r="CI51" s="80"/>
      <c r="CJ51" s="80"/>
      <c r="CK51" s="2"/>
    </row>
    <row r="52" ht="12.75" customHeight="1">
      <c r="A52" s="85">
        <f>IFERROR(__xludf.DUMMYFUNCTION("""COMPUTED_VALUE"""),49.0)</f>
        <v>49</v>
      </c>
      <c r="B52" s="85" t="str">
        <f>IFERROR(__xludf.DUMMYFUNCTION("""COMPUTED_VALUE"""),"16 SEPTEMBER 2022")</f>
        <v>16 SEPTEMBER 2022</v>
      </c>
      <c r="C52" s="85" t="str">
        <f>IFERROR(__xludf.DUMMYFUNCTION("""COMPUTED_VALUE"""),"16 SEPTEMBER 2022")</f>
        <v>16 SEPTEMBER 2022</v>
      </c>
      <c r="D52" s="86"/>
      <c r="E52" s="88"/>
      <c r="F52" s="85" t="str">
        <f>IFERROR(__xludf.DUMMYFUNCTION("""COMPUTED_VALUE"""),"26 OKTOBER 2022")</f>
        <v>26 OKTOBER 2022</v>
      </c>
      <c r="G52" s="86">
        <f>IFERROR(__xludf.DUMMYFUNCTION("""COMPUTED_VALUE"""),44859.0)</f>
        <v>44859</v>
      </c>
      <c r="H52" s="85"/>
      <c r="I52" s="85" t="str">
        <f>IFERROR(__xludf.DUMMYFUNCTION("""COMPUTED_VALUE"""),"26 OKTOBER 2022")</f>
        <v>26 OKTOBER 2022</v>
      </c>
      <c r="J52" s="85" t="str">
        <f>IFERROR(__xludf.DUMMYFUNCTION("""COMPUTED_VALUE"""),"26/10/22")</f>
        <v>26/10/22</v>
      </c>
      <c r="K52" s="85"/>
      <c r="L52" s="85"/>
      <c r="M52" s="85"/>
      <c r="N52" s="85"/>
      <c r="O52" s="85"/>
      <c r="P52" s="85" t="str">
        <f>IFERROR(__xludf.DUMMYFUNCTION("""COMPUTED_VALUE"""),"53BSPA06626JBHDT")</f>
        <v>53BSPA06626JBHDT</v>
      </c>
      <c r="Q52" s="85" t="str">
        <f>IFERROR(__xludf.DUMMYFUNCTION("""COMPUTED_VALUE"""),"LOKET DINDA ")</f>
        <v>LOKET DINDA </v>
      </c>
      <c r="R52" s="85" t="str">
        <f>IFERROR(__xludf.DUMMYFUNCTION("""COMPUTED_VALUE"""),"LOKET DINDA")</f>
        <v>LOKET DINDA</v>
      </c>
      <c r="S52" s="85" t="str">
        <f>IFERROR(__xludf.DUMMYFUNCTION("""COMPUTED_VALUE"""),"Adinda Nur Rizki")</f>
        <v>Adinda Nur Rizki</v>
      </c>
      <c r="T52" s="85" t="str">
        <f>IFERROR(__xludf.DUMMYFUNCTION("""COMPUTED_VALUE"""),"Kp Tegalilat Rt 001 Rw 013 Kel Sekar Wangi Kec Soreang Kab Bandung")</f>
        <v>Kp Tegalilat Rt 001 Rw 013 Kel Sekar Wangi Kec Soreang Kab Bandung</v>
      </c>
      <c r="U52" s="85" t="str">
        <f>IFERROR(__xludf.DUMMYFUNCTION("""COMPUTED_VALUE"""),"Jalan Kurunangan no 6 Kel Alamendah Kec Rancabali Kab Bandung Jawa Barat 40973")</f>
        <v>Jalan Kurunangan no 6 Kel Alamendah Kec Rancabali Kab Bandung Jawa Barat 40973</v>
      </c>
      <c r="V52" s="85" t="str">
        <f>IFERROR(__xludf.DUMMYFUNCTION("""COMPUTED_VALUE"""),"001/013")</f>
        <v>001/013</v>
      </c>
      <c r="W52" s="85" t="str">
        <f>IFERROR(__xludf.DUMMYFUNCTION("""COMPUTED_VALUE"""),"ALAMENDAH")</f>
        <v>ALAMENDAH</v>
      </c>
      <c r="X52" s="85" t="str">
        <f>IFERROR(__xludf.DUMMYFUNCTION("""COMPUTED_VALUE"""),"RANCABALI")</f>
        <v>RANCABALI</v>
      </c>
      <c r="Y52" s="85" t="str">
        <f>IFERROR(__xludf.DUMMYFUNCTION("""COMPUTED_VALUE"""),"KAB.BANDUNG")</f>
        <v>KAB.BANDUNG</v>
      </c>
      <c r="Z52" s="85" t="str">
        <f>IFERROR(__xludf.DUMMYFUNCTION("""COMPUTED_VALUE"""),"JAWA BARAT")</f>
        <v>JAWA BARAT</v>
      </c>
      <c r="AA52" s="85" t="str">
        <f>IFERROR(__xludf.DUMMYFUNCTION("""COMPUTED_VALUE"""),"40973")</f>
        <v>40973</v>
      </c>
      <c r="AB52" s="85" t="str">
        <f>IFERROR(__xludf.DUMMYFUNCTION("""COMPUTED_VALUE"""),"3204375311760003")</f>
        <v>3204375311760003</v>
      </c>
      <c r="AC52" s="85" t="str">
        <f>IFERROR(__xludf.DUMMYFUNCTION("""COMPUTED_VALUE"""),"72.268.751.4-445.000")</f>
        <v>72.268.751.4-445.000</v>
      </c>
      <c r="AD52" s="85" t="str">
        <f>IFERROR(__xludf.DUMMYFUNCTION("""COMPUTED_VALUE"""),"CUM - HDT")</f>
        <v>CUM - HDT</v>
      </c>
      <c r="AE52" s="85" t="str">
        <f>IFERROR(__xludf.DUMMYFUNCTION("""COMPUTED_VALUE"""),"Sub Hidayat")</f>
        <v>Sub Hidayat</v>
      </c>
      <c r="AF52" s="85" t="str">
        <f>IFERROR(__xludf.DUMMYFUNCTION("""COMPUTED_VALUE""")," 081573068171")</f>
        <v> 081573068171</v>
      </c>
      <c r="AG52" s="85" t="str">
        <f>IFERROR(__xludf.DUMMYFUNCTION("""COMPUTED_VALUE"""),"081573068171")</f>
        <v>081573068171</v>
      </c>
      <c r="AH52" s="85" t="str">
        <f>IFERROR(__xludf.DUMMYFUNCTION("""COMPUTED_VALUE"""),"adindanurrizki2002@gmail.com")</f>
        <v>adindanurrizki2002@gmail.com</v>
      </c>
      <c r="AI52" s="85" t="str">
        <f>IFERROR(__xludf.DUMMYFUNCTION("""COMPUTED_VALUE"""),"40363S1")</f>
        <v>40363S1</v>
      </c>
      <c r="AJ52" s="85" t="str">
        <f>IFERROR(__xludf.DUMMYFUNCTION("""COMPUTED_VALUE"""),"634638b2ead5e31d317526dc")</f>
        <v>634638b2ead5e31d317526dc</v>
      </c>
      <c r="AK52" s="85" t="str">
        <f>IFERROR(__xludf.DUMMYFUNCTION("""COMPUTED_VALUE"""),"dm40363s1")</f>
        <v>dm40363s1</v>
      </c>
      <c r="AL52" s="85" t="str">
        <f>IFERROR(__xludf.DUMMYFUNCTION("""COMPUTED_VALUE"""),"password")</f>
        <v>password</v>
      </c>
      <c r="AM52" s="85" t="str">
        <f>IFERROR(__xludf.DUMMYFUNCTION("""COMPUTED_VALUE"""),"KANTOR REGIONAL III BANDUNG 40004")</f>
        <v>KANTOR REGIONAL III BANDUNG 40004</v>
      </c>
      <c r="AN52" s="85" t="str">
        <f>IFERROR(__xludf.DUMMYFUNCTION("""COMPUTED_VALUE"""),"KANTOR POS CIWIDEY")</f>
        <v>KANTOR POS CIWIDEY</v>
      </c>
      <c r="AO52" s="85" t="str">
        <f>IFERROR(__xludf.DUMMYFUNCTION("""COMPUTED_VALUE"""),"1609220266226")</f>
        <v>1609220266226</v>
      </c>
      <c r="AP52" s="85" t="str">
        <f>IFERROR(__xludf.DUMMYFUNCTION("""COMPUTED_VALUE"""),"53202 ( AKTIFITAS AGEN KURIR )")</f>
        <v>53202 ( AKTIFITAS AGEN KURIR )</v>
      </c>
      <c r="AQ52" s="93"/>
      <c r="AR52" s="85"/>
      <c r="AS52" s="85"/>
      <c r="AT52" s="85" t="str">
        <f>IFERROR(__xludf.DUMMYFUNCTION("""COMPUTED_VALUE"""),"-7.1310886")</f>
        <v>-7.1310886</v>
      </c>
      <c r="AU52" s="85" t="str">
        <f>IFERROR(__xludf.DUMMYFUNCTION("""COMPUTED_VALUE"""),"107.4189336")</f>
        <v>107.4189336</v>
      </c>
      <c r="AV52" s="85" t="str">
        <f>IFERROR(__xludf.DUMMYFUNCTION("""COMPUTED_VALUE"""),"ADA")</f>
        <v>ADA</v>
      </c>
      <c r="AW52" s="85" t="str">
        <f>IFERROR(__xludf.DUMMYFUNCTION("""COMPUTED_VALUE"""),"ADA")</f>
        <v>ADA</v>
      </c>
      <c r="AX52" s="85"/>
      <c r="AY52" s="85"/>
      <c r="AZ52" s="85"/>
      <c r="BA52" s="85" t="str">
        <f>IFERROR(__xludf.DUMMYFUNCTION("""COMPUTED_VALUE"""),"ADA")</f>
        <v>ADA</v>
      </c>
      <c r="BB52" s="85" t="str">
        <f>IFERROR(__xludf.DUMMYFUNCTION("""COMPUTED_VALUE"""),"ADA")</f>
        <v>ADA</v>
      </c>
      <c r="BC52" s="85" t="str">
        <f>IFERROR(__xludf.DUMMYFUNCTION("""COMPUTED_VALUE"""),"ADA")</f>
        <v>ADA</v>
      </c>
      <c r="BD52" s="85" t="str">
        <f>IFERROR(__xludf.DUMMYFUNCTION("""COMPUTED_VALUE"""),"ADA")</f>
        <v>ADA</v>
      </c>
      <c r="BE52" s="85" t="str">
        <f>IFERROR(__xludf.DUMMYFUNCTION("""COMPUTED_VALUE"""),"ADA")</f>
        <v>ADA</v>
      </c>
      <c r="BF52" s="85" t="str">
        <f>IFERROR(__xludf.DUMMYFUNCTION("""COMPUTED_VALUE"""),"ADA")</f>
        <v>ADA</v>
      </c>
      <c r="BG52" s="85" t="str">
        <f>IFERROR(__xludf.DUMMYFUNCTION("""COMPUTED_VALUE"""),"ADA")</f>
        <v>ADA</v>
      </c>
      <c r="BH52" s="85" t="str">
        <f>IFERROR(__xludf.DUMMYFUNCTION("""COMPUTED_VALUE"""),"ZJIANG 9200 BLUETOOTH")</f>
        <v>ZJIANG 9200 BLUETOOTH</v>
      </c>
      <c r="BI52" s="85" t="str">
        <f>IFERROR(__xludf.DUMMYFUNCTION("""COMPUTED_VALUE"""),"ADA")</f>
        <v>ADA</v>
      </c>
      <c r="BJ52" s="85" t="str">
        <f>IFERROR(__xludf.DUMMYFUNCTION("""COMPUTED_VALUE"""),"ADA")</f>
        <v>ADA</v>
      </c>
      <c r="BK52" s="85" t="str">
        <f>IFERROR(__xludf.DUMMYFUNCTION("""COMPUTED_VALUE"""),"BELUM ADA")</f>
        <v>BELUM ADA</v>
      </c>
      <c r="BL52" s="85"/>
      <c r="BM52" s="85"/>
      <c r="BN52" s="85"/>
      <c r="BO52" s="85"/>
      <c r="BP52" s="85"/>
      <c r="BQ52" s="85"/>
      <c r="BR52" s="85"/>
      <c r="BS52" s="85"/>
      <c r="BT52" s="85"/>
      <c r="BU52" s="85"/>
      <c r="BV52" s="85" t="str">
        <f>IFERROR(__xludf.DUMMYFUNCTION("""COMPUTED_VALUE"""),"Kp Tegalilat Rt 001 Rw 013 Kel Sekar Wangi Kec Soreang Kab Bandung")</f>
        <v>Kp Tegalilat Rt 001 Rw 013 Kel Sekar Wangi Kec Soreang Kab Bandung</v>
      </c>
      <c r="BW52" s="85"/>
      <c r="BX52" s="85"/>
      <c r="BY52" s="85"/>
      <c r="BZ52" s="85"/>
      <c r="CA52" s="85"/>
      <c r="CB52" s="85"/>
      <c r="CC52" s="85"/>
      <c r="CD52" s="85"/>
      <c r="CE52" s="85"/>
      <c r="CF52" s="85"/>
      <c r="CG52" s="85"/>
      <c r="CH52" s="85"/>
      <c r="CI52" s="85"/>
      <c r="CJ52" s="85"/>
      <c r="CK52" s="2"/>
    </row>
    <row r="53" ht="12.75" customHeight="1">
      <c r="A53" s="80">
        <f>IFERROR(__xludf.DUMMYFUNCTION("""COMPUTED_VALUE"""),50.0)</f>
        <v>50</v>
      </c>
      <c r="B53" s="80"/>
      <c r="C53" s="80"/>
      <c r="D53" s="81"/>
      <c r="E53" s="82"/>
      <c r="F53" s="80" t="str">
        <f>IFERROR(__xludf.DUMMYFUNCTION("""COMPUTED_VALUE"""),"19 OKTOBER 2022")</f>
        <v>19 OKTOBER 2022</v>
      </c>
      <c r="G53" s="81">
        <f>IFERROR(__xludf.DUMMYFUNCTION("""COMPUTED_VALUE"""),44853.0)</f>
        <v>44853</v>
      </c>
      <c r="H53" s="80"/>
      <c r="I53" s="80" t="str">
        <f>IFERROR(__xludf.DUMMYFUNCTION("""COMPUTED_VALUE"""),"19 OKTOBER 2022")</f>
        <v>19 OKTOBER 2022</v>
      </c>
      <c r="J53" s="80" t="str">
        <f>IFERROR(__xludf.DUMMYFUNCTION("""COMPUTED_VALUE"""),"13 DESEMBER 2022")</f>
        <v>13 DESEMBER 2022</v>
      </c>
      <c r="K53" s="80"/>
      <c r="L53" s="80"/>
      <c r="M53" s="80"/>
      <c r="N53" s="80"/>
      <c r="O53" s="80"/>
      <c r="P53" s="80" t="str">
        <f>IFERROR(__xludf.DUMMYFUNCTION("""COMPUTED_VALUE"""),"44BSPA44812NTBDR")</f>
        <v>44BSPA44812NTBDR</v>
      </c>
      <c r="Q53" s="80" t="str">
        <f>IFERROR(__xludf.DUMMYFUNCTION("""COMPUTED_VALUE"""),"LOKET GLOBAL MEDIA")</f>
        <v>LOKET GLOBAL MEDIA</v>
      </c>
      <c r="R53" s="80" t="str">
        <f>IFERROR(__xludf.DUMMYFUNCTION("""COMPUTED_VALUE"""),"LOKET GLOBAL MEDIA")</f>
        <v>LOKET GLOBAL MEDIA</v>
      </c>
      <c r="S53" s="80" t="str">
        <f>IFERROR(__xludf.DUMMYFUNCTION("""COMPUTED_VALUE"""),"Dedi Nopembri")</f>
        <v>Dedi Nopembri</v>
      </c>
      <c r="T53" s="80" t="str">
        <f>IFERROR(__xludf.DUMMYFUNCTION("""COMPUTED_VALUE"""),"Dusun Motong Tengah Rt 001 Rw 004 Desa Motong Kec.Utan Kab.Sumbawa Kode Pos: 84351")</f>
        <v>Dusun Motong Tengah Rt 001 Rw 004 Desa Motong Kec.Utan Kab.Sumbawa Kode Pos: 84351</v>
      </c>
      <c r="U53" s="80" t="str">
        <f>IFERROR(__xludf.DUMMYFUNCTION("""COMPUTED_VALUE"""),"DUSUN MOTONG TENGAH RT 001 RW 004 DESA MOTONG KEC.UTAN KAB.SUMBAWA KODE POS: 84351")</f>
        <v>DUSUN MOTONG TENGAH RT 001 RW 004 DESA MOTONG KEC.UTAN KAB.SUMBAWA KODE POS: 84351</v>
      </c>
      <c r="V53" s="80" t="str">
        <f>IFERROR(__xludf.DUMMYFUNCTION("""COMPUTED_VALUE"""),"001/004")</f>
        <v>001/004</v>
      </c>
      <c r="W53" s="80" t="str">
        <f>IFERROR(__xludf.DUMMYFUNCTION("""COMPUTED_VALUE"""),"DESA MOTONG")</f>
        <v>DESA MOTONG</v>
      </c>
      <c r="X53" s="80" t="str">
        <f>IFERROR(__xludf.DUMMYFUNCTION("""COMPUTED_VALUE"""),"UTAN")</f>
        <v>UTAN</v>
      </c>
      <c r="Y53" s="80" t="str">
        <f>IFERROR(__xludf.DUMMYFUNCTION("""COMPUTED_VALUE"""),"KAB.SUMBAWA")</f>
        <v>KAB.SUMBAWA</v>
      </c>
      <c r="Z53" s="80" t="str">
        <f>IFERROR(__xludf.DUMMYFUNCTION("""COMPUTED_VALUE"""),"NUSA TENGGARA BARAT")</f>
        <v>NUSA TENGGARA BARAT</v>
      </c>
      <c r="AA53" s="80" t="str">
        <f>IFERROR(__xludf.DUMMYFUNCTION("""COMPUTED_VALUE"""),"84351")</f>
        <v>84351</v>
      </c>
      <c r="AB53" s="80" t="str">
        <f>IFERROR(__xludf.DUMMYFUNCTION("""COMPUTED_VALUE"""),"5204061511880003")</f>
        <v>5204061511880003</v>
      </c>
      <c r="AC53" s="80" t="str">
        <f>IFERROR(__xludf.DUMMYFUNCTION("""COMPUTED_VALUE"""),"82.604.824.1-913.000")</f>
        <v>82.604.824.1-913.000</v>
      </c>
      <c r="AD53" s="80" t="str">
        <f>IFERROR(__xludf.DUMMYFUNCTION("""COMPUTED_VALUE"""),"CUM - BSB - DRIEN")</f>
        <v>CUM - BSB - DRIEN</v>
      </c>
      <c r="AE53" s="80" t="str">
        <f>IFERROR(__xludf.DUMMYFUNCTION("""COMPUTED_VALUE"""),"SUB DWI RATNA NURMAYANTI")</f>
        <v>SUB DWI RATNA NURMAYANTI</v>
      </c>
      <c r="AF53" s="80" t="str">
        <f>IFERROR(__xludf.DUMMYFUNCTION("""COMPUTED_VALUE"""),"082340366895")</f>
        <v>082340366895</v>
      </c>
      <c r="AG53" s="80" t="str">
        <f>IFERROR(__xludf.DUMMYFUNCTION("""COMPUTED_VALUE"""),"'082340366895")</f>
        <v>'082340366895</v>
      </c>
      <c r="AH53" s="80" t="str">
        <f>IFERROR(__xludf.DUMMYFUNCTION("""COMPUTED_VALUE"""),"dedinopembri@gmail.com")</f>
        <v>dedinopembri@gmail.com</v>
      </c>
      <c r="AI53" s="80" t="str">
        <f>IFERROR(__xludf.DUMMYFUNCTION("""COMPUTED_VALUE"""),"84352S1")</f>
        <v>84352S1</v>
      </c>
      <c r="AJ53" s="80" t="str">
        <f>IFERROR(__xludf.DUMMYFUNCTION("""COMPUTED_VALUE"""),"634e1208de305b4290318187")</f>
        <v>634e1208de305b4290318187</v>
      </c>
      <c r="AK53" s="80" t="str">
        <f>IFERROR(__xludf.DUMMYFUNCTION("""COMPUTED_VALUE"""),"dm84352s1")</f>
        <v>dm84352s1</v>
      </c>
      <c r="AL53" s="80" t="str">
        <f>IFERROR(__xludf.DUMMYFUNCTION("""COMPUTED_VALUE"""),"password")</f>
        <v>password</v>
      </c>
      <c r="AM53" s="80"/>
      <c r="AN53" s="80" t="str">
        <f>IFERROR(__xludf.DUMMYFUNCTION("""COMPUTED_VALUE"""),"KCP UTAN")</f>
        <v>KCP UTAN</v>
      </c>
      <c r="AO53" s="80" t="str">
        <f>IFERROR(__xludf.DUMMYFUNCTION("""COMPUTED_VALUE"""),"2009220101359")</f>
        <v>2009220101359</v>
      </c>
      <c r="AP53" s="80" t="str">
        <f>IFERROR(__xludf.DUMMYFUNCTION("""COMPUTED_VALUE"""),"53202 ( AKTIFITAS AGEN KURIR )")</f>
        <v>53202 ( AKTIFITAS AGEN KURIR )</v>
      </c>
      <c r="AQ53" s="83"/>
      <c r="AR53" s="80"/>
      <c r="AS53" s="80"/>
      <c r="AT53" s="80" t="str">
        <f>IFERROR(__xludf.DUMMYFUNCTION("""COMPUTED_VALUE"""),"-8.412375")</f>
        <v>-8.412375</v>
      </c>
      <c r="AU53" s="80" t="str">
        <f>IFERROR(__xludf.DUMMYFUNCTION("""COMPUTED_VALUE"""),"117.144997")</f>
        <v>117.144997</v>
      </c>
      <c r="AV53" s="80" t="str">
        <f>IFERROR(__xludf.DUMMYFUNCTION("""COMPUTED_VALUE"""),"ADA")</f>
        <v>ADA</v>
      </c>
      <c r="AW53" s="80" t="str">
        <f>IFERROR(__xludf.DUMMYFUNCTION("""COMPUTED_VALUE"""),"ADA")</f>
        <v>ADA</v>
      </c>
      <c r="AX53" s="80"/>
      <c r="AY53" s="80"/>
      <c r="AZ53" s="80"/>
      <c r="BA53" s="80" t="str">
        <f>IFERROR(__xludf.DUMMYFUNCTION("""COMPUTED_VALUE"""),"ADA")</f>
        <v>ADA</v>
      </c>
      <c r="BB53" s="80" t="str">
        <f>IFERROR(__xludf.DUMMYFUNCTION("""COMPUTED_VALUE"""),"ADA")</f>
        <v>ADA</v>
      </c>
      <c r="BC53" s="80" t="str">
        <f>IFERROR(__xludf.DUMMYFUNCTION("""COMPUTED_VALUE"""),"ADA")</f>
        <v>ADA</v>
      </c>
      <c r="BD53" s="80" t="str">
        <f>IFERROR(__xludf.DUMMYFUNCTION("""COMPUTED_VALUE"""),"ADA")</f>
        <v>ADA</v>
      </c>
      <c r="BE53" s="80" t="str">
        <f>IFERROR(__xludf.DUMMYFUNCTION("""COMPUTED_VALUE"""),"ADA")</f>
        <v>ADA</v>
      </c>
      <c r="BF53" s="80" t="str">
        <f>IFERROR(__xludf.DUMMYFUNCTION("""COMPUTED_VALUE"""),"ADA")</f>
        <v>ADA</v>
      </c>
      <c r="BG53" s="80" t="str">
        <f>IFERROR(__xludf.DUMMYFUNCTION("""COMPUTED_VALUE"""),"ADA")</f>
        <v>ADA</v>
      </c>
      <c r="BH53" s="80" t="str">
        <f>IFERROR(__xludf.DUMMYFUNCTION("""COMPUTED_VALUE"""),"CANON")</f>
        <v>CANON</v>
      </c>
      <c r="BI53" s="80" t="str">
        <f>IFERROR(__xludf.DUMMYFUNCTION("""COMPUTED_VALUE"""),"ADA")</f>
        <v>ADA</v>
      </c>
      <c r="BJ53" s="80" t="str">
        <f>IFERROR(__xludf.DUMMYFUNCTION("""COMPUTED_VALUE"""),"HVS")</f>
        <v>HVS</v>
      </c>
      <c r="BK53" s="80"/>
      <c r="BL53" s="80"/>
      <c r="BM53" s="80"/>
      <c r="BN53" s="80"/>
      <c r="BO53" s="80"/>
      <c r="BP53" s="80"/>
      <c r="BQ53" s="80"/>
      <c r="BR53" s="80"/>
      <c r="BS53" s="80"/>
      <c r="BT53" s="80"/>
      <c r="BU53" s="80"/>
      <c r="BV53" s="80" t="str">
        <f>IFERROR(__xludf.DUMMYFUNCTION("""COMPUTED_VALUE"""),"Dusun Motong Tengah Rt 001 Rw 004 Desa Motong Kec.Utan Kab.Sumbawa Kode Pos: 84351")</f>
        <v>Dusun Motong Tengah Rt 001 Rw 004 Desa Motong Kec.Utan Kab.Sumbawa Kode Pos: 84351</v>
      </c>
      <c r="BW53" s="80"/>
      <c r="BX53" s="80"/>
      <c r="BY53" s="80"/>
      <c r="BZ53" s="80"/>
      <c r="CA53" s="80"/>
      <c r="CB53" s="80"/>
      <c r="CC53" s="80"/>
      <c r="CD53" s="80"/>
      <c r="CE53" s="80"/>
      <c r="CF53" s="80"/>
      <c r="CG53" s="80"/>
      <c r="CH53" s="80"/>
      <c r="CI53" s="80"/>
      <c r="CJ53" s="80"/>
      <c r="CK53" s="2"/>
    </row>
    <row r="54" ht="12.75" customHeight="1">
      <c r="A54" s="85">
        <f>IFERROR(__xludf.DUMMYFUNCTION("""COMPUTED_VALUE"""),51.0)</f>
        <v>51</v>
      </c>
      <c r="B54" s="85"/>
      <c r="C54" s="85"/>
      <c r="D54" s="86"/>
      <c r="E54" s="88"/>
      <c r="F54" s="85" t="str">
        <f>IFERROR(__xludf.DUMMYFUNCTION("""COMPUTED_VALUE"""),"18 OKTOBER 2022")</f>
        <v>18 OKTOBER 2022</v>
      </c>
      <c r="G54" s="86">
        <f>IFERROR(__xludf.DUMMYFUNCTION("""COMPUTED_VALUE"""),44852.0)</f>
        <v>44852</v>
      </c>
      <c r="H54" s="85" t="str">
        <f>IFERROR(__xludf.DUMMYFUNCTION("""COMPUTED_VALUE"""),"9 MEI 2023")</f>
        <v>9 MEI 2023</v>
      </c>
      <c r="I54" s="85" t="str">
        <f>IFERROR(__xludf.DUMMYFUNCTION("""COMPUTED_VALUE"""),"18 OKTOBER 2022")</f>
        <v>18 OKTOBER 2022</v>
      </c>
      <c r="J54" s="85" t="str">
        <f>IFERROR(__xludf.DUMMYFUNCTION("""COMPUTED_VALUE"""),"22 NOPEMBER 2022")</f>
        <v>22 NOPEMBER 2022</v>
      </c>
      <c r="K54" s="85"/>
      <c r="L54" s="85"/>
      <c r="M54" s="85"/>
      <c r="N54" s="85"/>
      <c r="O54" s="85"/>
      <c r="P54" s="85" t="str">
        <f>IFERROR(__xludf.DUMMYFUNCTION("""COMPUTED_VALUE"""),"53BSPA25843JBRAB")</f>
        <v>53BSPA25843JBRAB</v>
      </c>
      <c r="Q54" s="85" t="str">
        <f>IFERROR(__xludf.DUMMYFUNCTION("""COMPUTED_VALUE"""),"LOKET WELLY")</f>
        <v>LOKET WELLY</v>
      </c>
      <c r="R54" s="85" t="str">
        <f>IFERROR(__xludf.DUMMYFUNCTION("""COMPUTED_VALUE"""),"LOKET WELLY")</f>
        <v>LOKET WELLY</v>
      </c>
      <c r="S54" s="85" t="str">
        <f>IFERROR(__xludf.DUMMYFUNCTION("""COMPUTED_VALUE"""),"Welly")</f>
        <v>Welly</v>
      </c>
      <c r="T54" s="85" t="str">
        <f>IFERROR(__xludf.DUMMYFUNCTION("""COMPUTED_VALUE"""),"Jl.Letnan Dadi Suryatman Karang Resik No.46 Rt.001/010 Kel.Sukamanah Kec.Cipedes Kota.Tasikmalaya Kode Pos 46131")</f>
        <v>Jl.Letnan Dadi Suryatman Karang Resik No.46 Rt.001/010 Kel.Sukamanah Kec.Cipedes Kota.Tasikmalaya Kode Pos 46131</v>
      </c>
      <c r="U54" s="85" t="str">
        <f>IFERROR(__xludf.DUMMYFUNCTION("""COMPUTED_VALUE"""),"JL.LETNAN DADI SURYATMAN KARANG RESIK NO.46 RT.001/010 KEL.SUKAMANAH KEC.CIPEDES KOTA.TASIKMALAYA Kode pos 46131")</f>
        <v>JL.LETNAN DADI SURYATMAN KARANG RESIK NO.46 RT.001/010 KEL.SUKAMANAH KEC.CIPEDES KOTA.TASIKMALAYA Kode pos 46131</v>
      </c>
      <c r="V54" s="85" t="str">
        <f>IFERROR(__xludf.DUMMYFUNCTION("""COMPUTED_VALUE"""),"001/010")</f>
        <v>001/010</v>
      </c>
      <c r="W54" s="85" t="str">
        <f>IFERROR(__xludf.DUMMYFUNCTION("""COMPUTED_VALUE"""),"SUKAMANAH")</f>
        <v>SUKAMANAH</v>
      </c>
      <c r="X54" s="85" t="str">
        <f>IFERROR(__xludf.DUMMYFUNCTION("""COMPUTED_VALUE"""),"CIPEDES")</f>
        <v>CIPEDES</v>
      </c>
      <c r="Y54" s="85" t="str">
        <f>IFERROR(__xludf.DUMMYFUNCTION("""COMPUTED_VALUE"""),"KOTA TASIKMALAYA")</f>
        <v>KOTA TASIKMALAYA</v>
      </c>
      <c r="Z54" s="85" t="str">
        <f>IFERROR(__xludf.DUMMYFUNCTION("""COMPUTED_VALUE"""),"JAWA BARAT")</f>
        <v>JAWA BARAT</v>
      </c>
      <c r="AA54" s="85" t="str">
        <f>IFERROR(__xludf.DUMMYFUNCTION("""COMPUTED_VALUE"""),"46131")</f>
        <v>46131</v>
      </c>
      <c r="AB54" s="85" t="str">
        <f>IFERROR(__xludf.DUMMYFUNCTION("""COMPUTED_VALUE"""),"3278022508820010")</f>
        <v>3278022508820010</v>
      </c>
      <c r="AC54" s="85" t="str">
        <f>IFERROR(__xludf.DUMMYFUNCTION("""COMPUTED_VALUE"""),"76.060.036.1-425.000")</f>
        <v>76.060.036.1-425.000</v>
      </c>
      <c r="AD54" s="85" t="str">
        <f>IFERROR(__xludf.DUMMYFUNCTION("""COMPUTED_VALUE"""),"CUM - ABD")</f>
        <v>CUM - ABD</v>
      </c>
      <c r="AE54" s="85" t="str">
        <f>IFERROR(__xludf.DUMMYFUNCTION("""COMPUTED_VALUE"""),"SUB ABDUL QODIR")</f>
        <v>SUB ABDUL QODIR</v>
      </c>
      <c r="AF54" s="85" t="str">
        <f>IFERROR(__xludf.DUMMYFUNCTION("""COMPUTED_VALUE"""),"0813-2310-7338")</f>
        <v>0813-2310-7338</v>
      </c>
      <c r="AG54" s="85" t="str">
        <f>IFERROR(__xludf.DUMMYFUNCTION("""COMPUTED_VALUE"""),"'0813-2310-7338")</f>
        <v>'0813-2310-7338</v>
      </c>
      <c r="AH54" s="85" t="str">
        <f>IFERROR(__xludf.DUMMYFUNCTION("""COMPUTED_VALUE"""),"wellykrs@gmail.com")</f>
        <v>wellykrs@gmail.com</v>
      </c>
      <c r="AI54" s="85" t="str">
        <f>IFERROR(__xludf.DUMMYFUNCTION("""COMPUTED_VALUE"""),"46131S2")</f>
        <v>46131S2</v>
      </c>
      <c r="AJ54" s="85" t="str">
        <f>IFERROR(__xludf.DUMMYFUNCTION("""COMPUTED_VALUE"""),"634e13b3db19fe7b38754989")</f>
        <v>634e13b3db19fe7b38754989</v>
      </c>
      <c r="AK54" s="85" t="str">
        <f>IFERROR(__xludf.DUMMYFUNCTION("""COMPUTED_VALUE"""),"dm46131s2")</f>
        <v>dm46131s2</v>
      </c>
      <c r="AL54" s="85" t="str">
        <f>IFERROR(__xludf.DUMMYFUNCTION("""COMPUTED_VALUE"""),"password")</f>
        <v>password</v>
      </c>
      <c r="AM54" s="85" t="str">
        <f>IFERROR(__xludf.DUMMYFUNCTION("""COMPUTED_VALUE"""),"KANTOR REGIONAL III BANDUNG 40004")</f>
        <v>KANTOR REGIONAL III BANDUNG 40004</v>
      </c>
      <c r="AN54" s="85" t="str">
        <f>IFERROR(__xludf.DUMMYFUNCTION("""COMPUTED_VALUE"""),"KANTOR POS TASIKMALAYA")</f>
        <v>KANTOR POS TASIKMALAYA</v>
      </c>
      <c r="AO54" s="85" t="str">
        <f>IFERROR(__xludf.DUMMYFUNCTION("""COMPUTED_VALUE""")," 0220303821481")</f>
        <v> 0220303821481</v>
      </c>
      <c r="AP54" s="85" t="str">
        <f>IFERROR(__xludf.DUMMYFUNCTION("""COMPUTED_VALUE"""),"53202 ( AKTIFITAS AGEN KURIR )")</f>
        <v>53202 ( AKTIFITAS AGEN KURIR )</v>
      </c>
      <c r="AQ54" s="93"/>
      <c r="AR54" s="85"/>
      <c r="AS54" s="85"/>
      <c r="AT54" s="85" t="str">
        <f>IFERROR(__xludf.DUMMYFUNCTION("""COMPUTED_VALUE"""),"-7.3107222")</f>
        <v>-7.3107222</v>
      </c>
      <c r="AU54" s="85" t="str">
        <f>IFERROR(__xludf.DUMMYFUNCTION("""COMPUTED_VALUE"""),"108.2386667")</f>
        <v>108.2386667</v>
      </c>
      <c r="AV54" s="85" t="str">
        <f>IFERROR(__xludf.DUMMYFUNCTION("""COMPUTED_VALUE"""),"ADA")</f>
        <v>ADA</v>
      </c>
      <c r="AW54" s="85" t="str">
        <f>IFERROR(__xludf.DUMMYFUNCTION("""COMPUTED_VALUE"""),"ADA")</f>
        <v>ADA</v>
      </c>
      <c r="AX54" s="85"/>
      <c r="AY54" s="85"/>
      <c r="AZ54" s="85"/>
      <c r="BA54" s="85" t="str">
        <f>IFERROR(__xludf.DUMMYFUNCTION("""COMPUTED_VALUE"""),"ADA")</f>
        <v>ADA</v>
      </c>
      <c r="BB54" s="85" t="str">
        <f>IFERROR(__xludf.DUMMYFUNCTION("""COMPUTED_VALUE"""),"ADA")</f>
        <v>ADA</v>
      </c>
      <c r="BC54" s="85" t="str">
        <f>IFERROR(__xludf.DUMMYFUNCTION("""COMPUTED_VALUE"""),"ADA")</f>
        <v>ADA</v>
      </c>
      <c r="BD54" s="85" t="str">
        <f>IFERROR(__xludf.DUMMYFUNCTION("""COMPUTED_VALUE"""),"ADA")</f>
        <v>ADA</v>
      </c>
      <c r="BE54" s="85" t="str">
        <f>IFERROR(__xludf.DUMMYFUNCTION("""COMPUTED_VALUE"""),"ADA")</f>
        <v>ADA</v>
      </c>
      <c r="BF54" s="85" t="str">
        <f>IFERROR(__xludf.DUMMYFUNCTION("""COMPUTED_VALUE"""),"ADA")</f>
        <v>ADA</v>
      </c>
      <c r="BG54" s="85" t="str">
        <f>IFERROR(__xludf.DUMMYFUNCTION("""COMPUTED_VALUE"""),"ADA")</f>
        <v>ADA</v>
      </c>
      <c r="BH54" s="85" t="str">
        <f>IFERROR(__xludf.DUMMYFUNCTION("""COMPUTED_VALUE"""),"Epson L3110")</f>
        <v>Epson L3110</v>
      </c>
      <c r="BI54" s="85" t="str">
        <f>IFERROR(__xludf.DUMMYFUNCTION("""COMPUTED_VALUE"""),"ADA")</f>
        <v>ADA</v>
      </c>
      <c r="BJ54" s="85" t="str">
        <f>IFERROR(__xludf.DUMMYFUNCTION("""COMPUTED_VALUE"""),"KERTAS HVS")</f>
        <v>KERTAS HVS</v>
      </c>
      <c r="BK54" s="85" t="str">
        <f>IFERROR(__xludf.DUMMYFUNCTION("""COMPUTED_VALUE"""),"BELUM ADA")</f>
        <v>BELUM ADA</v>
      </c>
      <c r="BL54" s="85"/>
      <c r="BM54" s="85"/>
      <c r="BN54" s="85"/>
      <c r="BO54" s="85"/>
      <c r="BP54" s="85"/>
      <c r="BQ54" s="85"/>
      <c r="BR54" s="85"/>
      <c r="BS54" s="85"/>
      <c r="BT54" s="85"/>
      <c r="BU54" s="85"/>
      <c r="BV54" s="85" t="str">
        <f>IFERROR(__xludf.DUMMYFUNCTION("""COMPUTED_VALUE"""),"Jl.Letnan Dadi Suryatman Karang Resik No.46 Rt.001/010 Kel.Sukamanah Kec.Cipedes Kota.Tasikmalaya Kode Pos 46131")</f>
        <v>Jl.Letnan Dadi Suryatman Karang Resik No.46 Rt.001/010 Kel.Sukamanah Kec.Cipedes Kota.Tasikmalaya Kode Pos 46131</v>
      </c>
      <c r="BW54" s="85"/>
      <c r="BX54" s="85"/>
      <c r="BY54" s="85"/>
      <c r="BZ54" s="85"/>
      <c r="CA54" s="85"/>
      <c r="CB54" s="85"/>
      <c r="CC54" s="85"/>
      <c r="CD54" s="85"/>
      <c r="CE54" s="85"/>
      <c r="CF54" s="85"/>
      <c r="CG54" s="85"/>
      <c r="CH54" s="85"/>
      <c r="CI54" s="85"/>
      <c r="CJ54" s="85"/>
      <c r="CK54" s="2"/>
    </row>
    <row r="55" ht="12.75" customHeight="1">
      <c r="A55" s="80">
        <f>IFERROR(__xludf.DUMMYFUNCTION("""COMPUTED_VALUE"""),52.0)</f>
        <v>52</v>
      </c>
      <c r="B55" s="80"/>
      <c r="C55" s="80"/>
      <c r="D55" s="81"/>
      <c r="E55" s="82"/>
      <c r="F55" s="80"/>
      <c r="G55" s="81"/>
      <c r="H55" s="80"/>
      <c r="I55" s="80"/>
      <c r="J55" s="80"/>
      <c r="K55" s="80"/>
      <c r="L55" s="80"/>
      <c r="M55" s="80"/>
      <c r="N55" s="80"/>
      <c r="O55" s="80"/>
      <c r="P55" s="80" t="str">
        <f>IFERROR(__xludf.DUMMYFUNCTION("""COMPUTED_VALUE"""),"53BSPA16206JBKTK")</f>
        <v>53BSPA16206JBKTK</v>
      </c>
      <c r="Q55" s="80" t="str">
        <f>IFERROR(__xludf.DUMMYFUNCTION("""COMPUTED_VALUE"""),"LOKET BERKAH JAYA 01")</f>
        <v>LOKET BERKAH JAYA 01</v>
      </c>
      <c r="R55" s="80" t="str">
        <f>IFERROR(__xludf.DUMMYFUNCTION("""COMPUTED_VALUE"""),"LOKET BERKAH JAYA 01")</f>
        <v>LOKET BERKAH JAYA 01</v>
      </c>
      <c r="S55" s="80" t="str">
        <f>IFERROR(__xludf.DUMMYFUNCTION("""COMPUTED_VALUE"""),"SUTIMI")</f>
        <v>SUTIMI</v>
      </c>
      <c r="T55" s="80" t="str">
        <f>IFERROR(__xludf.DUMMYFUNCTION("""COMPUTED_VALUE"""),"DS TODANAN RT.007/002 KEL.TODANAN KEC.TODANAN KAB.BLORA JAWA TENGAH")</f>
        <v>DS TODANAN RT.007/002 KEL.TODANAN KEC.TODANAN KAB.BLORA JAWA TENGAH</v>
      </c>
      <c r="U55" s="80" t="str">
        <f>IFERROR(__xludf.DUMMYFUNCTION("""COMPUTED_VALUE"""),"DS TODANAN RT.007/002 KEL.TODANAN KEC.TODANAN KAB.BLORA JAWA TENGAH")</f>
        <v>DS TODANAN RT.007/002 KEL.TODANAN KEC.TODANAN KAB.BLORA JAWA TENGAH</v>
      </c>
      <c r="V55" s="80" t="str">
        <f>IFERROR(__xludf.DUMMYFUNCTION("""COMPUTED_VALUE"""),"007/002")</f>
        <v>007/002</v>
      </c>
      <c r="W55" s="80" t="str">
        <f>IFERROR(__xludf.DUMMYFUNCTION("""COMPUTED_VALUE"""),"TODANAN")</f>
        <v>TODANAN</v>
      </c>
      <c r="X55" s="80" t="str">
        <f>IFERROR(__xludf.DUMMYFUNCTION("""COMPUTED_VALUE"""),"TODANAN")</f>
        <v>TODANAN</v>
      </c>
      <c r="Y55" s="80" t="str">
        <f>IFERROR(__xludf.DUMMYFUNCTION("""COMPUTED_VALUE"""),"KAB.BLORA")</f>
        <v>KAB.BLORA</v>
      </c>
      <c r="Z55" s="80" t="str">
        <f>IFERROR(__xludf.DUMMYFUNCTION("""COMPUTED_VALUE"""),"JAWA TENGAH")</f>
        <v>JAWA TENGAH</v>
      </c>
      <c r="AA55" s="80" t="str">
        <f>IFERROR(__xludf.DUMMYFUNCTION("""COMPUTED_VALUE"""),"58256")</f>
        <v>58256</v>
      </c>
      <c r="AB55" s="80" t="str">
        <f>IFERROR(__xludf.DUMMYFUNCTION("""COMPUTED_VALUE"""),"3316145306610001")</f>
        <v>3316145306610001</v>
      </c>
      <c r="AC55" s="80" t="str">
        <f>IFERROR(__xludf.DUMMYFUNCTION("""COMPUTED_VALUE"""),"74.657.461.5-514.000")</f>
        <v>74.657.461.5-514.000</v>
      </c>
      <c r="AD55" s="80"/>
      <c r="AE55" s="80"/>
      <c r="AF55" s="80" t="str">
        <f>IFERROR(__xludf.DUMMYFUNCTION("""COMPUTED_VALUE"""),"085743007626")</f>
        <v>085743007626</v>
      </c>
      <c r="AG55" s="80" t="str">
        <f>IFERROR(__xludf.DUMMYFUNCTION("""COMPUTED_VALUE"""),"'085743007626")</f>
        <v>'085743007626</v>
      </c>
      <c r="AH55" s="80" t="str">
        <f>IFERROR(__xludf.DUMMYFUNCTION("""COMPUTED_VALUE"""),"ROHMATIKA877@GMAIL.COM")</f>
        <v>ROHMATIKA877@GMAIL.COM</v>
      </c>
      <c r="AI55" s="80"/>
      <c r="AJ55" s="80"/>
      <c r="AK55" s="80"/>
      <c r="AL55" s="80"/>
      <c r="AM55" s="80" t="str">
        <f>IFERROR(__xludf.DUMMYFUNCTION("""COMPUTED_VALUE"""),"KANTOR REGIONAL IV SEMARANG 50004")</f>
        <v>KANTOR REGIONAL IV SEMARANG 50004</v>
      </c>
      <c r="AN55" s="80" t="str">
        <f>IFERROR(__xludf.DUMMYFUNCTION("""COMPUTED_VALUE"""),"KANTOR POS TODANAN")</f>
        <v>KANTOR POS TODANAN</v>
      </c>
      <c r="AO55" s="80" t="str">
        <f>IFERROR(__xludf.DUMMYFUNCTION("""COMPUTED_VALUE"""),"2609220064563")</f>
        <v>2609220064563</v>
      </c>
      <c r="AP55" s="80" t="str">
        <f>IFERROR(__xludf.DUMMYFUNCTION("""COMPUTED_VALUE"""),"53202 ( AKTIFITAS AGEN KURIR )")</f>
        <v>53202 ( AKTIFITAS AGEN KURIR )</v>
      </c>
      <c r="AQ55" s="83"/>
      <c r="AR55" s="80"/>
      <c r="AS55" s="80"/>
      <c r="AT55" s="80" t="str">
        <f>IFERROR(__xludf.DUMMYFUNCTION("""COMPUTED_VALUE"""),"-6.934982")</f>
        <v>-6.934982</v>
      </c>
      <c r="AU55" s="80" t="str">
        <f>IFERROR(__xludf.DUMMYFUNCTION("""COMPUTED_VALUE"""),"111.1795615")</f>
        <v>111.1795615</v>
      </c>
      <c r="AV55" s="80" t="str">
        <f>IFERROR(__xludf.DUMMYFUNCTION("""COMPUTED_VALUE"""),"ADA")</f>
        <v>ADA</v>
      </c>
      <c r="AW55" s="80" t="str">
        <f>IFERROR(__xludf.DUMMYFUNCTION("""COMPUTED_VALUE"""),"ADA")</f>
        <v>ADA</v>
      </c>
      <c r="AX55" s="80"/>
      <c r="AY55" s="80"/>
      <c r="AZ55" s="80"/>
      <c r="BA55" s="80" t="str">
        <f>IFERROR(__xludf.DUMMYFUNCTION("""COMPUTED_VALUE"""),"ADA")</f>
        <v>ADA</v>
      </c>
      <c r="BB55" s="80" t="str">
        <f>IFERROR(__xludf.DUMMYFUNCTION("""COMPUTED_VALUE"""),"ADA")</f>
        <v>ADA</v>
      </c>
      <c r="BC55" s="80" t="str">
        <f>IFERROR(__xludf.DUMMYFUNCTION("""COMPUTED_VALUE"""),"ADA")</f>
        <v>ADA</v>
      </c>
      <c r="BD55" s="80" t="str">
        <f>IFERROR(__xludf.DUMMYFUNCTION("""COMPUTED_VALUE"""),"ADA")</f>
        <v>ADA</v>
      </c>
      <c r="BE55" s="80" t="str">
        <f>IFERROR(__xludf.DUMMYFUNCTION("""COMPUTED_VALUE"""),"ADA")</f>
        <v>ADA</v>
      </c>
      <c r="BF55" s="80"/>
      <c r="BG55" s="80"/>
      <c r="BH55" s="80"/>
      <c r="BI55" s="80"/>
      <c r="BJ55" s="80"/>
      <c r="BK55" s="80"/>
      <c r="BL55" s="80"/>
      <c r="BM55" s="80"/>
      <c r="BN55" s="80"/>
      <c r="BO55" s="80"/>
      <c r="BP55" s="80"/>
      <c r="BQ55" s="80"/>
      <c r="BR55" s="80"/>
      <c r="BS55" s="80"/>
      <c r="BT55" s="80"/>
      <c r="BU55" s="80"/>
      <c r="BV55" s="80"/>
      <c r="BW55" s="80"/>
      <c r="BX55" s="80"/>
      <c r="BY55" s="80"/>
      <c r="BZ55" s="80"/>
      <c r="CA55" s="80"/>
      <c r="CB55" s="80"/>
      <c r="CC55" s="80"/>
      <c r="CD55" s="80"/>
      <c r="CE55" s="80"/>
      <c r="CF55" s="80"/>
      <c r="CG55" s="80"/>
      <c r="CH55" s="80"/>
      <c r="CI55" s="80"/>
      <c r="CJ55" s="80"/>
      <c r="CK55" s="2"/>
    </row>
    <row r="56" ht="12.75" customHeight="1">
      <c r="A56" s="85">
        <f>IFERROR(__xludf.DUMMYFUNCTION("""COMPUTED_VALUE"""),53.0)</f>
        <v>53</v>
      </c>
      <c r="B56" s="85" t="str">
        <f>IFERROR(__xludf.DUMMYFUNCTION("""COMPUTED_VALUE"""),"8 OKTOBER 2022")</f>
        <v>8 OKTOBER 2022</v>
      </c>
      <c r="C56" s="85" t="str">
        <f>IFERROR(__xludf.DUMMYFUNCTION("""COMPUTED_VALUE"""),"9 OKTOBER 2022")</f>
        <v>9 OKTOBER 2022</v>
      </c>
      <c r="D56" s="86"/>
      <c r="E56" s="88"/>
      <c r="F56" s="85" t="str">
        <f>IFERROR(__xludf.DUMMYFUNCTION("""COMPUTED_VALUE"""),"2 MEI 2023")</f>
        <v>2 MEI 2023</v>
      </c>
      <c r="G56" s="86">
        <f>IFERROR(__xludf.DUMMYFUNCTION("""COMPUTED_VALUE"""),45048.0)</f>
        <v>45048</v>
      </c>
      <c r="H56" s="85" t="str">
        <f>IFERROR(__xludf.DUMMYFUNCTION("""COMPUTED_VALUE"""),"2 MEI 2023")</f>
        <v>2 MEI 2023</v>
      </c>
      <c r="I56" s="85" t="str">
        <f>IFERROR(__xludf.DUMMYFUNCTION("""COMPUTED_VALUE"""),"22 MEI 2023")</f>
        <v>22 MEI 2023</v>
      </c>
      <c r="J56" s="85" t="str">
        <f>IFERROR(__xludf.DUMMYFUNCTION("""COMPUTED_VALUE"""),"22 MEI 2023")</f>
        <v>22 MEI 2023</v>
      </c>
      <c r="K56" s="85"/>
      <c r="L56" s="85"/>
      <c r="M56" s="85"/>
      <c r="N56" s="85"/>
      <c r="O56" s="85"/>
      <c r="P56" s="85" t="str">
        <f>IFERROR(__xludf.DUMMYFUNCTION("""COMPUTED_VALUE"""),"53BSPA06112JBABD")</f>
        <v>53BSPA06112JBABD</v>
      </c>
      <c r="Q56" s="85" t="str">
        <f>IFERROR(__xludf.DUMMYFUNCTION("""COMPUTED_VALUE"""),"Trimass BCA")</f>
        <v>Trimass BCA</v>
      </c>
      <c r="R56" s="85" t="str">
        <f>IFERROR(__xludf.DUMMYFUNCTION("""COMPUTED_VALUE"""),"Trimass BCA")</f>
        <v>Trimass BCA</v>
      </c>
      <c r="S56" s="85" t="str">
        <f>IFERROR(__xludf.DUMMYFUNCTION("""COMPUTED_VALUE"""),"Memed Suhendi")</f>
        <v>Memed Suhendi</v>
      </c>
      <c r="T56" s="85" t="str">
        <f>IFERROR(__xludf.DUMMYFUNCTION("""COMPUTED_VALUE"""),"Perumnas Bca Jalan Maja Raya No 11 Kelurahan Cikalong Kecamatan Sukahaji Kabupaten Majalengka")</f>
        <v>Perumnas Bca Jalan Maja Raya No 11 Kelurahan Cikalong Kecamatan Sukahaji Kabupaten Majalengka</v>
      </c>
      <c r="U56" s="85" t="str">
        <f>IFERROR(__xludf.DUMMYFUNCTION("""COMPUTED_VALUE"""),"Perumnas BCA Jalan Maja Raya No 11 Kelurahan Cikalong Kecamatan Sukahaji Kabupaten Majalengka")</f>
        <v>Perumnas BCA Jalan Maja Raya No 11 Kelurahan Cikalong Kecamatan Sukahaji Kabupaten Majalengka</v>
      </c>
      <c r="V56" s="85" t="str">
        <f>IFERROR(__xludf.DUMMYFUNCTION("""COMPUTED_VALUE"""),"010/006")</f>
        <v>010/006</v>
      </c>
      <c r="W56" s="85" t="str">
        <f>IFERROR(__xludf.DUMMYFUNCTION("""COMPUTED_VALUE"""),"CIKALONG")</f>
        <v>CIKALONG</v>
      </c>
      <c r="X56" s="85" t="str">
        <f>IFERROR(__xludf.DUMMYFUNCTION("""COMPUTED_VALUE"""),"SUKAHAJI")</f>
        <v>SUKAHAJI</v>
      </c>
      <c r="Y56" s="85" t="str">
        <f>IFERROR(__xludf.DUMMYFUNCTION("""COMPUTED_VALUE"""),"KAB. MAJALENGKA")</f>
        <v>KAB. MAJALENGKA</v>
      </c>
      <c r="Z56" s="85" t="str">
        <f>IFERROR(__xludf.DUMMYFUNCTION("""COMPUTED_VALUE"""),"JAWA BARAT")</f>
        <v>JAWA BARAT</v>
      </c>
      <c r="AA56" s="85" t="str">
        <f>IFERROR(__xludf.DUMMYFUNCTION("""COMPUTED_VALUE"""),"45471")</f>
        <v>45471</v>
      </c>
      <c r="AB56" s="85" t="str">
        <f>IFERROR(__xludf.DUMMYFUNCTION("""COMPUTED_VALUE"""),"3210081904550001")</f>
        <v>3210081904550001</v>
      </c>
      <c r="AC56" s="85" t="str">
        <f>IFERROR(__xludf.DUMMYFUNCTION("""COMPUTED_VALUE"""),"09.413.620.7-438.000")</f>
        <v>09.413.620.7-438.000</v>
      </c>
      <c r="AD56" s="85" t="str">
        <f>IFERROR(__xludf.DUMMYFUNCTION("""COMPUTED_VALUE"""),"CUM - ABD")</f>
        <v>CUM - ABD</v>
      </c>
      <c r="AE56" s="85" t="str">
        <f>IFERROR(__xludf.DUMMYFUNCTION("""COMPUTED_VALUE"""),"SUB ABDUL QODIR")</f>
        <v>SUB ABDUL QODIR</v>
      </c>
      <c r="AF56" s="85" t="str">
        <f>IFERROR(__xludf.DUMMYFUNCTION("""COMPUTED_VALUE"""),"082216489577")</f>
        <v>082216489577</v>
      </c>
      <c r="AG56" s="85" t="str">
        <f>IFERROR(__xludf.DUMMYFUNCTION("""COMPUTED_VALUE"""),"082216489577")</f>
        <v>082216489577</v>
      </c>
      <c r="AH56" s="85" t="str">
        <f>IFERROR(__xludf.DUMMYFUNCTION("""COMPUTED_VALUE"""),"memedsuhendi1@gmail.com")</f>
        <v>memedsuhendi1@gmail.com</v>
      </c>
      <c r="AI56" s="85" t="str">
        <f>IFERROR(__xludf.DUMMYFUNCTION("""COMPUTED_VALUE"""),"45471S2")</f>
        <v>45471S2</v>
      </c>
      <c r="AJ56" s="85" t="str">
        <f>IFERROR(__xludf.DUMMYFUNCTION("""COMPUTED_VALUE"""),"634e149a6cd25f700753dcd4")</f>
        <v>634e149a6cd25f700753dcd4</v>
      </c>
      <c r="AK56" s="85" t="str">
        <f>IFERROR(__xludf.DUMMYFUNCTION("""COMPUTED_VALUE"""),"dm45471s2")</f>
        <v>dm45471s2</v>
      </c>
      <c r="AL56" s="85" t="str">
        <f>IFERROR(__xludf.DUMMYFUNCTION("""COMPUTED_VALUE"""),"password")</f>
        <v>password</v>
      </c>
      <c r="AM56" s="85" t="str">
        <f>IFERROR(__xludf.DUMMYFUNCTION("""COMPUTED_VALUE"""),"KANTOR REGIONAL III BANDUNG 40004")</f>
        <v>KANTOR REGIONAL III BANDUNG 40004</v>
      </c>
      <c r="AN56" s="85" t="str">
        <f>IFERROR(__xludf.DUMMYFUNCTION("""COMPUTED_VALUE"""),"KANTOR POS SUKAHAJI")</f>
        <v>KANTOR POS SUKAHAJI</v>
      </c>
      <c r="AO56" s="85" t="str">
        <f>IFERROR(__xludf.DUMMYFUNCTION("""COMPUTED_VALUE"""),"0810220012913")</f>
        <v>0810220012913</v>
      </c>
      <c r="AP56" s="85" t="str">
        <f>IFERROR(__xludf.DUMMYFUNCTION("""COMPUTED_VALUE"""),"53202 ( AKTIFITAS AGEN KURIR )")</f>
        <v>53202 ( AKTIFITAS AGEN KURIR )</v>
      </c>
      <c r="AQ56" s="93"/>
      <c r="AR56" s="85"/>
      <c r="AS56" s="85"/>
      <c r="AT56" s="85" t="str">
        <f>IFERROR(__xludf.DUMMYFUNCTION("""COMPUTED_VALUE"""),"-68,259,316")</f>
        <v>-68,259,316</v>
      </c>
      <c r="AU56" s="85" t="str">
        <f>IFERROR(__xludf.DUMMYFUNCTION("""COMPUTED_VALUE"""),"108,274,473")</f>
        <v>108,274,473</v>
      </c>
      <c r="AV56" s="85" t="str">
        <f>IFERROR(__xludf.DUMMYFUNCTION("""COMPUTED_VALUE"""),"ADA")</f>
        <v>ADA</v>
      </c>
      <c r="AW56" s="85" t="str">
        <f>IFERROR(__xludf.DUMMYFUNCTION("""COMPUTED_VALUE"""),"ADA")</f>
        <v>ADA</v>
      </c>
      <c r="AX56" s="85"/>
      <c r="AY56" s="85"/>
      <c r="AZ56" s="85"/>
      <c r="BA56" s="85" t="str">
        <f>IFERROR(__xludf.DUMMYFUNCTION("""COMPUTED_VALUE"""),"ADA")</f>
        <v>ADA</v>
      </c>
      <c r="BB56" s="85" t="str">
        <f>IFERROR(__xludf.DUMMYFUNCTION("""COMPUTED_VALUE"""),"ADA")</f>
        <v>ADA</v>
      </c>
      <c r="BC56" s="85" t="str">
        <f>IFERROR(__xludf.DUMMYFUNCTION("""COMPUTED_VALUE"""),"ADA")</f>
        <v>ADA</v>
      </c>
      <c r="BD56" s="85" t="str">
        <f>IFERROR(__xludf.DUMMYFUNCTION("""COMPUTED_VALUE"""),"ADA")</f>
        <v>ADA</v>
      </c>
      <c r="BE56" s="85" t="str">
        <f>IFERROR(__xludf.DUMMYFUNCTION("""COMPUTED_VALUE"""),"ADA")</f>
        <v>ADA</v>
      </c>
      <c r="BF56" s="85"/>
      <c r="BG56" s="85"/>
      <c r="BH56" s="85"/>
      <c r="BI56" s="85"/>
      <c r="BJ56" s="85"/>
      <c r="BK56" s="85"/>
      <c r="BL56" s="85"/>
      <c r="BM56" s="85"/>
      <c r="BN56" s="85"/>
      <c r="BO56" s="85"/>
      <c r="BP56" s="85"/>
      <c r="BQ56" s="85"/>
      <c r="BR56" s="85"/>
      <c r="BS56" s="85"/>
      <c r="BT56" s="85"/>
      <c r="BU56" s="85"/>
      <c r="BV56" s="85" t="str">
        <f>IFERROR(__xludf.DUMMYFUNCTION("""COMPUTED_VALUE"""),"Perumnas Bca Jalan Maja Raya No 11 Kelurahan Cikalong Kecamatan Sukahaji Kabupaten Majalengka")</f>
        <v>Perumnas Bca Jalan Maja Raya No 11 Kelurahan Cikalong Kecamatan Sukahaji Kabupaten Majalengka</v>
      </c>
      <c r="BW56" s="85"/>
      <c r="BX56" s="85"/>
      <c r="BY56" s="85"/>
      <c r="BZ56" s="85"/>
      <c r="CA56" s="85"/>
      <c r="CB56" s="85"/>
      <c r="CC56" s="85"/>
      <c r="CD56" s="85"/>
      <c r="CE56" s="85"/>
      <c r="CF56" s="85"/>
      <c r="CG56" s="85"/>
      <c r="CH56" s="85"/>
      <c r="CI56" s="85"/>
      <c r="CJ56" s="85"/>
      <c r="CK56" s="2"/>
    </row>
    <row r="57" ht="12.75" customHeight="1">
      <c r="A57" s="80">
        <f>IFERROR(__xludf.DUMMYFUNCTION("""COMPUTED_VALUE"""),54.0)</f>
        <v>54</v>
      </c>
      <c r="B57" s="80" t="str">
        <f>IFERROR(__xludf.DUMMYFUNCTION("""COMPUTED_VALUE"""),"14 OKTOBER 2022")</f>
        <v>14 OKTOBER 2022</v>
      </c>
      <c r="C57" s="80" t="str">
        <f>IFERROR(__xludf.DUMMYFUNCTION("""COMPUTED_VALUE"""),"14 OKTOBER 2022")</f>
        <v>14 OKTOBER 2022</v>
      </c>
      <c r="D57" s="81"/>
      <c r="E57" s="82"/>
      <c r="F57" s="80" t="str">
        <f>IFERROR(__xludf.DUMMYFUNCTION("""COMPUTED_VALUE"""),"22 DESEMBER 2022")</f>
        <v>22 DESEMBER 2022</v>
      </c>
      <c r="G57" s="81">
        <f>IFERROR(__xludf.DUMMYFUNCTION("""COMPUTED_VALUE"""),44917.0)</f>
        <v>44917</v>
      </c>
      <c r="H57" s="80"/>
      <c r="I57" s="80" t="str">
        <f>IFERROR(__xludf.DUMMYFUNCTION("""COMPUTED_VALUE"""),"15 FEBRUARI 2023")</f>
        <v>15 FEBRUARI 2023</v>
      </c>
      <c r="J57" s="80" t="str">
        <f>IFERROR(__xludf.DUMMYFUNCTION("""COMPUTED_VALUE"""),"15 FEBRUARI 2023")</f>
        <v>15 FEBRUARI 2023</v>
      </c>
      <c r="K57" s="80"/>
      <c r="L57" s="80"/>
      <c r="M57" s="80"/>
      <c r="N57" s="80"/>
      <c r="O57" s="80"/>
      <c r="P57" s="80" t="str">
        <f>IFERROR(__xludf.DUMMYFUNCTION("""COMPUTED_VALUE"""),"52BSPA07166JTKRS")</f>
        <v>52BSPA07166JTKRS</v>
      </c>
      <c r="Q57" s="80" t="str">
        <f>IFERROR(__xludf.DUMMYFUNCTION("""COMPUTED_VALUE"""),"Barokah Travel &amp; Expedisi")</f>
        <v>Barokah Travel &amp; Expedisi</v>
      </c>
      <c r="R57" s="80" t="str">
        <f>IFERROR(__xludf.DUMMYFUNCTION("""COMPUTED_VALUE"""),"Barokah Travel &amp; Expedisi")</f>
        <v>Barokah Travel &amp; Expedisi</v>
      </c>
      <c r="S57" s="80" t="str">
        <f>IFERROR(__xludf.DUMMYFUNCTION("""COMPUTED_VALUE"""),"Karyono")</f>
        <v>Karyono</v>
      </c>
      <c r="T57" s="80" t="str">
        <f>IFERROR(__xludf.DUMMYFUNCTION("""COMPUTED_VALUE"""),"Jl. Salam 1 Rt 002 Rw 006 Kel. Tritih Kulon Kec. Cilacap Utara 53233")</f>
        <v>Jl. Salam 1 Rt 002 Rw 006 Kel. Tritih Kulon Kec. Cilacap Utara 53233</v>
      </c>
      <c r="U57" s="80" t="str">
        <f>IFERROR(__xludf.DUMMYFUNCTION("""COMPUTED_VALUE"""),"JL. SALAM 1 RT 002 RW 006")</f>
        <v>JL. SALAM 1 RT 002 RW 006</v>
      </c>
      <c r="V57" s="80" t="str">
        <f>IFERROR(__xludf.DUMMYFUNCTION("""COMPUTED_VALUE"""),"002/006")</f>
        <v>002/006</v>
      </c>
      <c r="W57" s="80" t="str">
        <f>IFERROR(__xludf.DUMMYFUNCTION("""COMPUTED_VALUE"""),"TRITIH KULON")</f>
        <v>TRITIH KULON</v>
      </c>
      <c r="X57" s="80" t="str">
        <f>IFERROR(__xludf.DUMMYFUNCTION("""COMPUTED_VALUE"""),"CILACAP UTARA")</f>
        <v>CILACAP UTARA</v>
      </c>
      <c r="Y57" s="80" t="str">
        <f>IFERROR(__xludf.DUMMYFUNCTION("""COMPUTED_VALUE"""),"KAB. CILACAP")</f>
        <v>KAB. CILACAP</v>
      </c>
      <c r="Z57" s="80" t="str">
        <f>IFERROR(__xludf.DUMMYFUNCTION("""COMPUTED_VALUE"""),"JAWA TENGAH")</f>
        <v>JAWA TENGAH</v>
      </c>
      <c r="AA57" s="80" t="str">
        <f>IFERROR(__xludf.DUMMYFUNCTION("""COMPUTED_VALUE"""),"53233")</f>
        <v>53233</v>
      </c>
      <c r="AB57" s="80" t="str">
        <f>IFERROR(__xludf.DUMMYFUNCTION("""COMPUTED_VALUE"""),"3301231807810000")</f>
        <v>3301231807810000</v>
      </c>
      <c r="AC57" s="80" t="str">
        <f>IFERROR(__xludf.DUMMYFUNCTION("""COMPUTED_VALUE"""),"88.374.196.9-522.000")</f>
        <v>88.374.196.9-522.000</v>
      </c>
      <c r="AD57" s="80" t="str">
        <f>IFERROR(__xludf.DUMMYFUNCTION("""COMPUTED_VALUE"""),"CUM - KRS")</f>
        <v>CUM - KRS</v>
      </c>
      <c r="AE57" s="80" t="str">
        <f>IFERROR(__xludf.DUMMYFUNCTION("""COMPUTED_VALUE"""),"KARSINI")</f>
        <v>KARSINI</v>
      </c>
      <c r="AF57" s="80" t="str">
        <f>IFERROR(__xludf.DUMMYFUNCTION("""COMPUTED_VALUE"""),"082226282327")</f>
        <v>082226282327</v>
      </c>
      <c r="AG57" s="80" t="str">
        <f>IFERROR(__xludf.DUMMYFUNCTION("""COMPUTED_VALUE"""),"'082226282327")</f>
        <v>'082226282327</v>
      </c>
      <c r="AH57" s="80" t="str">
        <f>IFERROR(__xludf.DUMMYFUNCTION("""COMPUTED_VALUE"""),"barokahtravelekspedisi@gmail.com")</f>
        <v>barokahtravelekspedisi@gmail.com</v>
      </c>
      <c r="AI57" s="80" t="str">
        <f>IFERROR(__xludf.DUMMYFUNCTION("""COMPUTED_VALUE"""),"53233S2")</f>
        <v>53233S2</v>
      </c>
      <c r="AJ57" s="80" t="str">
        <f>IFERROR(__xludf.DUMMYFUNCTION("""COMPUTED_VALUE"""),"63a025b79f249e5f9d3bc319")</f>
        <v>63a025b79f249e5f9d3bc319</v>
      </c>
      <c r="AK57" s="80" t="str">
        <f>IFERROR(__xludf.DUMMYFUNCTION("""COMPUTED_VALUE"""),"dm53233s2")</f>
        <v>dm53233s2</v>
      </c>
      <c r="AL57" s="80" t="str">
        <f>IFERROR(__xludf.DUMMYFUNCTION("""COMPUTED_VALUE"""),"password")</f>
        <v>password</v>
      </c>
      <c r="AM57" s="80" t="str">
        <f>IFERROR(__xludf.DUMMYFUNCTION("""COMPUTED_VALUE"""),"KANTOR REGIONAL IV SEMARANG 50004")</f>
        <v>KANTOR REGIONAL IV SEMARANG 50004</v>
      </c>
      <c r="AN57" s="80" t="str">
        <f>IFERROR(__xludf.DUMMYFUNCTION("""COMPUTED_VALUE"""),"KANTOR POS RINJANI")</f>
        <v>KANTOR POS RINJANI</v>
      </c>
      <c r="AO57" s="80" t="str">
        <f>IFERROR(__xludf.DUMMYFUNCTION("""COMPUTED_VALUE"""),"1110220059648")</f>
        <v>1110220059648</v>
      </c>
      <c r="AP57" s="80" t="str">
        <f>IFERROR(__xludf.DUMMYFUNCTION("""COMPUTED_VALUE"""),"53202 ( AKTIFITAS AGEN KURIR )")</f>
        <v>53202 ( AKTIFITAS AGEN KURIR )</v>
      </c>
      <c r="AQ57" s="83"/>
      <c r="AR57" s="80"/>
      <c r="AS57" s="80"/>
      <c r="AT57" s="80" t="str">
        <f>IFERROR(__xludf.DUMMYFUNCTION("""COMPUTED_VALUE"""),"-7,671,029")</f>
        <v>-7,671,029</v>
      </c>
      <c r="AU57" s="80" t="str">
        <f>IFERROR(__xludf.DUMMYFUNCTION("""COMPUTED_VALUE"""),"1,090,302,513")</f>
        <v>1,090,302,513</v>
      </c>
      <c r="AV57" s="80" t="str">
        <f>IFERROR(__xludf.DUMMYFUNCTION("""COMPUTED_VALUE"""),"ADA")</f>
        <v>ADA</v>
      </c>
      <c r="AW57" s="80" t="str">
        <f>IFERROR(__xludf.DUMMYFUNCTION("""COMPUTED_VALUE"""),"ADA")</f>
        <v>ADA</v>
      </c>
      <c r="AX57" s="80"/>
      <c r="AY57" s="80"/>
      <c r="AZ57" s="80"/>
      <c r="BA57" s="80" t="str">
        <f>IFERROR(__xludf.DUMMYFUNCTION("""COMPUTED_VALUE"""),"ADA")</f>
        <v>ADA</v>
      </c>
      <c r="BB57" s="80" t="str">
        <f>IFERROR(__xludf.DUMMYFUNCTION("""COMPUTED_VALUE"""),"ADA")</f>
        <v>ADA</v>
      </c>
      <c r="BC57" s="80" t="str">
        <f>IFERROR(__xludf.DUMMYFUNCTION("""COMPUTED_VALUE"""),"ADA")</f>
        <v>ADA</v>
      </c>
      <c r="BD57" s="80" t="str">
        <f>IFERROR(__xludf.DUMMYFUNCTION("""COMPUTED_VALUE"""),"ADA")</f>
        <v>ADA</v>
      </c>
      <c r="BE57" s="80" t="str">
        <f>IFERROR(__xludf.DUMMYFUNCTION("""COMPUTED_VALUE"""),"ADA")</f>
        <v>ADA</v>
      </c>
      <c r="BF57" s="80" t="str">
        <f>IFERROR(__xludf.DUMMYFUNCTION("""COMPUTED_VALUE"""),"ADA")</f>
        <v>ADA</v>
      </c>
      <c r="BG57" s="80" t="str">
        <f>IFERROR(__xludf.DUMMYFUNCTION("""COMPUTED_VALUE"""),"ADA")</f>
        <v>ADA</v>
      </c>
      <c r="BH57" s="80" t="str">
        <f>IFERROR(__xludf.DUMMYFUNCTION("""COMPUTED_VALUE"""),"TINTA")</f>
        <v>TINTA</v>
      </c>
      <c r="BI57" s="80" t="str">
        <f>IFERROR(__xludf.DUMMYFUNCTION("""COMPUTED_VALUE"""),"ADA")</f>
        <v>ADA</v>
      </c>
      <c r="BJ57" s="80" t="str">
        <f>IFERROR(__xludf.DUMMYFUNCTION("""COMPUTED_VALUE"""),"KERTAS HVS")</f>
        <v>KERTAS HVS</v>
      </c>
      <c r="BK57" s="80" t="str">
        <f>IFERROR(__xludf.DUMMYFUNCTION("""COMPUTED_VALUE"""),"BELUM ADA")</f>
        <v>BELUM ADA</v>
      </c>
      <c r="BL57" s="80"/>
      <c r="BM57" s="80"/>
      <c r="BN57" s="80"/>
      <c r="BO57" s="80"/>
      <c r="BP57" s="80"/>
      <c r="BQ57" s="80"/>
      <c r="BR57" s="80"/>
      <c r="BS57" s="80"/>
      <c r="BT57" s="80"/>
      <c r="BU57" s="80"/>
      <c r="BV57" s="80" t="str">
        <f>IFERROR(__xludf.DUMMYFUNCTION("""COMPUTED_VALUE"""),"Jl. Salam 1 Rt 002 Rw 006 Kel. Tritih Kulon Kec. Cilacap Utara 53233")</f>
        <v>Jl. Salam 1 Rt 002 Rw 006 Kel. Tritih Kulon Kec. Cilacap Utara 53233</v>
      </c>
      <c r="BW57" s="80"/>
      <c r="BX57" s="80"/>
      <c r="BY57" s="80"/>
      <c r="BZ57" s="80"/>
      <c r="CA57" s="80"/>
      <c r="CB57" s="80"/>
      <c r="CC57" s="80"/>
      <c r="CD57" s="80"/>
      <c r="CE57" s="80"/>
      <c r="CF57" s="80"/>
      <c r="CG57" s="80"/>
      <c r="CH57" s="80"/>
      <c r="CI57" s="80"/>
      <c r="CJ57" s="80"/>
      <c r="CK57" s="2"/>
    </row>
    <row r="58" ht="12.75" customHeight="1">
      <c r="A58" s="85">
        <f>IFERROR(__xludf.DUMMYFUNCTION("""COMPUTED_VALUE"""),55.0)</f>
        <v>55</v>
      </c>
      <c r="B58" s="85" t="str">
        <f>IFERROR(__xludf.DUMMYFUNCTION("""COMPUTED_VALUE"""),"15 OKTOBER 2022")</f>
        <v>15 OKTOBER 2022</v>
      </c>
      <c r="C58" s="85" t="str">
        <f>IFERROR(__xludf.DUMMYFUNCTION("""COMPUTED_VALUE"""),"15 OKTOBER 2022")</f>
        <v>15 OKTOBER 2022</v>
      </c>
      <c r="D58" s="86"/>
      <c r="E58" s="88"/>
      <c r="F58" s="85" t="str">
        <f>IFERROR(__xludf.DUMMYFUNCTION("""COMPUTED_VALUE"""),"21 OKTOBER 2022")</f>
        <v>21 OKTOBER 2022</v>
      </c>
      <c r="G58" s="86">
        <f>IFERROR(__xludf.DUMMYFUNCTION("""COMPUTED_VALUE"""),44855.0)</f>
        <v>44855</v>
      </c>
      <c r="H58" s="85"/>
      <c r="I58" s="85" t="str">
        <f>IFERROR(__xludf.DUMMYFUNCTION("""COMPUTED_VALUE"""),"21 OKTOBER 2022")</f>
        <v>21 OKTOBER 2022</v>
      </c>
      <c r="J58" s="85" t="str">
        <f>IFERROR(__xludf.DUMMYFUNCTION("""COMPUTED_VALUE"""),"21 OKTOBER 2022")</f>
        <v>21 OKTOBER 2022</v>
      </c>
      <c r="K58" s="85" t="str">
        <f>IFERROR(__xludf.DUMMYFUNCTION("""COMPUTED_VALUE"""),"PERANGKAT DI SEDIAKAN OLEH PAK SAMIDI")</f>
        <v>PERANGKAT DI SEDIAKAN OLEH PAK SAMIDI</v>
      </c>
      <c r="L58" s="85"/>
      <c r="M58" s="85"/>
      <c r="N58" s="85"/>
      <c r="O58" s="85"/>
      <c r="P58" s="85" t="str">
        <f>IFERROR(__xludf.DUMMYFUNCTION("""COMPUTED_VALUE"""),"52BSPA12078JTAMD")</f>
        <v>52BSPA12078JTAMD</v>
      </c>
      <c r="Q58" s="85" t="str">
        <f>IFERROR(__xludf.DUMMYFUNCTION("""COMPUTED_VALUE"""),"AW")</f>
        <v>AW</v>
      </c>
      <c r="R58" s="85" t="str">
        <f>IFERROR(__xludf.DUMMYFUNCTION("""COMPUTED_VALUE"""),"AW")</f>
        <v>AW</v>
      </c>
      <c r="S58" s="85" t="str">
        <f>IFERROR(__xludf.DUMMYFUNCTION("""COMPUTED_VALUE"""),"Teguh Ariyanto")</f>
        <v>Teguh Ariyanto</v>
      </c>
      <c r="T58" s="85" t="str">
        <f>IFERROR(__xludf.DUMMYFUNCTION("""COMPUTED_VALUE"""),"Dk. Logede Rt 019/010, Ds. Logede, Kec. Karangnongko, Kab. Klaten, Prop. Jawa Tengah 57483")</f>
        <v>Dk. Logede Rt 019/010, Ds. Logede, Kec. Karangnongko, Kab. Klaten, Prop. Jawa Tengah 57483</v>
      </c>
      <c r="U58" s="85" t="str">
        <f>IFERROR(__xludf.DUMMYFUNCTION("""COMPUTED_VALUE"""),"Kios Timur Pasar Kembang Tasikmadu, Ds. Keputran, Kec. Kemalang, Kab. Klaten, Prop. Jawa Tengah")</f>
        <v>Kios Timur Pasar Kembang Tasikmadu, Ds. Keputran, Kec. Kemalang, Kab. Klaten, Prop. Jawa Tengah</v>
      </c>
      <c r="V58" s="85"/>
      <c r="W58" s="85" t="str">
        <f>IFERROR(__xludf.DUMMYFUNCTION("""COMPUTED_VALUE"""),"Keputran")</f>
        <v>Keputran</v>
      </c>
      <c r="X58" s="85" t="str">
        <f>IFERROR(__xludf.DUMMYFUNCTION("""COMPUTED_VALUE"""),"Kemalang")</f>
        <v>Kemalang</v>
      </c>
      <c r="Y58" s="85" t="str">
        <f>IFERROR(__xludf.DUMMYFUNCTION("""COMPUTED_VALUE"""),"Kab. Klaten")</f>
        <v>Kab. Klaten</v>
      </c>
      <c r="Z58" s="85" t="str">
        <f>IFERROR(__xludf.DUMMYFUNCTION("""COMPUTED_VALUE"""),"JAWA TENGAH")</f>
        <v>JAWA TENGAH</v>
      </c>
      <c r="AA58" s="85" t="str">
        <f>IFERROR(__xludf.DUMMYFUNCTION("""COMPUTED_VALUE"""),"57484")</f>
        <v>57484</v>
      </c>
      <c r="AB58" s="85" t="str">
        <f>IFERROR(__xludf.DUMMYFUNCTION("""COMPUTED_VALUE"""),"3310102901830002")</f>
        <v>3310102901830002</v>
      </c>
      <c r="AC58" s="85" t="str">
        <f>IFERROR(__xludf.DUMMYFUNCTION("""COMPUTED_VALUE"""),"77.283.836.3-525.000")</f>
        <v>77.283.836.3-525.000</v>
      </c>
      <c r="AD58" s="85" t="str">
        <f>IFERROR(__xludf.DUMMYFUNCTION("""COMPUTED_VALUE"""),"CUM - AMD")</f>
        <v>CUM - AMD</v>
      </c>
      <c r="AE58" s="85" t="str">
        <f>IFERROR(__xludf.DUMMYFUNCTION("""COMPUTED_VALUE"""),"AMINUDDIN")</f>
        <v>AMINUDDIN</v>
      </c>
      <c r="AF58" s="85" t="str">
        <f>IFERROR(__xludf.DUMMYFUNCTION("""COMPUTED_VALUE"""),"085647016806")</f>
        <v>085647016806</v>
      </c>
      <c r="AG58" s="85" t="str">
        <f>IFERROR(__xludf.DUMMYFUNCTION("""COMPUTED_VALUE"""),"085647016806")</f>
        <v>085647016806</v>
      </c>
      <c r="AH58" s="85" t="str">
        <f>IFERROR(__xludf.DUMMYFUNCTION("""COMPUTED_VALUE"""),"ari.wirabangsa@gmail.com")</f>
        <v>ari.wirabangsa@gmail.com</v>
      </c>
      <c r="AI58" s="85" t="str">
        <f>IFERROR(__xludf.DUMMYFUNCTION("""COMPUTED_VALUE"""),"57484S1")</f>
        <v>57484S1</v>
      </c>
      <c r="AJ58" s="85" t="str">
        <f>IFERROR(__xludf.DUMMYFUNCTION("""COMPUTED_VALUE"""),"635133ad213a6f4f8c503f15")</f>
        <v>635133ad213a6f4f8c503f15</v>
      </c>
      <c r="AK58" s="85" t="str">
        <f>IFERROR(__xludf.DUMMYFUNCTION("""COMPUTED_VALUE"""),"dm57484s1")</f>
        <v>dm57484s1</v>
      </c>
      <c r="AL58" s="85" t="str">
        <f>IFERROR(__xludf.DUMMYFUNCTION("""COMPUTED_VALUE"""),"password")</f>
        <v>password</v>
      </c>
      <c r="AM58" s="85" t="str">
        <f>IFERROR(__xludf.DUMMYFUNCTION("""COMPUTED_VALUE"""),"KANTOR REGIONAL IV SEMARANG 50004")</f>
        <v>KANTOR REGIONAL IV SEMARANG 50004</v>
      </c>
      <c r="AN58" s="85" t="str">
        <f>IFERROR(__xludf.DUMMYFUNCTION("""COMPUTED_VALUE"""),"KANTOR POS KEMALANG")</f>
        <v>KANTOR POS KEMALANG</v>
      </c>
      <c r="AO58" s="85" t="str">
        <f>IFERROR(__xludf.DUMMYFUNCTION("""COMPUTED_VALUE"""),"2808220005579")</f>
        <v>2808220005579</v>
      </c>
      <c r="AP58" s="85" t="str">
        <f>IFERROR(__xludf.DUMMYFUNCTION("""COMPUTED_VALUE"""),"53202 ( AKTIFITAS AGEN KURIR )")</f>
        <v>53202 ( AKTIFITAS AGEN KURIR )</v>
      </c>
      <c r="AQ58" s="93"/>
      <c r="AR58" s="85"/>
      <c r="AS58" s="85"/>
      <c r="AT58" s="85" t="str">
        <f>IFERROR(__xludf.DUMMYFUNCTION("""COMPUTED_VALUE"""),"-7,66761")</f>
        <v>-7,66761</v>
      </c>
      <c r="AU58" s="85" t="str">
        <f>IFERROR(__xludf.DUMMYFUNCTION("""COMPUTED_VALUE"""),"110.52333")</f>
        <v>110.52333</v>
      </c>
      <c r="AV58" s="85" t="str">
        <f>IFERROR(__xludf.DUMMYFUNCTION("""COMPUTED_VALUE"""),"ADA")</f>
        <v>ADA</v>
      </c>
      <c r="AW58" s="85" t="str">
        <f>IFERROR(__xludf.DUMMYFUNCTION("""COMPUTED_VALUE"""),"ADA")</f>
        <v>ADA</v>
      </c>
      <c r="AX58" s="85"/>
      <c r="AY58" s="85"/>
      <c r="AZ58" s="85"/>
      <c r="BA58" s="85" t="str">
        <f>IFERROR(__xludf.DUMMYFUNCTION("""COMPUTED_VALUE"""),"ADA")</f>
        <v>ADA</v>
      </c>
      <c r="BB58" s="85" t="str">
        <f>IFERROR(__xludf.DUMMYFUNCTION("""COMPUTED_VALUE"""),"ADA")</f>
        <v>ADA</v>
      </c>
      <c r="BC58" s="85" t="str">
        <f>IFERROR(__xludf.DUMMYFUNCTION("""COMPUTED_VALUE"""),"ADA")</f>
        <v>ADA</v>
      </c>
      <c r="BD58" s="85" t="str">
        <f>IFERROR(__xludf.DUMMYFUNCTION("""COMPUTED_VALUE"""),"ADA")</f>
        <v>ADA</v>
      </c>
      <c r="BE58" s="85" t="str">
        <f>IFERROR(__xludf.DUMMYFUNCTION("""COMPUTED_VALUE"""),"ADA")</f>
        <v>ADA</v>
      </c>
      <c r="BF58" s="85" t="str">
        <f>IFERROR(__xludf.DUMMYFUNCTION("""COMPUTED_VALUE"""),"ADA")</f>
        <v>ADA</v>
      </c>
      <c r="BG58" s="85" t="str">
        <f>IFERROR(__xludf.DUMMYFUNCTION("""COMPUTED_VALUE"""),"ADA")</f>
        <v>ADA</v>
      </c>
      <c r="BH58" s="85" t="str">
        <f>IFERROR(__xludf.DUMMYFUNCTION("""COMPUTED_VALUE"""),"TINTA")</f>
        <v>TINTA</v>
      </c>
      <c r="BI58" s="85" t="str">
        <f>IFERROR(__xludf.DUMMYFUNCTION("""COMPUTED_VALUE"""),"ADA")</f>
        <v>ADA</v>
      </c>
      <c r="BJ58" s="85" t="str">
        <f>IFERROR(__xludf.DUMMYFUNCTION("""COMPUTED_VALUE"""),"KERTAS HVS")</f>
        <v>KERTAS HVS</v>
      </c>
      <c r="BK58" s="85"/>
      <c r="BL58" s="85"/>
      <c r="BM58" s="85"/>
      <c r="BN58" s="85"/>
      <c r="BO58" s="85"/>
      <c r="BP58" s="85"/>
      <c r="BQ58" s="85"/>
      <c r="BR58" s="85"/>
      <c r="BS58" s="85"/>
      <c r="BT58" s="85"/>
      <c r="BU58" s="85"/>
      <c r="BV58" s="85" t="str">
        <f>IFERROR(__xludf.DUMMYFUNCTION("""COMPUTED_VALUE"""),"Dk. Logede Rt 019/010, Ds. Logede, Kec. Karangnongko, Kab. Klaten, Prop. Jawa Tengah 57483")</f>
        <v>Dk. Logede Rt 019/010, Ds. Logede, Kec. Karangnongko, Kab. Klaten, Prop. Jawa Tengah 57483</v>
      </c>
      <c r="BW58" s="85"/>
      <c r="BX58" s="85"/>
      <c r="BY58" s="85"/>
      <c r="BZ58" s="85"/>
      <c r="CA58" s="85"/>
      <c r="CB58" s="85"/>
      <c r="CC58" s="85"/>
      <c r="CD58" s="85"/>
      <c r="CE58" s="85"/>
      <c r="CF58" s="85"/>
      <c r="CG58" s="85"/>
      <c r="CH58" s="85"/>
      <c r="CI58" s="85"/>
      <c r="CJ58" s="85"/>
      <c r="CK58" s="2"/>
    </row>
    <row r="59" ht="12.75" customHeight="1">
      <c r="A59" s="80">
        <f>IFERROR(__xludf.DUMMYFUNCTION("""COMPUTED_VALUE"""),56.0)</f>
        <v>56</v>
      </c>
      <c r="B59" s="80" t="str">
        <f>IFERROR(__xludf.DUMMYFUNCTION("""COMPUTED_VALUE"""),"26 OKTOBER 2022")</f>
        <v>26 OKTOBER 2022</v>
      </c>
      <c r="C59" s="80" t="str">
        <f>IFERROR(__xludf.DUMMYFUNCTION("""COMPUTED_VALUE"""),"27 OKTOBER 2022")</f>
        <v>27 OKTOBER 2022</v>
      </c>
      <c r="D59" s="81"/>
      <c r="E59" s="82"/>
      <c r="F59" s="80" t="str">
        <f>IFERROR(__xludf.DUMMYFUNCTION("""COMPUTED_VALUE"""),"14 NOPEMBER 2022")</f>
        <v>14 NOPEMBER 2022</v>
      </c>
      <c r="G59" s="81"/>
      <c r="H59" s="80"/>
      <c r="I59" s="80" t="str">
        <f>IFERROR(__xludf.DUMMYFUNCTION("""COMPUTED_VALUE"""),"14 NOPEMBER 2022")</f>
        <v>14 NOPEMBER 2022</v>
      </c>
      <c r="J59" s="80" t="str">
        <f>IFERROR(__xludf.DUMMYFUNCTION("""COMPUTED_VALUE"""),"22 NOPEMBER 2022")</f>
        <v>22 NOPEMBER 2022</v>
      </c>
      <c r="K59" s="80"/>
      <c r="L59" s="80"/>
      <c r="M59" s="80"/>
      <c r="N59" s="80"/>
      <c r="O59" s="80"/>
      <c r="P59" s="80" t="str">
        <f>IFERROR(__xludf.DUMMYFUNCTION("""COMPUTED_VALUE"""),"53BSPA23866JBRAB")</f>
        <v>53BSPA23866JBRAB</v>
      </c>
      <c r="Q59" s="80" t="str">
        <f>IFERROR(__xludf.DUMMYFUNCTION("""COMPUTED_VALUE"""),"DEDE CELL")</f>
        <v>DEDE CELL</v>
      </c>
      <c r="R59" s="80" t="str">
        <f>IFERROR(__xludf.DUMMYFUNCTION("""COMPUTED_VALUE"""),"MELKI CELL")</f>
        <v>MELKI CELL</v>
      </c>
      <c r="S59" s="80" t="str">
        <f>IFERROR(__xludf.DUMMYFUNCTION("""COMPUTED_VALUE"""),"Dede Haki")</f>
        <v>Dede Haki</v>
      </c>
      <c r="T59" s="80" t="str">
        <f>IFERROR(__xludf.DUMMYFUNCTION("""COMPUTED_VALUE"""),"Blok Desa Rt 02 Rw 07 Kel. Cimuncang Kec. Malausma Kab. Majalengka 45469")</f>
        <v>Blok Desa Rt 02 Rw 07 Kel. Cimuncang Kec. Malausma Kab. Majalengka 45469</v>
      </c>
      <c r="U59" s="80" t="str">
        <f>IFERROR(__xludf.DUMMYFUNCTION("""COMPUTED_VALUE"""),"BLOK DESA RT 02 RW 07 KEL. CIMUNCANG KEC. MALAUSMA KAB. MAJALENGKA 45469")</f>
        <v>BLOK DESA RT 02 RW 07 KEL. CIMUNCANG KEC. MALAUSMA KAB. MAJALENGKA 45469</v>
      </c>
      <c r="V59" s="80" t="str">
        <f>IFERROR(__xludf.DUMMYFUNCTION("""COMPUTED_VALUE"""),"002/007")</f>
        <v>002/007</v>
      </c>
      <c r="W59" s="80" t="str">
        <f>IFERROR(__xludf.DUMMYFUNCTION("""COMPUTED_VALUE"""),"CIMUNCANG")</f>
        <v>CIMUNCANG</v>
      </c>
      <c r="X59" s="80" t="str">
        <f>IFERROR(__xludf.DUMMYFUNCTION("""COMPUTED_VALUE"""),"MALAUSMA")</f>
        <v>MALAUSMA</v>
      </c>
      <c r="Y59" s="80" t="str">
        <f>IFERROR(__xludf.DUMMYFUNCTION("""COMPUTED_VALUE"""),"KAB. MAJALENGKA")</f>
        <v>KAB. MAJALENGKA</v>
      </c>
      <c r="Z59" s="80" t="str">
        <f>IFERROR(__xludf.DUMMYFUNCTION("""COMPUTED_VALUE"""),"JAWA BARAT")</f>
        <v>JAWA BARAT</v>
      </c>
      <c r="AA59" s="80" t="str">
        <f>IFERROR(__xludf.DUMMYFUNCTION("""COMPUTED_VALUE"""),"45469")</f>
        <v>45469</v>
      </c>
      <c r="AB59" s="80" t="str">
        <f>IFERROR(__xludf.DUMMYFUNCTION("""COMPUTED_VALUE"""),"3210020507910000")</f>
        <v>3210020507910000</v>
      </c>
      <c r="AC59" s="80" t="str">
        <f>IFERROR(__xludf.DUMMYFUNCTION("""COMPUTED_VALUE"""),"42.238.275.4-438.000")</f>
        <v>42.238.275.4-438.000</v>
      </c>
      <c r="AD59" s="80" t="str">
        <f>IFERROR(__xludf.DUMMYFUNCTION("""COMPUTED_VALUE"""),"CUM - ABD")</f>
        <v>CUM - ABD</v>
      </c>
      <c r="AE59" s="80" t="str">
        <f>IFERROR(__xludf.DUMMYFUNCTION("""COMPUTED_VALUE"""),"SUB ABDUL QODIR")</f>
        <v>SUB ABDUL QODIR</v>
      </c>
      <c r="AF59" s="80" t="str">
        <f>IFERROR(__xludf.DUMMYFUNCTION("""COMPUTED_VALUE"""),"085211215201")</f>
        <v>085211215201</v>
      </c>
      <c r="AG59" s="80" t="str">
        <f>IFERROR(__xludf.DUMMYFUNCTION("""COMPUTED_VALUE"""),"085211215201")</f>
        <v>085211215201</v>
      </c>
      <c r="AH59" s="80" t="str">
        <f>IFERROR(__xludf.DUMMYFUNCTION("""COMPUTED_VALUE"""),"MELKICELL3@GMAIL.COM")</f>
        <v>MELKICELL3@GMAIL.COM</v>
      </c>
      <c r="AI59" s="80" t="str">
        <f>IFERROR(__xludf.DUMMYFUNCTION("""COMPUTED_VALUE"""),"45469S1")</f>
        <v>45469S1</v>
      </c>
      <c r="AJ59" s="80" t="str">
        <f>IFERROR(__xludf.DUMMYFUNCTION("""COMPUTED_VALUE"""),"6369d7542dda357c591f74dc")</f>
        <v>6369d7542dda357c591f74dc</v>
      </c>
      <c r="AK59" s="80" t="str">
        <f>IFERROR(__xludf.DUMMYFUNCTION("""COMPUTED_VALUE"""),"dm45469s1")</f>
        <v>dm45469s1</v>
      </c>
      <c r="AL59" s="80" t="str">
        <f>IFERROR(__xludf.DUMMYFUNCTION("""COMPUTED_VALUE"""),"password")</f>
        <v>password</v>
      </c>
      <c r="AM59" s="80"/>
      <c r="AN59" s="80" t="str">
        <f>IFERROR(__xludf.DUMMYFUNCTION("""COMPUTED_VALUE"""),"POS BANTARUJEG")</f>
        <v>POS BANTARUJEG</v>
      </c>
      <c r="AO59" s="80" t="str">
        <f>IFERROR(__xludf.DUMMYFUNCTION("""COMPUTED_VALUE"""),"2510220129945")</f>
        <v>2510220129945</v>
      </c>
      <c r="AP59" s="80" t="str">
        <f>IFERROR(__xludf.DUMMYFUNCTION("""COMPUTED_VALUE"""),"53203 ( AKTIFITAS AGEN KURIR )")</f>
        <v>53203 ( AKTIFITAS AGEN KURIR )</v>
      </c>
      <c r="AQ59" s="83"/>
      <c r="AR59" s="80"/>
      <c r="AS59" s="80"/>
      <c r="AT59" s="80" t="str">
        <f>IFERROR(__xludf.DUMMYFUNCTION("""COMPUTED_VALUE"""),"-70553297")</f>
        <v>-70553297</v>
      </c>
      <c r="AU59" s="80" t="str">
        <f>IFERROR(__xludf.DUMMYFUNCTION("""COMPUTED_VALUE"""),"1082798086")</f>
        <v>1082798086</v>
      </c>
      <c r="AV59" s="80" t="str">
        <f>IFERROR(__xludf.DUMMYFUNCTION("""COMPUTED_VALUE"""),"ADA")</f>
        <v>ADA</v>
      </c>
      <c r="AW59" s="80" t="str">
        <f>IFERROR(__xludf.DUMMYFUNCTION("""COMPUTED_VALUE"""),"ADA")</f>
        <v>ADA</v>
      </c>
      <c r="AX59" s="80"/>
      <c r="AY59" s="80"/>
      <c r="AZ59" s="80"/>
      <c r="BA59" s="80" t="str">
        <f>IFERROR(__xludf.DUMMYFUNCTION("""COMPUTED_VALUE"""),"ADA")</f>
        <v>ADA</v>
      </c>
      <c r="BB59" s="80" t="str">
        <f>IFERROR(__xludf.DUMMYFUNCTION("""COMPUTED_VALUE"""),"ADA")</f>
        <v>ADA</v>
      </c>
      <c r="BC59" s="80" t="str">
        <f>IFERROR(__xludf.DUMMYFUNCTION("""COMPUTED_VALUE"""),"ADA")</f>
        <v>ADA</v>
      </c>
      <c r="BD59" s="80" t="str">
        <f>IFERROR(__xludf.DUMMYFUNCTION("""COMPUTED_VALUE"""),"ADA")</f>
        <v>ADA</v>
      </c>
      <c r="BE59" s="80" t="str">
        <f>IFERROR(__xludf.DUMMYFUNCTION("""COMPUTED_VALUE"""),"ADA")</f>
        <v>ADA</v>
      </c>
      <c r="BF59" s="80" t="str">
        <f>IFERROR(__xludf.DUMMYFUNCTION("""COMPUTED_VALUE"""),"ADA")</f>
        <v>ADA</v>
      </c>
      <c r="BG59" s="80" t="str">
        <f>IFERROR(__xludf.DUMMYFUNCTION("""COMPUTED_VALUE"""),"ADA")</f>
        <v>ADA</v>
      </c>
      <c r="BH59" s="80" t="str">
        <f>IFERROR(__xludf.DUMMYFUNCTION("""COMPUTED_VALUE"""),"TINTA")</f>
        <v>TINTA</v>
      </c>
      <c r="BI59" s="80" t="str">
        <f>IFERROR(__xludf.DUMMYFUNCTION("""COMPUTED_VALUE"""),"ADA")</f>
        <v>ADA</v>
      </c>
      <c r="BJ59" s="80" t="str">
        <f>IFERROR(__xludf.DUMMYFUNCTION("""COMPUTED_VALUE"""),"KERTAS HVS")</f>
        <v>KERTAS HVS</v>
      </c>
      <c r="BK59" s="80" t="str">
        <f>IFERROR(__xludf.DUMMYFUNCTION("""COMPUTED_VALUE"""),"BELUM ADA")</f>
        <v>BELUM ADA</v>
      </c>
      <c r="BL59" s="80"/>
      <c r="BM59" s="80"/>
      <c r="BN59" s="80"/>
      <c r="BO59" s="80"/>
      <c r="BP59" s="80"/>
      <c r="BQ59" s="80"/>
      <c r="BR59" s="80"/>
      <c r="BS59" s="80"/>
      <c r="BT59" s="80"/>
      <c r="BU59" s="80"/>
      <c r="BV59" s="80" t="str">
        <f>IFERROR(__xludf.DUMMYFUNCTION("""COMPUTED_VALUE"""),"Blok Desa Rt 02 Rw 07 Kel. Cimuncang Kec. Malausma Kab. Majalengka 45469")</f>
        <v>Blok Desa Rt 02 Rw 07 Kel. Cimuncang Kec. Malausma Kab. Majalengka 45469</v>
      </c>
      <c r="BW59" s="80"/>
      <c r="BX59" s="80"/>
      <c r="BY59" s="80"/>
      <c r="BZ59" s="80"/>
      <c r="CA59" s="80"/>
      <c r="CB59" s="80"/>
      <c r="CC59" s="80"/>
      <c r="CD59" s="80"/>
      <c r="CE59" s="80"/>
      <c r="CF59" s="80"/>
      <c r="CG59" s="80"/>
      <c r="CH59" s="80"/>
      <c r="CI59" s="80"/>
      <c r="CJ59" s="80"/>
      <c r="CK59" s="2"/>
    </row>
    <row r="60" ht="12.75" customHeight="1">
      <c r="A60" s="85">
        <f>IFERROR(__xludf.DUMMYFUNCTION("""COMPUTED_VALUE"""),57.0)</f>
        <v>57</v>
      </c>
      <c r="B60" s="85" t="str">
        <f>IFERROR(__xludf.DUMMYFUNCTION("""COMPUTED_VALUE"""),"1 NOPEMBER 2022")</f>
        <v>1 NOPEMBER 2022</v>
      </c>
      <c r="C60" s="85" t="str">
        <f>IFERROR(__xludf.DUMMYFUNCTION("""COMPUTED_VALUE"""),"1 NOPEMBER 2022")</f>
        <v>1 NOPEMBER 2022</v>
      </c>
      <c r="D60" s="86"/>
      <c r="E60" s="88"/>
      <c r="F60" s="85" t="str">
        <f>IFERROR(__xludf.DUMMYFUNCTION("""COMPUTED_VALUE"""),"23 NOPEMBER 2022")</f>
        <v>23 NOPEMBER 2022</v>
      </c>
      <c r="G60" s="86"/>
      <c r="H60" s="85"/>
      <c r="I60" s="85"/>
      <c r="J60" s="85"/>
      <c r="K60" s="85" t="str">
        <f>IFERROR(__xludf.DUMMYFUNCTION("""COMPUTED_VALUE"""),"daftar ke Pos atas nama istri")</f>
        <v>daftar ke Pos atas nama istri</v>
      </c>
      <c r="L60" s="85"/>
      <c r="M60" s="85"/>
      <c r="N60" s="85"/>
      <c r="O60" s="85"/>
      <c r="P60" s="85" t="str">
        <f>IFERROR(__xludf.DUMMYFUNCTION("""COMPUTED_VALUE"""),"52BSPA12205JTAMD")</f>
        <v>52BSPA12205JTAMD</v>
      </c>
      <c r="Q60" s="85" t="str">
        <f>IFERROR(__xludf.DUMMYFUNCTION("""COMPUTED_VALUE"""),"BINA MANDIRI SUKSES ")</f>
        <v>BINA MANDIRI SUKSES </v>
      </c>
      <c r="R60" s="85" t="str">
        <f>IFERROR(__xludf.DUMMYFUNCTION("""COMPUTED_VALUE"""),"BINA MANDIRI SUKSES ")</f>
        <v>BINA MANDIRI SUKSES </v>
      </c>
      <c r="S60" s="85" t="str">
        <f>IFERROR(__xludf.DUMMYFUNCTION("""COMPUTED_VALUE"""),"Indradi Setianto/ Sri Wahyuni")</f>
        <v>Indradi Setianto/ Sri Wahyuni</v>
      </c>
      <c r="T60" s="85" t="str">
        <f>IFERROR(__xludf.DUMMYFUNCTION("""COMPUTED_VALUE"""),"Wates Rt 001 Rw 006 Kel. Doho, Kec. Girimarto, Kab. Wonogiri Jawa Tengah")</f>
        <v>Wates Rt 001 Rw 006 Kel. Doho, Kec. Girimarto, Kab. Wonogiri Jawa Tengah</v>
      </c>
      <c r="U60" s="85" t="str">
        <f>IFERROR(__xludf.DUMMYFUNCTION("""COMPUTED_VALUE"""),"WATES RT 001 RW 006  KEL. DOHO, KEC. GIRIMARTO, KAB. WONOGIRI JAWA TENGAH")</f>
        <v>WATES RT 001 RW 006  KEL. DOHO, KEC. GIRIMARTO, KAB. WONOGIRI JAWA TENGAH</v>
      </c>
      <c r="V60" s="85" t="str">
        <f>IFERROR(__xludf.DUMMYFUNCTION("""COMPUTED_VALUE"""),"001/006")</f>
        <v>001/006</v>
      </c>
      <c r="W60" s="85" t="str">
        <f>IFERROR(__xludf.DUMMYFUNCTION("""COMPUTED_VALUE"""),"DOHO")</f>
        <v>DOHO</v>
      </c>
      <c r="X60" s="85" t="str">
        <f>IFERROR(__xludf.DUMMYFUNCTION("""COMPUTED_VALUE"""),"GIRIMARTO")</f>
        <v>GIRIMARTO</v>
      </c>
      <c r="Y60" s="85" t="str">
        <f>IFERROR(__xludf.DUMMYFUNCTION("""COMPUTED_VALUE"""),"KAB. WONOGIRI")</f>
        <v>KAB. WONOGIRI</v>
      </c>
      <c r="Z60" s="85" t="str">
        <f>IFERROR(__xludf.DUMMYFUNCTION("""COMPUTED_VALUE"""),"JAWA TENGAH")</f>
        <v>JAWA TENGAH</v>
      </c>
      <c r="AA60" s="85" t="str">
        <f>IFERROR(__xludf.DUMMYFUNCTION("""COMPUTED_VALUE"""),"57683")</f>
        <v>57683</v>
      </c>
      <c r="AB60" s="85" t="str">
        <f>IFERROR(__xludf.DUMMYFUNCTION("""COMPUTED_VALUE"""),"3312221405750000")</f>
        <v>3312221405750000</v>
      </c>
      <c r="AC60" s="85" t="str">
        <f>IFERROR(__xludf.DUMMYFUNCTION("""COMPUTED_VALUE"""),"97.382.045.9-532.000")</f>
        <v>97.382.045.9-532.000</v>
      </c>
      <c r="AD60" s="85" t="str">
        <f>IFERROR(__xludf.DUMMYFUNCTION("""COMPUTED_VALUE"""),"CUM - AMD")</f>
        <v>CUM - AMD</v>
      </c>
      <c r="AE60" s="85" t="str">
        <f>IFERROR(__xludf.DUMMYFUNCTION("""COMPUTED_VALUE"""),"AMINUDDIN")</f>
        <v>AMINUDDIN</v>
      </c>
      <c r="AF60" s="85" t="str">
        <f>IFERROR(__xludf.DUMMYFUNCTION("""COMPUTED_VALUE"""),"081210378559")</f>
        <v>081210378559</v>
      </c>
      <c r="AG60" s="85" t="str">
        <f>IFERROR(__xludf.DUMMYFUNCTION("""COMPUTED_VALUE"""),"081210378559")</f>
        <v>081210378559</v>
      </c>
      <c r="AH60" s="85" t="str">
        <f>IFERROR(__xludf.DUMMYFUNCTION("""COMPUTED_VALUE"""),"mocafind@gmail.com")</f>
        <v>mocafind@gmail.com</v>
      </c>
      <c r="AI60" s="85" t="str">
        <f>IFERROR(__xludf.DUMMYFUNCTION("""COMPUTED_VALUE"""),"57683S1")</f>
        <v>57683S1</v>
      </c>
      <c r="AJ60" s="85" t="str">
        <f>IFERROR(__xludf.DUMMYFUNCTION("""COMPUTED_VALUE"""),"6368d307ac6c3c2aaa4ece45")</f>
        <v>6368d307ac6c3c2aaa4ece45</v>
      </c>
      <c r="AK60" s="85" t="str">
        <f>IFERROR(__xludf.DUMMYFUNCTION("""COMPUTED_VALUE"""),"dm57683s1")</f>
        <v>dm57683s1</v>
      </c>
      <c r="AL60" s="85" t="str">
        <f>IFERROR(__xludf.DUMMYFUNCTION("""COMPUTED_VALUE"""),"password")</f>
        <v>password</v>
      </c>
      <c r="AM60" s="85" t="str">
        <f>IFERROR(__xludf.DUMMYFUNCTION("""COMPUTED_VALUE"""),"KANTOR REGIONAL IV SEMARANG 50004")</f>
        <v>KANTOR REGIONAL IV SEMARANG 50004</v>
      </c>
      <c r="AN60" s="85" t="str">
        <f>IFERROR(__xludf.DUMMYFUNCTION("""COMPUTED_VALUE"""),"POS GIRIMARTO")</f>
        <v>POS GIRIMARTO</v>
      </c>
      <c r="AO60" s="85" t="str">
        <f>IFERROR(__xludf.DUMMYFUNCTION("""COMPUTED_VALUE"""),"3110220026565")</f>
        <v>3110220026565</v>
      </c>
      <c r="AP60" s="85" t="str">
        <f>IFERROR(__xludf.DUMMYFUNCTION("""COMPUTED_VALUE"""),"53202 ( AKTIFITAS AGEN KURIR )")</f>
        <v>53202 ( AKTIFITAS AGEN KURIR )</v>
      </c>
      <c r="AQ60" s="93"/>
      <c r="AR60" s="85"/>
      <c r="AS60" s="85"/>
      <c r="AT60" s="85" t="str">
        <f>IFERROR(__xludf.DUMMYFUNCTION("""COMPUTED_VALUE"""),"-7812544")</f>
        <v>-7812544</v>
      </c>
      <c r="AU60" s="85" t="str">
        <f>IFERROR(__xludf.DUMMYFUNCTION("""COMPUTED_VALUE"""),"111043035")</f>
        <v>111043035</v>
      </c>
      <c r="AV60" s="85" t="str">
        <f>IFERROR(__xludf.DUMMYFUNCTION("""COMPUTED_VALUE"""),"ADA")</f>
        <v>ADA</v>
      </c>
      <c r="AW60" s="85" t="str">
        <f>IFERROR(__xludf.DUMMYFUNCTION("""COMPUTED_VALUE"""),"ADA")</f>
        <v>ADA</v>
      </c>
      <c r="AX60" s="85"/>
      <c r="AY60" s="85"/>
      <c r="AZ60" s="85"/>
      <c r="BA60" s="85" t="str">
        <f>IFERROR(__xludf.DUMMYFUNCTION("""COMPUTED_VALUE"""),"ADA")</f>
        <v>ADA</v>
      </c>
      <c r="BB60" s="85" t="str">
        <f>IFERROR(__xludf.DUMMYFUNCTION("""COMPUTED_VALUE"""),"ADA")</f>
        <v>ADA</v>
      </c>
      <c r="BC60" s="85" t="str">
        <f>IFERROR(__xludf.DUMMYFUNCTION("""COMPUTED_VALUE"""),"ADA")</f>
        <v>ADA</v>
      </c>
      <c r="BD60" s="85" t="str">
        <f>IFERROR(__xludf.DUMMYFUNCTION("""COMPUTED_VALUE"""),"ADA")</f>
        <v>ADA</v>
      </c>
      <c r="BE60" s="85" t="str">
        <f>IFERROR(__xludf.DUMMYFUNCTION("""COMPUTED_VALUE"""),"ADA")</f>
        <v>ADA</v>
      </c>
      <c r="BF60" s="85" t="str">
        <f>IFERROR(__xludf.DUMMYFUNCTION("""COMPUTED_VALUE"""),"ADA")</f>
        <v>ADA</v>
      </c>
      <c r="BG60" s="85" t="str">
        <f>IFERROR(__xludf.DUMMYFUNCTION("""COMPUTED_VALUE"""),"ADA")</f>
        <v>ADA</v>
      </c>
      <c r="BH60" s="85" t="str">
        <f>IFERROR(__xludf.DUMMYFUNCTION("""COMPUTED_VALUE"""),"TINTA")</f>
        <v>TINTA</v>
      </c>
      <c r="BI60" s="85" t="str">
        <f>IFERROR(__xludf.DUMMYFUNCTION("""COMPUTED_VALUE"""),"ADA")</f>
        <v>ADA</v>
      </c>
      <c r="BJ60" s="85" t="str">
        <f>IFERROR(__xludf.DUMMYFUNCTION("""COMPUTED_VALUE"""),"KERTAS HVS")</f>
        <v>KERTAS HVS</v>
      </c>
      <c r="BK60" s="85"/>
      <c r="BL60" s="85"/>
      <c r="BM60" s="85"/>
      <c r="BN60" s="85"/>
      <c r="BO60" s="85"/>
      <c r="BP60" s="85"/>
      <c r="BQ60" s="85"/>
      <c r="BR60" s="85"/>
      <c r="BS60" s="85"/>
      <c r="BT60" s="85"/>
      <c r="BU60" s="85"/>
      <c r="BV60" s="85" t="str">
        <f>IFERROR(__xludf.DUMMYFUNCTION("""COMPUTED_VALUE"""),"Wates Rt 001 Rw 006 Kel. Doho, Kec. Girimarto, Kab. Wonogiri Jawa Tengah")</f>
        <v>Wates Rt 001 Rw 006 Kel. Doho, Kec. Girimarto, Kab. Wonogiri Jawa Tengah</v>
      </c>
      <c r="BW60" s="85"/>
      <c r="BX60" s="85"/>
      <c r="BY60" s="85"/>
      <c r="BZ60" s="85"/>
      <c r="CA60" s="85"/>
      <c r="CB60" s="85"/>
      <c r="CC60" s="85"/>
      <c r="CD60" s="85"/>
      <c r="CE60" s="85"/>
      <c r="CF60" s="85"/>
      <c r="CG60" s="85"/>
      <c r="CH60" s="85"/>
      <c r="CI60" s="85"/>
      <c r="CJ60" s="85"/>
      <c r="CK60" s="2"/>
    </row>
    <row r="61" ht="12.75" customHeight="1">
      <c r="A61" s="80">
        <f>IFERROR(__xludf.DUMMYFUNCTION("""COMPUTED_VALUE"""),58.0)</f>
        <v>58</v>
      </c>
      <c r="B61" s="80" t="str">
        <f>IFERROR(__xludf.DUMMYFUNCTION("""COMPUTED_VALUE"""),"1 NOPEMBER 2022")</f>
        <v>1 NOPEMBER 2022</v>
      </c>
      <c r="C61" s="80" t="str">
        <f>IFERROR(__xludf.DUMMYFUNCTION("""COMPUTED_VALUE"""),"1 NOPEMBER 2022")</f>
        <v>1 NOPEMBER 2022</v>
      </c>
      <c r="D61" s="81"/>
      <c r="E61" s="82"/>
      <c r="F61" s="80" t="str">
        <f>IFERROR(__xludf.DUMMYFUNCTION("""COMPUTED_VALUE"""),"24 NOPEMBER 2022")</f>
        <v>24 NOPEMBER 2022</v>
      </c>
      <c r="G61" s="81"/>
      <c r="H61" s="80"/>
      <c r="I61" s="80"/>
      <c r="J61" s="80"/>
      <c r="K61" s="80"/>
      <c r="L61" s="80"/>
      <c r="M61" s="80"/>
      <c r="N61" s="80"/>
      <c r="O61" s="80"/>
      <c r="P61" s="80" t="str">
        <f>IFERROR(__xludf.DUMMYFUNCTION("""COMPUTED_VALUE"""),"52BSPA07236JTWWK")</f>
        <v>52BSPA07236JTWWK</v>
      </c>
      <c r="Q61" s="80" t="str">
        <f>IFERROR(__xludf.DUMMYFUNCTION("""COMPUTED_VALUE"""),"LOKET YUYUN")</f>
        <v>LOKET YUYUN</v>
      </c>
      <c r="R61" s="80" t="str">
        <f>IFERROR(__xludf.DUMMYFUNCTION("""COMPUTED_VALUE"""),"YUYUN")</f>
        <v>YUYUN</v>
      </c>
      <c r="S61" s="80" t="str">
        <f>IFERROR(__xludf.DUMMYFUNCTION("""COMPUTED_VALUE"""),"Yuyun Yuliani")</f>
        <v>Yuyun Yuliani</v>
      </c>
      <c r="T61" s="80" t="str">
        <f>IFERROR(__xludf.DUMMYFUNCTION("""COMPUTED_VALUE"""),"Jl. Pemajatan Komp. Dinar Mas 2 Rt 009 Rw 003 Kel. Gambut Kec. Gambut Kab. Banjar Kalsel 70652")</f>
        <v>Jl. Pemajatan Komp. Dinar Mas 2 Rt 009 Rw 003 Kel. Gambut Kec. Gambut Kab. Banjar Kalsel 70652</v>
      </c>
      <c r="U61" s="80" t="str">
        <f>IFERROR(__xludf.DUMMYFUNCTION("""COMPUTED_VALUE"""),"Jl. A. YANI KOMPLEK BUMI KASTURI")</f>
        <v>Jl. A. YANI KOMPLEK BUMI KASTURI</v>
      </c>
      <c r="V61" s="80"/>
      <c r="W61" s="80" t="str">
        <f>IFERROR(__xludf.DUMMYFUNCTION("""COMPUTED_VALUE"""),"PEMURUS DALAM")</f>
        <v>PEMURUS DALAM</v>
      </c>
      <c r="X61" s="80" t="str">
        <f>IFERROR(__xludf.DUMMYFUNCTION("""COMPUTED_VALUE"""),"BANJARMASIN SELATAN")</f>
        <v>BANJARMASIN SELATAN</v>
      </c>
      <c r="Y61" s="80" t="str">
        <f>IFERROR(__xludf.DUMMYFUNCTION("""COMPUTED_VALUE"""),"KOTA BANJARMASIN")</f>
        <v>KOTA BANJARMASIN</v>
      </c>
      <c r="Z61" s="80" t="str">
        <f>IFERROR(__xludf.DUMMYFUNCTION("""COMPUTED_VALUE"""),"KALIMANTAN SELATAN")</f>
        <v>KALIMANTAN SELATAN</v>
      </c>
      <c r="AA61" s="80" t="str">
        <f>IFERROR(__xludf.DUMMYFUNCTION("""COMPUTED_VALUE"""),"70248")</f>
        <v>70248</v>
      </c>
      <c r="AB61" s="80" t="str">
        <f>IFERROR(__xludf.DUMMYFUNCTION("""COMPUTED_VALUE"""),"6371014807750010")</f>
        <v>6371014807750010</v>
      </c>
      <c r="AC61" s="80" t="str">
        <f>IFERROR(__xludf.DUMMYFUNCTION("""COMPUTED_VALUE"""),"74.694.977.5-731.000")</f>
        <v>74.694.977.5-731.000</v>
      </c>
      <c r="AD61" s="80" t="str">
        <f>IFERROR(__xludf.DUMMYFUNCTION("""COMPUTED_VALUE"""),"CUM - WWK")</f>
        <v>CUM - WWK</v>
      </c>
      <c r="AE61" s="80" t="str">
        <f>IFERROR(__xludf.DUMMYFUNCTION("""COMPUTED_VALUE"""),"SUB WIWIK")</f>
        <v>SUB WIWIK</v>
      </c>
      <c r="AF61" s="80" t="str">
        <f>IFERROR(__xludf.DUMMYFUNCTION("""COMPUTED_VALUE"""),"081250117001")</f>
        <v>081250117001</v>
      </c>
      <c r="AG61" s="80" t="str">
        <f>IFERROR(__xludf.DUMMYFUNCTION("""COMPUTED_VALUE"""),"081250117001")</f>
        <v>081250117001</v>
      </c>
      <c r="AH61" s="80" t="str">
        <f>IFERROR(__xludf.DUMMYFUNCTION("""COMPUTED_VALUE"""),"upiagam@gmail.com")</f>
        <v>upiagam@gmail.com</v>
      </c>
      <c r="AI61" s="80" t="str">
        <f>IFERROR(__xludf.DUMMYFUNCTION("""COMPUTED_VALUE"""),"70248S1")</f>
        <v>70248S1</v>
      </c>
      <c r="AJ61" s="80" t="str">
        <f>IFERROR(__xludf.DUMMYFUNCTION("""COMPUTED_VALUE"""),"6369d68216df1f2fcf0d8af9")</f>
        <v>6369d68216df1f2fcf0d8af9</v>
      </c>
      <c r="AK61" s="80" t="str">
        <f>IFERROR(__xludf.DUMMYFUNCTION("""COMPUTED_VALUE"""),"dm70248s1")</f>
        <v>dm70248s1</v>
      </c>
      <c r="AL61" s="80" t="str">
        <f>IFERROR(__xludf.DUMMYFUNCTION("""COMPUTED_VALUE"""),"password")</f>
        <v>password</v>
      </c>
      <c r="AM61" s="80"/>
      <c r="AN61" s="80" t="str">
        <f>IFERROR(__xludf.DUMMYFUNCTION("""COMPUTED_VALUE"""),"POS KERTAK HANYAR")</f>
        <v>POS KERTAK HANYAR</v>
      </c>
      <c r="AO61" s="80" t="str">
        <f>IFERROR(__xludf.DUMMYFUNCTION("""COMPUTED_VALUE"""),"3110220002331")</f>
        <v>3110220002331</v>
      </c>
      <c r="AP61" s="80" t="str">
        <f>IFERROR(__xludf.DUMMYFUNCTION("""COMPUTED_VALUE"""),"53202 ( AKTIFITAS AGEN KURIR )")</f>
        <v>53202 ( AKTIFITAS AGEN KURIR )</v>
      </c>
      <c r="AQ61" s="83"/>
      <c r="AR61" s="80"/>
      <c r="AS61" s="80"/>
      <c r="AT61" s="80" t="str">
        <f>IFERROR(__xludf.DUMMYFUNCTION("""COMPUTED_VALUE"""),"-33,448,755")</f>
        <v>-33,448,755</v>
      </c>
      <c r="AU61" s="80" t="str">
        <f>IFERROR(__xludf.DUMMYFUNCTION("""COMPUTED_VALUE"""),"1,146,181,026")</f>
        <v>1,146,181,026</v>
      </c>
      <c r="AV61" s="80" t="str">
        <f>IFERROR(__xludf.DUMMYFUNCTION("""COMPUTED_VALUE"""),"ADA")</f>
        <v>ADA</v>
      </c>
      <c r="AW61" s="80" t="str">
        <f>IFERROR(__xludf.DUMMYFUNCTION("""COMPUTED_VALUE"""),"ADA")</f>
        <v>ADA</v>
      </c>
      <c r="AX61" s="80"/>
      <c r="AY61" s="80"/>
      <c r="AZ61" s="80"/>
      <c r="BA61" s="80" t="str">
        <f>IFERROR(__xludf.DUMMYFUNCTION("""COMPUTED_VALUE"""),"ADA")</f>
        <v>ADA</v>
      </c>
      <c r="BB61" s="80" t="str">
        <f>IFERROR(__xludf.DUMMYFUNCTION("""COMPUTED_VALUE"""),"ADA")</f>
        <v>ADA</v>
      </c>
      <c r="BC61" s="80" t="str">
        <f>IFERROR(__xludf.DUMMYFUNCTION("""COMPUTED_VALUE"""),"ADA")</f>
        <v>ADA</v>
      </c>
      <c r="BD61" s="80" t="str">
        <f>IFERROR(__xludf.DUMMYFUNCTION("""COMPUTED_VALUE"""),"ADA")</f>
        <v>ADA</v>
      </c>
      <c r="BE61" s="80" t="str">
        <f>IFERROR(__xludf.DUMMYFUNCTION("""COMPUTED_VALUE"""),"ADA")</f>
        <v>ADA</v>
      </c>
      <c r="BF61" s="80" t="str">
        <f>IFERROR(__xludf.DUMMYFUNCTION("""COMPUTED_VALUE"""),"ADA")</f>
        <v>ADA</v>
      </c>
      <c r="BG61" s="80" t="str">
        <f>IFERROR(__xludf.DUMMYFUNCTION("""COMPUTED_VALUE"""),"ADA")</f>
        <v>ADA</v>
      </c>
      <c r="BH61" s="80"/>
      <c r="BI61" s="80"/>
      <c r="BJ61" s="80"/>
      <c r="BK61" s="80"/>
      <c r="BL61" s="80"/>
      <c r="BM61" s="80"/>
      <c r="BN61" s="80"/>
      <c r="BO61" s="80"/>
      <c r="BP61" s="80"/>
      <c r="BQ61" s="80"/>
      <c r="BR61" s="80"/>
      <c r="BS61" s="80"/>
      <c r="BT61" s="80"/>
      <c r="BU61" s="80"/>
      <c r="BV61" s="80" t="str">
        <f>IFERROR(__xludf.DUMMYFUNCTION("""COMPUTED_VALUE"""),"Jl. Pemajatan Komp. Dinar Mas 2 Rt 009 Rw 003 Kel. Gambut Kec. Gambut Kab. Banjar Kalsel 70652")</f>
        <v>Jl. Pemajatan Komp. Dinar Mas 2 Rt 009 Rw 003 Kel. Gambut Kec. Gambut Kab. Banjar Kalsel 70652</v>
      </c>
      <c r="BW61" s="80"/>
      <c r="BX61" s="80"/>
      <c r="BY61" s="80"/>
      <c r="BZ61" s="80"/>
      <c r="CA61" s="80"/>
      <c r="CB61" s="80"/>
      <c r="CC61" s="80"/>
      <c r="CD61" s="80"/>
      <c r="CE61" s="80"/>
      <c r="CF61" s="80"/>
      <c r="CG61" s="80"/>
      <c r="CH61" s="80"/>
      <c r="CI61" s="80"/>
      <c r="CJ61" s="80"/>
      <c r="CK61" s="2"/>
    </row>
    <row r="62" ht="12.75" customHeight="1">
      <c r="A62" s="85">
        <f>IFERROR(__xludf.DUMMYFUNCTION("""COMPUTED_VALUE"""),59.0)</f>
        <v>59</v>
      </c>
      <c r="B62" s="85" t="str">
        <f>IFERROR(__xludf.DUMMYFUNCTION("""COMPUTED_VALUE"""),"19 NOPEMBER 2022")</f>
        <v>19 NOPEMBER 2022</v>
      </c>
      <c r="C62" s="85" t="str">
        <f>IFERROR(__xludf.DUMMYFUNCTION("""COMPUTED_VALUE"""),"19 NOPEMBER 2022")</f>
        <v>19 NOPEMBER 2022</v>
      </c>
      <c r="D62" s="86"/>
      <c r="E62" s="88"/>
      <c r="F62" s="85" t="str">
        <f>IFERROR(__xludf.DUMMYFUNCTION("""COMPUTED_VALUE"""),"29 NOPEMBER 2022")</f>
        <v>29 NOPEMBER 2022</v>
      </c>
      <c r="G62" s="86"/>
      <c r="H62" s="85"/>
      <c r="I62" s="85"/>
      <c r="J62" s="85"/>
      <c r="K62" s="85"/>
      <c r="L62" s="85"/>
      <c r="M62" s="85"/>
      <c r="N62" s="85"/>
      <c r="O62" s="85"/>
      <c r="P62" s="85" t="str">
        <f>IFERROR(__xludf.DUMMYFUNCTION("""COMPUTED_VALUE"""),"52BSPA12296JTYNA")</f>
        <v>52BSPA12296JTYNA</v>
      </c>
      <c r="Q62" s="85" t="str">
        <f>IFERROR(__xludf.DUMMYFUNCTION("""COMPUTED_VALUE"""),"SUMBER REJEKI")</f>
        <v>SUMBER REJEKI</v>
      </c>
      <c r="R62" s="85" t="str">
        <f>IFERROR(__xludf.DUMMYFUNCTION("""COMPUTED_VALUE"""),"SUMBER REJEKI")</f>
        <v>SUMBER REJEKI</v>
      </c>
      <c r="S62" s="85" t="str">
        <f>IFERROR(__xludf.DUMMYFUNCTION("""COMPUTED_VALUE"""),"Rochmad Wahid Ismanto")</f>
        <v>Rochmad Wahid Ismanto</v>
      </c>
      <c r="T62" s="85" t="str">
        <f>IFERROR(__xludf.DUMMYFUNCTION("""COMPUTED_VALUE"""),"Dk. Karangboyo Rt 002 Rw 001 Kel. Karangnongko Kec. Karangnongko Kab. Klaten 57483")</f>
        <v>Dk. Karangboyo Rt 002 Rw 001 Kel. Karangnongko Kec. Karangnongko Kab. Klaten 57483</v>
      </c>
      <c r="U62" s="85" t="str">
        <f>IFERROR(__xludf.DUMMYFUNCTION("""COMPUTED_VALUE"""),"JL. BAREPAN KIDUL KEL. KARANGDUREN KEC. KEBONARUM KAB. KLATEN 57486")</f>
        <v>JL. BAREPAN KIDUL KEL. KARANGDUREN KEC. KEBONARUM KAB. KLATEN 57486</v>
      </c>
      <c r="V62" s="85"/>
      <c r="W62" s="85" t="str">
        <f>IFERROR(__xludf.DUMMYFUNCTION("""COMPUTED_VALUE"""),"KARANGDUREN")</f>
        <v>KARANGDUREN</v>
      </c>
      <c r="X62" s="85" t="str">
        <f>IFERROR(__xludf.DUMMYFUNCTION("""COMPUTED_VALUE"""),"KEBONARUM")</f>
        <v>KEBONARUM</v>
      </c>
      <c r="Y62" s="85" t="str">
        <f>IFERROR(__xludf.DUMMYFUNCTION("""COMPUTED_VALUE"""),"KAB. KLATEN")</f>
        <v>KAB. KLATEN</v>
      </c>
      <c r="Z62" s="85" t="str">
        <f>IFERROR(__xludf.DUMMYFUNCTION("""COMPUTED_VALUE"""),"JAWA TENGAH")</f>
        <v>JAWA TENGAH</v>
      </c>
      <c r="AA62" s="85" t="str">
        <f>IFERROR(__xludf.DUMMYFUNCTION("""COMPUTED_VALUE"""),"57486")</f>
        <v>57486</v>
      </c>
      <c r="AB62" s="85" t="str">
        <f>IFERROR(__xludf.DUMMYFUNCTION("""COMPUTED_VALUE"""),"3310100507830002")</f>
        <v>3310100507830002</v>
      </c>
      <c r="AC62" s="85" t="str">
        <f>IFERROR(__xludf.DUMMYFUNCTION("""COMPUTED_VALUE"""),"80.403.697.8-525.000")</f>
        <v>80.403.697.8-525.000</v>
      </c>
      <c r="AD62" s="85" t="str">
        <f>IFERROR(__xludf.DUMMYFUNCTION("""COMPUTED_VALUE"""),"CUM - YNA")</f>
        <v>CUM - YNA</v>
      </c>
      <c r="AE62" s="85" t="str">
        <f>IFERROR(__xludf.DUMMYFUNCTION("""COMPUTED_VALUE"""),"SUB YOHANNITA")</f>
        <v>SUB YOHANNITA</v>
      </c>
      <c r="AF62" s="85" t="str">
        <f>IFERROR(__xludf.DUMMYFUNCTION("""COMPUTED_VALUE"""),"0852-7046-1223")</f>
        <v>0852-7046-1223</v>
      </c>
      <c r="AG62" s="85" t="str">
        <f>IFERROR(__xludf.DUMMYFUNCTION("""COMPUTED_VALUE"""),"0852-7046-1223")</f>
        <v>0852-7046-1223</v>
      </c>
      <c r="AH62" s="85" t="str">
        <f>IFERROR(__xludf.DUMMYFUNCTION("""COMPUTED_VALUE"""),"masrochmad5758@gmail.com")</f>
        <v>masrochmad5758@gmail.com</v>
      </c>
      <c r="AI62" s="85" t="str">
        <f>IFERROR(__xludf.DUMMYFUNCTION("""COMPUTED_VALUE"""),"57486S1")</f>
        <v>57486S1</v>
      </c>
      <c r="AJ62" s="85" t="str">
        <f>IFERROR(__xludf.DUMMYFUNCTION("""COMPUTED_VALUE"""),"637e3424fa78c130ed7f8156")</f>
        <v>637e3424fa78c130ed7f8156</v>
      </c>
      <c r="AK62" s="85" t="str">
        <f>IFERROR(__xludf.DUMMYFUNCTION("""COMPUTED_VALUE"""),"dm57486s1")</f>
        <v>dm57486s1</v>
      </c>
      <c r="AL62" s="85" t="str">
        <f>IFERROR(__xludf.DUMMYFUNCTION("""COMPUTED_VALUE"""),"password")</f>
        <v>password</v>
      </c>
      <c r="AM62" s="85" t="str">
        <f>IFERROR(__xludf.DUMMYFUNCTION("""COMPUTED_VALUE"""),"KANTOR REGIONAL IV SEMARANG 50004")</f>
        <v>KANTOR REGIONAL IV SEMARANG 50004</v>
      </c>
      <c r="AN62" s="85" t="str">
        <f>IFERROR(__xludf.DUMMYFUNCTION("""COMPUTED_VALUE"""),"POS KEBONARUM")</f>
        <v>POS KEBONARUM</v>
      </c>
      <c r="AO62" s="85" t="str">
        <f>IFERROR(__xludf.DUMMYFUNCTION("""COMPUTED_VALUE"""),"2409220012039")</f>
        <v>2409220012039</v>
      </c>
      <c r="AP62" s="85" t="str">
        <f>IFERROR(__xludf.DUMMYFUNCTION("""COMPUTED_VALUE"""),"53202 ( AKTIFITAS AGEN KURIR )")</f>
        <v>53202 ( AKTIFITAS AGEN KURIR )</v>
      </c>
      <c r="AQ62" s="93"/>
      <c r="AR62" s="85"/>
      <c r="AS62" s="85"/>
      <c r="AT62" s="85" t="str">
        <f>IFERROR(__xludf.DUMMYFUNCTION("""COMPUTED_VALUE"""),"-76949586")</f>
        <v>-76949586</v>
      </c>
      <c r="AU62" s="85" t="str">
        <f>IFERROR(__xludf.DUMMYFUNCTION("""COMPUTED_VALUE"""),"110547327")</f>
        <v>110547327</v>
      </c>
      <c r="AV62" s="85" t="str">
        <f>IFERROR(__xludf.DUMMYFUNCTION("""COMPUTED_VALUE"""),"ADA")</f>
        <v>ADA</v>
      </c>
      <c r="AW62" s="85" t="str">
        <f>IFERROR(__xludf.DUMMYFUNCTION("""COMPUTED_VALUE"""),"ADA")</f>
        <v>ADA</v>
      </c>
      <c r="AX62" s="85"/>
      <c r="AY62" s="85"/>
      <c r="AZ62" s="85"/>
      <c r="BA62" s="85" t="str">
        <f>IFERROR(__xludf.DUMMYFUNCTION("""COMPUTED_VALUE"""),"ADA")</f>
        <v>ADA</v>
      </c>
      <c r="BB62" s="85" t="str">
        <f>IFERROR(__xludf.DUMMYFUNCTION("""COMPUTED_VALUE"""),"ADA")</f>
        <v>ADA</v>
      </c>
      <c r="BC62" s="85" t="str">
        <f>IFERROR(__xludf.DUMMYFUNCTION("""COMPUTED_VALUE"""),"ADA")</f>
        <v>ADA</v>
      </c>
      <c r="BD62" s="85" t="str">
        <f>IFERROR(__xludf.DUMMYFUNCTION("""COMPUTED_VALUE"""),"ADA")</f>
        <v>ADA</v>
      </c>
      <c r="BE62" s="85" t="str">
        <f>IFERROR(__xludf.DUMMYFUNCTION("""COMPUTED_VALUE"""),"ADA")</f>
        <v>ADA</v>
      </c>
      <c r="BF62" s="85" t="str">
        <f>IFERROR(__xludf.DUMMYFUNCTION("""COMPUTED_VALUE"""),"ADA")</f>
        <v>ADA</v>
      </c>
      <c r="BG62" s="85" t="str">
        <f>IFERROR(__xludf.DUMMYFUNCTION("""COMPUTED_VALUE"""),"ADA")</f>
        <v>ADA</v>
      </c>
      <c r="BH62" s="85"/>
      <c r="BI62" s="85" t="str">
        <f>IFERROR(__xludf.DUMMYFUNCTION("""COMPUTED_VALUE"""),"ADA")</f>
        <v>ADA</v>
      </c>
      <c r="BJ62" s="85"/>
      <c r="BK62" s="85"/>
      <c r="BL62" s="85"/>
      <c r="BM62" s="85"/>
      <c r="BN62" s="85"/>
      <c r="BO62" s="85"/>
      <c r="BP62" s="85"/>
      <c r="BQ62" s="85"/>
      <c r="BR62" s="85"/>
      <c r="BS62" s="85"/>
      <c r="BT62" s="85"/>
      <c r="BU62" s="85"/>
      <c r="BV62" s="85" t="str">
        <f>IFERROR(__xludf.DUMMYFUNCTION("""COMPUTED_VALUE"""),"Dk. Karangboyo Rt 002 Rw 001 Kel. Karangnongko Kec. Karangnongko Kab. Klaten 57483")</f>
        <v>Dk. Karangboyo Rt 002 Rw 001 Kel. Karangnongko Kec. Karangnongko Kab. Klaten 57483</v>
      </c>
      <c r="BW62" s="85"/>
      <c r="BX62" s="85"/>
      <c r="BY62" s="85"/>
      <c r="BZ62" s="85"/>
      <c r="CA62" s="85"/>
      <c r="CB62" s="85"/>
      <c r="CC62" s="85"/>
      <c r="CD62" s="85"/>
      <c r="CE62" s="85"/>
      <c r="CF62" s="85"/>
      <c r="CG62" s="85"/>
      <c r="CH62" s="85"/>
      <c r="CI62" s="85"/>
      <c r="CJ62" s="85"/>
      <c r="CK62" s="2"/>
    </row>
    <row r="63" ht="12.75" customHeight="1">
      <c r="A63" s="80">
        <f>IFERROR(__xludf.DUMMYFUNCTION("""COMPUTED_VALUE"""),60.0)</f>
        <v>60</v>
      </c>
      <c r="B63" s="80" t="str">
        <f>IFERROR(__xludf.DUMMYFUNCTION("""COMPUTED_VALUE"""),"19 NOPEMBER 2022")</f>
        <v>19 NOPEMBER 2022</v>
      </c>
      <c r="C63" s="80" t="str">
        <f>IFERROR(__xludf.DUMMYFUNCTION("""COMPUTED_VALUE"""),"19 NOPEMBER 2022")</f>
        <v>19 NOPEMBER 2022</v>
      </c>
      <c r="D63" s="81"/>
      <c r="E63" s="82"/>
      <c r="F63" s="80"/>
      <c r="G63" s="81"/>
      <c r="H63" s="80"/>
      <c r="I63" s="80"/>
      <c r="J63" s="80"/>
      <c r="K63" s="80"/>
      <c r="L63" s="80"/>
      <c r="M63" s="80"/>
      <c r="N63" s="80"/>
      <c r="O63" s="80"/>
      <c r="P63" s="80" t="str">
        <f>IFERROR(__xludf.DUMMYFUNCTION("""COMPUTED_VALUE"""),"52BSPA07272JTWWK")</f>
        <v>52BSPA07272JTWWK</v>
      </c>
      <c r="Q63" s="80"/>
      <c r="R63" s="80" t="str">
        <f>IFERROR(__xludf.DUMMYFUNCTION("""COMPUTED_VALUE"""),"DINA CELL")</f>
        <v>DINA CELL</v>
      </c>
      <c r="S63" s="80" t="str">
        <f>IFERROR(__xludf.DUMMYFUNCTION("""COMPUTED_VALUE"""),"ACHMAD DANNY FATCHANI")</f>
        <v>ACHMAD DANNY FATCHANI</v>
      </c>
      <c r="T63" s="80" t="str">
        <f>IFERROR(__xludf.DUMMYFUNCTION("""COMPUTED_VALUE"""),"JL. HOS COKROAMINOTO 44 RT 039 RW 008 KEL. PAKUNCEN KEC. WIROBRAJAN YOGYAKARTA 55253")</f>
        <v>JL. HOS COKROAMINOTO 44 RT 039 RW 008 KEL. PAKUNCEN KEC. WIROBRAJAN YOGYAKARTA 55253</v>
      </c>
      <c r="U63" s="80" t="str">
        <f>IFERROR(__xludf.DUMMYFUNCTION("""COMPUTED_VALUE"""),"JL. HOS COKROAMINOTO 44")</f>
        <v>JL. HOS COKROAMINOTO 44</v>
      </c>
      <c r="V63" s="80" t="str">
        <f>IFERROR(__xludf.DUMMYFUNCTION("""COMPUTED_VALUE"""),"039/008")</f>
        <v>039/008</v>
      </c>
      <c r="W63" s="80" t="str">
        <f>IFERROR(__xludf.DUMMYFUNCTION("""COMPUTED_VALUE"""),"PAKUNCEN")</f>
        <v>PAKUNCEN</v>
      </c>
      <c r="X63" s="80" t="str">
        <f>IFERROR(__xludf.DUMMYFUNCTION("""COMPUTED_VALUE"""),"WIROBRAJAN")</f>
        <v>WIROBRAJAN</v>
      </c>
      <c r="Y63" s="80" t="str">
        <f>IFERROR(__xludf.DUMMYFUNCTION("""COMPUTED_VALUE"""),"YOGYAKARTA")</f>
        <v>YOGYAKARTA</v>
      </c>
      <c r="Z63" s="80" t="str">
        <f>IFERROR(__xludf.DUMMYFUNCTION("""COMPUTED_VALUE"""),"D.I YOGYAKARTA")</f>
        <v>D.I YOGYAKARTA</v>
      </c>
      <c r="AA63" s="80" t="str">
        <f>IFERROR(__xludf.DUMMYFUNCTION("""COMPUTED_VALUE"""),"55253")</f>
        <v>55253</v>
      </c>
      <c r="AB63" s="80" t="str">
        <f>IFERROR(__xludf.DUMMYFUNCTION("""COMPUTED_VALUE"""),"3471071603820003")</f>
        <v>3471071603820003</v>
      </c>
      <c r="AC63" s="80" t="str">
        <f>IFERROR(__xludf.DUMMYFUNCTION("""COMPUTED_VALUE"""),"96.862.995.6-541.000")</f>
        <v>96.862.995.6-541.000</v>
      </c>
      <c r="AD63" s="80"/>
      <c r="AE63" s="80" t="str">
        <f>IFERROR(__xludf.DUMMYFUNCTION("""COMPUTED_VALUE"""),"BAYU KANEKO")</f>
        <v>BAYU KANEKO</v>
      </c>
      <c r="AF63" s="80" t="str">
        <f>IFERROR(__xludf.DUMMYFUNCTION("""COMPUTED_VALUE"""),"0813 9311 3126")</f>
        <v>0813 9311 3126</v>
      </c>
      <c r="AG63" s="80" t="str">
        <f>IFERROR(__xludf.DUMMYFUNCTION("""COMPUTED_VALUE"""),"0813 9311 3126")</f>
        <v>0813 9311 3126</v>
      </c>
      <c r="AH63" s="80" t="str">
        <f>IFERROR(__xludf.DUMMYFUNCTION("""COMPUTED_VALUE"""),"dannyfatchani@gmail.com")</f>
        <v>dannyfatchani@gmail.com</v>
      </c>
      <c r="AI63" s="80"/>
      <c r="AJ63" s="80"/>
      <c r="AK63" s="80"/>
      <c r="AL63" s="80"/>
      <c r="AM63" s="80" t="str">
        <f>IFERROR(__xludf.DUMMYFUNCTION("""COMPUTED_VALUE"""),"KANTOR REGIONAL IV SEMARANG 50004")</f>
        <v>KANTOR REGIONAL IV SEMARANG 50004</v>
      </c>
      <c r="AN63" s="80" t="str">
        <f>IFERROR(__xludf.DUMMYFUNCTION("""COMPUTED_VALUE"""),"POS WIROBRAJAN")</f>
        <v>POS WIROBRAJAN</v>
      </c>
      <c r="AO63" s="80" t="str">
        <f>IFERROR(__xludf.DUMMYFUNCTION("""COMPUTED_VALUE"""),"1511220056799")</f>
        <v>1511220056799</v>
      </c>
      <c r="AP63" s="80" t="str">
        <f>IFERROR(__xludf.DUMMYFUNCTION("""COMPUTED_VALUE"""),"53202 ( AKTIFITAS AGEN KURIR )")</f>
        <v>53202 ( AKTIFITAS AGEN KURIR )</v>
      </c>
      <c r="AQ63" s="83"/>
      <c r="AR63" s="80"/>
      <c r="AS63" s="80"/>
      <c r="AT63" s="80" t="str">
        <f>IFERROR(__xludf.DUMMYFUNCTION("""COMPUTED_VALUE"""),"-77,976,175")</f>
        <v>-77,976,175</v>
      </c>
      <c r="AU63" s="80" t="str">
        <f>IFERROR(__xludf.DUMMYFUNCTION("""COMPUTED_VALUE"""),"1,103,503,446")</f>
        <v>1,103,503,446</v>
      </c>
      <c r="AV63" s="80" t="str">
        <f>IFERROR(__xludf.DUMMYFUNCTION("""COMPUTED_VALUE"""),"ADA")</f>
        <v>ADA</v>
      </c>
      <c r="AW63" s="80" t="str">
        <f>IFERROR(__xludf.DUMMYFUNCTION("""COMPUTED_VALUE"""),"ADA")</f>
        <v>ADA</v>
      </c>
      <c r="AX63" s="80"/>
      <c r="AY63" s="80"/>
      <c r="AZ63" s="80"/>
      <c r="BA63" s="80" t="str">
        <f>IFERROR(__xludf.DUMMYFUNCTION("""COMPUTED_VALUE"""),"ADA")</f>
        <v>ADA</v>
      </c>
      <c r="BB63" s="80" t="str">
        <f>IFERROR(__xludf.DUMMYFUNCTION("""COMPUTED_VALUE"""),"ADA")</f>
        <v>ADA</v>
      </c>
      <c r="BC63" s="80" t="str">
        <f>IFERROR(__xludf.DUMMYFUNCTION("""COMPUTED_VALUE"""),"ADA")</f>
        <v>ADA</v>
      </c>
      <c r="BD63" s="80" t="str">
        <f>IFERROR(__xludf.DUMMYFUNCTION("""COMPUTED_VALUE"""),"ADA")</f>
        <v>ADA</v>
      </c>
      <c r="BE63" s="80" t="str">
        <f>IFERROR(__xludf.DUMMYFUNCTION("""COMPUTED_VALUE"""),"ADA")</f>
        <v>ADA</v>
      </c>
      <c r="BF63" s="80" t="str">
        <f>IFERROR(__xludf.DUMMYFUNCTION("""COMPUTED_VALUE"""),"ADA")</f>
        <v>ADA</v>
      </c>
      <c r="BG63" s="80" t="str">
        <f>IFERROR(__xludf.DUMMYFUNCTION("""COMPUTED_VALUE"""),"ADA")</f>
        <v>ADA</v>
      </c>
      <c r="BH63" s="80"/>
      <c r="BI63" s="80"/>
      <c r="BJ63" s="80"/>
      <c r="BK63" s="80"/>
      <c r="BL63" s="80"/>
      <c r="BM63" s="80"/>
      <c r="BN63" s="80"/>
      <c r="BO63" s="80"/>
      <c r="BP63" s="80"/>
      <c r="BQ63" s="80"/>
      <c r="BR63" s="80"/>
      <c r="BS63" s="80"/>
      <c r="BT63" s="80"/>
      <c r="BU63" s="80"/>
      <c r="BV63" s="80"/>
      <c r="BW63" s="80"/>
      <c r="BX63" s="80"/>
      <c r="BY63" s="80"/>
      <c r="BZ63" s="80"/>
      <c r="CA63" s="80"/>
      <c r="CB63" s="80"/>
      <c r="CC63" s="80"/>
      <c r="CD63" s="80"/>
      <c r="CE63" s="80"/>
      <c r="CF63" s="80"/>
      <c r="CG63" s="80"/>
      <c r="CH63" s="80"/>
      <c r="CI63" s="80"/>
      <c r="CJ63" s="80"/>
      <c r="CK63" s="2"/>
    </row>
    <row r="64" ht="12.75" customHeight="1">
      <c r="A64" s="85">
        <f>IFERROR(__xludf.DUMMYFUNCTION("""COMPUTED_VALUE"""),61.0)</f>
        <v>61</v>
      </c>
      <c r="B64" s="85" t="str">
        <f>IFERROR(__xludf.DUMMYFUNCTION("""COMPUTED_VALUE"""),"1 DESEMBER 2022")</f>
        <v>1 DESEMBER 2022</v>
      </c>
      <c r="C64" s="85" t="str">
        <f>IFERROR(__xludf.DUMMYFUNCTION("""COMPUTED_VALUE"""),"1 DESEMBER 2022")</f>
        <v>1 DESEMBER 2022</v>
      </c>
      <c r="D64" s="86"/>
      <c r="E64" s="88"/>
      <c r="F64" s="85" t="str">
        <f>IFERROR(__xludf.DUMMYFUNCTION("""COMPUTED_VALUE"""),"11 DESEMBER 2022")</f>
        <v>11 DESEMBER 2022</v>
      </c>
      <c r="G64" s="86">
        <f>IFERROR(__xludf.DUMMYFUNCTION("""COMPUTED_VALUE"""),44907.0)</f>
        <v>44907</v>
      </c>
      <c r="H64" s="85"/>
      <c r="I64" s="85"/>
      <c r="J64" s="85"/>
      <c r="K64" s="85"/>
      <c r="L64" s="85"/>
      <c r="M64" s="85"/>
      <c r="N64" s="85"/>
      <c r="O64" s="85"/>
      <c r="P64" s="85" t="str">
        <f>IFERROR(__xludf.DUMMYFUNCTION("""COMPUTED_VALUE"""),"KH3BSPA26224JBAB")</f>
        <v>KH3BSPA26224JBAB</v>
      </c>
      <c r="Q64" s="85" t="str">
        <f>IFERROR(__xludf.DUMMYFUNCTION("""COMPUTED_VALUE"""),"LOKET SATIA")</f>
        <v>LOKET SATIA</v>
      </c>
      <c r="R64" s="85" t="str">
        <f>IFERROR(__xludf.DUMMYFUNCTION("""COMPUTED_VALUE"""),"LOKET SATIA")</f>
        <v>LOKET SATIA</v>
      </c>
      <c r="S64" s="85" t="str">
        <f>IFERROR(__xludf.DUMMYFUNCTION("""COMPUTED_VALUE"""),"Wawan Kuswanda")</f>
        <v>Wawan Kuswanda</v>
      </c>
      <c r="T64" s="85" t="str">
        <f>IFERROR(__xludf.DUMMYFUNCTION("""COMPUTED_VALUE"""),"Kp. Pakemitan 1 Rt 005 Rw 003 Kel. Pakemitan Kec. Cikatomas Kab. Tasik 46193")</f>
        <v>Kp. Pakemitan 1 Rt 005 Rw 003 Kel. Pakemitan Kec. Cikatomas Kab. Tasik 46193</v>
      </c>
      <c r="U64" s="85" t="str">
        <f>IFERROR(__xludf.DUMMYFUNCTION("""COMPUTED_VALUE"""),"JL. RAYA CIKATOMAS NO. 211")</f>
        <v>JL. RAYA CIKATOMAS NO. 211</v>
      </c>
      <c r="V64" s="85" t="str">
        <f>IFERROR(__xludf.DUMMYFUNCTION("""COMPUTED_VALUE"""),"005/003")</f>
        <v>005/003</v>
      </c>
      <c r="W64" s="85" t="str">
        <f>IFERROR(__xludf.DUMMYFUNCTION("""COMPUTED_VALUE"""),"PAKEMITAN ")</f>
        <v>PAKEMITAN </v>
      </c>
      <c r="X64" s="85" t="str">
        <f>IFERROR(__xludf.DUMMYFUNCTION("""COMPUTED_VALUE"""),"CIKATOMAS")</f>
        <v>CIKATOMAS</v>
      </c>
      <c r="Y64" s="85" t="str">
        <f>IFERROR(__xludf.DUMMYFUNCTION("""COMPUTED_VALUE"""),"KAB. TASIKMALAYA")</f>
        <v>KAB. TASIKMALAYA</v>
      </c>
      <c r="Z64" s="85" t="str">
        <f>IFERROR(__xludf.DUMMYFUNCTION("""COMPUTED_VALUE"""),"JAWA BARAT")</f>
        <v>JAWA BARAT</v>
      </c>
      <c r="AA64" s="85" t="str">
        <f>IFERROR(__xludf.DUMMYFUNCTION("""COMPUTED_VALUE"""),"46193")</f>
        <v>46193</v>
      </c>
      <c r="AB64" s="85" t="str">
        <f>IFERROR(__xludf.DUMMYFUNCTION("""COMPUTED_VALUE"""),"3206053105650001")</f>
        <v>3206053105650001</v>
      </c>
      <c r="AC64" s="85" t="str">
        <f>IFERROR(__xludf.DUMMYFUNCTION("""COMPUTED_VALUE"""),"26.975.259.8-425.000")</f>
        <v>26.975.259.8-425.000</v>
      </c>
      <c r="AD64" s="85" t="str">
        <f>IFERROR(__xludf.DUMMYFUNCTION("""COMPUTED_VALUE"""),"CUM - ABD")</f>
        <v>CUM - ABD</v>
      </c>
      <c r="AE64" s="85" t="str">
        <f>IFERROR(__xludf.DUMMYFUNCTION("""COMPUTED_VALUE"""),"SUB ABDUL QODIR")</f>
        <v>SUB ABDUL QODIR</v>
      </c>
      <c r="AF64" s="85" t="str">
        <f>IFERROR(__xludf.DUMMYFUNCTION("""COMPUTED_VALUE"""),"085231477277")</f>
        <v>085231477277</v>
      </c>
      <c r="AG64" s="85" t="str">
        <f>IFERROR(__xludf.DUMMYFUNCTION("""COMPUTED_VALUE"""),"085231477277")</f>
        <v>085231477277</v>
      </c>
      <c r="AH64" s="85" t="str">
        <f>IFERROR(__xludf.DUMMYFUNCTION("""COMPUTED_VALUE"""),"rikoca88@gmail.com")</f>
        <v>rikoca88@gmail.com</v>
      </c>
      <c r="AI64" s="85" t="str">
        <f>IFERROR(__xludf.DUMMYFUNCTION("""COMPUTED_VALUE"""),"46493S1")</f>
        <v>46493S1</v>
      </c>
      <c r="AJ64" s="85" t="str">
        <f>IFERROR(__xludf.DUMMYFUNCTION("""COMPUTED_VALUE"""),"6391f87c1ea0ed3f8631dff7")</f>
        <v>6391f87c1ea0ed3f8631dff7</v>
      </c>
      <c r="AK64" s="85" t="str">
        <f>IFERROR(__xludf.DUMMYFUNCTION("""COMPUTED_VALUE"""),"dm46493S1")</f>
        <v>dm46493S1</v>
      </c>
      <c r="AL64" s="85" t="str">
        <f>IFERROR(__xludf.DUMMYFUNCTION("""COMPUTED_VALUE"""),"password")</f>
        <v>password</v>
      </c>
      <c r="AM64" s="85"/>
      <c r="AN64" s="85" t="str">
        <f>IFERROR(__xludf.DUMMYFUNCTION("""COMPUTED_VALUE"""),"POS CIKATOMAS")</f>
        <v>POS CIKATOMAS</v>
      </c>
      <c r="AO64" s="85" t="str">
        <f>IFERROR(__xludf.DUMMYFUNCTION("""COMPUTED_VALUE"""),"0112220009506")</f>
        <v>0112220009506</v>
      </c>
      <c r="AP64" s="85" t="str">
        <f>IFERROR(__xludf.DUMMYFUNCTION("""COMPUTED_VALUE"""),"53202 ( AKTIFITAS AGEN KURIR )")</f>
        <v>53202 ( AKTIFITAS AGEN KURIR )</v>
      </c>
      <c r="AQ64" s="93"/>
      <c r="AR64" s="85"/>
      <c r="AS64" s="85"/>
      <c r="AT64" s="85" t="str">
        <f>IFERROR(__xludf.DUMMYFUNCTION("""COMPUTED_VALUE"""),"-76227765")</f>
        <v>-76227765</v>
      </c>
      <c r="AU64" s="85" t="str">
        <f>IFERROR(__xludf.DUMMYFUNCTION("""COMPUTED_VALUE"""),"1082579365")</f>
        <v>1082579365</v>
      </c>
      <c r="AV64" s="85" t="str">
        <f>IFERROR(__xludf.DUMMYFUNCTION("""COMPUTED_VALUE"""),"ADA")</f>
        <v>ADA</v>
      </c>
      <c r="AW64" s="85" t="str">
        <f>IFERROR(__xludf.DUMMYFUNCTION("""COMPUTED_VALUE"""),"ADA")</f>
        <v>ADA</v>
      </c>
      <c r="AX64" s="85"/>
      <c r="AY64" s="85"/>
      <c r="AZ64" s="85"/>
      <c r="BA64" s="85" t="str">
        <f>IFERROR(__xludf.DUMMYFUNCTION("""COMPUTED_VALUE"""),"ADA")</f>
        <v>ADA</v>
      </c>
      <c r="BB64" s="85" t="str">
        <f>IFERROR(__xludf.DUMMYFUNCTION("""COMPUTED_VALUE"""),"ADA")</f>
        <v>ADA</v>
      </c>
      <c r="BC64" s="85" t="str">
        <f>IFERROR(__xludf.DUMMYFUNCTION("""COMPUTED_VALUE"""),"ADA")</f>
        <v>ADA</v>
      </c>
      <c r="BD64" s="85" t="str">
        <f>IFERROR(__xludf.DUMMYFUNCTION("""COMPUTED_VALUE"""),"ADA")</f>
        <v>ADA</v>
      </c>
      <c r="BE64" s="85" t="str">
        <f>IFERROR(__xludf.DUMMYFUNCTION("""COMPUTED_VALUE"""),"ADA")</f>
        <v>ADA</v>
      </c>
      <c r="BF64" s="85" t="str">
        <f>IFERROR(__xludf.DUMMYFUNCTION("""COMPUTED_VALUE"""),"ADA")</f>
        <v>ADA</v>
      </c>
      <c r="BG64" s="85" t="str">
        <f>IFERROR(__xludf.DUMMYFUNCTION("""COMPUTED_VALUE"""),"ADA")</f>
        <v>ADA</v>
      </c>
      <c r="BH64" s="85"/>
      <c r="BI64" s="85"/>
      <c r="BJ64" s="85"/>
      <c r="BK64" s="85"/>
      <c r="BL64" s="85"/>
      <c r="BM64" s="85"/>
      <c r="BN64" s="85"/>
      <c r="BO64" s="85"/>
      <c r="BP64" s="85"/>
      <c r="BQ64" s="85"/>
      <c r="BR64" s="85"/>
      <c r="BS64" s="85"/>
      <c r="BT64" s="85"/>
      <c r="BU64" s="85"/>
      <c r="BV64" s="85" t="str">
        <f>IFERROR(__xludf.DUMMYFUNCTION("""COMPUTED_VALUE"""),"Kp. Pakemitan 1 Rt 005 Rw 003 Kel. Pakemitan Kec. Cikatomas Kab. Tasik 46193")</f>
        <v>Kp. Pakemitan 1 Rt 005 Rw 003 Kel. Pakemitan Kec. Cikatomas Kab. Tasik 46193</v>
      </c>
      <c r="BW64" s="85"/>
      <c r="BX64" s="85"/>
      <c r="BY64" s="85"/>
      <c r="BZ64" s="85"/>
      <c r="CA64" s="85"/>
      <c r="CB64" s="85"/>
      <c r="CC64" s="85"/>
      <c r="CD64" s="85"/>
      <c r="CE64" s="85"/>
      <c r="CF64" s="85"/>
      <c r="CG64" s="85"/>
      <c r="CH64" s="85"/>
      <c r="CI64" s="85"/>
      <c r="CJ64" s="85"/>
      <c r="CK64" s="2"/>
    </row>
    <row r="65" ht="12.75" customHeight="1">
      <c r="A65" s="80">
        <f>IFERROR(__xludf.DUMMYFUNCTION("""COMPUTED_VALUE"""),62.0)</f>
        <v>62</v>
      </c>
      <c r="B65" s="80" t="str">
        <f>IFERROR(__xludf.DUMMYFUNCTION("""COMPUTED_VALUE"""),"1 DESEMBER 2022")</f>
        <v>1 DESEMBER 2022</v>
      </c>
      <c r="C65" s="80" t="str">
        <f>IFERROR(__xludf.DUMMYFUNCTION("""COMPUTED_VALUE"""),"1 DESEMBER 2022")</f>
        <v>1 DESEMBER 2022</v>
      </c>
      <c r="D65" s="81"/>
      <c r="E65" s="82"/>
      <c r="F65" s="80" t="str">
        <f>IFERROR(__xludf.DUMMYFUNCTION("""COMPUTED_VALUE"""),"11 DESEMBER 2022")</f>
        <v>11 DESEMBER 2022</v>
      </c>
      <c r="G65" s="81">
        <f>IFERROR(__xludf.DUMMYFUNCTION("""COMPUTED_VALUE"""),44907.0)</f>
        <v>44907</v>
      </c>
      <c r="H65" s="80"/>
      <c r="I65" s="80" t="str">
        <f>IFERROR(__xludf.DUMMYFUNCTION("""COMPUTED_VALUE"""),"25 DESEMBER 2022")</f>
        <v>25 DESEMBER 2022</v>
      </c>
      <c r="J65" s="80" t="str">
        <f>IFERROR(__xludf.DUMMYFUNCTION("""COMPUTED_VALUE"""),"26 DESEMBER 2022")</f>
        <v>26 DESEMBER 2022</v>
      </c>
      <c r="K65" s="80"/>
      <c r="L65" s="80"/>
      <c r="M65" s="80"/>
      <c r="N65" s="80"/>
      <c r="O65" s="80"/>
      <c r="P65" s="80" t="str">
        <f>IFERROR(__xludf.DUMMYFUNCTION("""COMPUTED_VALUE"""),"53BSPA25132JBREN")</f>
        <v>53BSPA25132JBREN</v>
      </c>
      <c r="Q65" s="80" t="str">
        <f>IFERROR(__xludf.DUMMYFUNCTION("""COMPUTED_VALUE"""),"WAN ANEKA PLASTIK")</f>
        <v>WAN ANEKA PLASTIK</v>
      </c>
      <c r="R65" s="80" t="str">
        <f>IFERROR(__xludf.DUMMYFUNCTION("""COMPUTED_VALUE"""),"WAN ANEKA PLASTIK")</f>
        <v>WAN ANEKA PLASTIK</v>
      </c>
      <c r="S65" s="80" t="str">
        <f>IFERROR(__xludf.DUMMYFUNCTION("""COMPUTED_VALUE"""),"Wawan Setiawan")</f>
        <v>Wawan Setiawan</v>
      </c>
      <c r="T65" s="80" t="str">
        <f>IFERROR(__xludf.DUMMYFUNCTION("""COMPUTED_VALUE"""),"Kp. Kramat Rt 001 Rw 005 Kel. Sukawali Kec. Pakuhaji Kab. Tangerang 15570")</f>
        <v>Kp. Kramat Rt 001 Rw 005 Kel. Sukawali Kec. Pakuhaji Kab. Tangerang 15570</v>
      </c>
      <c r="U65" s="80" t="str">
        <f>IFERROR(__xludf.DUMMYFUNCTION("""COMPUTED_VALUE"""),"KP. KRAMAT RT 001 RW 005 ")</f>
        <v>KP. KRAMAT RT 001 RW 005 </v>
      </c>
      <c r="V65" s="80" t="str">
        <f>IFERROR(__xludf.DUMMYFUNCTION("""COMPUTED_VALUE"""),"001/005")</f>
        <v>001/005</v>
      </c>
      <c r="W65" s="80" t="str">
        <f>IFERROR(__xludf.DUMMYFUNCTION("""COMPUTED_VALUE"""),"SUKAWAL")</f>
        <v>SUKAWAL</v>
      </c>
      <c r="X65" s="80" t="str">
        <f>IFERROR(__xludf.DUMMYFUNCTION("""COMPUTED_VALUE"""),"PAKUHAJI")</f>
        <v>PAKUHAJI</v>
      </c>
      <c r="Y65" s="80" t="str">
        <f>IFERROR(__xludf.DUMMYFUNCTION("""COMPUTED_VALUE"""),"KAB. TANGERANG")</f>
        <v>KAB. TANGERANG</v>
      </c>
      <c r="Z65" s="80" t="str">
        <f>IFERROR(__xludf.DUMMYFUNCTION("""COMPUTED_VALUE"""),"BANTEN")</f>
        <v>BANTEN</v>
      </c>
      <c r="AA65" s="80" t="str">
        <f>IFERROR(__xludf.DUMMYFUNCTION("""COMPUTED_VALUE"""),"15570")</f>
        <v>15570</v>
      </c>
      <c r="AB65" s="80" t="str">
        <f>IFERROR(__xludf.DUMMYFUNCTION("""COMPUTED_VALUE"""),"3603150205820011")</f>
        <v>3603150205820011</v>
      </c>
      <c r="AC65" s="80" t="str">
        <f>IFERROR(__xludf.DUMMYFUNCTION("""COMPUTED_VALUE"""),"54.559.828.6-418.000")</f>
        <v>54.559.828.6-418.000</v>
      </c>
      <c r="AD65" s="80" t="str">
        <f>IFERROR(__xludf.DUMMYFUNCTION("""COMPUTED_VALUE"""),"CUM - EEN")</f>
        <v>CUM - EEN</v>
      </c>
      <c r="AE65" s="80" t="str">
        <f>IFERROR(__xludf.DUMMYFUNCTION("""COMPUTED_VALUE"""),"SUB EEN")</f>
        <v>SUB EEN</v>
      </c>
      <c r="AF65" s="80" t="str">
        <f>IFERROR(__xludf.DUMMYFUNCTION("""COMPUTED_VALUE"""),"0815-1122-7728")</f>
        <v>0815-1122-7728</v>
      </c>
      <c r="AG65" s="80" t="str">
        <f>IFERROR(__xludf.DUMMYFUNCTION("""COMPUTED_VALUE"""),"0815-1122-7728")</f>
        <v>0815-1122-7728</v>
      </c>
      <c r="AH65" s="80" t="str">
        <f>IFERROR(__xludf.DUMMYFUNCTION("""COMPUTED_VALUE"""),"Wan36@ymail.com")</f>
        <v>Wan36@ymail.com</v>
      </c>
      <c r="AI65" s="80" t="str">
        <f>IFERROR(__xludf.DUMMYFUNCTION("""COMPUTED_VALUE"""),"15577S1")</f>
        <v>15577S1</v>
      </c>
      <c r="AJ65" s="80" t="str">
        <f>IFERROR(__xludf.DUMMYFUNCTION("""COMPUTED_VALUE"""),"6390381366acc15d1a56fd46")</f>
        <v>6390381366acc15d1a56fd46</v>
      </c>
      <c r="AK65" s="80" t="str">
        <f>IFERROR(__xludf.DUMMYFUNCTION("""COMPUTED_VALUE"""),"dm15577s1")</f>
        <v>dm15577s1</v>
      </c>
      <c r="AL65" s="80" t="str">
        <f>IFERROR(__xludf.DUMMYFUNCTION("""COMPUTED_VALUE"""),"password")</f>
        <v>password</v>
      </c>
      <c r="AM65" s="80"/>
      <c r="AN65" s="80" t="str">
        <f>IFERROR(__xludf.DUMMYFUNCTION("""COMPUTED_VALUE"""),"POS TELUKNAGA")</f>
        <v>POS TELUKNAGA</v>
      </c>
      <c r="AO65" s="80" t="str">
        <f>IFERROR(__xludf.DUMMYFUNCTION("""COMPUTED_VALUE"""),"0112220014298")</f>
        <v>0112220014298</v>
      </c>
      <c r="AP65" s="80" t="str">
        <f>IFERROR(__xludf.DUMMYFUNCTION("""COMPUTED_VALUE"""),"53202 ( AKTIFITAS AGEN KURIR )")</f>
        <v>53202 ( AKTIFITAS AGEN KURIR )</v>
      </c>
      <c r="AQ65" s="83"/>
      <c r="AR65" s="80"/>
      <c r="AS65" s="80"/>
      <c r="AT65" s="80" t="str">
        <f>IFERROR(__xludf.DUMMYFUNCTION("""COMPUTED_VALUE"""),"-60390084")</f>
        <v>-60390084</v>
      </c>
      <c r="AU65" s="80" t="str">
        <f>IFERROR(__xludf.DUMMYFUNCTION("""COMPUTED_VALUE"""),"1065505456")</f>
        <v>1065505456</v>
      </c>
      <c r="AV65" s="80" t="str">
        <f>IFERROR(__xludf.DUMMYFUNCTION("""COMPUTED_VALUE"""),"ADA")</f>
        <v>ADA</v>
      </c>
      <c r="AW65" s="80" t="str">
        <f>IFERROR(__xludf.DUMMYFUNCTION("""COMPUTED_VALUE"""),"ADA")</f>
        <v>ADA</v>
      </c>
      <c r="AX65" s="80"/>
      <c r="AY65" s="80"/>
      <c r="AZ65" s="80"/>
      <c r="BA65" s="80" t="str">
        <f>IFERROR(__xludf.DUMMYFUNCTION("""COMPUTED_VALUE"""),"ADA")</f>
        <v>ADA</v>
      </c>
      <c r="BB65" s="80" t="str">
        <f>IFERROR(__xludf.DUMMYFUNCTION("""COMPUTED_VALUE"""),"ADA")</f>
        <v>ADA</v>
      </c>
      <c r="BC65" s="80" t="str">
        <f>IFERROR(__xludf.DUMMYFUNCTION("""COMPUTED_VALUE"""),"ADA")</f>
        <v>ADA</v>
      </c>
      <c r="BD65" s="80" t="str">
        <f>IFERROR(__xludf.DUMMYFUNCTION("""COMPUTED_VALUE"""),"ADA")</f>
        <v>ADA</v>
      </c>
      <c r="BE65" s="80" t="str">
        <f>IFERROR(__xludf.DUMMYFUNCTION("""COMPUTED_VALUE"""),"ADA")</f>
        <v>ADA</v>
      </c>
      <c r="BF65" s="80" t="str">
        <f>IFERROR(__xludf.DUMMYFUNCTION("""COMPUTED_VALUE"""),"ADA")</f>
        <v>ADA</v>
      </c>
      <c r="BG65" s="80" t="str">
        <f>IFERROR(__xludf.DUMMYFUNCTION("""COMPUTED_VALUE"""),"ADA")</f>
        <v>ADA</v>
      </c>
      <c r="BH65" s="80"/>
      <c r="BI65" s="80"/>
      <c r="BJ65" s="80"/>
      <c r="BK65" s="80"/>
      <c r="BL65" s="80"/>
      <c r="BM65" s="80"/>
      <c r="BN65" s="80"/>
      <c r="BO65" s="80"/>
      <c r="BP65" s="80"/>
      <c r="BQ65" s="80"/>
      <c r="BR65" s="80"/>
      <c r="BS65" s="80"/>
      <c r="BT65" s="80"/>
      <c r="BU65" s="80"/>
      <c r="BV65" s="80" t="str">
        <f>IFERROR(__xludf.DUMMYFUNCTION("""COMPUTED_VALUE"""),"Kp. Kramat Rt 001 Rw 005 Kel. Sukawali Kec. Pakuhaji Kab. Tangerang 15570")</f>
        <v>Kp. Kramat Rt 001 Rw 005 Kel. Sukawali Kec. Pakuhaji Kab. Tangerang 15570</v>
      </c>
      <c r="BW65" s="80"/>
      <c r="BX65" s="80"/>
      <c r="BY65" s="80"/>
      <c r="BZ65" s="80"/>
      <c r="CA65" s="80"/>
      <c r="CB65" s="80"/>
      <c r="CC65" s="80"/>
      <c r="CD65" s="80"/>
      <c r="CE65" s="80"/>
      <c r="CF65" s="80"/>
      <c r="CG65" s="80"/>
      <c r="CH65" s="80"/>
      <c r="CI65" s="80"/>
      <c r="CJ65" s="80"/>
      <c r="CK65" s="2"/>
    </row>
    <row r="66" ht="12.75" customHeight="1">
      <c r="A66" s="85">
        <f>IFERROR(__xludf.DUMMYFUNCTION("""COMPUTED_VALUE"""),63.0)</f>
        <v>63</v>
      </c>
      <c r="B66" s="85" t="str">
        <f>IFERROR(__xludf.DUMMYFUNCTION("""COMPUTED_VALUE"""),"1 DESEMBER 2022")</f>
        <v>1 DESEMBER 2022</v>
      </c>
      <c r="C66" s="85" t="str">
        <f>IFERROR(__xludf.DUMMYFUNCTION("""COMPUTED_VALUE"""),"1 DESEMBER 2022")</f>
        <v>1 DESEMBER 2022</v>
      </c>
      <c r="D66" s="86"/>
      <c r="E66" s="88"/>
      <c r="F66" s="85"/>
      <c r="G66" s="86"/>
      <c r="H66" s="85"/>
      <c r="I66" s="85"/>
      <c r="J66" s="85"/>
      <c r="K66" s="85"/>
      <c r="L66" s="85"/>
      <c r="M66" s="85"/>
      <c r="N66" s="85"/>
      <c r="O66" s="85"/>
      <c r="P66" s="85" t="str">
        <f>IFERROR(__xludf.DUMMYFUNCTION("""COMPUTED_VALUE"""),"53BSPA29898JBHDT")</f>
        <v>53BSPA29898JBHDT</v>
      </c>
      <c r="Q66" s="85" t="str">
        <f>IFERROR(__xludf.DUMMYFUNCTION("""COMPUTED_VALUE"""),"LOKET NINA")</f>
        <v>LOKET NINA</v>
      </c>
      <c r="R66" s="85" t="str">
        <f>IFERROR(__xludf.DUMMYFUNCTION("""COMPUTED_VALUE"""),"LOKET NINA")</f>
        <v>LOKET NINA</v>
      </c>
      <c r="S66" s="85" t="str">
        <f>IFERROR(__xludf.DUMMYFUNCTION("""COMPUTED_VALUE"""),"Nina Daniyanti")</f>
        <v>Nina Daniyanti</v>
      </c>
      <c r="T66" s="85" t="str">
        <f>IFERROR(__xludf.DUMMYFUNCTION("""COMPUTED_VALUE"""),"Kp. Balekambang Rt 005 Rw 017 Kel. Sukamaju Kec. Majalaya Kab. Bandung 40392")</f>
        <v>Kp. Balekambang Rt 005 Rw 017 Kel. Sukamaju Kec. Majalaya Kab. Bandung 40392</v>
      </c>
      <c r="U66" s="85" t="str">
        <f>IFERROR(__xludf.DUMMYFUNCTION("""COMPUTED_VALUE"""),"KP. BALEKAMBANG")</f>
        <v>KP. BALEKAMBANG</v>
      </c>
      <c r="V66" s="85" t="str">
        <f>IFERROR(__xludf.DUMMYFUNCTION("""COMPUTED_VALUE"""),"005/017")</f>
        <v>005/017</v>
      </c>
      <c r="W66" s="85" t="str">
        <f>IFERROR(__xludf.DUMMYFUNCTION("""COMPUTED_VALUE"""),"SUKAMAJU")</f>
        <v>SUKAMAJU</v>
      </c>
      <c r="X66" s="85" t="str">
        <f>IFERROR(__xludf.DUMMYFUNCTION("""COMPUTED_VALUE"""),"MAJALAYA")</f>
        <v>MAJALAYA</v>
      </c>
      <c r="Y66" s="85" t="str">
        <f>IFERROR(__xludf.DUMMYFUNCTION("""COMPUTED_VALUE"""),"KAB. BANDUNG")</f>
        <v>KAB. BANDUNG</v>
      </c>
      <c r="Z66" s="85" t="str">
        <f>IFERROR(__xludf.DUMMYFUNCTION("""COMPUTED_VALUE"""),"JAWA BARAT")</f>
        <v>JAWA BARAT</v>
      </c>
      <c r="AA66" s="85" t="str">
        <f>IFERROR(__xludf.DUMMYFUNCTION("""COMPUTED_VALUE"""),"40392")</f>
        <v>40392</v>
      </c>
      <c r="AB66" s="85" t="str">
        <f>IFERROR(__xludf.DUMMYFUNCTION("""COMPUTED_VALUE"""),"320433491081004")</f>
        <v>320433491081004</v>
      </c>
      <c r="AC66" s="85" t="str">
        <f>IFERROR(__xludf.DUMMYFUNCTION("""COMPUTED_VALUE"""),"70.127.080.3-444.000")</f>
        <v>70.127.080.3-444.000</v>
      </c>
      <c r="AD66" s="85" t="str">
        <f>IFERROR(__xludf.DUMMYFUNCTION("""COMPUTED_VALUE"""),"CUM - HDT")</f>
        <v>CUM - HDT</v>
      </c>
      <c r="AE66" s="85" t="str">
        <f>IFERROR(__xludf.DUMMYFUNCTION("""COMPUTED_VALUE"""),"Sub Hidayat")</f>
        <v>Sub Hidayat</v>
      </c>
      <c r="AF66" s="85" t="str">
        <f>IFERROR(__xludf.DUMMYFUNCTION("""COMPUTED_VALUE"""),"62 877-2461-2069")</f>
        <v>62 877-2461-2069</v>
      </c>
      <c r="AG66" s="85" t="str">
        <f>IFERROR(__xludf.DUMMYFUNCTION("""COMPUTED_VALUE"""),"62 877-2461-2069")</f>
        <v>62 877-2461-2069</v>
      </c>
      <c r="AH66" s="85" t="str">
        <f>IFERROR(__xludf.DUMMYFUNCTION("""COMPUTED_VALUE"""),"ninaabc82@mail.com")</f>
        <v>ninaabc82@mail.com</v>
      </c>
      <c r="AI66" s="85"/>
      <c r="AJ66" s="85"/>
      <c r="AK66" s="85"/>
      <c r="AL66" s="85"/>
      <c r="AM66" s="85"/>
      <c r="AN66" s="85" t="str">
        <f>IFERROR(__xludf.DUMMYFUNCTION("""COMPUTED_VALUE"""),"POS MAJALAYA")</f>
        <v>POS MAJALAYA</v>
      </c>
      <c r="AO66" s="85" t="str">
        <f>IFERROR(__xludf.DUMMYFUNCTION("""COMPUTED_VALUE"""),"0112220056545")</f>
        <v>0112220056545</v>
      </c>
      <c r="AP66" s="85" t="str">
        <f>IFERROR(__xludf.DUMMYFUNCTION("""COMPUTED_VALUE"""),"53202 ( AKTIFITAS AGEN KURIR )")</f>
        <v>53202 ( AKTIFITAS AGEN KURIR )</v>
      </c>
      <c r="AQ66" s="93"/>
      <c r="AR66" s="85"/>
      <c r="AS66" s="85"/>
      <c r="AT66" s="85" t="str">
        <f>IFERROR(__xludf.DUMMYFUNCTION("""COMPUTED_VALUE"""),"-70,565,236")</f>
        <v>-70,565,236</v>
      </c>
      <c r="AU66" s="85" t="str">
        <f>IFERROR(__xludf.DUMMYFUNCTION("""COMPUTED_VALUE"""),"1,077,590,775")</f>
        <v>1,077,590,775</v>
      </c>
      <c r="AV66" s="85" t="str">
        <f>IFERROR(__xludf.DUMMYFUNCTION("""COMPUTED_VALUE"""),"ADA")</f>
        <v>ADA</v>
      </c>
      <c r="AW66" s="85" t="str">
        <f>IFERROR(__xludf.DUMMYFUNCTION("""COMPUTED_VALUE"""),"ADA")</f>
        <v>ADA</v>
      </c>
      <c r="AX66" s="85"/>
      <c r="AY66" s="85"/>
      <c r="AZ66" s="85"/>
      <c r="BA66" s="85" t="str">
        <f>IFERROR(__xludf.DUMMYFUNCTION("""COMPUTED_VALUE"""),"ADA")</f>
        <v>ADA</v>
      </c>
      <c r="BB66" s="85" t="str">
        <f>IFERROR(__xludf.DUMMYFUNCTION("""COMPUTED_VALUE"""),"ADA")</f>
        <v>ADA</v>
      </c>
      <c r="BC66" s="85" t="str">
        <f>IFERROR(__xludf.DUMMYFUNCTION("""COMPUTED_VALUE"""),"ADA")</f>
        <v>ADA</v>
      </c>
      <c r="BD66" s="85" t="str">
        <f>IFERROR(__xludf.DUMMYFUNCTION("""COMPUTED_VALUE"""),"ADA")</f>
        <v>ADA</v>
      </c>
      <c r="BE66" s="85" t="str">
        <f>IFERROR(__xludf.DUMMYFUNCTION("""COMPUTED_VALUE"""),"ADA")</f>
        <v>ADA</v>
      </c>
      <c r="BF66" s="85" t="str">
        <f>IFERROR(__xludf.DUMMYFUNCTION("""COMPUTED_VALUE"""),"ADA")</f>
        <v>ADA</v>
      </c>
      <c r="BG66" s="85" t="str">
        <f>IFERROR(__xludf.DUMMYFUNCTION("""COMPUTED_VALUE"""),"ADA")</f>
        <v>ADA</v>
      </c>
      <c r="BH66" s="85"/>
      <c r="BI66" s="85"/>
      <c r="BJ66" s="85"/>
      <c r="BK66" s="85"/>
      <c r="BL66" s="85"/>
      <c r="BM66" s="85"/>
      <c r="BN66" s="85"/>
      <c r="BO66" s="85"/>
      <c r="BP66" s="85"/>
      <c r="BQ66" s="85"/>
      <c r="BR66" s="85"/>
      <c r="BS66" s="85"/>
      <c r="BT66" s="85"/>
      <c r="BU66" s="85"/>
      <c r="BV66" s="85" t="str">
        <f>IFERROR(__xludf.DUMMYFUNCTION("""COMPUTED_VALUE"""),"Kp. Balekambang Rt 005 Rw 017 Kel. Sukamaju Kec. Majalaya Kab. Bandung 40392")</f>
        <v>Kp. Balekambang Rt 005 Rw 017 Kel. Sukamaju Kec. Majalaya Kab. Bandung 40392</v>
      </c>
      <c r="BW66" s="85"/>
      <c r="BX66" s="85"/>
      <c r="BY66" s="85"/>
      <c r="BZ66" s="85"/>
      <c r="CA66" s="85"/>
      <c r="CB66" s="85"/>
      <c r="CC66" s="85"/>
      <c r="CD66" s="85"/>
      <c r="CE66" s="85"/>
      <c r="CF66" s="85"/>
      <c r="CG66" s="85"/>
      <c r="CH66" s="85"/>
      <c r="CI66" s="85"/>
      <c r="CJ66" s="85"/>
      <c r="CK66" s="2"/>
    </row>
    <row r="67" ht="12.75" customHeight="1">
      <c r="A67" s="80">
        <f>IFERROR(__xludf.DUMMYFUNCTION("""COMPUTED_VALUE"""),64.0)</f>
        <v>64</v>
      </c>
      <c r="B67" s="80" t="str">
        <f>IFERROR(__xludf.DUMMYFUNCTION("""COMPUTED_VALUE"""),"5 DESEMBER 2022")</f>
        <v>5 DESEMBER 2022</v>
      </c>
      <c r="C67" s="80" t="str">
        <f>IFERROR(__xludf.DUMMYFUNCTION("""COMPUTED_VALUE"""),"5 DESEMBER 2022")</f>
        <v>5 DESEMBER 2022</v>
      </c>
      <c r="D67" s="81"/>
      <c r="E67" s="82"/>
      <c r="F67" s="80" t="str">
        <f>IFERROR(__xludf.DUMMYFUNCTION("""COMPUTED_VALUE"""),"21 DESEMBER 2022")</f>
        <v>21 DESEMBER 2022</v>
      </c>
      <c r="G67" s="81">
        <f>IFERROR(__xludf.DUMMYFUNCTION("""COMPUTED_VALUE"""),44916.0)</f>
        <v>44916</v>
      </c>
      <c r="H67" s="80"/>
      <c r="I67" s="80"/>
      <c r="J67" s="80"/>
      <c r="K67" s="80"/>
      <c r="L67" s="80"/>
      <c r="M67" s="80"/>
      <c r="N67" s="80"/>
      <c r="O67" s="80"/>
      <c r="P67" s="80" t="str">
        <f>IFERROR(__xludf.DUMMYFUNCTION("""COMPUTED_VALUE"""),"53BSPA06007JBABD")</f>
        <v>53BSPA06007JBABD</v>
      </c>
      <c r="Q67" s="80" t="str">
        <f>IFERROR(__xludf.DUMMYFUNCTION("""COMPUTED_VALUE"""),"TOKO FAHRI")</f>
        <v>TOKO FAHRI</v>
      </c>
      <c r="R67" s="80" t="str">
        <f>IFERROR(__xludf.DUMMYFUNCTION("""COMPUTED_VALUE"""),"TOKO FAHRI")</f>
        <v>TOKO FAHRI</v>
      </c>
      <c r="S67" s="80" t="str">
        <f>IFERROR(__xludf.DUMMYFUNCTION("""COMPUTED_VALUE"""),"Mashuri")</f>
        <v>Mashuri</v>
      </c>
      <c r="T67" s="80" t="str">
        <f>IFERROR(__xludf.DUMMYFUNCTION("""COMPUTED_VALUE"""),"Blok Jum'At Rt 019 Rw 009 Kel. Bantarwaru Kec. Ligung Kab. Majalengka 45456")</f>
        <v>Blok Jum'At Rt 019 Rw 009 Kel. Bantarwaru Kec. Ligung Kab. Majalengka 45456</v>
      </c>
      <c r="U67" s="80" t="str">
        <f>IFERROR(__xludf.DUMMYFUNCTION("""COMPUTED_VALUE"""),"BLOK JUM'AT RT 019 RW 009 KEL. BANTARWARU KEC. LIGUNG KAB. MAJALENGKA 45456")</f>
        <v>BLOK JUM'AT RT 019 RW 009 KEL. BANTARWARU KEC. LIGUNG KAB. MAJALENGKA 45456</v>
      </c>
      <c r="V67" s="80" t="str">
        <f>IFERROR(__xludf.DUMMYFUNCTION("""COMPUTED_VALUE"""),"019/009")</f>
        <v>019/009</v>
      </c>
      <c r="W67" s="80" t="str">
        <f>IFERROR(__xludf.DUMMYFUNCTION("""COMPUTED_VALUE"""),"BANTARWARU")</f>
        <v>BANTARWARU</v>
      </c>
      <c r="X67" s="80" t="str">
        <f>IFERROR(__xludf.DUMMYFUNCTION("""COMPUTED_VALUE"""),"LIGUNG")</f>
        <v>LIGUNG</v>
      </c>
      <c r="Y67" s="80" t="str">
        <f>IFERROR(__xludf.DUMMYFUNCTION("""COMPUTED_VALUE"""),"KAB. MAJALENGKA")</f>
        <v>KAB. MAJALENGKA</v>
      </c>
      <c r="Z67" s="80" t="str">
        <f>IFERROR(__xludf.DUMMYFUNCTION("""COMPUTED_VALUE"""),"JAWA BARAT")</f>
        <v>JAWA BARAT</v>
      </c>
      <c r="AA67" s="80" t="str">
        <f>IFERROR(__xludf.DUMMYFUNCTION("""COMPUTED_VALUE"""),"45456")</f>
        <v>45456</v>
      </c>
      <c r="AB67" s="80" t="str">
        <f>IFERROR(__xludf.DUMMYFUNCTION("""COMPUTED_VALUE"""),"3210161105690001")</f>
        <v>3210161105690001</v>
      </c>
      <c r="AC67" s="80" t="str">
        <f>IFERROR(__xludf.DUMMYFUNCTION("""COMPUTED_VALUE"""),"85.158.065.4-438.000")</f>
        <v>85.158.065.4-438.000</v>
      </c>
      <c r="AD67" s="80" t="str">
        <f>IFERROR(__xludf.DUMMYFUNCTION("""COMPUTED_VALUE"""),"CUM - ABD")</f>
        <v>CUM - ABD</v>
      </c>
      <c r="AE67" s="80" t="str">
        <f>IFERROR(__xludf.DUMMYFUNCTION("""COMPUTED_VALUE"""),"SUB ABDUL QODIR")</f>
        <v>SUB ABDUL QODIR</v>
      </c>
      <c r="AF67" s="80" t="str">
        <f>IFERROR(__xludf.DUMMYFUNCTION("""COMPUTED_VALUE"""),"085324330129")</f>
        <v>085324330129</v>
      </c>
      <c r="AG67" s="80" t="str">
        <f>IFERROR(__xludf.DUMMYFUNCTION("""COMPUTED_VALUE"""),"085324330129")</f>
        <v>085324330129</v>
      </c>
      <c r="AH67" s="80" t="str">
        <f>IFERROR(__xludf.DUMMYFUNCTION("""COMPUTED_VALUE"""),"megaalamraya@gmail.com")</f>
        <v>megaalamraya@gmail.com</v>
      </c>
      <c r="AI67" s="80" t="str">
        <f>IFERROR(__xludf.DUMMYFUNCTION("""COMPUTED_VALUE"""),"45456S2")</f>
        <v>45456S2</v>
      </c>
      <c r="AJ67" s="80" t="str">
        <f>IFERROR(__xludf.DUMMYFUNCTION("""COMPUTED_VALUE"""),"639973e00fa5241da51def83")</f>
        <v>639973e00fa5241da51def83</v>
      </c>
      <c r="AK67" s="80" t="str">
        <f>IFERROR(__xludf.DUMMYFUNCTION("""COMPUTED_VALUE"""),"dm45456s2")</f>
        <v>dm45456s2</v>
      </c>
      <c r="AL67" s="80" t="str">
        <f>IFERROR(__xludf.DUMMYFUNCTION("""COMPUTED_VALUE"""),"password")</f>
        <v>password</v>
      </c>
      <c r="AM67" s="80"/>
      <c r="AN67" s="80" t="str">
        <f>IFERROR(__xludf.DUMMYFUNCTION("""COMPUTED_VALUE"""),"POS LIGUNG")</f>
        <v>POS LIGUNG</v>
      </c>
      <c r="AO67" s="80" t="str">
        <f>IFERROR(__xludf.DUMMYFUNCTION("""COMPUTED_VALUE"""),"0512220046309")</f>
        <v>0512220046309</v>
      </c>
      <c r="AP67" s="80" t="str">
        <f>IFERROR(__xludf.DUMMYFUNCTION("""COMPUTED_VALUE"""),"53202 ( AKTIFITAS AGEN KURIR )")</f>
        <v>53202 ( AKTIFITAS AGEN KURIR )</v>
      </c>
      <c r="AQ67" s="83"/>
      <c r="AR67" s="80"/>
      <c r="AS67" s="80"/>
      <c r="AT67" s="80" t="str">
        <f>IFERROR(__xludf.DUMMYFUNCTION("""COMPUTED_VALUE"""),"-66525251")</f>
        <v>-66525251</v>
      </c>
      <c r="AU67" s="80" t="str">
        <f>IFERROR(__xludf.DUMMYFUNCTION("""COMPUTED_VALUE"""),"1082893825")</f>
        <v>1082893825</v>
      </c>
      <c r="AV67" s="80" t="str">
        <f>IFERROR(__xludf.DUMMYFUNCTION("""COMPUTED_VALUE"""),"ADA")</f>
        <v>ADA</v>
      </c>
      <c r="AW67" s="80" t="str">
        <f>IFERROR(__xludf.DUMMYFUNCTION("""COMPUTED_VALUE"""),"ADA")</f>
        <v>ADA</v>
      </c>
      <c r="AX67" s="80"/>
      <c r="AY67" s="80"/>
      <c r="AZ67" s="80"/>
      <c r="BA67" s="80" t="str">
        <f>IFERROR(__xludf.DUMMYFUNCTION("""COMPUTED_VALUE"""),"ADA")</f>
        <v>ADA</v>
      </c>
      <c r="BB67" s="80" t="str">
        <f>IFERROR(__xludf.DUMMYFUNCTION("""COMPUTED_VALUE"""),"ADA")</f>
        <v>ADA</v>
      </c>
      <c r="BC67" s="80" t="str">
        <f>IFERROR(__xludf.DUMMYFUNCTION("""COMPUTED_VALUE"""),"ADA")</f>
        <v>ADA</v>
      </c>
      <c r="BD67" s="80" t="str">
        <f>IFERROR(__xludf.DUMMYFUNCTION("""COMPUTED_VALUE"""),"ADA")</f>
        <v>ADA</v>
      </c>
      <c r="BE67" s="80" t="str">
        <f>IFERROR(__xludf.DUMMYFUNCTION("""COMPUTED_VALUE"""),"ADA")</f>
        <v>ADA</v>
      </c>
      <c r="BF67" s="80" t="str">
        <f>IFERROR(__xludf.DUMMYFUNCTION("""COMPUTED_VALUE"""),"ADA")</f>
        <v>ADA</v>
      </c>
      <c r="BG67" s="80" t="str">
        <f>IFERROR(__xludf.DUMMYFUNCTION("""COMPUTED_VALUE"""),"ADA")</f>
        <v>ADA</v>
      </c>
      <c r="BH67" s="80" t="str">
        <f>IFERROR(__xludf.DUMMYFUNCTION("""COMPUTED_VALUE"""),"ZJIANG")</f>
        <v>ZJIANG</v>
      </c>
      <c r="BI67" s="80" t="str">
        <f>IFERROR(__xludf.DUMMYFUNCTION("""COMPUTED_VALUE"""),"ADA")</f>
        <v>ADA</v>
      </c>
      <c r="BJ67" s="80" t="str">
        <f>IFERROR(__xludf.DUMMYFUNCTION("""COMPUTED_VALUE"""),"STICKER")</f>
        <v>STICKER</v>
      </c>
      <c r="BK67" s="80"/>
      <c r="BL67" s="80"/>
      <c r="BM67" s="80"/>
      <c r="BN67" s="80"/>
      <c r="BO67" s="80"/>
      <c r="BP67" s="80"/>
      <c r="BQ67" s="80"/>
      <c r="BR67" s="80"/>
      <c r="BS67" s="80"/>
      <c r="BT67" s="80"/>
      <c r="BU67" s="80"/>
      <c r="BV67" s="80" t="str">
        <f>IFERROR(__xludf.DUMMYFUNCTION("""COMPUTED_VALUE"""),"Blok Jum'At Rt 019 Rw 009 Kel. Bantarwaru Kec. Ligung Kab. Majalengka 45456")</f>
        <v>Blok Jum'At Rt 019 Rw 009 Kel. Bantarwaru Kec. Ligung Kab. Majalengka 45456</v>
      </c>
      <c r="BW67" s="80"/>
      <c r="BX67" s="80"/>
      <c r="BY67" s="80"/>
      <c r="BZ67" s="80"/>
      <c r="CA67" s="80"/>
      <c r="CB67" s="80"/>
      <c r="CC67" s="80"/>
      <c r="CD67" s="80"/>
      <c r="CE67" s="80"/>
      <c r="CF67" s="80"/>
      <c r="CG67" s="80"/>
      <c r="CH67" s="80"/>
      <c r="CI67" s="80"/>
      <c r="CJ67" s="80"/>
      <c r="CK67" s="2"/>
    </row>
    <row r="68" ht="12.75" customHeight="1">
      <c r="A68" s="85">
        <f>IFERROR(__xludf.DUMMYFUNCTION("""COMPUTED_VALUE"""),65.0)</f>
        <v>65</v>
      </c>
      <c r="B68" s="85" t="str">
        <f>IFERROR(__xludf.DUMMYFUNCTION("""COMPUTED_VALUE"""),"5 DESEMBER 2022")</f>
        <v>5 DESEMBER 2022</v>
      </c>
      <c r="C68" s="85" t="str">
        <f>IFERROR(__xludf.DUMMYFUNCTION("""COMPUTED_VALUE"""),"5 DESEMBER 2022")</f>
        <v>5 DESEMBER 2022</v>
      </c>
      <c r="D68" s="86"/>
      <c r="E68" s="88"/>
      <c r="F68" s="85"/>
      <c r="G68" s="86"/>
      <c r="H68" s="85"/>
      <c r="I68" s="85"/>
      <c r="J68" s="85"/>
      <c r="K68" s="85"/>
      <c r="L68" s="85"/>
      <c r="M68" s="85"/>
      <c r="N68" s="85"/>
      <c r="O68" s="85"/>
      <c r="P68" s="85" t="str">
        <f>IFERROR(__xludf.DUMMYFUNCTION("""COMPUTED_VALUE"""),"53BSPA16379JBCUM")</f>
        <v>53BSPA16379JBCUM</v>
      </c>
      <c r="Q68" s="85" t="str">
        <f>IFERROR(__xludf.DUMMYFUNCTION("""COMPUTED_VALUE"""),"~M ONLINE~")</f>
        <v>~M ONLINE~</v>
      </c>
      <c r="R68" s="85" t="str">
        <f>IFERROR(__xludf.DUMMYFUNCTION("""COMPUTED_VALUE"""),"~M ONLINE~")</f>
        <v>~M ONLINE~</v>
      </c>
      <c r="S68" s="85" t="str">
        <f>IFERROR(__xludf.DUMMYFUNCTION("""COMPUTED_VALUE"""),"Adnan Muharram")</f>
        <v>Adnan Muharram</v>
      </c>
      <c r="T68" s="85" t="str">
        <f>IFERROR(__xludf.DUMMYFUNCTION("""COMPUTED_VALUE"""),"Kp. Mulabaruk Rt 001 Rw 005 Kel. Sukawening Kec. Sukawening Garut 44184")</f>
        <v>Kp. Mulabaruk Rt 001 Rw 005 Kel. Sukawening Kec. Sukawening Garut 44184</v>
      </c>
      <c r="U68" s="85" t="str">
        <f>IFERROR(__xludf.DUMMYFUNCTION("""COMPUTED_VALUE"""),"KP. MULABARUK RT 001 RW 005 KEL. SUKAWENING KEC. SUKAWENING GARUT 44184")</f>
        <v>KP. MULABARUK RT 001 RW 005 KEL. SUKAWENING KEC. SUKAWENING GARUT 44184</v>
      </c>
      <c r="V68" s="85" t="str">
        <f>IFERROR(__xludf.DUMMYFUNCTION("""COMPUTED_VALUE"""),"001/005")</f>
        <v>001/005</v>
      </c>
      <c r="W68" s="85" t="str">
        <f>IFERROR(__xludf.DUMMYFUNCTION("""COMPUTED_VALUE"""),"SUKAWENING")</f>
        <v>SUKAWENING</v>
      </c>
      <c r="X68" s="85" t="str">
        <f>IFERROR(__xludf.DUMMYFUNCTION("""COMPUTED_VALUE"""),"SUKAWENING")</f>
        <v>SUKAWENING</v>
      </c>
      <c r="Y68" s="85" t="str">
        <f>IFERROR(__xludf.DUMMYFUNCTION("""COMPUTED_VALUE"""),"KAB. MAJALENGKA")</f>
        <v>KAB. MAJALENGKA</v>
      </c>
      <c r="Z68" s="85" t="str">
        <f>IFERROR(__xludf.DUMMYFUNCTION("""COMPUTED_VALUE"""),"JAWA BARAT")</f>
        <v>JAWA BARAT</v>
      </c>
      <c r="AA68" s="85" t="str">
        <f>IFERROR(__xludf.DUMMYFUNCTION("""COMPUTED_VALUE"""),"44184")</f>
        <v>44184</v>
      </c>
      <c r="AB68" s="85" t="str">
        <f>IFERROR(__xludf.DUMMYFUNCTION("""COMPUTED_VALUE"""),"3205151111810002")</f>
        <v>3205151111810002</v>
      </c>
      <c r="AC68" s="85" t="str">
        <f>IFERROR(__xludf.DUMMYFUNCTION("""COMPUTED_VALUE"""),"76.523.823.3-443.000")</f>
        <v>76.523.823.3-443.000</v>
      </c>
      <c r="AD68" s="85" t="str">
        <f>IFERROR(__xludf.DUMMYFUNCTION("""COMPUTED_VALUE"""),"CUM - NOV")</f>
        <v>CUM - NOV</v>
      </c>
      <c r="AE68" s="85" t="str">
        <f>IFERROR(__xludf.DUMMYFUNCTION("""COMPUTED_VALUE"""),"SUB NOVI")</f>
        <v>SUB NOVI</v>
      </c>
      <c r="AF68" s="85" t="str">
        <f>IFERROR(__xludf.DUMMYFUNCTION("""COMPUTED_VALUE"""),"0895-3563-74777")</f>
        <v>0895-3563-74777</v>
      </c>
      <c r="AG68" s="85" t="str">
        <f>IFERROR(__xludf.DUMMYFUNCTION("""COMPUTED_VALUE"""),"0895-3563-74777")</f>
        <v>0895-3563-74777</v>
      </c>
      <c r="AH68" s="85" t="str">
        <f>IFERROR(__xludf.DUMMYFUNCTION("""COMPUTED_VALUE"""),"adnanmuharram27@gmail.com")</f>
        <v>adnanmuharram27@gmail.com</v>
      </c>
      <c r="AI68" s="85"/>
      <c r="AJ68" s="85"/>
      <c r="AK68" s="85"/>
      <c r="AL68" s="85"/>
      <c r="AM68" s="85"/>
      <c r="AN68" s="85" t="str">
        <f>IFERROR(__xludf.DUMMYFUNCTION("""COMPUTED_VALUE"""),"POS SUKAWENING")</f>
        <v>POS SUKAWENING</v>
      </c>
      <c r="AO68" s="85" t="str">
        <f>IFERROR(__xludf.DUMMYFUNCTION("""COMPUTED_VALUE"""),"0512220051656")</f>
        <v>0512220051656</v>
      </c>
      <c r="AP68" s="85" t="str">
        <f>IFERROR(__xludf.DUMMYFUNCTION("""COMPUTED_VALUE"""),"53202 ( AKTIFITAS AGEN KURIR )")</f>
        <v>53202 ( AKTIFITAS AGEN KURIR )</v>
      </c>
      <c r="AQ68" s="93"/>
      <c r="AR68" s="85"/>
      <c r="AS68" s="85"/>
      <c r="AT68" s="85" t="str">
        <f>IFERROR(__xludf.DUMMYFUNCTION("""COMPUTED_VALUE"""),"71517725")</f>
        <v>71517725</v>
      </c>
      <c r="AU68" s="85" t="str">
        <f>IFERROR(__xludf.DUMMYFUNCTION("""COMPUTED_VALUE"""),"1080061458")</f>
        <v>1080061458</v>
      </c>
      <c r="AV68" s="85" t="str">
        <f>IFERROR(__xludf.DUMMYFUNCTION("""COMPUTED_VALUE"""),"ADA")</f>
        <v>ADA</v>
      </c>
      <c r="AW68" s="85" t="str">
        <f>IFERROR(__xludf.DUMMYFUNCTION("""COMPUTED_VALUE"""),"ADA")</f>
        <v>ADA</v>
      </c>
      <c r="AX68" s="85"/>
      <c r="AY68" s="85"/>
      <c r="AZ68" s="85"/>
      <c r="BA68" s="85" t="str">
        <f>IFERROR(__xludf.DUMMYFUNCTION("""COMPUTED_VALUE"""),"ADA")</f>
        <v>ADA</v>
      </c>
      <c r="BB68" s="85" t="str">
        <f>IFERROR(__xludf.DUMMYFUNCTION("""COMPUTED_VALUE"""),"ADA")</f>
        <v>ADA</v>
      </c>
      <c r="BC68" s="85" t="str">
        <f>IFERROR(__xludf.DUMMYFUNCTION("""COMPUTED_VALUE"""),"ADA")</f>
        <v>ADA</v>
      </c>
      <c r="BD68" s="85" t="str">
        <f>IFERROR(__xludf.DUMMYFUNCTION("""COMPUTED_VALUE"""),"ADA")</f>
        <v>ADA</v>
      </c>
      <c r="BE68" s="85" t="str">
        <f>IFERROR(__xludf.DUMMYFUNCTION("""COMPUTED_VALUE"""),"ADA")</f>
        <v>ADA</v>
      </c>
      <c r="BF68" s="85" t="str">
        <f>IFERROR(__xludf.DUMMYFUNCTION("""COMPUTED_VALUE"""),"ADA")</f>
        <v>ADA</v>
      </c>
      <c r="BG68" s="85" t="str">
        <f>IFERROR(__xludf.DUMMYFUNCTION("""COMPUTED_VALUE"""),"ADA")</f>
        <v>ADA</v>
      </c>
      <c r="BH68" s="85"/>
      <c r="BI68" s="85"/>
      <c r="BJ68" s="85"/>
      <c r="BK68" s="85"/>
      <c r="BL68" s="85"/>
      <c r="BM68" s="85"/>
      <c r="BN68" s="85"/>
      <c r="BO68" s="85"/>
      <c r="BP68" s="85"/>
      <c r="BQ68" s="85"/>
      <c r="BR68" s="85"/>
      <c r="BS68" s="85"/>
      <c r="BT68" s="85"/>
      <c r="BU68" s="85"/>
      <c r="BV68" s="85" t="str">
        <f>IFERROR(__xludf.DUMMYFUNCTION("""COMPUTED_VALUE"""),"Kp. Mulabaruk Rt 001 Rw 005 Kel. Sukawening Kec. Sukawening Garut 44184")</f>
        <v>Kp. Mulabaruk Rt 001 Rw 005 Kel. Sukawening Kec. Sukawening Garut 44184</v>
      </c>
      <c r="BW68" s="85"/>
      <c r="BX68" s="85"/>
      <c r="BY68" s="85"/>
      <c r="BZ68" s="85"/>
      <c r="CA68" s="85"/>
      <c r="CB68" s="85"/>
      <c r="CC68" s="85"/>
      <c r="CD68" s="85"/>
      <c r="CE68" s="85"/>
      <c r="CF68" s="85"/>
      <c r="CG68" s="85"/>
      <c r="CH68" s="85"/>
      <c r="CI68" s="85"/>
      <c r="CJ68" s="85"/>
      <c r="CK68" s="2"/>
    </row>
    <row r="69" ht="12.75" customHeight="1">
      <c r="A69" s="80">
        <f>IFERROR(__xludf.DUMMYFUNCTION("""COMPUTED_VALUE"""),66.0)</f>
        <v>66</v>
      </c>
      <c r="B69" s="80" t="str">
        <f>IFERROR(__xludf.DUMMYFUNCTION("""COMPUTED_VALUE"""),"9 DESEMBER 2022")</f>
        <v>9 DESEMBER 2022</v>
      </c>
      <c r="C69" s="80" t="str">
        <f>IFERROR(__xludf.DUMMYFUNCTION("""COMPUTED_VALUE"""),"9 DESEMBER 2022")</f>
        <v>9 DESEMBER 2022</v>
      </c>
      <c r="D69" s="81"/>
      <c r="E69" s="82"/>
      <c r="F69" s="80" t="str">
        <f>IFERROR(__xludf.DUMMYFUNCTION("""COMPUTED_VALUE"""),"27 FEBRUARI 2023")</f>
        <v>27 FEBRUARI 2023</v>
      </c>
      <c r="G69" s="81">
        <f>IFERROR(__xludf.DUMMYFUNCTION("""COMPUTED_VALUE"""),44984.0)</f>
        <v>44984</v>
      </c>
      <c r="H69" s="80"/>
      <c r="I69" s="80"/>
      <c r="J69" s="80"/>
      <c r="K69" s="80"/>
      <c r="L69" s="80"/>
      <c r="M69" s="80"/>
      <c r="N69" s="80"/>
      <c r="O69" s="80"/>
      <c r="P69" s="80" t="str">
        <f>IFERROR(__xludf.DUMMYFUNCTION("""COMPUTED_VALUE"""),"52BSPA07242JTWWK")</f>
        <v>52BSPA07242JTWWK</v>
      </c>
      <c r="Q69" s="80" t="str">
        <f>IFERROR(__xludf.DUMMYFUNCTION("""COMPUTED_VALUE"""),"LOKET ZHAFRAN")</f>
        <v>LOKET ZHAFRAN</v>
      </c>
      <c r="R69" s="80" t="str">
        <f>IFERROR(__xludf.DUMMYFUNCTION("""COMPUTED_VALUE"""),"LOKET ZHAFRAN")</f>
        <v>LOKET ZHAFRAN</v>
      </c>
      <c r="S69" s="80" t="str">
        <f>IFERROR(__xludf.DUMMYFUNCTION("""COMPUTED_VALUE"""),"Rochmad Iwan Fauzi Spd ")</f>
        <v>Rochmad Iwan Fauzi Spd </v>
      </c>
      <c r="T69" s="80" t="str">
        <f>IFERROR(__xludf.DUMMYFUNCTION("""COMPUTED_VALUE"""),"Dusun Sileman Rt 001 Rw 007 Kel. Jono Kec. Tawangharjo Kab. Grobogan Jawa Tengah 58191")</f>
        <v>Dusun Sileman Rt 001 Rw 007 Kel. Jono Kec. Tawangharjo Kab. Grobogan Jawa Tengah 58191</v>
      </c>
      <c r="U69" s="80" t="str">
        <f>IFERROR(__xludf.DUMMYFUNCTION("""COMPUTED_VALUE"""),"DUSUN SILEMAN RT 001 RW 007 ")</f>
        <v>DUSUN SILEMAN RT 001 RW 007 </v>
      </c>
      <c r="V69" s="80" t="str">
        <f>IFERROR(__xludf.DUMMYFUNCTION("""COMPUTED_VALUE"""),"001/007")</f>
        <v>001/007</v>
      </c>
      <c r="W69" s="80" t="str">
        <f>IFERROR(__xludf.DUMMYFUNCTION("""COMPUTED_VALUE"""),"JONO")</f>
        <v>JONO</v>
      </c>
      <c r="X69" s="80" t="str">
        <f>IFERROR(__xludf.DUMMYFUNCTION("""COMPUTED_VALUE"""),"TAWANGHARJO")</f>
        <v>TAWANGHARJO</v>
      </c>
      <c r="Y69" s="80" t="str">
        <f>IFERROR(__xludf.DUMMYFUNCTION("""COMPUTED_VALUE"""),"KAB. GROBOGAN")</f>
        <v>KAB. GROBOGAN</v>
      </c>
      <c r="Z69" s="80" t="str">
        <f>IFERROR(__xludf.DUMMYFUNCTION("""COMPUTED_VALUE"""),"JAWA TENGAH")</f>
        <v>JAWA TENGAH</v>
      </c>
      <c r="AA69" s="80" t="str">
        <f>IFERROR(__xludf.DUMMYFUNCTION("""COMPUTED_VALUE"""),"58191")</f>
        <v>58191</v>
      </c>
      <c r="AB69" s="80" t="str">
        <f>IFERROR(__xludf.DUMMYFUNCTION("""COMPUTED_VALUE"""),"3313091507870004")</f>
        <v>3313091507870004</v>
      </c>
      <c r="AC69" s="80" t="str">
        <f>IFERROR(__xludf.DUMMYFUNCTION("""COMPUTED_VALUE"""),"66.464.110.7-528.000")</f>
        <v>66.464.110.7-528.000</v>
      </c>
      <c r="AD69" s="80" t="str">
        <f>IFERROR(__xludf.DUMMYFUNCTION("""COMPUTED_VALUE"""),"CUM - WWK")</f>
        <v>CUM - WWK</v>
      </c>
      <c r="AE69" s="80" t="str">
        <f>IFERROR(__xludf.DUMMYFUNCTION("""COMPUTED_VALUE"""),"SUB WIWIK")</f>
        <v>SUB WIWIK</v>
      </c>
      <c r="AF69" s="80" t="str">
        <f>IFERROR(__xludf.DUMMYFUNCTION("""COMPUTED_VALUE"""),"0856-4745-5993")</f>
        <v>0856-4745-5993</v>
      </c>
      <c r="AG69" s="80" t="str">
        <f>IFERROR(__xludf.DUMMYFUNCTION("""COMPUTED_VALUE"""),"0856-4745-5993")</f>
        <v>0856-4745-5993</v>
      </c>
      <c r="AH69" s="80" t="str">
        <f>IFERROR(__xludf.DUMMYFUNCTION("""COMPUTED_VALUE"""),"tokozhafran27@gmail.com")</f>
        <v>tokozhafran27@gmail.com</v>
      </c>
      <c r="AI69" s="80" t="str">
        <f>IFERROR(__xludf.DUMMYFUNCTION("""COMPUTED_VALUE"""),"58191S2")</f>
        <v>58191S2</v>
      </c>
      <c r="AJ69" s="80" t="str">
        <f>IFERROR(__xludf.DUMMYFUNCTION("""COMPUTED_VALUE"""),"63afa9988d0f2c0f470550b2")</f>
        <v>63afa9988d0f2c0f470550b2</v>
      </c>
      <c r="AK69" s="80" t="str">
        <f>IFERROR(__xludf.DUMMYFUNCTION("""COMPUTED_VALUE"""),"dm58191s2")</f>
        <v>dm58191s2</v>
      </c>
      <c r="AL69" s="80" t="str">
        <f>IFERROR(__xludf.DUMMYFUNCTION("""COMPUTED_VALUE"""),"password")</f>
        <v>password</v>
      </c>
      <c r="AM69" s="80" t="str">
        <f>IFERROR(__xludf.DUMMYFUNCTION("""COMPUTED_VALUE"""),"KANTOR REGIONAL IV SEMARANG 50004")</f>
        <v>KANTOR REGIONAL IV SEMARANG 50004</v>
      </c>
      <c r="AN69" s="80" t="str">
        <f>IFERROR(__xludf.DUMMYFUNCTION("""COMPUTED_VALUE"""),"POS PURWODADI")</f>
        <v>POS PURWODADI</v>
      </c>
      <c r="AO69" s="80" t="str">
        <f>IFERROR(__xludf.DUMMYFUNCTION("""COMPUTED_VALUE"""),"0712220052446")</f>
        <v>0712220052446</v>
      </c>
      <c r="AP69" s="80" t="str">
        <f>IFERROR(__xludf.DUMMYFUNCTION("""COMPUTED_VALUE"""),"53202 ( AKTIFITAS AGEN KURIR )")</f>
        <v>53202 ( AKTIFITAS AGEN KURIR )</v>
      </c>
      <c r="AQ69" s="83"/>
      <c r="AR69" s="80"/>
      <c r="AS69" s="80"/>
      <c r="AT69" s="80" t="str">
        <f>IFERROR(__xludf.DUMMYFUNCTION("""COMPUTED_VALUE"""),"-70888932")</f>
        <v>-70888932</v>
      </c>
      <c r="AU69" s="80" t="str">
        <f>IFERROR(__xludf.DUMMYFUNCTION("""COMPUTED_VALUE"""),"110980656")</f>
        <v>110980656</v>
      </c>
      <c r="AV69" s="80" t="str">
        <f>IFERROR(__xludf.DUMMYFUNCTION("""COMPUTED_VALUE"""),"ADA")</f>
        <v>ADA</v>
      </c>
      <c r="AW69" s="80" t="str">
        <f>IFERROR(__xludf.DUMMYFUNCTION("""COMPUTED_VALUE"""),"ADA")</f>
        <v>ADA</v>
      </c>
      <c r="AX69" s="80"/>
      <c r="AY69" s="80"/>
      <c r="AZ69" s="80"/>
      <c r="BA69" s="80" t="str">
        <f>IFERROR(__xludf.DUMMYFUNCTION("""COMPUTED_VALUE"""),"ADA")</f>
        <v>ADA</v>
      </c>
      <c r="BB69" s="80" t="str">
        <f>IFERROR(__xludf.DUMMYFUNCTION("""COMPUTED_VALUE"""),"ADA")</f>
        <v>ADA</v>
      </c>
      <c r="BC69" s="80" t="str">
        <f>IFERROR(__xludf.DUMMYFUNCTION("""COMPUTED_VALUE"""),"ADA")</f>
        <v>ADA</v>
      </c>
      <c r="BD69" s="80" t="str">
        <f>IFERROR(__xludf.DUMMYFUNCTION("""COMPUTED_VALUE"""),"ADA")</f>
        <v>ADA</v>
      </c>
      <c r="BE69" s="80" t="str">
        <f>IFERROR(__xludf.DUMMYFUNCTION("""COMPUTED_VALUE"""),"ADA")</f>
        <v>ADA</v>
      </c>
      <c r="BF69" s="80" t="str">
        <f>IFERROR(__xludf.DUMMYFUNCTION("""COMPUTED_VALUE"""),"ADA")</f>
        <v>ADA</v>
      </c>
      <c r="BG69" s="80" t="str">
        <f>IFERROR(__xludf.DUMMYFUNCTION("""COMPUTED_VALUE"""),"ADA")</f>
        <v>ADA</v>
      </c>
      <c r="BH69" s="80" t="str">
        <f>IFERROR(__xludf.DUMMYFUNCTION("""COMPUTED_VALUE"""),"TINTA")</f>
        <v>TINTA</v>
      </c>
      <c r="BI69" s="80" t="str">
        <f>IFERROR(__xludf.DUMMYFUNCTION("""COMPUTED_VALUE"""),"ADA")</f>
        <v>ADA</v>
      </c>
      <c r="BJ69" s="80" t="str">
        <f>IFERROR(__xludf.DUMMYFUNCTION("""COMPUTED_VALUE"""),"HVS")</f>
        <v>HVS</v>
      </c>
      <c r="BK69" s="80"/>
      <c r="BL69" s="80"/>
      <c r="BM69" s="80"/>
      <c r="BN69" s="80"/>
      <c r="BO69" s="80"/>
      <c r="BP69" s="80"/>
      <c r="BQ69" s="80"/>
      <c r="BR69" s="80"/>
      <c r="BS69" s="80"/>
      <c r="BT69" s="80"/>
      <c r="BU69" s="80"/>
      <c r="BV69" s="80" t="str">
        <f>IFERROR(__xludf.DUMMYFUNCTION("""COMPUTED_VALUE"""),"Dusun Sileman Rt 001 Rw 007 Kel. Jono Kec. Tawangharjo Kab. Grobogan Jawa Tengah 58191")</f>
        <v>Dusun Sileman Rt 001 Rw 007 Kel. Jono Kec. Tawangharjo Kab. Grobogan Jawa Tengah 58191</v>
      </c>
      <c r="BW69" s="80"/>
      <c r="BX69" s="80"/>
      <c r="BY69" s="80"/>
      <c r="BZ69" s="80"/>
      <c r="CA69" s="80"/>
      <c r="CB69" s="80"/>
      <c r="CC69" s="80"/>
      <c r="CD69" s="80"/>
      <c r="CE69" s="80"/>
      <c r="CF69" s="80"/>
      <c r="CG69" s="80"/>
      <c r="CH69" s="80"/>
      <c r="CI69" s="80"/>
      <c r="CJ69" s="80"/>
      <c r="CK69" s="2"/>
    </row>
    <row r="70" ht="12.75" customHeight="1">
      <c r="A70" s="85">
        <f>IFERROR(__xludf.DUMMYFUNCTION("""COMPUTED_VALUE"""),67.0)</f>
        <v>67</v>
      </c>
      <c r="B70" s="85" t="str">
        <f>IFERROR(__xludf.DUMMYFUNCTION("""COMPUTED_VALUE"""),"13 DESEMBER 2022")</f>
        <v>13 DESEMBER 2022</v>
      </c>
      <c r="C70" s="85" t="str">
        <f>IFERROR(__xludf.DUMMYFUNCTION("""COMPUTED_VALUE"""),"13 DESEMBER 2022")</f>
        <v>13 DESEMBER 2022</v>
      </c>
      <c r="D70" s="86"/>
      <c r="E70" s="88"/>
      <c r="F70" s="85"/>
      <c r="G70" s="86"/>
      <c r="H70" s="85"/>
      <c r="I70" s="85"/>
      <c r="J70" s="85"/>
      <c r="K70" s="85"/>
      <c r="L70" s="85"/>
      <c r="M70" s="85"/>
      <c r="N70" s="85"/>
      <c r="O70" s="85"/>
      <c r="P70" s="85" t="str">
        <f>IFERROR(__xludf.DUMMYFUNCTION("""COMPUTED_VALUE"""),"53BSPA16221JBTLM")</f>
        <v>53BSPA16221JBTLM</v>
      </c>
      <c r="Q70" s="85" t="str">
        <f>IFERROR(__xludf.DUMMYFUNCTION("""COMPUTED_VALUE"""),"LOKET SYARIAH")</f>
        <v>LOKET SYARIAH</v>
      </c>
      <c r="R70" s="85" t="str">
        <f>IFERROR(__xludf.DUMMYFUNCTION("""COMPUTED_VALUE"""),"LOKET SYARIAH")</f>
        <v>LOKET SYARIAH</v>
      </c>
      <c r="S70" s="85" t="str">
        <f>IFERROR(__xludf.DUMMYFUNCTION("""COMPUTED_VALUE"""),"Leni Purmanah")</f>
        <v>Leni Purmanah</v>
      </c>
      <c r="T70" s="85" t="str">
        <f>IFERROR(__xludf.DUMMYFUNCTION("""COMPUTED_VALUE"""),"Dusun Ramoseh Rt 003 Rw 008 Kel. Linggajaya Kec. Cisitu Kab. Sumedang 45371 ")</f>
        <v>Dusun Ramoseh Rt 003 Rw 008 Kel. Linggajaya Kec. Cisitu Kab. Sumedang 45371 </v>
      </c>
      <c r="U70" s="85" t="str">
        <f>IFERROR(__xludf.DUMMYFUNCTION("""COMPUTED_VALUE"""),"JLN. SITURAJA NO. 257 ")</f>
        <v>JLN. SITURAJA NO. 257 </v>
      </c>
      <c r="V70" s="85"/>
      <c r="W70" s="85" t="str">
        <f>IFERROR(__xludf.DUMMYFUNCTION("""COMPUTED_VALUE"""),"SITURAJA UTARA")</f>
        <v>SITURAJA UTARA</v>
      </c>
      <c r="X70" s="85" t="str">
        <f>IFERROR(__xludf.DUMMYFUNCTION("""COMPUTED_VALUE"""),"SITURAJA")</f>
        <v>SITURAJA</v>
      </c>
      <c r="Y70" s="85" t="str">
        <f>IFERROR(__xludf.DUMMYFUNCTION("""COMPUTED_VALUE"""),"KAB. SUMEDANG")</f>
        <v>KAB. SUMEDANG</v>
      </c>
      <c r="Z70" s="85" t="str">
        <f>IFERROR(__xludf.DUMMYFUNCTION("""COMPUTED_VALUE"""),"JAWA BARAT")</f>
        <v>JAWA BARAT</v>
      </c>
      <c r="AA70" s="85" t="str">
        <f>IFERROR(__xludf.DUMMYFUNCTION("""COMPUTED_VALUE"""),"45391")</f>
        <v>45391</v>
      </c>
      <c r="AB70" s="85" t="str">
        <f>IFERROR(__xludf.DUMMYFUNCTION("""COMPUTED_VALUE"""),"3211055902920000")</f>
        <v>3211055902920000</v>
      </c>
      <c r="AC70" s="85" t="str">
        <f>IFERROR(__xludf.DUMMYFUNCTION("""COMPUTED_VALUE"""),"57.107.960.7-408.000")</f>
        <v>57.107.960.7-408.000</v>
      </c>
      <c r="AD70" s="85" t="str">
        <f>IFERROR(__xludf.DUMMYFUNCTION("""COMPUTED_VALUE"""),"CUM - TLM")</f>
        <v>CUM - TLM</v>
      </c>
      <c r="AE70" s="85" t="str">
        <f>IFERROR(__xludf.DUMMYFUNCTION("""COMPUTED_VALUE"""),"CUM TELEMARKETING")</f>
        <v>CUM TELEMARKETING</v>
      </c>
      <c r="AF70" s="85" t="str">
        <f>IFERROR(__xludf.DUMMYFUNCTION("""COMPUTED_VALUE"""),"0838-2283-2464")</f>
        <v>0838-2283-2464</v>
      </c>
      <c r="AG70" s="85" t="str">
        <f>IFERROR(__xludf.DUMMYFUNCTION("""COMPUTED_VALUE"""),"0838-2283-2464")</f>
        <v>0838-2283-2464</v>
      </c>
      <c r="AH70" s="85" t="str">
        <f>IFERROR(__xludf.DUMMYFUNCTION("""COMPUTED_VALUE"""),"lenipurmanah@gmail.com")</f>
        <v>lenipurmanah@gmail.com</v>
      </c>
      <c r="AI70" s="85" t="str">
        <f>IFERROR(__xludf.DUMMYFUNCTION("""COMPUTED_VALUE"""),"45371S2")</f>
        <v>45371S2</v>
      </c>
      <c r="AJ70" s="85" t="str">
        <f>IFERROR(__xludf.DUMMYFUNCTION("""COMPUTED_VALUE"""),"639a941e43a7b8357c378916")</f>
        <v>639a941e43a7b8357c378916</v>
      </c>
      <c r="AK70" s="85" t="str">
        <f>IFERROR(__xludf.DUMMYFUNCTION("""COMPUTED_VALUE"""),"dm45371s2")</f>
        <v>dm45371s2</v>
      </c>
      <c r="AL70" s="85" t="str">
        <f>IFERROR(__xludf.DUMMYFUNCTION("""COMPUTED_VALUE"""),"password")</f>
        <v>password</v>
      </c>
      <c r="AM70" s="85"/>
      <c r="AN70" s="85" t="str">
        <f>IFERROR(__xludf.DUMMYFUNCTION("""COMPUTED_VALUE"""),"POS SITURAJA")</f>
        <v>POS SITURAJA</v>
      </c>
      <c r="AO70" s="85" t="str">
        <f>IFERROR(__xludf.DUMMYFUNCTION("""COMPUTED_VALUE"""),"1312220019479")</f>
        <v>1312220019479</v>
      </c>
      <c r="AP70" s="85" t="str">
        <f>IFERROR(__xludf.DUMMYFUNCTION("""COMPUTED_VALUE"""),"53202 ( AKTIFITAS AGEN KURIR )")</f>
        <v>53202 ( AKTIFITAS AGEN KURIR )</v>
      </c>
      <c r="AQ70" s="93"/>
      <c r="AR70" s="85"/>
      <c r="AS70" s="85"/>
      <c r="AT70" s="85" t="str">
        <f>IFERROR(__xludf.DUMMYFUNCTION("""COMPUTED_VALUE"""),"-68411234")</f>
        <v>-68411234</v>
      </c>
      <c r="AU70" s="85" t="str">
        <f>IFERROR(__xludf.DUMMYFUNCTION("""COMPUTED_VALUE"""),"1080218623")</f>
        <v>1080218623</v>
      </c>
      <c r="AV70" s="85" t="str">
        <f>IFERROR(__xludf.DUMMYFUNCTION("""COMPUTED_VALUE"""),"ADA")</f>
        <v>ADA</v>
      </c>
      <c r="AW70" s="85" t="str">
        <f>IFERROR(__xludf.DUMMYFUNCTION("""COMPUTED_VALUE"""),"ADA")</f>
        <v>ADA</v>
      </c>
      <c r="AX70" s="85"/>
      <c r="AY70" s="85"/>
      <c r="AZ70" s="85"/>
      <c r="BA70" s="85" t="str">
        <f>IFERROR(__xludf.DUMMYFUNCTION("""COMPUTED_VALUE"""),"ADA")</f>
        <v>ADA</v>
      </c>
      <c r="BB70" s="85" t="str">
        <f>IFERROR(__xludf.DUMMYFUNCTION("""COMPUTED_VALUE"""),"ADA")</f>
        <v>ADA</v>
      </c>
      <c r="BC70" s="85" t="str">
        <f>IFERROR(__xludf.DUMMYFUNCTION("""COMPUTED_VALUE"""),"ADA")</f>
        <v>ADA</v>
      </c>
      <c r="BD70" s="85" t="str">
        <f>IFERROR(__xludf.DUMMYFUNCTION("""COMPUTED_VALUE"""),"ADA")</f>
        <v>ADA</v>
      </c>
      <c r="BE70" s="85" t="str">
        <f>IFERROR(__xludf.DUMMYFUNCTION("""COMPUTED_VALUE"""),"ADA")</f>
        <v>ADA</v>
      </c>
      <c r="BF70" s="85" t="str">
        <f>IFERROR(__xludf.DUMMYFUNCTION("""COMPUTED_VALUE"""),"ADA")</f>
        <v>ADA</v>
      </c>
      <c r="BG70" s="85" t="str">
        <f>IFERROR(__xludf.DUMMYFUNCTION("""COMPUTED_VALUE"""),"ADA")</f>
        <v>ADA</v>
      </c>
      <c r="BH70" s="85"/>
      <c r="BI70" s="85"/>
      <c r="BJ70" s="85"/>
      <c r="BK70" s="85"/>
      <c r="BL70" s="85"/>
      <c r="BM70" s="85"/>
      <c r="BN70" s="85"/>
      <c r="BO70" s="85"/>
      <c r="BP70" s="85"/>
      <c r="BQ70" s="85"/>
      <c r="BR70" s="85"/>
      <c r="BS70" s="85"/>
      <c r="BT70" s="85"/>
      <c r="BU70" s="85"/>
      <c r="BV70" s="85" t="str">
        <f>IFERROR(__xludf.DUMMYFUNCTION("""COMPUTED_VALUE"""),"Dusun Ramoseh Rt 003 Rw 008 Kel. Linggajaya Kec. Cisitu Kab. Sumedang 45371 ")</f>
        <v>Dusun Ramoseh Rt 003 Rw 008 Kel. Linggajaya Kec. Cisitu Kab. Sumedang 45371 </v>
      </c>
      <c r="BW70" s="85"/>
      <c r="BX70" s="85"/>
      <c r="BY70" s="85"/>
      <c r="BZ70" s="85"/>
      <c r="CA70" s="85"/>
      <c r="CB70" s="85"/>
      <c r="CC70" s="85"/>
      <c r="CD70" s="85"/>
      <c r="CE70" s="85"/>
      <c r="CF70" s="85"/>
      <c r="CG70" s="85"/>
      <c r="CH70" s="85"/>
      <c r="CI70" s="85"/>
      <c r="CJ70" s="85"/>
      <c r="CK70" s="2"/>
    </row>
    <row r="71" ht="12.75" customHeight="1">
      <c r="A71" s="80">
        <f>IFERROR(__xludf.DUMMYFUNCTION("""COMPUTED_VALUE"""),68.0)</f>
        <v>68</v>
      </c>
      <c r="B71" s="80" t="str">
        <f>IFERROR(__xludf.DUMMYFUNCTION("""COMPUTED_VALUE"""),"19 DESEMBER 2022")</f>
        <v>19 DESEMBER 2022</v>
      </c>
      <c r="C71" s="80" t="str">
        <f>IFERROR(__xludf.DUMMYFUNCTION("""COMPUTED_VALUE"""),"19 DESEMBER 2022")</f>
        <v>19 DESEMBER 2022</v>
      </c>
      <c r="D71" s="81"/>
      <c r="E71" s="82"/>
      <c r="F71" s="80"/>
      <c r="G71" s="81"/>
      <c r="H71" s="80"/>
      <c r="I71" s="80"/>
      <c r="J71" s="80"/>
      <c r="K71" s="80"/>
      <c r="L71" s="80"/>
      <c r="M71" s="80"/>
      <c r="N71" s="80"/>
      <c r="O71" s="80"/>
      <c r="P71" s="80" t="str">
        <f>IFERROR(__xludf.DUMMYFUNCTION("""COMPUTED_VALUE"""),"53BSPA23781JBRBN")</f>
        <v>53BSPA23781JBRBN</v>
      </c>
      <c r="Q71" s="80" t="str">
        <f>IFERROR(__xludf.DUMMYFUNCTION("""COMPUTED_VALUE"""),"MEDIA DATA TRANS")</f>
        <v>MEDIA DATA TRANS</v>
      </c>
      <c r="R71" s="80" t="str">
        <f>IFERROR(__xludf.DUMMYFUNCTION("""COMPUTED_VALUE"""),"MEDIA DATA TRANS")</f>
        <v>MEDIA DATA TRANS</v>
      </c>
      <c r="S71" s="80" t="str">
        <f>IFERROR(__xludf.DUMMYFUNCTION("""COMPUTED_VALUE"""),"Robin Mariyanto")</f>
        <v>Robin Mariyanto</v>
      </c>
      <c r="T71" s="80" t="str">
        <f>IFERROR(__xludf.DUMMYFUNCTION("""COMPUTED_VALUE"""),"Jl. Riau No. 14 Rt 003 Rw 003 Kel. Kampung Mandar Kec. Banyuwangi 68412")</f>
        <v>Jl. Riau No. 14 Rt 003 Rw 003 Kel. Kampung Mandar Kec. Banyuwangi 68412</v>
      </c>
      <c r="U71" s="80" t="str">
        <f>IFERROR(__xludf.DUMMYFUNCTION("""COMPUTED_VALUE"""),"JL. RIAU NO. 14 RT 003 RW 003 KEL. KAMPUNG MANDAR KEC. BANYUWANGI 68412")</f>
        <v>JL. RIAU NO. 14 RT 003 RW 003 KEL. KAMPUNG MANDAR KEC. BANYUWANGI 68412</v>
      </c>
      <c r="V71" s="80" t="str">
        <f>IFERROR(__xludf.DUMMYFUNCTION("""COMPUTED_VALUE"""),"003/003")</f>
        <v>003/003</v>
      </c>
      <c r="W71" s="80" t="str">
        <f>IFERROR(__xludf.DUMMYFUNCTION("""COMPUTED_VALUE"""),"KAMPUNG MANDAR")</f>
        <v>KAMPUNG MANDAR</v>
      </c>
      <c r="X71" s="80" t="str">
        <f>IFERROR(__xludf.DUMMYFUNCTION("""COMPUTED_VALUE"""),"BANYUWANGI")</f>
        <v>BANYUWANGI</v>
      </c>
      <c r="Y71" s="80" t="str">
        <f>IFERROR(__xludf.DUMMYFUNCTION("""COMPUTED_VALUE"""),"KAB. BANYUWANGI")</f>
        <v>KAB. BANYUWANGI</v>
      </c>
      <c r="Z71" s="80" t="str">
        <f>IFERROR(__xludf.DUMMYFUNCTION("""COMPUTED_VALUE"""),"JAWA TIMUR")</f>
        <v>JAWA TIMUR</v>
      </c>
      <c r="AA71" s="80" t="str">
        <f>IFERROR(__xludf.DUMMYFUNCTION("""COMPUTED_VALUE"""),"68412")</f>
        <v>68412</v>
      </c>
      <c r="AB71" s="80" t="str">
        <f>IFERROR(__xludf.DUMMYFUNCTION("""COMPUTED_VALUE"""),"3510162003800000")</f>
        <v>3510162003800000</v>
      </c>
      <c r="AC71" s="80" t="str">
        <f>IFERROR(__xludf.DUMMYFUNCTION("""COMPUTED_VALUE"""),"06.236.001.1-627.000")</f>
        <v>06.236.001.1-627.000</v>
      </c>
      <c r="AD71" s="80" t="str">
        <f>IFERROR(__xludf.DUMMYFUNCTION("""COMPUTED_VALUE"""),"CUM - RBN")</f>
        <v>CUM - RBN</v>
      </c>
      <c r="AE71" s="80" t="str">
        <f>IFERROR(__xludf.DUMMYFUNCTION("""COMPUTED_VALUE"""),"SUB ROBIN")</f>
        <v>SUB ROBIN</v>
      </c>
      <c r="AF71" s="80" t="str">
        <f>IFERROR(__xludf.DUMMYFUNCTION("""COMPUTED_VALUE"""),"085259988665")</f>
        <v>085259988665</v>
      </c>
      <c r="AG71" s="80" t="str">
        <f>IFERROR(__xludf.DUMMYFUNCTION("""COMPUTED_VALUE"""),"085259988665")</f>
        <v>085259988665</v>
      </c>
      <c r="AH71" s="80" t="str">
        <f>IFERROR(__xludf.DUMMYFUNCTION("""COMPUTED_VALUE"""),"robynkusanagi@gmail.com")</f>
        <v>robynkusanagi@gmail.com</v>
      </c>
      <c r="AI71" s="80" t="str">
        <f>IFERROR(__xludf.DUMMYFUNCTION("""COMPUTED_VALUE"""),"68413S1")</f>
        <v>68413S1</v>
      </c>
      <c r="AJ71" s="80" t="str">
        <f>IFERROR(__xludf.DUMMYFUNCTION("""COMPUTED_VALUE"""),"63afab256eba6e25e33a09c8")</f>
        <v>63afab256eba6e25e33a09c8</v>
      </c>
      <c r="AK71" s="80" t="str">
        <f>IFERROR(__xludf.DUMMYFUNCTION("""COMPUTED_VALUE"""),"dm68413s1")</f>
        <v>dm68413s1</v>
      </c>
      <c r="AL71" s="80" t="str">
        <f>IFERROR(__xludf.DUMMYFUNCTION("""COMPUTED_VALUE"""),"password")</f>
        <v>password</v>
      </c>
      <c r="AM71" s="80"/>
      <c r="AN71" s="80" t="str">
        <f>IFERROR(__xludf.DUMMYFUNCTION("""COMPUTED_VALUE"""),"POS BANYUWANGI")</f>
        <v>POS BANYUWANGI</v>
      </c>
      <c r="AO71" s="80" t="str">
        <f>IFERROR(__xludf.DUMMYFUNCTION("""COMPUTED_VALUE"""),"1258000102238")</f>
        <v>1258000102238</v>
      </c>
      <c r="AP71" s="80" t="str">
        <f>IFERROR(__xludf.DUMMYFUNCTION("""COMPUTED_VALUE"""),"53202 ( AKTIFITAS AGEN KURIR )")</f>
        <v>53202 ( AKTIFITAS AGEN KURIR )</v>
      </c>
      <c r="AQ71" s="83"/>
      <c r="AR71" s="80"/>
      <c r="AS71" s="80"/>
      <c r="AT71" s="80" t="str">
        <f>IFERROR(__xludf.DUMMYFUNCTION("""COMPUTED_VALUE"""),"-82049042")</f>
        <v>-82049042</v>
      </c>
      <c r="AU71" s="80" t="str">
        <f>IFERROR(__xludf.DUMMYFUNCTION("""COMPUTED_VALUE"""),"1143747651")</f>
        <v>1143747651</v>
      </c>
      <c r="AV71" s="80" t="str">
        <f>IFERROR(__xludf.DUMMYFUNCTION("""COMPUTED_VALUE"""),"ADA")</f>
        <v>ADA</v>
      </c>
      <c r="AW71" s="80" t="str">
        <f>IFERROR(__xludf.DUMMYFUNCTION("""COMPUTED_VALUE"""),"ADA")</f>
        <v>ADA</v>
      </c>
      <c r="AX71" s="80"/>
      <c r="AY71" s="80"/>
      <c r="AZ71" s="80"/>
      <c r="BA71" s="80" t="str">
        <f>IFERROR(__xludf.DUMMYFUNCTION("""COMPUTED_VALUE"""),"ADA")</f>
        <v>ADA</v>
      </c>
      <c r="BB71" s="80" t="str">
        <f>IFERROR(__xludf.DUMMYFUNCTION("""COMPUTED_VALUE"""),"ADA")</f>
        <v>ADA</v>
      </c>
      <c r="BC71" s="80" t="str">
        <f>IFERROR(__xludf.DUMMYFUNCTION("""COMPUTED_VALUE"""),"ADA")</f>
        <v>ADA</v>
      </c>
      <c r="BD71" s="80" t="str">
        <f>IFERROR(__xludf.DUMMYFUNCTION("""COMPUTED_VALUE"""),"ADA")</f>
        <v>ADA</v>
      </c>
      <c r="BE71" s="80" t="str">
        <f>IFERROR(__xludf.DUMMYFUNCTION("""COMPUTED_VALUE"""),"ADA")</f>
        <v>ADA</v>
      </c>
      <c r="BF71" s="80" t="str">
        <f>IFERROR(__xludf.DUMMYFUNCTION("""COMPUTED_VALUE"""),"ADA")</f>
        <v>ADA</v>
      </c>
      <c r="BG71" s="80" t="str">
        <f>IFERROR(__xludf.DUMMYFUNCTION("""COMPUTED_VALUE"""),"ADA")</f>
        <v>ADA</v>
      </c>
      <c r="BH71" s="80"/>
      <c r="BI71" s="80"/>
      <c r="BJ71" s="80"/>
      <c r="BK71" s="80"/>
      <c r="BL71" s="80"/>
      <c r="BM71" s="80"/>
      <c r="BN71" s="80"/>
      <c r="BO71" s="80"/>
      <c r="BP71" s="80"/>
      <c r="BQ71" s="80"/>
      <c r="BR71" s="80"/>
      <c r="BS71" s="80"/>
      <c r="BT71" s="80"/>
      <c r="BU71" s="80"/>
      <c r="BV71" s="80" t="str">
        <f>IFERROR(__xludf.DUMMYFUNCTION("""COMPUTED_VALUE"""),"Jl. Riau No. 14 Rt 003 Rw 003 Kel. Kampung Mandar Kec. Banyuwangi 68412")</f>
        <v>Jl. Riau No. 14 Rt 003 Rw 003 Kel. Kampung Mandar Kec. Banyuwangi 68412</v>
      </c>
      <c r="BW71" s="80"/>
      <c r="BX71" s="80"/>
      <c r="BY71" s="80"/>
      <c r="BZ71" s="80"/>
      <c r="CA71" s="80"/>
      <c r="CB71" s="80"/>
      <c r="CC71" s="80"/>
      <c r="CD71" s="80"/>
      <c r="CE71" s="80"/>
      <c r="CF71" s="80"/>
      <c r="CG71" s="80"/>
      <c r="CH71" s="80"/>
      <c r="CI71" s="80"/>
      <c r="CJ71" s="80"/>
      <c r="CK71" s="2"/>
    </row>
    <row r="72" ht="12.75" customHeight="1">
      <c r="A72" s="85">
        <f>IFERROR(__xludf.DUMMYFUNCTION("""COMPUTED_VALUE"""),69.0)</f>
        <v>69</v>
      </c>
      <c r="B72" s="85" t="str">
        <f>IFERROR(__xludf.DUMMYFUNCTION("""COMPUTED_VALUE"""),"19 DESEMBER 2022")</f>
        <v>19 DESEMBER 2022</v>
      </c>
      <c r="C72" s="85" t="str">
        <f>IFERROR(__xludf.DUMMYFUNCTION("""COMPUTED_VALUE"""),"19 DESEMBER 2022")</f>
        <v>19 DESEMBER 2022</v>
      </c>
      <c r="D72" s="86"/>
      <c r="E72" s="88"/>
      <c r="F72" s="85"/>
      <c r="G72" s="86"/>
      <c r="H72" s="85"/>
      <c r="I72" s="85"/>
      <c r="J72" s="85"/>
      <c r="K72" s="85"/>
      <c r="L72" s="85"/>
      <c r="M72" s="85"/>
      <c r="N72" s="85"/>
      <c r="O72" s="85"/>
      <c r="P72" s="85" t="str">
        <f>IFERROR(__xludf.DUMMYFUNCTION("""COMPUTED_VALUE"""),"53BSPA03991CRBFO")</f>
        <v>53BSPA03991CRBFO</v>
      </c>
      <c r="Q72" s="85" t="str">
        <f>IFERROR(__xludf.DUMMYFUNCTION("""COMPUTED_VALUE"""),"LOKET FATHIRONLINE")</f>
        <v>LOKET FATHIRONLINE</v>
      </c>
      <c r="R72" s="85" t="str">
        <f>IFERROR(__xludf.DUMMYFUNCTION("""COMPUTED_VALUE"""),"LOKET FATHIRONLINE")</f>
        <v>LOKET FATHIRONLINE</v>
      </c>
      <c r="S72" s="85" t="str">
        <f>IFERROR(__xludf.DUMMYFUNCTION("""COMPUTED_VALUE"""),"Wiwi Ulwiyah")</f>
        <v>Wiwi Ulwiyah</v>
      </c>
      <c r="T72" s="85" t="str">
        <f>IFERROR(__xludf.DUMMYFUNCTION("""COMPUTED_VALUE"""),"Blok Duan Sukun Rt 005 Rw 002 Kel. Bode Lor Kec. Plumbon Kab. Cirebon 45155")</f>
        <v>Blok Duan Sukun Rt 005 Rw 002 Kel. Bode Lor Kec. Plumbon Kab. Cirebon 45155</v>
      </c>
      <c r="U72" s="85" t="str">
        <f>IFERROR(__xludf.DUMMYFUNCTION("""COMPUTED_VALUE"""),"BLOK DUAN SUKUN RT 005 RW 002 KEL. BODE LOR KEC. PLUMBON KAB. CIREBON 45155")</f>
        <v>BLOK DUAN SUKUN RT 005 RW 002 KEL. BODE LOR KEC. PLUMBON KAB. CIREBON 45155</v>
      </c>
      <c r="V72" s="85" t="str">
        <f>IFERROR(__xludf.DUMMYFUNCTION("""COMPUTED_VALUE"""),"005/002")</f>
        <v>005/002</v>
      </c>
      <c r="W72" s="85" t="str">
        <f>IFERROR(__xludf.DUMMYFUNCTION("""COMPUTED_VALUE"""),"BODE LOR")</f>
        <v>BODE LOR</v>
      </c>
      <c r="X72" s="85" t="str">
        <f>IFERROR(__xludf.DUMMYFUNCTION("""COMPUTED_VALUE"""),"PLUMBON")</f>
        <v>PLUMBON</v>
      </c>
      <c r="Y72" s="85" t="str">
        <f>IFERROR(__xludf.DUMMYFUNCTION("""COMPUTED_VALUE"""),"KAB. CIREBON")</f>
        <v>KAB. CIREBON</v>
      </c>
      <c r="Z72" s="85" t="str">
        <f>IFERROR(__xludf.DUMMYFUNCTION("""COMPUTED_VALUE"""),"JAWA BARAT")</f>
        <v>JAWA BARAT</v>
      </c>
      <c r="AA72" s="85" t="str">
        <f>IFERROR(__xludf.DUMMYFUNCTION("""COMPUTED_VALUE"""),"45155")</f>
        <v>45155</v>
      </c>
      <c r="AB72" s="85" t="str">
        <f>IFERROR(__xludf.DUMMYFUNCTION("""COMPUTED_VALUE"""),"3209184405810004")</f>
        <v>3209184405810004</v>
      </c>
      <c r="AC72" s="85" t="str">
        <f>IFERROR(__xludf.DUMMYFUNCTION("""COMPUTED_VALUE"""),"75.078.374.8-426.000")</f>
        <v>75.078.374.8-426.000</v>
      </c>
      <c r="AD72" s="85" t="str">
        <f>IFERROR(__xludf.DUMMYFUNCTION("""COMPUTED_VALUE"""),"CUM - ABD")</f>
        <v>CUM - ABD</v>
      </c>
      <c r="AE72" s="85" t="str">
        <f>IFERROR(__xludf.DUMMYFUNCTION("""COMPUTED_VALUE"""),"SUB ABDUL QODIR")</f>
        <v>SUB ABDUL QODIR</v>
      </c>
      <c r="AF72" s="85" t="str">
        <f>IFERROR(__xludf.DUMMYFUNCTION("""COMPUTED_VALUE"""),"08122376819")</f>
        <v>08122376819</v>
      </c>
      <c r="AG72" s="85" t="str">
        <f>IFERROR(__xludf.DUMMYFUNCTION("""COMPUTED_VALUE"""),"08122376819")</f>
        <v>08122376819</v>
      </c>
      <c r="AH72" s="85" t="str">
        <f>IFERROR(__xludf.DUMMYFUNCTION("""COMPUTED_VALUE"""),"wie040581@gmail.com")</f>
        <v>wie040581@gmail.com</v>
      </c>
      <c r="AI72" s="85" t="str">
        <f>IFERROR(__xludf.DUMMYFUNCTION("""COMPUTED_VALUE"""),"45655S2")</f>
        <v>45655S2</v>
      </c>
      <c r="AJ72" s="85" t="str">
        <f>IFERROR(__xludf.DUMMYFUNCTION("""COMPUTED_VALUE"""),"63be7b8b9da20278bf7f78b7")</f>
        <v>63be7b8b9da20278bf7f78b7</v>
      </c>
      <c r="AK72" s="85" t="str">
        <f>IFERROR(__xludf.DUMMYFUNCTION("""COMPUTED_VALUE"""),"dm45655s2")</f>
        <v>dm45655s2</v>
      </c>
      <c r="AL72" s="85" t="str">
        <f>IFERROR(__xludf.DUMMYFUNCTION("""COMPUTED_VALUE"""),"password")</f>
        <v>password</v>
      </c>
      <c r="AM72" s="85"/>
      <c r="AN72" s="85" t="str">
        <f>IFERROR(__xludf.DUMMYFUNCTION("""COMPUTED_VALUE"""),"POS PLUMBON")</f>
        <v>POS PLUMBON</v>
      </c>
      <c r="AO72" s="85" t="str">
        <f>IFERROR(__xludf.DUMMYFUNCTION("""COMPUTED_VALUE"""),"1612220056248")</f>
        <v>1612220056248</v>
      </c>
      <c r="AP72" s="85" t="str">
        <f>IFERROR(__xludf.DUMMYFUNCTION("""COMPUTED_VALUE"""),"53202 ( AKTIFITAS AGEN KURIR )")</f>
        <v>53202 ( AKTIFITAS AGEN KURIR )</v>
      </c>
      <c r="AQ72" s="93"/>
      <c r="AR72" s="85"/>
      <c r="AS72" s="85"/>
      <c r="AT72" s="85" t="str">
        <f>IFERROR(__xludf.DUMMYFUNCTION("""COMPUTED_VALUE"""),"-6716248")</f>
        <v>-6716248</v>
      </c>
      <c r="AU72" s="85" t="str">
        <f>IFERROR(__xludf.DUMMYFUNCTION("""COMPUTED_VALUE"""),"1084922686")</f>
        <v>1084922686</v>
      </c>
      <c r="AV72" s="85" t="str">
        <f>IFERROR(__xludf.DUMMYFUNCTION("""COMPUTED_VALUE"""),"ADA")</f>
        <v>ADA</v>
      </c>
      <c r="AW72" s="85" t="str">
        <f>IFERROR(__xludf.DUMMYFUNCTION("""COMPUTED_VALUE"""),"ADA")</f>
        <v>ADA</v>
      </c>
      <c r="AX72" s="85"/>
      <c r="AY72" s="85"/>
      <c r="AZ72" s="85"/>
      <c r="BA72" s="85" t="str">
        <f>IFERROR(__xludf.DUMMYFUNCTION("""COMPUTED_VALUE"""),"ADA")</f>
        <v>ADA</v>
      </c>
      <c r="BB72" s="85" t="str">
        <f>IFERROR(__xludf.DUMMYFUNCTION("""COMPUTED_VALUE"""),"ADA")</f>
        <v>ADA</v>
      </c>
      <c r="BC72" s="85" t="str">
        <f>IFERROR(__xludf.DUMMYFUNCTION("""COMPUTED_VALUE"""),"ADA")</f>
        <v>ADA</v>
      </c>
      <c r="BD72" s="85" t="str">
        <f>IFERROR(__xludf.DUMMYFUNCTION("""COMPUTED_VALUE"""),"ADA")</f>
        <v>ADA</v>
      </c>
      <c r="BE72" s="85" t="str">
        <f>IFERROR(__xludf.DUMMYFUNCTION("""COMPUTED_VALUE"""),"ADA")</f>
        <v>ADA</v>
      </c>
      <c r="BF72" s="85" t="str">
        <f>IFERROR(__xludf.DUMMYFUNCTION("""COMPUTED_VALUE"""),"ADA")</f>
        <v>ADA</v>
      </c>
      <c r="BG72" s="85"/>
      <c r="BH72" s="85"/>
      <c r="BI72" s="85"/>
      <c r="BJ72" s="85"/>
      <c r="BK72" s="85"/>
      <c r="BL72" s="85"/>
      <c r="BM72" s="85"/>
      <c r="BN72" s="85"/>
      <c r="BO72" s="85"/>
      <c r="BP72" s="85"/>
      <c r="BQ72" s="85"/>
      <c r="BR72" s="85"/>
      <c r="BS72" s="85"/>
      <c r="BT72" s="85"/>
      <c r="BU72" s="85"/>
      <c r="BV72" s="85" t="str">
        <f>IFERROR(__xludf.DUMMYFUNCTION("""COMPUTED_VALUE"""),"Blok Duan Sukun Rt 005 Rw 002 Kel. Bode Lor Kec. Plumbon Kab. Cirebon 45155")</f>
        <v>Blok Duan Sukun Rt 005 Rw 002 Kel. Bode Lor Kec. Plumbon Kab. Cirebon 45155</v>
      </c>
      <c r="BW72" s="85"/>
      <c r="BX72" s="85"/>
      <c r="BY72" s="85"/>
      <c r="BZ72" s="85"/>
      <c r="CA72" s="85"/>
      <c r="CB72" s="85"/>
      <c r="CC72" s="85"/>
      <c r="CD72" s="85"/>
      <c r="CE72" s="85"/>
      <c r="CF72" s="85"/>
      <c r="CG72" s="85"/>
      <c r="CH72" s="85"/>
      <c r="CI72" s="85"/>
      <c r="CJ72" s="85"/>
      <c r="CK72" s="2"/>
    </row>
    <row r="73" ht="12.75" customHeight="1">
      <c r="A73" s="80">
        <f>IFERROR(__xludf.DUMMYFUNCTION("""COMPUTED_VALUE"""),70.0)</f>
        <v>70</v>
      </c>
      <c r="B73" s="80" t="str">
        <f>IFERROR(__xludf.DUMMYFUNCTION("""COMPUTED_VALUE"""),"19 DESEMBER 2022")</f>
        <v>19 DESEMBER 2022</v>
      </c>
      <c r="C73" s="80" t="str">
        <f>IFERROR(__xludf.DUMMYFUNCTION("""COMPUTED_VALUE"""),"19 DESEMBER 2022")</f>
        <v>19 DESEMBER 2022</v>
      </c>
      <c r="D73" s="81"/>
      <c r="E73" s="82"/>
      <c r="F73" s="80" t="str">
        <f>IFERROR(__xludf.DUMMYFUNCTION("""COMPUTED_VALUE"""),"9 JANUARI 2023")</f>
        <v>9 JANUARI 2023</v>
      </c>
      <c r="G73" s="81">
        <f>IFERROR(__xludf.DUMMYFUNCTION("""COMPUTED_VALUE"""),44935.0)</f>
        <v>44935</v>
      </c>
      <c r="H73" s="80"/>
      <c r="I73" s="80" t="str">
        <f>IFERROR(__xludf.DUMMYFUNCTION("""COMPUTED_VALUE"""),"16 JANUARI 2023")</f>
        <v>16 JANUARI 2023</v>
      </c>
      <c r="J73" s="80" t="str">
        <f>IFERROR(__xludf.DUMMYFUNCTION("""COMPUTED_VALUE"""),"16 JANUARI 2023")</f>
        <v>16 JANUARI 2023</v>
      </c>
      <c r="K73" s="80"/>
      <c r="L73" s="80"/>
      <c r="M73" s="80"/>
      <c r="N73" s="80"/>
      <c r="O73" s="80"/>
      <c r="P73" s="80" t="str">
        <f>IFERROR(__xludf.DUMMYFUNCTION("""COMPUTED_VALUE"""),"53BSPA06793JBABD")</f>
        <v>53BSPA06793JBABD</v>
      </c>
      <c r="Q73" s="80" t="str">
        <f>IFERROR(__xludf.DUMMYFUNCTION("""COMPUTED_VALUE"""),"LOKET MARITZA")</f>
        <v>LOKET MARITZA</v>
      </c>
      <c r="R73" s="80" t="str">
        <f>IFERROR(__xludf.DUMMYFUNCTION("""COMPUTED_VALUE"""),"[DH2] MARITZA")</f>
        <v>[DH2] MARITZA</v>
      </c>
      <c r="S73" s="80" t="str">
        <f>IFERROR(__xludf.DUMMYFUNCTION("""COMPUTED_VALUE"""),"Entis Sutisna")</f>
        <v>Entis Sutisna</v>
      </c>
      <c r="T73" s="80" t="str">
        <f>IFERROR(__xludf.DUMMYFUNCTION("""COMPUTED_VALUE"""),"Jl. Gajah Mada Dusun 02 Rt 001 Rw 006 Kel. Ciborelang Kec. Jatiwangi Kab. Majalengka 45454")</f>
        <v>Jl. Gajah Mada Dusun 02 Rt 001 Rw 006 Kel. Ciborelang Kec. Jatiwangi Kab. Majalengka 45454</v>
      </c>
      <c r="U73" s="80" t="str">
        <f>IFERROR(__xludf.DUMMYFUNCTION("""COMPUTED_VALUE"""),"JL. GAJAH MADA DUSUN 02")</f>
        <v>JL. GAJAH MADA DUSUN 02</v>
      </c>
      <c r="V73" s="80" t="str">
        <f>IFERROR(__xludf.DUMMYFUNCTION("""COMPUTED_VALUE"""),"002/006")</f>
        <v>002/006</v>
      </c>
      <c r="W73" s="80" t="str">
        <f>IFERROR(__xludf.DUMMYFUNCTION("""COMPUTED_VALUE"""),"CIBOLERANG")</f>
        <v>CIBOLERANG</v>
      </c>
      <c r="X73" s="80" t="str">
        <f>IFERROR(__xludf.DUMMYFUNCTION("""COMPUTED_VALUE"""),"JATIWANGI")</f>
        <v>JATIWANGI</v>
      </c>
      <c r="Y73" s="80" t="str">
        <f>IFERROR(__xludf.DUMMYFUNCTION("""COMPUTED_VALUE"""),"KAB. MAJALENGKA")</f>
        <v>KAB. MAJALENGKA</v>
      </c>
      <c r="Z73" s="80" t="str">
        <f>IFERROR(__xludf.DUMMYFUNCTION("""COMPUTED_VALUE"""),"JAWA BARAT")</f>
        <v>JAWA BARAT</v>
      </c>
      <c r="AA73" s="80" t="str">
        <f>IFERROR(__xludf.DUMMYFUNCTION("""COMPUTED_VALUE"""),"45454")</f>
        <v>45454</v>
      </c>
      <c r="AB73" s="80" t="str">
        <f>IFERROR(__xludf.DUMMYFUNCTION("""COMPUTED_VALUE"""),"3210111504660041")</f>
        <v>3210111504660041</v>
      </c>
      <c r="AC73" s="80" t="str">
        <f>IFERROR(__xludf.DUMMYFUNCTION("""COMPUTED_VALUE"""),"14.323.534.9-438.000")</f>
        <v>14.323.534.9-438.000</v>
      </c>
      <c r="AD73" s="80" t="str">
        <f>IFERROR(__xludf.DUMMYFUNCTION("""COMPUTED_VALUE"""),"CUM - ABD")</f>
        <v>CUM - ABD</v>
      </c>
      <c r="AE73" s="80" t="str">
        <f>IFERROR(__xludf.DUMMYFUNCTION("""COMPUTED_VALUE"""),"SUB ABDUL QODIR")</f>
        <v>SUB ABDUL QODIR</v>
      </c>
      <c r="AF73" s="80" t="str">
        <f>IFERROR(__xludf.DUMMYFUNCTION("""COMPUTED_VALUE"""),"08112400966")</f>
        <v>08112400966</v>
      </c>
      <c r="AG73" s="80" t="str">
        <f>IFERROR(__xludf.DUMMYFUNCTION("""COMPUTED_VALUE"""),"08112400966")</f>
        <v>08112400966</v>
      </c>
      <c r="AH73" s="80" t="str">
        <f>IFERROR(__xludf.DUMMYFUNCTION("""COMPUTED_VALUE"""),"entis7961@gmail.com")</f>
        <v>entis7961@gmail.com</v>
      </c>
      <c r="AI73" s="80" t="str">
        <f>IFERROR(__xludf.DUMMYFUNCTION("""COMPUTED_VALUE"""),"45454S1")</f>
        <v>45454S1</v>
      </c>
      <c r="AJ73" s="80" t="str">
        <f>IFERROR(__xludf.DUMMYFUNCTION("""COMPUTED_VALUE"""),"63ad661742f5741cbd6b0275")</f>
        <v>63ad661742f5741cbd6b0275</v>
      </c>
      <c r="AK73" s="80" t="str">
        <f>IFERROR(__xludf.DUMMYFUNCTION("""COMPUTED_VALUE"""),"dm45454s1")</f>
        <v>dm45454s1</v>
      </c>
      <c r="AL73" s="80" t="str">
        <f>IFERROR(__xludf.DUMMYFUNCTION("""COMPUTED_VALUE"""),"password")</f>
        <v>password</v>
      </c>
      <c r="AM73" s="80"/>
      <c r="AN73" s="80" t="str">
        <f>IFERROR(__xludf.DUMMYFUNCTION("""COMPUTED_VALUE"""),"POS JATIWANGI")</f>
        <v>POS JATIWANGI</v>
      </c>
      <c r="AO73" s="80" t="str">
        <f>IFERROR(__xludf.DUMMYFUNCTION("""COMPUTED_VALUE"""),"1912220055862")</f>
        <v>1912220055862</v>
      </c>
      <c r="AP73" s="80" t="str">
        <f>IFERROR(__xludf.DUMMYFUNCTION("""COMPUTED_VALUE"""),"53202 ( AKTIFITAS AGEN KURIR )")</f>
        <v>53202 ( AKTIFITAS AGEN KURIR )</v>
      </c>
      <c r="AQ73" s="83"/>
      <c r="AR73" s="80"/>
      <c r="AS73" s="80"/>
      <c r="AT73" s="80" t="str">
        <f>IFERROR(__xludf.DUMMYFUNCTION("""COMPUTED_VALUE"""),"-67293884")</f>
        <v>-67293884</v>
      </c>
      <c r="AU73" s="80" t="str">
        <f>IFERROR(__xludf.DUMMYFUNCTION("""COMPUTED_VALUE"""),"1082667934")</f>
        <v>1082667934</v>
      </c>
      <c r="AV73" s="80" t="str">
        <f>IFERROR(__xludf.DUMMYFUNCTION("""COMPUTED_VALUE"""),"ADA")</f>
        <v>ADA</v>
      </c>
      <c r="AW73" s="80" t="str">
        <f>IFERROR(__xludf.DUMMYFUNCTION("""COMPUTED_VALUE"""),"ADA")</f>
        <v>ADA</v>
      </c>
      <c r="AX73" s="80"/>
      <c r="AY73" s="80"/>
      <c r="AZ73" s="80"/>
      <c r="BA73" s="80" t="str">
        <f>IFERROR(__xludf.DUMMYFUNCTION("""COMPUTED_VALUE"""),"ADA")</f>
        <v>ADA</v>
      </c>
      <c r="BB73" s="80" t="str">
        <f>IFERROR(__xludf.DUMMYFUNCTION("""COMPUTED_VALUE"""),"ADA")</f>
        <v>ADA</v>
      </c>
      <c r="BC73" s="80" t="str">
        <f>IFERROR(__xludf.DUMMYFUNCTION("""COMPUTED_VALUE"""),"ADA")</f>
        <v>ADA</v>
      </c>
      <c r="BD73" s="80" t="str">
        <f>IFERROR(__xludf.DUMMYFUNCTION("""COMPUTED_VALUE"""),"ADA")</f>
        <v>ADA</v>
      </c>
      <c r="BE73" s="80" t="str">
        <f>IFERROR(__xludf.DUMMYFUNCTION("""COMPUTED_VALUE"""),"ADA")</f>
        <v>ADA</v>
      </c>
      <c r="BF73" s="80" t="str">
        <f>IFERROR(__xludf.DUMMYFUNCTION("""COMPUTED_VALUE"""),"ADA")</f>
        <v>ADA</v>
      </c>
      <c r="BG73" s="80" t="str">
        <f>IFERROR(__xludf.DUMMYFUNCTION("""COMPUTED_VALUE"""),"ADA")</f>
        <v>ADA</v>
      </c>
      <c r="BH73" s="80" t="str">
        <f>IFERROR(__xludf.DUMMYFUNCTION("""COMPUTED_VALUE"""),"TINTA")</f>
        <v>TINTA</v>
      </c>
      <c r="BI73" s="80" t="str">
        <f>IFERROR(__xludf.DUMMYFUNCTION("""COMPUTED_VALUE"""),"ADA")</f>
        <v>ADA</v>
      </c>
      <c r="BJ73" s="80" t="str">
        <f>IFERROR(__xludf.DUMMYFUNCTION("""COMPUTED_VALUE"""),"HVS")</f>
        <v>HVS</v>
      </c>
      <c r="BK73" s="80"/>
      <c r="BL73" s="80"/>
      <c r="BM73" s="80"/>
      <c r="BN73" s="80"/>
      <c r="BO73" s="80"/>
      <c r="BP73" s="80"/>
      <c r="BQ73" s="80"/>
      <c r="BR73" s="80"/>
      <c r="BS73" s="80"/>
      <c r="BT73" s="80"/>
      <c r="BU73" s="80"/>
      <c r="BV73" s="80" t="str">
        <f>IFERROR(__xludf.DUMMYFUNCTION("""COMPUTED_VALUE"""),"Jl. Gajah Mada Dusun 02 Rt 001 Rw 006 Kel. Ciborelang Kec. Jatiwangi Kab. Majalengka 45454")</f>
        <v>Jl. Gajah Mada Dusun 02 Rt 001 Rw 006 Kel. Ciborelang Kec. Jatiwangi Kab. Majalengka 45454</v>
      </c>
      <c r="BW73" s="80"/>
      <c r="BX73" s="80"/>
      <c r="BY73" s="80"/>
      <c r="BZ73" s="80"/>
      <c r="CA73" s="80"/>
      <c r="CB73" s="80"/>
      <c r="CC73" s="80"/>
      <c r="CD73" s="80"/>
      <c r="CE73" s="80"/>
      <c r="CF73" s="80"/>
      <c r="CG73" s="80"/>
      <c r="CH73" s="80"/>
      <c r="CI73" s="80"/>
      <c r="CJ73" s="80"/>
      <c r="CK73" s="2"/>
    </row>
    <row r="74" ht="12.75" customHeight="1">
      <c r="A74" s="85">
        <f>IFERROR(__xludf.DUMMYFUNCTION("""COMPUTED_VALUE"""),71.0)</f>
        <v>71</v>
      </c>
      <c r="B74" s="85" t="str">
        <f>IFERROR(__xludf.DUMMYFUNCTION("""COMPUTED_VALUE"""),"21 DESEMBER 2022")</f>
        <v>21 DESEMBER 2022</v>
      </c>
      <c r="C74" s="85" t="str">
        <f>IFERROR(__xludf.DUMMYFUNCTION("""COMPUTED_VALUE"""),"21 DESEMBER 2022")</f>
        <v>21 DESEMBER 2022</v>
      </c>
      <c r="D74" s="86"/>
      <c r="E74" s="88"/>
      <c r="F74" s="85" t="str">
        <f>IFERROR(__xludf.DUMMYFUNCTION("""COMPUTED_VALUE"""),"14 JANUARI 2023")</f>
        <v>14 JANUARI 2023</v>
      </c>
      <c r="G74" s="86">
        <f>IFERROR(__xludf.DUMMYFUNCTION("""COMPUTED_VALUE"""),44940.0)</f>
        <v>44940</v>
      </c>
      <c r="H74" s="85"/>
      <c r="I74" s="85" t="str">
        <f>IFERROR(__xludf.DUMMYFUNCTION("""COMPUTED_VALUE"""),"23 JANUARI 2023")</f>
        <v>23 JANUARI 2023</v>
      </c>
      <c r="J74" s="85" t="str">
        <f>IFERROR(__xludf.DUMMYFUNCTION("""COMPUTED_VALUE"""),"23 JANUARI 2023")</f>
        <v>23 JANUARI 2023</v>
      </c>
      <c r="K74" s="85"/>
      <c r="L74" s="85"/>
      <c r="M74" s="85"/>
      <c r="N74" s="85"/>
      <c r="O74" s="85"/>
      <c r="P74" s="85" t="str">
        <f>IFERROR(__xludf.DUMMYFUNCTION("""COMPUTED_VALUE"""),"53BSPA25005JBTRK")</f>
        <v>53BSPA25005JBTRK</v>
      </c>
      <c r="Q74" s="85" t="str">
        <f>IFERROR(__xludf.DUMMYFUNCTION("""COMPUTED_VALUE"""),"PPOB FATINA")</f>
        <v>PPOB FATINA</v>
      </c>
      <c r="R74" s="85" t="str">
        <f>IFERROR(__xludf.DUMMYFUNCTION("""COMPUTED_VALUE"""),"LOKET FATINA")</f>
        <v>LOKET FATINA</v>
      </c>
      <c r="S74" s="85" t="str">
        <f>IFERROR(__xludf.DUMMYFUNCTION("""COMPUTED_VALUE"""),"Torikin")</f>
        <v>Torikin</v>
      </c>
      <c r="T74" s="85" t="str">
        <f>IFERROR(__xludf.DUMMYFUNCTION("""COMPUTED_VALUE"""),"Jl. Tambas 1 Desa Adidharma Rt 003 Rw 005 Komp. Pemda 2 Blok E No. 122")</f>
        <v>Jl. Tambas 1 Desa Adidharma Rt 003 Rw 005 Komp. Pemda 2 Blok E No. 122</v>
      </c>
      <c r="U74" s="85" t="str">
        <f>IFERROR(__xludf.DUMMYFUNCTION("""COMPUTED_VALUE"""),"JL. TAMBAS 1 DESA ADIDHARMA RT 003 RW 005 KOMP. PEMDA 2 BLOK E NO. 122")</f>
        <v>JL. TAMBAS 1 DESA ADIDHARMA RT 003 RW 005 KOMP. PEMDA 2 BLOK E NO. 122</v>
      </c>
      <c r="V74" s="85" t="str">
        <f>IFERROR(__xludf.DUMMYFUNCTION("""COMPUTED_VALUE"""),"003/005")</f>
        <v>003/005</v>
      </c>
      <c r="W74" s="85" t="str">
        <f>IFERROR(__xludf.DUMMYFUNCTION("""COMPUTED_VALUE"""),"ADIDAHRMA")</f>
        <v>ADIDAHRMA</v>
      </c>
      <c r="X74" s="85" t="str">
        <f>IFERROR(__xludf.DUMMYFUNCTION("""COMPUTED_VALUE"""),"GUNUNGJATI")</f>
        <v>GUNUNGJATI</v>
      </c>
      <c r="Y74" s="85" t="str">
        <f>IFERROR(__xludf.DUMMYFUNCTION("""COMPUTED_VALUE"""),"KAB. CIREBON")</f>
        <v>KAB. CIREBON</v>
      </c>
      <c r="Z74" s="85" t="str">
        <f>IFERROR(__xludf.DUMMYFUNCTION("""COMPUTED_VALUE"""),"JAWA BARAT")</f>
        <v>JAWA BARAT</v>
      </c>
      <c r="AA74" s="85" t="str">
        <f>IFERROR(__xludf.DUMMYFUNCTION("""COMPUTED_VALUE"""),"45643")</f>
        <v>45643</v>
      </c>
      <c r="AB74" s="85" t="str">
        <f>IFERROR(__xludf.DUMMYFUNCTION("""COMPUTED_VALUE"""),"3209212708780002")</f>
        <v>3209212708780002</v>
      </c>
      <c r="AC74" s="85" t="str">
        <f>IFERROR(__xludf.DUMMYFUNCTION("""COMPUTED_VALUE"""),"49.392.047.4-426.000")</f>
        <v>49.392.047.4-426.000</v>
      </c>
      <c r="AD74" s="85" t="str">
        <f>IFERROR(__xludf.DUMMYFUNCTION("""COMPUTED_VALUE"""),"CUM - TORIKIN")</f>
        <v>CUM - TORIKIN</v>
      </c>
      <c r="AE74" s="85" t="str">
        <f>IFERROR(__xludf.DUMMYFUNCTION("""COMPUTED_VALUE"""),"SUB TORIKIN")</f>
        <v>SUB TORIKIN</v>
      </c>
      <c r="AF74" s="85" t="str">
        <f>IFERROR(__xludf.DUMMYFUNCTION("""COMPUTED_VALUE"""),"085353533656")</f>
        <v>085353533656</v>
      </c>
      <c r="AG74" s="85" t="str">
        <f>IFERROR(__xludf.DUMMYFUNCTION("""COMPUTED_VALUE"""),"085353533656")</f>
        <v>085353533656</v>
      </c>
      <c r="AH74" s="85" t="str">
        <f>IFERROR(__xludf.DUMMYFUNCTION("""COMPUTED_VALUE"""),"toriq27@yahoo.co.id")</f>
        <v>toriq27@yahoo.co.id</v>
      </c>
      <c r="AI74" s="85" t="str">
        <f>IFERROR(__xludf.DUMMYFUNCTION("""COMPUTED_VALUE"""),"45643S3")</f>
        <v>45643S3</v>
      </c>
      <c r="AJ74" s="85" t="str">
        <f>IFERROR(__xludf.DUMMYFUNCTION("""COMPUTED_VALUE"""),"63bfb49788d7cc6fb67b6476")</f>
        <v>63bfb49788d7cc6fb67b6476</v>
      </c>
      <c r="AK74" s="85" t="str">
        <f>IFERROR(__xludf.DUMMYFUNCTION("""COMPUTED_VALUE"""),"dm45643s3")</f>
        <v>dm45643s3</v>
      </c>
      <c r="AL74" s="85" t="str">
        <f>IFERROR(__xludf.DUMMYFUNCTION("""COMPUTED_VALUE"""),"password")</f>
        <v>password</v>
      </c>
      <c r="AM74" s="85"/>
      <c r="AN74" s="85" t="str">
        <f>IFERROR(__xludf.DUMMYFUNCTION("""COMPUTED_VALUE"""),"POS KESENDEN")</f>
        <v>POS KESENDEN</v>
      </c>
      <c r="AO74" s="85" t="str">
        <f>IFERROR(__xludf.DUMMYFUNCTION("""COMPUTED_VALUE"""),"2112220036578")</f>
        <v>2112220036578</v>
      </c>
      <c r="AP74" s="85" t="str">
        <f>IFERROR(__xludf.DUMMYFUNCTION("""COMPUTED_VALUE"""),"53202 ( AKTIFITAS AGEN KURIR )")</f>
        <v>53202 ( AKTIFITAS AGEN KURIR )</v>
      </c>
      <c r="AQ74" s="93"/>
      <c r="AR74" s="85"/>
      <c r="AS74" s="85"/>
      <c r="AT74" s="85" t="str">
        <f>IFERROR(__xludf.DUMMYFUNCTION("""COMPUTED_VALUE"""),"-66,947,881")</f>
        <v>-66,947,881</v>
      </c>
      <c r="AU74" s="85" t="str">
        <f>IFERROR(__xludf.DUMMYFUNCTION("""COMPUTED_VALUE"""),"1,085,463,975")</f>
        <v>1,085,463,975</v>
      </c>
      <c r="AV74" s="85" t="str">
        <f>IFERROR(__xludf.DUMMYFUNCTION("""COMPUTED_VALUE"""),"ADA")</f>
        <v>ADA</v>
      </c>
      <c r="AW74" s="85" t="str">
        <f>IFERROR(__xludf.DUMMYFUNCTION("""COMPUTED_VALUE"""),"ADA")</f>
        <v>ADA</v>
      </c>
      <c r="AX74" s="85"/>
      <c r="AY74" s="85"/>
      <c r="AZ74" s="85"/>
      <c r="BA74" s="85" t="str">
        <f>IFERROR(__xludf.DUMMYFUNCTION("""COMPUTED_VALUE"""),"ADA")</f>
        <v>ADA</v>
      </c>
      <c r="BB74" s="85" t="str">
        <f>IFERROR(__xludf.DUMMYFUNCTION("""COMPUTED_VALUE"""),"ADA")</f>
        <v>ADA</v>
      </c>
      <c r="BC74" s="85" t="str">
        <f>IFERROR(__xludf.DUMMYFUNCTION("""COMPUTED_VALUE"""),"ADA")</f>
        <v>ADA</v>
      </c>
      <c r="BD74" s="85" t="str">
        <f>IFERROR(__xludf.DUMMYFUNCTION("""COMPUTED_VALUE"""),"ADA")</f>
        <v>ADA</v>
      </c>
      <c r="BE74" s="85" t="str">
        <f>IFERROR(__xludf.DUMMYFUNCTION("""COMPUTED_VALUE"""),"ADA")</f>
        <v>ADA</v>
      </c>
      <c r="BF74" s="85" t="str">
        <f>IFERROR(__xludf.DUMMYFUNCTION("""COMPUTED_VALUE"""),"ADA")</f>
        <v>ADA</v>
      </c>
      <c r="BG74" s="85" t="str">
        <f>IFERROR(__xludf.DUMMYFUNCTION("""COMPUTED_VALUE"""),"ADA")</f>
        <v>ADA</v>
      </c>
      <c r="BH74" s="85" t="str">
        <f>IFERROR(__xludf.DUMMYFUNCTION("""COMPUTED_VALUE"""),"TINTA")</f>
        <v>TINTA</v>
      </c>
      <c r="BI74" s="85" t="str">
        <f>IFERROR(__xludf.DUMMYFUNCTION("""COMPUTED_VALUE"""),"ADA")</f>
        <v>ADA</v>
      </c>
      <c r="BJ74" s="85" t="str">
        <f>IFERROR(__xludf.DUMMYFUNCTION("""COMPUTED_VALUE"""),"HVS")</f>
        <v>HVS</v>
      </c>
      <c r="BK74" s="85" t="str">
        <f>IFERROR(__xludf.DUMMYFUNCTION("""COMPUTED_VALUE"""),"ADA")</f>
        <v>ADA</v>
      </c>
      <c r="BL74" s="85"/>
      <c r="BM74" s="85"/>
      <c r="BN74" s="85"/>
      <c r="BO74" s="85"/>
      <c r="BP74" s="85"/>
      <c r="BQ74" s="85"/>
      <c r="BR74" s="85"/>
      <c r="BS74" s="85"/>
      <c r="BT74" s="85"/>
      <c r="BU74" s="85"/>
      <c r="BV74" s="85" t="str">
        <f>IFERROR(__xludf.DUMMYFUNCTION("""COMPUTED_VALUE"""),"Jl. Tambas 1 Desa Adidharma Rt 003 Rw 005 Komp. Pemda 2 Blok E No. 122")</f>
        <v>Jl. Tambas 1 Desa Adidharma Rt 003 Rw 005 Komp. Pemda 2 Blok E No. 122</v>
      </c>
      <c r="BW74" s="85"/>
      <c r="BX74" s="85"/>
      <c r="BY74" s="85"/>
      <c r="BZ74" s="85"/>
      <c r="CA74" s="85"/>
      <c r="CB74" s="85"/>
      <c r="CC74" s="85"/>
      <c r="CD74" s="85"/>
      <c r="CE74" s="85"/>
      <c r="CF74" s="85"/>
      <c r="CG74" s="85"/>
      <c r="CH74" s="85"/>
      <c r="CI74" s="85"/>
      <c r="CJ74" s="85"/>
      <c r="CK74" s="2"/>
    </row>
    <row r="75" ht="12.75" customHeight="1">
      <c r="A75" s="80">
        <f>IFERROR(__xludf.DUMMYFUNCTION("""COMPUTED_VALUE"""),72.0)</f>
        <v>72</v>
      </c>
      <c r="B75" s="80" t="str">
        <f>IFERROR(__xludf.DUMMYFUNCTION("""COMPUTED_VALUE"""),"23 DESEMBER 2022")</f>
        <v>23 DESEMBER 2022</v>
      </c>
      <c r="C75" s="80" t="str">
        <f>IFERROR(__xludf.DUMMYFUNCTION("""COMPUTED_VALUE"""),"23 DESEMBER 2022")</f>
        <v>23 DESEMBER 2022</v>
      </c>
      <c r="D75" s="81"/>
      <c r="E75" s="82"/>
      <c r="F75" s="80" t="str">
        <f>IFERROR(__xludf.DUMMYFUNCTION("""COMPUTED_VALUE"""),"27 JANUARI 2023")</f>
        <v>27 JANUARI 2023</v>
      </c>
      <c r="G75" s="81">
        <f>IFERROR(__xludf.DUMMYFUNCTION("""COMPUTED_VALUE"""),44953.0)</f>
        <v>44953</v>
      </c>
      <c r="H75" s="80"/>
      <c r="I75" s="80" t="str">
        <f>IFERROR(__xludf.DUMMYFUNCTION("""COMPUTED_VALUE"""),"27 JANUARI 2023")</f>
        <v>27 JANUARI 2023</v>
      </c>
      <c r="J75" s="80"/>
      <c r="K75" s="80"/>
      <c r="L75" s="80"/>
      <c r="M75" s="80"/>
      <c r="N75" s="80"/>
      <c r="O75" s="80"/>
      <c r="P75" s="80" t="str">
        <f>IFERROR(__xludf.DUMMYFUNCTION("""COMPUTED_VALUE"""),"53BSPA23276JBH07")</f>
        <v>53BSPA23276JBH07</v>
      </c>
      <c r="Q75" s="80" t="str">
        <f>IFERROR(__xludf.DUMMYFUNCTION("""COMPUTED_VALUE"""),"IRVIE RENTAL CELL")</f>
        <v>IRVIE RENTAL CELL</v>
      </c>
      <c r="R75" s="80" t="str">
        <f>IFERROR(__xludf.DUMMYFUNCTION("""COMPUTED_VALUE"""),"IRVIE RENTAL CEL")</f>
        <v>IRVIE RENTAL CEL</v>
      </c>
      <c r="S75" s="80" t="str">
        <f>IFERROR(__xludf.DUMMYFUNCTION("""COMPUTED_VALUE"""),"Mulya")</f>
        <v>Mulya</v>
      </c>
      <c r="T75" s="80" t="str">
        <f>IFERROR(__xludf.DUMMYFUNCTION("""COMPUTED_VALUE"""),"Jl Gua Pawon No. 18 Rt 004 Rw 011 Kel. Gunung Masigit Kec. Cipatat 40754")</f>
        <v>Jl Gua Pawon No. 18 Rt 004 Rw 011 Kel. Gunung Masigit Kec. Cipatat 40754</v>
      </c>
      <c r="U75" s="80" t="str">
        <f>IFERROR(__xludf.DUMMYFUNCTION("""COMPUTED_VALUE"""),"JL GUA PAWON NO. 18")</f>
        <v>JL GUA PAWON NO. 18</v>
      </c>
      <c r="V75" s="80" t="str">
        <f>IFERROR(__xludf.DUMMYFUNCTION("""COMPUTED_VALUE"""),"004/011")</f>
        <v>004/011</v>
      </c>
      <c r="W75" s="80" t="str">
        <f>IFERROR(__xludf.DUMMYFUNCTION("""COMPUTED_VALUE"""),"GUNUNG MASIGIT")</f>
        <v>GUNUNG MASIGIT</v>
      </c>
      <c r="X75" s="80" t="str">
        <f>IFERROR(__xludf.DUMMYFUNCTION("""COMPUTED_VALUE"""),"CIPATAT")</f>
        <v>CIPATAT</v>
      </c>
      <c r="Y75" s="80" t="str">
        <f>IFERROR(__xludf.DUMMYFUNCTION("""COMPUTED_VALUE"""),"KAB. BANDUNG BARAT")</f>
        <v>KAB. BANDUNG BARAT</v>
      </c>
      <c r="Z75" s="80" t="str">
        <f>IFERROR(__xludf.DUMMYFUNCTION("""COMPUTED_VALUE"""),"JAWA BARAT")</f>
        <v>JAWA BARAT</v>
      </c>
      <c r="AA75" s="80" t="str">
        <f>IFERROR(__xludf.DUMMYFUNCTION("""COMPUTED_VALUE"""),"40754")</f>
        <v>40754</v>
      </c>
      <c r="AB75" s="80" t="str">
        <f>IFERROR(__xludf.DUMMYFUNCTION("""COMPUTED_VALUE"""),"3217071206790010")</f>
        <v>3217071206790010</v>
      </c>
      <c r="AC75" s="80" t="str">
        <f>IFERROR(__xludf.DUMMYFUNCTION("""COMPUTED_VALUE"""),"82.685.395.4-421.000")</f>
        <v>82.685.395.4-421.000</v>
      </c>
      <c r="AD75" s="80" t="str">
        <f>IFERROR(__xludf.DUMMYFUNCTION("""COMPUTED_VALUE"""),"CUM - HDT")</f>
        <v>CUM - HDT</v>
      </c>
      <c r="AE75" s="80" t="str">
        <f>IFERROR(__xludf.DUMMYFUNCTION("""COMPUTED_VALUE"""),"Sub Hidayat")</f>
        <v>Sub Hidayat</v>
      </c>
      <c r="AF75" s="80" t="str">
        <f>IFERROR(__xludf.DUMMYFUNCTION("""COMPUTED_VALUE"""),"0851-5758-1181")</f>
        <v>0851-5758-1181</v>
      </c>
      <c r="AG75" s="80" t="str">
        <f>IFERROR(__xludf.DUMMYFUNCTION("""COMPUTED_VALUE"""),"0851-5758-1181")</f>
        <v>0851-5758-1181</v>
      </c>
      <c r="AH75" s="80" t="str">
        <f>IFERROR(__xludf.DUMMYFUNCTION("""COMPUTED_VALUE"""),"irvie_rental_cell@yahoo.com")</f>
        <v>irvie_rental_cell@yahoo.com</v>
      </c>
      <c r="AI75" s="80" t="str">
        <f>IFERROR(__xludf.DUMMYFUNCTION("""COMPUTED_VALUE"""),"40754S3")</f>
        <v>40754S3</v>
      </c>
      <c r="AJ75" s="80" t="str">
        <f>IFERROR(__xludf.DUMMYFUNCTION("""COMPUTED_VALUE"""),"63cb892af52b6722fa738cb4")</f>
        <v>63cb892af52b6722fa738cb4</v>
      </c>
      <c r="AK75" s="80" t="str">
        <f>IFERROR(__xludf.DUMMYFUNCTION("""COMPUTED_VALUE"""),"dm40754s3")</f>
        <v>dm40754s3</v>
      </c>
      <c r="AL75" s="80" t="str">
        <f>IFERROR(__xludf.DUMMYFUNCTION("""COMPUTED_VALUE"""),"password")</f>
        <v>password</v>
      </c>
      <c r="AM75" s="80"/>
      <c r="AN75" s="80" t="str">
        <f>IFERROR(__xludf.DUMMYFUNCTION("""COMPUTED_VALUE"""),"POS PADALARANG")</f>
        <v>POS PADALARANG</v>
      </c>
      <c r="AO75" s="80" t="str">
        <f>IFERROR(__xludf.DUMMYFUNCTION("""COMPUTED_VALUE"""),"2212220066088")</f>
        <v>2212220066088</v>
      </c>
      <c r="AP75" s="80" t="str">
        <f>IFERROR(__xludf.DUMMYFUNCTION("""COMPUTED_VALUE"""),"53202 ( AKTIFITAS AGEN KURIR )")</f>
        <v>53202 ( AKTIFITAS AGEN KURIR )</v>
      </c>
      <c r="AQ75" s="83"/>
      <c r="AR75" s="80"/>
      <c r="AS75" s="80"/>
      <c r="AT75" s="80" t="str">
        <f>IFERROR(__xludf.DUMMYFUNCTION("""COMPUTED_VALUE"""),"-68,316,266")</f>
        <v>-68,316,266</v>
      </c>
      <c r="AU75" s="80" t="str">
        <f>IFERROR(__xludf.DUMMYFUNCTION("""COMPUTED_VALUE"""),"1074312664")</f>
        <v>1074312664</v>
      </c>
      <c r="AV75" s="80" t="str">
        <f>IFERROR(__xludf.DUMMYFUNCTION("""COMPUTED_VALUE"""),"ADA")</f>
        <v>ADA</v>
      </c>
      <c r="AW75" s="80" t="str">
        <f>IFERROR(__xludf.DUMMYFUNCTION("""COMPUTED_VALUE"""),"ADA")</f>
        <v>ADA</v>
      </c>
      <c r="AX75" s="80"/>
      <c r="AY75" s="80"/>
      <c r="AZ75" s="80"/>
      <c r="BA75" s="80" t="str">
        <f>IFERROR(__xludf.DUMMYFUNCTION("""COMPUTED_VALUE"""),"ADA")</f>
        <v>ADA</v>
      </c>
      <c r="BB75" s="80" t="str">
        <f>IFERROR(__xludf.DUMMYFUNCTION("""COMPUTED_VALUE"""),"ADA")</f>
        <v>ADA</v>
      </c>
      <c r="BC75" s="80" t="str">
        <f>IFERROR(__xludf.DUMMYFUNCTION("""COMPUTED_VALUE"""),"ADA")</f>
        <v>ADA</v>
      </c>
      <c r="BD75" s="80" t="str">
        <f>IFERROR(__xludf.DUMMYFUNCTION("""COMPUTED_VALUE"""),"ADA")</f>
        <v>ADA</v>
      </c>
      <c r="BE75" s="80" t="str">
        <f>IFERROR(__xludf.DUMMYFUNCTION("""COMPUTED_VALUE"""),"ADA")</f>
        <v>ADA</v>
      </c>
      <c r="BF75" s="80" t="str">
        <f>IFERROR(__xludf.DUMMYFUNCTION("""COMPUTED_VALUE"""),"ADA")</f>
        <v>ADA</v>
      </c>
      <c r="BG75" s="80" t="str">
        <f>IFERROR(__xludf.DUMMYFUNCTION("""COMPUTED_VALUE"""),"ADA")</f>
        <v>ADA</v>
      </c>
      <c r="BH75" s="80" t="str">
        <f>IFERROR(__xludf.DUMMYFUNCTION("""COMPUTED_VALUE"""),"TINTA")</f>
        <v>TINTA</v>
      </c>
      <c r="BI75" s="80" t="str">
        <f>IFERROR(__xludf.DUMMYFUNCTION("""COMPUTED_VALUE"""),"ADA")</f>
        <v>ADA</v>
      </c>
      <c r="BJ75" s="80" t="str">
        <f>IFERROR(__xludf.DUMMYFUNCTION("""COMPUTED_VALUE"""),"HVS")</f>
        <v>HVS</v>
      </c>
      <c r="BK75" s="80"/>
      <c r="BL75" s="80"/>
      <c r="BM75" s="80"/>
      <c r="BN75" s="80"/>
      <c r="BO75" s="80"/>
      <c r="BP75" s="80"/>
      <c r="BQ75" s="80"/>
      <c r="BR75" s="80"/>
      <c r="BS75" s="80"/>
      <c r="BT75" s="80"/>
      <c r="BU75" s="80"/>
      <c r="BV75" s="80" t="str">
        <f>IFERROR(__xludf.DUMMYFUNCTION("""COMPUTED_VALUE"""),"Jl Gua Pawon No. 18 Rt 004 Rw 011 Kel. Gunung Masigit Kec. Cipatat 40754")</f>
        <v>Jl Gua Pawon No. 18 Rt 004 Rw 011 Kel. Gunung Masigit Kec. Cipatat 40754</v>
      </c>
      <c r="BW75" s="80"/>
      <c r="BX75" s="80"/>
      <c r="BY75" s="80"/>
      <c r="BZ75" s="80"/>
      <c r="CA75" s="80"/>
      <c r="CB75" s="80"/>
      <c r="CC75" s="80"/>
      <c r="CD75" s="80"/>
      <c r="CE75" s="80"/>
      <c r="CF75" s="80"/>
      <c r="CG75" s="80"/>
      <c r="CH75" s="80"/>
      <c r="CI75" s="80"/>
      <c r="CJ75" s="80"/>
      <c r="CK75" s="2"/>
    </row>
    <row r="76" ht="12.75" customHeight="1">
      <c r="A76" s="85">
        <f>IFERROR(__xludf.DUMMYFUNCTION("""COMPUTED_VALUE"""),73.0)</f>
        <v>73</v>
      </c>
      <c r="B76" s="85" t="str">
        <f>IFERROR(__xludf.DUMMYFUNCTION("""COMPUTED_VALUE"""),"30 DESEMBER 2022")</f>
        <v>30 DESEMBER 2022</v>
      </c>
      <c r="C76" s="85" t="str">
        <f>IFERROR(__xludf.DUMMYFUNCTION("""COMPUTED_VALUE"""),"30 DESEMBER 2022")</f>
        <v>30 DESEMBER 2022</v>
      </c>
      <c r="D76" s="86"/>
      <c r="E76" s="88"/>
      <c r="F76" s="85" t="str">
        <f>IFERROR(__xludf.DUMMYFUNCTION("""COMPUTED_VALUE"""),"16 JANUARI 2023")</f>
        <v>16 JANUARI 2023</v>
      </c>
      <c r="G76" s="86">
        <f>IFERROR(__xludf.DUMMYFUNCTION("""COMPUTED_VALUE"""),44942.0)</f>
        <v>44942</v>
      </c>
      <c r="H76" s="85"/>
      <c r="I76" s="85"/>
      <c r="J76" s="85"/>
      <c r="K76" s="85"/>
      <c r="L76" s="85"/>
      <c r="M76" s="85"/>
      <c r="N76" s="85"/>
      <c r="O76" s="85"/>
      <c r="P76" s="85" t="str">
        <f>IFERROR(__xludf.DUMMYFUNCTION("""COMPUTED_VALUE"""),"53BSPA25817JBRAB")</f>
        <v>53BSPA25817JBRAB</v>
      </c>
      <c r="Q76" s="85" t="str">
        <f>IFERROR(__xludf.DUMMYFUNCTION("""COMPUTED_VALUE"""),"MITRA MANDIRI 2")</f>
        <v>MITRA MANDIRI 2</v>
      </c>
      <c r="R76" s="85" t="str">
        <f>IFERROR(__xludf.DUMMYFUNCTION("""COMPUTED_VALUE"""),"MITRA MANDIRI 2")</f>
        <v>MITRA MANDIRI 2</v>
      </c>
      <c r="S76" s="85" t="str">
        <f>IFERROR(__xludf.DUMMYFUNCTION("""COMPUTED_VALUE"""),"Tarcam")</f>
        <v>Tarcam</v>
      </c>
      <c r="T76" s="85" t="str">
        <f>IFERROR(__xludf.DUMMYFUNCTION("""COMPUTED_VALUE"""),"Blok Jum'At Rt 002 Rw 006 Kel. Panongan Kec. Jatitujuh Kab. Majalengka 45458")</f>
        <v>Blok Jum'At Rt 002 Rw 006 Kel. Panongan Kec. Jatitujuh Kab. Majalengka 45458</v>
      </c>
      <c r="U76" s="85" t="str">
        <f>IFERROR(__xludf.DUMMYFUNCTION("""COMPUTED_VALUE"""),"BLOK JUM'AT")</f>
        <v>BLOK JUM'AT</v>
      </c>
      <c r="V76" s="85" t="str">
        <f>IFERROR(__xludf.DUMMYFUNCTION("""COMPUTED_VALUE"""),"002/006")</f>
        <v>002/006</v>
      </c>
      <c r="W76" s="85" t="str">
        <f>IFERROR(__xludf.DUMMYFUNCTION("""COMPUTED_VALUE"""),"PANONGAN")</f>
        <v>PANONGAN</v>
      </c>
      <c r="X76" s="85" t="str">
        <f>IFERROR(__xludf.DUMMYFUNCTION("""COMPUTED_VALUE"""),"JATITUJUH")</f>
        <v>JATITUJUH</v>
      </c>
      <c r="Y76" s="85" t="str">
        <f>IFERROR(__xludf.DUMMYFUNCTION("""COMPUTED_VALUE"""),"KAB. MAJALENGKA")</f>
        <v>KAB. MAJALENGKA</v>
      </c>
      <c r="Z76" s="85" t="str">
        <f>IFERROR(__xludf.DUMMYFUNCTION("""COMPUTED_VALUE"""),"JAWA BARAT")</f>
        <v>JAWA BARAT</v>
      </c>
      <c r="AA76" s="85" t="str">
        <f>IFERROR(__xludf.DUMMYFUNCTION("""COMPUTED_VALUE"""),"45458")</f>
        <v>45458</v>
      </c>
      <c r="AB76" s="85" t="str">
        <f>IFERROR(__xludf.DUMMYFUNCTION("""COMPUTED_VALUE"""),"3210151101730001")</f>
        <v>3210151101730001</v>
      </c>
      <c r="AC76" s="85" t="str">
        <f>IFERROR(__xludf.DUMMYFUNCTION("""COMPUTED_VALUE"""),"75.736.178.7-438.000")</f>
        <v>75.736.178.7-438.000</v>
      </c>
      <c r="AD76" s="85" t="str">
        <f>IFERROR(__xludf.DUMMYFUNCTION("""COMPUTED_VALUE"""),"CUM - ABD")</f>
        <v>CUM - ABD</v>
      </c>
      <c r="AE76" s="85" t="str">
        <f>IFERROR(__xludf.DUMMYFUNCTION("""COMPUTED_VALUE"""),"SUB ABDUL QODIR")</f>
        <v>SUB ABDUL QODIR</v>
      </c>
      <c r="AF76" s="85" t="str">
        <f>IFERROR(__xludf.DUMMYFUNCTION("""COMPUTED_VALUE"""),"082215365881")</f>
        <v>082215365881</v>
      </c>
      <c r="AG76" s="85" t="str">
        <f>IFERROR(__xludf.DUMMYFUNCTION("""COMPUTED_VALUE"""),"082215365881")</f>
        <v>082215365881</v>
      </c>
      <c r="AH76" s="85" t="str">
        <f>IFERROR(__xludf.DUMMYFUNCTION("""COMPUTED_VALUE"""),"etarcam73@gmail.com")</f>
        <v>etarcam73@gmail.com</v>
      </c>
      <c r="AI76" s="85" t="str">
        <f>IFERROR(__xludf.DUMMYFUNCTION("""COMPUTED_VALUE"""),"45458S1")</f>
        <v>45458S1</v>
      </c>
      <c r="AJ76" s="85" t="str">
        <f>IFERROR(__xludf.DUMMYFUNCTION("""COMPUTED_VALUE"""),"63c183e0653a7e250478358b")</f>
        <v>63c183e0653a7e250478358b</v>
      </c>
      <c r="AK76" s="85" t="str">
        <f>IFERROR(__xludf.DUMMYFUNCTION("""COMPUTED_VALUE"""),"dm45458s1")</f>
        <v>dm45458s1</v>
      </c>
      <c r="AL76" s="85" t="str">
        <f>IFERROR(__xludf.DUMMYFUNCTION("""COMPUTED_VALUE"""),"password")</f>
        <v>password</v>
      </c>
      <c r="AM76" s="85"/>
      <c r="AN76" s="85" t="str">
        <f>IFERROR(__xludf.DUMMYFUNCTION("""COMPUTED_VALUE"""),"POS JATITUJUH")</f>
        <v>POS JATITUJUH</v>
      </c>
      <c r="AO76" s="85" t="str">
        <f>IFERROR(__xludf.DUMMYFUNCTION("""COMPUTED_VALUE"""),"2912220042179")</f>
        <v>2912220042179</v>
      </c>
      <c r="AP76" s="85" t="str">
        <f>IFERROR(__xludf.DUMMYFUNCTION("""COMPUTED_VALUE"""),"53202 ( AKTIFITAS AGEN KURIR )")</f>
        <v>53202 ( AKTIFITAS AGEN KURIR )</v>
      </c>
      <c r="AQ76" s="93"/>
      <c r="AR76" s="85"/>
      <c r="AS76" s="85"/>
      <c r="AT76" s="85" t="str">
        <f>IFERROR(__xludf.DUMMYFUNCTION("""COMPUTED_VALUE"""),"-66808083")</f>
        <v>-66808083</v>
      </c>
      <c r="AU76" s="85" t="str">
        <f>IFERROR(__xludf.DUMMYFUNCTION("""COMPUTED_VALUE"""),"1082213772")</f>
        <v>1082213772</v>
      </c>
      <c r="AV76" s="85" t="str">
        <f>IFERROR(__xludf.DUMMYFUNCTION("""COMPUTED_VALUE"""),"ADA")</f>
        <v>ADA</v>
      </c>
      <c r="AW76" s="85" t="str">
        <f>IFERROR(__xludf.DUMMYFUNCTION("""COMPUTED_VALUE"""),"ADA")</f>
        <v>ADA</v>
      </c>
      <c r="AX76" s="85"/>
      <c r="AY76" s="85"/>
      <c r="AZ76" s="85"/>
      <c r="BA76" s="85" t="str">
        <f>IFERROR(__xludf.DUMMYFUNCTION("""COMPUTED_VALUE"""),"ADA")</f>
        <v>ADA</v>
      </c>
      <c r="BB76" s="85" t="str">
        <f>IFERROR(__xludf.DUMMYFUNCTION("""COMPUTED_VALUE"""),"ADA")</f>
        <v>ADA</v>
      </c>
      <c r="BC76" s="85" t="str">
        <f>IFERROR(__xludf.DUMMYFUNCTION("""COMPUTED_VALUE"""),"ADA")</f>
        <v>ADA</v>
      </c>
      <c r="BD76" s="85" t="str">
        <f>IFERROR(__xludf.DUMMYFUNCTION("""COMPUTED_VALUE"""),"ADA")</f>
        <v>ADA</v>
      </c>
      <c r="BE76" s="85" t="str">
        <f>IFERROR(__xludf.DUMMYFUNCTION("""COMPUTED_VALUE"""),"ADA")</f>
        <v>ADA</v>
      </c>
      <c r="BF76" s="85" t="str">
        <f>IFERROR(__xludf.DUMMYFUNCTION("""COMPUTED_VALUE"""),"ADA")</f>
        <v>ADA</v>
      </c>
      <c r="BG76" s="85" t="str">
        <f>IFERROR(__xludf.DUMMYFUNCTION("""COMPUTED_VALUE"""),"ADA")</f>
        <v>ADA</v>
      </c>
      <c r="BH76" s="85" t="str">
        <f>IFERROR(__xludf.DUMMYFUNCTION("""COMPUTED_VALUE"""),"TINTA")</f>
        <v>TINTA</v>
      </c>
      <c r="BI76" s="85" t="str">
        <f>IFERROR(__xludf.DUMMYFUNCTION("""COMPUTED_VALUE"""),"ADA")</f>
        <v>ADA</v>
      </c>
      <c r="BJ76" s="85" t="str">
        <f>IFERROR(__xludf.DUMMYFUNCTION("""COMPUTED_VALUE"""),"HVS")</f>
        <v>HVS</v>
      </c>
      <c r="BK76" s="85"/>
      <c r="BL76" s="85"/>
      <c r="BM76" s="85"/>
      <c r="BN76" s="85"/>
      <c r="BO76" s="85"/>
      <c r="BP76" s="85"/>
      <c r="BQ76" s="85"/>
      <c r="BR76" s="85"/>
      <c r="BS76" s="85"/>
      <c r="BT76" s="85"/>
      <c r="BU76" s="85"/>
      <c r="BV76" s="85" t="str">
        <f>IFERROR(__xludf.DUMMYFUNCTION("""COMPUTED_VALUE"""),"Blok Jum'At Rt 002 Rw 006 Kel. Panongan Kec. Jatitujuh Kab. Majalengka 45458")</f>
        <v>Blok Jum'At Rt 002 Rw 006 Kel. Panongan Kec. Jatitujuh Kab. Majalengka 45458</v>
      </c>
      <c r="BW76" s="85"/>
      <c r="BX76" s="85"/>
      <c r="BY76" s="85"/>
      <c r="BZ76" s="85"/>
      <c r="CA76" s="85"/>
      <c r="CB76" s="85"/>
      <c r="CC76" s="85"/>
      <c r="CD76" s="85"/>
      <c r="CE76" s="85"/>
      <c r="CF76" s="85"/>
      <c r="CG76" s="85"/>
      <c r="CH76" s="85"/>
      <c r="CI76" s="85"/>
      <c r="CJ76" s="85"/>
      <c r="CK76" s="2"/>
    </row>
    <row r="77" ht="12.75" customHeight="1">
      <c r="A77" s="80">
        <f>IFERROR(__xludf.DUMMYFUNCTION("""COMPUTED_VALUE"""),74.0)</f>
        <v>74</v>
      </c>
      <c r="B77" s="80" t="str">
        <f>IFERROR(__xludf.DUMMYFUNCTION("""COMPUTED_VALUE"""),"30 DESEMBER 2022")</f>
        <v>30 DESEMBER 2022</v>
      </c>
      <c r="C77" s="80" t="str">
        <f>IFERROR(__xludf.DUMMYFUNCTION("""COMPUTED_VALUE"""),"30 DESEMBER 2022")</f>
        <v>30 DESEMBER 2022</v>
      </c>
      <c r="D77" s="81"/>
      <c r="E77" s="82"/>
      <c r="F77" s="80" t="str">
        <f>IFERROR(__xludf.DUMMYFUNCTION("""COMPUTED_VALUE"""),"1 FEBRUARI 2023")</f>
        <v>1 FEBRUARI 2023</v>
      </c>
      <c r="G77" s="81">
        <f>IFERROR(__xludf.DUMMYFUNCTION("""COMPUTED_VALUE"""),43862.0)</f>
        <v>43862</v>
      </c>
      <c r="H77" s="80"/>
      <c r="I77" s="80"/>
      <c r="J77" s="80"/>
      <c r="K77" s="80"/>
      <c r="L77" s="80"/>
      <c r="M77" s="80"/>
      <c r="N77" s="80"/>
      <c r="O77" s="80"/>
      <c r="P77" s="80" t="str">
        <f>IFERROR(__xludf.DUMMYFUNCTION("""COMPUTED_VALUE"""),"53BSPA25921JBRAB")</f>
        <v>53BSPA25921JBRAB</v>
      </c>
      <c r="Q77" s="80" t="str">
        <f>IFERROR(__xludf.DUMMYFUNCTION("""COMPUTED_VALUE"""),"ADE DAROJAT")</f>
        <v>ADE DAROJAT</v>
      </c>
      <c r="R77" s="80" t="str">
        <f>IFERROR(__xludf.DUMMYFUNCTION("""COMPUTED_VALUE"""),"SURYA ELEKTRIK")</f>
        <v>SURYA ELEKTRIK</v>
      </c>
      <c r="S77" s="80" t="str">
        <f>IFERROR(__xludf.DUMMYFUNCTION("""COMPUTED_VALUE"""),"Ade Darojat")</f>
        <v>Ade Darojat</v>
      </c>
      <c r="T77" s="80" t="str">
        <f>IFERROR(__xludf.DUMMYFUNCTION("""COMPUTED_VALUE"""),"Pasirhanja Rt 004 Rw 003 Kel. Margajaya Kec. Lemahsugih Kab. Majalengka 45465")</f>
        <v>Pasirhanja Rt 004 Rw 003 Kel. Margajaya Kec. Lemahsugih Kab. Majalengka 45465</v>
      </c>
      <c r="U77" s="80" t="str">
        <f>IFERROR(__xludf.DUMMYFUNCTION("""COMPUTED_VALUE"""),"PASIRHANJA RT 004 RW 003 KEL. MARGAJAYA KEC. LEMAHSUGIH KAB. MAJALENGKA 45465")</f>
        <v>PASIRHANJA RT 004 RW 003 KEL. MARGAJAYA KEC. LEMAHSUGIH KAB. MAJALENGKA 45465</v>
      </c>
      <c r="V77" s="80" t="str">
        <f>IFERROR(__xludf.DUMMYFUNCTION("""COMPUTED_VALUE"""),"004/003")</f>
        <v>004/003</v>
      </c>
      <c r="W77" s="80" t="str">
        <f>IFERROR(__xludf.DUMMYFUNCTION("""COMPUTED_VALUE"""),"MARGAJAYA")</f>
        <v>MARGAJAYA</v>
      </c>
      <c r="X77" s="80" t="str">
        <f>IFERROR(__xludf.DUMMYFUNCTION("""COMPUTED_VALUE"""),"LEMAHSUGIH")</f>
        <v>LEMAHSUGIH</v>
      </c>
      <c r="Y77" s="80" t="str">
        <f>IFERROR(__xludf.DUMMYFUNCTION("""COMPUTED_VALUE"""),"KAB. MAJALENGKA")</f>
        <v>KAB. MAJALENGKA</v>
      </c>
      <c r="Z77" s="80" t="str">
        <f>IFERROR(__xludf.DUMMYFUNCTION("""COMPUTED_VALUE"""),"JAWA BARAT")</f>
        <v>JAWA BARAT</v>
      </c>
      <c r="AA77" s="80" t="str">
        <f>IFERROR(__xludf.DUMMYFUNCTION("""COMPUTED_VALUE"""),"45465")</f>
        <v>45465</v>
      </c>
      <c r="AB77" s="80" t="str">
        <f>IFERROR(__xludf.DUMMYFUNCTION("""COMPUTED_VALUE"""),"3210011102730001")</f>
        <v>3210011102730001</v>
      </c>
      <c r="AC77" s="80" t="str">
        <f>IFERROR(__xludf.DUMMYFUNCTION("""COMPUTED_VALUE"""),"82.404.512.4-438.000")</f>
        <v>82.404.512.4-438.000</v>
      </c>
      <c r="AD77" s="80" t="str">
        <f>IFERROR(__xludf.DUMMYFUNCTION("""COMPUTED_VALUE"""),"CUM - ABD")</f>
        <v>CUM - ABD</v>
      </c>
      <c r="AE77" s="80" t="str">
        <f>IFERROR(__xludf.DUMMYFUNCTION("""COMPUTED_VALUE"""),"SUB ABDUL QODIR")</f>
        <v>SUB ABDUL QODIR</v>
      </c>
      <c r="AF77" s="80" t="str">
        <f>IFERROR(__xludf.DUMMYFUNCTION("""COMPUTED_VALUE"""),"081324237700")</f>
        <v>081324237700</v>
      </c>
      <c r="AG77" s="80" t="str">
        <f>IFERROR(__xludf.DUMMYFUNCTION("""COMPUTED_VALUE"""),"081324237700")</f>
        <v>081324237700</v>
      </c>
      <c r="AH77" s="80" t="str">
        <f>IFERROR(__xludf.DUMMYFUNCTION("""COMPUTED_VALUE"""),"adedarojat51@gmail.com")</f>
        <v>adedarojat51@gmail.com</v>
      </c>
      <c r="AI77" s="80" t="str">
        <f>IFERROR(__xludf.DUMMYFUNCTION("""COMPUTED_VALUE"""),"45465S2")</f>
        <v>45465S2</v>
      </c>
      <c r="AJ77" s="80" t="str">
        <f>IFERROR(__xludf.DUMMYFUNCTION("""COMPUTED_VALUE"""),"63d78d4b49c4b65ae8736e86")</f>
        <v>63d78d4b49c4b65ae8736e86</v>
      </c>
      <c r="AK77" s="80" t="str">
        <f>IFERROR(__xludf.DUMMYFUNCTION("""COMPUTED_VALUE"""),"dm45465s2")</f>
        <v>dm45465s2</v>
      </c>
      <c r="AL77" s="80" t="str">
        <f>IFERROR(__xludf.DUMMYFUNCTION("""COMPUTED_VALUE"""),"password")</f>
        <v>password</v>
      </c>
      <c r="AM77" s="80"/>
      <c r="AN77" s="80" t="str">
        <f>IFERROR(__xludf.DUMMYFUNCTION("""COMPUTED_VALUE"""),"POS BANTARUJEG")</f>
        <v>POS BANTARUJEG</v>
      </c>
      <c r="AO77" s="80" t="str">
        <f>IFERROR(__xludf.DUMMYFUNCTION("""COMPUTED_VALUE"""),"2912220017036")</f>
        <v>2912220017036</v>
      </c>
      <c r="AP77" s="80" t="str">
        <f>IFERROR(__xludf.DUMMYFUNCTION("""COMPUTED_VALUE"""),"53202 ( AKTIFITAS AGEN KURIR )")</f>
        <v>53202 ( AKTIFITAS AGEN KURIR )</v>
      </c>
      <c r="AQ77" s="83"/>
      <c r="AR77" s="80"/>
      <c r="AS77" s="80"/>
      <c r="AT77" s="80" t="str">
        <f>IFERROR(__xludf.DUMMYFUNCTION("""COMPUTED_VALUE"""),"-6987055")</f>
        <v>-6987055</v>
      </c>
      <c r="AU77" s="80" t="str">
        <f>IFERROR(__xludf.DUMMYFUNCTION("""COMPUTED_VALUE"""),"1081912952")</f>
        <v>1081912952</v>
      </c>
      <c r="AV77" s="80" t="str">
        <f>IFERROR(__xludf.DUMMYFUNCTION("""COMPUTED_VALUE"""),"ADA")</f>
        <v>ADA</v>
      </c>
      <c r="AW77" s="80" t="str">
        <f>IFERROR(__xludf.DUMMYFUNCTION("""COMPUTED_VALUE"""),"ADA")</f>
        <v>ADA</v>
      </c>
      <c r="AX77" s="80"/>
      <c r="AY77" s="80"/>
      <c r="AZ77" s="80"/>
      <c r="BA77" s="80" t="str">
        <f>IFERROR(__xludf.DUMMYFUNCTION("""COMPUTED_VALUE"""),"ADA")</f>
        <v>ADA</v>
      </c>
      <c r="BB77" s="80" t="str">
        <f>IFERROR(__xludf.DUMMYFUNCTION("""COMPUTED_VALUE"""),"ADA")</f>
        <v>ADA</v>
      </c>
      <c r="BC77" s="80" t="str">
        <f>IFERROR(__xludf.DUMMYFUNCTION("""COMPUTED_VALUE"""),"ADA")</f>
        <v>ADA</v>
      </c>
      <c r="BD77" s="80" t="str">
        <f>IFERROR(__xludf.DUMMYFUNCTION("""COMPUTED_VALUE"""),"ADA")</f>
        <v>ADA</v>
      </c>
      <c r="BE77" s="80" t="str">
        <f>IFERROR(__xludf.DUMMYFUNCTION("""COMPUTED_VALUE"""),"ADA")</f>
        <v>ADA</v>
      </c>
      <c r="BF77" s="80" t="str">
        <f>IFERROR(__xludf.DUMMYFUNCTION("""COMPUTED_VALUE"""),"ADA")</f>
        <v>ADA</v>
      </c>
      <c r="BG77" s="80" t="str">
        <f>IFERROR(__xludf.DUMMYFUNCTION("""COMPUTED_VALUE"""),"ADA")</f>
        <v>ADA</v>
      </c>
      <c r="BH77" s="80"/>
      <c r="BI77" s="80"/>
      <c r="BJ77" s="80"/>
      <c r="BK77" s="80"/>
      <c r="BL77" s="80"/>
      <c r="BM77" s="80"/>
      <c r="BN77" s="80"/>
      <c r="BO77" s="80"/>
      <c r="BP77" s="80"/>
      <c r="BQ77" s="80"/>
      <c r="BR77" s="80"/>
      <c r="BS77" s="80"/>
      <c r="BT77" s="80"/>
      <c r="BU77" s="80"/>
      <c r="BV77" s="80" t="str">
        <f>IFERROR(__xludf.DUMMYFUNCTION("""COMPUTED_VALUE"""),"Pasirhanja Rt 004 Rw 003 Kel. Margajaya Kec. Lemahsugih Kab. Majalengka 45465")</f>
        <v>Pasirhanja Rt 004 Rw 003 Kel. Margajaya Kec. Lemahsugih Kab. Majalengka 45465</v>
      </c>
      <c r="BW77" s="80"/>
      <c r="BX77" s="80"/>
      <c r="BY77" s="80"/>
      <c r="BZ77" s="80"/>
      <c r="CA77" s="80"/>
      <c r="CB77" s="80"/>
      <c r="CC77" s="80"/>
      <c r="CD77" s="80"/>
      <c r="CE77" s="80"/>
      <c r="CF77" s="80"/>
      <c r="CG77" s="80"/>
      <c r="CH77" s="80"/>
      <c r="CI77" s="80"/>
      <c r="CJ77" s="80"/>
      <c r="CK77" s="2"/>
    </row>
    <row r="78" ht="12.75" customHeight="1">
      <c r="A78" s="85">
        <f>IFERROR(__xludf.DUMMYFUNCTION("""COMPUTED_VALUE"""),75.0)</f>
        <v>75</v>
      </c>
      <c r="B78" s="85" t="str">
        <f>IFERROR(__xludf.DUMMYFUNCTION("""COMPUTED_VALUE"""),"31 DESEMBER 2022")</f>
        <v>31 DESEMBER 2022</v>
      </c>
      <c r="C78" s="85" t="str">
        <f>IFERROR(__xludf.DUMMYFUNCTION("""COMPUTED_VALUE"""),"2 JANUARI 2023")</f>
        <v>2 JANUARI 2023</v>
      </c>
      <c r="D78" s="86"/>
      <c r="E78" s="88"/>
      <c r="F78" s="85" t="str">
        <f>IFERROR(__xludf.DUMMYFUNCTION("""COMPUTED_VALUE"""),"14 FEBRUARI 2023")</f>
        <v>14 FEBRUARI 2023</v>
      </c>
      <c r="G78" s="86">
        <f>IFERROR(__xludf.DUMMYFUNCTION("""COMPUTED_VALUE"""),44971.0)</f>
        <v>44971</v>
      </c>
      <c r="H78" s="85"/>
      <c r="I78" s="85" t="str">
        <f>IFERROR(__xludf.DUMMYFUNCTION("""COMPUTED_VALUE"""),"20 FEBRUARI 2023")</f>
        <v>20 FEBRUARI 2023</v>
      </c>
      <c r="J78" s="85"/>
      <c r="K78" s="85"/>
      <c r="L78" s="85"/>
      <c r="M78" s="85"/>
      <c r="N78" s="85"/>
      <c r="O78" s="85"/>
      <c r="P78" s="85" t="str">
        <f>IFERROR(__xludf.DUMMYFUNCTION("""COMPUTED_VALUE"""),"51BSPA11124JTRSO")</f>
        <v>51BSPA11124JTRSO</v>
      </c>
      <c r="Q78" s="85" t="str">
        <f>IFERROR(__xludf.DUMMYFUNCTION("""COMPUTED_VALUE"""),"KUD DOLOPO")</f>
        <v>KUD DOLOPO</v>
      </c>
      <c r="R78" s="85" t="str">
        <f>IFERROR(__xludf.DUMMYFUNCTION("""COMPUTED_VALUE"""),"KUD DOLOPO")</f>
        <v>KUD DOLOPO</v>
      </c>
      <c r="S78" s="85" t="str">
        <f>IFERROR(__xludf.DUMMYFUNCTION("""COMPUTED_VALUE"""),"Drs. H. Slamet Daroini Mukti")</f>
        <v>Drs. H. Slamet Daroini Mukti</v>
      </c>
      <c r="T78" s="85" t="str">
        <f>IFERROR(__xludf.DUMMYFUNCTION("""COMPUTED_VALUE"""),"Desa Doho Krajan Rt 003 Rw 001 Kec. Dolopo Kab. Madiun 63174")</f>
        <v>Desa Doho Krajan Rt 003 Rw 001 Kec. Dolopo Kab. Madiun 63174</v>
      </c>
      <c r="U78" s="85" t="str">
        <f>IFERROR(__xludf.DUMMYFUNCTION("""COMPUTED_VALUE"""),"JL. RAYA PONOROGO NO.11 RT. 039 RW. 013")</f>
        <v>JL. RAYA PONOROGO NO.11 RT. 039 RW. 013</v>
      </c>
      <c r="V78" s="85" t="str">
        <f>IFERROR(__xludf.DUMMYFUNCTION("""COMPUTED_VALUE"""),"039/013")</f>
        <v>039/013</v>
      </c>
      <c r="W78" s="85" t="str">
        <f>IFERROR(__xludf.DUMMYFUNCTION("""COMPUTED_VALUE"""),"DOHO")</f>
        <v>DOHO</v>
      </c>
      <c r="X78" s="85" t="str">
        <f>IFERROR(__xludf.DUMMYFUNCTION("""COMPUTED_VALUE"""),"DOLOPO")</f>
        <v>DOLOPO</v>
      </c>
      <c r="Y78" s="85" t="str">
        <f>IFERROR(__xludf.DUMMYFUNCTION("""COMPUTED_VALUE"""),"KAB. MADIUN")</f>
        <v>KAB. MADIUN</v>
      </c>
      <c r="Z78" s="85" t="str">
        <f>IFERROR(__xludf.DUMMYFUNCTION("""COMPUTED_VALUE"""),"JAWA TIMUR")</f>
        <v>JAWA TIMUR</v>
      </c>
      <c r="AA78" s="85" t="str">
        <f>IFERROR(__xludf.DUMMYFUNCTION("""COMPUTED_VALUE"""),"63174")</f>
        <v>63174</v>
      </c>
      <c r="AB78" s="85" t="str">
        <f>IFERROR(__xludf.DUMMYFUNCTION("""COMPUTED_VALUE"""),"3519021012570000")</f>
        <v>3519021012570000</v>
      </c>
      <c r="AC78" s="85" t="str">
        <f>IFERROR(__xludf.DUMMYFUNCTION("""COMPUTED_VALUE"""),"74.926.152.5.621.000")</f>
        <v>74.926.152.5.621.000</v>
      </c>
      <c r="AD78" s="85" t="str">
        <f>IFERROR(__xludf.DUMMYFUNCTION("""COMPUTED_VALUE"""),"CUM - RSO2")</f>
        <v>CUM - RSO2</v>
      </c>
      <c r="AE78" s="85" t="str">
        <f>IFERROR(__xludf.DUMMYFUNCTION("""COMPUTED_VALUE"""),"SUB RUDI SUSANTO")</f>
        <v>SUB RUDI SUSANTO</v>
      </c>
      <c r="AF78" s="85" t="str">
        <f>IFERROR(__xludf.DUMMYFUNCTION("""COMPUTED_VALUE"""),"081359740067")</f>
        <v>081359740067</v>
      </c>
      <c r="AG78" s="85" t="str">
        <f>IFERROR(__xludf.DUMMYFUNCTION("""COMPUTED_VALUE"""),"081359740067")</f>
        <v>081359740067</v>
      </c>
      <c r="AH78" s="85" t="str">
        <f>IFERROR(__xludf.DUMMYFUNCTION("""COMPUTED_VALUE"""),"dolopo.kud@gmail.com")</f>
        <v>dolopo.kud@gmail.com</v>
      </c>
      <c r="AI78" s="85" t="str">
        <f>IFERROR(__xludf.DUMMYFUNCTION("""COMPUTED_VALUE"""),"63174S7")</f>
        <v>63174S7</v>
      </c>
      <c r="AJ78" s="85" t="str">
        <f>IFERROR(__xludf.DUMMYFUNCTION("""COMPUTED_VALUE"""),"63e377f0fd58cd21a26fa6b7")</f>
        <v>63e377f0fd58cd21a26fa6b7</v>
      </c>
      <c r="AK78" s="85" t="str">
        <f>IFERROR(__xludf.DUMMYFUNCTION("""COMPUTED_VALUE"""),"dm63174s7")</f>
        <v>dm63174s7</v>
      </c>
      <c r="AL78" s="85" t="str">
        <f>IFERROR(__xludf.DUMMYFUNCTION("""COMPUTED_VALUE"""),"password")</f>
        <v>password</v>
      </c>
      <c r="AM78" s="85"/>
      <c r="AN78" s="85" t="str">
        <f>IFERROR(__xludf.DUMMYFUNCTION("""COMPUTED_VALUE"""),"POS DOLOPO")</f>
        <v>POS DOLOPO</v>
      </c>
      <c r="AO78" s="85" t="str">
        <f>IFERROR(__xludf.DUMMYFUNCTION("""COMPUTED_VALUE"""),"0253010213708")</f>
        <v>0253010213708</v>
      </c>
      <c r="AP78" s="85" t="str">
        <f>IFERROR(__xludf.DUMMYFUNCTION("""COMPUTED_VALUE"""),"53202 ( AKTIFITAS AGEN KURIR )")</f>
        <v>53202 ( AKTIFITAS AGEN KURIR )</v>
      </c>
      <c r="AQ78" s="93"/>
      <c r="AR78" s="85"/>
      <c r="AS78" s="85"/>
      <c r="AT78" s="85" t="str">
        <f>IFERROR(__xludf.DUMMYFUNCTION("""COMPUTED_VALUE"""),"-77639331")</f>
        <v>-77639331</v>
      </c>
      <c r="AU78" s="85" t="str">
        <f>IFERROR(__xludf.DUMMYFUNCTION("""COMPUTED_VALUE"""),"1115240115")</f>
        <v>1115240115</v>
      </c>
      <c r="AV78" s="85" t="str">
        <f>IFERROR(__xludf.DUMMYFUNCTION("""COMPUTED_VALUE"""),"ADA")</f>
        <v>ADA</v>
      </c>
      <c r="AW78" s="85" t="str">
        <f>IFERROR(__xludf.DUMMYFUNCTION("""COMPUTED_VALUE"""),"ADA")</f>
        <v>ADA</v>
      </c>
      <c r="AX78" s="85"/>
      <c r="AY78" s="85"/>
      <c r="AZ78" s="85"/>
      <c r="BA78" s="85" t="str">
        <f>IFERROR(__xludf.DUMMYFUNCTION("""COMPUTED_VALUE"""),"ADA")</f>
        <v>ADA</v>
      </c>
      <c r="BB78" s="85" t="str">
        <f>IFERROR(__xludf.DUMMYFUNCTION("""COMPUTED_VALUE"""),"ADA")</f>
        <v>ADA</v>
      </c>
      <c r="BC78" s="85" t="str">
        <f>IFERROR(__xludf.DUMMYFUNCTION("""COMPUTED_VALUE"""),"ADA")</f>
        <v>ADA</v>
      </c>
      <c r="BD78" s="85" t="str">
        <f>IFERROR(__xludf.DUMMYFUNCTION("""COMPUTED_VALUE"""),"ADA")</f>
        <v>ADA</v>
      </c>
      <c r="BE78" s="85" t="str">
        <f>IFERROR(__xludf.DUMMYFUNCTION("""COMPUTED_VALUE"""),"ADA")</f>
        <v>ADA</v>
      </c>
      <c r="BF78" s="85" t="str">
        <f>IFERROR(__xludf.DUMMYFUNCTION("""COMPUTED_VALUE"""),"ADA")</f>
        <v>ADA</v>
      </c>
      <c r="BG78" s="85" t="str">
        <f>IFERROR(__xludf.DUMMYFUNCTION("""COMPUTED_VALUE"""),"ADA")</f>
        <v>ADA</v>
      </c>
      <c r="BH78" s="85"/>
      <c r="BI78" s="85"/>
      <c r="BJ78" s="85"/>
      <c r="BK78" s="85"/>
      <c r="BL78" s="85"/>
      <c r="BM78" s="85"/>
      <c r="BN78" s="85"/>
      <c r="BO78" s="85"/>
      <c r="BP78" s="85"/>
      <c r="BQ78" s="85"/>
      <c r="BR78" s="85"/>
      <c r="BS78" s="85"/>
      <c r="BT78" s="85"/>
      <c r="BU78" s="85"/>
      <c r="BV78" s="85" t="str">
        <f>IFERROR(__xludf.DUMMYFUNCTION("""COMPUTED_VALUE"""),"Desa Doho Krajan Rt 003 Rw 001 Kec. Dolopo Kab. Madiun 63174")</f>
        <v>Desa Doho Krajan Rt 003 Rw 001 Kec. Dolopo Kab. Madiun 63174</v>
      </c>
      <c r="BW78" s="85"/>
      <c r="BX78" s="85"/>
      <c r="BY78" s="85"/>
      <c r="BZ78" s="85"/>
      <c r="CA78" s="85"/>
      <c r="CB78" s="85"/>
      <c r="CC78" s="85"/>
      <c r="CD78" s="85"/>
      <c r="CE78" s="85"/>
      <c r="CF78" s="85"/>
      <c r="CG78" s="85"/>
      <c r="CH78" s="85"/>
      <c r="CI78" s="85"/>
      <c r="CJ78" s="85"/>
      <c r="CK78" s="2"/>
    </row>
    <row r="79" ht="12.75" customHeight="1">
      <c r="A79" s="80">
        <f>IFERROR(__xludf.DUMMYFUNCTION("""COMPUTED_VALUE"""),76.0)</f>
        <v>76</v>
      </c>
      <c r="B79" s="80" t="str">
        <f>IFERROR(__xludf.DUMMYFUNCTION("""COMPUTED_VALUE"""),"31 DESEMBER 2022")</f>
        <v>31 DESEMBER 2022</v>
      </c>
      <c r="C79" s="80" t="str">
        <f>IFERROR(__xludf.DUMMYFUNCTION("""COMPUTED_VALUE"""),"2 JANUARI 2023")</f>
        <v>2 JANUARI 2023</v>
      </c>
      <c r="D79" s="81"/>
      <c r="E79" s="82"/>
      <c r="F79" s="80" t="str">
        <f>IFERROR(__xludf.DUMMYFUNCTION("""COMPUTED_VALUE"""),"14 FEBRUARI 2023")</f>
        <v>14 FEBRUARI 2023</v>
      </c>
      <c r="G79" s="81">
        <f>IFERROR(__xludf.DUMMYFUNCTION("""COMPUTED_VALUE"""),44971.0)</f>
        <v>44971</v>
      </c>
      <c r="H79" s="80"/>
      <c r="I79" s="80" t="str">
        <f>IFERROR(__xludf.DUMMYFUNCTION("""COMPUTED_VALUE"""),"20 FEBRUARI 2023")</f>
        <v>20 FEBRUARI 2023</v>
      </c>
      <c r="J79" s="80"/>
      <c r="K79" s="80"/>
      <c r="L79" s="80"/>
      <c r="M79" s="80"/>
      <c r="N79" s="80"/>
      <c r="O79" s="80"/>
      <c r="P79" s="80" t="str">
        <f>IFERROR(__xludf.DUMMYFUNCTION("""COMPUTED_VALUE"""),"51BSPA11122JTRSO")</f>
        <v>51BSPA11122JTRSO</v>
      </c>
      <c r="Q79" s="80" t="str">
        <f>IFERROR(__xludf.DUMMYFUNCTION("""COMPUTED_VALUE"""),"KUD USAHA MULIA")</f>
        <v>KUD USAHA MULIA</v>
      </c>
      <c r="R79" s="80" t="str">
        <f>IFERROR(__xludf.DUMMYFUNCTION("""COMPUTED_VALUE"""),"KUD USAHA MULIA")</f>
        <v>KUD USAHA MULIA</v>
      </c>
      <c r="S79" s="80" t="str">
        <f>IFERROR(__xludf.DUMMYFUNCTION("""COMPUTED_VALUE"""),"Nur Hidayati")</f>
        <v>Nur Hidayati</v>
      </c>
      <c r="T79" s="80" t="str">
        <f>IFERROR(__xludf.DUMMYFUNCTION("""COMPUTED_VALUE"""),"Desa Prambon Rt 007 Rw 002 Kel. Prambon Kec. Dagangan Kab. Madiun 63172")</f>
        <v>Desa Prambon Rt 007 Rw 002 Kel. Prambon Kec. Dagangan Kab. Madiun 63172</v>
      </c>
      <c r="U79" s="80" t="str">
        <f>IFERROR(__xludf.DUMMYFUNCTION("""COMPUTED_VALUE"""),"DESA BANJARSARI KULON RT 001 RW 001")</f>
        <v>DESA BANJARSARI KULON RT 001 RW 001</v>
      </c>
      <c r="V79" s="80" t="str">
        <f>IFERROR(__xludf.DUMMYFUNCTION("""COMPUTED_VALUE"""),"001/001")</f>
        <v>001/001</v>
      </c>
      <c r="W79" s="80" t="str">
        <f>IFERROR(__xludf.DUMMYFUNCTION("""COMPUTED_VALUE"""),"BANJARSARI KULON")</f>
        <v>BANJARSARI KULON</v>
      </c>
      <c r="X79" s="80" t="str">
        <f>IFERROR(__xludf.DUMMYFUNCTION("""COMPUTED_VALUE"""),"DAGANGAN")</f>
        <v>DAGANGAN</v>
      </c>
      <c r="Y79" s="80" t="str">
        <f>IFERROR(__xludf.DUMMYFUNCTION("""COMPUTED_VALUE"""),"KAB. MADIUN")</f>
        <v>KAB. MADIUN</v>
      </c>
      <c r="Z79" s="80" t="str">
        <f>IFERROR(__xludf.DUMMYFUNCTION("""COMPUTED_VALUE"""),"JAWA TIMUR")</f>
        <v>JAWA TIMUR</v>
      </c>
      <c r="AA79" s="80" t="str">
        <f>IFERROR(__xludf.DUMMYFUNCTION("""COMPUTED_VALUE"""),"63172")</f>
        <v>63172</v>
      </c>
      <c r="AB79" s="80" t="str">
        <f>IFERROR(__xludf.DUMMYFUNCTION("""COMPUTED_VALUE"""),"3519045205670002 ")</f>
        <v>3519045205670002 </v>
      </c>
      <c r="AC79" s="80" t="str">
        <f>IFERROR(__xludf.DUMMYFUNCTION("""COMPUTED_VALUE"""),"01.234.577.3.621.000")</f>
        <v>01.234.577.3.621.000</v>
      </c>
      <c r="AD79" s="80" t="str">
        <f>IFERROR(__xludf.DUMMYFUNCTION("""COMPUTED_VALUE"""),"CUM - RSO2")</f>
        <v>CUM - RSO2</v>
      </c>
      <c r="AE79" s="80" t="str">
        <f>IFERROR(__xludf.DUMMYFUNCTION("""COMPUTED_VALUE"""),"SUB RUDI SUSANTO")</f>
        <v>SUB RUDI SUSANTO</v>
      </c>
      <c r="AF79" s="80" t="str">
        <f>IFERROR(__xludf.DUMMYFUNCTION("""COMPUTED_VALUE"""),"081231294800")</f>
        <v>081231294800</v>
      </c>
      <c r="AG79" s="80" t="str">
        <f>IFERROR(__xludf.DUMMYFUNCTION("""COMPUTED_VALUE"""),"081231294800")</f>
        <v>081231294800</v>
      </c>
      <c r="AH79" s="80" t="str">
        <f>IFERROR(__xludf.DUMMYFUNCTION("""COMPUTED_VALUE"""),"kudusahamulia@gmail.com")</f>
        <v>kudusahamulia@gmail.com</v>
      </c>
      <c r="AI79" s="80" t="str">
        <f>IFERROR(__xludf.DUMMYFUNCTION("""COMPUTED_VALUE"""),"63172S3")</f>
        <v>63172S3</v>
      </c>
      <c r="AJ79" s="80" t="str">
        <f>IFERROR(__xludf.DUMMYFUNCTION("""COMPUTED_VALUE"""),"63d799ba2dbd977ad167c4e2")</f>
        <v>63d799ba2dbd977ad167c4e2</v>
      </c>
      <c r="AK79" s="80" t="str">
        <f>IFERROR(__xludf.DUMMYFUNCTION("""COMPUTED_VALUE"""),"dm63172s3")</f>
        <v>dm63172s3</v>
      </c>
      <c r="AL79" s="80" t="str">
        <f>IFERROR(__xludf.DUMMYFUNCTION("""COMPUTED_VALUE"""),"password")</f>
        <v>password</v>
      </c>
      <c r="AM79" s="80"/>
      <c r="AN79" s="80" t="str">
        <f>IFERROR(__xludf.DUMMYFUNCTION("""COMPUTED_VALUE"""),"POS DAGANGAN")</f>
        <v>POS DAGANGAN</v>
      </c>
      <c r="AO79" s="80" t="str">
        <f>IFERROR(__xludf.DUMMYFUNCTION("""COMPUTED_VALUE"""),"9120103122929")</f>
        <v>9120103122929</v>
      </c>
      <c r="AP79" s="80" t="str">
        <f>IFERROR(__xludf.DUMMYFUNCTION("""COMPUTED_VALUE"""),"53202 ( AKTIFITAS AGEN KURIR )")</f>
        <v>53202 ( AKTIFITAS AGEN KURIR )</v>
      </c>
      <c r="AQ79" s="83"/>
      <c r="AR79" s="80"/>
      <c r="AS79" s="80"/>
      <c r="AT79" s="80" t="str">
        <f>IFERROR(__xludf.DUMMYFUNCTION("""COMPUTED_VALUE"""),"-76988367")</f>
        <v>-76988367</v>
      </c>
      <c r="AU79" s="80" t="str">
        <f>IFERROR(__xludf.DUMMYFUNCTION("""COMPUTED_VALUE"""),"1115528011")</f>
        <v>1115528011</v>
      </c>
      <c r="AV79" s="80" t="str">
        <f>IFERROR(__xludf.DUMMYFUNCTION("""COMPUTED_VALUE"""),"ADA")</f>
        <v>ADA</v>
      </c>
      <c r="AW79" s="80" t="str">
        <f>IFERROR(__xludf.DUMMYFUNCTION("""COMPUTED_VALUE"""),"ADA")</f>
        <v>ADA</v>
      </c>
      <c r="AX79" s="80"/>
      <c r="AY79" s="80"/>
      <c r="AZ79" s="80"/>
      <c r="BA79" s="80" t="str">
        <f>IFERROR(__xludf.DUMMYFUNCTION("""COMPUTED_VALUE"""),"ADA")</f>
        <v>ADA</v>
      </c>
      <c r="BB79" s="80" t="str">
        <f>IFERROR(__xludf.DUMMYFUNCTION("""COMPUTED_VALUE"""),"ADA")</f>
        <v>ADA</v>
      </c>
      <c r="BC79" s="80" t="str">
        <f>IFERROR(__xludf.DUMMYFUNCTION("""COMPUTED_VALUE"""),"ADA")</f>
        <v>ADA</v>
      </c>
      <c r="BD79" s="80" t="str">
        <f>IFERROR(__xludf.DUMMYFUNCTION("""COMPUTED_VALUE"""),"ADA")</f>
        <v>ADA</v>
      </c>
      <c r="BE79" s="80" t="str">
        <f>IFERROR(__xludf.DUMMYFUNCTION("""COMPUTED_VALUE"""),"ADA")</f>
        <v>ADA</v>
      </c>
      <c r="BF79" s="80" t="str">
        <f>IFERROR(__xludf.DUMMYFUNCTION("""COMPUTED_VALUE"""),"ADA")</f>
        <v>ADA</v>
      </c>
      <c r="BG79" s="80" t="str">
        <f>IFERROR(__xludf.DUMMYFUNCTION("""COMPUTED_VALUE"""),"ADA")</f>
        <v>ADA</v>
      </c>
      <c r="BH79" s="80"/>
      <c r="BI79" s="80"/>
      <c r="BJ79" s="80"/>
      <c r="BK79" s="80"/>
      <c r="BL79" s="80"/>
      <c r="BM79" s="80"/>
      <c r="BN79" s="80"/>
      <c r="BO79" s="80"/>
      <c r="BP79" s="80"/>
      <c r="BQ79" s="80"/>
      <c r="BR79" s="80"/>
      <c r="BS79" s="80"/>
      <c r="BT79" s="80"/>
      <c r="BU79" s="80"/>
      <c r="BV79" s="80" t="str">
        <f>IFERROR(__xludf.DUMMYFUNCTION("""COMPUTED_VALUE"""),"Desa Prambon Rt 007 Rw 002 Kel. Prambon Kec. Dagangan Kab. Madiun 63172")</f>
        <v>Desa Prambon Rt 007 Rw 002 Kel. Prambon Kec. Dagangan Kab. Madiun 63172</v>
      </c>
      <c r="BW79" s="80"/>
      <c r="BX79" s="80"/>
      <c r="BY79" s="80"/>
      <c r="BZ79" s="80"/>
      <c r="CA79" s="80"/>
      <c r="CB79" s="80"/>
      <c r="CC79" s="80"/>
      <c r="CD79" s="80"/>
      <c r="CE79" s="80"/>
      <c r="CF79" s="80"/>
      <c r="CG79" s="80"/>
      <c r="CH79" s="80"/>
      <c r="CI79" s="80"/>
      <c r="CJ79" s="80"/>
      <c r="CK79" s="2"/>
    </row>
    <row r="80" ht="12.75" customHeight="1">
      <c r="A80" s="85">
        <f>IFERROR(__xludf.DUMMYFUNCTION("""COMPUTED_VALUE"""),77.0)</f>
        <v>77</v>
      </c>
      <c r="B80" s="85" t="str">
        <f>IFERROR(__xludf.DUMMYFUNCTION("""COMPUTED_VALUE"""),"4 JANUARI 2023")</f>
        <v>4 JANUARI 2023</v>
      </c>
      <c r="C80" s="85" t="str">
        <f>IFERROR(__xludf.DUMMYFUNCTION("""COMPUTED_VALUE"""),"5 JANUARI 2023")</f>
        <v>5 JANUARI 2023</v>
      </c>
      <c r="D80" s="86"/>
      <c r="E80" s="88"/>
      <c r="F80" s="85" t="str">
        <f>IFERROR(__xludf.DUMMYFUNCTION("""COMPUTED_VALUE"""),"14 FEBRUARI 2023")</f>
        <v>14 FEBRUARI 2023</v>
      </c>
      <c r="G80" s="86">
        <f>IFERROR(__xludf.DUMMYFUNCTION("""COMPUTED_VALUE"""),44971.0)</f>
        <v>44971</v>
      </c>
      <c r="H80" s="85"/>
      <c r="I80" s="85" t="str">
        <f>IFERROR(__xludf.DUMMYFUNCTION("""COMPUTED_VALUE"""),"16 FEBRUARI 2023")</f>
        <v>16 FEBRUARI 2023</v>
      </c>
      <c r="J80" s="85" t="str">
        <f>IFERROR(__xludf.DUMMYFUNCTION("""COMPUTED_VALUE"""),"21 FEBRUARI 2023")</f>
        <v>21 FEBRUARI 2023</v>
      </c>
      <c r="K80" s="85"/>
      <c r="L80" s="85"/>
      <c r="M80" s="85"/>
      <c r="N80" s="85"/>
      <c r="O80" s="85"/>
      <c r="P80" s="85" t="str">
        <f>IFERROR(__xludf.DUMMYFUNCTION("""COMPUTED_VALUE"""),"51BSPA11112JTRSO")</f>
        <v>51BSPA11112JTRSO</v>
      </c>
      <c r="Q80" s="85" t="str">
        <f>IFERROR(__xludf.DUMMYFUNCTION("""COMPUTED_VALUE"""),"KUD TANI JAYA")</f>
        <v>KUD TANI JAYA</v>
      </c>
      <c r="R80" s="85" t="str">
        <f>IFERROR(__xludf.DUMMYFUNCTION("""COMPUTED_VALUE"""),"KUD TANI JAYA")</f>
        <v>KUD TANI JAYA</v>
      </c>
      <c r="S80" s="85" t="str">
        <f>IFERROR(__xludf.DUMMYFUNCTION("""COMPUTED_VALUE"""),"Sarwana Se")</f>
        <v>Sarwana Se</v>
      </c>
      <c r="T80" s="85" t="str">
        <f>IFERROR(__xludf.DUMMYFUNCTION("""COMPUTED_VALUE"""),"Jl. Wanodya Bhakti L-255 Rt 029 Rw 007 Kel. Kanigoro Kec. Kartoharjo Kota Madiun ")</f>
        <v>Jl. Wanodya Bhakti L-255 Rt 029 Rw 007 Kel. Kanigoro Kec. Kartoharjo Kota Madiun </v>
      </c>
      <c r="U80" s="85" t="str">
        <f>IFERROR(__xludf.DUMMYFUNCTION("""COMPUTED_VALUE"""),"JL. RAYA KROKEH")</f>
        <v>JL. RAYA KROKEH</v>
      </c>
      <c r="V80" s="85"/>
      <c r="W80" s="85" t="str">
        <f>IFERROR(__xludf.DUMMYFUNCTION("""COMPUTED_VALUE"""),"PUCANG")</f>
        <v>PUCANG</v>
      </c>
      <c r="X80" s="85" t="str">
        <f>IFERROR(__xludf.DUMMYFUNCTION("""COMPUTED_VALUE"""),"SAWAHAN")</f>
        <v>SAWAHAN</v>
      </c>
      <c r="Y80" s="85" t="str">
        <f>IFERROR(__xludf.DUMMYFUNCTION("""COMPUTED_VALUE"""),"KAB. MADIUN")</f>
        <v>KAB. MADIUN</v>
      </c>
      <c r="Z80" s="85" t="str">
        <f>IFERROR(__xludf.DUMMYFUNCTION("""COMPUTED_VALUE"""),"JAWA TIMUR")</f>
        <v>JAWA TIMUR</v>
      </c>
      <c r="AA80" s="85" t="str">
        <f>IFERROR(__xludf.DUMMYFUNCTION("""COMPUTED_VALUE"""),"63162")</f>
        <v>63162</v>
      </c>
      <c r="AB80" s="85" t="str">
        <f>IFERROR(__xludf.DUMMYFUNCTION("""COMPUTED_VALUE"""),"3577011805670002")</f>
        <v>3577011805670002</v>
      </c>
      <c r="AC80" s="85" t="str">
        <f>IFERROR(__xludf.DUMMYFUNCTION("""COMPUTED_VALUE"""),"01.498.345.6-621.000")</f>
        <v>01.498.345.6-621.000</v>
      </c>
      <c r="AD80" s="85" t="str">
        <f>IFERROR(__xludf.DUMMYFUNCTION("""COMPUTED_VALUE"""),"CUM - RSO2")</f>
        <v>CUM - RSO2</v>
      </c>
      <c r="AE80" s="85" t="str">
        <f>IFERROR(__xludf.DUMMYFUNCTION("""COMPUTED_VALUE"""),"SUB RUDI SUSANTO")</f>
        <v>SUB RUDI SUSANTO</v>
      </c>
      <c r="AF80" s="85" t="str">
        <f>IFERROR(__xludf.DUMMYFUNCTION("""COMPUTED_VALUE"""),"08125941328")</f>
        <v>08125941328</v>
      </c>
      <c r="AG80" s="85" t="str">
        <f>IFERROR(__xludf.DUMMYFUNCTION("""COMPUTED_VALUE"""),"08125941328")</f>
        <v>08125941328</v>
      </c>
      <c r="AH80" s="85" t="str">
        <f>IFERROR(__xludf.DUMMYFUNCTION("""COMPUTED_VALUE"""),"kud.tjaya.swhn@gmail.com")</f>
        <v>kud.tjaya.swhn@gmail.com</v>
      </c>
      <c r="AI80" s="85" t="str">
        <f>IFERROR(__xludf.DUMMYFUNCTION("""COMPUTED_VALUE"""),"63162S4")</f>
        <v>63162S4</v>
      </c>
      <c r="AJ80" s="85" t="str">
        <f>IFERROR(__xludf.DUMMYFUNCTION("""COMPUTED_VALUE"""),"63d794df5a17206795330766")</f>
        <v>63d794df5a17206795330766</v>
      </c>
      <c r="AK80" s="85" t="str">
        <f>IFERROR(__xludf.DUMMYFUNCTION("""COMPUTED_VALUE"""),"dm63162s4")</f>
        <v>dm63162s4</v>
      </c>
      <c r="AL80" s="85" t="str">
        <f>IFERROR(__xludf.DUMMYFUNCTION("""COMPUTED_VALUE"""),"password")</f>
        <v>password</v>
      </c>
      <c r="AM80" s="85"/>
      <c r="AN80" s="85" t="str">
        <f>IFERROR(__xludf.DUMMYFUNCTION("""COMPUTED_VALUE"""),"POS MADIUN")</f>
        <v>POS MADIUN</v>
      </c>
      <c r="AO80" s="85" t="str">
        <f>IFERROR(__xludf.DUMMYFUNCTION("""COMPUTED_VALUE"""),"9120109262404")</f>
        <v>9120109262404</v>
      </c>
      <c r="AP80" s="85" t="str">
        <f>IFERROR(__xludf.DUMMYFUNCTION("""COMPUTED_VALUE"""),"53202 ( AKTIFITAS AGEN KURIR )")</f>
        <v>53202 ( AKTIFITAS AGEN KURIR )</v>
      </c>
      <c r="AQ80" s="93"/>
      <c r="AR80" s="85"/>
      <c r="AS80" s="85"/>
      <c r="AT80" s="85" t="str">
        <f>IFERROR(__xludf.DUMMYFUNCTION("""COMPUTED_VALUE"""),"-75799801")</f>
        <v>-75799801</v>
      </c>
      <c r="AU80" s="85" t="str">
        <f>IFERROR(__xludf.DUMMYFUNCTION("""COMPUTED_VALUE"""),"1115334659")</f>
        <v>1115334659</v>
      </c>
      <c r="AV80" s="85" t="str">
        <f>IFERROR(__xludf.DUMMYFUNCTION("""COMPUTED_VALUE"""),"ADA")</f>
        <v>ADA</v>
      </c>
      <c r="AW80" s="85" t="str">
        <f>IFERROR(__xludf.DUMMYFUNCTION("""COMPUTED_VALUE"""),"ADA")</f>
        <v>ADA</v>
      </c>
      <c r="AX80" s="85"/>
      <c r="AY80" s="85"/>
      <c r="AZ80" s="85"/>
      <c r="BA80" s="85" t="str">
        <f>IFERROR(__xludf.DUMMYFUNCTION("""COMPUTED_VALUE"""),"ADA")</f>
        <v>ADA</v>
      </c>
      <c r="BB80" s="85" t="str">
        <f>IFERROR(__xludf.DUMMYFUNCTION("""COMPUTED_VALUE"""),"ADA")</f>
        <v>ADA</v>
      </c>
      <c r="BC80" s="85" t="str">
        <f>IFERROR(__xludf.DUMMYFUNCTION("""COMPUTED_VALUE"""),"ADA")</f>
        <v>ADA</v>
      </c>
      <c r="BD80" s="85" t="str">
        <f>IFERROR(__xludf.DUMMYFUNCTION("""COMPUTED_VALUE"""),"ADA")</f>
        <v>ADA</v>
      </c>
      <c r="BE80" s="85" t="str">
        <f>IFERROR(__xludf.DUMMYFUNCTION("""COMPUTED_VALUE"""),"ADA")</f>
        <v>ADA</v>
      </c>
      <c r="BF80" s="85" t="str">
        <f>IFERROR(__xludf.DUMMYFUNCTION("""COMPUTED_VALUE"""),"ADA")</f>
        <v>ADA</v>
      </c>
      <c r="BG80" s="85" t="str">
        <f>IFERROR(__xludf.DUMMYFUNCTION("""COMPUTED_VALUE"""),"ADA")</f>
        <v>ADA</v>
      </c>
      <c r="BH80" s="85"/>
      <c r="BI80" s="85"/>
      <c r="BJ80" s="85"/>
      <c r="BK80" s="85"/>
      <c r="BL80" s="85"/>
      <c r="BM80" s="85"/>
      <c r="BN80" s="85"/>
      <c r="BO80" s="85"/>
      <c r="BP80" s="85"/>
      <c r="BQ80" s="85"/>
      <c r="BR80" s="85"/>
      <c r="BS80" s="85"/>
      <c r="BT80" s="85"/>
      <c r="BU80" s="85"/>
      <c r="BV80" s="85" t="str">
        <f>IFERROR(__xludf.DUMMYFUNCTION("""COMPUTED_VALUE"""),"Jl. Wanodya Bhakti L-255 Rt 029 Rw 007 Kel. Kanigoro Kec. Kartoharjo Kota Madiun ")</f>
        <v>Jl. Wanodya Bhakti L-255 Rt 029 Rw 007 Kel. Kanigoro Kec. Kartoharjo Kota Madiun </v>
      </c>
      <c r="BW80" s="85"/>
      <c r="BX80" s="85"/>
      <c r="BY80" s="85"/>
      <c r="BZ80" s="85"/>
      <c r="CA80" s="85"/>
      <c r="CB80" s="85"/>
      <c r="CC80" s="85"/>
      <c r="CD80" s="85"/>
      <c r="CE80" s="85"/>
      <c r="CF80" s="85"/>
      <c r="CG80" s="85"/>
      <c r="CH80" s="85"/>
      <c r="CI80" s="85"/>
      <c r="CJ80" s="85"/>
      <c r="CK80" s="2"/>
    </row>
    <row r="81" ht="12.75" customHeight="1">
      <c r="A81" s="80">
        <f>IFERROR(__xludf.DUMMYFUNCTION("""COMPUTED_VALUE"""),78.0)</f>
        <v>78</v>
      </c>
      <c r="B81" s="80" t="str">
        <f>IFERROR(__xludf.DUMMYFUNCTION("""COMPUTED_VALUE"""),"6 JANUARI 2023")</f>
        <v>6 JANUARI 2023</v>
      </c>
      <c r="C81" s="80" t="str">
        <f>IFERROR(__xludf.DUMMYFUNCTION("""COMPUTED_VALUE"""),"7 JANUARI 2023")</f>
        <v>7 JANUARI 2023</v>
      </c>
      <c r="D81" s="81"/>
      <c r="E81" s="82"/>
      <c r="F81" s="80"/>
      <c r="G81" s="81"/>
      <c r="H81" s="80"/>
      <c r="I81" s="80"/>
      <c r="J81" s="80"/>
      <c r="K81" s="80"/>
      <c r="L81" s="80"/>
      <c r="M81" s="80"/>
      <c r="N81" s="80"/>
      <c r="O81" s="80"/>
      <c r="P81" s="80" t="str">
        <f>IFERROR(__xludf.DUMMYFUNCTION("""COMPUTED_VALUE"""),"53BSPA06173JBABD")</f>
        <v>53BSPA06173JBABD</v>
      </c>
      <c r="Q81" s="80" t="str">
        <f>IFERROR(__xludf.DUMMYFUNCTION("""COMPUTED_VALUE"""),"DIAN NURAIDA")</f>
        <v>DIAN NURAIDA</v>
      </c>
      <c r="R81" s="80" t="str">
        <f>IFERROR(__xludf.DUMMYFUNCTION("""COMPUTED_VALUE"""),"LOKET KENZIA")</f>
        <v>LOKET KENZIA</v>
      </c>
      <c r="S81" s="80" t="str">
        <f>IFERROR(__xludf.DUMMYFUNCTION("""COMPUTED_VALUE"""),"Widdiya Permata Sari")</f>
        <v>Widdiya Permata Sari</v>
      </c>
      <c r="T81" s="80" t="str">
        <f>IFERROR(__xludf.DUMMYFUNCTION("""COMPUTED_VALUE"""),"Blok Cibeureum Kaler Rt 008 Rw 004 Kel. Cibeureum Kec. Talaga Kab. Majalengka 45463")</f>
        <v>Blok Cibeureum Kaler Rt 008 Rw 004 Kel. Cibeureum Kec. Talaga Kab. Majalengka 45463</v>
      </c>
      <c r="U81" s="80" t="str">
        <f>IFERROR(__xludf.DUMMYFUNCTION("""COMPUTED_VALUE"""),"BLOK CIBEUREUM KALER")</f>
        <v>BLOK CIBEUREUM KALER</v>
      </c>
      <c r="V81" s="80" t="str">
        <f>IFERROR(__xludf.DUMMYFUNCTION("""COMPUTED_VALUE"""),"008/004")</f>
        <v>008/004</v>
      </c>
      <c r="W81" s="80" t="str">
        <f>IFERROR(__xludf.DUMMYFUNCTION("""COMPUTED_VALUE"""),"CIBEUREUM")</f>
        <v>CIBEUREUM</v>
      </c>
      <c r="X81" s="80" t="str">
        <f>IFERROR(__xludf.DUMMYFUNCTION("""COMPUTED_VALUE"""),"TALAGA")</f>
        <v>TALAGA</v>
      </c>
      <c r="Y81" s="80" t="str">
        <f>IFERROR(__xludf.DUMMYFUNCTION("""COMPUTED_VALUE"""),"KAB. MAJALENGKA")</f>
        <v>KAB. MAJALENGKA</v>
      </c>
      <c r="Z81" s="80" t="str">
        <f>IFERROR(__xludf.DUMMYFUNCTION("""COMPUTED_VALUE"""),"JAWA BARAT")</f>
        <v>JAWA BARAT</v>
      </c>
      <c r="AA81" s="80" t="str">
        <f>IFERROR(__xludf.DUMMYFUNCTION("""COMPUTED_VALUE"""),"45463")</f>
        <v>45463</v>
      </c>
      <c r="AB81" s="80" t="str">
        <f>IFERROR(__xludf.DUMMYFUNCTION("""COMPUTED_VALUE"""),"3210046301940021")</f>
        <v>3210046301940021</v>
      </c>
      <c r="AC81" s="80" t="str">
        <f>IFERROR(__xludf.DUMMYFUNCTION("""COMPUTED_VALUE"""),"65.114.959.3-438.000")</f>
        <v>65.114.959.3-438.000</v>
      </c>
      <c r="AD81" s="80" t="str">
        <f>IFERROR(__xludf.DUMMYFUNCTION("""COMPUTED_VALUE"""),"CUM - ABD")</f>
        <v>CUM - ABD</v>
      </c>
      <c r="AE81" s="80" t="str">
        <f>IFERROR(__xludf.DUMMYFUNCTION("""COMPUTED_VALUE"""),"SUB ABDUL QODIR")</f>
        <v>SUB ABDUL QODIR</v>
      </c>
      <c r="AF81" s="80" t="str">
        <f>IFERROR(__xludf.DUMMYFUNCTION("""COMPUTED_VALUE"""),"082214573098")</f>
        <v>082214573098</v>
      </c>
      <c r="AG81" s="80" t="str">
        <f>IFERROR(__xludf.DUMMYFUNCTION("""COMPUTED_VALUE"""),"082214573098")</f>
        <v>082214573098</v>
      </c>
      <c r="AH81" s="80" t="str">
        <f>IFERROR(__xludf.DUMMYFUNCTION("""COMPUTED_VALUE"""),"permatasariwiddiya@gmail.com")</f>
        <v>permatasariwiddiya@gmail.com</v>
      </c>
      <c r="AI81" s="80" t="str">
        <f>IFERROR(__xludf.DUMMYFUNCTION("""COMPUTED_VALUE"""),"45463S1")</f>
        <v>45463S1</v>
      </c>
      <c r="AJ81" s="80" t="str">
        <f>IFERROR(__xludf.DUMMYFUNCTION("""COMPUTED_VALUE"""),"63d789f942db763e70116d45")</f>
        <v>63d789f942db763e70116d45</v>
      </c>
      <c r="AK81" s="80" t="str">
        <f>IFERROR(__xludf.DUMMYFUNCTION("""COMPUTED_VALUE"""),"dm45463s1")</f>
        <v>dm45463s1</v>
      </c>
      <c r="AL81" s="80" t="str">
        <f>IFERROR(__xludf.DUMMYFUNCTION("""COMPUTED_VALUE"""),"password")</f>
        <v>password</v>
      </c>
      <c r="AM81" s="80"/>
      <c r="AN81" s="80" t="str">
        <f>IFERROR(__xludf.DUMMYFUNCTION("""COMPUTED_VALUE"""),"POS TALAGA")</f>
        <v>POS TALAGA</v>
      </c>
      <c r="AO81" s="80" t="str">
        <f>IFERROR(__xludf.DUMMYFUNCTION("""COMPUTED_VALUE"""),"0601230043657")</f>
        <v>0601230043657</v>
      </c>
      <c r="AP81" s="80" t="str">
        <f>IFERROR(__xludf.DUMMYFUNCTION("""COMPUTED_VALUE"""),"53202 ( AKTIFITAS AGEN KURIR )")</f>
        <v>53202 ( AKTIFITAS AGEN KURIR )</v>
      </c>
      <c r="AQ81" s="83"/>
      <c r="AR81" s="80"/>
      <c r="AS81" s="80"/>
      <c r="AT81" s="80" t="str">
        <f>IFERROR(__xludf.DUMMYFUNCTION("""COMPUTED_VALUE"""),"-7018478")</f>
        <v>-7018478</v>
      </c>
      <c r="AU81" s="80" t="str">
        <f>IFERROR(__xludf.DUMMYFUNCTION("""COMPUTED_VALUE"""),"108304851")</f>
        <v>108304851</v>
      </c>
      <c r="AV81" s="80" t="str">
        <f>IFERROR(__xludf.DUMMYFUNCTION("""COMPUTED_VALUE"""),"ADA")</f>
        <v>ADA</v>
      </c>
      <c r="AW81" s="80" t="str">
        <f>IFERROR(__xludf.DUMMYFUNCTION("""COMPUTED_VALUE"""),"ADA")</f>
        <v>ADA</v>
      </c>
      <c r="AX81" s="80"/>
      <c r="AY81" s="80"/>
      <c r="AZ81" s="80"/>
      <c r="BA81" s="80" t="str">
        <f>IFERROR(__xludf.DUMMYFUNCTION("""COMPUTED_VALUE"""),"ADA")</f>
        <v>ADA</v>
      </c>
      <c r="BB81" s="80" t="str">
        <f>IFERROR(__xludf.DUMMYFUNCTION("""COMPUTED_VALUE"""),"ADA")</f>
        <v>ADA</v>
      </c>
      <c r="BC81" s="80" t="str">
        <f>IFERROR(__xludf.DUMMYFUNCTION("""COMPUTED_VALUE"""),"ADA")</f>
        <v>ADA</v>
      </c>
      <c r="BD81" s="80" t="str">
        <f>IFERROR(__xludf.DUMMYFUNCTION("""COMPUTED_VALUE"""),"ADA")</f>
        <v>ADA</v>
      </c>
      <c r="BE81" s="80" t="str">
        <f>IFERROR(__xludf.DUMMYFUNCTION("""COMPUTED_VALUE"""),"ADA")</f>
        <v>ADA</v>
      </c>
      <c r="BF81" s="80" t="str">
        <f>IFERROR(__xludf.DUMMYFUNCTION("""COMPUTED_VALUE"""),"ADA")</f>
        <v>ADA</v>
      </c>
      <c r="BG81" s="80" t="str">
        <f>IFERROR(__xludf.DUMMYFUNCTION("""COMPUTED_VALUE"""),"ADA")</f>
        <v>ADA</v>
      </c>
      <c r="BH81" s="80"/>
      <c r="BI81" s="80"/>
      <c r="BJ81" s="80"/>
      <c r="BK81" s="80"/>
      <c r="BL81" s="80"/>
      <c r="BM81" s="80"/>
      <c r="BN81" s="80"/>
      <c r="BO81" s="80"/>
      <c r="BP81" s="80"/>
      <c r="BQ81" s="80"/>
      <c r="BR81" s="80"/>
      <c r="BS81" s="80"/>
      <c r="BT81" s="80"/>
      <c r="BU81" s="80"/>
      <c r="BV81" s="80" t="str">
        <f>IFERROR(__xludf.DUMMYFUNCTION("""COMPUTED_VALUE"""),"Blok Cibeureum Kaler Rt 008 Rw 004 Kel. Cibeureum Kec. Talaga Kab. Majalengka 45463")</f>
        <v>Blok Cibeureum Kaler Rt 008 Rw 004 Kel. Cibeureum Kec. Talaga Kab. Majalengka 45463</v>
      </c>
      <c r="BW81" s="80"/>
      <c r="BX81" s="80"/>
      <c r="BY81" s="80"/>
      <c r="BZ81" s="80"/>
      <c r="CA81" s="80"/>
      <c r="CB81" s="80"/>
      <c r="CC81" s="80"/>
      <c r="CD81" s="80"/>
      <c r="CE81" s="80"/>
      <c r="CF81" s="80"/>
      <c r="CG81" s="80"/>
      <c r="CH81" s="80"/>
      <c r="CI81" s="80"/>
      <c r="CJ81" s="80"/>
      <c r="CK81" s="2"/>
    </row>
    <row r="82" ht="12.75" customHeight="1">
      <c r="A82" s="85">
        <f>IFERROR(__xludf.DUMMYFUNCTION("""COMPUTED_VALUE"""),79.0)</f>
        <v>79</v>
      </c>
      <c r="B82" s="85" t="str">
        <f>IFERROR(__xludf.DUMMYFUNCTION("""COMPUTED_VALUE"""),"6 JANUARI 2023")</f>
        <v>6 JANUARI 2023</v>
      </c>
      <c r="C82" s="85" t="str">
        <f>IFERROR(__xludf.DUMMYFUNCTION("""COMPUTED_VALUE"""),"7 JANUARI 2023")</f>
        <v>7 JANUARI 2023</v>
      </c>
      <c r="D82" s="86"/>
      <c r="E82" s="88"/>
      <c r="F82" s="85" t="str">
        <f>IFERROR(__xludf.DUMMYFUNCTION("""COMPUTED_VALUE"""),"13 JANUARI 2023")</f>
        <v>13 JANUARI 2023</v>
      </c>
      <c r="G82" s="86">
        <f>IFERROR(__xludf.DUMMYFUNCTION("""COMPUTED_VALUE"""),44939.0)</f>
        <v>44939</v>
      </c>
      <c r="H82" s="85"/>
      <c r="I82" s="85" t="str">
        <f>IFERROR(__xludf.DUMMYFUNCTION("""COMPUTED_VALUE"""),"14 JANUARI 2023")</f>
        <v>14 JANUARI 2023</v>
      </c>
      <c r="J82" s="85"/>
      <c r="K82" s="85"/>
      <c r="L82" s="85"/>
      <c r="M82" s="85"/>
      <c r="N82" s="85"/>
      <c r="O82" s="85"/>
      <c r="P82" s="85" t="str">
        <f>IFERROR(__xludf.DUMMYFUNCTION("""COMPUTED_VALUE"""),"52BSPA02522JTAMD")</f>
        <v>52BSPA02522JTAMD</v>
      </c>
      <c r="Q82" s="85" t="str">
        <f>IFERROR(__xludf.DUMMYFUNCTION("""COMPUTED_VALUE"""),"[Dh] Golden Car")</f>
        <v>[Dh] Golden Car</v>
      </c>
      <c r="R82" s="85" t="str">
        <f>IFERROR(__xludf.DUMMYFUNCTION("""COMPUTED_VALUE"""),"LOKET ROOSVITA")</f>
        <v>LOKET ROOSVITA</v>
      </c>
      <c r="S82" s="85" t="str">
        <f>IFERROR(__xludf.DUMMYFUNCTION("""COMPUTED_VALUE"""),"Rose Mardiantini Sh.")</f>
        <v>Rose Mardiantini Sh.</v>
      </c>
      <c r="T82" s="85" t="str">
        <f>IFERROR(__xludf.DUMMYFUNCTION("""COMPUTED_VALUE"""),"Jeksan Mangkunegaran Rt 002 Rw 006 Kel. Keprabon Kec. Banjarsari Kota Surakarta Jawa Tengah 57131")</f>
        <v>Jeksan Mangkunegaran Rt 002 Rw 006 Kel. Keprabon Kec. Banjarsari Kota Surakarta Jawa Tengah 57131</v>
      </c>
      <c r="U82" s="85" t="str">
        <f>IFERROR(__xludf.DUMMYFUNCTION("""COMPUTED_VALUE"""),"PRAPATAN KUTUKAN, SIDOMULYO")</f>
        <v>PRAPATAN KUTUKAN, SIDOMULYO</v>
      </c>
      <c r="V82" s="85" t="str">
        <f>IFERROR(__xludf.DUMMYFUNCTION("""COMPUTED_VALUE"""),"003/011")</f>
        <v>003/011</v>
      </c>
      <c r="W82" s="85" t="str">
        <f>IFERROR(__xludf.DUMMYFUNCTION("""COMPUTED_VALUE"""),"NGADILUWIH")</f>
        <v>NGADILUWIH</v>
      </c>
      <c r="X82" s="85" t="str">
        <f>IFERROR(__xludf.DUMMYFUNCTION("""COMPUTED_VALUE"""),"MATESIH")</f>
        <v>MATESIH</v>
      </c>
      <c r="Y82" s="85" t="str">
        <f>IFERROR(__xludf.DUMMYFUNCTION("""COMPUTED_VALUE"""),"KAB. KARANGANYAR")</f>
        <v>KAB. KARANGANYAR</v>
      </c>
      <c r="Z82" s="85" t="str">
        <f>IFERROR(__xludf.DUMMYFUNCTION("""COMPUTED_VALUE"""),"JAWA TENGAH")</f>
        <v>JAWA TENGAH</v>
      </c>
      <c r="AA82" s="85" t="str">
        <f>IFERROR(__xludf.DUMMYFUNCTION("""COMPUTED_VALUE"""),"57781")</f>
        <v>57781</v>
      </c>
      <c r="AB82" s="85" t="str">
        <f>IFERROR(__xludf.DUMMYFUNCTION("""COMPUTED_VALUE"""),"3372054604790002")</f>
        <v>3372054604790002</v>
      </c>
      <c r="AC82" s="85" t="str">
        <f>IFERROR(__xludf.DUMMYFUNCTION("""COMPUTED_VALUE"""),"69.873.568.5-526.000")</f>
        <v>69.873.568.5-526.000</v>
      </c>
      <c r="AD82" s="85" t="str">
        <f>IFERROR(__xludf.DUMMYFUNCTION("""COMPUTED_VALUE"""),"CUM - AMD")</f>
        <v>CUM - AMD</v>
      </c>
      <c r="AE82" s="85" t="str">
        <f>IFERROR(__xludf.DUMMYFUNCTION("""COMPUTED_VALUE"""),"AMINUDDIN")</f>
        <v>AMINUDDIN</v>
      </c>
      <c r="AF82" s="85" t="str">
        <f>IFERROR(__xludf.DUMMYFUNCTION("""COMPUTED_VALUE"""),"081393301070")</f>
        <v>081393301070</v>
      </c>
      <c r="AG82" s="85" t="str">
        <f>IFERROR(__xludf.DUMMYFUNCTION("""COMPUTED_VALUE"""),"081393301070")</f>
        <v>081393301070</v>
      </c>
      <c r="AH82" s="85" t="str">
        <f>IFERROR(__xludf.DUMMYFUNCTION("""COMPUTED_VALUE"""),"rose.mardiantini@gmail.com")</f>
        <v>rose.mardiantini@gmail.com</v>
      </c>
      <c r="AI82" s="85" t="str">
        <f>IFERROR(__xludf.DUMMYFUNCTION("""COMPUTED_VALUE"""),"57781S2")</f>
        <v>57781S2</v>
      </c>
      <c r="AJ82" s="85" t="str">
        <f>IFERROR(__xludf.DUMMYFUNCTION("""COMPUTED_VALUE"""),"63be7a980d309b40412616e8")</f>
        <v>63be7a980d309b40412616e8</v>
      </c>
      <c r="AK82" s="85" t="str">
        <f>IFERROR(__xludf.DUMMYFUNCTION("""COMPUTED_VALUE"""),"dm57781s2")</f>
        <v>dm57781s2</v>
      </c>
      <c r="AL82" s="85" t="str">
        <f>IFERROR(__xludf.DUMMYFUNCTION("""COMPUTED_VALUE"""),"password")</f>
        <v>password</v>
      </c>
      <c r="AM82" s="85" t="str">
        <f>IFERROR(__xludf.DUMMYFUNCTION("""COMPUTED_VALUE"""),"KANTOR REGIONAL IV SEMARANG 50004")</f>
        <v>KANTOR REGIONAL IV SEMARANG 50004</v>
      </c>
      <c r="AN82" s="85" t="str">
        <f>IFERROR(__xludf.DUMMYFUNCTION("""COMPUTED_VALUE"""),"POS JUMANTONO")</f>
        <v>POS JUMANTONO</v>
      </c>
      <c r="AO82" s="85" t="str">
        <f>IFERROR(__xludf.DUMMYFUNCTION("""COMPUTED_VALUE"""),"0601230008759")</f>
        <v>0601230008759</v>
      </c>
      <c r="AP82" s="85" t="str">
        <f>IFERROR(__xludf.DUMMYFUNCTION("""COMPUTED_VALUE"""),"53202 ( AKTIFITAS AGEN KURIR )")</f>
        <v>53202 ( AKTIFITAS AGEN KURIR )</v>
      </c>
      <c r="AQ82" s="93"/>
      <c r="AR82" s="85"/>
      <c r="AS82" s="85"/>
      <c r="AT82" s="85" t="str">
        <f>IFERROR(__xludf.DUMMYFUNCTION("""COMPUTED_VALUE"""),"-76331741")</f>
        <v>-76331741</v>
      </c>
      <c r="AU82" s="85" t="str">
        <f>IFERROR(__xludf.DUMMYFUNCTION("""COMPUTED_VALUE"""),"1109989906")</f>
        <v>1109989906</v>
      </c>
      <c r="AV82" s="85" t="str">
        <f>IFERROR(__xludf.DUMMYFUNCTION("""COMPUTED_VALUE"""),"ADA")</f>
        <v>ADA</v>
      </c>
      <c r="AW82" s="85" t="str">
        <f>IFERROR(__xludf.DUMMYFUNCTION("""COMPUTED_VALUE"""),"ADA")</f>
        <v>ADA</v>
      </c>
      <c r="AX82" s="85"/>
      <c r="AY82" s="85"/>
      <c r="AZ82" s="85"/>
      <c r="BA82" s="85" t="str">
        <f>IFERROR(__xludf.DUMMYFUNCTION("""COMPUTED_VALUE"""),"ADA")</f>
        <v>ADA</v>
      </c>
      <c r="BB82" s="85" t="str">
        <f>IFERROR(__xludf.DUMMYFUNCTION("""COMPUTED_VALUE"""),"ADA")</f>
        <v>ADA</v>
      </c>
      <c r="BC82" s="85" t="str">
        <f>IFERROR(__xludf.DUMMYFUNCTION("""COMPUTED_VALUE"""),"ADA")</f>
        <v>ADA</v>
      </c>
      <c r="BD82" s="85" t="str">
        <f>IFERROR(__xludf.DUMMYFUNCTION("""COMPUTED_VALUE"""),"ADA")</f>
        <v>ADA</v>
      </c>
      <c r="BE82" s="85" t="str">
        <f>IFERROR(__xludf.DUMMYFUNCTION("""COMPUTED_VALUE"""),"ADA")</f>
        <v>ADA</v>
      </c>
      <c r="BF82" s="85" t="str">
        <f>IFERROR(__xludf.DUMMYFUNCTION("""COMPUTED_VALUE"""),"ADA")</f>
        <v>ADA</v>
      </c>
      <c r="BG82" s="85" t="str">
        <f>IFERROR(__xludf.DUMMYFUNCTION("""COMPUTED_VALUE"""),"ADA")</f>
        <v>ADA</v>
      </c>
      <c r="BH82" s="85" t="str">
        <f>IFERROR(__xludf.DUMMYFUNCTION("""COMPUTED_VALUE"""),"TINTA")</f>
        <v>TINTA</v>
      </c>
      <c r="BI82" s="85" t="str">
        <f>IFERROR(__xludf.DUMMYFUNCTION("""COMPUTED_VALUE"""),"ADA")</f>
        <v>ADA</v>
      </c>
      <c r="BJ82" s="85"/>
      <c r="BK82" s="85"/>
      <c r="BL82" s="85"/>
      <c r="BM82" s="85"/>
      <c r="BN82" s="85"/>
      <c r="BO82" s="85"/>
      <c r="BP82" s="85"/>
      <c r="BQ82" s="85"/>
      <c r="BR82" s="85"/>
      <c r="BS82" s="85"/>
      <c r="BT82" s="85"/>
      <c r="BU82" s="85"/>
      <c r="BV82" s="85" t="str">
        <f>IFERROR(__xludf.DUMMYFUNCTION("""COMPUTED_VALUE"""),"Jeksan Mangkunegaran Rt 002 Rw 006 Kel. Keprabon Kec. Banjarsari Kota Surakarta Jawa Tengah 57131")</f>
        <v>Jeksan Mangkunegaran Rt 002 Rw 006 Kel. Keprabon Kec. Banjarsari Kota Surakarta Jawa Tengah 57131</v>
      </c>
      <c r="BW82" s="85"/>
      <c r="BX82" s="85"/>
      <c r="BY82" s="85"/>
      <c r="BZ82" s="85"/>
      <c r="CA82" s="85"/>
      <c r="CB82" s="85"/>
      <c r="CC82" s="85"/>
      <c r="CD82" s="85"/>
      <c r="CE82" s="85"/>
      <c r="CF82" s="85"/>
      <c r="CG82" s="85"/>
      <c r="CH82" s="85"/>
      <c r="CI82" s="85"/>
      <c r="CJ82" s="85"/>
      <c r="CK82" s="2"/>
    </row>
    <row r="83" ht="12.75" customHeight="1">
      <c r="A83" s="80">
        <f>IFERROR(__xludf.DUMMYFUNCTION("""COMPUTED_VALUE"""),80.0)</f>
        <v>80</v>
      </c>
      <c r="B83" s="80" t="str">
        <f>IFERROR(__xludf.DUMMYFUNCTION("""COMPUTED_VALUE"""),"6 JANUARI 2023")</f>
        <v>6 JANUARI 2023</v>
      </c>
      <c r="C83" s="80" t="str">
        <f>IFERROR(__xludf.DUMMYFUNCTION("""COMPUTED_VALUE"""),"7 JANUARI 2023")</f>
        <v>7 JANUARI 2023</v>
      </c>
      <c r="D83" s="81"/>
      <c r="E83" s="82"/>
      <c r="F83" s="80"/>
      <c r="G83" s="81"/>
      <c r="H83" s="80"/>
      <c r="I83" s="80"/>
      <c r="J83" s="80"/>
      <c r="K83" s="80"/>
      <c r="L83" s="80"/>
      <c r="M83" s="80"/>
      <c r="N83" s="80"/>
      <c r="O83" s="80"/>
      <c r="P83" s="80" t="str">
        <f>IFERROR(__xludf.DUMMYFUNCTION("""COMPUTED_VALUE"""),"53BSPA06144JBABD")</f>
        <v>53BSPA06144JBABD</v>
      </c>
      <c r="Q83" s="80" t="str">
        <f>IFERROR(__xludf.DUMMYFUNCTION("""COMPUTED_VALUE"""),"INO SOEKIRNO")</f>
        <v>INO SOEKIRNO</v>
      </c>
      <c r="R83" s="80" t="str">
        <f>IFERROR(__xludf.DUMMYFUNCTION("""COMPUTED_VALUE"""),"INO SOEKIRNO")</f>
        <v>INO SOEKIRNO</v>
      </c>
      <c r="S83" s="80" t="str">
        <f>IFERROR(__xludf.DUMMYFUNCTION("""COMPUTED_VALUE"""),"Sukirno")</f>
        <v>Sukirno</v>
      </c>
      <c r="T83" s="80" t="str">
        <f>IFERROR(__xludf.DUMMYFUNCTION("""COMPUTED_VALUE"""),"Cempeh Rt 003 Rw 001 Kel. Cempeh Kec. Lelea Kab. Indramayu 45261")</f>
        <v>Cempeh Rt 003 Rw 001 Kel. Cempeh Kec. Lelea Kab. Indramayu 45261</v>
      </c>
      <c r="U83" s="80" t="str">
        <f>IFERROR(__xludf.DUMMYFUNCTION("""COMPUTED_VALUE"""),"CEMPEH RT 003 RW 001 KEL. CEMPEH KEC. LELEA KAB. INDRAMAYU 45261")</f>
        <v>CEMPEH RT 003 RW 001 KEL. CEMPEH KEC. LELEA KAB. INDRAMAYU 45261</v>
      </c>
      <c r="V83" s="80" t="str">
        <f>IFERROR(__xludf.DUMMYFUNCTION("""COMPUTED_VALUE"""),"003/001")</f>
        <v>003/001</v>
      </c>
      <c r="W83" s="80" t="str">
        <f>IFERROR(__xludf.DUMMYFUNCTION("""COMPUTED_VALUE"""),"CEMPEH")</f>
        <v>CEMPEH</v>
      </c>
      <c r="X83" s="80" t="str">
        <f>IFERROR(__xludf.DUMMYFUNCTION("""COMPUTED_VALUE"""),"LELEA")</f>
        <v>LELEA</v>
      </c>
      <c r="Y83" s="80" t="str">
        <f>IFERROR(__xludf.DUMMYFUNCTION("""COMPUTED_VALUE"""),"KAB. INDRAMAYU")</f>
        <v>KAB. INDRAMAYU</v>
      </c>
      <c r="Z83" s="80" t="str">
        <f>IFERROR(__xludf.DUMMYFUNCTION("""COMPUTED_VALUE"""),"JAWA BARAT")</f>
        <v>JAWA BARAT</v>
      </c>
      <c r="AA83" s="80" t="str">
        <f>IFERROR(__xludf.DUMMYFUNCTION("""COMPUTED_VALUE"""),"45261")</f>
        <v>45261</v>
      </c>
      <c r="AB83" s="80" t="str">
        <f>IFERROR(__xludf.DUMMYFUNCTION("""COMPUTED_VALUE"""),"3212051001810001")</f>
        <v>3212051001810001</v>
      </c>
      <c r="AC83" s="80" t="str">
        <f>IFERROR(__xludf.DUMMYFUNCTION("""COMPUTED_VALUE"""),"29.779.445.5-437.000")</f>
        <v>29.779.445.5-437.000</v>
      </c>
      <c r="AD83" s="80" t="str">
        <f>IFERROR(__xludf.DUMMYFUNCTION("""COMPUTED_VALUE"""),"CUM - ABD")</f>
        <v>CUM - ABD</v>
      </c>
      <c r="AE83" s="80" t="str">
        <f>IFERROR(__xludf.DUMMYFUNCTION("""COMPUTED_VALUE"""),"SUB ABDUL QODIR")</f>
        <v>SUB ABDUL QODIR</v>
      </c>
      <c r="AF83" s="80" t="str">
        <f>IFERROR(__xludf.DUMMYFUNCTION("""COMPUTED_VALUE"""),"081324924533")</f>
        <v>081324924533</v>
      </c>
      <c r="AG83" s="80" t="str">
        <f>IFERROR(__xludf.DUMMYFUNCTION("""COMPUTED_VALUE"""),"081324924533")</f>
        <v>081324924533</v>
      </c>
      <c r="AH83" s="80" t="str">
        <f>IFERROR(__xludf.DUMMYFUNCTION("""COMPUTED_VALUE"""),"Inosoekirno81@gmail.com")</f>
        <v>Inosoekirno81@gmail.com</v>
      </c>
      <c r="AI83" s="80" t="str">
        <f>IFERROR(__xludf.DUMMYFUNCTION("""COMPUTED_VALUE"""),"45261S1")</f>
        <v>45261S1</v>
      </c>
      <c r="AJ83" s="80" t="str">
        <f>IFERROR(__xludf.DUMMYFUNCTION("""COMPUTED_VALUE"""),"63de2f791a8a410345721cd5")</f>
        <v>63de2f791a8a410345721cd5</v>
      </c>
      <c r="AK83" s="80" t="str">
        <f>IFERROR(__xludf.DUMMYFUNCTION("""COMPUTED_VALUE"""),"dm45261s1")</f>
        <v>dm45261s1</v>
      </c>
      <c r="AL83" s="80" t="str">
        <f>IFERROR(__xludf.DUMMYFUNCTION("""COMPUTED_VALUE"""),"password")</f>
        <v>password</v>
      </c>
      <c r="AM83" s="80"/>
      <c r="AN83" s="80" t="str">
        <f>IFERROR(__xludf.DUMMYFUNCTION("""COMPUTED_VALUE"""),"POS LELEA")</f>
        <v>POS LELEA</v>
      </c>
      <c r="AO83" s="80" t="str">
        <f>IFERROR(__xludf.DUMMYFUNCTION("""COMPUTED_VALUE"""),"0601230037043")</f>
        <v>0601230037043</v>
      </c>
      <c r="AP83" s="80" t="str">
        <f>IFERROR(__xludf.DUMMYFUNCTION("""COMPUTED_VALUE"""),"53202 ( AKTIFITAS AGEN KURIR )")</f>
        <v>53202 ( AKTIFITAS AGEN KURIR )</v>
      </c>
      <c r="AQ83" s="83"/>
      <c r="AR83" s="80"/>
      <c r="AS83" s="80"/>
      <c r="AT83" s="80" t="str">
        <f>IFERROR(__xludf.DUMMYFUNCTION("""COMPUTED_VALUE"""),"-64207705")</f>
        <v>-64207705</v>
      </c>
      <c r="AU83" s="80" t="str">
        <f>IFERROR(__xludf.DUMMYFUNCTION("""COMPUTED_VALUE"""),"1082300827")</f>
        <v>1082300827</v>
      </c>
      <c r="AV83" s="80" t="str">
        <f>IFERROR(__xludf.DUMMYFUNCTION("""COMPUTED_VALUE"""),"ADA")</f>
        <v>ADA</v>
      </c>
      <c r="AW83" s="80" t="str">
        <f>IFERROR(__xludf.DUMMYFUNCTION("""COMPUTED_VALUE"""),"ADA")</f>
        <v>ADA</v>
      </c>
      <c r="AX83" s="80"/>
      <c r="AY83" s="80"/>
      <c r="AZ83" s="80"/>
      <c r="BA83" s="80" t="str">
        <f>IFERROR(__xludf.DUMMYFUNCTION("""COMPUTED_VALUE"""),"ADA")</f>
        <v>ADA</v>
      </c>
      <c r="BB83" s="80" t="str">
        <f>IFERROR(__xludf.DUMMYFUNCTION("""COMPUTED_VALUE"""),"ADA")</f>
        <v>ADA</v>
      </c>
      <c r="BC83" s="80" t="str">
        <f>IFERROR(__xludf.DUMMYFUNCTION("""COMPUTED_VALUE"""),"ADA")</f>
        <v>ADA</v>
      </c>
      <c r="BD83" s="80" t="str">
        <f>IFERROR(__xludf.DUMMYFUNCTION("""COMPUTED_VALUE"""),"ADA")</f>
        <v>ADA</v>
      </c>
      <c r="BE83" s="80" t="str">
        <f>IFERROR(__xludf.DUMMYFUNCTION("""COMPUTED_VALUE"""),"ADA")</f>
        <v>ADA</v>
      </c>
      <c r="BF83" s="80" t="str">
        <f>IFERROR(__xludf.DUMMYFUNCTION("""COMPUTED_VALUE"""),"ADA")</f>
        <v>ADA</v>
      </c>
      <c r="BG83" s="80" t="str">
        <f>IFERROR(__xludf.DUMMYFUNCTION("""COMPUTED_VALUE"""),"ADA")</f>
        <v>ADA</v>
      </c>
      <c r="BH83" s="80"/>
      <c r="BI83" s="80"/>
      <c r="BJ83" s="80"/>
      <c r="BK83" s="80"/>
      <c r="BL83" s="80"/>
      <c r="BM83" s="80"/>
      <c r="BN83" s="80"/>
      <c r="BO83" s="80"/>
      <c r="BP83" s="80"/>
      <c r="BQ83" s="80"/>
      <c r="BR83" s="80"/>
      <c r="BS83" s="80"/>
      <c r="BT83" s="80"/>
      <c r="BU83" s="80"/>
      <c r="BV83" s="80" t="str">
        <f>IFERROR(__xludf.DUMMYFUNCTION("""COMPUTED_VALUE"""),"Cempeh Rt 003 Rw 001 Kel. Cempeh Kec. Lelea Kab. Indramayu 45261")</f>
        <v>Cempeh Rt 003 Rw 001 Kel. Cempeh Kec. Lelea Kab. Indramayu 45261</v>
      </c>
      <c r="BW83" s="80"/>
      <c r="BX83" s="80"/>
      <c r="BY83" s="80"/>
      <c r="BZ83" s="80"/>
      <c r="CA83" s="80"/>
      <c r="CB83" s="80"/>
      <c r="CC83" s="80"/>
      <c r="CD83" s="80"/>
      <c r="CE83" s="80"/>
      <c r="CF83" s="80"/>
      <c r="CG83" s="80"/>
      <c r="CH83" s="80"/>
      <c r="CI83" s="80"/>
      <c r="CJ83" s="80"/>
      <c r="CK83" s="2"/>
    </row>
    <row r="84" ht="12.75" customHeight="1">
      <c r="A84" s="85">
        <f>IFERROR(__xludf.DUMMYFUNCTION("""COMPUTED_VALUE"""),81.0)</f>
        <v>81</v>
      </c>
      <c r="B84" s="85" t="str">
        <f>IFERROR(__xludf.DUMMYFUNCTION("""COMPUTED_VALUE"""),"8 JANUARI 2023")</f>
        <v>8 JANUARI 2023</v>
      </c>
      <c r="C84" s="85" t="str">
        <f>IFERROR(__xludf.DUMMYFUNCTION("""COMPUTED_VALUE"""),"9 JANUARI 2023")</f>
        <v>9 JANUARI 2023</v>
      </c>
      <c r="D84" s="86"/>
      <c r="E84" s="88"/>
      <c r="F84" s="85" t="str">
        <f>IFERROR(__xludf.DUMMYFUNCTION("""COMPUTED_VALUE"""),"29 JANUARI 2023")</f>
        <v>29 JANUARI 2023</v>
      </c>
      <c r="G84" s="86">
        <f>IFERROR(__xludf.DUMMYFUNCTION("""COMPUTED_VALUE"""),44956.0)</f>
        <v>44956</v>
      </c>
      <c r="H84" s="85"/>
      <c r="I84" s="85" t="str">
        <f>IFERROR(__xludf.DUMMYFUNCTION("""COMPUTED_VALUE"""),"2 FEBRUARI 2023")</f>
        <v>2 FEBRUARI 2023</v>
      </c>
      <c r="J84" s="85" t="str">
        <f>IFERROR(__xludf.DUMMYFUNCTION("""COMPUTED_VALUE"""),"6 FEBRUARI 2023")</f>
        <v>6 FEBRUARI 2023</v>
      </c>
      <c r="K84" s="85"/>
      <c r="L84" s="85"/>
      <c r="M84" s="85"/>
      <c r="N84" s="85"/>
      <c r="O84" s="85"/>
      <c r="P84" s="85" t="str">
        <f>IFERROR(__xludf.DUMMYFUNCTION("""COMPUTED_VALUE"""),"53BSPA16388JBTRK")</f>
        <v>53BSPA16388JBTRK</v>
      </c>
      <c r="Q84" s="85" t="str">
        <f>IFERROR(__xludf.DUMMYFUNCTION("""COMPUTED_VALUE"""),"LOKET ALIF")</f>
        <v>LOKET ALIF</v>
      </c>
      <c r="R84" s="85" t="str">
        <f>IFERROR(__xludf.DUMMYFUNCTION("""COMPUTED_VALUE"""),"LOKET ALIF")</f>
        <v>LOKET ALIF</v>
      </c>
      <c r="S84" s="85" t="str">
        <f>IFERROR(__xludf.DUMMYFUNCTION("""COMPUTED_VALUE"""),"Firda Afriani")</f>
        <v>Firda Afriani</v>
      </c>
      <c r="T84" s="85" t="str">
        <f>IFERROR(__xludf.DUMMYFUNCTION("""COMPUTED_VALUE"""),"Jl. Kalijaga No. 77 Kel. Pegambiran Kec. Lemahwungkuk Kota Cirebon 45113")</f>
        <v>Jl. Kalijaga No. 77 Kel. Pegambiran Kec. Lemahwungkuk Kota Cirebon 45113</v>
      </c>
      <c r="U84" s="85" t="str">
        <f>IFERROR(__xludf.DUMMYFUNCTION("""COMPUTED_VALUE"""),"JL. KETILANG D XIII NO. 182 RT 002 RW 015 KEL. LARANGAN KEC. HARJAMUKTI KOTA CIREBON 45141")</f>
        <v>JL. KETILANG D XIII NO. 182 RT 002 RW 015 KEL. LARANGAN KEC. HARJAMUKTI KOTA CIREBON 45141</v>
      </c>
      <c r="V84" s="85" t="str">
        <f>IFERROR(__xludf.DUMMYFUNCTION("""COMPUTED_VALUE"""),"002/015")</f>
        <v>002/015</v>
      </c>
      <c r="W84" s="85" t="str">
        <f>IFERROR(__xludf.DUMMYFUNCTION("""COMPUTED_VALUE"""),"LARANGAN")</f>
        <v>LARANGAN</v>
      </c>
      <c r="X84" s="85" t="str">
        <f>IFERROR(__xludf.DUMMYFUNCTION("""COMPUTED_VALUE"""),"HARJAMUKTI")</f>
        <v>HARJAMUKTI</v>
      </c>
      <c r="Y84" s="85" t="str">
        <f>IFERROR(__xludf.DUMMYFUNCTION("""COMPUTED_VALUE"""),"KOTA CIREBON")</f>
        <v>KOTA CIREBON</v>
      </c>
      <c r="Z84" s="85" t="str">
        <f>IFERROR(__xludf.DUMMYFUNCTION("""COMPUTED_VALUE"""),"JAWA BARAT")</f>
        <v>JAWA BARAT</v>
      </c>
      <c r="AA84" s="85" t="str">
        <f>IFERROR(__xludf.DUMMYFUNCTION("""COMPUTED_VALUE"""),"45141")</f>
        <v>45141</v>
      </c>
      <c r="AB84" s="85" t="str">
        <f>IFERROR(__xludf.DUMMYFUNCTION("""COMPUTED_VALUE"""),"3274035203810021")</f>
        <v>3274035203810021</v>
      </c>
      <c r="AC84" s="85" t="str">
        <f>IFERROR(__xludf.DUMMYFUNCTION("""COMPUTED_VALUE"""),"80.565.415.9-426.000")</f>
        <v>80.565.415.9-426.000</v>
      </c>
      <c r="AD84" s="85" t="str">
        <f>IFERROR(__xludf.DUMMYFUNCTION("""COMPUTED_VALUE"""),"CUM - TORIKIN")</f>
        <v>CUM - TORIKIN</v>
      </c>
      <c r="AE84" s="85" t="str">
        <f>IFERROR(__xludf.DUMMYFUNCTION("""COMPUTED_VALUE"""),"SUB TORIKIN")</f>
        <v>SUB TORIKIN</v>
      </c>
      <c r="AF84" s="85" t="str">
        <f>IFERROR(__xludf.DUMMYFUNCTION("""COMPUTED_VALUE"""),"081321871725")</f>
        <v>081321871725</v>
      </c>
      <c r="AG84" s="85" t="str">
        <f>IFERROR(__xludf.DUMMYFUNCTION("""COMPUTED_VALUE"""),"081321871725")</f>
        <v>081321871725</v>
      </c>
      <c r="AH84" s="85" t="str">
        <f>IFERROR(__xludf.DUMMYFUNCTION("""COMPUTED_VALUE"""),"firdaafriani4@gmail.com")</f>
        <v>firdaafriani4@gmail.com</v>
      </c>
      <c r="AI84" s="85" t="str">
        <f>IFERROR(__xludf.DUMMYFUNCTION("""COMPUTED_VALUE"""),"45113S1")</f>
        <v>45113S1</v>
      </c>
      <c r="AJ84" s="85" t="str">
        <f>IFERROR(__xludf.DUMMYFUNCTION("""COMPUTED_VALUE"""),"63c181af2637825d87411d03")</f>
        <v>63c181af2637825d87411d03</v>
      </c>
      <c r="AK84" s="85" t="str">
        <f>IFERROR(__xludf.DUMMYFUNCTION("""COMPUTED_VALUE"""),"dm45113s1")</f>
        <v>dm45113s1</v>
      </c>
      <c r="AL84" s="85" t="str">
        <f>IFERROR(__xludf.DUMMYFUNCTION("""COMPUTED_VALUE"""),"password")</f>
        <v>password</v>
      </c>
      <c r="AM84" s="85"/>
      <c r="AN84" s="85" t="str">
        <f>IFERROR(__xludf.DUMMYFUNCTION("""COMPUTED_VALUE"""),"POS CIREBON")</f>
        <v>POS CIREBON</v>
      </c>
      <c r="AO84" s="85" t="str">
        <f>IFERROR(__xludf.DUMMYFUNCTION("""COMPUTED_VALUE"""),"0901230041329")</f>
        <v>0901230041329</v>
      </c>
      <c r="AP84" s="85" t="str">
        <f>IFERROR(__xludf.DUMMYFUNCTION("""COMPUTED_VALUE"""),"53202 ( AKTIFITAS AGEN KURIR )")</f>
        <v>53202 ( AKTIFITAS AGEN KURIR )</v>
      </c>
      <c r="AQ84" s="93"/>
      <c r="AR84" s="85"/>
      <c r="AS84" s="85"/>
      <c r="AT84" s="85" t="str">
        <f>IFERROR(__xludf.DUMMYFUNCTION("""COMPUTED_VALUE"""),"-67,352,104")</f>
        <v>-67,352,104</v>
      </c>
      <c r="AU84" s="85" t="str">
        <f>IFERROR(__xludf.DUMMYFUNCTION("""COMPUTED_VALUE"""),"108579988")</f>
        <v>108579988</v>
      </c>
      <c r="AV84" s="85" t="str">
        <f>IFERROR(__xludf.DUMMYFUNCTION("""COMPUTED_VALUE"""),"ADA")</f>
        <v>ADA</v>
      </c>
      <c r="AW84" s="85" t="str">
        <f>IFERROR(__xludf.DUMMYFUNCTION("""COMPUTED_VALUE"""),"ADA")</f>
        <v>ADA</v>
      </c>
      <c r="AX84" s="85"/>
      <c r="AY84" s="85"/>
      <c r="AZ84" s="85"/>
      <c r="BA84" s="85" t="str">
        <f>IFERROR(__xludf.DUMMYFUNCTION("""COMPUTED_VALUE"""),"ADA")</f>
        <v>ADA</v>
      </c>
      <c r="BB84" s="85" t="str">
        <f>IFERROR(__xludf.DUMMYFUNCTION("""COMPUTED_VALUE"""),"ADA")</f>
        <v>ADA</v>
      </c>
      <c r="BC84" s="85" t="str">
        <f>IFERROR(__xludf.DUMMYFUNCTION("""COMPUTED_VALUE"""),"ADA")</f>
        <v>ADA</v>
      </c>
      <c r="BD84" s="85" t="str">
        <f>IFERROR(__xludf.DUMMYFUNCTION("""COMPUTED_VALUE"""),"ADA")</f>
        <v>ADA</v>
      </c>
      <c r="BE84" s="85" t="str">
        <f>IFERROR(__xludf.DUMMYFUNCTION("""COMPUTED_VALUE"""),"ADA")</f>
        <v>ADA</v>
      </c>
      <c r="BF84" s="85" t="str">
        <f>IFERROR(__xludf.DUMMYFUNCTION("""COMPUTED_VALUE"""),"ADA")</f>
        <v>ADA</v>
      </c>
      <c r="BG84" s="85" t="str">
        <f>IFERROR(__xludf.DUMMYFUNCTION("""COMPUTED_VALUE"""),"ADA")</f>
        <v>ADA</v>
      </c>
      <c r="BH84" s="85" t="str">
        <f>IFERROR(__xludf.DUMMYFUNCTION("""COMPUTED_VALUE"""),"IWARE BP-429BT")</f>
        <v>IWARE BP-429BT</v>
      </c>
      <c r="BI84" s="85" t="str">
        <f>IFERROR(__xludf.DUMMYFUNCTION("""COMPUTED_VALUE"""),"ADA")</f>
        <v>ADA</v>
      </c>
      <c r="BJ84" s="85" t="str">
        <f>IFERROR(__xludf.DUMMYFUNCTION("""COMPUTED_VALUE"""),"STICKER")</f>
        <v>STICKER</v>
      </c>
      <c r="BK84" s="85" t="str">
        <f>IFERROR(__xludf.DUMMYFUNCTION("""COMPUTED_VALUE"""),"ADA")</f>
        <v>ADA</v>
      </c>
      <c r="BL84" s="85"/>
      <c r="BM84" s="85"/>
      <c r="BN84" s="85"/>
      <c r="BO84" s="85"/>
      <c r="BP84" s="85"/>
      <c r="BQ84" s="85"/>
      <c r="BR84" s="85"/>
      <c r="BS84" s="85"/>
      <c r="BT84" s="85"/>
      <c r="BU84" s="85"/>
      <c r="BV84" s="85" t="str">
        <f>IFERROR(__xludf.DUMMYFUNCTION("""COMPUTED_VALUE"""),"Jl. Kalijaga No. 77 Kel. Pegambiran Kec. Lemahwungkuk Kota Cirebon 45113")</f>
        <v>Jl. Kalijaga No. 77 Kel. Pegambiran Kec. Lemahwungkuk Kota Cirebon 45113</v>
      </c>
      <c r="BW84" s="85"/>
      <c r="BX84" s="85"/>
      <c r="BY84" s="85"/>
      <c r="BZ84" s="85"/>
      <c r="CA84" s="85"/>
      <c r="CB84" s="85"/>
      <c r="CC84" s="85"/>
      <c r="CD84" s="85"/>
      <c r="CE84" s="85"/>
      <c r="CF84" s="85"/>
      <c r="CG84" s="85"/>
      <c r="CH84" s="85"/>
      <c r="CI84" s="85"/>
      <c r="CJ84" s="85"/>
      <c r="CK84" s="2"/>
    </row>
    <row r="85" ht="12.75" customHeight="1">
      <c r="A85" s="80">
        <f>IFERROR(__xludf.DUMMYFUNCTION("""COMPUTED_VALUE"""),82.0)</f>
        <v>82</v>
      </c>
      <c r="B85" s="80" t="str">
        <f>IFERROR(__xludf.DUMMYFUNCTION("""COMPUTED_VALUE"""),"11 JANUARI 2023")</f>
        <v>11 JANUARI 2023</v>
      </c>
      <c r="C85" s="80" t="str">
        <f>IFERROR(__xludf.DUMMYFUNCTION("""COMPUTED_VALUE"""),"11 JANUAARI 2023")</f>
        <v>11 JANUAARI 2023</v>
      </c>
      <c r="D85" s="81"/>
      <c r="E85" s="82"/>
      <c r="F85" s="80" t="str">
        <f>IFERROR(__xludf.DUMMYFUNCTION("""COMPUTED_VALUE"""),"19 FEBRUARI 2023")</f>
        <v>19 FEBRUARI 2023</v>
      </c>
      <c r="G85" s="81">
        <f>IFERROR(__xludf.DUMMYFUNCTION("""COMPUTED_VALUE"""),44977.0)</f>
        <v>44977</v>
      </c>
      <c r="H85" s="80"/>
      <c r="I85" s="80"/>
      <c r="J85" s="80"/>
      <c r="K85" s="80"/>
      <c r="L85" s="80"/>
      <c r="M85" s="80"/>
      <c r="N85" s="80"/>
      <c r="O85" s="80"/>
      <c r="P85" s="80" t="str">
        <f>IFERROR(__xludf.DUMMYFUNCTION("""COMPUTED_VALUE"""),"53BSPA16448JBCUM")</f>
        <v>53BSPA16448JBCUM</v>
      </c>
      <c r="Q85" s="80" t="str">
        <f>IFERROR(__xludf.DUMMYFUNCTION("""COMPUTED_VALUE"""),"LOKET ALFAQIH")</f>
        <v>LOKET ALFAQIH</v>
      </c>
      <c r="R85" s="80" t="str">
        <f>IFERROR(__xludf.DUMMYFUNCTION("""COMPUTED_VALUE"""),"LOKET ALFAQIH")</f>
        <v>LOKET ALFAQIH</v>
      </c>
      <c r="S85" s="80" t="str">
        <f>IFERROR(__xludf.DUMMYFUNCTION("""COMPUTED_VALUE"""),"Tajudin")</f>
        <v>Tajudin</v>
      </c>
      <c r="T85" s="80" t="str">
        <f>IFERROR(__xludf.DUMMYFUNCTION("""COMPUTED_VALUE"""),"Blok Talep Rt 001 Rw 001 Kel. Rawadalem Kec. Balongan Kab. Indramayu 45217")</f>
        <v>Blok Talep Rt 001 Rw 001 Kel. Rawadalem Kec. Balongan Kab. Indramayu 45217</v>
      </c>
      <c r="U85" s="80" t="str">
        <f>IFERROR(__xludf.DUMMYFUNCTION("""COMPUTED_VALUE"""),"BLOK TALEP RT 001 RW 001 KEL. RAWADALEM KEC. BALONGAN KAB. INDRAMAYU 45285")</f>
        <v>BLOK TALEP RT 001 RW 001 KEL. RAWADALEM KEC. BALONGAN KAB. INDRAMAYU 45285</v>
      </c>
      <c r="V85" s="80" t="str">
        <f>IFERROR(__xludf.DUMMYFUNCTION("""COMPUTED_VALUE"""),"001/001")</f>
        <v>001/001</v>
      </c>
      <c r="W85" s="80" t="str">
        <f>IFERROR(__xludf.DUMMYFUNCTION("""COMPUTED_VALUE"""),"RAWADALEM")</f>
        <v>RAWADALEM</v>
      </c>
      <c r="X85" s="80" t="str">
        <f>IFERROR(__xludf.DUMMYFUNCTION("""COMPUTED_VALUE"""),"BALONGAN")</f>
        <v>BALONGAN</v>
      </c>
      <c r="Y85" s="80" t="str">
        <f>IFERROR(__xludf.DUMMYFUNCTION("""COMPUTED_VALUE"""),"KAB. INDRAMAYU")</f>
        <v>KAB. INDRAMAYU</v>
      </c>
      <c r="Z85" s="80" t="str">
        <f>IFERROR(__xludf.DUMMYFUNCTION("""COMPUTED_VALUE"""),"JAWA BARAT")</f>
        <v>JAWA BARAT</v>
      </c>
      <c r="AA85" s="80" t="str">
        <f>IFERROR(__xludf.DUMMYFUNCTION("""COMPUTED_VALUE"""),"45217")</f>
        <v>45217</v>
      </c>
      <c r="AB85" s="80" t="str">
        <f>IFERROR(__xludf.DUMMYFUNCTION("""COMPUTED_VALUE"""),"3212141211740004")</f>
        <v>3212141211740004</v>
      </c>
      <c r="AC85" s="80" t="str">
        <f>IFERROR(__xludf.DUMMYFUNCTION("""COMPUTED_VALUE"""),"54.309.208.4-437.000")</f>
        <v>54.309.208.4-437.000</v>
      </c>
      <c r="AD85" s="80" t="str">
        <f>IFERROR(__xludf.DUMMYFUNCTION("""COMPUTED_VALUE"""),"CUM - NOV")</f>
        <v>CUM - NOV</v>
      </c>
      <c r="AE85" s="80" t="str">
        <f>IFERROR(__xludf.DUMMYFUNCTION("""COMPUTED_VALUE"""),"SUB NOVI")</f>
        <v>SUB NOVI</v>
      </c>
      <c r="AF85" s="80" t="str">
        <f>IFERROR(__xludf.DUMMYFUNCTION("""COMPUTED_VALUE"""),"0813-3303-0653")</f>
        <v>0813-3303-0653</v>
      </c>
      <c r="AG85" s="80" t="str">
        <f>IFERROR(__xludf.DUMMYFUNCTION("""COMPUTED_VALUE"""),"0813-3303-0653")</f>
        <v>0813-3303-0653</v>
      </c>
      <c r="AH85" s="80" t="str">
        <f>IFERROR(__xludf.DUMMYFUNCTION("""COMPUTED_VALUE"""),"tajudin2024@yahoo.com")</f>
        <v>tajudin2024@yahoo.com</v>
      </c>
      <c r="AI85" s="80" t="str">
        <f>IFERROR(__xludf.DUMMYFUNCTION("""COMPUTED_VALUE"""),"45247S1")</f>
        <v>45247S1</v>
      </c>
      <c r="AJ85" s="80" t="str">
        <f>IFERROR(__xludf.DUMMYFUNCTION("""COMPUTED_VALUE"""),"63e37ba14ff17a1ff83188a4")</f>
        <v>63e37ba14ff17a1ff83188a4</v>
      </c>
      <c r="AK85" s="80" t="str">
        <f>IFERROR(__xludf.DUMMYFUNCTION("""COMPUTED_VALUE"""),"dm45247s1")</f>
        <v>dm45247s1</v>
      </c>
      <c r="AL85" s="80" t="str">
        <f>IFERROR(__xludf.DUMMYFUNCTION("""COMPUTED_VALUE"""),"password")</f>
        <v>password</v>
      </c>
      <c r="AM85" s="80"/>
      <c r="AN85" s="80" t="str">
        <f>IFERROR(__xludf.DUMMYFUNCTION("""COMPUTED_VALUE"""),"POS BALONGAN")</f>
        <v>POS BALONGAN</v>
      </c>
      <c r="AO85" s="80" t="str">
        <f>IFERROR(__xludf.DUMMYFUNCTION("""COMPUTED_VALUE"""),"1101230029025")</f>
        <v>1101230029025</v>
      </c>
      <c r="AP85" s="80" t="str">
        <f>IFERROR(__xludf.DUMMYFUNCTION("""COMPUTED_VALUE"""),"53202 ( AKTIFITAS AGEN KURIR )")</f>
        <v>53202 ( AKTIFITAS AGEN KURIR )</v>
      </c>
      <c r="AQ85" s="83"/>
      <c r="AR85" s="80"/>
      <c r="AS85" s="80"/>
      <c r="AT85" s="80" t="str">
        <f>IFERROR(__xludf.DUMMYFUNCTION("""COMPUTED_VALUE"""),"-63727391")</f>
        <v>-63727391</v>
      </c>
      <c r="AU85" s="80" t="str">
        <f>IFERROR(__xludf.DUMMYFUNCTION("""COMPUTED_VALUE"""),"1083674761")</f>
        <v>1083674761</v>
      </c>
      <c r="AV85" s="80" t="str">
        <f>IFERROR(__xludf.DUMMYFUNCTION("""COMPUTED_VALUE"""),"ADA")</f>
        <v>ADA</v>
      </c>
      <c r="AW85" s="80" t="str">
        <f>IFERROR(__xludf.DUMMYFUNCTION("""COMPUTED_VALUE"""),"ADA")</f>
        <v>ADA</v>
      </c>
      <c r="AX85" s="80"/>
      <c r="AY85" s="80"/>
      <c r="AZ85" s="80"/>
      <c r="BA85" s="80" t="str">
        <f>IFERROR(__xludf.DUMMYFUNCTION("""COMPUTED_VALUE"""),"ADA")</f>
        <v>ADA</v>
      </c>
      <c r="BB85" s="80" t="str">
        <f>IFERROR(__xludf.DUMMYFUNCTION("""COMPUTED_VALUE"""),"ADA")</f>
        <v>ADA</v>
      </c>
      <c r="BC85" s="80" t="str">
        <f>IFERROR(__xludf.DUMMYFUNCTION("""COMPUTED_VALUE"""),"ADA")</f>
        <v>ADA</v>
      </c>
      <c r="BD85" s="80" t="str">
        <f>IFERROR(__xludf.DUMMYFUNCTION("""COMPUTED_VALUE"""),"ADA")</f>
        <v>ADA</v>
      </c>
      <c r="BE85" s="80" t="str">
        <f>IFERROR(__xludf.DUMMYFUNCTION("""COMPUTED_VALUE"""),"ADA")</f>
        <v>ADA</v>
      </c>
      <c r="BF85" s="80" t="str">
        <f>IFERROR(__xludf.DUMMYFUNCTION("""COMPUTED_VALUE"""),"ADA")</f>
        <v>ADA</v>
      </c>
      <c r="BG85" s="80" t="str">
        <f>IFERROR(__xludf.DUMMYFUNCTION("""COMPUTED_VALUE"""),"ADA")</f>
        <v>ADA</v>
      </c>
      <c r="BH85" s="80"/>
      <c r="BI85" s="80"/>
      <c r="BJ85" s="80"/>
      <c r="BK85" s="80"/>
      <c r="BL85" s="80"/>
      <c r="BM85" s="80"/>
      <c r="BN85" s="80"/>
      <c r="BO85" s="80"/>
      <c r="BP85" s="80"/>
      <c r="BQ85" s="80"/>
      <c r="BR85" s="80"/>
      <c r="BS85" s="80"/>
      <c r="BT85" s="80"/>
      <c r="BU85" s="80"/>
      <c r="BV85" s="80" t="str">
        <f>IFERROR(__xludf.DUMMYFUNCTION("""COMPUTED_VALUE"""),"Blok Talep Rt 001 Rw 001 Kel. Rawadalem Kec. Balongan Kab. Indramayu 45217")</f>
        <v>Blok Talep Rt 001 Rw 001 Kel. Rawadalem Kec. Balongan Kab. Indramayu 45217</v>
      </c>
      <c r="BW85" s="80"/>
      <c r="BX85" s="80"/>
      <c r="BY85" s="80"/>
      <c r="BZ85" s="80"/>
      <c r="CA85" s="80"/>
      <c r="CB85" s="80"/>
      <c r="CC85" s="80"/>
      <c r="CD85" s="80"/>
      <c r="CE85" s="80"/>
      <c r="CF85" s="80"/>
      <c r="CG85" s="80"/>
      <c r="CH85" s="80"/>
      <c r="CI85" s="80"/>
      <c r="CJ85" s="80"/>
      <c r="CK85" s="2"/>
    </row>
    <row r="86" ht="12.75" customHeight="1">
      <c r="A86" s="85">
        <f>IFERROR(__xludf.DUMMYFUNCTION("""COMPUTED_VALUE"""),83.0)</f>
        <v>83</v>
      </c>
      <c r="B86" s="85" t="str">
        <f>IFERROR(__xludf.DUMMYFUNCTION("""COMPUTED_VALUE"""),"12 JANUARI 2023")</f>
        <v>12 JANUARI 2023</v>
      </c>
      <c r="C86" s="85" t="str">
        <f>IFERROR(__xludf.DUMMYFUNCTION("""COMPUTED_VALUE"""),"12 JANUARI 2023")</f>
        <v>12 JANUARI 2023</v>
      </c>
      <c r="D86" s="86"/>
      <c r="E86" s="88"/>
      <c r="F86" s="85"/>
      <c r="G86" s="86"/>
      <c r="H86" s="85"/>
      <c r="I86" s="85"/>
      <c r="J86" s="85"/>
      <c r="K86" s="85"/>
      <c r="L86" s="85"/>
      <c r="M86" s="85"/>
      <c r="N86" s="85"/>
      <c r="O86" s="85"/>
      <c r="P86" s="85" t="str">
        <f>IFERROR(__xludf.DUMMYFUNCTION("""COMPUTED_VALUE"""),"53BSPA23128BDGNL")</f>
        <v>53BSPA23128BDGNL</v>
      </c>
      <c r="Q86" s="85" t="str">
        <f>IFERROR(__xludf.DUMMYFUNCTION("""COMPUTED_VALUE"""),"LOKET NAZWA LESTARI")</f>
        <v>LOKET NAZWA LESTARI</v>
      </c>
      <c r="R86" s="85" t="str">
        <f>IFERROR(__xludf.DUMMYFUNCTION("""COMPUTED_VALUE"""),"LOKET NAZWA LESTARI")</f>
        <v>LOKET NAZWA LESTARI</v>
      </c>
      <c r="S86" s="85" t="str">
        <f>IFERROR(__xludf.DUMMYFUNCTION("""COMPUTED_VALUE"""),"Yuyun Lestari")</f>
        <v>Yuyun Lestari</v>
      </c>
      <c r="T86" s="85" t="str">
        <f>IFERROR(__xludf.DUMMYFUNCTION("""COMPUTED_VALUE"""),"Kp. Pangkalan Rt 001 Rw 008 Kel. Tarajusari Kec. Banjaran Kab. Bandung 40377")</f>
        <v>Kp. Pangkalan Rt 001 Rw 008 Kel. Tarajusari Kec. Banjaran Kab. Bandung 40377</v>
      </c>
      <c r="U86" s="85" t="str">
        <f>IFERROR(__xludf.DUMMYFUNCTION("""COMPUTED_VALUE"""),"KP. PANGKALAN RT 001 RW 008 KEL. TARAJUSARI KEC. BANJARAN KAB. BANDUNG 40377")</f>
        <v>KP. PANGKALAN RT 001 RW 008 KEL. TARAJUSARI KEC. BANJARAN KAB. BANDUNG 40377</v>
      </c>
      <c r="V86" s="85" t="str">
        <f>IFERROR(__xludf.DUMMYFUNCTION("""COMPUTED_VALUE"""),"001/008")</f>
        <v>001/008</v>
      </c>
      <c r="W86" s="85" t="str">
        <f>IFERROR(__xludf.DUMMYFUNCTION("""COMPUTED_VALUE"""),"TARAJUSARI")</f>
        <v>TARAJUSARI</v>
      </c>
      <c r="X86" s="85" t="str">
        <f>IFERROR(__xludf.DUMMYFUNCTION("""COMPUTED_VALUE"""),"BANJARAN")</f>
        <v>BANJARAN</v>
      </c>
      <c r="Y86" s="85" t="str">
        <f>IFERROR(__xludf.DUMMYFUNCTION("""COMPUTED_VALUE"""),"KAB. BANDUNG")</f>
        <v>KAB. BANDUNG</v>
      </c>
      <c r="Z86" s="85" t="str">
        <f>IFERROR(__xludf.DUMMYFUNCTION("""COMPUTED_VALUE"""),"JAWA BARAT")</f>
        <v>JAWA BARAT</v>
      </c>
      <c r="AA86" s="85" t="str">
        <f>IFERROR(__xludf.DUMMYFUNCTION("""COMPUTED_VALUE"""),"40377")</f>
        <v>40377</v>
      </c>
      <c r="AB86" s="85" t="str">
        <f>IFERROR(__xludf.DUMMYFUNCTION("""COMPUTED_VALUE"""),"3204134404760027")</f>
        <v>3204134404760027</v>
      </c>
      <c r="AC86" s="85" t="str">
        <f>IFERROR(__xludf.DUMMYFUNCTION("""COMPUTED_VALUE"""),"09.338.062.4-445.000")</f>
        <v>09.338.062.4-445.000</v>
      </c>
      <c r="AD86" s="85" t="str">
        <f>IFERROR(__xludf.DUMMYFUNCTION("""COMPUTED_VALUE"""),"CUM - HDT")</f>
        <v>CUM - HDT</v>
      </c>
      <c r="AE86" s="85" t="str">
        <f>IFERROR(__xludf.DUMMYFUNCTION("""COMPUTED_VALUE"""),"Sub Hidayat")</f>
        <v>Sub Hidayat</v>
      </c>
      <c r="AF86" s="85" t="str">
        <f>IFERROR(__xludf.DUMMYFUNCTION("""COMPUTED_VALUE"""),"0857-1111-8695")</f>
        <v>0857-1111-8695</v>
      </c>
      <c r="AG86" s="85" t="str">
        <f>IFERROR(__xludf.DUMMYFUNCTION("""COMPUTED_VALUE"""),"0857-1111-8695")</f>
        <v>0857-1111-8695</v>
      </c>
      <c r="AH86" s="85" t="str">
        <f>IFERROR(__xludf.DUMMYFUNCTION("""COMPUTED_VALUE"""),"yuyun.lestari76@gmail.com")</f>
        <v>yuyun.lestari76@gmail.com</v>
      </c>
      <c r="AI86" s="85" t="str">
        <f>IFERROR(__xludf.DUMMYFUNCTION("""COMPUTED_VALUE"""),"40377S3")</f>
        <v>40377S3</v>
      </c>
      <c r="AJ86" s="85" t="str">
        <f>IFERROR(__xludf.DUMMYFUNCTION("""COMPUTED_VALUE"""),"63de31d9a385951640136ad5")</f>
        <v>63de31d9a385951640136ad5</v>
      </c>
      <c r="AK86" s="85" t="str">
        <f>IFERROR(__xludf.DUMMYFUNCTION("""COMPUTED_VALUE"""),"dm40377s3")</f>
        <v>dm40377s3</v>
      </c>
      <c r="AL86" s="85" t="str">
        <f>IFERROR(__xludf.DUMMYFUNCTION("""COMPUTED_VALUE"""),"password")</f>
        <v>password</v>
      </c>
      <c r="AM86" s="85"/>
      <c r="AN86" s="85" t="str">
        <f>IFERROR(__xludf.DUMMYFUNCTION("""COMPUTED_VALUE"""),"POS BANJARAN")</f>
        <v>POS BANJARAN</v>
      </c>
      <c r="AO86" s="85" t="str">
        <f>IFERROR(__xludf.DUMMYFUNCTION("""COMPUTED_VALUE"""),"1201230028725")</f>
        <v>1201230028725</v>
      </c>
      <c r="AP86" s="85" t="str">
        <f>IFERROR(__xludf.DUMMYFUNCTION("""COMPUTED_VALUE"""),"53202 ( AKTIFITAS AGEN KURIR )")</f>
        <v>53202 ( AKTIFITAS AGEN KURIR )</v>
      </c>
      <c r="AQ86" s="93"/>
      <c r="AR86" s="85"/>
      <c r="AS86" s="85"/>
      <c r="AT86" s="85" t="str">
        <f>IFERROR(__xludf.DUMMYFUNCTION("""COMPUTED_VALUE"""),"-70329664")</f>
        <v>-70329664</v>
      </c>
      <c r="AU86" s="85" t="str">
        <f>IFERROR(__xludf.DUMMYFUNCTION("""COMPUTED_VALUE"""),"1075856224")</f>
        <v>1075856224</v>
      </c>
      <c r="AV86" s="85" t="str">
        <f>IFERROR(__xludf.DUMMYFUNCTION("""COMPUTED_VALUE"""),"ADA")</f>
        <v>ADA</v>
      </c>
      <c r="AW86" s="85" t="str">
        <f>IFERROR(__xludf.DUMMYFUNCTION("""COMPUTED_VALUE"""),"ADA")</f>
        <v>ADA</v>
      </c>
      <c r="AX86" s="85"/>
      <c r="AY86" s="85"/>
      <c r="AZ86" s="85"/>
      <c r="BA86" s="85" t="str">
        <f>IFERROR(__xludf.DUMMYFUNCTION("""COMPUTED_VALUE"""),"ADA")</f>
        <v>ADA</v>
      </c>
      <c r="BB86" s="85" t="str">
        <f>IFERROR(__xludf.DUMMYFUNCTION("""COMPUTED_VALUE"""),"ADA")</f>
        <v>ADA</v>
      </c>
      <c r="BC86" s="85" t="str">
        <f>IFERROR(__xludf.DUMMYFUNCTION("""COMPUTED_VALUE"""),"ADA")</f>
        <v>ADA</v>
      </c>
      <c r="BD86" s="85" t="str">
        <f>IFERROR(__xludf.DUMMYFUNCTION("""COMPUTED_VALUE"""),"ADA")</f>
        <v>ADA</v>
      </c>
      <c r="BE86" s="85" t="str">
        <f>IFERROR(__xludf.DUMMYFUNCTION("""COMPUTED_VALUE"""),"ADA")</f>
        <v>ADA</v>
      </c>
      <c r="BF86" s="85" t="str">
        <f>IFERROR(__xludf.DUMMYFUNCTION("""COMPUTED_VALUE"""),"ADA")</f>
        <v>ADA</v>
      </c>
      <c r="BG86" s="85" t="str">
        <f>IFERROR(__xludf.DUMMYFUNCTION("""COMPUTED_VALUE"""),"ADA")</f>
        <v>ADA</v>
      </c>
      <c r="BH86" s="85"/>
      <c r="BI86" s="85"/>
      <c r="BJ86" s="85"/>
      <c r="BK86" s="85"/>
      <c r="BL86" s="85"/>
      <c r="BM86" s="85"/>
      <c r="BN86" s="85"/>
      <c r="BO86" s="85"/>
      <c r="BP86" s="85"/>
      <c r="BQ86" s="85"/>
      <c r="BR86" s="85"/>
      <c r="BS86" s="85"/>
      <c r="BT86" s="85"/>
      <c r="BU86" s="85"/>
      <c r="BV86" s="85" t="str">
        <f>IFERROR(__xludf.DUMMYFUNCTION("""COMPUTED_VALUE"""),"Kp. Pangkalan Rt 001 Rw 008 Kel. Tarajusari Kec. Banjaran Kab. Bandung 40377")</f>
        <v>Kp. Pangkalan Rt 001 Rw 008 Kel. Tarajusari Kec. Banjaran Kab. Bandung 40377</v>
      </c>
      <c r="BW86" s="85"/>
      <c r="BX86" s="85"/>
      <c r="BY86" s="85"/>
      <c r="BZ86" s="85"/>
      <c r="CA86" s="85"/>
      <c r="CB86" s="85"/>
      <c r="CC86" s="85"/>
      <c r="CD86" s="85"/>
      <c r="CE86" s="85"/>
      <c r="CF86" s="85"/>
      <c r="CG86" s="85"/>
      <c r="CH86" s="85"/>
      <c r="CI86" s="85"/>
      <c r="CJ86" s="85"/>
      <c r="CK86" s="2"/>
    </row>
    <row r="87" ht="12.75" customHeight="1">
      <c r="A87" s="80">
        <f>IFERROR(__xludf.DUMMYFUNCTION("""COMPUTED_VALUE"""),84.0)</f>
        <v>84</v>
      </c>
      <c r="B87" s="80" t="str">
        <f>IFERROR(__xludf.DUMMYFUNCTION("""COMPUTED_VALUE"""),"14 JANUARI 2023")</f>
        <v>14 JANUARI 2023</v>
      </c>
      <c r="C87" s="80" t="str">
        <f>IFERROR(__xludf.DUMMYFUNCTION("""COMPUTED_VALUE"""),"16 JANUARI 2023")</f>
        <v>16 JANUARI 2023</v>
      </c>
      <c r="D87" s="81"/>
      <c r="E87" s="82"/>
      <c r="F87" s="80" t="str">
        <f>IFERROR(__xludf.DUMMYFUNCTION("""COMPUTED_VALUE"""),"6 FEBRUARI 2023")</f>
        <v>6 FEBRUARI 2023</v>
      </c>
      <c r="G87" s="81">
        <f>IFERROR(__xludf.DUMMYFUNCTION("""COMPUTED_VALUE"""),44963.0)</f>
        <v>44963</v>
      </c>
      <c r="H87" s="80"/>
      <c r="I87" s="80" t="str">
        <f>IFERROR(__xludf.DUMMYFUNCTION("""COMPUTED_VALUE"""),"6 FEBRUARI 2023")</f>
        <v>6 FEBRUARI 2023</v>
      </c>
      <c r="J87" s="80" t="str">
        <f>IFERROR(__xludf.DUMMYFUNCTION("""COMPUTED_VALUE"""),"10 FEBRUARI 2023")</f>
        <v>10 FEBRUARI 2023</v>
      </c>
      <c r="K87" s="80"/>
      <c r="L87" s="80"/>
      <c r="M87" s="80"/>
      <c r="N87" s="80"/>
      <c r="O87" s="80"/>
      <c r="P87" s="80" t="str">
        <f>IFERROR(__xludf.DUMMYFUNCTION("""COMPUTED_VALUE"""),"53BSPA28586JBTRK")</f>
        <v>53BSPA28586JBTRK</v>
      </c>
      <c r="Q87" s="80" t="str">
        <f>IFERROR(__xludf.DUMMYFUNCTION("""COMPUTED_VALUE"""),"DIVIYADUTA")</f>
        <v>DIVIYADUTA</v>
      </c>
      <c r="R87" s="80" t="str">
        <f>IFERROR(__xludf.DUMMYFUNCTION("""COMPUTED_VALUE"""),"DIVIYADUTA")</f>
        <v>DIVIYADUTA</v>
      </c>
      <c r="S87" s="80" t="str">
        <f>IFERROR(__xludf.DUMMYFUNCTION("""COMPUTED_VALUE"""),"Asmaudin")</f>
        <v>Asmaudin</v>
      </c>
      <c r="T87" s="80" t="str">
        <f>IFERROR(__xludf.DUMMYFUNCTION("""COMPUTED_VALUE"""),"Mulyoharjo Rt 005 Rw 002 Kel. Mulyoharjo Kec. Jepara Kab. Jepara 59431")</f>
        <v>Mulyoharjo Rt 005 Rw 002 Kel. Mulyoharjo Kec. Jepara Kab. Jepara 59431</v>
      </c>
      <c r="U87" s="80" t="str">
        <f>IFERROR(__xludf.DUMMYFUNCTION("""COMPUTED_VALUE"""),"MULYOHARJO RT 005 RW 002 KEL. MULYOHARJO KEC. JEPARA KAB. JEPARA 59431")</f>
        <v>MULYOHARJO RT 005 RW 002 KEL. MULYOHARJO KEC. JEPARA KAB. JEPARA 59431</v>
      </c>
      <c r="V87" s="80" t="str">
        <f>IFERROR(__xludf.DUMMYFUNCTION("""COMPUTED_VALUE"""),"005/002")</f>
        <v>005/002</v>
      </c>
      <c r="W87" s="80" t="str">
        <f>IFERROR(__xludf.DUMMYFUNCTION("""COMPUTED_VALUE"""),"MULYOHARJO")</f>
        <v>MULYOHARJO</v>
      </c>
      <c r="X87" s="80" t="str">
        <f>IFERROR(__xludf.DUMMYFUNCTION("""COMPUTED_VALUE"""),"JEPARA")</f>
        <v>JEPARA</v>
      </c>
      <c r="Y87" s="80" t="str">
        <f>IFERROR(__xludf.DUMMYFUNCTION("""COMPUTED_VALUE"""),"KAB. JEPARA")</f>
        <v>KAB. JEPARA</v>
      </c>
      <c r="Z87" s="80" t="str">
        <f>IFERROR(__xludf.DUMMYFUNCTION("""COMPUTED_VALUE"""),"JAWA TENGAH")</f>
        <v>JAWA TENGAH</v>
      </c>
      <c r="AA87" s="80" t="str">
        <f>IFERROR(__xludf.DUMMYFUNCTION("""COMPUTED_VALUE"""),"59431")</f>
        <v>59431</v>
      </c>
      <c r="AB87" s="80" t="str">
        <f>IFERROR(__xludf.DUMMYFUNCTION("""COMPUTED_VALUE"""),"3320060504790007")</f>
        <v>3320060504790007</v>
      </c>
      <c r="AC87" s="80" t="str">
        <f>IFERROR(__xludf.DUMMYFUNCTION("""COMPUTED_VALUE"""),"00.834.688.4-516.000")</f>
        <v>00.834.688.4-516.000</v>
      </c>
      <c r="AD87" s="80" t="str">
        <f>IFERROR(__xludf.DUMMYFUNCTION("""COMPUTED_VALUE"""),"CUM - TORIKIN")</f>
        <v>CUM - TORIKIN</v>
      </c>
      <c r="AE87" s="80" t="str">
        <f>IFERROR(__xludf.DUMMYFUNCTION("""COMPUTED_VALUE"""),"SUB TORIKIN")</f>
        <v>SUB TORIKIN</v>
      </c>
      <c r="AF87" s="80" t="str">
        <f>IFERROR(__xludf.DUMMYFUNCTION("""COMPUTED_VALUE"""),"081228332843")</f>
        <v>081228332843</v>
      </c>
      <c r="AG87" s="80" t="str">
        <f>IFERROR(__xludf.DUMMYFUNCTION("""COMPUTED_VALUE"""),"081228332843")</f>
        <v>081228332843</v>
      </c>
      <c r="AH87" s="80" t="str">
        <f>IFERROR(__xludf.DUMMYFUNCTION("""COMPUTED_VALUE"""),"asmaudin79@gmail.com ")</f>
        <v>asmaudin79@gmail.com </v>
      </c>
      <c r="AI87" s="80" t="str">
        <f>IFERROR(__xludf.DUMMYFUNCTION("""COMPUTED_VALUE"""),"59419S3")</f>
        <v>59419S3</v>
      </c>
      <c r="AJ87" s="80" t="str">
        <f>IFERROR(__xludf.DUMMYFUNCTION("""COMPUTED_VALUE"""),"63de2d595e589d1c4b7be1e5")</f>
        <v>63de2d595e589d1c4b7be1e5</v>
      </c>
      <c r="AK87" s="80" t="str">
        <f>IFERROR(__xludf.DUMMYFUNCTION("""COMPUTED_VALUE"""),"dm59419s3")</f>
        <v>dm59419s3</v>
      </c>
      <c r="AL87" s="80" t="str">
        <f>IFERROR(__xludf.DUMMYFUNCTION("""COMPUTED_VALUE"""),"password")</f>
        <v>password</v>
      </c>
      <c r="AM87" s="80" t="str">
        <f>IFERROR(__xludf.DUMMYFUNCTION("""COMPUTED_VALUE"""),"KANTOR REGIONAL IV SEMARANG 50004")</f>
        <v>KANTOR REGIONAL IV SEMARANG 50004</v>
      </c>
      <c r="AN87" s="80" t="str">
        <f>IFERROR(__xludf.DUMMYFUNCTION("""COMPUTED_VALUE"""),"POS MULYOHARJO")</f>
        <v>POS MULYOHARJO</v>
      </c>
      <c r="AO87" s="80" t="str">
        <f>IFERROR(__xludf.DUMMYFUNCTION("""COMPUTED_VALUE"""),"0801230017572")</f>
        <v>0801230017572</v>
      </c>
      <c r="AP87" s="80" t="str">
        <f>IFERROR(__xludf.DUMMYFUNCTION("""COMPUTED_VALUE"""),"53202 ( AKTIFITAS AGEN KURIR )")</f>
        <v>53202 ( AKTIFITAS AGEN KURIR )</v>
      </c>
      <c r="AQ87" s="83"/>
      <c r="AR87" s="80"/>
      <c r="AS87" s="80"/>
      <c r="AT87" s="80" t="str">
        <f>IFERROR(__xludf.DUMMYFUNCTION("""COMPUTED_VALUE"""),"-65841832")</f>
        <v>-65841832</v>
      </c>
      <c r="AU87" s="80" t="str">
        <f>IFERROR(__xludf.DUMMYFUNCTION("""COMPUTED_VALUE"""),"1106992254")</f>
        <v>1106992254</v>
      </c>
      <c r="AV87" s="80" t="str">
        <f>IFERROR(__xludf.DUMMYFUNCTION("""COMPUTED_VALUE"""),"ADA")</f>
        <v>ADA</v>
      </c>
      <c r="AW87" s="80" t="str">
        <f>IFERROR(__xludf.DUMMYFUNCTION("""COMPUTED_VALUE"""),"ADA")</f>
        <v>ADA</v>
      </c>
      <c r="AX87" s="80"/>
      <c r="AY87" s="80"/>
      <c r="AZ87" s="80"/>
      <c r="BA87" s="80" t="str">
        <f>IFERROR(__xludf.DUMMYFUNCTION("""COMPUTED_VALUE"""),"ADA")</f>
        <v>ADA</v>
      </c>
      <c r="BB87" s="80" t="str">
        <f>IFERROR(__xludf.DUMMYFUNCTION("""COMPUTED_VALUE"""),"ADA")</f>
        <v>ADA</v>
      </c>
      <c r="BC87" s="80" t="str">
        <f>IFERROR(__xludf.DUMMYFUNCTION("""COMPUTED_VALUE"""),"ADA")</f>
        <v>ADA</v>
      </c>
      <c r="BD87" s="80" t="str">
        <f>IFERROR(__xludf.DUMMYFUNCTION("""COMPUTED_VALUE"""),"ADA")</f>
        <v>ADA</v>
      </c>
      <c r="BE87" s="80" t="str">
        <f>IFERROR(__xludf.DUMMYFUNCTION("""COMPUTED_VALUE"""),"ADA")</f>
        <v>ADA</v>
      </c>
      <c r="BF87" s="80"/>
      <c r="BG87" s="80"/>
      <c r="BH87" s="80"/>
      <c r="BI87" s="80"/>
      <c r="BJ87" s="80"/>
      <c r="BK87" s="80"/>
      <c r="BL87" s="80"/>
      <c r="BM87" s="80"/>
      <c r="BN87" s="80"/>
      <c r="BO87" s="80"/>
      <c r="BP87" s="80"/>
      <c r="BQ87" s="80"/>
      <c r="BR87" s="80"/>
      <c r="BS87" s="80"/>
      <c r="BT87" s="80"/>
      <c r="BU87" s="80"/>
      <c r="BV87" s="80" t="str">
        <f>IFERROR(__xludf.DUMMYFUNCTION("""COMPUTED_VALUE"""),"Mulyoharjo Rt 005 Rw 002 Kel. Mulyoharjo Kec. Jepara Kab. Jepara 59431")</f>
        <v>Mulyoharjo Rt 005 Rw 002 Kel. Mulyoharjo Kec. Jepara Kab. Jepara 59431</v>
      </c>
      <c r="BW87" s="80"/>
      <c r="BX87" s="80"/>
      <c r="BY87" s="80"/>
      <c r="BZ87" s="80"/>
      <c r="CA87" s="80"/>
      <c r="CB87" s="80"/>
      <c r="CC87" s="80"/>
      <c r="CD87" s="80"/>
      <c r="CE87" s="80"/>
      <c r="CF87" s="80"/>
      <c r="CG87" s="80"/>
      <c r="CH87" s="80"/>
      <c r="CI87" s="80"/>
      <c r="CJ87" s="80"/>
      <c r="CK87" s="2"/>
    </row>
    <row r="88" ht="12.75" customHeight="1">
      <c r="A88" s="85">
        <f>IFERROR(__xludf.DUMMYFUNCTION("""COMPUTED_VALUE"""),85.0)</f>
        <v>85</v>
      </c>
      <c r="B88" s="85" t="str">
        <f>IFERROR(__xludf.DUMMYFUNCTION("""COMPUTED_VALUE"""),"24 FEBRUARI 2023")</f>
        <v>24 FEBRUARI 2023</v>
      </c>
      <c r="C88" s="85" t="str">
        <f>IFERROR(__xludf.DUMMYFUNCTION("""COMPUTED_VALUE"""),"27 MARET 2023")</f>
        <v>27 MARET 2023</v>
      </c>
      <c r="D88" s="86"/>
      <c r="E88" s="88"/>
      <c r="F88" s="85"/>
      <c r="G88" s="86"/>
      <c r="H88" s="85"/>
      <c r="I88" s="85"/>
      <c r="J88" s="85"/>
      <c r="K88" s="85"/>
      <c r="L88" s="85"/>
      <c r="M88" s="85"/>
      <c r="N88" s="85"/>
      <c r="O88" s="85"/>
      <c r="P88" s="85" t="str">
        <f>IFERROR(__xludf.DUMMYFUNCTION("""COMPUTED_VALUE"""),"53BSPA05485JBCUM")</f>
        <v>53BSPA05485JBCUM</v>
      </c>
      <c r="Q88" s="85" t="str">
        <f>IFERROR(__xludf.DUMMYFUNCTION("""COMPUTED_VALUE"""),"QiranCorner")</f>
        <v>QiranCorner</v>
      </c>
      <c r="R88" s="85" t="str">
        <f>IFERROR(__xludf.DUMMYFUNCTION("""COMPUTED_VALUE"""),"QiranCorner")</f>
        <v>QiranCorner</v>
      </c>
      <c r="S88" s="85" t="str">
        <f>IFERROR(__xludf.DUMMYFUNCTION("""COMPUTED_VALUE"""),"Sopiyanti Intan Solihat")</f>
        <v>Sopiyanti Intan Solihat</v>
      </c>
      <c r="T88" s="85" t="str">
        <f>IFERROR(__xludf.DUMMYFUNCTION("""COMPUTED_VALUE"""),"Perum Bumi Simpang Asri Blok D4 002/007 Mulyasari Bayongbong Garut")</f>
        <v>Perum Bumi Simpang Asri Blok D4 002/007 Mulyasari Bayongbong Garut</v>
      </c>
      <c r="U88" s="85" t="str">
        <f>IFERROR(__xludf.DUMMYFUNCTION("""COMPUTED_VALUE"""),"Bumi Sanggar Meubel (BSM) Ciwaru 4 No 33, Jl Ciwaru Wetan RT 01/ RW 04 Cilengkrang, Cilengkrang, Kab Bandung 40615")</f>
        <v>Bumi Sanggar Meubel (BSM) Ciwaru 4 No 33, Jl Ciwaru Wetan RT 01/ RW 04 Cilengkrang, Cilengkrang, Kab Bandung 40615</v>
      </c>
      <c r="V88" s="85" t="str">
        <f>IFERROR(__xludf.DUMMYFUNCTION("""COMPUTED_VALUE"""),"001/004")</f>
        <v>001/004</v>
      </c>
      <c r="W88" s="85" t="str">
        <f>IFERROR(__xludf.DUMMYFUNCTION("""COMPUTED_VALUE"""),"CILENGKRANG")</f>
        <v>CILENGKRANG</v>
      </c>
      <c r="X88" s="85" t="str">
        <f>IFERROR(__xludf.DUMMYFUNCTION("""COMPUTED_VALUE"""),"CILENGKRANG")</f>
        <v>CILENGKRANG</v>
      </c>
      <c r="Y88" s="85" t="str">
        <f>IFERROR(__xludf.DUMMYFUNCTION("""COMPUTED_VALUE"""),"KAB. BANDUNG")</f>
        <v>KAB. BANDUNG</v>
      </c>
      <c r="Z88" s="85" t="str">
        <f>IFERROR(__xludf.DUMMYFUNCTION("""COMPUTED_VALUE"""),"JAWA BARAT")</f>
        <v>JAWA BARAT</v>
      </c>
      <c r="AA88" s="85" t="str">
        <f>IFERROR(__xludf.DUMMYFUNCTION("""COMPUTED_VALUE"""),"40615")</f>
        <v>40615</v>
      </c>
      <c r="AB88" s="85" t="str">
        <f>IFERROR(__xludf.DUMMYFUNCTION("""COMPUTED_VALUE"""),"3205176904900002")</f>
        <v>3205176904900002</v>
      </c>
      <c r="AC88" s="85" t="str">
        <f>IFERROR(__xludf.DUMMYFUNCTION("""COMPUTED_VALUE"""),"72.071.831.1-443.000")</f>
        <v>72.071.831.1-443.000</v>
      </c>
      <c r="AD88" s="85" t="str">
        <f>IFERROR(__xludf.DUMMYFUNCTION("""COMPUTED_VALUE"""),"CUM - SPT 2")</f>
        <v>CUM - SPT 2</v>
      </c>
      <c r="AE88" s="85" t="str">
        <f>IFERROR(__xludf.DUMMYFUNCTION("""COMPUTED_VALUE"""),"CUM TELEMARKETING ARIA")</f>
        <v>CUM TELEMARKETING ARIA</v>
      </c>
      <c r="AF88" s="85" t="str">
        <f>IFERROR(__xludf.DUMMYFUNCTION("""COMPUTED_VALUE"""),"08999487800")</f>
        <v>08999487800</v>
      </c>
      <c r="AG88" s="85" t="str">
        <f>IFERROR(__xludf.DUMMYFUNCTION("""COMPUTED_VALUE"""),"08999487800")</f>
        <v>08999487800</v>
      </c>
      <c r="AH88" s="85" t="str">
        <f>IFERROR(__xludf.DUMMYFUNCTION("""COMPUTED_VALUE"""),"sopiyantiintansolihat@gmail.com")</f>
        <v>sopiyantiintansolihat@gmail.com</v>
      </c>
      <c r="AI88" s="85" t="str">
        <f>IFERROR(__xludf.DUMMYFUNCTION("""COMPUTED_VALUE"""),"40392S2")</f>
        <v>40392S2</v>
      </c>
      <c r="AJ88" s="85" t="str">
        <f>IFERROR(__xludf.DUMMYFUNCTION("""COMPUTED_VALUE"""),"64108277d8de1c5839432936")</f>
        <v>64108277d8de1c5839432936</v>
      </c>
      <c r="AK88" s="85" t="str">
        <f>IFERROR(__xludf.DUMMYFUNCTION("""COMPUTED_VALUE"""),"dm40392s2")</f>
        <v>dm40392s2</v>
      </c>
      <c r="AL88" s="85" t="str">
        <f>IFERROR(__xludf.DUMMYFUNCTION("""COMPUTED_VALUE"""),"password")</f>
        <v>password</v>
      </c>
      <c r="AM88" s="85"/>
      <c r="AN88" s="85" t="str">
        <f>IFERROR(__xludf.DUMMYFUNCTION("""COMPUTED_VALUE"""),"KC UJUNGBERUNG ")</f>
        <v>KC UJUNGBERUNG </v>
      </c>
      <c r="AO88" s="85"/>
      <c r="AP88" s="85"/>
      <c r="AQ88" s="93"/>
      <c r="AR88" s="85"/>
      <c r="AS88" s="85"/>
      <c r="AT88" s="85"/>
      <c r="AU88" s="85"/>
      <c r="AV88" s="85"/>
      <c r="AW88" s="85"/>
      <c r="AX88" s="85"/>
      <c r="AY88" s="85"/>
      <c r="AZ88" s="85"/>
      <c r="BA88" s="85"/>
      <c r="BB88" s="85"/>
      <c r="BC88" s="85"/>
      <c r="BD88" s="85"/>
      <c r="BE88" s="85"/>
      <c r="BF88" s="85"/>
      <c r="BG88" s="85"/>
      <c r="BH88" s="85"/>
      <c r="BI88" s="85"/>
      <c r="BJ88" s="85"/>
      <c r="BK88" s="85"/>
      <c r="BL88" s="85"/>
      <c r="BM88" s="85"/>
      <c r="BN88" s="85"/>
      <c r="BO88" s="85"/>
      <c r="BP88" s="85"/>
      <c r="BQ88" s="85"/>
      <c r="BR88" s="85"/>
      <c r="BS88" s="85"/>
      <c r="BT88" s="85"/>
      <c r="BU88" s="85"/>
      <c r="BV88" s="85" t="str">
        <f>IFERROR(__xludf.DUMMYFUNCTION("""COMPUTED_VALUE"""),"Perum Bumi Simpang Asri Blok D4 002/007 Mulyasari Bayongbong Garut")</f>
        <v>Perum Bumi Simpang Asri Blok D4 002/007 Mulyasari Bayongbong Garut</v>
      </c>
      <c r="BW88" s="85"/>
      <c r="BX88" s="85"/>
      <c r="BY88" s="85"/>
      <c r="BZ88" s="85"/>
      <c r="CA88" s="85"/>
      <c r="CB88" s="85"/>
      <c r="CC88" s="85"/>
      <c r="CD88" s="85"/>
      <c r="CE88" s="85"/>
      <c r="CF88" s="85"/>
      <c r="CG88" s="85"/>
      <c r="CH88" s="85"/>
      <c r="CI88" s="85"/>
      <c r="CJ88" s="85"/>
      <c r="CK88" s="2"/>
    </row>
    <row r="89" ht="12.75" customHeight="1">
      <c r="A89" s="80">
        <f>IFERROR(__xludf.DUMMYFUNCTION("""COMPUTED_VALUE"""),86.0)</f>
        <v>86</v>
      </c>
      <c r="B89" s="80"/>
      <c r="C89" s="80"/>
      <c r="D89" s="81"/>
      <c r="E89" s="82"/>
      <c r="F89" s="80"/>
      <c r="G89" s="81"/>
      <c r="H89" s="80"/>
      <c r="I89" s="80"/>
      <c r="J89" s="80"/>
      <c r="K89" s="80"/>
      <c r="L89" s="80"/>
      <c r="M89" s="80"/>
      <c r="N89" s="80"/>
      <c r="O89" s="80"/>
      <c r="P89" s="80" t="str">
        <f>IFERROR(__xludf.DUMMYFUNCTION("""COMPUTED_VALUE"""),"53BSPA23918JBRAB")</f>
        <v>53BSPA23918JBRAB</v>
      </c>
      <c r="Q89" s="80" t="str">
        <f>IFERROR(__xludf.DUMMYFUNCTION("""COMPUTED_VALUE"""),"loket Alya mandiri")</f>
        <v>loket Alya mandiri</v>
      </c>
      <c r="R89" s="80" t="str">
        <f>IFERROR(__xludf.DUMMYFUNCTION("""COMPUTED_VALUE"""),"Hidayah Link")</f>
        <v>Hidayah Link</v>
      </c>
      <c r="S89" s="80" t="str">
        <f>IFERROR(__xludf.DUMMYFUNCTION("""COMPUTED_VALUE"""),"Rm Alan Hartopo Satria S")</f>
        <v>Rm Alan Hartopo Satria S</v>
      </c>
      <c r="T89" s="80" t="str">
        <f>IFERROR(__xludf.DUMMYFUNCTION("""COMPUTED_VALUE"""),"Blok Kibuyut Rt/Rw. 001/001, Kel. Kertajaya, Kec. Bongas, Kabupaten Indramayu, 45255")</f>
        <v>Blok Kibuyut Rt/Rw. 001/001, Kel. Kertajaya, Kec. Bongas, Kabupaten Indramayu, 45255</v>
      </c>
      <c r="U89" s="80" t="str">
        <f>IFERROR(__xludf.DUMMYFUNCTION("""COMPUTED_VALUE"""),"Blok Kibuyut RT/RW. 001/001, Kel. Kertajaya, Kec. Bongas, Kabupaten Indramayu, 45255")</f>
        <v>Blok Kibuyut RT/RW. 001/001, Kel. Kertajaya, Kec. Bongas, Kabupaten Indramayu, 45255</v>
      </c>
      <c r="V89" s="80" t="str">
        <f>IFERROR(__xludf.DUMMYFUNCTION("""COMPUTED_VALUE"""),"001/001")</f>
        <v>001/001</v>
      </c>
      <c r="W89" s="80" t="str">
        <f>IFERROR(__xludf.DUMMYFUNCTION("""COMPUTED_VALUE"""),"KERTAJAYA")</f>
        <v>KERTAJAYA</v>
      </c>
      <c r="X89" s="80" t="str">
        <f>IFERROR(__xludf.DUMMYFUNCTION("""COMPUTED_VALUE"""),"BONGAS")</f>
        <v>BONGAS</v>
      </c>
      <c r="Y89" s="80" t="str">
        <f>IFERROR(__xludf.DUMMYFUNCTION("""COMPUTED_VALUE"""),"KAB. INDRAMAYU")</f>
        <v>KAB. INDRAMAYU</v>
      </c>
      <c r="Z89" s="80" t="str">
        <f>IFERROR(__xludf.DUMMYFUNCTION("""COMPUTED_VALUE"""),"JAWA BARAT")</f>
        <v>JAWA BARAT</v>
      </c>
      <c r="AA89" s="80" t="str">
        <f>IFERROR(__xludf.DUMMYFUNCTION("""COMPUTED_VALUE"""),"45255")</f>
        <v>45255</v>
      </c>
      <c r="AB89" s="80" t="str">
        <f>IFERROR(__xludf.DUMMYFUNCTION("""COMPUTED_VALUE"""),"3212222901860001")</f>
        <v>3212222901860001</v>
      </c>
      <c r="AC89" s="80" t="str">
        <f>IFERROR(__xludf.DUMMYFUNCTION("""COMPUTED_VALUE"""),"36.331.372.7-437.000")</f>
        <v>36.331.372.7-437.000</v>
      </c>
      <c r="AD89" s="80" t="str">
        <f>IFERROR(__xludf.DUMMYFUNCTION("""COMPUTED_VALUE"""),"CUM - ABD")</f>
        <v>CUM - ABD</v>
      </c>
      <c r="AE89" s="80" t="str">
        <f>IFERROR(__xludf.DUMMYFUNCTION("""COMPUTED_VALUE"""),"SUB ABDUL QODIR")</f>
        <v>SUB ABDUL QODIR</v>
      </c>
      <c r="AF89" s="80" t="str">
        <f>IFERROR(__xludf.DUMMYFUNCTION("""COMPUTED_VALUE"""),"08112003577")</f>
        <v>08112003577</v>
      </c>
      <c r="AG89" s="80" t="str">
        <f>IFERROR(__xludf.DUMMYFUNCTION("""COMPUTED_VALUE"""),"08112003577")</f>
        <v>08112003577</v>
      </c>
      <c r="AH89" s="80" t="str">
        <f>IFERROR(__xludf.DUMMYFUNCTION("""COMPUTED_VALUE"""),"radensatria1@gmail.com")</f>
        <v>radensatria1@gmail.com</v>
      </c>
      <c r="AI89" s="80"/>
      <c r="AJ89" s="80"/>
      <c r="AK89" s="80"/>
      <c r="AL89" s="80"/>
      <c r="AM89" s="80"/>
      <c r="AN89" s="80"/>
      <c r="AO89" s="80"/>
      <c r="AP89" s="80"/>
      <c r="AQ89" s="83"/>
      <c r="AR89" s="80"/>
      <c r="AS89" s="80"/>
      <c r="AT89" s="80"/>
      <c r="AU89" s="80"/>
      <c r="AV89" s="80"/>
      <c r="AW89" s="80"/>
      <c r="AX89" s="80"/>
      <c r="AY89" s="80"/>
      <c r="AZ89" s="80"/>
      <c r="BA89" s="80"/>
      <c r="BB89" s="80"/>
      <c r="BC89" s="80"/>
      <c r="BD89" s="80"/>
      <c r="BE89" s="80"/>
      <c r="BF89" s="80"/>
      <c r="BG89" s="80"/>
      <c r="BH89" s="80"/>
      <c r="BI89" s="80"/>
      <c r="BJ89" s="80"/>
      <c r="BK89" s="80"/>
      <c r="BL89" s="80"/>
      <c r="BM89" s="80"/>
      <c r="BN89" s="80"/>
      <c r="BO89" s="80"/>
      <c r="BP89" s="80"/>
      <c r="BQ89" s="80"/>
      <c r="BR89" s="80"/>
      <c r="BS89" s="80"/>
      <c r="BT89" s="80"/>
      <c r="BU89" s="80"/>
      <c r="BV89" s="80" t="str">
        <f>IFERROR(__xludf.DUMMYFUNCTION("""COMPUTED_VALUE"""),"Blok Kibuyut Rt/Rw. 001/001, Kel. Kertajaya, Kec. Bongas, Kabupaten Indramayu, 45255")</f>
        <v>Blok Kibuyut Rt/Rw. 001/001, Kel. Kertajaya, Kec. Bongas, Kabupaten Indramayu, 45255</v>
      </c>
      <c r="BW89" s="80"/>
      <c r="BX89" s="80"/>
      <c r="BY89" s="80"/>
      <c r="BZ89" s="80"/>
      <c r="CA89" s="80"/>
      <c r="CB89" s="80"/>
      <c r="CC89" s="80"/>
      <c r="CD89" s="80"/>
      <c r="CE89" s="80"/>
      <c r="CF89" s="80"/>
      <c r="CG89" s="80"/>
      <c r="CH89" s="80"/>
      <c r="CI89" s="80"/>
      <c r="CJ89" s="80"/>
      <c r="CK89" s="2"/>
    </row>
    <row r="90" ht="12.75" customHeight="1">
      <c r="A90" s="85">
        <f>IFERROR(__xludf.DUMMYFUNCTION("""COMPUTED_VALUE"""),87.0)</f>
        <v>87</v>
      </c>
      <c r="B90" s="85" t="str">
        <f>IFERROR(__xludf.DUMMYFUNCTION("""COMPUTED_VALUE"""),"9 MARET 2023")</f>
        <v>9 MARET 2023</v>
      </c>
      <c r="C90" s="85" t="str">
        <f>IFERROR(__xludf.DUMMYFUNCTION("""COMPUTED_VALUE"""),"9 MARET 2023")</f>
        <v>9 MARET 2023</v>
      </c>
      <c r="D90" s="86"/>
      <c r="E90" s="88"/>
      <c r="F90" s="85" t="str">
        <f>IFERROR(__xludf.DUMMYFUNCTION("""COMPUTED_VALUE"""),"3-Apr-23")</f>
        <v>3-Apr-23</v>
      </c>
      <c r="G90" s="86">
        <f>IFERROR(__xludf.DUMMYFUNCTION("""COMPUTED_VALUE"""),45019.0)</f>
        <v>45019</v>
      </c>
      <c r="H90" s="85"/>
      <c r="I90" s="85"/>
      <c r="J90" s="85"/>
      <c r="K90" s="85"/>
      <c r="L90" s="85"/>
      <c r="M90" s="85"/>
      <c r="N90" s="85"/>
      <c r="O90" s="85"/>
      <c r="P90" s="85" t="str">
        <f>IFERROR(__xludf.DUMMYFUNCTION("""COMPUTED_VALUE"""),"53BSPA06790JBABD")</f>
        <v>53BSPA06790JBABD</v>
      </c>
      <c r="Q90" s="85" t="str">
        <f>IFERROR(__xludf.DUMMYFUNCTION("""COMPUTED_VALUE"""),"PPOB F@\\\\\\\\")</f>
        <v>PPOB F@\\\\\\\\</v>
      </c>
      <c r="R90" s="85" t="str">
        <f>IFERROR(__xludf.DUMMYFUNCTION("""COMPUTED_VALUE"""),"FA'I CELL")</f>
        <v>FA'I CELL</v>
      </c>
      <c r="S90" s="85" t="str">
        <f>IFERROR(__xludf.DUMMYFUNCTION("""COMPUTED_VALUE"""),"Harun, Se")</f>
        <v>Harun, Se</v>
      </c>
      <c r="T90" s="85" t="str">
        <f>IFERROR(__xludf.DUMMYFUNCTION("""COMPUTED_VALUE"""),"Kp. Jompong Rt. 006/Rw. 002 Desa Mertajaya, Kecamatan Bojongasih, Kabupaten Tasikmalaya, 46475")</f>
        <v>Kp. Jompong Rt. 006/Rw. 002 Desa Mertajaya, Kecamatan Bojongasih, Kabupaten Tasikmalaya, 46475</v>
      </c>
      <c r="U90" s="85" t="str">
        <f>IFERROR(__xludf.DUMMYFUNCTION("""COMPUTED_VALUE"""),"Kp. Jompong RT. 006/RW. 002 Desa Mertajaya, Kecamatan Bojongasih, Kabupaten Tasikmalaya, 46475")</f>
        <v>Kp. Jompong RT. 006/RW. 002 Desa Mertajaya, Kecamatan Bojongasih, Kabupaten Tasikmalaya, 46475</v>
      </c>
      <c r="V90" s="85" t="str">
        <f>IFERROR(__xludf.DUMMYFUNCTION("""COMPUTED_VALUE"""),"006/002")</f>
        <v>006/002</v>
      </c>
      <c r="W90" s="85" t="str">
        <f>IFERROR(__xludf.DUMMYFUNCTION("""COMPUTED_VALUE"""),"MERTAJAYA")</f>
        <v>MERTAJAYA</v>
      </c>
      <c r="X90" s="85" t="str">
        <f>IFERROR(__xludf.DUMMYFUNCTION("""COMPUTED_VALUE"""),"BOJONGASIH")</f>
        <v>BOJONGASIH</v>
      </c>
      <c r="Y90" s="85" t="str">
        <f>IFERROR(__xludf.DUMMYFUNCTION("""COMPUTED_VALUE"""),"KAB. TASIKMALAYA")</f>
        <v>KAB. TASIKMALAYA</v>
      </c>
      <c r="Z90" s="85" t="str">
        <f>IFERROR(__xludf.DUMMYFUNCTION("""COMPUTED_VALUE"""),"JAWA BARAT")</f>
        <v>JAWA BARAT</v>
      </c>
      <c r="AA90" s="85" t="str">
        <f>IFERROR(__xludf.DUMMYFUNCTION("""COMPUTED_VALUE"""),"46475")</f>
        <v>46475</v>
      </c>
      <c r="AB90" s="85" t="str">
        <f>IFERROR(__xludf.DUMMYFUNCTION("""COMPUTED_VALUE"""),"3206090607740001")</f>
        <v>3206090607740001</v>
      </c>
      <c r="AC90" s="85" t="str">
        <f>IFERROR(__xludf.DUMMYFUNCTION("""COMPUTED_VALUE"""),"89.222.049.2-425.000")</f>
        <v>89.222.049.2-425.000</v>
      </c>
      <c r="AD90" s="85" t="str">
        <f>IFERROR(__xludf.DUMMYFUNCTION("""COMPUTED_VALUE"""),"CUM - ABD")</f>
        <v>CUM - ABD</v>
      </c>
      <c r="AE90" s="85" t="str">
        <f>IFERROR(__xludf.DUMMYFUNCTION("""COMPUTED_VALUE"""),"SUB ABDUL QODIR")</f>
        <v>SUB ABDUL QODIR</v>
      </c>
      <c r="AF90" s="85" t="str">
        <f>IFERROR(__xludf.DUMMYFUNCTION("""COMPUTED_VALUE"""),"085223733970")</f>
        <v>085223733970</v>
      </c>
      <c r="AG90" s="85" t="str">
        <f>IFERROR(__xludf.DUMMYFUNCTION("""COMPUTED_VALUE"""),"085223733970")</f>
        <v>085223733970</v>
      </c>
      <c r="AH90" s="85" t="str">
        <f>IFERROR(__xludf.DUMMYFUNCTION("""COMPUTED_VALUE"""),"harunse79@gmail.com")</f>
        <v>harunse79@gmail.com</v>
      </c>
      <c r="AI90" s="85" t="str">
        <f>IFERROR(__xludf.DUMMYFUNCTION("""COMPUTED_VALUE"""),"46477S1")</f>
        <v>46477S1</v>
      </c>
      <c r="AJ90" s="85" t="str">
        <f>IFERROR(__xludf.DUMMYFUNCTION("""COMPUTED_VALUE"""),"64198a1ffeca6c22fc235ca4")</f>
        <v>64198a1ffeca6c22fc235ca4</v>
      </c>
      <c r="AK90" s="85" t="str">
        <f>IFERROR(__xludf.DUMMYFUNCTION("""COMPUTED_VALUE"""),"dm46477s1")</f>
        <v>dm46477s1</v>
      </c>
      <c r="AL90" s="85" t="str">
        <f>IFERROR(__xludf.DUMMYFUNCTION("""COMPUTED_VALUE"""),"password")</f>
        <v>password</v>
      </c>
      <c r="AM90" s="85"/>
      <c r="AN90" s="85" t="str">
        <f>IFERROR(__xludf.DUMMYFUNCTION("""COMPUTED_VALUE"""),"POS BANTARKALONG")</f>
        <v>POS BANTARKALONG</v>
      </c>
      <c r="AO90" s="85" t="str">
        <f>IFERROR(__xludf.DUMMYFUNCTION("""COMPUTED_VALUE"""),"903230096349")</f>
        <v>903230096349</v>
      </c>
      <c r="AP90" s="85" t="str">
        <f>IFERROR(__xludf.DUMMYFUNCTION("""COMPUTED_VALUE"""),"53202 ( AKTIFITAS AGEN KURIR )")</f>
        <v>53202 ( AKTIFITAS AGEN KURIR )</v>
      </c>
      <c r="AQ90" s="93"/>
      <c r="AR90" s="85"/>
      <c r="AS90" s="85"/>
      <c r="AT90" s="85" t="str">
        <f>IFERROR(__xludf.DUMMYFUNCTION("""COMPUTED_VALUE"""),"-75590639")</f>
        <v>-75590639</v>
      </c>
      <c r="AU90" s="85" t="str">
        <f>IFERROR(__xludf.DUMMYFUNCTION("""COMPUTED_VALUE"""),"1081037676")</f>
        <v>1081037676</v>
      </c>
      <c r="AV90" s="85" t="str">
        <f>IFERROR(__xludf.DUMMYFUNCTION("""COMPUTED_VALUE"""),"ADA")</f>
        <v>ADA</v>
      </c>
      <c r="AW90" s="85" t="str">
        <f>IFERROR(__xludf.DUMMYFUNCTION("""COMPUTED_VALUE"""),"ADA")</f>
        <v>ADA</v>
      </c>
      <c r="AX90" s="85"/>
      <c r="AY90" s="85"/>
      <c r="AZ90" s="85"/>
      <c r="BA90" s="85" t="str">
        <f>IFERROR(__xludf.DUMMYFUNCTION("""COMPUTED_VALUE"""),"ADA")</f>
        <v>ADA</v>
      </c>
      <c r="BB90" s="85" t="str">
        <f>IFERROR(__xludf.DUMMYFUNCTION("""COMPUTED_VALUE"""),"ADA")</f>
        <v>ADA</v>
      </c>
      <c r="BC90" s="85" t="str">
        <f>IFERROR(__xludf.DUMMYFUNCTION("""COMPUTED_VALUE"""),"ADA")</f>
        <v>ADA</v>
      </c>
      <c r="BD90" s="85" t="str">
        <f>IFERROR(__xludf.DUMMYFUNCTION("""COMPUTED_VALUE"""),"ADA")</f>
        <v>ADA</v>
      </c>
      <c r="BE90" s="85" t="str">
        <f>IFERROR(__xludf.DUMMYFUNCTION("""COMPUTED_VALUE"""),"ADA")</f>
        <v>ADA</v>
      </c>
      <c r="BF90" s="85" t="str">
        <f>IFERROR(__xludf.DUMMYFUNCTION("""COMPUTED_VALUE"""),"ADA")</f>
        <v>ADA</v>
      </c>
      <c r="BG90" s="85" t="str">
        <f>IFERROR(__xludf.DUMMYFUNCTION("""COMPUTED_VALUE"""),"ADA")</f>
        <v>ADA</v>
      </c>
      <c r="BH90" s="85"/>
      <c r="BI90" s="85"/>
      <c r="BJ90" s="85"/>
      <c r="BK90" s="85"/>
      <c r="BL90" s="85"/>
      <c r="BM90" s="85"/>
      <c r="BN90" s="85"/>
      <c r="BO90" s="85"/>
      <c r="BP90" s="85"/>
      <c r="BQ90" s="85"/>
      <c r="BR90" s="85"/>
      <c r="BS90" s="85"/>
      <c r="BT90" s="85"/>
      <c r="BU90" s="85"/>
      <c r="BV90" s="85" t="str">
        <f>IFERROR(__xludf.DUMMYFUNCTION("""COMPUTED_VALUE"""),"Kp. Jompong Rt. 006/Rw. 002 Desa Mertajaya, Kecamatan Bojongasih, Kabupaten Tasikmalaya, 46475")</f>
        <v>Kp. Jompong Rt. 006/Rw. 002 Desa Mertajaya, Kecamatan Bojongasih, Kabupaten Tasikmalaya, 46475</v>
      </c>
      <c r="BW90" s="85"/>
      <c r="BX90" s="85"/>
      <c r="BY90" s="85"/>
      <c r="BZ90" s="85"/>
      <c r="CA90" s="85"/>
      <c r="CB90" s="85"/>
      <c r="CC90" s="85"/>
      <c r="CD90" s="85"/>
      <c r="CE90" s="85"/>
      <c r="CF90" s="85"/>
      <c r="CG90" s="85"/>
      <c r="CH90" s="85"/>
      <c r="CI90" s="85"/>
      <c r="CJ90" s="85"/>
      <c r="CK90" s="2"/>
    </row>
    <row r="91" ht="12.75" customHeight="1">
      <c r="A91" s="80">
        <f>IFERROR(__xludf.DUMMYFUNCTION("""COMPUTED_VALUE"""),88.0)</f>
        <v>88</v>
      </c>
      <c r="B91" s="80"/>
      <c r="C91" s="80" t="str">
        <f>IFERROR(__xludf.DUMMYFUNCTION("""COMPUTED_VALUE"""),"20 MARET 2023")</f>
        <v>20 MARET 2023</v>
      </c>
      <c r="D91" s="81"/>
      <c r="E91" s="82"/>
      <c r="F91" s="80" t="str">
        <f>IFERROR(__xludf.DUMMYFUNCTION("""COMPUTED_VALUE"""),"12-Apr-23")</f>
        <v>12-Apr-23</v>
      </c>
      <c r="G91" s="81">
        <f>IFERROR(__xludf.DUMMYFUNCTION("""COMPUTED_VALUE"""),45028.0)</f>
        <v>45028</v>
      </c>
      <c r="H91" s="80"/>
      <c r="I91" s="80"/>
      <c r="J91" s="80"/>
      <c r="K91" s="80"/>
      <c r="L91" s="80"/>
      <c r="M91" s="80"/>
      <c r="N91" s="80"/>
      <c r="O91" s="80"/>
      <c r="P91" s="80" t="str">
        <f>IFERROR(__xludf.DUMMYFUNCTION("""COMPUTED_VALUE"""),"53BSPA25424JBRNA")</f>
        <v>53BSPA25424JBRNA</v>
      </c>
      <c r="Q91" s="80" t="str">
        <f>IFERROR(__xludf.DUMMYFUNCTION("""COMPUTED_VALUE"""),"ZAIN")</f>
        <v>ZAIN</v>
      </c>
      <c r="R91" s="80" t="str">
        <f>IFERROR(__xludf.DUMMYFUNCTION("""COMPUTED_VALUE"""),"ZAIN")</f>
        <v>ZAIN</v>
      </c>
      <c r="S91" s="80" t="str">
        <f>IFERROR(__xludf.DUMMYFUNCTION("""COMPUTED_VALUE"""),"Lili Suparli")</f>
        <v>Lili Suparli</v>
      </c>
      <c r="T91" s="80" t="str">
        <f>IFERROR(__xludf.DUMMYFUNCTION("""COMPUTED_VALUE"""),"Kp.Cipeundeuy Rt. 001, Rw. 017 Kel. Cipeundeuy Kec. Cipeundeuy Kbb 40558")</f>
        <v>Kp.Cipeundeuy Rt. 001, Rw. 017 Kel. Cipeundeuy Kec. Cipeundeuy Kbb 40558</v>
      </c>
      <c r="U91" s="80" t="str">
        <f>IFERROR(__xludf.DUMMYFUNCTION("""COMPUTED_VALUE"""),"KP.CIPEUNDEUY RT. 001, RW. 017 KEL. CIPEUNDEUY KEC. CIPEUNDEUY KBB 40558")</f>
        <v>KP.CIPEUNDEUY RT. 001, RW. 017 KEL. CIPEUNDEUY KEC. CIPEUNDEUY KBB 40558</v>
      </c>
      <c r="V91" s="80" t="str">
        <f>IFERROR(__xludf.DUMMYFUNCTION("""COMPUTED_VALUE"""),"001/017")</f>
        <v>001/017</v>
      </c>
      <c r="W91" s="80" t="str">
        <f>IFERROR(__xludf.DUMMYFUNCTION("""COMPUTED_VALUE"""),"CIPEUNDEUY")</f>
        <v>CIPEUNDEUY</v>
      </c>
      <c r="X91" s="80" t="str">
        <f>IFERROR(__xludf.DUMMYFUNCTION("""COMPUTED_VALUE"""),"CIPEUNDEUY")</f>
        <v>CIPEUNDEUY</v>
      </c>
      <c r="Y91" s="80" t="str">
        <f>IFERROR(__xludf.DUMMYFUNCTION("""COMPUTED_VALUE"""),"KAB. BANDUNG BARAT")</f>
        <v>KAB. BANDUNG BARAT</v>
      </c>
      <c r="Z91" s="80" t="str">
        <f>IFERROR(__xludf.DUMMYFUNCTION("""COMPUTED_VALUE"""),"JAWA BARAT")</f>
        <v>JAWA BARAT</v>
      </c>
      <c r="AA91" s="80" t="str">
        <f>IFERROR(__xludf.DUMMYFUNCTION("""COMPUTED_VALUE"""),"40558")</f>
        <v>40558</v>
      </c>
      <c r="AB91" s="80" t="str">
        <f>IFERROR(__xludf.DUMMYFUNCTION("""COMPUTED_VALUE"""),"3217051312640000")</f>
        <v>3217051312640000</v>
      </c>
      <c r="AC91" s="80" t="str">
        <f>IFERROR(__xludf.DUMMYFUNCTION("""COMPUTED_VALUE"""),"49.747.467.6-421.000")</f>
        <v>49.747.467.6-421.000</v>
      </c>
      <c r="AD91" s="80" t="str">
        <f>IFERROR(__xludf.DUMMYFUNCTION("""COMPUTED_VALUE"""),"CUM - RNA")</f>
        <v>CUM - RNA</v>
      </c>
      <c r="AE91" s="80" t="str">
        <f>IFERROR(__xludf.DUMMYFUNCTION("""COMPUTED_VALUE"""),"SUB RIANA")</f>
        <v>SUB RIANA</v>
      </c>
      <c r="AF91" s="80" t="str">
        <f>IFERROR(__xludf.DUMMYFUNCTION("""COMPUTED_VALUE"""),"085220085805")</f>
        <v>085220085805</v>
      </c>
      <c r="AG91" s="80" t="str">
        <f>IFERROR(__xludf.DUMMYFUNCTION("""COMPUTED_VALUE"""),"085220085805")</f>
        <v>085220085805</v>
      </c>
      <c r="AH91" s="80" t="str">
        <f>IFERROR(__xludf.DUMMYFUNCTION("""COMPUTED_VALUE"""),"lili.suparli1964@gmail.com")</f>
        <v>lili.suparli1964@gmail.com</v>
      </c>
      <c r="AI91" s="80" t="str">
        <f>IFERROR(__xludf.DUMMYFUNCTION("""COMPUTED_VALUE"""),"40758S7")</f>
        <v>40758S7</v>
      </c>
      <c r="AJ91" s="80" t="str">
        <f>IFERROR(__xludf.DUMMYFUNCTION("""COMPUTED_VALUE"""),"6433a0432c4e9e7c1068d464 ")</f>
        <v>6433a0432c4e9e7c1068d464 </v>
      </c>
      <c r="AK91" s="80" t="str">
        <f>IFERROR(__xludf.DUMMYFUNCTION("""COMPUTED_VALUE"""),"dm40758s7")</f>
        <v>dm40758s7</v>
      </c>
      <c r="AL91" s="80" t="str">
        <f>IFERROR(__xludf.DUMMYFUNCTION("""COMPUTED_VALUE"""),"password")</f>
        <v>password</v>
      </c>
      <c r="AM91" s="80"/>
      <c r="AN91" s="80" t="str">
        <f>IFERROR(__xludf.DUMMYFUNCTION("""COMPUTED_VALUE"""),"POS CIPEUNDEUY")</f>
        <v>POS CIPEUNDEUY</v>
      </c>
      <c r="AO91" s="80" t="str">
        <f>IFERROR(__xludf.DUMMYFUNCTION("""COMPUTED_VALUE"""),"1703230011959")</f>
        <v>1703230011959</v>
      </c>
      <c r="AP91" s="80" t="str">
        <f>IFERROR(__xludf.DUMMYFUNCTION("""COMPUTED_VALUE"""),"53202 ( AKTIFITAS AGEN KURIR )")</f>
        <v>53202 ( AKTIFITAS AGEN KURIR )</v>
      </c>
      <c r="AQ91" s="83"/>
      <c r="AR91" s="80"/>
      <c r="AS91" s="80"/>
      <c r="AT91" s="80" t="str">
        <f>IFERROR(__xludf.DUMMYFUNCTION("""COMPUTED_VALUE"""),"-6,738,006")</f>
        <v>-6,738,006</v>
      </c>
      <c r="AU91" s="80" t="str">
        <f>IFERROR(__xludf.DUMMYFUNCTION("""COMPUTED_VALUE"""),"107,365,160")</f>
        <v>107,365,160</v>
      </c>
      <c r="AV91" s="80" t="str">
        <f>IFERROR(__xludf.DUMMYFUNCTION("""COMPUTED_VALUE"""),"ADA")</f>
        <v>ADA</v>
      </c>
      <c r="AW91" s="80" t="str">
        <f>IFERROR(__xludf.DUMMYFUNCTION("""COMPUTED_VALUE"""),"ADA")</f>
        <v>ADA</v>
      </c>
      <c r="AX91" s="80"/>
      <c r="AY91" s="80"/>
      <c r="AZ91" s="80"/>
      <c r="BA91" s="80" t="str">
        <f>IFERROR(__xludf.DUMMYFUNCTION("""COMPUTED_VALUE"""),"ADA")</f>
        <v>ADA</v>
      </c>
      <c r="BB91" s="80" t="str">
        <f>IFERROR(__xludf.DUMMYFUNCTION("""COMPUTED_VALUE"""),"ADA")</f>
        <v>ADA</v>
      </c>
      <c r="BC91" s="80" t="str">
        <f>IFERROR(__xludf.DUMMYFUNCTION("""COMPUTED_VALUE"""),"ADA")</f>
        <v>ADA</v>
      </c>
      <c r="BD91" s="80" t="str">
        <f>IFERROR(__xludf.DUMMYFUNCTION("""COMPUTED_VALUE"""),"ADA")</f>
        <v>ADA</v>
      </c>
      <c r="BE91" s="80" t="str">
        <f>IFERROR(__xludf.DUMMYFUNCTION("""COMPUTED_VALUE"""),"ADA")</f>
        <v>ADA</v>
      </c>
      <c r="BF91" s="80" t="str">
        <f>IFERROR(__xludf.DUMMYFUNCTION("""COMPUTED_VALUE"""),"ADA")</f>
        <v>ADA</v>
      </c>
      <c r="BG91" s="80" t="str">
        <f>IFERROR(__xludf.DUMMYFUNCTION("""COMPUTED_VALUE"""),"ADA")</f>
        <v>ADA</v>
      </c>
      <c r="BH91" s="80" t="str">
        <f>IFERROR(__xludf.DUMMYFUNCTION("""COMPUTED_VALUE"""),"EPSON L310")</f>
        <v>EPSON L310</v>
      </c>
      <c r="BI91" s="80" t="str">
        <f>IFERROR(__xludf.DUMMYFUNCTION("""COMPUTED_VALUE"""),"ADA")</f>
        <v>ADA</v>
      </c>
      <c r="BJ91" s="80" t="str">
        <f>IFERROR(__xludf.DUMMYFUNCTION("""COMPUTED_VALUE"""),"HVS")</f>
        <v>HVS</v>
      </c>
      <c r="BK91" s="80"/>
      <c r="BL91" s="80"/>
      <c r="BM91" s="80"/>
      <c r="BN91" s="80"/>
      <c r="BO91" s="80"/>
      <c r="BP91" s="80"/>
      <c r="BQ91" s="80"/>
      <c r="BR91" s="80"/>
      <c r="BS91" s="80"/>
      <c r="BT91" s="80"/>
      <c r="BU91" s="80"/>
      <c r="BV91" s="80" t="str">
        <f>IFERROR(__xludf.DUMMYFUNCTION("""COMPUTED_VALUE"""),"Kp.Cipeundeuy Rt. 001, Rw. 017 Kel. Cipeundeuy Kec. Cipeundeuy Kbb 40558")</f>
        <v>Kp.Cipeundeuy Rt. 001, Rw. 017 Kel. Cipeundeuy Kec. Cipeundeuy Kbb 40558</v>
      </c>
      <c r="BW91" s="80"/>
      <c r="BX91" s="80"/>
      <c r="BY91" s="80"/>
      <c r="BZ91" s="80"/>
      <c r="CA91" s="80"/>
      <c r="CB91" s="80"/>
      <c r="CC91" s="80"/>
      <c r="CD91" s="80"/>
      <c r="CE91" s="80"/>
      <c r="CF91" s="80"/>
      <c r="CG91" s="80"/>
      <c r="CH91" s="80"/>
      <c r="CI91" s="80"/>
      <c r="CJ91" s="80"/>
      <c r="CK91" s="2"/>
    </row>
    <row r="92" ht="12.75" customHeight="1">
      <c r="A92" s="85">
        <f>IFERROR(__xludf.DUMMYFUNCTION("""COMPUTED_VALUE"""),89.0)</f>
        <v>89</v>
      </c>
      <c r="B92" s="85" t="str">
        <f>IFERROR(__xludf.DUMMYFUNCTION("""COMPUTED_VALUE"""),"30 MARET 2023")</f>
        <v>30 MARET 2023</v>
      </c>
      <c r="C92" s="85" t="str">
        <f>IFERROR(__xludf.DUMMYFUNCTION("""COMPUTED_VALUE"""),"30 MARET 2023")</f>
        <v>30 MARET 2023</v>
      </c>
      <c r="D92" s="86"/>
      <c r="E92" s="88"/>
      <c r="F92" s="85"/>
      <c r="G92" s="86"/>
      <c r="H92" s="85"/>
      <c r="I92" s="85"/>
      <c r="J92" s="85"/>
      <c r="K92" s="85"/>
      <c r="L92" s="85"/>
      <c r="M92" s="85"/>
      <c r="N92" s="85"/>
      <c r="O92" s="85"/>
      <c r="P92" s="85" t="str">
        <f>IFERROR(__xludf.DUMMYFUNCTION("""COMPUTED_VALUE"""),"53BSPA16595JBNOV")</f>
        <v>53BSPA16595JBNOV</v>
      </c>
      <c r="Q92" s="85" t="str">
        <f>IFERROR(__xludf.DUMMYFUNCTION("""COMPUTED_VALUE"""),"APRILLIA")</f>
        <v>APRILLIA</v>
      </c>
      <c r="R92" s="85" t="str">
        <f>IFERROR(__xludf.DUMMYFUNCTION("""COMPUTED_VALUE"""),"APRILLIA")</f>
        <v>APRILLIA</v>
      </c>
      <c r="S92" s="85" t="str">
        <f>IFERROR(__xludf.DUMMYFUNCTION("""COMPUTED_VALUE"""),"Erningsih")</f>
        <v>Erningsih</v>
      </c>
      <c r="T92" s="85" t="str">
        <f>IFERROR(__xludf.DUMMYFUNCTION("""COMPUTED_VALUE"""),"Kp. Cikawali 034/019 Kel. Pasirkareumbi Kec. Subang 41214")</f>
        <v>Kp. Cikawali 034/019 Kel. Pasirkareumbi Kec. Subang 41214</v>
      </c>
      <c r="U92" s="85" t="str">
        <f>IFERROR(__xludf.DUMMYFUNCTION("""COMPUTED_VALUE"""),"kp. Nagrog RT 02 RW 05")</f>
        <v>kp. Nagrog RT 02 RW 05</v>
      </c>
      <c r="V92" s="85" t="str">
        <f>IFERROR(__xludf.DUMMYFUNCTION("""COMPUTED_VALUE"""),"002/005")</f>
        <v>002/005</v>
      </c>
      <c r="W92" s="85" t="str">
        <f>IFERROR(__xludf.DUMMYFUNCTION("""COMPUTED_VALUE"""),"KERTAMUKTI")</f>
        <v>KERTAMUKTI</v>
      </c>
      <c r="X92" s="85" t="str">
        <f>IFERROR(__xludf.DUMMYFUNCTION("""COMPUTED_VALUE"""),"CAMPAKA")</f>
        <v>CAMPAKA</v>
      </c>
      <c r="Y92" s="85" t="str">
        <f>IFERROR(__xludf.DUMMYFUNCTION("""COMPUTED_VALUE"""),"PURWAKARTA")</f>
        <v>PURWAKARTA</v>
      </c>
      <c r="Z92" s="85" t="str">
        <f>IFERROR(__xludf.DUMMYFUNCTION("""COMPUTED_VALUE"""),"JAWA BARAT")</f>
        <v>JAWA BARAT</v>
      </c>
      <c r="AA92" s="85" t="str">
        <f>IFERROR(__xludf.DUMMYFUNCTION("""COMPUTED_VALUE"""),"41181")</f>
        <v>41181</v>
      </c>
      <c r="AB92" s="85" t="str">
        <f>IFERROR(__xludf.DUMMYFUNCTION("""COMPUTED_VALUE""")," 3213035012890329")</f>
        <v> 3213035012890329</v>
      </c>
      <c r="AC92" s="85" t="str">
        <f>IFERROR(__xludf.DUMMYFUNCTION("""COMPUTED_VALUE"""),"14.371.743.7-439.000")</f>
        <v>14.371.743.7-439.000</v>
      </c>
      <c r="AD92" s="85" t="str">
        <f>IFERROR(__xludf.DUMMYFUNCTION("""COMPUTED_VALUE"""),"CUM - NOV")</f>
        <v>CUM - NOV</v>
      </c>
      <c r="AE92" s="85" t="str">
        <f>IFERROR(__xludf.DUMMYFUNCTION("""COMPUTED_VALUE"""),"SUB NOVI")</f>
        <v>SUB NOVI</v>
      </c>
      <c r="AF92" s="85" t="str">
        <f>IFERROR(__xludf.DUMMYFUNCTION("""COMPUTED_VALUE"""),"083110640263")</f>
        <v>083110640263</v>
      </c>
      <c r="AG92" s="85" t="str">
        <f>IFERROR(__xludf.DUMMYFUNCTION("""COMPUTED_VALUE"""),"'083110640263")</f>
        <v>'083110640263</v>
      </c>
      <c r="AH92" s="85" t="str">
        <f>IFERROR(__xludf.DUMMYFUNCTION("""COMPUTED_VALUE"""),"azzahraaprillia628@gmail.com")</f>
        <v>azzahraaprillia628@gmail.com</v>
      </c>
      <c r="AI92" s="85" t="str">
        <f>IFERROR(__xludf.DUMMYFUNCTION("""COMPUTED_VALUE"""),"41181S1")</f>
        <v>41181S1</v>
      </c>
      <c r="AJ92" s="85" t="str">
        <f>IFERROR(__xludf.DUMMYFUNCTION("""COMPUTED_VALUE"""),"6433977f7cedcd4b783199c4")</f>
        <v>6433977f7cedcd4b783199c4</v>
      </c>
      <c r="AK92" s="85" t="str">
        <f>IFERROR(__xludf.DUMMYFUNCTION("""COMPUTED_VALUE"""),"dm41181s1")</f>
        <v>dm41181s1</v>
      </c>
      <c r="AL92" s="85" t="str">
        <f>IFERROR(__xludf.DUMMYFUNCTION("""COMPUTED_VALUE"""),"password")</f>
        <v>password</v>
      </c>
      <c r="AM92" s="85"/>
      <c r="AN92" s="85" t="str">
        <f>IFERROR(__xludf.DUMMYFUNCTION("""COMPUTED_VALUE"""),"POS CAMPAKA")</f>
        <v>POS CAMPAKA</v>
      </c>
      <c r="AO92" s="85" t="str">
        <f>IFERROR(__xludf.DUMMYFUNCTION("""COMPUTED_VALUE"""),"3003230061215")</f>
        <v>3003230061215</v>
      </c>
      <c r="AP92" s="85" t="str">
        <f>IFERROR(__xludf.DUMMYFUNCTION("""COMPUTED_VALUE"""),"53202 ( AKTIFITAS AGEN KURIR )")</f>
        <v>53202 ( AKTIFITAS AGEN KURIR )</v>
      </c>
      <c r="AQ92" s="93"/>
      <c r="AR92" s="85"/>
      <c r="AS92" s="85"/>
      <c r="AT92" s="85" t="str">
        <f>IFERROR(__xludf.DUMMYFUNCTION("""COMPUTED_VALUE"""),"-6.48146")</f>
        <v>-6.48146</v>
      </c>
      <c r="AU92" s="85" t="str">
        <f>IFERROR(__xludf.DUMMYFUNCTION("""COMPUTED_VALUE"""),"107.522303")</f>
        <v>107.522303</v>
      </c>
      <c r="AV92" s="85" t="str">
        <f>IFERROR(__xludf.DUMMYFUNCTION("""COMPUTED_VALUE"""),"ADA")</f>
        <v>ADA</v>
      </c>
      <c r="AW92" s="85" t="str">
        <f>IFERROR(__xludf.DUMMYFUNCTION("""COMPUTED_VALUE"""),"ADA")</f>
        <v>ADA</v>
      </c>
      <c r="AX92" s="85"/>
      <c r="AY92" s="85"/>
      <c r="AZ92" s="85"/>
      <c r="BA92" s="85" t="str">
        <f>IFERROR(__xludf.DUMMYFUNCTION("""COMPUTED_VALUE"""),"ADA")</f>
        <v>ADA</v>
      </c>
      <c r="BB92" s="85" t="str">
        <f>IFERROR(__xludf.DUMMYFUNCTION("""COMPUTED_VALUE"""),"ADA")</f>
        <v>ADA</v>
      </c>
      <c r="BC92" s="85" t="str">
        <f>IFERROR(__xludf.DUMMYFUNCTION("""COMPUTED_VALUE"""),"ADA")</f>
        <v>ADA</v>
      </c>
      <c r="BD92" s="85" t="str">
        <f>IFERROR(__xludf.DUMMYFUNCTION("""COMPUTED_VALUE"""),"ADA")</f>
        <v>ADA</v>
      </c>
      <c r="BE92" s="85" t="str">
        <f>IFERROR(__xludf.DUMMYFUNCTION("""COMPUTED_VALUE"""),"ADA")</f>
        <v>ADA</v>
      </c>
      <c r="BF92" s="85" t="str">
        <f>IFERROR(__xludf.DUMMYFUNCTION("""COMPUTED_VALUE"""),"ADA")</f>
        <v>ADA</v>
      </c>
      <c r="BG92" s="85" t="str">
        <f>IFERROR(__xludf.DUMMYFUNCTION("""COMPUTED_VALUE"""),"ADA")</f>
        <v>ADA</v>
      </c>
      <c r="BH92" s="85"/>
      <c r="BI92" s="85"/>
      <c r="BJ92" s="85"/>
      <c r="BK92" s="85"/>
      <c r="BL92" s="85"/>
      <c r="BM92" s="85"/>
      <c r="BN92" s="85"/>
      <c r="BO92" s="85"/>
      <c r="BP92" s="85"/>
      <c r="BQ92" s="85"/>
      <c r="BR92" s="85"/>
      <c r="BS92" s="85"/>
      <c r="BT92" s="85"/>
      <c r="BU92" s="85"/>
      <c r="BV92" s="85" t="str">
        <f>IFERROR(__xludf.DUMMYFUNCTION("""COMPUTED_VALUE"""),"Kp. Cikawali 034/019 Kel. Pasirkareumbi Kec. Subang 41214")</f>
        <v>Kp. Cikawali 034/019 Kel. Pasirkareumbi Kec. Subang 41214</v>
      </c>
      <c r="BW92" s="85"/>
      <c r="BX92" s="85"/>
      <c r="BY92" s="85"/>
      <c r="BZ92" s="85"/>
      <c r="CA92" s="85"/>
      <c r="CB92" s="85"/>
      <c r="CC92" s="85"/>
      <c r="CD92" s="85"/>
      <c r="CE92" s="85"/>
      <c r="CF92" s="85"/>
      <c r="CG92" s="85"/>
      <c r="CH92" s="85"/>
      <c r="CI92" s="85"/>
      <c r="CJ92" s="85"/>
      <c r="CK92" s="2"/>
    </row>
    <row r="93" ht="12.75" customHeight="1">
      <c r="A93" s="80">
        <f>IFERROR(__xludf.DUMMYFUNCTION("""COMPUTED_VALUE"""),90.0)</f>
        <v>90</v>
      </c>
      <c r="B93" s="80" t="str">
        <f>IFERROR(__xludf.DUMMYFUNCTION("""COMPUTED_VALUE"""),"5-Apr-23")</f>
        <v>5-Apr-23</v>
      </c>
      <c r="C93" s="80" t="str">
        <f>IFERROR(__xludf.DUMMYFUNCTION("""COMPUTED_VALUE"""),"5-Apr-23")</f>
        <v>5-Apr-23</v>
      </c>
      <c r="D93" s="81"/>
      <c r="E93" s="82"/>
      <c r="F93" s="80" t="str">
        <f>IFERROR(__xludf.DUMMYFUNCTION("""COMPUTED_VALUE"""),"18-Apr-23")</f>
        <v>18-Apr-23</v>
      </c>
      <c r="G93" s="81">
        <f>IFERROR(__xludf.DUMMYFUNCTION("""COMPUTED_VALUE"""),45034.0)</f>
        <v>45034</v>
      </c>
      <c r="H93" s="80"/>
      <c r="I93" s="80"/>
      <c r="J93" s="80"/>
      <c r="K93" s="80"/>
      <c r="L93" s="80"/>
      <c r="M93" s="80"/>
      <c r="N93" s="80"/>
      <c r="O93" s="80"/>
      <c r="P93" s="80" t="str">
        <f>IFERROR(__xludf.DUMMYFUNCTION("""COMPUTED_VALUE"""),"53BSPA06131JBABD")</f>
        <v>53BSPA06131JBABD</v>
      </c>
      <c r="Q93" s="80" t="str">
        <f>IFERROR(__xludf.DUMMYFUNCTION("""COMPUTED_VALUE"""),"GRYIA ONLINE")</f>
        <v>GRYIA ONLINE</v>
      </c>
      <c r="R93" s="80" t="str">
        <f>IFERROR(__xludf.DUMMYFUNCTION("""COMPUTED_VALUE"""),"GRIYA ONLINE")</f>
        <v>GRIYA ONLINE</v>
      </c>
      <c r="S93" s="80" t="str">
        <f>IFERROR(__xludf.DUMMYFUNCTION("""COMPUTED_VALUE"""),"Sukarsono")</f>
        <v>Sukarsono</v>
      </c>
      <c r="T93" s="80" t="str">
        <f>IFERROR(__xludf.DUMMYFUNCTION("""COMPUTED_VALUE"""),"Jl. Kesambi Dalam Gg.Pawi No.14 Rt 001 Rw 002")</f>
        <v>Jl. Kesambi Dalam Gg.Pawi No.14 Rt 001 Rw 002</v>
      </c>
      <c r="U93" s="80" t="str">
        <f>IFERROR(__xludf.DUMMYFUNCTION("""COMPUTED_VALUE"""),"JL. KESAMBI DALAM GG.PAWI NO.14 RT 001 RW 002")</f>
        <v>JL. KESAMBI DALAM GG.PAWI NO.14 RT 001 RW 002</v>
      </c>
      <c r="V93" s="80" t="str">
        <f>IFERROR(__xludf.DUMMYFUNCTION("""COMPUTED_VALUE"""),"001/002")</f>
        <v>001/002</v>
      </c>
      <c r="W93" s="80" t="str">
        <f>IFERROR(__xludf.DUMMYFUNCTION("""COMPUTED_VALUE"""),"JAGASATRU")</f>
        <v>JAGASATRU</v>
      </c>
      <c r="X93" s="80" t="str">
        <f>IFERROR(__xludf.DUMMYFUNCTION("""COMPUTED_VALUE"""),"PEKALIPAN")</f>
        <v>PEKALIPAN</v>
      </c>
      <c r="Y93" s="80" t="str">
        <f>IFERROR(__xludf.DUMMYFUNCTION("""COMPUTED_VALUE"""),"KAB. CIREBON")</f>
        <v>KAB. CIREBON</v>
      </c>
      <c r="Z93" s="80" t="str">
        <f>IFERROR(__xludf.DUMMYFUNCTION("""COMPUTED_VALUE"""),"JAWA BARAT")</f>
        <v>JAWA BARAT</v>
      </c>
      <c r="AA93" s="80" t="str">
        <f>IFERROR(__xludf.DUMMYFUNCTION("""COMPUTED_VALUE"""),"45115")</f>
        <v>45115</v>
      </c>
      <c r="AB93" s="80" t="str">
        <f>IFERROR(__xludf.DUMMYFUNCTION("""COMPUTED_VALUE"""),"3274042209770006")</f>
        <v>3274042209770006</v>
      </c>
      <c r="AC93" s="80" t="str">
        <f>IFERROR(__xludf.DUMMYFUNCTION("""COMPUTED_VALUE"""),"'83.459.059.8-426.000")</f>
        <v>'83.459.059.8-426.000</v>
      </c>
      <c r="AD93" s="80" t="str">
        <f>IFERROR(__xludf.DUMMYFUNCTION("""COMPUTED_VALUE"""),"CUM - ABD")</f>
        <v>CUM - ABD</v>
      </c>
      <c r="AE93" s="80" t="str">
        <f>IFERROR(__xludf.DUMMYFUNCTION("""COMPUTED_VALUE"""),"SUB ABDUL QODIR")</f>
        <v>SUB ABDUL QODIR</v>
      </c>
      <c r="AF93" s="80" t="str">
        <f>IFERROR(__xludf.DUMMYFUNCTION("""COMPUTED_VALUE"""),"085317180099")</f>
        <v>085317180099</v>
      </c>
      <c r="AG93" s="80" t="str">
        <f>IFERROR(__xludf.DUMMYFUNCTION("""COMPUTED_VALUE"""),"085317180099")</f>
        <v>085317180099</v>
      </c>
      <c r="AH93" s="80" t="str">
        <f>IFERROR(__xludf.DUMMYFUNCTION("""COMPUTED_VALUE"""),"griyaonline17@gmail.com")</f>
        <v>griyaonline17@gmail.com</v>
      </c>
      <c r="AI93" s="80" t="str">
        <f>IFERROR(__xludf.DUMMYFUNCTION("""COMPUTED_VALUE"""),"45115S1")</f>
        <v>45115S1</v>
      </c>
      <c r="AJ93" s="80" t="str">
        <f>IFERROR(__xludf.DUMMYFUNCTION("""COMPUTED_VALUE"""),"643d0ccbb352f67432704227")</f>
        <v>643d0ccbb352f67432704227</v>
      </c>
      <c r="AK93" s="80" t="str">
        <f>IFERROR(__xludf.DUMMYFUNCTION("""COMPUTED_VALUE"""),"dm45115s1")</f>
        <v>dm45115s1</v>
      </c>
      <c r="AL93" s="80" t="str">
        <f>IFERROR(__xludf.DUMMYFUNCTION("""COMPUTED_VALUE"""),"password")</f>
        <v>password</v>
      </c>
      <c r="AM93" s="80"/>
      <c r="AN93" s="80" t="str">
        <f>IFERROR(__xludf.DUMMYFUNCTION("""COMPUTED_VALUE"""),"POS PEKALIPAN")</f>
        <v>POS PEKALIPAN</v>
      </c>
      <c r="AO93" s="80" t="str">
        <f>IFERROR(__xludf.DUMMYFUNCTION("""COMPUTED_VALUE"""),"1220002472164")</f>
        <v>1220002472164</v>
      </c>
      <c r="AP93" s="80" t="str">
        <f>IFERROR(__xludf.DUMMYFUNCTION("""COMPUTED_VALUE"""),"53202 ( AKTIFITAS AGEN KURIR )")</f>
        <v>53202 ( AKTIFITAS AGEN KURIR )</v>
      </c>
      <c r="AQ93" s="83"/>
      <c r="AR93" s="80"/>
      <c r="AS93" s="80"/>
      <c r="AT93" s="80" t="str">
        <f>IFERROR(__xludf.DUMMYFUNCTION("""COMPUTED_VALUE"""),"-11,232,054,244,812")</f>
        <v>-11,232,054,244,812</v>
      </c>
      <c r="AU93" s="80" t="str">
        <f>IFERROR(__xludf.DUMMYFUNCTION("""COMPUTED_VALUE"""),"108564301")</f>
        <v>108564301</v>
      </c>
      <c r="AV93" s="80" t="str">
        <f>IFERROR(__xludf.DUMMYFUNCTION("""COMPUTED_VALUE"""),"ADA")</f>
        <v>ADA</v>
      </c>
      <c r="AW93" s="80" t="str">
        <f>IFERROR(__xludf.DUMMYFUNCTION("""COMPUTED_VALUE"""),"ADA")</f>
        <v>ADA</v>
      </c>
      <c r="AX93" s="80"/>
      <c r="AY93" s="80"/>
      <c r="AZ93" s="80"/>
      <c r="BA93" s="80" t="str">
        <f>IFERROR(__xludf.DUMMYFUNCTION("""COMPUTED_VALUE"""),"ADA")</f>
        <v>ADA</v>
      </c>
      <c r="BB93" s="80" t="str">
        <f>IFERROR(__xludf.DUMMYFUNCTION("""COMPUTED_VALUE"""),"ADA")</f>
        <v>ADA</v>
      </c>
      <c r="BC93" s="80" t="str">
        <f>IFERROR(__xludf.DUMMYFUNCTION("""COMPUTED_VALUE"""),"ADA")</f>
        <v>ADA</v>
      </c>
      <c r="BD93" s="80" t="str">
        <f>IFERROR(__xludf.DUMMYFUNCTION("""COMPUTED_VALUE"""),"ADA")</f>
        <v>ADA</v>
      </c>
      <c r="BE93" s="80" t="str">
        <f>IFERROR(__xludf.DUMMYFUNCTION("""COMPUTED_VALUE"""),"ADA")</f>
        <v>ADA</v>
      </c>
      <c r="BF93" s="80" t="str">
        <f>IFERROR(__xludf.DUMMYFUNCTION("""COMPUTED_VALUE"""),"ADA")</f>
        <v>ADA</v>
      </c>
      <c r="BG93" s="80" t="str">
        <f>IFERROR(__xludf.DUMMYFUNCTION("""COMPUTED_VALUE"""),"ADA")</f>
        <v>ADA</v>
      </c>
      <c r="BH93" s="80" t="str">
        <f>IFERROR(__xludf.DUMMYFUNCTION("""COMPUTED_VALUE"""),"TINTA")</f>
        <v>TINTA</v>
      </c>
      <c r="BI93" s="80" t="str">
        <f>IFERROR(__xludf.DUMMYFUNCTION("""COMPUTED_VALUE"""),"ADA")</f>
        <v>ADA</v>
      </c>
      <c r="BJ93" s="80"/>
      <c r="BK93" s="80"/>
      <c r="BL93" s="80"/>
      <c r="BM93" s="80"/>
      <c r="BN93" s="80"/>
      <c r="BO93" s="80"/>
      <c r="BP93" s="80"/>
      <c r="BQ93" s="80"/>
      <c r="BR93" s="80"/>
      <c r="BS93" s="80"/>
      <c r="BT93" s="80"/>
      <c r="BU93" s="80"/>
      <c r="BV93" s="80" t="str">
        <f>IFERROR(__xludf.DUMMYFUNCTION("""COMPUTED_VALUE"""),"Jl. Kesambi Dalam Gg.Pawi No.14 Rt 001 Rw 002")</f>
        <v>Jl. Kesambi Dalam Gg.Pawi No.14 Rt 001 Rw 002</v>
      </c>
      <c r="BW93" s="80"/>
      <c r="BX93" s="80"/>
      <c r="BY93" s="80"/>
      <c r="BZ93" s="80"/>
      <c r="CA93" s="80"/>
      <c r="CB93" s="80"/>
      <c r="CC93" s="80"/>
      <c r="CD93" s="80"/>
      <c r="CE93" s="80"/>
      <c r="CF93" s="80"/>
      <c r="CG93" s="80"/>
      <c r="CH93" s="80"/>
      <c r="CI93" s="80"/>
      <c r="CJ93" s="80"/>
      <c r="CK93" s="2"/>
    </row>
    <row r="94" ht="12.75" customHeight="1">
      <c r="A94" s="85">
        <f>IFERROR(__xludf.DUMMYFUNCTION("""COMPUTED_VALUE"""),91.0)</f>
        <v>91</v>
      </c>
      <c r="B94" s="85" t="str">
        <f>IFERROR(__xludf.DUMMYFUNCTION("""COMPUTED_VALUE"""),"10-Apr-23")</f>
        <v>10-Apr-23</v>
      </c>
      <c r="C94" s="85" t="str">
        <f>IFERROR(__xludf.DUMMYFUNCTION("""COMPUTED_VALUE"""),"10-Apr-23")</f>
        <v>10-Apr-23</v>
      </c>
      <c r="D94" s="86"/>
      <c r="E94" s="88"/>
      <c r="F94" s="85"/>
      <c r="G94" s="86"/>
      <c r="H94" s="85"/>
      <c r="I94" s="85"/>
      <c r="J94" s="85"/>
      <c r="K94" s="85"/>
      <c r="L94" s="85"/>
      <c r="M94" s="85"/>
      <c r="N94" s="85"/>
      <c r="O94" s="85"/>
      <c r="P94" s="85" t="str">
        <f>IFERROR(__xludf.DUMMYFUNCTION("""COMPUTED_VALUE"""),"52BSPA22259JTYNA")</f>
        <v>52BSPA22259JTYNA</v>
      </c>
      <c r="Q94" s="85" t="str">
        <f>IFERROR(__xludf.DUMMYFUNCTION("""COMPUTED_VALUE"""),"BINTAN MAKMUR")</f>
        <v>BINTAN MAKMUR</v>
      </c>
      <c r="R94" s="85" t="str">
        <f>IFERROR(__xludf.DUMMYFUNCTION("""COMPUTED_VALUE"""),"BINTAN MAKMUR")</f>
        <v>BINTAN MAKMUR</v>
      </c>
      <c r="S94" s="85" t="str">
        <f>IFERROR(__xludf.DUMMYFUNCTION("""COMPUTED_VALUE"""),"Iwan Wahyudi")</f>
        <v>Iwan Wahyudi</v>
      </c>
      <c r="T94" s="85" t="str">
        <f>IFERROR(__xludf.DUMMYFUNCTION("""COMPUTED_VALUE"""),"Candirejo Rt 16 Rw 07 Kel. Pomah Kec. Tulung Kab. Klaten Jawa Tengah 57482")</f>
        <v>Candirejo Rt 16 Rw 07 Kel. Pomah Kec. Tulung Kab. Klaten Jawa Tengah 57482</v>
      </c>
      <c r="U94" s="85" t="str">
        <f>IFERROR(__xludf.DUMMYFUNCTION("""COMPUTED_VALUE"""),"CANDIREJO RT 16 RW 07 KEL. POMAH KEC. TULUNG KAB. KLATEN JAWA TENGAH 57482")</f>
        <v>CANDIREJO RT 16 RW 07 KEL. POMAH KEC. TULUNG KAB. KLATEN JAWA TENGAH 57482</v>
      </c>
      <c r="V94" s="85" t="str">
        <f>IFERROR(__xludf.DUMMYFUNCTION("""COMPUTED_VALUE"""),"016/007")</f>
        <v>016/007</v>
      </c>
      <c r="W94" s="85" t="str">
        <f>IFERROR(__xludf.DUMMYFUNCTION("""COMPUTED_VALUE"""),"POMAH")</f>
        <v>POMAH</v>
      </c>
      <c r="X94" s="85" t="str">
        <f>IFERROR(__xludf.DUMMYFUNCTION("""COMPUTED_VALUE"""),"TULUNG")</f>
        <v>TULUNG</v>
      </c>
      <c r="Y94" s="85" t="str">
        <f>IFERROR(__xludf.DUMMYFUNCTION("""COMPUTED_VALUE"""),"KAB. KLATEN")</f>
        <v>KAB. KLATEN</v>
      </c>
      <c r="Z94" s="85" t="str">
        <f>IFERROR(__xludf.DUMMYFUNCTION("""COMPUTED_VALUE"""),"JAWA TENGAH")</f>
        <v>JAWA TENGAH</v>
      </c>
      <c r="AA94" s="85" t="str">
        <f>IFERROR(__xludf.DUMMYFUNCTION("""COMPUTED_VALUE"""),"57482")</f>
        <v>57482</v>
      </c>
      <c r="AB94" s="85" t="str">
        <f>IFERROR(__xludf.DUMMYFUNCTION("""COMPUTED_VALUE"""),"3310191007800003")</f>
        <v>3310191007800003</v>
      </c>
      <c r="AC94" s="85" t="str">
        <f>IFERROR(__xludf.DUMMYFUNCTION("""COMPUTED_VALUE"""),"43.191.767.3-525.000")</f>
        <v>43.191.767.3-525.000</v>
      </c>
      <c r="AD94" s="85" t="str">
        <f>IFERROR(__xludf.DUMMYFUNCTION("""COMPUTED_VALUE"""),"CUM - YNA")</f>
        <v>CUM - YNA</v>
      </c>
      <c r="AE94" s="85" t="str">
        <f>IFERROR(__xludf.DUMMYFUNCTION("""COMPUTED_VALUE"""),"SUB YOHANNITA")</f>
        <v>SUB YOHANNITA</v>
      </c>
      <c r="AF94" s="85" t="str">
        <f>IFERROR(__xludf.DUMMYFUNCTION("""COMPUTED_VALUE"""),"085229268111")</f>
        <v>085229268111</v>
      </c>
      <c r="AG94" s="85" t="str">
        <f>IFERROR(__xludf.DUMMYFUNCTION("""COMPUTED_VALUE"""),"'085229268111")</f>
        <v>'085229268111</v>
      </c>
      <c r="AH94" s="85" t="str">
        <f>IFERROR(__xludf.DUMMYFUNCTION("""COMPUTED_VALUE"""),"bintanmakmur@gmail.com")</f>
        <v>bintanmakmur@gmail.com</v>
      </c>
      <c r="AI94" s="85" t="str">
        <f>IFERROR(__xludf.DUMMYFUNCTION("""COMPUTED_VALUE"""),"57482S4")</f>
        <v>57482S4</v>
      </c>
      <c r="AJ94" s="85" t="str">
        <f>IFERROR(__xludf.DUMMYFUNCTION("""COMPUTED_VALUE"""),"643ce930051c037ea27e943d")</f>
        <v>643ce930051c037ea27e943d</v>
      </c>
      <c r="AK94" s="85" t="str">
        <f>IFERROR(__xludf.DUMMYFUNCTION("""COMPUTED_VALUE"""),"dm57482s4")</f>
        <v>dm57482s4</v>
      </c>
      <c r="AL94" s="85" t="str">
        <f>IFERROR(__xludf.DUMMYFUNCTION("""COMPUTED_VALUE"""),"password")</f>
        <v>password</v>
      </c>
      <c r="AM94" s="85" t="str">
        <f>IFERROR(__xludf.DUMMYFUNCTION("""COMPUTED_VALUE"""),"KANTOR REGIONAL IV SEMARANG 50004")</f>
        <v>KANTOR REGIONAL IV SEMARANG 50004</v>
      </c>
      <c r="AN94" s="85" t="str">
        <f>IFERROR(__xludf.DUMMYFUNCTION("""COMPUTED_VALUE"""),"POS JATINOM")</f>
        <v>POS JATINOM</v>
      </c>
      <c r="AO94" s="85" t="str">
        <f>IFERROR(__xludf.DUMMYFUNCTION("""COMPUTED_VALUE"""),"0207220020199")</f>
        <v>0207220020199</v>
      </c>
      <c r="AP94" s="85" t="str">
        <f>IFERROR(__xludf.DUMMYFUNCTION("""COMPUTED_VALUE"""),"53202 ( AKTIFITAS AGEN KURIR )")</f>
        <v>53202 ( AKTIFITAS AGEN KURIR )</v>
      </c>
      <c r="AQ94" s="93"/>
      <c r="AR94" s="85"/>
      <c r="AS94" s="85"/>
      <c r="AT94" s="85" t="str">
        <f>IFERROR(__xludf.DUMMYFUNCTION("""COMPUTED_VALUE"""),"-76129494")</f>
        <v>-76129494</v>
      </c>
      <c r="AU94" s="85" t="str">
        <f>IFERROR(__xludf.DUMMYFUNCTION("""COMPUTED_VALUE"""),"1105809685")</f>
        <v>1105809685</v>
      </c>
      <c r="AV94" s="85" t="str">
        <f>IFERROR(__xludf.DUMMYFUNCTION("""COMPUTED_VALUE"""),"ADA")</f>
        <v>ADA</v>
      </c>
      <c r="AW94" s="85" t="str">
        <f>IFERROR(__xludf.DUMMYFUNCTION("""COMPUTED_VALUE"""),"ADA")</f>
        <v>ADA</v>
      </c>
      <c r="AX94" s="85"/>
      <c r="AY94" s="85"/>
      <c r="AZ94" s="85"/>
      <c r="BA94" s="85" t="str">
        <f>IFERROR(__xludf.DUMMYFUNCTION("""COMPUTED_VALUE"""),"ADA")</f>
        <v>ADA</v>
      </c>
      <c r="BB94" s="85" t="str">
        <f>IFERROR(__xludf.DUMMYFUNCTION("""COMPUTED_VALUE"""),"ADA")</f>
        <v>ADA</v>
      </c>
      <c r="BC94" s="85" t="str">
        <f>IFERROR(__xludf.DUMMYFUNCTION("""COMPUTED_VALUE"""),"ADA")</f>
        <v>ADA</v>
      </c>
      <c r="BD94" s="85" t="str">
        <f>IFERROR(__xludf.DUMMYFUNCTION("""COMPUTED_VALUE"""),"ADA")</f>
        <v>ADA</v>
      </c>
      <c r="BE94" s="85" t="str">
        <f>IFERROR(__xludf.DUMMYFUNCTION("""COMPUTED_VALUE"""),"ADA")</f>
        <v>ADA</v>
      </c>
      <c r="BF94" s="85" t="str">
        <f>IFERROR(__xludf.DUMMYFUNCTION("""COMPUTED_VALUE"""),"ADA")</f>
        <v>ADA</v>
      </c>
      <c r="BG94" s="85" t="str">
        <f>IFERROR(__xludf.DUMMYFUNCTION("""COMPUTED_VALUE"""),"ADA")</f>
        <v>ADA</v>
      </c>
      <c r="BH94" s="85"/>
      <c r="BI94" s="85"/>
      <c r="BJ94" s="85"/>
      <c r="BK94" s="85"/>
      <c r="BL94" s="85"/>
      <c r="BM94" s="85"/>
      <c r="BN94" s="85"/>
      <c r="BO94" s="85"/>
      <c r="BP94" s="85"/>
      <c r="BQ94" s="85"/>
      <c r="BR94" s="85"/>
      <c r="BS94" s="85"/>
      <c r="BT94" s="85"/>
      <c r="BU94" s="85"/>
      <c r="BV94" s="85" t="str">
        <f>IFERROR(__xludf.DUMMYFUNCTION("""COMPUTED_VALUE"""),"Candirejo Rt 16 Rw 07 Kel. Pomah Kec. Tulung Kab. Klaten Jawa Tengah 57482")</f>
        <v>Candirejo Rt 16 Rw 07 Kel. Pomah Kec. Tulung Kab. Klaten Jawa Tengah 57482</v>
      </c>
      <c r="BW94" s="85"/>
      <c r="BX94" s="85"/>
      <c r="BY94" s="85"/>
      <c r="BZ94" s="85"/>
      <c r="CA94" s="85"/>
      <c r="CB94" s="85"/>
      <c r="CC94" s="85"/>
      <c r="CD94" s="85"/>
      <c r="CE94" s="85"/>
      <c r="CF94" s="85"/>
      <c r="CG94" s="85"/>
      <c r="CH94" s="85"/>
      <c r="CI94" s="85"/>
      <c r="CJ94" s="85"/>
      <c r="CK94" s="2"/>
    </row>
    <row r="95" ht="12.75" customHeight="1">
      <c r="A95" s="80">
        <f>IFERROR(__xludf.DUMMYFUNCTION("""COMPUTED_VALUE"""),92.0)</f>
        <v>92</v>
      </c>
      <c r="B95" s="80" t="str">
        <f>IFERROR(__xludf.DUMMYFUNCTION("""COMPUTED_VALUE"""),"5-May-23")</f>
        <v>5-May-23</v>
      </c>
      <c r="C95" s="80" t="str">
        <f>IFERROR(__xludf.DUMMYFUNCTION("""COMPUTED_VALUE"""),"5 MEI 2023")</f>
        <v>5 MEI 2023</v>
      </c>
      <c r="D95" s="81"/>
      <c r="E95" s="82"/>
      <c r="F95" s="80" t="str">
        <f>IFERROR(__xludf.DUMMYFUNCTION("""COMPUTED_VALUE"""),"8 MEI 2023")</f>
        <v>8 MEI 2023</v>
      </c>
      <c r="G95" s="81"/>
      <c r="H95" s="80" t="str">
        <f>IFERROR(__xludf.DUMMYFUNCTION("""COMPUTED_VALUE"""),"8 MEI 2023")</f>
        <v>8 MEI 2023</v>
      </c>
      <c r="I95" s="80"/>
      <c r="J95" s="80"/>
      <c r="K95" s="80"/>
      <c r="L95" s="80"/>
      <c r="M95" s="80"/>
      <c r="N95" s="80"/>
      <c r="O95" s="80"/>
      <c r="P95" s="80" t="str">
        <f>IFERROR(__xludf.DUMMYFUNCTION("""COMPUTED_VALUE"""),"53BSPA16596JBNOV")</f>
        <v>53BSPA16596JBNOV</v>
      </c>
      <c r="Q95" s="80" t="str">
        <f>IFERROR(__xludf.DUMMYFUNCTION("""COMPUTED_VALUE"""),"DAZRY HARAPAN")</f>
        <v>DAZRY HARAPAN</v>
      </c>
      <c r="R95" s="80" t="str">
        <f>IFERROR(__xludf.DUMMYFUNCTION("""COMPUTED_VALUE"""),"DAZRY HARAPAN")</f>
        <v>DAZRY HARAPAN</v>
      </c>
      <c r="S95" s="80" t="str">
        <f>IFERROR(__xludf.DUMMYFUNCTION("""COMPUTED_VALUE"""),"Ary Darma Harahap")</f>
        <v>Ary Darma Harahap</v>
      </c>
      <c r="T95" s="80" t="str">
        <f>IFERROR(__xludf.DUMMYFUNCTION("""COMPUTED_VALUE"""),"Jl.Kasturi 1 No.38 Rt 01 Kel.Beliung Kec.Alam Barajo Kota Jambi")</f>
        <v>Jl.Kasturi 1 No.38 Rt 01 Kel.Beliung Kec.Alam Barajo Kota Jambi</v>
      </c>
      <c r="U95" s="80" t="str">
        <f>IFERROR(__xludf.DUMMYFUNCTION("""COMPUTED_VALUE""")," Jl.Penerangan Perumahan Kampoeng Sukajadi Blok A No.16 Kel.Kenali Besar Kec. Alam Barajo Kota Jambi Provinsi Jambi")</f>
        <v> Jl.Penerangan Perumahan Kampoeng Sukajadi Blok A No.16 Kel.Kenali Besar Kec. Alam Barajo Kota Jambi Provinsi Jambi</v>
      </c>
      <c r="V95" s="80" t="str">
        <f>IFERROR(__xludf.DUMMYFUNCTION("""COMPUTED_VALUE"""),"001/000")</f>
        <v>001/000</v>
      </c>
      <c r="W95" s="80" t="str">
        <f>IFERROR(__xludf.DUMMYFUNCTION("""COMPUTED_VALUE"""),"KENALI BESAR")</f>
        <v>KENALI BESAR</v>
      </c>
      <c r="X95" s="80" t="str">
        <f>IFERROR(__xludf.DUMMYFUNCTION("""COMPUTED_VALUE"""),"ALAM BARAJO")</f>
        <v>ALAM BARAJO</v>
      </c>
      <c r="Y95" s="80" t="str">
        <f>IFERROR(__xludf.DUMMYFUNCTION("""COMPUTED_VALUE"""),"KOTA JAMBI")</f>
        <v>KOTA JAMBI</v>
      </c>
      <c r="Z95" s="80" t="str">
        <f>IFERROR(__xludf.DUMMYFUNCTION("""COMPUTED_VALUE"""),"JAMBI")</f>
        <v>JAMBI</v>
      </c>
      <c r="AA95" s="80" t="str">
        <f>IFERROR(__xludf.DUMMYFUNCTION("""COMPUTED_VALUE"""),"36129")</f>
        <v>36129</v>
      </c>
      <c r="AB95" s="80" t="str">
        <f>IFERROR(__xludf.DUMMYFUNCTION("""COMPUTED_VALUE"""),"1219040909880001")</f>
        <v>1219040909880001</v>
      </c>
      <c r="AC95" s="80" t="str">
        <f>IFERROR(__xludf.DUMMYFUNCTION("""COMPUTED_VALUE"""),"35.889.278.4-114.000")</f>
        <v>35.889.278.4-114.000</v>
      </c>
      <c r="AD95" s="80" t="str">
        <f>IFERROR(__xludf.DUMMYFUNCTION("""COMPUTED_VALUE"""),"CUM - NOV")</f>
        <v>CUM - NOV</v>
      </c>
      <c r="AE95" s="80" t="str">
        <f>IFERROR(__xludf.DUMMYFUNCTION("""COMPUTED_VALUE"""),"SUB NOVI")</f>
        <v>SUB NOVI</v>
      </c>
      <c r="AF95" s="80" t="str">
        <f>IFERROR(__xludf.DUMMYFUNCTION("""COMPUTED_VALUE"""),"085260973410")</f>
        <v>085260973410</v>
      </c>
      <c r="AG95" s="80" t="str">
        <f>IFERROR(__xludf.DUMMYFUNCTION("""COMPUTED_VALUE"""),"085260973410")</f>
        <v>085260973410</v>
      </c>
      <c r="AH95" s="80" t="str">
        <f>IFERROR(__xludf.DUMMYFUNCTION("""COMPUTED_VALUE"""),"cv.dazryharapan@gmail.com")</f>
        <v>cv.dazryharapan@gmail.com</v>
      </c>
      <c r="AI95" s="80" t="str">
        <f>IFERROR(__xludf.DUMMYFUNCTION("""COMPUTED_VALUE"""),"36129S7")</f>
        <v>36129S7</v>
      </c>
      <c r="AJ95" s="80" t="str">
        <f>IFERROR(__xludf.DUMMYFUNCTION("""COMPUTED_VALUE"""),"6461b69266e113197b22e847")</f>
        <v>6461b69266e113197b22e847</v>
      </c>
      <c r="AK95" s="80" t="str">
        <f>IFERROR(__xludf.DUMMYFUNCTION("""COMPUTED_VALUE"""),"dm36129s7")</f>
        <v>dm36129s7</v>
      </c>
      <c r="AL95" s="80" t="str">
        <f>IFERROR(__xludf.DUMMYFUNCTION("""COMPUTED_VALUE"""),"password")</f>
        <v>password</v>
      </c>
      <c r="AM95" s="80"/>
      <c r="AN95" s="80" t="str">
        <f>IFERROR(__xludf.DUMMYFUNCTION("""COMPUTED_VALUE"""),"POS SIMPANG RIMBO")</f>
        <v>POS SIMPANG RIMBO</v>
      </c>
      <c r="AO95" s="80" t="str">
        <f>IFERROR(__xludf.DUMMYFUNCTION("""COMPUTED_VALUE"""),"0505230019349")</f>
        <v>0505230019349</v>
      </c>
      <c r="AP95" s="80" t="str">
        <f>IFERROR(__xludf.DUMMYFUNCTION("""COMPUTED_VALUE"""),"53202 ( AKTIFITAS AGEN KURIR )")</f>
        <v>53202 ( AKTIFITAS AGEN KURIR )</v>
      </c>
      <c r="AQ95" s="83"/>
      <c r="AR95" s="80"/>
      <c r="AS95" s="80"/>
      <c r="AT95" s="80" t="str">
        <f>IFERROR(__xludf.DUMMYFUNCTION("""COMPUTED_VALUE"""),"-16468981")</f>
        <v>-16468981</v>
      </c>
      <c r="AU95" s="80" t="str">
        <f>IFERROR(__xludf.DUMMYFUNCTION("""COMPUTED_VALUE"""),"1035443693")</f>
        <v>1035443693</v>
      </c>
      <c r="AV95" s="80" t="str">
        <f>IFERROR(__xludf.DUMMYFUNCTION("""COMPUTED_VALUE"""),"ADA")</f>
        <v>ADA</v>
      </c>
      <c r="AW95" s="80" t="str">
        <f>IFERROR(__xludf.DUMMYFUNCTION("""COMPUTED_VALUE"""),"ADA")</f>
        <v>ADA</v>
      </c>
      <c r="AX95" s="80"/>
      <c r="AY95" s="80"/>
      <c r="AZ95" s="80"/>
      <c r="BA95" s="80" t="str">
        <f>IFERROR(__xludf.DUMMYFUNCTION("""COMPUTED_VALUE"""),"ADA")</f>
        <v>ADA</v>
      </c>
      <c r="BB95" s="80" t="str">
        <f>IFERROR(__xludf.DUMMYFUNCTION("""COMPUTED_VALUE"""),"ADA")</f>
        <v>ADA</v>
      </c>
      <c r="BC95" s="80" t="str">
        <f>IFERROR(__xludf.DUMMYFUNCTION("""COMPUTED_VALUE"""),"ADA")</f>
        <v>ADA</v>
      </c>
      <c r="BD95" s="80" t="str">
        <f>IFERROR(__xludf.DUMMYFUNCTION("""COMPUTED_VALUE"""),"ADA")</f>
        <v>ADA</v>
      </c>
      <c r="BE95" s="80" t="str">
        <f>IFERROR(__xludf.DUMMYFUNCTION("""COMPUTED_VALUE"""),"ADA")</f>
        <v>ADA</v>
      </c>
      <c r="BF95" s="80" t="str">
        <f>IFERROR(__xludf.DUMMYFUNCTION("""COMPUTED_VALUE"""),"ADA")</f>
        <v>ADA</v>
      </c>
      <c r="BG95" s="80" t="str">
        <f>IFERROR(__xludf.DUMMYFUNCTION("""COMPUTED_VALUE"""),"ADA")</f>
        <v>ADA</v>
      </c>
      <c r="BH95" s="80" t="str">
        <f>IFERROR(__xludf.DUMMYFUNCTION("""COMPUTED_VALUE"""),"TINTA")</f>
        <v>TINTA</v>
      </c>
      <c r="BI95" s="80" t="str">
        <f>IFERROR(__xludf.DUMMYFUNCTION("""COMPUTED_VALUE"""),"ADA")</f>
        <v>ADA</v>
      </c>
      <c r="BJ95" s="80" t="str">
        <f>IFERROR(__xludf.DUMMYFUNCTION("""COMPUTED_VALUE"""),"HVS")</f>
        <v>HVS</v>
      </c>
      <c r="BK95" s="80"/>
      <c r="BL95" s="80"/>
      <c r="BM95" s="80" t="str">
        <f>IFERROR(__xludf.DUMMYFUNCTION("""COMPUTED_VALUE"""),"Indah Hasri Wulandari")</f>
        <v>Indah Hasri Wulandari</v>
      </c>
      <c r="BN95" s="80" t="str">
        <f>IFERROR(__xludf.DUMMYFUNCTION("""COMPUTED_VALUE"""),"Jln Kasturi I No. 38 RT.001 Kel.Beliung, Kec. Alam Barajo, Kota Jambi")</f>
        <v>Jln Kasturi I No. 38 RT.001 Kel.Beliung, Kec. Alam Barajo, Kota Jambi</v>
      </c>
      <c r="BO95" s="80" t="str">
        <f>IFERROR(__xludf.DUMMYFUNCTION("""COMPUTED_VALUE"""),"1571074810890001")</f>
        <v>1571074810890001</v>
      </c>
      <c r="BP95" s="80" t="str">
        <f>IFERROR(__xludf.DUMMYFUNCTION("""COMPUTED_VALUE"""),"8 Oktober 1989")</f>
        <v>8 Oktober 1989</v>
      </c>
      <c r="BQ95" s="80" t="str">
        <f>IFERROR(__xludf.DUMMYFUNCTION("""COMPUTED_VALUE"""),"35.889.278.4-114.000")</f>
        <v>35.889.278.4-114.000</v>
      </c>
      <c r="BR95" s="80" t="str">
        <f>IFERROR(__xludf.DUMMYFUNCTION("""COMPUTED_VALUE"""),"085260973410")</f>
        <v>085260973410</v>
      </c>
      <c r="BS95" s="80" t="str">
        <f>IFERROR(__xludf.DUMMYFUNCTION("""COMPUTED_VALUE"""),"cv.dazryharapan@gmail.com")</f>
        <v>cv.dazryharapan@gmail.com</v>
      </c>
      <c r="BT95" s="80" t="str">
        <f>IFERROR(__xludf.DUMMYFUNCTION("""COMPUTED_VALUE"""),"Istri Pemilik")</f>
        <v>Istri Pemilik</v>
      </c>
      <c r="BU95" s="80"/>
      <c r="BV95" s="80" t="str">
        <f>IFERROR(__xludf.DUMMYFUNCTION("""COMPUTED_VALUE"""),"Jl.Kasturi 1 No.38 Rt 01 Kel.Beliung Kec.Alam Barajo Kota Jambi")</f>
        <v>Jl.Kasturi 1 No.38 Rt 01 Kel.Beliung Kec.Alam Barajo Kota Jambi</v>
      </c>
      <c r="BW95" s="80"/>
      <c r="BX95" s="80"/>
      <c r="BY95" s="80"/>
      <c r="BZ95" s="80"/>
      <c r="CA95" s="80"/>
      <c r="CB95" s="80"/>
      <c r="CC95" s="80"/>
      <c r="CD95" s="80"/>
      <c r="CE95" s="80"/>
      <c r="CF95" s="80"/>
      <c r="CG95" s="80"/>
      <c r="CH95" s="80"/>
      <c r="CI95" s="80"/>
      <c r="CJ95" s="80"/>
      <c r="CK95" s="2"/>
    </row>
    <row r="96" ht="12.75" customHeight="1">
      <c r="A96" s="85">
        <f>IFERROR(__xludf.DUMMYFUNCTION("""COMPUTED_VALUE"""),93.0)</f>
        <v>93</v>
      </c>
      <c r="B96" s="85" t="str">
        <f>IFERROR(__xludf.DUMMYFUNCTION("""COMPUTED_VALUE"""),"5 MEI 2023")</f>
        <v>5 MEI 2023</v>
      </c>
      <c r="C96" s="85" t="str">
        <f>IFERROR(__xludf.DUMMYFUNCTION("""COMPUTED_VALUE"""),"5 MEI 2023")</f>
        <v>5 MEI 2023</v>
      </c>
      <c r="D96" s="86"/>
      <c r="E96" s="88"/>
      <c r="F96" s="85" t="str">
        <f>IFERROR(__xludf.DUMMYFUNCTION("""COMPUTED_VALUE"""),"19 JUNI 2023")</f>
        <v>19 JUNI 2023</v>
      </c>
      <c r="G96" s="86"/>
      <c r="H96" s="85" t="str">
        <f>IFERROR(__xludf.DUMMYFUNCTION("""COMPUTED_VALUE"""),"19 JUNI 2023")</f>
        <v>19 JUNI 2023</v>
      </c>
      <c r="I96" s="85"/>
      <c r="J96" s="85"/>
      <c r="K96" s="85"/>
      <c r="L96" s="85"/>
      <c r="M96" s="85"/>
      <c r="N96" s="85"/>
      <c r="O96" s="85"/>
      <c r="P96" s="85" t="str">
        <f>IFERROR(__xludf.DUMMYFUNCTION("""COMPUTED_VALUE"""),"52BSPA07343JTWWK")</f>
        <v>52BSPA07343JTWWK</v>
      </c>
      <c r="Q96" s="85" t="str">
        <f>IFERROR(__xludf.DUMMYFUNCTION("""COMPUTED_VALUE"""),"BAGUS EXPRESS")</f>
        <v>BAGUS EXPRESS</v>
      </c>
      <c r="R96" s="85" t="str">
        <f>IFERROR(__xludf.DUMMYFUNCTION("""COMPUTED_VALUE"""),"BAGUS EXPRESS")</f>
        <v>BAGUS EXPRESS</v>
      </c>
      <c r="S96" s="85" t="str">
        <f>IFERROR(__xludf.DUMMYFUNCTION("""COMPUTED_VALUE"""),"Bagus Unjiarto")</f>
        <v>Bagus Unjiarto</v>
      </c>
      <c r="T96" s="85" t="str">
        <f>IFERROR(__xludf.DUMMYFUNCTION("""COMPUTED_VALUE"""),"Dukuh Krajan Rt 004 Rw 002 Kel. Ploso Kec. Jati Kab. Kudus Jawa Tengah 59348")</f>
        <v>Dukuh Krajan Rt 004 Rw 002 Kel. Ploso Kec. Jati Kab. Kudus Jawa Tengah 59348</v>
      </c>
      <c r="U96" s="85" t="str">
        <f>IFERROR(__xludf.DUMMYFUNCTION("""COMPUTED_VALUE"""),"DUKUH KRAJAN")</f>
        <v>DUKUH KRAJAN</v>
      </c>
      <c r="V96" s="85" t="str">
        <f>IFERROR(__xludf.DUMMYFUNCTION("""COMPUTED_VALUE"""),"004/002")</f>
        <v>004/002</v>
      </c>
      <c r="W96" s="85" t="str">
        <f>IFERROR(__xludf.DUMMYFUNCTION("""COMPUTED_VALUE"""),"PLOSO")</f>
        <v>PLOSO</v>
      </c>
      <c r="X96" s="85" t="str">
        <f>IFERROR(__xludf.DUMMYFUNCTION("""COMPUTED_VALUE"""),"JATI")</f>
        <v>JATI</v>
      </c>
      <c r="Y96" s="85" t="str">
        <f>IFERROR(__xludf.DUMMYFUNCTION("""COMPUTED_VALUE"""),"KAB. KUDUS")</f>
        <v>KAB. KUDUS</v>
      </c>
      <c r="Z96" s="85" t="str">
        <f>IFERROR(__xludf.DUMMYFUNCTION("""COMPUTED_VALUE"""),"JAWA TENGAH")</f>
        <v>JAWA TENGAH</v>
      </c>
      <c r="AA96" s="85" t="str">
        <f>IFERROR(__xludf.DUMMYFUNCTION("""COMPUTED_VALUE"""),"59348")</f>
        <v>59348</v>
      </c>
      <c r="AB96" s="85" t="str">
        <f>IFERROR(__xludf.DUMMYFUNCTION("""COMPUTED_VALUE"""),"7304032307850001")</f>
        <v>7304032307850001</v>
      </c>
      <c r="AC96" s="85" t="str">
        <f>IFERROR(__xludf.DUMMYFUNCTION("""COMPUTED_VALUE"""),"78.014.830.0-807.000")</f>
        <v>78.014.830.0-807.000</v>
      </c>
      <c r="AD96" s="85" t="str">
        <f>IFERROR(__xludf.DUMMYFUNCTION("""COMPUTED_VALUE"""),"CUM - WWK")</f>
        <v>CUM - WWK</v>
      </c>
      <c r="AE96" s="85" t="str">
        <f>IFERROR(__xludf.DUMMYFUNCTION("""COMPUTED_VALUE"""),"SUB WIWIK")</f>
        <v>SUB WIWIK</v>
      </c>
      <c r="AF96" s="85" t="str">
        <f>IFERROR(__xludf.DUMMYFUNCTION("""COMPUTED_VALUE"""),"081327447643")</f>
        <v>081327447643</v>
      </c>
      <c r="AG96" s="85" t="str">
        <f>IFERROR(__xludf.DUMMYFUNCTION("""COMPUTED_VALUE"""),"081327447643")</f>
        <v>081327447643</v>
      </c>
      <c r="AH96" s="85" t="str">
        <f>IFERROR(__xludf.DUMMYFUNCTION("""COMPUTED_VALUE"""),"unjigus@gmail.com")</f>
        <v>unjigus@gmail.com</v>
      </c>
      <c r="AI96" s="85" t="str">
        <f>IFERROR(__xludf.DUMMYFUNCTION("""COMPUTED_VALUE"""),"59348S2")</f>
        <v>59348S2</v>
      </c>
      <c r="AJ96" s="85" t="str">
        <f>IFERROR(__xludf.DUMMYFUNCTION("""COMPUTED_VALUE"""),"6461b7e13415b958365afaf5")</f>
        <v>6461b7e13415b958365afaf5</v>
      </c>
      <c r="AK96" s="85" t="str">
        <f>IFERROR(__xludf.DUMMYFUNCTION("""COMPUTED_VALUE"""),"dm59348s2")</f>
        <v>dm59348s2</v>
      </c>
      <c r="AL96" s="85" t="str">
        <f>IFERROR(__xludf.DUMMYFUNCTION("""COMPUTED_VALUE"""),"password")</f>
        <v>password</v>
      </c>
      <c r="AM96" s="85" t="str">
        <f>IFERROR(__xludf.DUMMYFUNCTION("""COMPUTED_VALUE"""),"KANTOR REGIONAL IV SEMARANG 50004")</f>
        <v>KANTOR REGIONAL IV SEMARANG 50004</v>
      </c>
      <c r="AN96" s="85" t="str">
        <f>IFERROR(__xludf.DUMMYFUNCTION("""COMPUTED_VALUE"""),"POS JATI")</f>
        <v>POS JATI</v>
      </c>
      <c r="AO96" s="85" t="str">
        <f>IFERROR(__xludf.DUMMYFUNCTION("""COMPUTED_VALUE"""),"0505230044729")</f>
        <v>0505230044729</v>
      </c>
      <c r="AP96" s="85" t="str">
        <f>IFERROR(__xludf.DUMMYFUNCTION("""COMPUTED_VALUE"""),"53202 ( AKTIFITAS AGEN KURIR )")</f>
        <v>53202 ( AKTIFITAS AGEN KURIR )</v>
      </c>
      <c r="AQ96" s="93"/>
      <c r="AR96" s="85"/>
      <c r="AS96" s="85"/>
      <c r="AT96" s="85" t="str">
        <f>IFERROR(__xludf.DUMMYFUNCTION("""COMPUTED_VALUE"""),"-68156289")</f>
        <v>-68156289</v>
      </c>
      <c r="AU96" s="85" t="str">
        <f>IFERROR(__xludf.DUMMYFUNCTION("""COMPUTED_VALUE"""),"1108276827")</f>
        <v>1108276827</v>
      </c>
      <c r="AV96" s="85" t="str">
        <f>IFERROR(__xludf.DUMMYFUNCTION("""COMPUTED_VALUE"""),"ADA")</f>
        <v>ADA</v>
      </c>
      <c r="AW96" s="85" t="str">
        <f>IFERROR(__xludf.DUMMYFUNCTION("""COMPUTED_VALUE"""),"ADA")</f>
        <v>ADA</v>
      </c>
      <c r="AX96" s="85"/>
      <c r="AY96" s="85"/>
      <c r="AZ96" s="85"/>
      <c r="BA96" s="85" t="str">
        <f>IFERROR(__xludf.DUMMYFUNCTION("""COMPUTED_VALUE"""),"ADA")</f>
        <v>ADA</v>
      </c>
      <c r="BB96" s="85" t="str">
        <f>IFERROR(__xludf.DUMMYFUNCTION("""COMPUTED_VALUE"""),"ADA")</f>
        <v>ADA</v>
      </c>
      <c r="BC96" s="85" t="str">
        <f>IFERROR(__xludf.DUMMYFUNCTION("""COMPUTED_VALUE"""),"ADA")</f>
        <v>ADA</v>
      </c>
      <c r="BD96" s="85" t="str">
        <f>IFERROR(__xludf.DUMMYFUNCTION("""COMPUTED_VALUE"""),"ADA")</f>
        <v>ADA</v>
      </c>
      <c r="BE96" s="85" t="str">
        <f>IFERROR(__xludf.DUMMYFUNCTION("""COMPUTED_VALUE"""),"ADA")</f>
        <v>ADA</v>
      </c>
      <c r="BF96" s="85" t="str">
        <f>IFERROR(__xludf.DUMMYFUNCTION("""COMPUTED_VALUE"""),"ADA")</f>
        <v>ADA</v>
      </c>
      <c r="BG96" s="85" t="str">
        <f>IFERROR(__xludf.DUMMYFUNCTION("""COMPUTED_VALUE"""),"ADA")</f>
        <v>ADA</v>
      </c>
      <c r="BH96" s="85" t="str">
        <f>IFERROR(__xludf.DUMMYFUNCTION("""COMPUTED_VALUE"""),"EPSON")</f>
        <v>EPSON</v>
      </c>
      <c r="BI96" s="85" t="str">
        <f>IFERROR(__xludf.DUMMYFUNCTION("""COMPUTED_VALUE"""),"BELUM ADA")</f>
        <v>BELUM ADA</v>
      </c>
      <c r="BJ96" s="85" t="str">
        <f>IFERROR(__xludf.DUMMYFUNCTION("""COMPUTED_VALUE"""),"HVS")</f>
        <v>HVS</v>
      </c>
      <c r="BK96" s="85"/>
      <c r="BL96" s="85"/>
      <c r="BM96" s="85"/>
      <c r="BN96" s="85"/>
      <c r="BO96" s="85"/>
      <c r="BP96" s="85"/>
      <c r="BQ96" s="85"/>
      <c r="BR96" s="85"/>
      <c r="BS96" s="85"/>
      <c r="BT96" s="85"/>
      <c r="BU96" s="85"/>
      <c r="BV96" s="85" t="str">
        <f>IFERROR(__xludf.DUMMYFUNCTION("""COMPUTED_VALUE"""),"Dukuh Krajan Rt 004 Rw 002 Kel. Ploso Kec. Jati Kab. Kudus Jawa Tengah 59348")</f>
        <v>Dukuh Krajan Rt 004 Rw 002 Kel. Ploso Kec. Jati Kab. Kudus Jawa Tengah 59348</v>
      </c>
      <c r="BW96" s="85"/>
      <c r="BX96" s="85"/>
      <c r="BY96" s="85"/>
      <c r="BZ96" s="85"/>
      <c r="CA96" s="85"/>
      <c r="CB96" s="85"/>
      <c r="CC96" s="85"/>
      <c r="CD96" s="85"/>
      <c r="CE96" s="85"/>
      <c r="CF96" s="85"/>
      <c r="CG96" s="85"/>
      <c r="CH96" s="85"/>
      <c r="CI96" s="85"/>
      <c r="CJ96" s="85"/>
      <c r="CK96" s="2"/>
    </row>
    <row r="97" ht="12.75" customHeight="1">
      <c r="A97" s="80">
        <f>IFERROR(__xludf.DUMMYFUNCTION("""COMPUTED_VALUE"""),94.0)</f>
        <v>94</v>
      </c>
      <c r="B97" s="80"/>
      <c r="C97" s="80"/>
      <c r="D97" s="81"/>
      <c r="E97" s="82"/>
      <c r="F97" s="80"/>
      <c r="G97" s="81"/>
      <c r="H97" s="80"/>
      <c r="I97" s="80"/>
      <c r="J97" s="80"/>
      <c r="K97" s="80"/>
      <c r="L97" s="80"/>
      <c r="M97" s="80"/>
      <c r="N97" s="80"/>
      <c r="O97" s="80"/>
      <c r="P97" s="80" t="str">
        <f>IFERROR(__xludf.DUMMYFUNCTION("""COMPUTED_VALUE"""),"53BSPA16494JBCUM")</f>
        <v>53BSPA16494JBCUM</v>
      </c>
      <c r="Q97" s="80" t="str">
        <f>IFERROR(__xludf.DUMMYFUNCTION("""COMPUTED_VALUE"""),"the Terrace")</f>
        <v>the Terrace</v>
      </c>
      <c r="R97" s="80"/>
      <c r="S97" s="80"/>
      <c r="T97" s="80"/>
      <c r="U97" s="80"/>
      <c r="V97" s="80"/>
      <c r="W97" s="80"/>
      <c r="X97" s="80"/>
      <c r="Y97" s="80"/>
      <c r="Z97" s="80"/>
      <c r="AA97" s="80"/>
      <c r="AB97" s="80"/>
      <c r="AC97" s="80"/>
      <c r="AD97" s="80"/>
      <c r="AE97" s="80"/>
      <c r="AF97" s="80"/>
      <c r="AG97" s="80"/>
      <c r="AH97" s="80"/>
      <c r="AI97" s="80"/>
      <c r="AJ97" s="80"/>
      <c r="AK97" s="80"/>
      <c r="AL97" s="80"/>
      <c r="AM97" s="80" t="str">
        <f>IFERROR(__xludf.DUMMYFUNCTION("""COMPUTED_VALUE"""),"KANTOR REGIONAL IV SEMARANG 50004")</f>
        <v>KANTOR REGIONAL IV SEMARANG 50004</v>
      </c>
      <c r="AN97" s="80"/>
      <c r="AO97" s="80"/>
      <c r="AP97" s="80"/>
      <c r="AQ97" s="83"/>
      <c r="AR97" s="80"/>
      <c r="AS97" s="80"/>
      <c r="AT97" s="80"/>
      <c r="AU97" s="80"/>
      <c r="AV97" s="80"/>
      <c r="AW97" s="80"/>
      <c r="AX97" s="80"/>
      <c r="AY97" s="80"/>
      <c r="AZ97" s="80"/>
      <c r="BA97" s="80"/>
      <c r="BB97" s="80"/>
      <c r="BC97" s="80"/>
      <c r="BD97" s="80"/>
      <c r="BE97" s="80"/>
      <c r="BF97" s="80"/>
      <c r="BG97" s="80"/>
      <c r="BH97" s="80"/>
      <c r="BI97" s="80"/>
      <c r="BJ97" s="80"/>
      <c r="BK97" s="80"/>
      <c r="BL97" s="80"/>
      <c r="BM97" s="80"/>
      <c r="BN97" s="80"/>
      <c r="BO97" s="80"/>
      <c r="BP97" s="80"/>
      <c r="BQ97" s="80"/>
      <c r="BR97" s="80"/>
      <c r="BS97" s="80"/>
      <c r="BT97" s="80"/>
      <c r="BU97" s="80"/>
      <c r="BV97" s="80"/>
      <c r="BW97" s="80"/>
      <c r="BX97" s="80"/>
      <c r="BY97" s="80"/>
      <c r="BZ97" s="80"/>
      <c r="CA97" s="80"/>
      <c r="CB97" s="80"/>
      <c r="CC97" s="80"/>
      <c r="CD97" s="80"/>
      <c r="CE97" s="80"/>
      <c r="CF97" s="80"/>
      <c r="CG97" s="80"/>
      <c r="CH97" s="80"/>
      <c r="CI97" s="80"/>
      <c r="CJ97" s="80"/>
      <c r="CK97" s="2"/>
    </row>
    <row r="98" ht="12.75" customHeight="1">
      <c r="A98" s="85">
        <f>IFERROR(__xludf.DUMMYFUNCTION("""COMPUTED_VALUE"""),95.0)</f>
        <v>95</v>
      </c>
      <c r="B98" s="85"/>
      <c r="C98" s="85"/>
      <c r="D98" s="86"/>
      <c r="E98" s="88"/>
      <c r="F98" s="85" t="str">
        <f>IFERROR(__xludf.DUMMYFUNCTION("""COMPUTED_VALUE"""),"26 MEI 2023")</f>
        <v>26 MEI 2023</v>
      </c>
      <c r="G98" s="86">
        <f>IFERROR(__xludf.DUMMYFUNCTION("""COMPUTED_VALUE"""),45090.0)</f>
        <v>45090</v>
      </c>
      <c r="H98" s="85" t="str">
        <f>IFERROR(__xludf.DUMMYFUNCTION("""COMPUTED_VALUE"""),"26 MEI 2023")</f>
        <v>26 MEI 2023</v>
      </c>
      <c r="I98" s="85" t="str">
        <f>IFERROR(__xludf.DUMMYFUNCTION("""COMPUTED_VALUE"""),"26 MEI 2023")</f>
        <v>26 MEI 2023</v>
      </c>
      <c r="J98" s="85" t="str">
        <f>IFERROR(__xludf.DUMMYFUNCTION("""COMPUTED_VALUE"""),"26 MEI 2023")</f>
        <v>26 MEI 2023</v>
      </c>
      <c r="K98" s="85"/>
      <c r="L98" s="85"/>
      <c r="M98" s="85"/>
      <c r="N98" s="85"/>
      <c r="O98" s="85"/>
      <c r="P98" s="85" t="str">
        <f>IFERROR(__xludf.DUMMYFUNCTION("""COMPUTED_VALUE"""),"53BSPA16495JBCUM")</f>
        <v>53BSPA16495JBCUM</v>
      </c>
      <c r="Q98" s="85" t="str">
        <f>IFERROR(__xludf.DUMMYFUNCTION("""COMPUTED_VALUE"""),"M ICHSAN")</f>
        <v>M ICHSAN</v>
      </c>
      <c r="R98" s="85" t="str">
        <f>IFERROR(__xludf.DUMMYFUNCTION("""COMPUTED_VALUE"""),"M ICHSAN")</f>
        <v>M ICHSAN</v>
      </c>
      <c r="S98" s="85" t="str">
        <f>IFERROR(__xludf.DUMMYFUNCTION("""COMPUTED_VALUE"""),"Iyan Supian")</f>
        <v>Iyan Supian</v>
      </c>
      <c r="T98" s="85" t="str">
        <f>IFERROR(__xludf.DUMMYFUNCTION("""COMPUTED_VALUE"""),"KP. LEGOK RINGGIT RT 004 RW 009 KEL. SUKAMENTRI KEC. GARUT KOTA 44116")</f>
        <v>KP. LEGOK RINGGIT RT 004 RW 009 KEL. SUKAMENTRI KEC. GARUT KOTA 44116</v>
      </c>
      <c r="U98" s="85" t="str">
        <f>IFERROR(__xludf.DUMMYFUNCTION("""COMPUTED_VALUE"""),"JL. GUNTUR NO. 197 GARUT")</f>
        <v>JL. GUNTUR NO. 197 GARUT</v>
      </c>
      <c r="V98" s="85"/>
      <c r="W98" s="85" t="str">
        <f>IFERROR(__xludf.DUMMYFUNCTION("""COMPUTED_VALUE"""),"SUKAMENTRI")</f>
        <v>SUKAMENTRI</v>
      </c>
      <c r="X98" s="85" t="str">
        <f>IFERROR(__xludf.DUMMYFUNCTION("""COMPUTED_VALUE"""),"GARUT KOTA")</f>
        <v>GARUT KOTA</v>
      </c>
      <c r="Y98" s="85" t="str">
        <f>IFERROR(__xludf.DUMMYFUNCTION("""COMPUTED_VALUE"""),"KAB. GARUT")</f>
        <v>KAB. GARUT</v>
      </c>
      <c r="Z98" s="85" t="str">
        <f>IFERROR(__xludf.DUMMYFUNCTION("""COMPUTED_VALUE"""),"JAWA BARAT")</f>
        <v>JAWA BARAT</v>
      </c>
      <c r="AA98" s="85" t="str">
        <f>IFERROR(__xludf.DUMMYFUNCTION("""COMPUTED_VALUE"""),"44116")</f>
        <v>44116</v>
      </c>
      <c r="AB98" s="85" t="str">
        <f>IFERROR(__xludf.DUMMYFUNCTION("""COMPUTED_VALUE"""),"3205011505770005")</f>
        <v>3205011505770005</v>
      </c>
      <c r="AC98" s="85" t="str">
        <f>IFERROR(__xludf.DUMMYFUNCTION("""COMPUTED_VALUE"""),"84.036.542.3-443.000")</f>
        <v>84.036.542.3-443.000</v>
      </c>
      <c r="AD98" s="85" t="str">
        <f>IFERROR(__xludf.DUMMYFUNCTION("""COMPUTED_VALUE"""),"CUM - BSB - JABAR")</f>
        <v>CUM - BSB - JABAR</v>
      </c>
      <c r="AE98" s="85" t="str">
        <f>IFERROR(__xludf.DUMMYFUNCTION("""COMPUTED_VALUE"""),"SUB JAELANI POS")</f>
        <v>SUB JAELANI POS</v>
      </c>
      <c r="AF98" s="85" t="str">
        <f>IFERROR(__xludf.DUMMYFUNCTION("""COMPUTED_VALUE"""),"081220155053")</f>
        <v>081220155053</v>
      </c>
      <c r="AG98" s="85" t="str">
        <f>IFERROR(__xludf.DUMMYFUNCTION("""COMPUTED_VALUE"""),"081220155053")</f>
        <v>081220155053</v>
      </c>
      <c r="AH98" s="85" t="str">
        <f>IFERROR(__xludf.DUMMYFUNCTION("""COMPUTED_VALUE"""),"isupian51@gmail.com")</f>
        <v>isupian51@gmail.com</v>
      </c>
      <c r="AI98" s="85" t="str">
        <f>IFERROR(__xludf.DUMMYFUNCTION("""COMPUTED_VALUE"""),"44116S1")</f>
        <v>44116S1</v>
      </c>
      <c r="AJ98" s="85" t="str">
        <f>IFERROR(__xludf.DUMMYFUNCTION("""COMPUTED_VALUE"""),"64853bc537568d72fe0e3458")</f>
        <v>64853bc537568d72fe0e3458</v>
      </c>
      <c r="AK98" s="85" t="str">
        <f>IFERROR(__xludf.DUMMYFUNCTION("""COMPUTED_VALUE"""),"dm44116s1")</f>
        <v>dm44116s1</v>
      </c>
      <c r="AL98" s="85" t="str">
        <f>IFERROR(__xludf.DUMMYFUNCTION("""COMPUTED_VALUE"""),"password")</f>
        <v>password</v>
      </c>
      <c r="AM98" s="85" t="str">
        <f>IFERROR(__xludf.DUMMYFUNCTION("""COMPUTED_VALUE"""),"KANTOR REGIONAL III BANDUNG 40004")</f>
        <v>KANTOR REGIONAL III BANDUNG 40004</v>
      </c>
      <c r="AN98" s="85" t="str">
        <f>IFERROR(__xludf.DUMMYFUNCTION("""COMPUTED_VALUE"""),"POS GARUT")</f>
        <v>POS GARUT</v>
      </c>
      <c r="AO98" s="85" t="str">
        <f>IFERROR(__xludf.DUMMYFUNCTION("""COMPUTED_VALUE"""),"1905230072199")</f>
        <v>1905230072199</v>
      </c>
      <c r="AP98" s="85" t="str">
        <f>IFERROR(__xludf.DUMMYFUNCTION("""COMPUTED_VALUE"""),"53202 ( AKTIFITAS AGEN KURIR )")</f>
        <v>53202 ( AKTIFITAS AGEN KURIR )</v>
      </c>
      <c r="AQ98" s="93"/>
      <c r="AR98" s="85"/>
      <c r="AS98" s="85"/>
      <c r="AT98" s="85" t="str">
        <f>IFERROR(__xludf.DUMMYFUNCTION("""COMPUTED_VALUE"""),"-72,122,345")</f>
        <v>-72,122,345</v>
      </c>
      <c r="AU98" s="85" t="str">
        <f>IFERROR(__xludf.DUMMYFUNCTION("""COMPUTED_VALUE"""),"1,079,070,136")</f>
        <v>1,079,070,136</v>
      </c>
      <c r="AV98" s="85" t="str">
        <f>IFERROR(__xludf.DUMMYFUNCTION("""COMPUTED_VALUE"""),"ADA")</f>
        <v>ADA</v>
      </c>
      <c r="AW98" s="85" t="str">
        <f>IFERROR(__xludf.DUMMYFUNCTION("""COMPUTED_VALUE"""),"ADA")</f>
        <v>ADA</v>
      </c>
      <c r="AX98" s="85"/>
      <c r="AY98" s="85"/>
      <c r="AZ98" s="85"/>
      <c r="BA98" s="85" t="str">
        <f>IFERROR(__xludf.DUMMYFUNCTION("""COMPUTED_VALUE"""),"ADA")</f>
        <v>ADA</v>
      </c>
      <c r="BB98" s="85" t="str">
        <f>IFERROR(__xludf.DUMMYFUNCTION("""COMPUTED_VALUE"""),"ADA")</f>
        <v>ADA</v>
      </c>
      <c r="BC98" s="85" t="str">
        <f>IFERROR(__xludf.DUMMYFUNCTION("""COMPUTED_VALUE"""),"ADA")</f>
        <v>ADA</v>
      </c>
      <c r="BD98" s="85" t="str">
        <f>IFERROR(__xludf.DUMMYFUNCTION("""COMPUTED_VALUE"""),"ADA")</f>
        <v>ADA</v>
      </c>
      <c r="BE98" s="85" t="str">
        <f>IFERROR(__xludf.DUMMYFUNCTION("""COMPUTED_VALUE"""),"ADA")</f>
        <v>ADA</v>
      </c>
      <c r="BF98" s="85" t="str">
        <f>IFERROR(__xludf.DUMMYFUNCTION("""COMPUTED_VALUE"""),"ADA")</f>
        <v>ADA</v>
      </c>
      <c r="BG98" s="85" t="str">
        <f>IFERROR(__xludf.DUMMYFUNCTION("""COMPUTED_VALUE"""),"ADA")</f>
        <v>ADA</v>
      </c>
      <c r="BH98" s="85"/>
      <c r="BI98" s="85" t="str">
        <f>IFERROR(__xludf.DUMMYFUNCTION("""COMPUTED_VALUE"""),"ADA")</f>
        <v>ADA</v>
      </c>
      <c r="BJ98" s="85"/>
      <c r="BK98" s="85"/>
      <c r="BL98" s="85"/>
      <c r="BM98" s="85"/>
      <c r="BN98" s="85"/>
      <c r="BO98" s="85"/>
      <c r="BP98" s="85"/>
      <c r="BQ98" s="85"/>
      <c r="BR98" s="85"/>
      <c r="BS98" s="85"/>
      <c r="BT98" s="85"/>
      <c r="BU98" s="85"/>
      <c r="BV98" s="85" t="str">
        <f>IFERROR(__xludf.DUMMYFUNCTION("""COMPUTED_VALUE"""),"Kp. Legok Ringgit Rt 004 Rw 009 Kel. Sukamentri Kec. Garut Kota 44116")</f>
        <v>Kp. Legok Ringgit Rt 004 Rw 009 Kel. Sukamentri Kec. Garut Kota 44116</v>
      </c>
      <c r="BW98" s="85"/>
      <c r="BX98" s="85"/>
      <c r="BY98" s="85"/>
      <c r="BZ98" s="85"/>
      <c r="CA98" s="85"/>
      <c r="CB98" s="85"/>
      <c r="CC98" s="85"/>
      <c r="CD98" s="85"/>
      <c r="CE98" s="85"/>
      <c r="CF98" s="85"/>
      <c r="CG98" s="85"/>
      <c r="CH98" s="85"/>
      <c r="CI98" s="85"/>
      <c r="CJ98" s="85"/>
      <c r="CK98" s="2"/>
    </row>
    <row r="99" ht="12.75" customHeight="1">
      <c r="A99" s="80">
        <f>IFERROR(__xludf.DUMMYFUNCTION("""COMPUTED_VALUE"""),96.0)</f>
        <v>96</v>
      </c>
      <c r="B99" s="80" t="str">
        <f>IFERROR(__xludf.DUMMYFUNCTION("""COMPUTED_VALUE"""),"30 MEI 2023")</f>
        <v>30 MEI 2023</v>
      </c>
      <c r="C99" s="80" t="str">
        <f>IFERROR(__xludf.DUMMYFUNCTION("""COMPUTED_VALUE"""),"19 JUNI 2023")</f>
        <v>19 JUNI 2023</v>
      </c>
      <c r="D99" s="81"/>
      <c r="E99" s="82"/>
      <c r="F99" s="80" t="str">
        <f>IFERROR(__xludf.DUMMYFUNCTION("""COMPUTED_VALUE"""),"30 MEI 2023")</f>
        <v>30 MEI 2023</v>
      </c>
      <c r="G99" s="81">
        <f>IFERROR(__xludf.DUMMYFUNCTION("""COMPUTED_VALUE"""),45103.0)</f>
        <v>45103</v>
      </c>
      <c r="H99" s="80" t="str">
        <f>IFERROR(__xludf.DUMMYFUNCTION("""COMPUTED_VALUE"""),"5 JUNI 2023")</f>
        <v>5 JUNI 2023</v>
      </c>
      <c r="I99" s="80" t="str">
        <f>IFERROR(__xludf.DUMMYFUNCTION("""COMPUTED_VALUE"""),"5 JUNI 2023")</f>
        <v>5 JUNI 2023</v>
      </c>
      <c r="J99" s="80" t="str">
        <f>IFERROR(__xludf.DUMMYFUNCTION("""COMPUTED_VALUE"""),"5 JUNI 2023")</f>
        <v>5 JUNI 2023</v>
      </c>
      <c r="K99" s="80"/>
      <c r="L99" s="80"/>
      <c r="M99" s="80"/>
      <c r="N99" s="80"/>
      <c r="O99" s="80"/>
      <c r="P99" s="80" t="str">
        <f>IFERROR(__xludf.DUMMYFUNCTION("""COMPUTED_VALUE"""),"53BSPA16497JBCUM")</f>
        <v>53BSPA16497JBCUM</v>
      </c>
      <c r="Q99" s="80" t="str">
        <f>IFERROR(__xludf.DUMMYFUNCTION("""COMPUTED_VALUE"""),"AGEN NATA ENDAH")</f>
        <v>AGEN NATA ENDAH</v>
      </c>
      <c r="R99" s="80" t="str">
        <f>IFERROR(__xludf.DUMMYFUNCTION("""COMPUTED_VALUE"""),"AGEN NATEN")</f>
        <v>AGEN NATEN</v>
      </c>
      <c r="S99" s="80" t="str">
        <f>IFERROR(__xludf.DUMMYFUNCTION("""COMPUTED_VALUE"""),"Wimi Suwandani")</f>
        <v>Wimi Suwandani</v>
      </c>
      <c r="T99" s="80" t="str">
        <f>IFERROR(__xludf.DUMMYFUNCTION("""COMPUTED_VALUE"""),"TAMAN KOPO INDAH I BLOK B-43 RT 001 RW 016 KEL. MARGAHAYU SELATAN KEC. MARGAHAYU 40226")</f>
        <v>TAMAN KOPO INDAH I BLOK B-43 RT 001 RW 016 KEL. MARGAHAYU SELATAN KEC. MARGAHAYU 40226</v>
      </c>
      <c r="U99" s="80" t="str">
        <f>IFERROR(__xludf.DUMMYFUNCTION("""COMPUTED_VALUE"""),"JL. NATA ENDAH NO. A-17")</f>
        <v>JL. NATA ENDAH NO. A-17</v>
      </c>
      <c r="V99" s="80"/>
      <c r="W99" s="80" t="str">
        <f>IFERROR(__xludf.DUMMYFUNCTION("""COMPUTED_VALUE"""),"SAYATI")</f>
        <v>SAYATI</v>
      </c>
      <c r="X99" s="80" t="str">
        <f>IFERROR(__xludf.DUMMYFUNCTION("""COMPUTED_VALUE"""),"MARGAHAYU")</f>
        <v>MARGAHAYU</v>
      </c>
      <c r="Y99" s="80" t="str">
        <f>IFERROR(__xludf.DUMMYFUNCTION("""COMPUTED_VALUE"""),"KAB. BANDUNG")</f>
        <v>KAB. BANDUNG</v>
      </c>
      <c r="Z99" s="80" t="str">
        <f>IFERROR(__xludf.DUMMYFUNCTION("""COMPUTED_VALUE"""),"JAWA BARAT")</f>
        <v>JAWA BARAT</v>
      </c>
      <c r="AA99" s="80" t="str">
        <f>IFERROR(__xludf.DUMMYFUNCTION("""COMPUTED_VALUE"""),"40228")</f>
        <v>40228</v>
      </c>
      <c r="AB99" s="80" t="str">
        <f>IFERROR(__xludf.DUMMYFUNCTION("""COMPUTED_VALUE"""),"3204095401640005")</f>
        <v>3204095401640005</v>
      </c>
      <c r="AC99" s="80" t="str">
        <f>IFERROR(__xludf.DUMMYFUNCTION("""COMPUTED_VALUE"""),"93.603.483.4-445.000")</f>
        <v>93.603.483.4-445.000</v>
      </c>
      <c r="AD99" s="80" t="str">
        <f>IFERROR(__xludf.DUMMYFUNCTION("""COMPUTED_VALUE"""),"CUM - BSB - JABAR")</f>
        <v>CUM - BSB - JABAR</v>
      </c>
      <c r="AE99" s="80" t="str">
        <f>IFERROR(__xludf.DUMMYFUNCTION("""COMPUTED_VALUE"""),"SUB JAELANI POS")</f>
        <v>SUB JAELANI POS</v>
      </c>
      <c r="AF99" s="80" t="str">
        <f>IFERROR(__xludf.DUMMYFUNCTION("""COMPUTED_VALUE"""),"0878-8749-4909")</f>
        <v>0878-8749-4909</v>
      </c>
      <c r="AG99" s="80" t="str">
        <f>IFERROR(__xludf.DUMMYFUNCTION("""COMPUTED_VALUE"""),"0878-8749-4909")</f>
        <v>0878-8749-4909</v>
      </c>
      <c r="AH99" s="80" t="str">
        <f>IFERROR(__xludf.DUMMYFUNCTION("""COMPUTED_VALUE"""),"suwandaniwimi@gmail.com")</f>
        <v>suwandaniwimi@gmail.com</v>
      </c>
      <c r="AI99" s="80" t="str">
        <f>IFERROR(__xludf.DUMMYFUNCTION("""COMPUTED_VALUE"""),"40352S4")</f>
        <v>40352S4</v>
      </c>
      <c r="AJ99" s="80" t="str">
        <f>IFERROR(__xludf.DUMMYFUNCTION("""COMPUTED_VALUE"""),"64966b2a08806a144f5fa586")</f>
        <v>64966b2a08806a144f5fa586</v>
      </c>
      <c r="AK99" s="80" t="str">
        <f>IFERROR(__xludf.DUMMYFUNCTION("""COMPUTED_VALUE"""),"dm40352S4")</f>
        <v>dm40352S4</v>
      </c>
      <c r="AL99" s="80" t="str">
        <f>IFERROR(__xludf.DUMMYFUNCTION("""COMPUTED_VALUE"""),"password")</f>
        <v>password</v>
      </c>
      <c r="AM99" s="80"/>
      <c r="AN99" s="80" t="str">
        <f>IFERROR(__xludf.DUMMYFUNCTION("""COMPUTED_VALUE"""),"POS SUKAMENAK")</f>
        <v>POS SUKAMENAK</v>
      </c>
      <c r="AO99" s="80" t="str">
        <f>IFERROR(__xludf.DUMMYFUNCTION("""COMPUTED_VALUE"""),"3005230078885")</f>
        <v>3005230078885</v>
      </c>
      <c r="AP99" s="80" t="str">
        <f>IFERROR(__xludf.DUMMYFUNCTION("""COMPUTED_VALUE"""),"53202 ( AKTIFITAS AGEN KURIR )")</f>
        <v>53202 ( AKTIFITAS AGEN KURIR )</v>
      </c>
      <c r="AQ99" s="83"/>
      <c r="AR99" s="80"/>
      <c r="AS99" s="80"/>
      <c r="AT99" s="80" t="str">
        <f>IFERROR(__xludf.DUMMYFUNCTION("""COMPUTED_VALUE"""),"-6.9612273")</f>
        <v>-6.9612273</v>
      </c>
      <c r="AU99" s="80" t="str">
        <f>IFERROR(__xludf.DUMMYFUNCTION("""COMPUTED_VALUE"""),"107.5726604")</f>
        <v>107.5726604</v>
      </c>
      <c r="AV99" s="80" t="str">
        <f>IFERROR(__xludf.DUMMYFUNCTION("""COMPUTED_VALUE"""),"ADA")</f>
        <v>ADA</v>
      </c>
      <c r="AW99" s="80"/>
      <c r="AX99" s="80"/>
      <c r="AY99" s="80"/>
      <c r="AZ99" s="80"/>
      <c r="BA99" s="80" t="str">
        <f>IFERROR(__xludf.DUMMYFUNCTION("""COMPUTED_VALUE"""),"ADA")</f>
        <v>ADA</v>
      </c>
      <c r="BB99" s="80" t="str">
        <f>IFERROR(__xludf.DUMMYFUNCTION("""COMPUTED_VALUE"""),"ADA")</f>
        <v>ADA</v>
      </c>
      <c r="BC99" s="80" t="str">
        <f>IFERROR(__xludf.DUMMYFUNCTION("""COMPUTED_VALUE"""),"ADA")</f>
        <v>ADA</v>
      </c>
      <c r="BD99" s="80" t="str">
        <f>IFERROR(__xludf.DUMMYFUNCTION("""COMPUTED_VALUE"""),"ADA")</f>
        <v>ADA</v>
      </c>
      <c r="BE99" s="80" t="str">
        <f>IFERROR(__xludf.DUMMYFUNCTION("""COMPUTED_VALUE"""),"ADA")</f>
        <v>ADA</v>
      </c>
      <c r="BF99" s="80" t="str">
        <f>IFERROR(__xludf.DUMMYFUNCTION("""COMPUTED_VALUE"""),"ADA")</f>
        <v>ADA</v>
      </c>
      <c r="BG99" s="80" t="str">
        <f>IFERROR(__xludf.DUMMYFUNCTION("""COMPUTED_VALUE"""),"ADA")</f>
        <v>ADA</v>
      </c>
      <c r="BH99" s="80" t="str">
        <f>IFERROR(__xludf.DUMMYFUNCTION("""COMPUTED_VALUE"""),"TINTA")</f>
        <v>TINTA</v>
      </c>
      <c r="BI99" s="80" t="str">
        <f>IFERROR(__xludf.DUMMYFUNCTION("""COMPUTED_VALUE"""),"ADA")</f>
        <v>ADA</v>
      </c>
      <c r="BJ99" s="80" t="str">
        <f>IFERROR(__xludf.DUMMYFUNCTION("""COMPUTED_VALUE"""),"HVS")</f>
        <v>HVS</v>
      </c>
      <c r="BK99" s="80"/>
      <c r="BL99" s="80"/>
      <c r="BM99" s="80"/>
      <c r="BN99" s="80"/>
      <c r="BO99" s="80"/>
      <c r="BP99" s="80"/>
      <c r="BQ99" s="80"/>
      <c r="BR99" s="80"/>
      <c r="BS99" s="80"/>
      <c r="BT99" s="80"/>
      <c r="BU99" s="80"/>
      <c r="BV99" s="80" t="str">
        <f>IFERROR(__xludf.DUMMYFUNCTION("""COMPUTED_VALUE"""),"Taman Kopo Indah I Blok B-43 Rt 001 Rw 016 Kel. Margahayu Selatan Kec. Margahayu 40226")</f>
        <v>Taman Kopo Indah I Blok B-43 Rt 001 Rw 016 Kel. Margahayu Selatan Kec. Margahayu 40226</v>
      </c>
      <c r="BW99" s="80"/>
      <c r="BX99" s="80"/>
      <c r="BY99" s="80"/>
      <c r="BZ99" s="80"/>
      <c r="CA99" s="80"/>
      <c r="CB99" s="80"/>
      <c r="CC99" s="80"/>
      <c r="CD99" s="80"/>
      <c r="CE99" s="80"/>
      <c r="CF99" s="80"/>
      <c r="CG99" s="80"/>
      <c r="CH99" s="80"/>
      <c r="CI99" s="80"/>
      <c r="CJ99" s="80"/>
      <c r="CK99" s="2"/>
    </row>
    <row r="100" ht="12.75" customHeight="1">
      <c r="A100" s="85">
        <f>IFERROR(__xludf.DUMMYFUNCTION("""COMPUTED_VALUE"""),97.0)</f>
        <v>97</v>
      </c>
      <c r="B100" s="85" t="str">
        <f>IFERROR(__xludf.DUMMYFUNCTION("""COMPUTED_VALUE"""),"30 MEI 2023")</f>
        <v>30 MEI 2023</v>
      </c>
      <c r="C100" s="85"/>
      <c r="D100" s="86"/>
      <c r="E100" s="88"/>
      <c r="F100" s="85" t="str">
        <f>IFERROR(__xludf.DUMMYFUNCTION("""COMPUTED_VALUE"""),"30 MEI 2023")</f>
        <v>30 MEI 2023</v>
      </c>
      <c r="G100" s="86"/>
      <c r="H100" s="85" t="str">
        <f>IFERROR(__xludf.DUMMYFUNCTION("""COMPUTED_VALUE"""),"12 JUNI 2023")</f>
        <v>12 JUNI 2023</v>
      </c>
      <c r="I100" s="85"/>
      <c r="J100" s="85"/>
      <c r="K100" s="85"/>
      <c r="L100" s="85"/>
      <c r="M100" s="85"/>
      <c r="N100" s="85"/>
      <c r="O100" s="85"/>
      <c r="P100" s="85" t="str">
        <f>IFERROR(__xludf.DUMMYFUNCTION("""COMPUTED_VALUE"""),"53BSPA16498JBCUM")</f>
        <v>53BSPA16498JBCUM</v>
      </c>
      <c r="Q100" s="85" t="str">
        <f>IFERROR(__xludf.DUMMYFUNCTION("""COMPUTED_VALUE"""),"JAYAMEKAR NPH3")</f>
        <v>JAYAMEKAR NPH3</v>
      </c>
      <c r="R100" s="85" t="str">
        <f>IFERROR(__xludf.DUMMYFUNCTION("""COMPUTED_VALUE"""),"Jayamekar NPH 3")</f>
        <v>Jayamekar NPH 3</v>
      </c>
      <c r="S100" s="85" t="str">
        <f>IFERROR(__xludf.DUMMYFUNCTION("""COMPUTED_VALUE"""),"Heri Rahman")</f>
        <v>Heri Rahman</v>
      </c>
      <c r="T100" s="85" t="str">
        <f>IFERROR(__xludf.DUMMYFUNCTION("""COMPUTED_VALUE"""),"KP. HEGARMANAH 004/004 SUKATANI NGAMPRAH KAB. NGAMPRAH 40552")</f>
        <v>KP. HEGARMANAH 004/004 SUKATANI NGAMPRAH KAB. NGAMPRAH 40552</v>
      </c>
      <c r="U100" s="85" t="str">
        <f>IFERROR(__xludf.DUMMYFUNCTION("""COMPUTED_VALUE"""),"JL. LETKOL G.A. MANULANG KP. PURABAYA NO. 4 RT 001 RW 006")</f>
        <v>JL. LETKOL G.A. MANULANG KP. PURABAYA NO. 4 RT 001 RW 006</v>
      </c>
      <c r="V100" s="85" t="str">
        <f>IFERROR(__xludf.DUMMYFUNCTION("""COMPUTED_VALUE"""),"001/006")</f>
        <v>001/006</v>
      </c>
      <c r="W100" s="85" t="str">
        <f>IFERROR(__xludf.DUMMYFUNCTION("""COMPUTED_VALUE"""),"JAYAMEKAR")</f>
        <v>JAYAMEKAR</v>
      </c>
      <c r="X100" s="85" t="str">
        <f>IFERROR(__xludf.DUMMYFUNCTION("""COMPUTED_VALUE"""),"PADALARANG")</f>
        <v>PADALARANG</v>
      </c>
      <c r="Y100" s="85" t="str">
        <f>IFERROR(__xludf.DUMMYFUNCTION("""COMPUTED_VALUE"""),"KAB. BANDUNG BARAT")</f>
        <v>KAB. BANDUNG BARAT</v>
      </c>
      <c r="Z100" s="85" t="str">
        <f>IFERROR(__xludf.DUMMYFUNCTION("""COMPUTED_VALUE"""),"JAWA BARAT")</f>
        <v>JAWA BARAT</v>
      </c>
      <c r="AA100" s="85" t="str">
        <f>IFERROR(__xludf.DUMMYFUNCTION("""COMPUTED_VALUE"""),"40553")</f>
        <v>40553</v>
      </c>
      <c r="AB100" s="85" t="str">
        <f>IFERROR(__xludf.DUMMYFUNCTION("""COMPUTED_VALUE"""),"320417111296001")</f>
        <v>320417111296001</v>
      </c>
      <c r="AC100" s="85" t="str">
        <f>IFERROR(__xludf.DUMMYFUNCTION("""COMPUTED_VALUE"""),"95.533.479.2-421.000")</f>
        <v>95.533.479.2-421.000</v>
      </c>
      <c r="AD100" s="85"/>
      <c r="AE100" s="85" t="str">
        <f>IFERROR(__xludf.DUMMYFUNCTION("""COMPUTED_VALUE"""),"JAY")</f>
        <v>JAY</v>
      </c>
      <c r="AF100" s="85" t="str">
        <f>IFERROR(__xludf.DUMMYFUNCTION("""COMPUTED_VALUE"""),"085624069577")</f>
        <v>085624069577</v>
      </c>
      <c r="AG100" s="85" t="str">
        <f>IFERROR(__xludf.DUMMYFUNCTION("""COMPUTED_VALUE"""),"085624069577")</f>
        <v>085624069577</v>
      </c>
      <c r="AH100" s="85" t="str">
        <f>IFERROR(__xludf.DUMMYFUNCTION("""COMPUTED_VALUE"""),"herryrachman29@gmail.com")</f>
        <v>herryrachman29@gmail.com</v>
      </c>
      <c r="AI100" s="85"/>
      <c r="AJ100" s="85"/>
      <c r="AK100" s="85"/>
      <c r="AL100" s="85"/>
      <c r="AM100" s="85"/>
      <c r="AN100" s="85"/>
      <c r="AO100" s="85" t="str">
        <f>IFERROR(__xludf.DUMMYFUNCTION("""COMPUTED_VALUE"""),"0112220055248")</f>
        <v>0112220055248</v>
      </c>
      <c r="AP100" s="85" t="str">
        <f>IFERROR(__xludf.DUMMYFUNCTION("""COMPUTED_VALUE"""),"53202 ( AKTIFITAS AGEN KURIR )")</f>
        <v>53202 ( AKTIFITAS AGEN KURIR )</v>
      </c>
      <c r="AQ100" s="93"/>
      <c r="AR100" s="85"/>
      <c r="AS100" s="85"/>
      <c r="AT100" s="85" t="str">
        <f>IFERROR(__xludf.DUMMYFUNCTION("""COMPUTED_VALUE"""),"-6.8513053")</f>
        <v>-6.8513053</v>
      </c>
      <c r="AU100" s="85" t="str">
        <f>IFERROR(__xludf.DUMMYFUNCTION("""COMPUTED_VALUE"""),"1,074,692,956.00")</f>
        <v>1,074,692,956.00</v>
      </c>
      <c r="AV100" s="85" t="str">
        <f>IFERROR(__xludf.DUMMYFUNCTION("""COMPUTED_VALUE"""),"ADA")</f>
        <v>ADA</v>
      </c>
      <c r="AW100" s="85" t="str">
        <f>IFERROR(__xludf.DUMMYFUNCTION("""COMPUTED_VALUE"""),"ADA")</f>
        <v>ADA</v>
      </c>
      <c r="AX100" s="85"/>
      <c r="AY100" s="85"/>
      <c r="AZ100" s="85"/>
      <c r="BA100" s="85" t="str">
        <f>IFERROR(__xludf.DUMMYFUNCTION("""COMPUTED_VALUE"""),"ADA")</f>
        <v>ADA</v>
      </c>
      <c r="BB100" s="85" t="str">
        <f>IFERROR(__xludf.DUMMYFUNCTION("""COMPUTED_VALUE"""),"ADA")</f>
        <v>ADA</v>
      </c>
      <c r="BC100" s="85" t="str">
        <f>IFERROR(__xludf.DUMMYFUNCTION("""COMPUTED_VALUE"""),"ADA")</f>
        <v>ADA</v>
      </c>
      <c r="BD100" s="85" t="str">
        <f>IFERROR(__xludf.DUMMYFUNCTION("""COMPUTED_VALUE"""),"ADA")</f>
        <v>ADA</v>
      </c>
      <c r="BE100" s="85" t="str">
        <f>IFERROR(__xludf.DUMMYFUNCTION("""COMPUTED_VALUE"""),"ADA")</f>
        <v>ADA</v>
      </c>
      <c r="BF100" s="85" t="str">
        <f>IFERROR(__xludf.DUMMYFUNCTION("""COMPUTED_VALUE"""),"ADA")</f>
        <v>ADA</v>
      </c>
      <c r="BG100" s="85" t="str">
        <f>IFERROR(__xludf.DUMMYFUNCTION("""COMPUTED_VALUE"""),"ADA")</f>
        <v>ADA</v>
      </c>
      <c r="BH100" s="85"/>
      <c r="BI100" s="85"/>
      <c r="BJ100" s="85"/>
      <c r="BK100" s="85"/>
      <c r="BL100" s="85"/>
      <c r="BM100" s="85"/>
      <c r="BN100" s="85"/>
      <c r="BO100" s="85"/>
      <c r="BP100" s="85"/>
      <c r="BQ100" s="85"/>
      <c r="BR100" s="85"/>
      <c r="BS100" s="85"/>
      <c r="BT100" s="85"/>
      <c r="BU100" s="85"/>
      <c r="BV100" s="85" t="str">
        <f>IFERROR(__xludf.DUMMYFUNCTION("""COMPUTED_VALUE"""),"Kp. Hegarmanah 004/004 Sukatani Ngamprah Kab. Ngamprah 40552")</f>
        <v>Kp. Hegarmanah 004/004 Sukatani Ngamprah Kab. Ngamprah 40552</v>
      </c>
      <c r="BW100" s="85"/>
      <c r="BX100" s="85"/>
      <c r="BY100" s="85"/>
      <c r="BZ100" s="85"/>
      <c r="CA100" s="85"/>
      <c r="CB100" s="85"/>
      <c r="CC100" s="85"/>
      <c r="CD100" s="85"/>
      <c r="CE100" s="85"/>
      <c r="CF100" s="85"/>
      <c r="CG100" s="85"/>
      <c r="CH100" s="85"/>
      <c r="CI100" s="85"/>
      <c r="CJ100" s="85"/>
      <c r="CK100" s="2"/>
    </row>
    <row r="101" ht="12.75" customHeight="1">
      <c r="A101" s="80">
        <f>IFERROR(__xludf.DUMMYFUNCTION("""COMPUTED_VALUE"""),98.0)</f>
        <v>98</v>
      </c>
      <c r="B101" s="80" t="str">
        <f>IFERROR(__xludf.DUMMYFUNCTION("""COMPUTED_VALUE"""),"9 JUNI 2023")</f>
        <v>9 JUNI 2023</v>
      </c>
      <c r="C101" s="80"/>
      <c r="D101" s="81"/>
      <c r="E101" s="82"/>
      <c r="F101" s="80" t="str">
        <f>IFERROR(__xludf.DUMMYFUNCTION("""COMPUTED_VALUE"""),"9 JUNI 2023")</f>
        <v>9 JUNI 2023</v>
      </c>
      <c r="G101" s="81"/>
      <c r="H101" s="80" t="str">
        <f>IFERROR(__xludf.DUMMYFUNCTION("""COMPUTED_VALUE"""),"9 JUNI 2023")</f>
        <v>9 JUNI 2023</v>
      </c>
      <c r="I101" s="80" t="str">
        <f>IFERROR(__xludf.DUMMYFUNCTION("""COMPUTED_VALUE"""),"9 JUNI 2023")</f>
        <v>9 JUNI 2023</v>
      </c>
      <c r="J101" s="80"/>
      <c r="K101" s="80"/>
      <c r="L101" s="80"/>
      <c r="M101" s="80"/>
      <c r="N101" s="80"/>
      <c r="O101" s="80" t="str">
        <f>IFERROR(__xludf.DUMMYFUNCTION("""COMPUTED_VALUE"""),"√")</f>
        <v>√</v>
      </c>
      <c r="P101" s="80" t="str">
        <f>IFERROR(__xludf.DUMMYFUNCTION("""COMPUTED_VALUE"""),"53BSPA16499JBCUM")</f>
        <v>53BSPA16499JBCUM</v>
      </c>
      <c r="Q101" s="80" t="str">
        <f>IFERROR(__xludf.DUMMYFUNCTION("""COMPUTED_VALUE"""),"SICEPAT GATSU")</f>
        <v>SICEPAT GATSU</v>
      </c>
      <c r="R101" s="80" t="str">
        <f>IFERROR(__xludf.DUMMYFUNCTION("""COMPUTED_VALUE"""),"SICEPAT GATSU")</f>
        <v>SICEPAT GATSU</v>
      </c>
      <c r="S101" s="80" t="str">
        <f>IFERROR(__xludf.DUMMYFUNCTION("""COMPUTED_VALUE"""),"Agan Purnama R")</f>
        <v>Agan Purnama R</v>
      </c>
      <c r="T101" s="80" t="str">
        <f>IFERROR(__xludf.DUMMYFUNCTION("""COMPUTED_VALUE"""),"JL. GATOT SUBROTO NO. 334 RT 001 RW 005 KEL. KEBONKANGKUNG KEC. KIARACONDONG 40284")</f>
        <v>JL. GATOT SUBROTO NO. 334 RT 001 RW 005 KEL. KEBONKANGKUNG KEC. KIARACONDONG 40284</v>
      </c>
      <c r="U101" s="80" t="str">
        <f>IFERROR(__xludf.DUMMYFUNCTION("""COMPUTED_VALUE"""),"JL. GATOT SUBROTO NO. 334 ")</f>
        <v>JL. GATOT SUBROTO NO. 334 </v>
      </c>
      <c r="V101" s="80" t="str">
        <f>IFERROR(__xludf.DUMMYFUNCTION("""COMPUTED_VALUE"""),"001/005")</f>
        <v>001/005</v>
      </c>
      <c r="W101" s="80" t="str">
        <f>IFERROR(__xludf.DUMMYFUNCTION("""COMPUTED_VALUE"""),"KEBONKANGKUNG")</f>
        <v>KEBONKANGKUNG</v>
      </c>
      <c r="X101" s="80" t="str">
        <f>IFERROR(__xludf.DUMMYFUNCTION("""COMPUTED_VALUE"""),"KIARACONDONG")</f>
        <v>KIARACONDONG</v>
      </c>
      <c r="Y101" s="80" t="str">
        <f>IFERROR(__xludf.DUMMYFUNCTION("""COMPUTED_VALUE"""),"KOTA BANDUNG")</f>
        <v>KOTA BANDUNG</v>
      </c>
      <c r="Z101" s="80" t="str">
        <f>IFERROR(__xludf.DUMMYFUNCTION("""COMPUTED_VALUE"""),"JAWA BARAT")</f>
        <v>JAWA BARAT</v>
      </c>
      <c r="AA101" s="80" t="str">
        <f>IFERROR(__xludf.DUMMYFUNCTION("""COMPUTED_VALUE"""),"40284")</f>
        <v>40284</v>
      </c>
      <c r="AB101" s="80" t="str">
        <f>IFERROR(__xludf.DUMMYFUNCTION("""COMPUTED_VALUE"""),"3273162604820009")</f>
        <v>3273162604820009</v>
      </c>
      <c r="AC101" s="80"/>
      <c r="AD101" s="80" t="str">
        <f>IFERROR(__xludf.DUMMYFUNCTION("""COMPUTED_VALUE"""),"CUM - BSB - JABAR")</f>
        <v>CUM - BSB - JABAR</v>
      </c>
      <c r="AE101" s="80" t="str">
        <f>IFERROR(__xludf.DUMMYFUNCTION("""COMPUTED_VALUE"""),"SUB JAELANI POS")</f>
        <v>SUB JAELANI POS</v>
      </c>
      <c r="AF101" s="80" t="str">
        <f>IFERROR(__xludf.DUMMYFUNCTION("""COMPUTED_VALUE"""),"0856-5915-6916")</f>
        <v>0856-5915-6916</v>
      </c>
      <c r="AG101" s="80" t="str">
        <f>IFERROR(__xludf.DUMMYFUNCTION("""COMPUTED_VALUE"""),"0856-5915-6916")</f>
        <v>0856-5915-6916</v>
      </c>
      <c r="AH101" s="80" t="str">
        <f>IFERROR(__xludf.DUMMYFUNCTION("""COMPUTED_VALUE"""),"Aganpr@gmail.com")</f>
        <v>Aganpr@gmail.com</v>
      </c>
      <c r="AI101" s="80"/>
      <c r="AJ101" s="80"/>
      <c r="AK101" s="80"/>
      <c r="AL101" s="80"/>
      <c r="AM101" s="80"/>
      <c r="AN101" s="80"/>
      <c r="AO101" s="80"/>
      <c r="AP101" s="80"/>
      <c r="AQ101" s="83"/>
      <c r="AR101" s="80"/>
      <c r="AS101" s="80"/>
      <c r="AT101" s="80" t="str">
        <f>IFERROR(__xludf.DUMMYFUNCTION("""COMPUTED_VALUE"""),"-69,330,094")</f>
        <v>-69,330,094</v>
      </c>
      <c r="AU101" s="80" t="str">
        <f>IFERROR(__xludf.DUMMYFUNCTION("""COMPUTED_VALUE"""),"1,076,403,204")</f>
        <v>1,076,403,204</v>
      </c>
      <c r="AV101" s="80"/>
      <c r="AW101" s="80"/>
      <c r="AX101" s="80"/>
      <c r="AY101" s="80"/>
      <c r="AZ101" s="80"/>
      <c r="BA101" s="80"/>
      <c r="BB101" s="80"/>
      <c r="BC101" s="80"/>
      <c r="BD101" s="80"/>
      <c r="BE101" s="80"/>
      <c r="BF101" s="80"/>
      <c r="BG101" s="80"/>
      <c r="BH101" s="80"/>
      <c r="BI101" s="80"/>
      <c r="BJ101" s="80"/>
      <c r="BK101" s="80"/>
      <c r="BL101" s="80"/>
      <c r="BM101" s="80"/>
      <c r="BN101" s="80"/>
      <c r="BO101" s="80"/>
      <c r="BP101" s="80"/>
      <c r="BQ101" s="80"/>
      <c r="BR101" s="80"/>
      <c r="BS101" s="80"/>
      <c r="BT101" s="80"/>
      <c r="BU101" s="80"/>
      <c r="BV101" s="80" t="str">
        <f>IFERROR(__xludf.DUMMYFUNCTION("""COMPUTED_VALUE"""),"Jl. Gatot Subroto No. 334 Rt 001 Rw 005 Kel. Kebonkangkung Kec. Kiaracondong 40284")</f>
        <v>Jl. Gatot Subroto No. 334 Rt 001 Rw 005 Kel. Kebonkangkung Kec. Kiaracondong 40284</v>
      </c>
      <c r="BW101" s="80"/>
      <c r="BX101" s="80"/>
      <c r="BY101" s="80"/>
      <c r="BZ101" s="80"/>
      <c r="CA101" s="80"/>
      <c r="CB101" s="80"/>
      <c r="CC101" s="80"/>
      <c r="CD101" s="80"/>
      <c r="CE101" s="80"/>
      <c r="CF101" s="80"/>
      <c r="CG101" s="80"/>
      <c r="CH101" s="80"/>
      <c r="CI101" s="80"/>
      <c r="CJ101" s="80"/>
      <c r="CK101" s="2"/>
    </row>
    <row r="102" ht="12.75" customHeight="1">
      <c r="A102" s="85">
        <f>IFERROR(__xludf.DUMMYFUNCTION("""COMPUTED_VALUE"""),99.0)</f>
        <v>99</v>
      </c>
      <c r="B102" s="85"/>
      <c r="C102" s="85" t="str">
        <f>IFERROR(__xludf.DUMMYFUNCTION("""COMPUTED_VALUE"""),"19 JUNI 2023")</f>
        <v>19 JUNI 2023</v>
      </c>
      <c r="D102" s="86"/>
      <c r="E102" s="88"/>
      <c r="F102" s="85"/>
      <c r="G102" s="86"/>
      <c r="H102" s="85"/>
      <c r="I102" s="85"/>
      <c r="J102" s="85"/>
      <c r="K102" s="85"/>
      <c r="L102" s="85"/>
      <c r="M102" s="85"/>
      <c r="N102" s="85"/>
      <c r="O102" s="85"/>
      <c r="P102" s="85" t="str">
        <f>IFERROR(__xludf.DUMMYFUNCTION("""COMPUTED_VALUE"""),"53BSPA16501JBCUM")</f>
        <v>53BSPA16501JBCUM</v>
      </c>
      <c r="Q102" s="85" t="str">
        <f>IFERROR(__xludf.DUMMYFUNCTION("""COMPUTED_VALUE"""),"Z.A.G")</f>
        <v>Z.A.G</v>
      </c>
      <c r="R102" s="85" t="str">
        <f>IFERROR(__xludf.DUMMYFUNCTION("""COMPUTED_VALUE"""),"Z.A.G")</f>
        <v>Z.A.G</v>
      </c>
      <c r="S102" s="85" t="str">
        <f>IFERROR(__xludf.DUMMYFUNCTION("""COMPUTED_VALUE"""),"Eka Susanto")</f>
        <v>Eka Susanto</v>
      </c>
      <c r="T102" s="85" t="str">
        <f>IFERROR(__xludf.DUMMYFUNCTION("""COMPUTED_VALUE"""),"SEKELOA GIRANG RT 002 RW 004 KEL. MARGAHAYU TENGAH KEC. TENGAH KAB. BANDUNG 40225")</f>
        <v>SEKELOA GIRANG RT 002 RW 004 KEL. MARGAHAYU TENGAH KEC. TENGAH KAB. BANDUNG 40225</v>
      </c>
      <c r="U102" s="85" t="str">
        <f>IFERROR(__xludf.DUMMYFUNCTION("""COMPUTED_VALUE"""),"SEKELOA GIRANG")</f>
        <v>SEKELOA GIRANG</v>
      </c>
      <c r="V102" s="85" t="str">
        <f>IFERROR(__xludf.DUMMYFUNCTION("""COMPUTED_VALUE"""),"002/004")</f>
        <v>002/004</v>
      </c>
      <c r="W102" s="85" t="str">
        <f>IFERROR(__xludf.DUMMYFUNCTION("""COMPUTED_VALUE"""),"MARGAHAYU TENGAH")</f>
        <v>MARGAHAYU TENGAH</v>
      </c>
      <c r="X102" s="85" t="str">
        <f>IFERROR(__xludf.DUMMYFUNCTION("""COMPUTED_VALUE"""),"MARGAHAYU")</f>
        <v>MARGAHAYU</v>
      </c>
      <c r="Y102" s="85" t="str">
        <f>IFERROR(__xludf.DUMMYFUNCTION("""COMPUTED_VALUE"""),"KAB. BANDUNG")</f>
        <v>KAB. BANDUNG</v>
      </c>
      <c r="Z102" s="85" t="str">
        <f>IFERROR(__xludf.DUMMYFUNCTION("""COMPUTED_VALUE"""),"JAWA BARAT")</f>
        <v>JAWA BARAT</v>
      </c>
      <c r="AA102" s="85" t="str">
        <f>IFERROR(__xludf.DUMMYFUNCTION("""COMPUTED_VALUE"""),"40225")</f>
        <v>40225</v>
      </c>
      <c r="AB102" s="85" t="str">
        <f>IFERROR(__xludf.DUMMYFUNCTION("""COMPUTED_VALUE""")," 3204090705830005")</f>
        <v> 3204090705830005</v>
      </c>
      <c r="AC102" s="85" t="str">
        <f>IFERROR(__xludf.DUMMYFUNCTION("""COMPUTED_VALUE"""),"722933025445000")</f>
        <v>722933025445000</v>
      </c>
      <c r="AD102" s="85" t="str">
        <f>IFERROR(__xludf.DUMMYFUNCTION("""COMPUTED_VALUE"""),"CUM - BSB - JABAR")</f>
        <v>CUM - BSB - JABAR</v>
      </c>
      <c r="AE102" s="85" t="str">
        <f>IFERROR(__xludf.DUMMYFUNCTION("""COMPUTED_VALUE"""),"SUB JAELANI POS")</f>
        <v>SUB JAELANI POS</v>
      </c>
      <c r="AF102" s="85" t="str">
        <f>IFERROR(__xludf.DUMMYFUNCTION("""COMPUTED_VALUE"""),"0895366663839")</f>
        <v>0895366663839</v>
      </c>
      <c r="AG102" s="85" t="str">
        <f>IFERROR(__xludf.DUMMYFUNCTION("""COMPUTED_VALUE"""),"0895366663839")</f>
        <v>0895366663839</v>
      </c>
      <c r="AH102" s="85" t="str">
        <f>IFERROR(__xludf.DUMMYFUNCTION("""COMPUTED_VALUE"""),"zagservicecellular@gmail.com")</f>
        <v>zagservicecellular@gmail.com</v>
      </c>
      <c r="AI102" s="85" t="str">
        <f>IFERROR(__xludf.DUMMYFUNCTION("""COMPUTED_VALUE"""),"40352S5")</f>
        <v>40352S5</v>
      </c>
      <c r="AJ102" s="85" t="str">
        <f>IFERROR(__xludf.DUMMYFUNCTION("""COMPUTED_VALUE"""),"64968edc5b81774f1805f804")</f>
        <v>64968edc5b81774f1805f804</v>
      </c>
      <c r="AK102" s="85" t="str">
        <f>IFERROR(__xludf.DUMMYFUNCTION("""COMPUTED_VALUE"""),"dm40352S5")</f>
        <v>dm40352S5</v>
      </c>
      <c r="AL102" s="85" t="str">
        <f>IFERROR(__xludf.DUMMYFUNCTION("""COMPUTED_VALUE"""),"password")</f>
        <v>password</v>
      </c>
      <c r="AM102" s="85"/>
      <c r="AN102" s="85" t="str">
        <f>IFERROR(__xludf.DUMMYFUNCTION("""COMPUTED_VALUE"""),"POS SUKAMENAK")</f>
        <v>POS SUKAMENAK</v>
      </c>
      <c r="AO102" s="85" t="str">
        <f>IFERROR(__xludf.DUMMYFUNCTION("""COMPUTED_VALUE"""),"0906230087896")</f>
        <v>0906230087896</v>
      </c>
      <c r="AP102" s="85" t="str">
        <f>IFERROR(__xludf.DUMMYFUNCTION("""COMPUTED_VALUE"""),"53202 ( AKTIFITAS AGEN KURIR )")</f>
        <v>53202 ( AKTIFITAS AGEN KURIR )</v>
      </c>
      <c r="AQ102" s="93"/>
      <c r="AR102" s="85"/>
      <c r="AS102" s="85"/>
      <c r="AT102" s="85" t="str">
        <f>IFERROR(__xludf.DUMMYFUNCTION("""COMPUTED_VALUE"""),"-69,625,191")</f>
        <v>-69,625,191</v>
      </c>
      <c r="AU102" s="85" t="str">
        <f>IFERROR(__xludf.DUMMYFUNCTION("""COMPUTED_VALUE"""),"1,075,670,732")</f>
        <v>1,075,670,732</v>
      </c>
      <c r="AV102" s="85" t="str">
        <f>IFERROR(__xludf.DUMMYFUNCTION("""COMPUTED_VALUE"""),"ADA")</f>
        <v>ADA</v>
      </c>
      <c r="AW102" s="85" t="str">
        <f>IFERROR(__xludf.DUMMYFUNCTION("""COMPUTED_VALUE"""),"ADA")</f>
        <v>ADA</v>
      </c>
      <c r="AX102" s="85"/>
      <c r="AY102" s="85"/>
      <c r="AZ102" s="85"/>
      <c r="BA102" s="85" t="str">
        <f>IFERROR(__xludf.DUMMYFUNCTION("""COMPUTED_VALUE"""),"ADA")</f>
        <v>ADA</v>
      </c>
      <c r="BB102" s="85" t="str">
        <f>IFERROR(__xludf.DUMMYFUNCTION("""COMPUTED_VALUE"""),"ADA")</f>
        <v>ADA</v>
      </c>
      <c r="BC102" s="85" t="str">
        <f>IFERROR(__xludf.DUMMYFUNCTION("""COMPUTED_VALUE"""),"ADA")</f>
        <v>ADA</v>
      </c>
      <c r="BD102" s="85" t="str">
        <f>IFERROR(__xludf.DUMMYFUNCTION("""COMPUTED_VALUE"""),"ADA")</f>
        <v>ADA</v>
      </c>
      <c r="BE102" s="85" t="str">
        <f>IFERROR(__xludf.DUMMYFUNCTION("""COMPUTED_VALUE"""),"ADA")</f>
        <v>ADA</v>
      </c>
      <c r="BF102" s="85" t="str">
        <f>IFERROR(__xludf.DUMMYFUNCTION("""COMPUTED_VALUE"""),"ADA")</f>
        <v>ADA</v>
      </c>
      <c r="BG102" s="85" t="str">
        <f>IFERROR(__xludf.DUMMYFUNCTION("""COMPUTED_VALUE"""),"ADA")</f>
        <v>ADA</v>
      </c>
      <c r="BH102" s="85" t="str">
        <f>IFERROR(__xludf.DUMMYFUNCTION("""COMPUTED_VALUE"""),"TINTA")</f>
        <v>TINTA</v>
      </c>
      <c r="BI102" s="85"/>
      <c r="BJ102" s="85" t="str">
        <f>IFERROR(__xludf.DUMMYFUNCTION("""COMPUTED_VALUE"""),"HVS")</f>
        <v>HVS</v>
      </c>
      <c r="BK102" s="85"/>
      <c r="BL102" s="85"/>
      <c r="BM102" s="85"/>
      <c r="BN102" s="85"/>
      <c r="BO102" s="85"/>
      <c r="BP102" s="85"/>
      <c r="BQ102" s="85"/>
      <c r="BR102" s="85"/>
      <c r="BS102" s="85"/>
      <c r="BT102" s="85"/>
      <c r="BU102" s="85"/>
      <c r="BV102" s="85" t="str">
        <f>IFERROR(__xludf.DUMMYFUNCTION("""COMPUTED_VALUE"""),"Sekeloa Girang Rt 002 Rw 004 Kel. Margahayu Tengah Kec. Tengah Kab. Bandung 40225")</f>
        <v>Sekeloa Girang Rt 002 Rw 004 Kel. Margahayu Tengah Kec. Tengah Kab. Bandung 40225</v>
      </c>
      <c r="BW102" s="85"/>
      <c r="BX102" s="85"/>
      <c r="BY102" s="85"/>
      <c r="BZ102" s="85"/>
      <c r="CA102" s="85"/>
      <c r="CB102" s="85"/>
      <c r="CC102" s="85"/>
      <c r="CD102" s="85"/>
      <c r="CE102" s="85"/>
      <c r="CF102" s="85"/>
      <c r="CG102" s="85"/>
      <c r="CH102" s="85"/>
      <c r="CI102" s="85"/>
      <c r="CJ102" s="85"/>
      <c r="CK102" s="2"/>
    </row>
    <row r="103" ht="12.75" customHeight="1">
      <c r="A103" s="80">
        <f>IFERROR(__xludf.DUMMYFUNCTION("""COMPUTED_VALUE"""),100.0)</f>
        <v>100</v>
      </c>
      <c r="B103" s="80"/>
      <c r="C103" s="80"/>
      <c r="D103" s="81"/>
      <c r="E103" s="82"/>
      <c r="F103" s="80"/>
      <c r="G103" s="81"/>
      <c r="H103" s="80"/>
      <c r="I103" s="80"/>
      <c r="J103" s="80"/>
      <c r="K103" s="80"/>
      <c r="L103" s="80"/>
      <c r="M103" s="80"/>
      <c r="N103" s="80"/>
      <c r="O103" s="80"/>
      <c r="P103" s="80" t="str">
        <f>IFERROR(__xludf.DUMMYFUNCTION("""COMPUTED_VALUE"""),"53BSPA16502JBCUM")</f>
        <v>53BSPA16502JBCUM</v>
      </c>
      <c r="Q103" s="80" t="str">
        <f>IFERROR(__xludf.DUMMYFUNCTION("""COMPUTED_VALUE"""),"TAKASIMURA")</f>
        <v>TAKASIMURA</v>
      </c>
      <c r="R103" s="80" t="str">
        <f>IFERROR(__xludf.DUMMYFUNCTION("""COMPUTED_VALUE"""),"TAKASIMURA")</f>
        <v>TAKASIMURA</v>
      </c>
      <c r="S103" s="80" t="str">
        <f>IFERROR(__xludf.DUMMYFUNCTION("""COMPUTED_VALUE"""),"Samsul Huda")</f>
        <v>Samsul Huda</v>
      </c>
      <c r="T103" s="80" t="str">
        <f>IFERROR(__xludf.DUMMYFUNCTION("""COMPUTED_VALUE"""),"GUNUNGJATI RT 004 RW 002 KEL. GUNUNGJATI KEC. BOJONG KAB. TEGAL 52645")</f>
        <v>GUNUNGJATI RT 004 RW 002 KEL. GUNUNGJATI KEC. BOJONG KAB. TEGAL 52645</v>
      </c>
      <c r="U103" s="80" t="str">
        <f>IFERROR(__xludf.DUMMYFUNCTION("""COMPUTED_VALUE"""),"GUNUNGJATI")</f>
        <v>GUNUNGJATI</v>
      </c>
      <c r="V103" s="80" t="str">
        <f>IFERROR(__xludf.DUMMYFUNCTION("""COMPUTED_VALUE"""),"004/002")</f>
        <v>004/002</v>
      </c>
      <c r="W103" s="80" t="str">
        <f>IFERROR(__xludf.DUMMYFUNCTION("""COMPUTED_VALUE"""),"GUNUNGJATI")</f>
        <v>GUNUNGJATI</v>
      </c>
      <c r="X103" s="80" t="str">
        <f>IFERROR(__xludf.DUMMYFUNCTION("""COMPUTED_VALUE"""),"BOJONG")</f>
        <v>BOJONG</v>
      </c>
      <c r="Y103" s="80" t="str">
        <f>IFERROR(__xludf.DUMMYFUNCTION("""COMPUTED_VALUE"""),"KAB. TEGAL")</f>
        <v>KAB. TEGAL</v>
      </c>
      <c r="Z103" s="80" t="str">
        <f>IFERROR(__xludf.DUMMYFUNCTION("""COMPUTED_VALUE"""),"JAWA TENGAH")</f>
        <v>JAWA TENGAH</v>
      </c>
      <c r="AA103" s="80" t="str">
        <f>IFERROR(__xludf.DUMMYFUNCTION("""COMPUTED_VALUE"""),"52645")</f>
        <v>52645</v>
      </c>
      <c r="AB103" s="80" t="str">
        <f>IFERROR(__xludf.DUMMYFUNCTION("""COMPUTED_VALUE"""),"3328032508770001")</f>
        <v>3328032508770001</v>
      </c>
      <c r="AC103" s="80"/>
      <c r="AD103" s="80" t="str">
        <f>IFERROR(__xludf.DUMMYFUNCTION("""COMPUTED_VALUE"""),"CUM - BSB - JABAR")</f>
        <v>CUM - BSB - JABAR</v>
      </c>
      <c r="AE103" s="80" t="str">
        <f>IFERROR(__xludf.DUMMYFUNCTION("""COMPUTED_VALUE"""),"SUB JAELANI POS")</f>
        <v>SUB JAELANI POS</v>
      </c>
      <c r="AF103" s="80" t="str">
        <f>IFERROR(__xludf.DUMMYFUNCTION("""COMPUTED_VALUE"""),"0838-2208-2213")</f>
        <v>0838-2208-2213</v>
      </c>
      <c r="AG103" s="80" t="str">
        <f>IFERROR(__xludf.DUMMYFUNCTION("""COMPUTED_VALUE"""),"0838-2208-2213")</f>
        <v>0838-2208-2213</v>
      </c>
      <c r="AH103" s="80" t="str">
        <f>IFERROR(__xludf.DUMMYFUNCTION("""COMPUTED_VALUE"""),"hudasamsul888@gmail.com")</f>
        <v>hudasamsul888@gmail.com</v>
      </c>
      <c r="AI103" s="80"/>
      <c r="AJ103" s="80"/>
      <c r="AK103" s="80"/>
      <c r="AL103" s="80"/>
      <c r="AM103" s="80" t="str">
        <f>IFERROR(__xludf.DUMMYFUNCTION("""COMPUTED_VALUE"""),"KANTOR REGIONAL IV SEMARANG 50004")</f>
        <v>KANTOR REGIONAL IV SEMARANG 50004</v>
      </c>
      <c r="AN103" s="80"/>
      <c r="AO103" s="80" t="str">
        <f>IFERROR(__xludf.DUMMYFUNCTION("""COMPUTED_VALUE"""),"0702230060276")</f>
        <v>0702230060276</v>
      </c>
      <c r="AP103" s="80" t="str">
        <f>IFERROR(__xludf.DUMMYFUNCTION("""COMPUTED_VALUE"""),"53202 ( AKTIFITAS AGEN KURIR )")</f>
        <v>53202 ( AKTIFITAS AGEN KURIR )</v>
      </c>
      <c r="AQ103" s="83"/>
      <c r="AR103" s="80"/>
      <c r="AS103" s="80"/>
      <c r="AT103" s="80" t="str">
        <f>IFERROR(__xludf.DUMMYFUNCTION("""COMPUTED_VALUE"""),"-7,126,934")</f>
        <v>-7,126,934</v>
      </c>
      <c r="AU103" s="80" t="str">
        <f>IFERROR(__xludf.DUMMYFUNCTION("""COMPUTED_VALUE"""),"109,188,196")</f>
        <v>109,188,196</v>
      </c>
      <c r="AV103" s="80"/>
      <c r="AW103" s="80"/>
      <c r="AX103" s="80"/>
      <c r="AY103" s="80"/>
      <c r="AZ103" s="80"/>
      <c r="BA103" s="80"/>
      <c r="BB103" s="80"/>
      <c r="BC103" s="80"/>
      <c r="BD103" s="80"/>
      <c r="BE103" s="80"/>
      <c r="BF103" s="80"/>
      <c r="BG103" s="80"/>
      <c r="BH103" s="80"/>
      <c r="BI103" s="80"/>
      <c r="BJ103" s="80"/>
      <c r="BK103" s="80"/>
      <c r="BL103" s="80"/>
      <c r="BM103" s="80"/>
      <c r="BN103" s="80"/>
      <c r="BO103" s="80"/>
      <c r="BP103" s="80"/>
      <c r="BQ103" s="80"/>
      <c r="BR103" s="80"/>
      <c r="BS103" s="80"/>
      <c r="BT103" s="80"/>
      <c r="BU103" s="80"/>
      <c r="BV103" s="80" t="str">
        <f>IFERROR(__xludf.DUMMYFUNCTION("""COMPUTED_VALUE"""),"Gunungjati Rt 004 Rw 002 Kel. Gunungjati Kec. Bojong Kab. Tegal 52645")</f>
        <v>Gunungjati Rt 004 Rw 002 Kel. Gunungjati Kec. Bojong Kab. Tegal 52645</v>
      </c>
      <c r="BW103" s="80"/>
      <c r="BX103" s="80"/>
      <c r="BY103" s="80"/>
      <c r="BZ103" s="80"/>
      <c r="CA103" s="80"/>
      <c r="CB103" s="80"/>
      <c r="CC103" s="80"/>
      <c r="CD103" s="80"/>
      <c r="CE103" s="80"/>
      <c r="CF103" s="80"/>
      <c r="CG103" s="80"/>
      <c r="CH103" s="80"/>
      <c r="CI103" s="80"/>
      <c r="CJ103" s="80"/>
      <c r="CK103" s="2"/>
    </row>
    <row r="104" ht="14.25" customHeight="1">
      <c r="A104" s="85">
        <f>IFERROR(__xludf.DUMMYFUNCTION("""COMPUTED_VALUE"""),101.0)</f>
        <v>101</v>
      </c>
      <c r="B104" s="85"/>
      <c r="C104" s="85" t="str">
        <f>IFERROR(__xludf.DUMMYFUNCTION("""COMPUTED_VALUE"""),"19 JUNI 2023")</f>
        <v>19 JUNI 2023</v>
      </c>
      <c r="D104" s="86"/>
      <c r="E104" s="88"/>
      <c r="F104" s="85"/>
      <c r="G104" s="86"/>
      <c r="H104" s="85"/>
      <c r="I104" s="85"/>
      <c r="J104" s="85"/>
      <c r="K104" s="85"/>
      <c r="L104" s="85"/>
      <c r="M104" s="85"/>
      <c r="N104" s="85"/>
      <c r="O104" s="85"/>
      <c r="P104" s="85" t="str">
        <f>IFERROR(__xludf.DUMMYFUNCTION("""COMPUTED_VALUE"""),"53BSPA29758JBHDT")</f>
        <v>53BSPA29758JBHDT</v>
      </c>
      <c r="Q104" s="85" t="str">
        <f>IFERROR(__xludf.DUMMYFUNCTION("""COMPUTED_VALUE"""),"LOKET ZAINAB")</f>
        <v>LOKET ZAINAB</v>
      </c>
      <c r="R104" s="85" t="str">
        <f>IFERROR(__xludf.DUMMYFUNCTION("""COMPUTED_VALUE"""),"LOKET ZAINAB")</f>
        <v>LOKET ZAINAB</v>
      </c>
      <c r="S104" s="85" t="str">
        <f>IFERROR(__xludf.DUMMYFUNCTION("""COMPUTED_VALUE"""),"Iwan Kurniawan")</f>
        <v>Iwan Kurniawan</v>
      </c>
      <c r="T104" s="85" t="str">
        <f>IFERROR(__xludf.DUMMYFUNCTION("""COMPUTED_VALUE"""),"SUKAMANTRI 2 NO. 222H RT 002 RW 002 KEL. SUKALUYU KEC. CIBEUNYING KALER 40123")</f>
        <v>SUKAMANTRI 2 NO. 222H RT 002 RW 002 KEL. SUKALUYU KEC. CIBEUNYING KALER 40123</v>
      </c>
      <c r="U104" s="85" t="str">
        <f>IFERROR(__xludf.DUMMYFUNCTION("""COMPUTED_VALUE"""),"SUKAMANTRI 2 NO. 222H")</f>
        <v>SUKAMANTRI 2 NO. 222H</v>
      </c>
      <c r="V104" s="85" t="str">
        <f>IFERROR(__xludf.DUMMYFUNCTION("""COMPUTED_VALUE"""),"002/002")</f>
        <v>002/002</v>
      </c>
      <c r="W104" s="85" t="str">
        <f>IFERROR(__xludf.DUMMYFUNCTION("""COMPUTED_VALUE"""),"SUKALUYU")</f>
        <v>SUKALUYU</v>
      </c>
      <c r="X104" s="85" t="str">
        <f>IFERROR(__xludf.DUMMYFUNCTION("""COMPUTED_VALUE"""),"CIBEUNYING KALER")</f>
        <v>CIBEUNYING KALER</v>
      </c>
      <c r="Y104" s="85" t="str">
        <f>IFERROR(__xludf.DUMMYFUNCTION("""COMPUTED_VALUE"""),"KOTA BANDUNG")</f>
        <v>KOTA BANDUNG</v>
      </c>
      <c r="Z104" s="85" t="str">
        <f>IFERROR(__xludf.DUMMYFUNCTION("""COMPUTED_VALUE"""),"JAWA BARAT")</f>
        <v>JAWA BARAT</v>
      </c>
      <c r="AA104" s="85" t="str">
        <f>IFERROR(__xludf.DUMMYFUNCTION("""COMPUTED_VALUE"""),"40123")</f>
        <v>40123</v>
      </c>
      <c r="AB104" s="85" t="str">
        <f>IFERROR(__xludf.DUMMYFUNCTION("""COMPUTED_VALUE"""),"3206242406780001")</f>
        <v>3206242406780001</v>
      </c>
      <c r="AC104" s="85" t="str">
        <f>IFERROR(__xludf.DUMMYFUNCTION("""COMPUTED_VALUE"""),"84.924.763.0-423.000")</f>
        <v>84.924.763.0-423.000</v>
      </c>
      <c r="AD104" s="85" t="str">
        <f>IFERROR(__xludf.DUMMYFUNCTION("""COMPUTED_VALUE"""),"CUM - NOV")</f>
        <v>CUM - NOV</v>
      </c>
      <c r="AE104" s="85" t="str">
        <f>IFERROR(__xludf.DUMMYFUNCTION("""COMPUTED_VALUE"""),"SUB NOVI")</f>
        <v>SUB NOVI</v>
      </c>
      <c r="AF104" s="85" t="str">
        <f>IFERROR(__xludf.DUMMYFUNCTION("""COMPUTED_VALUE"""),"0895355524501")</f>
        <v>0895355524501</v>
      </c>
      <c r="AG104" s="85" t="str">
        <f>IFERROR(__xludf.DUMMYFUNCTION("""COMPUTED_VALUE"""),"0895355524501")</f>
        <v>0895355524501</v>
      </c>
      <c r="AH104" s="85" t="str">
        <f>IFERROR(__xludf.DUMMYFUNCTION("""COMPUTED_VALUE"""),"iwankurn220@gmail.com")</f>
        <v>iwankurn220@gmail.com</v>
      </c>
      <c r="AI104" s="85" t="str">
        <f>IFERROR(__xludf.DUMMYFUNCTION("""COMPUTED_VALUE"""),"40123S5")</f>
        <v>40123S5</v>
      </c>
      <c r="AJ104" s="85" t="str">
        <f>IFERROR(__xludf.DUMMYFUNCTION("""COMPUTED_VALUE"""),"64969285689aec400b045008")</f>
        <v>64969285689aec400b045008</v>
      </c>
      <c r="AK104" s="85" t="str">
        <f>IFERROR(__xludf.DUMMYFUNCTION("""COMPUTED_VALUE"""),"dm40123S5")</f>
        <v>dm40123S5</v>
      </c>
      <c r="AL104" s="85" t="str">
        <f>IFERROR(__xludf.DUMMYFUNCTION("""COMPUTED_VALUE"""),"password")</f>
        <v>password</v>
      </c>
      <c r="AM104" s="85"/>
      <c r="AN104" s="85" t="str">
        <f>IFERROR(__xludf.DUMMYFUNCTION("""COMPUTED_VALUE"""),"POS PAHLAWAN")</f>
        <v>POS PAHLAWAN</v>
      </c>
      <c r="AO104" s="85" t="str">
        <f>IFERROR(__xludf.DUMMYFUNCTION("""COMPUTED_VALUE"""),"2909220083062")</f>
        <v>2909220083062</v>
      </c>
      <c r="AP104" s="85" t="str">
        <f>IFERROR(__xludf.DUMMYFUNCTION("""COMPUTED_VALUE"""),"53202 ( AKTIFITAS AGEN KURIR )")</f>
        <v>53202 ( AKTIFITAS AGEN KURIR )</v>
      </c>
      <c r="AQ104" s="93"/>
      <c r="AR104" s="85"/>
      <c r="AS104" s="85"/>
      <c r="AT104" s="85" t="str">
        <f>IFERROR(__xludf.DUMMYFUNCTION("""COMPUTED_VALUE"""),"-68,975,746")</f>
        <v>-68,975,746</v>
      </c>
      <c r="AU104" s="85" t="str">
        <f>IFERROR(__xludf.DUMMYFUNCTION("""COMPUTED_VALUE"""),"1,076,242,893")</f>
        <v>1,076,242,893</v>
      </c>
      <c r="AV104" s="85" t="str">
        <f>IFERROR(__xludf.DUMMYFUNCTION("""COMPUTED_VALUE"""),"ADA")</f>
        <v>ADA</v>
      </c>
      <c r="AW104" s="85" t="str">
        <f>IFERROR(__xludf.DUMMYFUNCTION("""COMPUTED_VALUE"""),"ADA")</f>
        <v>ADA</v>
      </c>
      <c r="AX104" s="85"/>
      <c r="AY104" s="85"/>
      <c r="AZ104" s="85"/>
      <c r="BA104" s="85" t="str">
        <f>IFERROR(__xludf.DUMMYFUNCTION("""COMPUTED_VALUE"""),"ADA")</f>
        <v>ADA</v>
      </c>
      <c r="BB104" s="85" t="str">
        <f>IFERROR(__xludf.DUMMYFUNCTION("""COMPUTED_VALUE"""),"ADA")</f>
        <v>ADA</v>
      </c>
      <c r="BC104" s="85" t="str">
        <f>IFERROR(__xludf.DUMMYFUNCTION("""COMPUTED_VALUE"""),"ADA")</f>
        <v>ADA</v>
      </c>
      <c r="BD104" s="85" t="str">
        <f>IFERROR(__xludf.DUMMYFUNCTION("""COMPUTED_VALUE"""),"ADA")</f>
        <v>ADA</v>
      </c>
      <c r="BE104" s="85" t="str">
        <f>IFERROR(__xludf.DUMMYFUNCTION("""COMPUTED_VALUE"""),"ADA")</f>
        <v>ADA</v>
      </c>
      <c r="BF104" s="85" t="str">
        <f>IFERROR(__xludf.DUMMYFUNCTION("""COMPUTED_VALUE"""),"ADA")</f>
        <v>ADA</v>
      </c>
      <c r="BG104" s="85" t="str">
        <f>IFERROR(__xludf.DUMMYFUNCTION("""COMPUTED_VALUE"""),"ADA")</f>
        <v>ADA</v>
      </c>
      <c r="BH104" s="85" t="str">
        <f>IFERROR(__xludf.DUMMYFUNCTION("""COMPUTED_VALUE"""),"TINTA")</f>
        <v>TINTA</v>
      </c>
      <c r="BI104" s="85" t="str">
        <f>IFERROR(__xludf.DUMMYFUNCTION("""COMPUTED_VALUE"""),"ADA")</f>
        <v>ADA</v>
      </c>
      <c r="BJ104" s="85" t="str">
        <f>IFERROR(__xludf.DUMMYFUNCTION("""COMPUTED_VALUE"""),"HVS")</f>
        <v>HVS</v>
      </c>
      <c r="BK104" s="85"/>
      <c r="BL104" s="85"/>
      <c r="BM104" s="85"/>
      <c r="BN104" s="85"/>
      <c r="BO104" s="85"/>
      <c r="BP104" s="85"/>
      <c r="BQ104" s="85"/>
      <c r="BR104" s="85"/>
      <c r="BS104" s="85"/>
      <c r="BT104" s="85"/>
      <c r="BU104" s="85"/>
      <c r="BV104" s="85" t="str">
        <f>IFERROR(__xludf.DUMMYFUNCTION("""COMPUTED_VALUE"""),"Sukamantri 2 No. 222H Rt 002 Rw 002 Kel. Sukaluyu Kec. Cibeunying Kaler 40123")</f>
        <v>Sukamantri 2 No. 222H Rt 002 Rw 002 Kel. Sukaluyu Kec. Cibeunying Kaler 40123</v>
      </c>
      <c r="BW104" s="85"/>
      <c r="BX104" s="85"/>
      <c r="BY104" s="85"/>
      <c r="BZ104" s="85"/>
      <c r="CA104" s="85"/>
      <c r="CB104" s="85"/>
      <c r="CC104" s="85"/>
      <c r="CD104" s="85"/>
      <c r="CE104" s="85"/>
      <c r="CF104" s="85"/>
      <c r="CG104" s="85"/>
      <c r="CH104" s="85"/>
      <c r="CI104" s="85"/>
      <c r="CJ104" s="85"/>
      <c r="CK104" s="2"/>
    </row>
    <row r="105" ht="12.75" customHeight="1">
      <c r="A105" s="80">
        <f>IFERROR(__xludf.DUMMYFUNCTION("""COMPUTED_VALUE"""),102.0)</f>
        <v>102</v>
      </c>
      <c r="B105" s="80"/>
      <c r="C105" s="80"/>
      <c r="D105" s="81"/>
      <c r="E105" s="82"/>
      <c r="F105" s="80"/>
      <c r="G105" s="81"/>
      <c r="H105" s="80" t="str">
        <f>IFERROR(__xludf.DUMMYFUNCTION("""COMPUTED_VALUE"""),"14 JUNI 2023")</f>
        <v>14 JUNI 2023</v>
      </c>
      <c r="I105" s="80" t="str">
        <f>IFERROR(__xludf.DUMMYFUNCTION("""COMPUTED_VALUE"""),"14 JUNI 2023")</f>
        <v>14 JUNI 2023</v>
      </c>
      <c r="J105" s="80" t="str">
        <f>IFERROR(__xludf.DUMMYFUNCTION("""COMPUTED_VALUE"""),"14 JUNI 2023")</f>
        <v>14 JUNI 2023</v>
      </c>
      <c r="K105" s="80"/>
      <c r="L105" s="80"/>
      <c r="M105" s="80"/>
      <c r="N105" s="80"/>
      <c r="O105" s="80"/>
      <c r="P105" s="80" t="str">
        <f>IFERROR(__xludf.DUMMYFUNCTION("""COMPUTED_VALUE"""),"53BSPA16724JBJAY")</f>
        <v>53BSPA16724JBJAY</v>
      </c>
      <c r="Q105" s="80" t="str">
        <f>IFERROR(__xludf.DUMMYFUNCTION("""COMPUTED_VALUE"""),"LOKET OSHIN")</f>
        <v>LOKET OSHIN</v>
      </c>
      <c r="R105" s="80" t="str">
        <f>IFERROR(__xludf.DUMMYFUNCTION("""COMPUTED_VALUE"""),"TOKO OSHIN")</f>
        <v>TOKO OSHIN</v>
      </c>
      <c r="S105" s="80" t="str">
        <f>IFERROR(__xludf.DUMMYFUNCTION("""COMPUTED_VALUE"""),"Endang Mulyadi")</f>
        <v>Endang Mulyadi</v>
      </c>
      <c r="T105" s="80" t="str">
        <f>IFERROR(__xludf.DUMMYFUNCTION("""COMPUTED_VALUE"""),"Jl. Cipta Karya 1 No.26, RT.03/RW.04, Mekarjaya, Kec. Rancasari, Kota Bandung, Jawa Barat 40292")</f>
        <v>Jl. Cipta Karya 1 No.26, RT.03/RW.04, Mekarjaya, Kec. Rancasari, Kota Bandung, Jawa Barat 40292</v>
      </c>
      <c r="U105" s="80" t="str">
        <f>IFERROR(__xludf.DUMMYFUNCTION("""COMPUTED_VALUE"""),"JL. CIPTA KARYA 1 NO. 26")</f>
        <v>JL. CIPTA KARYA 1 NO. 26</v>
      </c>
      <c r="V105" s="80" t="str">
        <f>IFERROR(__xludf.DUMMYFUNCTION("""COMPUTED_VALUE"""),"003/004")</f>
        <v>003/004</v>
      </c>
      <c r="W105" s="80" t="str">
        <f>IFERROR(__xludf.DUMMYFUNCTION("""COMPUTED_VALUE"""),"MEKARJAYA")</f>
        <v>MEKARJAYA</v>
      </c>
      <c r="X105" s="80" t="str">
        <f>IFERROR(__xludf.DUMMYFUNCTION("""COMPUTED_VALUE"""),"RANCASARI")</f>
        <v>RANCASARI</v>
      </c>
      <c r="Y105" s="80" t="str">
        <f>IFERROR(__xludf.DUMMYFUNCTION("""COMPUTED_VALUE"""),"KOTA BANDUNG")</f>
        <v>KOTA BANDUNG</v>
      </c>
      <c r="Z105" s="80" t="str">
        <f>IFERROR(__xludf.DUMMYFUNCTION("""COMPUTED_VALUE"""),"JAWA BARAT")</f>
        <v>JAWA BARAT</v>
      </c>
      <c r="AA105" s="80" t="str">
        <f>IFERROR(__xludf.DUMMYFUNCTION("""COMPUTED_VALUE"""),"40292")</f>
        <v>40292</v>
      </c>
      <c r="AB105" s="80"/>
      <c r="AC105" s="80"/>
      <c r="AD105" s="80" t="str">
        <f>IFERROR(__xludf.DUMMYFUNCTION("""COMPUTED_VALUE"""),"CUM - BSB - JABAR")</f>
        <v>CUM - BSB - JABAR</v>
      </c>
      <c r="AE105" s="80" t="str">
        <f>IFERROR(__xludf.DUMMYFUNCTION("""COMPUTED_VALUE"""),"SUB JAELANI POS")</f>
        <v>SUB JAELANI POS</v>
      </c>
      <c r="AF105" s="80"/>
      <c r="AG105" s="80"/>
      <c r="AH105" s="80"/>
      <c r="AI105" s="80"/>
      <c r="AJ105" s="80"/>
      <c r="AK105" s="80"/>
      <c r="AL105" s="80"/>
      <c r="AM105" s="80"/>
      <c r="AN105" s="80"/>
      <c r="AO105" s="80"/>
      <c r="AP105" s="80"/>
      <c r="AQ105" s="83"/>
      <c r="AR105" s="80"/>
      <c r="AS105" s="80"/>
      <c r="AT105" s="80"/>
      <c r="AU105" s="80"/>
      <c r="AV105" s="80"/>
      <c r="AW105" s="80"/>
      <c r="AX105" s="80"/>
      <c r="AY105" s="80"/>
      <c r="AZ105" s="80"/>
      <c r="BA105" s="80"/>
      <c r="BB105" s="80"/>
      <c r="BC105" s="80"/>
      <c r="BD105" s="80"/>
      <c r="BE105" s="80"/>
      <c r="BF105" s="80"/>
      <c r="BG105" s="80"/>
      <c r="BH105" s="80"/>
      <c r="BI105" s="80"/>
      <c r="BJ105" s="80"/>
      <c r="BK105" s="80"/>
      <c r="BL105" s="80"/>
      <c r="BM105" s="80"/>
      <c r="BN105" s="80"/>
      <c r="BO105" s="80"/>
      <c r="BP105" s="80"/>
      <c r="BQ105" s="80"/>
      <c r="BR105" s="80"/>
      <c r="BS105" s="80"/>
      <c r="BT105" s="80"/>
      <c r="BU105" s="80"/>
      <c r="BV105" s="80" t="str">
        <f>IFERROR(__xludf.DUMMYFUNCTION("""COMPUTED_VALUE"""),"Jl. Cipta Karya 1 No.26, Rt.03/Rw.04, Mekarjaya, Kec. Rancasari, Kota Bandung, Jawa Barat 40292")</f>
        <v>Jl. Cipta Karya 1 No.26, Rt.03/Rw.04, Mekarjaya, Kec. Rancasari, Kota Bandung, Jawa Barat 40292</v>
      </c>
      <c r="BW105" s="80"/>
      <c r="BX105" s="80"/>
      <c r="BY105" s="80"/>
      <c r="BZ105" s="80"/>
      <c r="CA105" s="80"/>
      <c r="CB105" s="80"/>
      <c r="CC105" s="80"/>
      <c r="CD105" s="80"/>
      <c r="CE105" s="80"/>
      <c r="CF105" s="80"/>
      <c r="CG105" s="80"/>
      <c r="CH105" s="80"/>
      <c r="CI105" s="80"/>
      <c r="CJ105" s="80"/>
      <c r="CK105" s="2"/>
    </row>
    <row r="106" ht="12.75" customHeight="1">
      <c r="A106" s="85">
        <f>IFERROR(__xludf.DUMMYFUNCTION("""COMPUTED_VALUE"""),103.0)</f>
        <v>103</v>
      </c>
      <c r="B106" s="85"/>
      <c r="C106" s="85"/>
      <c r="D106" s="86"/>
      <c r="E106" s="88"/>
      <c r="F106" s="85"/>
      <c r="G106" s="86"/>
      <c r="H106" s="85" t="str">
        <f>IFERROR(__xludf.DUMMYFUNCTION("""COMPUTED_VALUE"""),"16 JUNI 2023")</f>
        <v>16 JUNI 2023</v>
      </c>
      <c r="I106" s="85" t="str">
        <f>IFERROR(__xludf.DUMMYFUNCTION("""COMPUTED_VALUE"""),"16 JUNI 2023")</f>
        <v>16 JUNI 2023</v>
      </c>
      <c r="J106" s="85" t="str">
        <f>IFERROR(__xludf.DUMMYFUNCTION("""COMPUTED_VALUE"""),"16 JUNI 2023")</f>
        <v>16 JUNI 2023</v>
      </c>
      <c r="K106" s="85"/>
      <c r="L106" s="85"/>
      <c r="M106" s="85" t="str">
        <f>IFERROR(__xludf.DUMMYFUNCTION("""COMPUTED_VALUE"""),"√")</f>
        <v>√</v>
      </c>
      <c r="N106" s="85"/>
      <c r="O106" s="85"/>
      <c r="P106" s="85" t="str">
        <f>IFERROR(__xludf.DUMMYFUNCTION("""COMPUTED_VALUE"""),"53BSPA16725JBJAY")</f>
        <v>53BSPA16725JBJAY</v>
      </c>
      <c r="Q106" s="85" t="str">
        <f>IFERROR(__xludf.DUMMYFUNCTION("""COMPUTED_VALUE"""),"MAHKOTA")</f>
        <v>MAHKOTA</v>
      </c>
      <c r="R106" s="85" t="str">
        <f>IFERROR(__xludf.DUMMYFUNCTION("""COMPUTED_VALUE"""),"Mahkota ")</f>
        <v>Mahkota </v>
      </c>
      <c r="S106" s="85" t="str">
        <f>IFERROR(__xludf.DUMMYFUNCTION("""COMPUTED_VALUE"""),"Tjetjep Atang Hermawan")</f>
        <v>Tjetjep Atang Hermawan</v>
      </c>
      <c r="T106" s="85" t="str">
        <f>IFERROR(__xludf.DUMMYFUNCTION("""COMPUTED_VALUE"""),"Sekemirung Kaler I NO 13A RT 001 RW 009 KEL. CIGADUNG KEC. CIBEUNYING KALER 40191")</f>
        <v>Sekemirung Kaler I NO 13A RT 001 RW 009 KEL. CIGADUNG KEC. CIBEUNYING KALER 40191</v>
      </c>
      <c r="U106" s="85" t="str">
        <f>IFERROR(__xludf.DUMMYFUNCTION("""COMPUTED_VALUE"""),"Sekemirung Kaler I NO 13A ")</f>
        <v>Sekemirung Kaler I NO 13A </v>
      </c>
      <c r="V106" s="85" t="str">
        <f>IFERROR(__xludf.DUMMYFUNCTION("""COMPUTED_VALUE"""),"001/009")</f>
        <v>001/009</v>
      </c>
      <c r="W106" s="85" t="str">
        <f>IFERROR(__xludf.DUMMYFUNCTION("""COMPUTED_VALUE"""),"CIGADUNG")</f>
        <v>CIGADUNG</v>
      </c>
      <c r="X106" s="85" t="str">
        <f>IFERROR(__xludf.DUMMYFUNCTION("""COMPUTED_VALUE"""),"CIBEUNYING KALER")</f>
        <v>CIBEUNYING KALER</v>
      </c>
      <c r="Y106" s="85" t="str">
        <f>IFERROR(__xludf.DUMMYFUNCTION("""COMPUTED_VALUE"""),"KOTA BANDUNG")</f>
        <v>KOTA BANDUNG</v>
      </c>
      <c r="Z106" s="85" t="str">
        <f>IFERROR(__xludf.DUMMYFUNCTION("""COMPUTED_VALUE"""),"JAWA BARAT")</f>
        <v>JAWA BARAT</v>
      </c>
      <c r="AA106" s="85" t="str">
        <f>IFERROR(__xludf.DUMMYFUNCTION("""COMPUTED_VALUE"""),"40191")</f>
        <v>40191</v>
      </c>
      <c r="AB106" s="85" t="str">
        <f>IFERROR(__xludf.DUMMYFUNCTION("""COMPUTED_VALUE"""),"'3273181901590003")</f>
        <v>'3273181901590003</v>
      </c>
      <c r="AC106" s="85" t="str">
        <f>IFERROR(__xludf.DUMMYFUNCTION("""COMPUTED_VALUE"""),"36.395.551.9-423.000")</f>
        <v>36.395.551.9-423.000</v>
      </c>
      <c r="AD106" s="85" t="str">
        <f>IFERROR(__xludf.DUMMYFUNCTION("""COMPUTED_VALUE"""),"CUM - BSB - JABAR")</f>
        <v>CUM - BSB - JABAR</v>
      </c>
      <c r="AE106" s="85" t="str">
        <f>IFERROR(__xludf.DUMMYFUNCTION("""COMPUTED_VALUE"""),"SUB JAELANI POS")</f>
        <v>SUB JAELANI POS</v>
      </c>
      <c r="AF106" s="85" t="str">
        <f>IFERROR(__xludf.DUMMYFUNCTION("""COMPUTED_VALUE"""),"0812-1496-2226")</f>
        <v>0812-1496-2226</v>
      </c>
      <c r="AG106" s="85" t="str">
        <f>IFERROR(__xludf.DUMMYFUNCTION("""COMPUTED_VALUE"""),"0812-1496-2226")</f>
        <v>0812-1496-2226</v>
      </c>
      <c r="AH106" s="85" t="str">
        <f>IFERROR(__xludf.DUMMYFUNCTION("""COMPUTED_VALUE"""),"karyasadarcv@gmail.com")</f>
        <v>karyasadarcv@gmail.com</v>
      </c>
      <c r="AI106" s="85" t="str">
        <f>IFERROR(__xludf.DUMMYFUNCTION("""COMPUTED_VALUE"""),"40123S6")</f>
        <v>40123S6</v>
      </c>
      <c r="AJ106" s="85" t="str">
        <f>IFERROR(__xludf.DUMMYFUNCTION("""COMPUTED_VALUE"""),"659f65fb4fd6b8c1e00c4a91")</f>
        <v>659f65fb4fd6b8c1e00c4a91</v>
      </c>
      <c r="AK106" s="85" t="str">
        <f>IFERROR(__xludf.DUMMYFUNCTION("""COMPUTED_VALUE"""),"dm40123s6")</f>
        <v>dm40123s6</v>
      </c>
      <c r="AL106" s="85" t="str">
        <f>IFERROR(__xludf.DUMMYFUNCTION("""COMPUTED_VALUE"""),"Hkota!32104")</f>
        <v>Hkota!32104</v>
      </c>
      <c r="AM106" s="85" t="str">
        <f>IFERROR(__xludf.DUMMYFUNCTION("""COMPUTED_VALUE"""),"KANTOR REGIONAL III BANDUNG 40004")</f>
        <v>KANTOR REGIONAL III BANDUNG 40004</v>
      </c>
      <c r="AN106" s="85" t="str">
        <f>IFERROR(__xludf.DUMMYFUNCTION("""COMPUTED_VALUE"""),"SPP BANDUNG 40400")</f>
        <v>SPP BANDUNG 40400</v>
      </c>
      <c r="AO106" s="85" t="str">
        <f>IFERROR(__xludf.DUMMYFUNCTION("""COMPUTED_VALUE"""),"0301240043396")</f>
        <v>0301240043396</v>
      </c>
      <c r="AP106" s="85" t="str">
        <f>IFERROR(__xludf.DUMMYFUNCTION("""COMPUTED_VALUE"""),"53202 ( AKTIFITAS AGEN KURIR )")</f>
        <v>53202 ( AKTIFITAS AGEN KURIR )</v>
      </c>
      <c r="AQ106" s="93"/>
      <c r="AR106" s="85"/>
      <c r="AS106" s="85"/>
      <c r="AT106" s="85" t="str">
        <f>IFERROR(__xludf.DUMMYFUNCTION("""COMPUTED_VALUE"""),"-6.8859757")</f>
        <v>-6.8859757</v>
      </c>
      <c r="AU106" s="85" t="str">
        <f>IFERROR(__xludf.DUMMYFUNCTION("""COMPUTED_VALUE"""),"107.6272496")</f>
        <v>107.6272496</v>
      </c>
      <c r="AV106" s="85" t="str">
        <f>IFERROR(__xludf.DUMMYFUNCTION("""COMPUTED_VALUE"""),"ADA")</f>
        <v>ADA</v>
      </c>
      <c r="AW106" s="85" t="str">
        <f>IFERROR(__xludf.DUMMYFUNCTION("""COMPUTED_VALUE"""),"ADA")</f>
        <v>ADA</v>
      </c>
      <c r="AX106" s="85"/>
      <c r="AY106" s="85"/>
      <c r="AZ106" s="85"/>
      <c r="BA106" s="85" t="str">
        <f>IFERROR(__xludf.DUMMYFUNCTION("""COMPUTED_VALUE"""),"ADA")</f>
        <v>ADA</v>
      </c>
      <c r="BB106" s="85" t="str">
        <f>IFERROR(__xludf.DUMMYFUNCTION("""COMPUTED_VALUE"""),"ADA")</f>
        <v>ADA</v>
      </c>
      <c r="BC106" s="85" t="str">
        <f>IFERROR(__xludf.DUMMYFUNCTION("""COMPUTED_VALUE"""),"ADA")</f>
        <v>ADA</v>
      </c>
      <c r="BD106" s="85" t="str">
        <f>IFERROR(__xludf.DUMMYFUNCTION("""COMPUTED_VALUE"""),"ADA")</f>
        <v>ADA</v>
      </c>
      <c r="BE106" s="85" t="str">
        <f>IFERROR(__xludf.DUMMYFUNCTION("""COMPUTED_VALUE"""),"ADA")</f>
        <v>ADA</v>
      </c>
      <c r="BF106" s="85" t="str">
        <f>IFERROR(__xludf.DUMMYFUNCTION("""COMPUTED_VALUE"""),"ADA")</f>
        <v>ADA</v>
      </c>
      <c r="BG106" s="85" t="str">
        <f>IFERROR(__xludf.DUMMYFUNCTION("""COMPUTED_VALUE"""),"ADA")</f>
        <v>ADA</v>
      </c>
      <c r="BH106" s="85"/>
      <c r="BI106" s="85"/>
      <c r="BJ106" s="85"/>
      <c r="BK106" s="85"/>
      <c r="BL106" s="85"/>
      <c r="BM106" s="85"/>
      <c r="BN106" s="85"/>
      <c r="BO106" s="85"/>
      <c r="BP106" s="85"/>
      <c r="BQ106" s="85"/>
      <c r="BR106" s="85"/>
      <c r="BS106" s="85"/>
      <c r="BT106" s="85"/>
      <c r="BU106" s="85"/>
      <c r="BV106" s="85" t="str">
        <f>IFERROR(__xludf.DUMMYFUNCTION("""COMPUTED_VALUE"""),"Sekemirung Kaler I No 13A Rt 001 Rw 009 Kel. Cigadung Kec. Cibeunying Kaler 40191")</f>
        <v>Sekemirung Kaler I No 13A Rt 001 Rw 009 Kel. Cigadung Kec. Cibeunying Kaler 40191</v>
      </c>
      <c r="BW106" s="85"/>
      <c r="BX106" s="85"/>
      <c r="BY106" s="85"/>
      <c r="BZ106" s="85"/>
      <c r="CA106" s="85"/>
      <c r="CB106" s="85"/>
      <c r="CC106" s="85"/>
      <c r="CD106" s="85"/>
      <c r="CE106" s="85"/>
      <c r="CF106" s="85"/>
      <c r="CG106" s="85"/>
      <c r="CH106" s="85"/>
      <c r="CI106" s="85"/>
      <c r="CJ106" s="85"/>
      <c r="CK106" s="2"/>
    </row>
    <row r="107" ht="12.75" customHeight="1">
      <c r="A107" s="80">
        <f>IFERROR(__xludf.DUMMYFUNCTION("""COMPUTED_VALUE"""),104.0)</f>
        <v>104</v>
      </c>
      <c r="B107" s="80" t="str">
        <f>IFERROR(__xludf.DUMMYFUNCTION("""COMPUTED_VALUE"""),"20 JUNI 2023")</f>
        <v>20 JUNI 2023</v>
      </c>
      <c r="C107" s="80"/>
      <c r="D107" s="81"/>
      <c r="E107" s="82"/>
      <c r="F107" s="80" t="str">
        <f>IFERROR(__xludf.DUMMYFUNCTION("""COMPUTED_VALUE"""),"20 JUNI 2023")</f>
        <v>20 JUNI 2023</v>
      </c>
      <c r="G107" s="81"/>
      <c r="H107" s="80" t="str">
        <f>IFERROR(__xludf.DUMMYFUNCTION("""COMPUTED_VALUE"""),"20 JUNI 2023")</f>
        <v>20 JUNI 2023</v>
      </c>
      <c r="I107" s="80" t="str">
        <f>IFERROR(__xludf.DUMMYFUNCTION("""COMPUTED_VALUE"""),"20 JUNI 2023")</f>
        <v>20 JUNI 2023</v>
      </c>
      <c r="J107" s="80" t="str">
        <f>IFERROR(__xludf.DUMMYFUNCTION("""COMPUTED_VALUE"""),"27 JUNI 2023")</f>
        <v>27 JUNI 2023</v>
      </c>
      <c r="K107" s="80"/>
      <c r="L107" s="80"/>
      <c r="M107" s="80"/>
      <c r="N107" s="80"/>
      <c r="O107" s="80" t="str">
        <f>IFERROR(__xludf.DUMMYFUNCTION("""COMPUTED_VALUE"""),"√")</f>
        <v>√</v>
      </c>
      <c r="P107" s="80" t="str">
        <f>IFERROR(__xludf.DUMMYFUNCTION("""COMPUTED_VALUE"""),"53BSPA16726JBJAY")</f>
        <v>53BSPA16726JBJAY</v>
      </c>
      <c r="Q107" s="80" t="str">
        <f>IFERROR(__xludf.DUMMYFUNCTION("""COMPUTED_VALUE"""),"SICEPAT LEUWISARI")</f>
        <v>SICEPAT LEUWISARI</v>
      </c>
      <c r="R107" s="80" t="str">
        <f>IFERROR(__xludf.DUMMYFUNCTION("""COMPUTED_VALUE"""),"SICEPAT LEUWISARI")</f>
        <v>SICEPAT LEUWISARI</v>
      </c>
      <c r="S107" s="80" t="str">
        <f>IFERROR(__xludf.DUMMYFUNCTION("""COMPUTED_VALUE"""),"Fajar Bagus Nurhanif")</f>
        <v>Fajar Bagus Nurhanif</v>
      </c>
      <c r="T107" s="80" t="str">
        <f>IFERROR(__xludf.DUMMYFUNCTION("""COMPUTED_VALUE"""),"JL. LEUWISARI RAYA NO. 21 RT 002 RW 008 KEL. KEBONLEGA KEC. BOJONGLOA KIDUL BANDUNG 40235")</f>
        <v>JL. LEUWISARI RAYA NO. 21 RT 002 RW 008 KEL. KEBONLEGA KEC. BOJONGLOA KIDUL BANDUNG 40235</v>
      </c>
      <c r="U107" s="80" t="str">
        <f>IFERROR(__xludf.DUMMYFUNCTION("""COMPUTED_VALUE"""),"JL. LEUWISARI RAYA NO. 21 RT 002 RW 008")</f>
        <v>JL. LEUWISARI RAYA NO. 21 RT 002 RW 008</v>
      </c>
      <c r="V107" s="80" t="str">
        <f>IFERROR(__xludf.DUMMYFUNCTION("""COMPUTED_VALUE"""),"002/008")</f>
        <v>002/008</v>
      </c>
      <c r="W107" s="80" t="str">
        <f>IFERROR(__xludf.DUMMYFUNCTION("""COMPUTED_VALUE"""),"KEBONLEGA")</f>
        <v>KEBONLEGA</v>
      </c>
      <c r="X107" s="80" t="str">
        <f>IFERROR(__xludf.DUMMYFUNCTION("""COMPUTED_VALUE"""),"BOJONGLOA KIDUL")</f>
        <v>BOJONGLOA KIDUL</v>
      </c>
      <c r="Y107" s="80" t="str">
        <f>IFERROR(__xludf.DUMMYFUNCTION("""COMPUTED_VALUE"""),"KOTA BANDUNG")</f>
        <v>KOTA BANDUNG</v>
      </c>
      <c r="Z107" s="80" t="str">
        <f>IFERROR(__xludf.DUMMYFUNCTION("""COMPUTED_VALUE"""),"JAWA BARAT")</f>
        <v>JAWA BARAT</v>
      </c>
      <c r="AA107" s="80" t="str">
        <f>IFERROR(__xludf.DUMMYFUNCTION("""COMPUTED_VALUE"""),"40235")</f>
        <v>40235</v>
      </c>
      <c r="AB107" s="80" t="str">
        <f>IFERROR(__xludf.DUMMYFUNCTION("""COMPUTED_VALUE"""),"3273172810910002")</f>
        <v>3273172810910002</v>
      </c>
      <c r="AC107" s="80" t="str">
        <f>IFERROR(__xludf.DUMMYFUNCTION("""COMPUTED_VALUE"""),"94.768.084.9-442.000")</f>
        <v>94.768.084.9-442.000</v>
      </c>
      <c r="AD107" s="80" t="str">
        <f>IFERROR(__xludf.DUMMYFUNCTION("""COMPUTED_VALUE"""),"CUM - BSB - JABAR")</f>
        <v>CUM - BSB - JABAR</v>
      </c>
      <c r="AE107" s="80" t="str">
        <f>IFERROR(__xludf.DUMMYFUNCTION("""COMPUTED_VALUE"""),"SUB JAELANI POS")</f>
        <v>SUB JAELANI POS</v>
      </c>
      <c r="AF107" s="80" t="str">
        <f>IFERROR(__xludf.DUMMYFUNCTION("""COMPUTED_VALUE"""),"081320442777")</f>
        <v>081320442777</v>
      </c>
      <c r="AG107" s="80" t="str">
        <f>IFERROR(__xludf.DUMMYFUNCTION("""COMPUTED_VALUE"""),"081320442777")</f>
        <v>081320442777</v>
      </c>
      <c r="AH107" s="80" t="str">
        <f>IFERROR(__xludf.DUMMYFUNCTION("""COMPUTED_VALUE"""),"fajarbns@gmail.com")</f>
        <v>fajarbns@gmail.com</v>
      </c>
      <c r="AI107" s="80"/>
      <c r="AJ107" s="80"/>
      <c r="AK107" s="80"/>
      <c r="AL107" s="80"/>
      <c r="AM107" s="80"/>
      <c r="AN107" s="80"/>
      <c r="AO107" s="80" t="str">
        <f>IFERROR(__xludf.DUMMYFUNCTION("""COMPUTED_VALUE"""),"2907220039149")</f>
        <v>2907220039149</v>
      </c>
      <c r="AP107" s="80" t="str">
        <f>IFERROR(__xludf.DUMMYFUNCTION("""COMPUTED_VALUE"""),"53202 ( AKTIFITAS AGEN KURIR )")</f>
        <v>53202 ( AKTIFITAS AGEN KURIR )</v>
      </c>
      <c r="AQ107" s="83"/>
      <c r="AR107" s="80"/>
      <c r="AS107" s="80"/>
      <c r="AT107" s="80" t="str">
        <f>IFERROR(__xludf.DUMMYFUNCTION("""COMPUTED_VALUE"""),"-6.9443854")</f>
        <v>-6.9443854</v>
      </c>
      <c r="AU107" s="80" t="str">
        <f>IFERROR(__xludf.DUMMYFUNCTION("""COMPUTED_VALUE"""),"107.596921")</f>
        <v>107.596921</v>
      </c>
      <c r="AV107" s="80" t="str">
        <f>IFERROR(__xludf.DUMMYFUNCTION("""COMPUTED_VALUE"""),"ADA")</f>
        <v>ADA</v>
      </c>
      <c r="AW107" s="80" t="str">
        <f>IFERROR(__xludf.DUMMYFUNCTION("""COMPUTED_VALUE"""),"ADA")</f>
        <v>ADA</v>
      </c>
      <c r="AX107" s="80"/>
      <c r="AY107" s="80"/>
      <c r="AZ107" s="80"/>
      <c r="BA107" s="80" t="str">
        <f>IFERROR(__xludf.DUMMYFUNCTION("""COMPUTED_VALUE"""),"ADA")</f>
        <v>ADA</v>
      </c>
      <c r="BB107" s="80" t="str">
        <f>IFERROR(__xludf.DUMMYFUNCTION("""COMPUTED_VALUE"""),"ADA")</f>
        <v>ADA</v>
      </c>
      <c r="BC107" s="80" t="str">
        <f>IFERROR(__xludf.DUMMYFUNCTION("""COMPUTED_VALUE"""),"ADA")</f>
        <v>ADA</v>
      </c>
      <c r="BD107" s="80" t="str">
        <f>IFERROR(__xludf.DUMMYFUNCTION("""COMPUTED_VALUE"""),"ADA")</f>
        <v>ADA</v>
      </c>
      <c r="BE107" s="80" t="str">
        <f>IFERROR(__xludf.DUMMYFUNCTION("""COMPUTED_VALUE"""),"ADA")</f>
        <v>ADA</v>
      </c>
      <c r="BF107" s="80" t="str">
        <f>IFERROR(__xludf.DUMMYFUNCTION("""COMPUTED_VALUE"""),"ADA")</f>
        <v>ADA</v>
      </c>
      <c r="BG107" s="80" t="str">
        <f>IFERROR(__xludf.DUMMYFUNCTION("""COMPUTED_VALUE"""),"ADA")</f>
        <v>ADA</v>
      </c>
      <c r="BH107" s="80"/>
      <c r="BI107" s="80" t="str">
        <f>IFERROR(__xludf.DUMMYFUNCTION("""COMPUTED_VALUE"""),"ADA")</f>
        <v>ADA</v>
      </c>
      <c r="BJ107" s="80"/>
      <c r="BK107" s="80"/>
      <c r="BL107" s="80"/>
      <c r="BM107" s="80"/>
      <c r="BN107" s="80"/>
      <c r="BO107" s="80"/>
      <c r="BP107" s="80"/>
      <c r="BQ107" s="80"/>
      <c r="BR107" s="80"/>
      <c r="BS107" s="80"/>
      <c r="BT107" s="80"/>
      <c r="BU107" s="80"/>
      <c r="BV107" s="80" t="str">
        <f>IFERROR(__xludf.DUMMYFUNCTION("""COMPUTED_VALUE"""),"Jl. Leuwisari Raya No. 21 Rt 002 Rw 008 Kel. Kebonlega Kec. Bojongloa Kidul Bandung 40235")</f>
        <v>Jl. Leuwisari Raya No. 21 Rt 002 Rw 008 Kel. Kebonlega Kec. Bojongloa Kidul Bandung 40235</v>
      </c>
      <c r="BW107" s="80"/>
      <c r="BX107" s="80"/>
      <c r="BY107" s="80"/>
      <c r="BZ107" s="80"/>
      <c r="CA107" s="80"/>
      <c r="CB107" s="80"/>
      <c r="CC107" s="80"/>
      <c r="CD107" s="80"/>
      <c r="CE107" s="80"/>
      <c r="CF107" s="80"/>
      <c r="CG107" s="80"/>
      <c r="CH107" s="80"/>
      <c r="CI107" s="80"/>
      <c r="CJ107" s="80"/>
      <c r="CK107" s="2"/>
    </row>
    <row r="108" ht="12.75" customHeight="1">
      <c r="A108" s="85">
        <f>IFERROR(__xludf.DUMMYFUNCTION("""COMPUTED_VALUE"""),105.0)</f>
        <v>105</v>
      </c>
      <c r="B108" s="85" t="str">
        <f>IFERROR(__xludf.DUMMYFUNCTION("""COMPUTED_VALUE"""),"26 JUNI 2023")</f>
        <v>26 JUNI 2023</v>
      </c>
      <c r="C108" s="85" t="str">
        <f>IFERROR(__xludf.DUMMYFUNCTION("""COMPUTED_VALUE"""),"26 JUNI 2023")</f>
        <v>26 JUNI 2023</v>
      </c>
      <c r="D108" s="86"/>
      <c r="E108" s="88"/>
      <c r="F108" s="85" t="str">
        <f>IFERROR(__xludf.DUMMYFUNCTION("""COMPUTED_VALUE"""),"26 JUNI 2023")</f>
        <v>26 JUNI 2023</v>
      </c>
      <c r="G108" s="86"/>
      <c r="H108" s="85" t="str">
        <f>IFERROR(__xludf.DUMMYFUNCTION("""COMPUTED_VALUE"""),"26 JUNI 2023")</f>
        <v>26 JUNI 2023</v>
      </c>
      <c r="I108" s="85" t="str">
        <f>IFERROR(__xludf.DUMMYFUNCTION("""COMPUTED_VALUE"""),"26 JUNI 2023")</f>
        <v>26 JUNI 2023</v>
      </c>
      <c r="J108" s="85" t="str">
        <f>IFERROR(__xludf.DUMMYFUNCTION("""COMPUTED_VALUE"""),"26 JUNI 2023")</f>
        <v>26 JUNI 2023</v>
      </c>
      <c r="K108" s="85"/>
      <c r="L108" s="85"/>
      <c r="M108" s="85" t="str">
        <f>IFERROR(__xludf.DUMMYFUNCTION("""COMPUTED_VALUE"""),"√")</f>
        <v>√</v>
      </c>
      <c r="N108" s="85"/>
      <c r="O108" s="85"/>
      <c r="P108" s="85" t="str">
        <f>IFERROR(__xludf.DUMMYFUNCTION("""COMPUTED_VALUE"""),"53BSPA16727JBJAY")</f>
        <v>53BSPA16727JBJAY</v>
      </c>
      <c r="Q108" s="85" t="str">
        <f>IFERROR(__xludf.DUMMYFUNCTION("""COMPUTED_VALUE"""),"LOKET KOPI RODA")</f>
        <v>LOKET KOPI RODA</v>
      </c>
      <c r="R108" s="85" t="str">
        <f>IFERROR(__xludf.DUMMYFUNCTION("""COMPUTED_VALUE"""),"AGP KOPI RODA")</f>
        <v>AGP KOPI RODA</v>
      </c>
      <c r="S108" s="85" t="str">
        <f>IFERROR(__xludf.DUMMYFUNCTION("""COMPUTED_VALUE"""),"Wenti Prima Dewi")</f>
        <v>Wenti Prima Dewi</v>
      </c>
      <c r="T108" s="85" t="str">
        <f>IFERROR(__xludf.DUMMYFUNCTION("""COMPUTED_VALUE"""),"JL. CIBADUYUT LAMA NO. 19 RT 006 RW 007 KEL. KEBONLEGA KEC. BOJONGLOA KIDUL BANDUNG 40235")</f>
        <v>JL. CIBADUYUT LAMA NO. 19 RT 006 RW 007 KEL. KEBONLEGA KEC. BOJONGLOA KIDUL BANDUNG 40235</v>
      </c>
      <c r="U108" s="85" t="str">
        <f>IFERROR(__xludf.DUMMYFUNCTION("""COMPUTED_VALUE"""),"JL. SOEKARNO HATTA NO. 288 ")</f>
        <v>JL. SOEKARNO HATTA NO. 288 </v>
      </c>
      <c r="V108" s="85"/>
      <c r="W108" s="85" t="str">
        <f>IFERROR(__xludf.DUMMYFUNCTION("""COMPUTED_VALUE"""),"KEBONLEGA")</f>
        <v>KEBONLEGA</v>
      </c>
      <c r="X108" s="85" t="str">
        <f>IFERROR(__xludf.DUMMYFUNCTION("""COMPUTED_VALUE"""),"BOJONGLOA KIDUL")</f>
        <v>BOJONGLOA KIDUL</v>
      </c>
      <c r="Y108" s="85" t="str">
        <f>IFERROR(__xludf.DUMMYFUNCTION("""COMPUTED_VALUE"""),"KOTA BANDUNG")</f>
        <v>KOTA BANDUNG</v>
      </c>
      <c r="Z108" s="85" t="str">
        <f>IFERROR(__xludf.DUMMYFUNCTION("""COMPUTED_VALUE"""),"JAWA BARAT")</f>
        <v>JAWA BARAT</v>
      </c>
      <c r="AA108" s="85" t="str">
        <f>IFERROR(__xludf.DUMMYFUNCTION("""COMPUTED_VALUE"""),"40235")</f>
        <v>40235</v>
      </c>
      <c r="AB108" s="85" t="str">
        <f>IFERROR(__xludf.DUMMYFUNCTION("""COMPUTED_VALUE"""),"3273176708690003")</f>
        <v>3273176708690003</v>
      </c>
      <c r="AC108" s="85" t="str">
        <f>IFERROR(__xludf.DUMMYFUNCTION("""COMPUTED_VALUE"""),"27.093.084.5-422.000")</f>
        <v>27.093.084.5-422.000</v>
      </c>
      <c r="AD108" s="85" t="str">
        <f>IFERROR(__xludf.DUMMYFUNCTION("""COMPUTED_VALUE"""),"CUM - BSB - JABAR")</f>
        <v>CUM - BSB - JABAR</v>
      </c>
      <c r="AE108" s="85" t="str">
        <f>IFERROR(__xludf.DUMMYFUNCTION("""COMPUTED_VALUE"""),"SUB JAELANI POS")</f>
        <v>SUB JAELANI POS</v>
      </c>
      <c r="AF108" s="85" t="str">
        <f>IFERROR(__xludf.DUMMYFUNCTION("""COMPUTED_VALUE"""),"081321314113")</f>
        <v>081321314113</v>
      </c>
      <c r="AG108" s="85" t="str">
        <f>IFERROR(__xludf.DUMMYFUNCTION("""COMPUTED_VALUE"""),"081321314113")</f>
        <v>081321314113</v>
      </c>
      <c r="AH108" s="85" t="str">
        <f>IFERROR(__xludf.DUMMYFUNCTION("""COMPUTED_VALUE"""),"wentisunarya2@hotmail.com")</f>
        <v>wentisunarya2@hotmail.com</v>
      </c>
      <c r="AI108" s="85" t="str">
        <f>IFERROR(__xludf.DUMMYFUNCTION("""COMPUTED_VALUE"""),"40235S3")</f>
        <v>40235S3</v>
      </c>
      <c r="AJ108" s="85" t="str">
        <f>IFERROR(__xludf.DUMMYFUNCTION("""COMPUTED_VALUE"""),"659f5f9ce806372637007c79")</f>
        <v>659f5f9ce806372637007c79</v>
      </c>
      <c r="AK108" s="85" t="str">
        <f>IFERROR(__xludf.DUMMYFUNCTION("""COMPUTED_VALUE"""),"dm40235s3")</f>
        <v>dm40235s3</v>
      </c>
      <c r="AL108" s="85" t="str">
        <f>IFERROR(__xludf.DUMMYFUNCTION("""COMPUTED_VALUE"""),"#40235poS")</f>
        <v>#40235poS</v>
      </c>
      <c r="AM108" s="85"/>
      <c r="AN108" s="85" t="str">
        <f>IFERROR(__xludf.DUMMYFUNCTION("""COMPUTED_VALUE"""),"POS CIBADUYUT")</f>
        <v>POS CIBADUYUT</v>
      </c>
      <c r="AO108" s="85" t="str">
        <f>IFERROR(__xludf.DUMMYFUNCTION("""COMPUTED_VALUE"""),"2604230019985")</f>
        <v>2604230019985</v>
      </c>
      <c r="AP108" s="85" t="str">
        <f>IFERROR(__xludf.DUMMYFUNCTION("""COMPUTED_VALUE"""),"26042300199850001")</f>
        <v>26042300199850001</v>
      </c>
      <c r="AQ108" s="93"/>
      <c r="AR108" s="85"/>
      <c r="AS108" s="85"/>
      <c r="AT108" s="85" t="str">
        <f>IFERROR(__xludf.DUMMYFUNCTION("""COMPUTED_VALUE"""),"-6.9476909")</f>
        <v>-6.9476909</v>
      </c>
      <c r="AU108" s="85" t="str">
        <f>IFERROR(__xludf.DUMMYFUNCTION("""COMPUTED_VALUE"""),"107.5942696")</f>
        <v>107.5942696</v>
      </c>
      <c r="AV108" s="85" t="str">
        <f>IFERROR(__xludf.DUMMYFUNCTION("""COMPUTED_VALUE"""),"ADA")</f>
        <v>ADA</v>
      </c>
      <c r="AW108" s="85" t="str">
        <f>IFERROR(__xludf.DUMMYFUNCTION("""COMPUTED_VALUE"""),"ADA")</f>
        <v>ADA</v>
      </c>
      <c r="AX108" s="85"/>
      <c r="AY108" s="85"/>
      <c r="AZ108" s="85"/>
      <c r="BA108" s="85" t="str">
        <f>IFERROR(__xludf.DUMMYFUNCTION("""COMPUTED_VALUE"""),"ADA")</f>
        <v>ADA</v>
      </c>
      <c r="BB108" s="85" t="str">
        <f>IFERROR(__xludf.DUMMYFUNCTION("""COMPUTED_VALUE"""),"ADA")</f>
        <v>ADA</v>
      </c>
      <c r="BC108" s="85" t="str">
        <f>IFERROR(__xludf.DUMMYFUNCTION("""COMPUTED_VALUE"""),"ADA")</f>
        <v>ADA</v>
      </c>
      <c r="BD108" s="85" t="str">
        <f>IFERROR(__xludf.DUMMYFUNCTION("""COMPUTED_VALUE"""),"ADA")</f>
        <v>ADA</v>
      </c>
      <c r="BE108" s="85" t="str">
        <f>IFERROR(__xludf.DUMMYFUNCTION("""COMPUTED_VALUE"""),"ADA")</f>
        <v>ADA</v>
      </c>
      <c r="BF108" s="85" t="str">
        <f>IFERROR(__xludf.DUMMYFUNCTION("""COMPUTED_VALUE"""),"ADA")</f>
        <v>ADA</v>
      </c>
      <c r="BG108" s="85" t="str">
        <f>IFERROR(__xludf.DUMMYFUNCTION("""COMPUTED_VALUE"""),"ADA")</f>
        <v>ADA</v>
      </c>
      <c r="BH108" s="85"/>
      <c r="BI108" s="85" t="str">
        <f>IFERROR(__xludf.DUMMYFUNCTION("""COMPUTED_VALUE"""),"ADA")</f>
        <v>ADA</v>
      </c>
      <c r="BJ108" s="85"/>
      <c r="BK108" s="85"/>
      <c r="BL108" s="85"/>
      <c r="BM108" s="85"/>
      <c r="BN108" s="85"/>
      <c r="BO108" s="85"/>
      <c r="BP108" s="85"/>
      <c r="BQ108" s="85"/>
      <c r="BR108" s="85"/>
      <c r="BS108" s="85"/>
      <c r="BT108" s="85"/>
      <c r="BU108" s="85"/>
      <c r="BV108" s="85" t="str">
        <f>IFERROR(__xludf.DUMMYFUNCTION("""COMPUTED_VALUE"""),"Jl. Cibaduyut Lama No. 19 Rt 006 Rw 007 Kel. Kebonlega Kec. Bojongloa Kidul Bandung 40235")</f>
        <v>Jl. Cibaduyut Lama No. 19 Rt 006 Rw 007 Kel. Kebonlega Kec. Bojongloa Kidul Bandung 40235</v>
      </c>
      <c r="BW108" s="85"/>
      <c r="BX108" s="85"/>
      <c r="BY108" s="85"/>
      <c r="BZ108" s="85"/>
      <c r="CA108" s="85"/>
      <c r="CB108" s="85"/>
      <c r="CC108" s="85"/>
      <c r="CD108" s="85"/>
      <c r="CE108" s="85"/>
      <c r="CF108" s="85"/>
      <c r="CG108" s="85"/>
      <c r="CH108" s="85"/>
      <c r="CI108" s="85"/>
      <c r="CJ108" s="85"/>
      <c r="CK108" s="2"/>
    </row>
    <row r="109" ht="12.75" customHeight="1">
      <c r="A109" s="80">
        <f>IFERROR(__xludf.DUMMYFUNCTION("""COMPUTED_VALUE"""),106.0)</f>
        <v>106</v>
      </c>
      <c r="B109" s="80" t="str">
        <f>IFERROR(__xludf.DUMMYFUNCTION("""COMPUTED_VALUE"""),"27 JUNI 2023")</f>
        <v>27 JUNI 2023</v>
      </c>
      <c r="C109" s="80" t="str">
        <f>IFERROR(__xludf.DUMMYFUNCTION("""COMPUTED_VALUE"""),"27 JUNI 2023")</f>
        <v>27 JUNI 2023</v>
      </c>
      <c r="D109" s="81"/>
      <c r="E109" s="82"/>
      <c r="F109" s="80"/>
      <c r="G109" s="81"/>
      <c r="H109" s="80"/>
      <c r="I109" s="80"/>
      <c r="J109" s="80"/>
      <c r="K109" s="80"/>
      <c r="L109" s="80"/>
      <c r="M109" s="80" t="str">
        <f>IFERROR(__xludf.DUMMYFUNCTION("""COMPUTED_VALUE"""),"√")</f>
        <v>√</v>
      </c>
      <c r="N109" s="80"/>
      <c r="O109" s="80"/>
      <c r="P109" s="80" t="str">
        <f>IFERROR(__xludf.DUMMYFUNCTION("""COMPUTED_VALUE"""),"53BSPA16728JBJAY")</f>
        <v>53BSPA16728JBJAY</v>
      </c>
      <c r="Q109" s="80" t="str">
        <f>IFERROR(__xludf.DUMMYFUNCTION("""COMPUTED_VALUE"""),"LOKET CAHAYA ABADI")</f>
        <v>LOKET CAHAYA ABADI</v>
      </c>
      <c r="R109" s="80" t="str">
        <f>IFERROR(__xludf.DUMMYFUNCTION("""COMPUTED_VALUE"""),"AGP CAHAYA ABADI")</f>
        <v>AGP CAHAYA ABADI</v>
      </c>
      <c r="S109" s="80" t="str">
        <f>IFERROR(__xludf.DUMMYFUNCTION("""COMPUTED_VALUE"""),"Buahtim")</f>
        <v>Buahtim</v>
      </c>
      <c r="T109" s="80" t="str">
        <f>IFERROR(__xludf.DUMMYFUNCTION("""COMPUTED_VALUE"""),"JL. JEND. SUDIRMAN NO. 4 KEL. SUMPANG MINANGAE KEC. BACUKIKI BARAT KOTA PARE-PARE 91121")</f>
        <v>JL. JEND. SUDIRMAN NO. 4 KEL. SUMPANG MINANGAE KEC. BACUKIKI BARAT KOTA PARE-PARE 91121</v>
      </c>
      <c r="U109" s="80" t="str">
        <f>IFERROR(__xludf.DUMMYFUNCTION("""COMPUTED_VALUE"""),"JL. JEND. SUDIRMAN NO. 4")</f>
        <v>JL. JEND. SUDIRMAN NO. 4</v>
      </c>
      <c r="V109" s="80"/>
      <c r="W109" s="80" t="str">
        <f>IFERROR(__xludf.DUMMYFUNCTION("""COMPUTED_VALUE"""),"SUMPANG MINANGAE")</f>
        <v>SUMPANG MINANGAE</v>
      </c>
      <c r="X109" s="80" t="str">
        <f>IFERROR(__xludf.DUMMYFUNCTION("""COMPUTED_VALUE"""),"BACUKIKI BARAT")</f>
        <v>BACUKIKI BARAT</v>
      </c>
      <c r="Y109" s="80" t="str">
        <f>IFERROR(__xludf.DUMMYFUNCTION("""COMPUTED_VALUE"""),"KOTA PARE-PARE")</f>
        <v>KOTA PARE-PARE</v>
      </c>
      <c r="Z109" s="80" t="str">
        <f>IFERROR(__xludf.DUMMYFUNCTION("""COMPUTED_VALUE"""),"SULAWESI SELATAN")</f>
        <v>SULAWESI SELATAN</v>
      </c>
      <c r="AA109" s="80" t="str">
        <f>IFERROR(__xludf.DUMMYFUNCTION("""COMPUTED_VALUE"""),"91121")</f>
        <v>91121</v>
      </c>
      <c r="AB109" s="80" t="str">
        <f>IFERROR(__xludf.DUMMYFUNCTION("""COMPUTED_VALUE"""),"7372047112680000")</f>
        <v>7372047112680000</v>
      </c>
      <c r="AC109" s="80" t="str">
        <f>IFERROR(__xludf.DUMMYFUNCTION("""COMPUTED_VALUE"""),"473008290802000")</f>
        <v>473008290802000</v>
      </c>
      <c r="AD109" s="80" t="str">
        <f>IFERROR(__xludf.DUMMYFUNCTION("""COMPUTED_VALUE"""),"CUM - BSB - JABAR")</f>
        <v>CUM - BSB - JABAR</v>
      </c>
      <c r="AE109" s="80" t="str">
        <f>IFERROR(__xludf.DUMMYFUNCTION("""COMPUTED_VALUE"""),"SUB JAELANI POS")</f>
        <v>SUB JAELANI POS</v>
      </c>
      <c r="AF109" s="80" t="str">
        <f>IFERROR(__xludf.DUMMYFUNCTION("""COMPUTED_VALUE"""),"085282023336")</f>
        <v>085282023336</v>
      </c>
      <c r="AG109" s="80" t="str">
        <f>IFERROR(__xludf.DUMMYFUNCTION("""COMPUTED_VALUE"""),"085282023336")</f>
        <v>085282023336</v>
      </c>
      <c r="AH109" s="80" t="str">
        <f>IFERROR(__xludf.DUMMYFUNCTION("""COMPUTED_VALUE"""),"cahayaabadicahayaabadi72@gmail.com")</f>
        <v>cahayaabadicahayaabadi72@gmail.com</v>
      </c>
      <c r="AI109" s="80" t="str">
        <f>IFERROR(__xludf.DUMMYFUNCTION("""COMPUTED_VALUE"""),"91123S1")</f>
        <v>91123S1</v>
      </c>
      <c r="AJ109" s="80" t="str">
        <f>IFERROR(__xludf.DUMMYFUNCTION("""COMPUTED_VALUE"""),"64a63994eb38e15c7f019ad1")</f>
        <v>64a63994eb38e15c7f019ad1</v>
      </c>
      <c r="AK109" s="80" t="str">
        <f>IFERROR(__xludf.DUMMYFUNCTION("""COMPUTED_VALUE"""),"dm91123s1")</f>
        <v>dm91123s1</v>
      </c>
      <c r="AL109" s="80" t="str">
        <f>IFERROR(__xludf.DUMMYFUNCTION("""COMPUTED_VALUE"""),"password")</f>
        <v>password</v>
      </c>
      <c r="AM109" s="80"/>
      <c r="AN109" s="80" t="str">
        <f>IFERROR(__xludf.DUMMYFUNCTION("""COMPUTED_VALUE"""),"POS PARE-PARE")</f>
        <v>POS PARE-PARE</v>
      </c>
      <c r="AO109" s="80" t="str">
        <f>IFERROR(__xludf.DUMMYFUNCTION("""COMPUTED_VALUE"""),"2706230061645")</f>
        <v>2706230061645</v>
      </c>
      <c r="AP109" s="80" t="str">
        <f>IFERROR(__xludf.DUMMYFUNCTION("""COMPUTED_VALUE"""),"53202 ( AKTIFITAS AGEN KURIR )")</f>
        <v>53202 ( AKTIFITAS AGEN KURIR )</v>
      </c>
      <c r="AQ109" s="83"/>
      <c r="AR109" s="80"/>
      <c r="AS109" s="80"/>
      <c r="AT109" s="80" t="str">
        <f>IFERROR(__xludf.DUMMYFUNCTION("""COMPUTED_VALUE"""),"-40,436,207")</f>
        <v>-40,436,207</v>
      </c>
      <c r="AU109" s="80" t="str">
        <f>IFERROR(__xludf.DUMMYFUNCTION("""COMPUTED_VALUE"""),"1,196,288,289")</f>
        <v>1,196,288,289</v>
      </c>
      <c r="AV109" s="80" t="str">
        <f>IFERROR(__xludf.DUMMYFUNCTION("""COMPUTED_VALUE"""),"ADA")</f>
        <v>ADA</v>
      </c>
      <c r="AW109" s="80" t="str">
        <f>IFERROR(__xludf.DUMMYFUNCTION("""COMPUTED_VALUE"""),"ADA")</f>
        <v>ADA</v>
      </c>
      <c r="AX109" s="80"/>
      <c r="AY109" s="80"/>
      <c r="AZ109" s="80"/>
      <c r="BA109" s="80" t="str">
        <f>IFERROR(__xludf.DUMMYFUNCTION("""COMPUTED_VALUE"""),"ADA")</f>
        <v>ADA</v>
      </c>
      <c r="BB109" s="80" t="str">
        <f>IFERROR(__xludf.DUMMYFUNCTION("""COMPUTED_VALUE"""),"ADA")</f>
        <v>ADA</v>
      </c>
      <c r="BC109" s="80" t="str">
        <f>IFERROR(__xludf.DUMMYFUNCTION("""COMPUTED_VALUE"""),"ADA")</f>
        <v>ADA</v>
      </c>
      <c r="BD109" s="80" t="str">
        <f>IFERROR(__xludf.DUMMYFUNCTION("""COMPUTED_VALUE"""),"ADA")</f>
        <v>ADA</v>
      </c>
      <c r="BE109" s="80" t="str">
        <f>IFERROR(__xludf.DUMMYFUNCTION("""COMPUTED_VALUE"""),"ADA")</f>
        <v>ADA</v>
      </c>
      <c r="BF109" s="80" t="str">
        <f>IFERROR(__xludf.DUMMYFUNCTION("""COMPUTED_VALUE"""),"ADA")</f>
        <v>ADA</v>
      </c>
      <c r="BG109" s="80"/>
      <c r="BH109" s="80"/>
      <c r="BI109" s="80"/>
      <c r="BJ109" s="80"/>
      <c r="BK109" s="80"/>
      <c r="BL109" s="80"/>
      <c r="BM109" s="80"/>
      <c r="BN109" s="80"/>
      <c r="BO109" s="80"/>
      <c r="BP109" s="80"/>
      <c r="BQ109" s="80"/>
      <c r="BR109" s="80"/>
      <c r="BS109" s="80"/>
      <c r="BT109" s="80"/>
      <c r="BU109" s="80"/>
      <c r="BV109" s="80" t="str">
        <f>IFERROR(__xludf.DUMMYFUNCTION("""COMPUTED_VALUE"""),"Jl. Jend. Sudirman No. 4 Kel. Sumpang Minangae Kec. Bacukiki Barat Kota Pare-Pare 91121")</f>
        <v>Jl. Jend. Sudirman No. 4 Kel. Sumpang Minangae Kec. Bacukiki Barat Kota Pare-Pare 91121</v>
      </c>
      <c r="BW109" s="80"/>
      <c r="BX109" s="80"/>
      <c r="BY109" s="80"/>
      <c r="BZ109" s="80"/>
      <c r="CA109" s="80"/>
      <c r="CB109" s="80"/>
      <c r="CC109" s="80"/>
      <c r="CD109" s="80"/>
      <c r="CE109" s="80"/>
      <c r="CF109" s="80"/>
      <c r="CG109" s="80"/>
      <c r="CH109" s="80"/>
      <c r="CI109" s="80"/>
      <c r="CJ109" s="80"/>
      <c r="CK109" s="2"/>
    </row>
    <row r="110" ht="12.75" customHeight="1">
      <c r="A110" s="85">
        <f>IFERROR(__xludf.DUMMYFUNCTION("""COMPUTED_VALUE"""),107.0)</f>
        <v>107</v>
      </c>
      <c r="B110" s="85"/>
      <c r="C110" s="85"/>
      <c r="D110" s="86"/>
      <c r="E110" s="88"/>
      <c r="F110" s="85"/>
      <c r="G110" s="86"/>
      <c r="H110" s="85"/>
      <c r="I110" s="85"/>
      <c r="J110" s="85"/>
      <c r="K110" s="85"/>
      <c r="L110" s="85"/>
      <c r="M110" s="85"/>
      <c r="N110" s="85"/>
      <c r="O110" s="85"/>
      <c r="P110" s="85" t="str">
        <f>IFERROR(__xludf.DUMMYFUNCTION("""COMPUTED_VALUE"""),"53BSPA16784JBCUM")</f>
        <v>53BSPA16784JBCUM</v>
      </c>
      <c r="Q110" s="85" t="str">
        <f>IFERROR(__xludf.DUMMYFUNCTION("""COMPUTED_VALUE"""),"NEGLASARI")</f>
        <v>NEGLASARI</v>
      </c>
      <c r="R110" s="85" t="str">
        <f>IFERROR(__xludf.DUMMYFUNCTION("""COMPUTED_VALUE"""),"AGP NEGLASARI")</f>
        <v>AGP NEGLASARI</v>
      </c>
      <c r="S110" s="85" t="str">
        <f>IFERROR(__xludf.DUMMYFUNCTION("""COMPUTED_VALUE"""),"RANI MAHARANI")</f>
        <v>RANI MAHARANI</v>
      </c>
      <c r="T110" s="85" t="str">
        <f>IFERROR(__xludf.DUMMYFUNCTION("""COMPUTED_VALUE"""),"JL. TRS BATIK HALUS NO 2A RT 006 RW 006 KEL. SUKALUYU KEC. CIBEUNYING KALER 40123")</f>
        <v>JL. TRS BATIK HALUS NO 2A RT 006 RW 006 KEL. SUKALUYU KEC. CIBEUNYING KALER 40123</v>
      </c>
      <c r="U110" s="85" t="str">
        <f>IFERROR(__xludf.DUMMYFUNCTION("""COMPUTED_VALUE"""),"JL. CIKUTRA NO 316")</f>
        <v>JL. CIKUTRA NO 316</v>
      </c>
      <c r="V110" s="85"/>
      <c r="W110" s="85" t="str">
        <f>IFERROR(__xludf.DUMMYFUNCTION("""COMPUTED_VALUE"""),"NEGLASARI")</f>
        <v>NEGLASARI</v>
      </c>
      <c r="X110" s="85" t="str">
        <f>IFERROR(__xludf.DUMMYFUNCTION("""COMPUTED_VALUE"""),"CIBEUNYING KALER")</f>
        <v>CIBEUNYING KALER</v>
      </c>
      <c r="Y110" s="85" t="str">
        <f>IFERROR(__xludf.DUMMYFUNCTION("""COMPUTED_VALUE"""),"BANDUNG")</f>
        <v>BANDUNG</v>
      </c>
      <c r="Z110" s="85" t="str">
        <f>IFERROR(__xludf.DUMMYFUNCTION("""COMPUTED_VALUE"""),"JAWA BARAT")</f>
        <v>JAWA BARAT</v>
      </c>
      <c r="AA110" s="85" t="str">
        <f>IFERROR(__xludf.DUMMYFUNCTION("""COMPUTED_VALUE"""),"40124")</f>
        <v>40124</v>
      </c>
      <c r="AB110" s="85" t="str">
        <f>IFERROR(__xludf.DUMMYFUNCTION("""COMPUTED_VALUE"""),"3273186207830005")</f>
        <v>3273186207830005</v>
      </c>
      <c r="AC110" s="85" t="str">
        <f>IFERROR(__xludf.DUMMYFUNCTION("""COMPUTED_VALUE"""),"46.498.511.8-423.000")</f>
        <v>46.498.511.8-423.000</v>
      </c>
      <c r="AD110" s="85" t="str">
        <f>IFERROR(__xludf.DUMMYFUNCTION("""COMPUTED_VALUE"""),"CUM - BSB - JABAR")</f>
        <v>CUM - BSB - JABAR</v>
      </c>
      <c r="AE110" s="85" t="str">
        <f>IFERROR(__xludf.DUMMYFUNCTION("""COMPUTED_VALUE"""),"SUB CUM")</f>
        <v>SUB CUM</v>
      </c>
      <c r="AF110" s="85" t="str">
        <f>IFERROR(__xludf.DUMMYFUNCTION("""COMPUTED_VALUE"""),"081222731116")</f>
        <v>081222731116</v>
      </c>
      <c r="AG110" s="85"/>
      <c r="AH110" s="85"/>
      <c r="AI110" s="85"/>
      <c r="AJ110" s="85"/>
      <c r="AK110" s="85"/>
      <c r="AL110" s="85"/>
      <c r="AM110" s="85"/>
      <c r="AN110" s="85"/>
      <c r="AO110" s="85" t="str">
        <f>IFERROR(__xludf.DUMMYFUNCTION("""COMPUTED_VALUE"""),"1807230106005")</f>
        <v>1807230106005</v>
      </c>
      <c r="AP110" s="85" t="str">
        <f>IFERROR(__xludf.DUMMYFUNCTION("""COMPUTED_VALUE"""),"18072301060050001")</f>
        <v>18072301060050001</v>
      </c>
      <c r="AQ110" s="93"/>
      <c r="AR110" s="85"/>
      <c r="AS110" s="85"/>
      <c r="AT110" s="85" t="str">
        <f>IFERROR(__xludf.DUMMYFUNCTION("""COMPUTED_VALUE"""),"-6,8936239")</f>
        <v>-6,8936239</v>
      </c>
      <c r="AU110" s="85" t="str">
        <f>IFERROR(__xludf.DUMMYFUNCTION("""COMPUTED_VALUE"""),"107,63757")</f>
        <v>107,63757</v>
      </c>
      <c r="AV110" s="85"/>
      <c r="AW110" s="85"/>
      <c r="AX110" s="85"/>
      <c r="AY110" s="85"/>
      <c r="AZ110" s="85"/>
      <c r="BA110" s="85"/>
      <c r="BB110" s="85"/>
      <c r="BC110" s="85"/>
      <c r="BD110" s="85"/>
      <c r="BE110" s="85"/>
      <c r="BF110" s="85"/>
      <c r="BG110" s="85"/>
      <c r="BH110" s="85"/>
      <c r="BI110" s="85"/>
      <c r="BJ110" s="85"/>
      <c r="BK110" s="85"/>
      <c r="BL110" s="85"/>
      <c r="BM110" s="85"/>
      <c r="BN110" s="85"/>
      <c r="BO110" s="85"/>
      <c r="BP110" s="85"/>
      <c r="BQ110" s="85"/>
      <c r="BR110" s="85"/>
      <c r="BS110" s="85"/>
      <c r="BT110" s="85"/>
      <c r="BU110" s="85"/>
      <c r="BV110" s="85"/>
      <c r="BW110" s="85"/>
      <c r="BX110" s="85"/>
      <c r="BY110" s="85"/>
      <c r="BZ110" s="85"/>
      <c r="CA110" s="85"/>
      <c r="CB110" s="85"/>
      <c r="CC110" s="85"/>
      <c r="CD110" s="85"/>
      <c r="CE110" s="85"/>
      <c r="CF110" s="85"/>
      <c r="CG110" s="85"/>
      <c r="CH110" s="85"/>
      <c r="CI110" s="85"/>
      <c r="CJ110" s="85"/>
      <c r="CK110" s="2"/>
    </row>
    <row r="111" ht="12.75" customHeight="1">
      <c r="A111" s="80">
        <f>IFERROR(__xludf.DUMMYFUNCTION("""COMPUTED_VALUE"""),108.0)</f>
        <v>108</v>
      </c>
      <c r="B111" s="80"/>
      <c r="C111" s="80"/>
      <c r="D111" s="81"/>
      <c r="E111" s="82"/>
      <c r="F111" s="80"/>
      <c r="G111" s="81"/>
      <c r="H111" s="80"/>
      <c r="I111" s="80"/>
      <c r="J111" s="80"/>
      <c r="K111" s="80"/>
      <c r="L111" s="80"/>
      <c r="M111" s="80" t="str">
        <f>IFERROR(__xludf.DUMMYFUNCTION("""COMPUTED_VALUE"""),"√")</f>
        <v>√</v>
      </c>
      <c r="N111" s="80"/>
      <c r="O111" s="80"/>
      <c r="P111" s="80" t="str">
        <f>IFERROR(__xludf.DUMMYFUNCTION("""COMPUTED_VALUE"""),"53BSPA16729JBJAY")</f>
        <v>53BSPA16729JBJAY</v>
      </c>
      <c r="Q111" s="80" t="str">
        <f>IFERROR(__xludf.DUMMYFUNCTION("""COMPUTED_VALUE"""),"RA CELL ")</f>
        <v>RA CELL </v>
      </c>
      <c r="R111" s="80" t="str">
        <f>IFERROR(__xludf.DUMMYFUNCTION("""COMPUTED_VALUE"""),"RA CELL ")</f>
        <v>RA CELL </v>
      </c>
      <c r="S111" s="80" t="str">
        <f>IFERROR(__xludf.DUMMYFUNCTION("""COMPUTED_VALUE"""),"MUHAMMAD AKBAR")</f>
        <v>MUHAMMAD AKBAR</v>
      </c>
      <c r="T111" s="80" t="str">
        <f>IFERROR(__xludf.DUMMYFUNCTION("""COMPUTED_VALUE"""),"BTN LAPADDE MAS BLOK A NO. 53 KEL. LAPADDE KEC. UJUNG KOTA PARE-PARE 91112")</f>
        <v>BTN LAPADDE MAS BLOK A NO. 53 KEL. LAPADDE KEC. UJUNG KOTA PARE-PARE 91112</v>
      </c>
      <c r="U111" s="80" t="str">
        <f>IFERROR(__xludf.DUMMYFUNCTION("""COMPUTED_VALUE"""),"JL. LKR")</f>
        <v>JL. LKR</v>
      </c>
      <c r="V111" s="80"/>
      <c r="W111" s="80" t="str">
        <f>IFERROR(__xludf.DUMMYFUNCTION("""COMPUTED_VALUE"""),"LOMPOE")</f>
        <v>LOMPOE</v>
      </c>
      <c r="X111" s="80" t="str">
        <f>IFERROR(__xludf.DUMMYFUNCTION("""COMPUTED_VALUE"""),"BACUKIKI")</f>
        <v>BACUKIKI</v>
      </c>
      <c r="Y111" s="80" t="str">
        <f>IFERROR(__xludf.DUMMYFUNCTION("""COMPUTED_VALUE"""),"KOTA PARE-PARE")</f>
        <v>KOTA PARE-PARE</v>
      </c>
      <c r="Z111" s="80" t="str">
        <f>IFERROR(__xludf.DUMMYFUNCTION("""COMPUTED_VALUE"""),"SULAWESI SELATAN")</f>
        <v>SULAWESI SELATAN</v>
      </c>
      <c r="AA111" s="80" t="str">
        <f>IFERROR(__xludf.DUMMYFUNCTION("""COMPUTED_VALUE"""),"91125")</f>
        <v>91125</v>
      </c>
      <c r="AB111" s="80" t="str">
        <f>IFERROR(__xludf.DUMMYFUNCTION("""COMPUTED_VALUE"""),"7372021305940005")</f>
        <v>7372021305940005</v>
      </c>
      <c r="AC111" s="80" t="str">
        <f>IFERROR(__xludf.DUMMYFUNCTION("""COMPUTED_VALUE"""),"39.371.589.1-802.000")</f>
        <v>39.371.589.1-802.000</v>
      </c>
      <c r="AD111" s="80" t="str">
        <f>IFERROR(__xludf.DUMMYFUNCTION("""COMPUTED_VALUE"""),"CUM - BSB - JABAR")</f>
        <v>CUM - BSB - JABAR</v>
      </c>
      <c r="AE111" s="80" t="str">
        <f>IFERROR(__xludf.DUMMYFUNCTION("""COMPUTED_VALUE"""),"SUB JAELANI POS")</f>
        <v>SUB JAELANI POS</v>
      </c>
      <c r="AF111" s="80" t="str">
        <f>IFERROR(__xludf.DUMMYFUNCTION("""COMPUTED_VALUE"""),"081242808842")</f>
        <v>081242808842</v>
      </c>
      <c r="AG111" s="80"/>
      <c r="AH111" s="80" t="str">
        <f>IFERROR(__xludf.DUMMYFUNCTION("""COMPUTED_VALUE"""),"akbar1313bw@gmail.com")</f>
        <v>akbar1313bw@gmail.com</v>
      </c>
      <c r="AI111" s="80" t="str">
        <f>IFERROR(__xludf.DUMMYFUNCTION("""COMPUTED_VALUE"""),"91125S1")</f>
        <v>91125S1</v>
      </c>
      <c r="AJ111" s="80" t="str">
        <f>IFERROR(__xludf.DUMMYFUNCTION("""COMPUTED_VALUE"""),"64bb50d3ea4d6b6bfe0d5417")</f>
        <v>64bb50d3ea4d6b6bfe0d5417</v>
      </c>
      <c r="AK111" s="80" t="str">
        <f>IFERROR(__xludf.DUMMYFUNCTION("""COMPUTED_VALUE"""),"dm91125s1")</f>
        <v>dm91125s1</v>
      </c>
      <c r="AL111" s="80" t="str">
        <f>IFERROR(__xludf.DUMMYFUNCTION("""COMPUTED_VALUE"""),"Racell91125")</f>
        <v>Racell91125</v>
      </c>
      <c r="AM111" s="80"/>
      <c r="AN111" s="80" t="str">
        <f>IFERROR(__xludf.DUMMYFUNCTION("""COMPUTED_VALUE"""),"KANTOR POS LAPADDE")</f>
        <v>KANTOR POS LAPADDE</v>
      </c>
      <c r="AO111" s="80" t="str">
        <f>IFERROR(__xludf.DUMMYFUNCTION("""COMPUTED_VALUE"""),"2006230076951")</f>
        <v>2006230076951</v>
      </c>
      <c r="AP111" s="80" t="str">
        <f>IFERROR(__xludf.DUMMYFUNCTION("""COMPUTED_VALUE"""),"20062300769510001")</f>
        <v>20062300769510001</v>
      </c>
      <c r="AQ111" s="83"/>
      <c r="AR111" s="80"/>
      <c r="AS111" s="80"/>
      <c r="AT111" s="80" t="str">
        <f>IFERROR(__xludf.DUMMYFUNCTION("""COMPUTED_VALUE"""),"-4,0044547")</f>
        <v>-4,0044547</v>
      </c>
      <c r="AU111" s="80" t="str">
        <f>IFERROR(__xludf.DUMMYFUNCTION("""COMPUTED_VALUE"""),"119,665832")</f>
        <v>119,665832</v>
      </c>
      <c r="AV111" s="80" t="str">
        <f>IFERROR(__xludf.DUMMYFUNCTION("""COMPUTED_VALUE"""),"√")</f>
        <v>√</v>
      </c>
      <c r="AW111" s="80" t="str">
        <f>IFERROR(__xludf.DUMMYFUNCTION("""COMPUTED_VALUE"""),"√")</f>
        <v>√</v>
      </c>
      <c r="AX111" s="80"/>
      <c r="AY111" s="80"/>
      <c r="AZ111" s="80"/>
      <c r="BA111" s="80" t="str">
        <f>IFERROR(__xludf.DUMMYFUNCTION("""COMPUTED_VALUE"""),"√")</f>
        <v>√</v>
      </c>
      <c r="BB111" s="80" t="str">
        <f>IFERROR(__xludf.DUMMYFUNCTION("""COMPUTED_VALUE"""),"√")</f>
        <v>√</v>
      </c>
      <c r="BC111" s="80"/>
      <c r="BD111" s="80"/>
      <c r="BE111" s="80" t="str">
        <f>IFERROR(__xludf.DUMMYFUNCTION("""COMPUTED_VALUE"""),"√")</f>
        <v>√</v>
      </c>
      <c r="BF111" s="80" t="str">
        <f>IFERROR(__xludf.DUMMYFUNCTION("""COMPUTED_VALUE"""),"√")</f>
        <v>√</v>
      </c>
      <c r="BG111" s="80" t="str">
        <f>IFERROR(__xludf.DUMMYFUNCTION("""COMPUTED_VALUE"""),"√")</f>
        <v>√</v>
      </c>
      <c r="BH111" s="80"/>
      <c r="BI111" s="80"/>
      <c r="BJ111" s="80"/>
      <c r="BK111" s="80"/>
      <c r="BL111" s="80"/>
      <c r="BM111" s="80"/>
      <c r="BN111" s="80"/>
      <c r="BO111" s="80"/>
      <c r="BP111" s="80"/>
      <c r="BQ111" s="80"/>
      <c r="BR111" s="80"/>
      <c r="BS111" s="80"/>
      <c r="BT111" s="80"/>
      <c r="BU111" s="80"/>
      <c r="BV111" s="80"/>
      <c r="BW111" s="80"/>
      <c r="BX111" s="80"/>
      <c r="BY111" s="80"/>
      <c r="BZ111" s="80"/>
      <c r="CA111" s="80"/>
      <c r="CB111" s="80"/>
      <c r="CC111" s="80"/>
      <c r="CD111" s="80"/>
      <c r="CE111" s="80"/>
      <c r="CF111" s="80"/>
      <c r="CG111" s="80"/>
      <c r="CH111" s="80"/>
      <c r="CI111" s="80"/>
      <c r="CJ111" s="80"/>
      <c r="CK111" s="2"/>
    </row>
    <row r="112" ht="12.75" customHeight="1">
      <c r="A112" s="85">
        <f>IFERROR(__xludf.DUMMYFUNCTION("""COMPUTED_VALUE"""),109.0)</f>
        <v>109</v>
      </c>
      <c r="B112" s="85"/>
      <c r="C112" s="85"/>
      <c r="D112" s="86"/>
      <c r="E112" s="88"/>
      <c r="F112" s="85"/>
      <c r="G112" s="86"/>
      <c r="H112" s="85"/>
      <c r="I112" s="85"/>
      <c r="J112" s="85"/>
      <c r="K112" s="85"/>
      <c r="L112" s="85"/>
      <c r="M112" s="85"/>
      <c r="N112" s="85"/>
      <c r="O112" s="85"/>
      <c r="P112" s="85" t="str">
        <f>IFERROR(__xludf.DUMMYFUNCTION("""COMPUTED_VALUE"""),"53BSPA16785JBCUM")</f>
        <v>53BSPA16785JBCUM</v>
      </c>
      <c r="Q112" s="85" t="str">
        <f>IFERROR(__xludf.DUMMYFUNCTION("""COMPUTED_VALUE"""),"TOKO SYIFA")</f>
        <v>TOKO SYIFA</v>
      </c>
      <c r="R112" s="85" t="str">
        <f>IFERROR(__xludf.DUMMYFUNCTION("""COMPUTED_VALUE"""),"TOKO SYIFA")</f>
        <v>TOKO SYIFA</v>
      </c>
      <c r="S112" s="85" t="str">
        <f>IFERROR(__xludf.DUMMYFUNCTION("""COMPUTED_VALUE"""),"SOFI'I")</f>
        <v>SOFI'I</v>
      </c>
      <c r="T112" s="85" t="str">
        <f>IFERROR(__xludf.DUMMYFUNCTION("""COMPUTED_VALUE"""),"CILODONG RT 004 RW 004 KEL. KALIBARU KEC. CILODONG KOTA DEPOK 16473")</f>
        <v>CILODONG RT 004 RW 004 KEL. KALIBARU KEC. CILODONG KOTA DEPOK 16473</v>
      </c>
      <c r="U112" s="85" t="str">
        <f>IFERROR(__xludf.DUMMYFUNCTION("""COMPUTED_VALUE"""),"JL. MANDOR SAMIN NO. 27 ")</f>
        <v>JL. MANDOR SAMIN NO. 27 </v>
      </c>
      <c r="V112" s="85" t="str">
        <f>IFERROR(__xludf.DUMMYFUNCTION("""COMPUTED_VALUE"""),"005/004")</f>
        <v>005/004</v>
      </c>
      <c r="W112" s="85" t="str">
        <f>IFERROR(__xludf.DUMMYFUNCTION("""COMPUTED_VALUE"""),"KALIBARU")</f>
        <v>KALIBARU</v>
      </c>
      <c r="X112" s="85" t="str">
        <f>IFERROR(__xludf.DUMMYFUNCTION("""COMPUTED_VALUE"""),"CILODONG")</f>
        <v>CILODONG</v>
      </c>
      <c r="Y112" s="85" t="str">
        <f>IFERROR(__xludf.DUMMYFUNCTION("""COMPUTED_VALUE"""),"KOTA DEPOK")</f>
        <v>KOTA DEPOK</v>
      </c>
      <c r="Z112" s="85" t="str">
        <f>IFERROR(__xludf.DUMMYFUNCTION("""COMPUTED_VALUE"""),"JAWA BARAT")</f>
        <v>JAWA BARAT</v>
      </c>
      <c r="AA112" s="85" t="str">
        <f>IFERROR(__xludf.DUMMYFUNCTION("""COMPUTED_VALUE"""),"16473")</f>
        <v>16473</v>
      </c>
      <c r="AB112" s="85" t="str">
        <f>IFERROR(__xludf.DUMMYFUNCTION("""COMPUTED_VALUE"""),"3276080208770001")</f>
        <v>3276080208770001</v>
      </c>
      <c r="AC112" s="85" t="str">
        <f>IFERROR(__xludf.DUMMYFUNCTION("""COMPUTED_VALUE"""),"82.568.371.7-412-000")</f>
        <v>82.568.371.7-412-000</v>
      </c>
      <c r="AD112" s="85" t="str">
        <f>IFERROR(__xludf.DUMMYFUNCTION("""COMPUTED_VALUE"""),"CUM - EEN")</f>
        <v>CUM - EEN</v>
      </c>
      <c r="AE112" s="85" t="str">
        <f>IFERROR(__xludf.DUMMYFUNCTION("""COMPUTED_VALUE"""),"SUB EEN")</f>
        <v>SUB EEN</v>
      </c>
      <c r="AF112" s="85" t="str">
        <f>IFERROR(__xludf.DUMMYFUNCTION("""COMPUTED_VALUE"""),"085102144151")</f>
        <v>085102144151</v>
      </c>
      <c r="AG112" s="85" t="str">
        <f>IFERROR(__xludf.DUMMYFUNCTION("""COMPUTED_VALUE"""),"085102144151")</f>
        <v>085102144151</v>
      </c>
      <c r="AH112" s="85" t="str">
        <f>IFERROR(__xludf.DUMMYFUNCTION("""COMPUTED_VALUE"""),"sofiifii35@gmail.com")</f>
        <v>sofiifii35@gmail.com</v>
      </c>
      <c r="AI112" s="85"/>
      <c r="AJ112" s="85"/>
      <c r="AK112" s="85"/>
      <c r="AL112" s="85"/>
      <c r="AM112" s="85"/>
      <c r="AN112" s="85"/>
      <c r="AO112" s="85"/>
      <c r="AP112" s="85"/>
      <c r="AQ112" s="93"/>
      <c r="AR112" s="85"/>
      <c r="AS112" s="85"/>
      <c r="AT112" s="85" t="str">
        <f>IFERROR(__xludf.DUMMYFUNCTION("""COMPUTED_VALUE"""),"-6.4392474")</f>
        <v>-6.4392474</v>
      </c>
      <c r="AU112" s="85" t="str">
        <f>IFERROR(__xludf.DUMMYFUNCTION("""COMPUTED_VALUE"""),"106.8327078")</f>
        <v>106.8327078</v>
      </c>
      <c r="AV112" s="85" t="str">
        <f>IFERROR(__xludf.DUMMYFUNCTION("""COMPUTED_VALUE"""),"√")</f>
        <v>√</v>
      </c>
      <c r="AW112" s="85" t="str">
        <f>IFERROR(__xludf.DUMMYFUNCTION("""COMPUTED_VALUE"""),"√")</f>
        <v>√</v>
      </c>
      <c r="AX112" s="85"/>
      <c r="AY112" s="85"/>
      <c r="AZ112" s="85"/>
      <c r="BA112" s="85" t="str">
        <f>IFERROR(__xludf.DUMMYFUNCTION("""COMPUTED_VALUE"""),"√")</f>
        <v>√</v>
      </c>
      <c r="BB112" s="85" t="str">
        <f>IFERROR(__xludf.DUMMYFUNCTION("""COMPUTED_VALUE"""),"√")</f>
        <v>√</v>
      </c>
      <c r="BC112" s="85"/>
      <c r="BD112" s="85"/>
      <c r="BE112" s="85" t="str">
        <f>IFERROR(__xludf.DUMMYFUNCTION("""COMPUTED_VALUE"""),"√")</f>
        <v>√</v>
      </c>
      <c r="BF112" s="85" t="str">
        <f>IFERROR(__xludf.DUMMYFUNCTION("""COMPUTED_VALUE"""),"√")</f>
        <v>√</v>
      </c>
      <c r="BG112" s="85" t="str">
        <f>IFERROR(__xludf.DUMMYFUNCTION("""COMPUTED_VALUE"""),"√")</f>
        <v>√</v>
      </c>
      <c r="BH112" s="85"/>
      <c r="BI112" s="85"/>
      <c r="BJ112" s="85"/>
      <c r="BK112" s="85"/>
      <c r="BL112" s="85"/>
      <c r="BM112" s="85"/>
      <c r="BN112" s="85"/>
      <c r="BO112" s="85"/>
      <c r="BP112" s="85"/>
      <c r="BQ112" s="85"/>
      <c r="BR112" s="85"/>
      <c r="BS112" s="85"/>
      <c r="BT112" s="85"/>
      <c r="BU112" s="85"/>
      <c r="BV112" s="85"/>
      <c r="BW112" s="85"/>
      <c r="BX112" s="85"/>
      <c r="BY112" s="85"/>
      <c r="BZ112" s="85"/>
      <c r="CA112" s="85"/>
      <c r="CB112" s="85"/>
      <c r="CC112" s="85"/>
      <c r="CD112" s="85"/>
      <c r="CE112" s="85"/>
      <c r="CF112" s="85"/>
      <c r="CG112" s="85"/>
      <c r="CH112" s="85"/>
      <c r="CI112" s="85"/>
      <c r="CJ112" s="85"/>
      <c r="CK112" s="2"/>
    </row>
    <row r="113" ht="12.75" customHeight="1">
      <c r="A113" s="80">
        <f>IFERROR(__xludf.DUMMYFUNCTION("""COMPUTED_VALUE"""),110.0)</f>
        <v>110</v>
      </c>
      <c r="B113" s="80"/>
      <c r="C113" s="80"/>
      <c r="D113" s="81"/>
      <c r="E113" s="82"/>
      <c r="F113" s="80"/>
      <c r="G113" s="81"/>
      <c r="H113" s="80"/>
      <c r="I113" s="80"/>
      <c r="J113" s="80"/>
      <c r="K113" s="80"/>
      <c r="L113" s="80"/>
      <c r="M113" s="80"/>
      <c r="N113" s="80"/>
      <c r="O113" s="80"/>
      <c r="P113" s="80" t="str">
        <f>IFERROR(__xludf.DUMMYFUNCTION("""COMPUTED_VALUE"""),"53BSPA16730JBJAY")</f>
        <v>53BSPA16730JBJAY</v>
      </c>
      <c r="Q113" s="80" t="str">
        <f>IFERROR(__xludf.DUMMYFUNCTION("""COMPUTED_VALUE"""),"ASPARAGA DAU")</f>
        <v>ASPARAGA DAU</v>
      </c>
      <c r="R113" s="80"/>
      <c r="S113" s="80" t="str">
        <f>IFERROR(__xludf.DUMMYFUNCTION("""COMPUTED_VALUE"""),"RISAT SAEDANI")</f>
        <v>RISAT SAEDANI</v>
      </c>
      <c r="T113" s="80" t="str">
        <f>IFERROR(__xludf.DUMMYFUNCTION("""COMPUTED_VALUE"""),"DUSUN KRAJAN RT 005 RW 003 KEL. KROMENGAN KEC. KROMENGAN KAB. MALANG 65165")</f>
        <v>DUSUN KRAJAN RT 005 RW 003 KEL. KROMENGAN KEC. KROMENGAN KAB. MALANG 65165</v>
      </c>
      <c r="U113" s="80"/>
      <c r="V113" s="80"/>
      <c r="W113" s="80"/>
      <c r="X113" s="80"/>
      <c r="Y113" s="80"/>
      <c r="Z113" s="80"/>
      <c r="AA113" s="80"/>
      <c r="AB113" s="80" t="str">
        <f>IFERROR(__xludf.DUMMYFUNCTION("""COMPUTED_VALUE"""),"3507220202840001")</f>
        <v>3507220202840001</v>
      </c>
      <c r="AC113" s="80" t="str">
        <f>IFERROR(__xludf.DUMMYFUNCTION("""COMPUTED_VALUE"""),"'67.283.106.2-657.000")</f>
        <v>'67.283.106.2-657.000</v>
      </c>
      <c r="AD113" s="80" t="str">
        <f>IFERROR(__xludf.DUMMYFUNCTION("""COMPUTED_VALUE"""),"CUM - BSB - JABAR")</f>
        <v>CUM - BSB - JABAR</v>
      </c>
      <c r="AE113" s="80" t="str">
        <f>IFERROR(__xludf.DUMMYFUNCTION("""COMPUTED_VALUE"""),"SUB JAELANI POS")</f>
        <v>SUB JAELANI POS</v>
      </c>
      <c r="AF113" s="80" t="str">
        <f>IFERROR(__xludf.DUMMYFUNCTION("""COMPUTED_VALUE"""),"'0821 9957 6767")</f>
        <v>'0821 9957 6767</v>
      </c>
      <c r="AG113" s="80"/>
      <c r="AH113" s="80" t="str">
        <f>IFERROR(__xludf.DUMMYFUNCTION("""COMPUTED_VALUE"""),"risatsaedani20@gmail.com")</f>
        <v>risatsaedani20@gmail.com</v>
      </c>
      <c r="AI113" s="80"/>
      <c r="AJ113" s="80"/>
      <c r="AK113" s="80"/>
      <c r="AL113" s="80"/>
      <c r="AM113" s="80" t="str">
        <f>IFERROR(__xludf.DUMMYFUNCTION("""COMPUTED_VALUE"""),"KANTOR REGIONAL IV SEMARANG 50004")</f>
        <v>KANTOR REGIONAL IV SEMARANG 50004</v>
      </c>
      <c r="AN113" s="80"/>
      <c r="AO113" s="80"/>
      <c r="AP113" s="80"/>
      <c r="AQ113" s="83"/>
      <c r="AR113" s="80"/>
      <c r="AS113" s="80"/>
      <c r="AT113" s="80"/>
      <c r="AU113" s="80"/>
      <c r="AV113" s="80"/>
      <c r="AW113" s="80"/>
      <c r="AX113" s="80"/>
      <c r="AY113" s="80"/>
      <c r="AZ113" s="80"/>
      <c r="BA113" s="80"/>
      <c r="BB113" s="80"/>
      <c r="BC113" s="80"/>
      <c r="BD113" s="80"/>
      <c r="BE113" s="80"/>
      <c r="BF113" s="80"/>
      <c r="BG113" s="80"/>
      <c r="BH113" s="80"/>
      <c r="BI113" s="80"/>
      <c r="BJ113" s="80"/>
      <c r="BK113" s="80"/>
      <c r="BL113" s="80"/>
      <c r="BM113" s="80"/>
      <c r="BN113" s="80"/>
      <c r="BO113" s="80"/>
      <c r="BP113" s="80"/>
      <c r="BQ113" s="80"/>
      <c r="BR113" s="80"/>
      <c r="BS113" s="80"/>
      <c r="BT113" s="80"/>
      <c r="BU113" s="80"/>
      <c r="BV113" s="80"/>
      <c r="BW113" s="80"/>
      <c r="BX113" s="80"/>
      <c r="BY113" s="80"/>
      <c r="BZ113" s="80"/>
      <c r="CA113" s="80"/>
      <c r="CB113" s="80"/>
      <c r="CC113" s="80"/>
      <c r="CD113" s="80"/>
      <c r="CE113" s="80"/>
      <c r="CF113" s="80"/>
      <c r="CG113" s="80"/>
      <c r="CH113" s="80"/>
      <c r="CI113" s="80"/>
      <c r="CJ113" s="80"/>
      <c r="CK113" s="2"/>
    </row>
    <row r="114" ht="12.75" customHeight="1">
      <c r="A114" s="85">
        <f>IFERROR(__xludf.DUMMYFUNCTION("""COMPUTED_VALUE"""),111.0)</f>
        <v>111</v>
      </c>
      <c r="B114" s="85"/>
      <c r="C114" s="85"/>
      <c r="D114" s="86"/>
      <c r="E114" s="88"/>
      <c r="F114" s="85"/>
      <c r="G114" s="86"/>
      <c r="H114" s="85"/>
      <c r="I114" s="85"/>
      <c r="J114" s="85"/>
      <c r="K114" s="85"/>
      <c r="L114" s="85"/>
      <c r="M114" s="85" t="str">
        <f>IFERROR(__xludf.DUMMYFUNCTION("""COMPUTED_VALUE"""),"√")</f>
        <v>√</v>
      </c>
      <c r="N114" s="85"/>
      <c r="O114" s="85"/>
      <c r="P114" s="85" t="str">
        <f>IFERROR(__xludf.DUMMYFUNCTION("""COMPUTED_VALUE"""),"53BSPA16337JBEEN")</f>
        <v>53BSPA16337JBEEN</v>
      </c>
      <c r="Q114" s="85" t="str">
        <f>IFERROR(__xludf.DUMMYFUNCTION("""COMPUTED_VALUE"""),"CIBUBUR 3")</f>
        <v>CIBUBUR 3</v>
      </c>
      <c r="R114" s="85" t="str">
        <f>IFERROR(__xludf.DUMMYFUNCTION("""COMPUTED_VALUE"""),"AGEN CIBUBUR 3")</f>
        <v>AGEN CIBUBUR 3</v>
      </c>
      <c r="S114" s="85" t="str">
        <f>IFERROR(__xludf.DUMMYFUNCTION("""COMPUTED_VALUE"""),"DIAN IKESARI")</f>
        <v>DIAN IKESARI</v>
      </c>
      <c r="T114" s="85" t="str">
        <f>IFERROR(__xludf.DUMMYFUNCTION("""COMPUTED_VALUE"""),"JL.BULAK DUREN RT.006/003")</f>
        <v>JL.BULAK DUREN RT.006/003</v>
      </c>
      <c r="U114" s="85" t="str">
        <f>IFERROR(__xludf.DUMMYFUNCTION("""COMPUTED_VALUE"""),"JL.BULAK DUREN ")</f>
        <v>JL.BULAK DUREN </v>
      </c>
      <c r="V114" s="85" t="str">
        <f>IFERROR(__xludf.DUMMYFUNCTION("""COMPUTED_VALUE"""),"RT.006/003")</f>
        <v>RT.006/003</v>
      </c>
      <c r="W114" s="85" t="str">
        <f>IFERROR(__xludf.DUMMYFUNCTION("""COMPUTED_VALUE"""),"CISALAK PASAR")</f>
        <v>CISALAK PASAR</v>
      </c>
      <c r="X114" s="85" t="str">
        <f>IFERROR(__xludf.DUMMYFUNCTION("""COMPUTED_VALUE"""),"CIMANGGIS")</f>
        <v>CIMANGGIS</v>
      </c>
      <c r="Y114" s="85" t="str">
        <f>IFERROR(__xludf.DUMMYFUNCTION("""COMPUTED_VALUE"""),"DEPOK")</f>
        <v>DEPOK</v>
      </c>
      <c r="Z114" s="85" t="str">
        <f>IFERROR(__xludf.DUMMYFUNCTION("""COMPUTED_VALUE"""),"JAWA BARAT")</f>
        <v>JAWA BARAT</v>
      </c>
      <c r="AA114" s="85" t="str">
        <f>IFERROR(__xludf.DUMMYFUNCTION("""COMPUTED_VALUE"""),"16452")</f>
        <v>16452</v>
      </c>
      <c r="AB114" s="85" t="str">
        <f>IFERROR(__xludf.DUMMYFUNCTION("""COMPUTED_VALUE"""),"'3276025309740007")</f>
        <v>'3276025309740007</v>
      </c>
      <c r="AC114" s="85" t="str">
        <f>IFERROR(__xludf.DUMMYFUNCTION("""COMPUTED_VALUE"""),"85.914.851.2-412.000")</f>
        <v>85.914.851.2-412.000</v>
      </c>
      <c r="AD114" s="85" t="str">
        <f>IFERROR(__xludf.DUMMYFUNCTION("""COMPUTED_VALUE"""),"CUM - EEN")</f>
        <v>CUM - EEN</v>
      </c>
      <c r="AE114" s="85" t="str">
        <f>IFERROR(__xludf.DUMMYFUNCTION("""COMPUTED_VALUE"""),"SUB EEN")</f>
        <v>SUB EEN</v>
      </c>
      <c r="AF114" s="85" t="str">
        <f>IFERROR(__xludf.DUMMYFUNCTION("""COMPUTED_VALUE"""),"087880605877")</f>
        <v>087880605877</v>
      </c>
      <c r="AG114" s="85" t="str">
        <f>IFERROR(__xludf.DUMMYFUNCTION("""COMPUTED_VALUE"""),"'087880605877")</f>
        <v>'087880605877</v>
      </c>
      <c r="AH114" s="85" t="str">
        <f>IFERROR(__xludf.DUMMYFUNCTION("""COMPUTED_VALUE"""),"Dian@gmail.com")</f>
        <v>Dian@gmail.com</v>
      </c>
      <c r="AI114" s="85" t="str">
        <f>IFERROR(__xludf.DUMMYFUNCTION("""COMPUTED_VALUE"""),"16452S1")</f>
        <v>16452S1</v>
      </c>
      <c r="AJ114" s="85" t="str">
        <f>IFERROR(__xludf.DUMMYFUNCTION("""COMPUTED_VALUE"""),"6545dffeb10df11f8105a0b7")</f>
        <v>6545dffeb10df11f8105a0b7</v>
      </c>
      <c r="AK114" s="85" t="str">
        <f>IFERROR(__xludf.DUMMYFUNCTION("""COMPUTED_VALUE"""),"dm16452s1")</f>
        <v>dm16452s1</v>
      </c>
      <c r="AL114" s="85" t="str">
        <f>IFERROR(__xludf.DUMMYFUNCTION("""COMPUTED_VALUE"""),"Cibu#16452")</f>
        <v>Cibu#16452</v>
      </c>
      <c r="AM114" s="85"/>
      <c r="AN114" s="85" t="str">
        <f>IFERROR(__xludf.DUMMYFUNCTION("""COMPUTED_VALUE"""),"DEPOK 16400")</f>
        <v>DEPOK 16400</v>
      </c>
      <c r="AO114" s="85" t="str">
        <f>IFERROR(__xludf.DUMMYFUNCTION("""COMPUTED_VALUE"""),"2410230050881")</f>
        <v>2410230050881</v>
      </c>
      <c r="AP114" s="85" t="str">
        <f>IFERROR(__xludf.DUMMYFUNCTION("""COMPUTED_VALUE"""),"24102300508810001")</f>
        <v>24102300508810001</v>
      </c>
      <c r="AQ114" s="93"/>
      <c r="AR114" s="85"/>
      <c r="AS114" s="85"/>
      <c r="AT114" s="85" t="str">
        <f>IFERROR(__xludf.DUMMYFUNCTION("""COMPUTED_VALUE"""),"-6.3785761")</f>
        <v>-6.3785761</v>
      </c>
      <c r="AU114" s="85" t="str">
        <f>IFERROR(__xludf.DUMMYFUNCTION("""COMPUTED_VALUE"""),"106.8713755")</f>
        <v>106.8713755</v>
      </c>
      <c r="AV114" s="85" t="str">
        <f>IFERROR(__xludf.DUMMYFUNCTION("""COMPUTED_VALUE"""),"√")</f>
        <v>√</v>
      </c>
      <c r="AW114" s="85" t="str">
        <f>IFERROR(__xludf.DUMMYFUNCTION("""COMPUTED_VALUE"""),"√")</f>
        <v>√</v>
      </c>
      <c r="AX114" s="85"/>
      <c r="AY114" s="85"/>
      <c r="AZ114" s="85"/>
      <c r="BA114" s="85" t="str">
        <f>IFERROR(__xludf.DUMMYFUNCTION("""COMPUTED_VALUE"""),"√")</f>
        <v>√</v>
      </c>
      <c r="BB114" s="85" t="str">
        <f>IFERROR(__xludf.DUMMYFUNCTION("""COMPUTED_VALUE"""),"√")</f>
        <v>√</v>
      </c>
      <c r="BC114" s="85" t="str">
        <f>IFERROR(__xludf.DUMMYFUNCTION("""COMPUTED_VALUE"""),"√")</f>
        <v>√</v>
      </c>
      <c r="BD114" s="85" t="str">
        <f>IFERROR(__xludf.DUMMYFUNCTION("""COMPUTED_VALUE"""),"√")</f>
        <v>√</v>
      </c>
      <c r="BE114" s="85" t="str">
        <f>IFERROR(__xludf.DUMMYFUNCTION("""COMPUTED_VALUE"""),"√")</f>
        <v>√</v>
      </c>
      <c r="BF114" s="85"/>
      <c r="BG114" s="85"/>
      <c r="BH114" s="85"/>
      <c r="BI114" s="85"/>
      <c r="BJ114" s="85"/>
      <c r="BK114" s="85"/>
      <c r="BL114" s="85"/>
      <c r="BM114" s="85"/>
      <c r="BN114" s="85"/>
      <c r="BO114" s="85"/>
      <c r="BP114" s="85"/>
      <c r="BQ114" s="85"/>
      <c r="BR114" s="85"/>
      <c r="BS114" s="85"/>
      <c r="BT114" s="85"/>
      <c r="BU114" s="85"/>
      <c r="BV114" s="85"/>
      <c r="BW114" s="85"/>
      <c r="BX114" s="85"/>
      <c r="BY114" s="85"/>
      <c r="BZ114" s="85"/>
      <c r="CA114" s="85"/>
      <c r="CB114" s="85"/>
      <c r="CC114" s="85"/>
      <c r="CD114" s="85"/>
      <c r="CE114" s="85"/>
      <c r="CF114" s="85"/>
      <c r="CG114" s="85"/>
      <c r="CH114" s="85"/>
      <c r="CI114" s="85"/>
      <c r="CJ114" s="85"/>
      <c r="CK114" s="2"/>
    </row>
    <row r="115" ht="12.75" customHeight="1">
      <c r="A115" s="80">
        <f>IFERROR(__xludf.DUMMYFUNCTION("""COMPUTED_VALUE"""),112.0)</f>
        <v>112</v>
      </c>
      <c r="B115" s="80"/>
      <c r="C115" s="80"/>
      <c r="D115" s="81"/>
      <c r="E115" s="82"/>
      <c r="F115" s="80"/>
      <c r="G115" s="81"/>
      <c r="H115" s="80"/>
      <c r="I115" s="80"/>
      <c r="J115" s="80"/>
      <c r="K115" s="80"/>
      <c r="L115" s="80"/>
      <c r="M115" s="80"/>
      <c r="N115" s="80"/>
      <c r="O115" s="80"/>
      <c r="P115" s="80" t="str">
        <f>IFERROR(__xludf.DUMMYFUNCTION("""COMPUTED_VALUE"""),"53BSPA29743JBEEN")</f>
        <v>53BSPA29743JBEEN</v>
      </c>
      <c r="Q115" s="80" t="str">
        <f>IFERROR(__xludf.DUMMYFUNCTION("""COMPUTED_VALUE"""),"GRAND DEPOK CITY")</f>
        <v>GRAND DEPOK CITY</v>
      </c>
      <c r="R115" s="80" t="str">
        <f>IFERROR(__xludf.DUMMYFUNCTION("""COMPUTED_VALUE"""),"AGEN POS GRAND DEPOK CITY")</f>
        <v>AGEN POS GRAND DEPOK CITY</v>
      </c>
      <c r="S115" s="80" t="str">
        <f>IFERROR(__xludf.DUMMYFUNCTION("""COMPUTED_VALUE"""),"MARHARA NAULI HESTI ROSALMI")</f>
        <v>MARHARA NAULI HESTI ROSALMI</v>
      </c>
      <c r="T115" s="80" t="str">
        <f>IFERROR(__xludf.DUMMYFUNCTION("""COMPUTED_VALUE"""),"GDC CLUSTER ANGGREK2 BLOK S3 NO. 2, TIRTAJAYA, SUKMAJAYA, DEPOK")</f>
        <v>GDC CLUSTER ANGGREK2 BLOK S3 NO. 2, TIRTAJAYA, SUKMAJAYA, DEPOK</v>
      </c>
      <c r="U115" s="80" t="str">
        <f>IFERROR(__xludf.DUMMYFUNCTION("""COMPUTED_VALUE"""),"BOULEVARD RAYA GDC, RUKO ANGGREK1 BLOK C1 NO. 19")</f>
        <v>BOULEVARD RAYA GDC, RUKO ANGGREK1 BLOK C1 NO. 19</v>
      </c>
      <c r="V115" s="80"/>
      <c r="W115" s="80" t="str">
        <f>IFERROR(__xludf.DUMMYFUNCTION("""COMPUTED_VALUE"""),"TIRTAJAYA")</f>
        <v>TIRTAJAYA</v>
      </c>
      <c r="X115" s="80" t="str">
        <f>IFERROR(__xludf.DUMMYFUNCTION("""COMPUTED_VALUE"""),"SUKMAJAYA")</f>
        <v>SUKMAJAYA</v>
      </c>
      <c r="Y115" s="80" t="str">
        <f>IFERROR(__xludf.DUMMYFUNCTION("""COMPUTED_VALUE"""),"DEPOK")</f>
        <v>DEPOK</v>
      </c>
      <c r="Z115" s="80" t="str">
        <f>IFERROR(__xludf.DUMMYFUNCTION("""COMPUTED_VALUE"""),"JAWA BARAT")</f>
        <v>JAWA BARAT</v>
      </c>
      <c r="AA115" s="80"/>
      <c r="AB115" s="80" t="str">
        <f>IFERROR(__xludf.DUMMYFUNCTION("""COMPUTED_VALUE"""),"'6403035710820002")</f>
        <v>'6403035710820002</v>
      </c>
      <c r="AC115" s="80" t="str">
        <f>IFERROR(__xludf.DUMMYFUNCTION("""COMPUTED_VALUE"""),"91.365.794.6-412.000")</f>
        <v>91.365.794.6-412.000</v>
      </c>
      <c r="AD115" s="80" t="str">
        <f>IFERROR(__xludf.DUMMYFUNCTION("""COMPUTED_VALUE"""),"CUM - EEN")</f>
        <v>CUM - EEN</v>
      </c>
      <c r="AE115" s="80" t="str">
        <f>IFERROR(__xludf.DUMMYFUNCTION("""COMPUTED_VALUE"""),"SUB EEN")</f>
        <v>SUB EEN</v>
      </c>
      <c r="AF115" s="80" t="str">
        <f>IFERROR(__xludf.DUMMYFUNCTION("""COMPUTED_VALUE"""),"081258250531")</f>
        <v>081258250531</v>
      </c>
      <c r="AG115" s="80"/>
      <c r="AH115" s="80" t="str">
        <f>IFERROR(__xludf.DUMMYFUNCTION("""COMPUTED_VALUE"""),"hestisihite17@gmail.com")</f>
        <v>hestisihite17@gmail.com</v>
      </c>
      <c r="AI115" s="80"/>
      <c r="AJ115" s="80"/>
      <c r="AK115" s="80"/>
      <c r="AL115" s="80"/>
      <c r="AM115" s="80"/>
      <c r="AN115" s="80"/>
      <c r="AO115" s="80" t="str">
        <f>IFERROR(__xludf.DUMMYFUNCTION("""COMPUTED_VALUE"""),"0")</f>
        <v>0</v>
      </c>
      <c r="AP115" s="80" t="str">
        <f>IFERROR(__xludf.DUMMYFUNCTION("""COMPUTED_VALUE"""),"0")</f>
        <v>0</v>
      </c>
      <c r="AQ115" s="83"/>
      <c r="AR115" s="80"/>
      <c r="AS115" s="80"/>
      <c r="AT115" s="80" t="str">
        <f>IFERROR(__xludf.DUMMYFUNCTION("""COMPUTED_VALUE"""),"-64208609")</f>
        <v>-64208609</v>
      </c>
      <c r="AU115" s="80" t="str">
        <f>IFERROR(__xludf.DUMMYFUNCTION("""COMPUTED_VALUE"""),"1068283796")</f>
        <v>1068283796</v>
      </c>
      <c r="AV115" s="80"/>
      <c r="AW115" s="80"/>
      <c r="AX115" s="80"/>
      <c r="AY115" s="80"/>
      <c r="AZ115" s="80"/>
      <c r="BA115" s="80"/>
      <c r="BB115" s="80"/>
      <c r="BC115" s="80"/>
      <c r="BD115" s="80"/>
      <c r="BE115" s="80"/>
      <c r="BF115" s="80"/>
      <c r="BG115" s="80"/>
      <c r="BH115" s="80"/>
      <c r="BI115" s="80"/>
      <c r="BJ115" s="80"/>
      <c r="BK115" s="80"/>
      <c r="BL115" s="80"/>
      <c r="BM115" s="80"/>
      <c r="BN115" s="80"/>
      <c r="BO115" s="80"/>
      <c r="BP115" s="80"/>
      <c r="BQ115" s="80"/>
      <c r="BR115" s="80"/>
      <c r="BS115" s="80"/>
      <c r="BT115" s="80"/>
      <c r="BU115" s="80"/>
      <c r="BV115" s="80"/>
      <c r="BW115" s="80"/>
      <c r="BX115" s="80"/>
      <c r="BY115" s="80"/>
      <c r="BZ115" s="80"/>
      <c r="CA115" s="80"/>
      <c r="CB115" s="80"/>
      <c r="CC115" s="80"/>
      <c r="CD115" s="80"/>
      <c r="CE115" s="80"/>
      <c r="CF115" s="80"/>
      <c r="CG115" s="80"/>
      <c r="CH115" s="80"/>
      <c r="CI115" s="80"/>
      <c r="CJ115" s="80"/>
      <c r="CK115" s="2"/>
    </row>
    <row r="116" ht="12.75" customHeight="1">
      <c r="A116" s="85">
        <f>IFERROR(__xludf.DUMMYFUNCTION("""COMPUTED_VALUE"""),113.0)</f>
        <v>113</v>
      </c>
      <c r="B116" s="85"/>
      <c r="C116" s="85"/>
      <c r="D116" s="86"/>
      <c r="E116" s="88"/>
      <c r="F116" s="85"/>
      <c r="G116" s="86"/>
      <c r="H116" s="85"/>
      <c r="I116" s="85"/>
      <c r="J116" s="85"/>
      <c r="K116" s="85"/>
      <c r="L116" s="85"/>
      <c r="M116" s="85" t="str">
        <f>IFERROR(__xludf.DUMMYFUNCTION("""COMPUTED_VALUE"""),"√")</f>
        <v>√</v>
      </c>
      <c r="N116" s="85"/>
      <c r="O116" s="85"/>
      <c r="P116" s="85" t="str">
        <f>IFERROR(__xludf.DUMMYFUNCTION("""COMPUTED_VALUE"""),"52BSPA07353JTWWK")</f>
        <v>52BSPA07353JTWWK</v>
      </c>
      <c r="Q116" s="85" t="str">
        <f>IFERROR(__xludf.DUMMYFUNCTION("""COMPUTED_VALUE"""),"ADNAN")</f>
        <v>ADNAN</v>
      </c>
      <c r="R116" s="85" t="str">
        <f>IFERROR(__xludf.DUMMYFUNCTION("""COMPUTED_VALUE"""),"ADNAN")</f>
        <v>ADNAN</v>
      </c>
      <c r="S116" s="85" t="str">
        <f>IFERROR(__xludf.DUMMYFUNCTION("""COMPUTED_VALUE"""),"BAYU KANEKO")</f>
        <v>BAYU KANEKO</v>
      </c>
      <c r="T116" s="85" t="str">
        <f>IFERROR(__xludf.DUMMYFUNCTION("""COMPUTED_VALUE"""),"PACAR RT 009 RW 000, TIMBULHARJO,SEWON, BANTUL, DAERAH ISTIMEWA YOGYAKARTA")</f>
        <v>PACAR RT 009 RW 000, TIMBULHARJO,SEWON, BANTUL, DAERAH ISTIMEWA YOGYAKARTA</v>
      </c>
      <c r="U116" s="85" t="str">
        <f>IFERROR(__xludf.DUMMYFUNCTION("""COMPUTED_VALUE"""),"JL. SULTAN AGUNG NO.18, PACAR, KEC. SEWON, KEL.TIMBULHARJO, BANTUL, 55186")</f>
        <v>JL. SULTAN AGUNG NO.18, PACAR, KEC. SEWON, KEL.TIMBULHARJO, BANTUL, 55186</v>
      </c>
      <c r="V116" s="85"/>
      <c r="W116" s="85" t="str">
        <f>IFERROR(__xludf.DUMMYFUNCTION("""COMPUTED_VALUE"""),"TIMBULHARJO")</f>
        <v>TIMBULHARJO</v>
      </c>
      <c r="X116" s="85" t="str">
        <f>IFERROR(__xludf.DUMMYFUNCTION("""COMPUTED_VALUE"""),"SEWON")</f>
        <v>SEWON</v>
      </c>
      <c r="Y116" s="85" t="str">
        <f>IFERROR(__xludf.DUMMYFUNCTION("""COMPUTED_VALUE"""),"BANTUL")</f>
        <v>BANTUL</v>
      </c>
      <c r="Z116" s="85" t="str">
        <f>IFERROR(__xludf.DUMMYFUNCTION("""COMPUTED_VALUE"""),"JAWA TENGAH")</f>
        <v>JAWA TENGAH</v>
      </c>
      <c r="AA116" s="85" t="str">
        <f>IFERROR(__xludf.DUMMYFUNCTION("""COMPUTED_VALUE"""),"55186")</f>
        <v>55186</v>
      </c>
      <c r="AB116" s="85" t="str">
        <f>IFERROR(__xludf.DUMMYFUNCTION("""COMPUTED_VALUE"""),"3402150201850002")</f>
        <v>3402150201850002</v>
      </c>
      <c r="AC116" s="85" t="str">
        <f>IFERROR(__xludf.DUMMYFUNCTION("""COMPUTED_VALUE"""),"57.943.924.1-543.000")</f>
        <v>57.943.924.1-543.000</v>
      </c>
      <c r="AD116" s="85" t="str">
        <f>IFERROR(__xludf.DUMMYFUNCTION("""COMPUTED_VALUE"""),"CUM - WWK")</f>
        <v>CUM - WWK</v>
      </c>
      <c r="AE116" s="85" t="str">
        <f>IFERROR(__xludf.DUMMYFUNCTION("""COMPUTED_VALUE"""),"SUB WIWIK")</f>
        <v>SUB WIWIK</v>
      </c>
      <c r="AF116" s="85" t="str">
        <f>IFERROR(__xludf.DUMMYFUNCTION("""COMPUTED_VALUE"""),"087738000643")</f>
        <v>087738000643</v>
      </c>
      <c r="AG116" s="85"/>
      <c r="AH116" s="85" t="str">
        <f>IFERROR(__xludf.DUMMYFUNCTION("""COMPUTED_VALUE"""),"wiwikmakmur43@gmail.com")</f>
        <v>wiwikmakmur43@gmail.com</v>
      </c>
      <c r="AI116" s="85" t="str">
        <f>IFERROR(__xludf.DUMMYFUNCTION("""COMPUTED_VALUE"""),"45411S2")</f>
        <v>45411S2</v>
      </c>
      <c r="AJ116" s="85" t="str">
        <f>IFERROR(__xludf.DUMMYFUNCTION("""COMPUTED_VALUE"""),"652a51a52d946f4e930e19c0")</f>
        <v>652a51a52d946f4e930e19c0</v>
      </c>
      <c r="AK116" s="85" t="str">
        <f>IFERROR(__xludf.DUMMYFUNCTION("""COMPUTED_VALUE"""),"dm55797sg")</f>
        <v>dm55797sg</v>
      </c>
      <c r="AL116" s="85" t="str">
        <f>IFERROR(__xludf.DUMMYFUNCTION("""COMPUTED_VALUE"""),"Adn55797")</f>
        <v>Adn55797</v>
      </c>
      <c r="AM116" s="85" t="str">
        <f>IFERROR(__xludf.DUMMYFUNCTION("""COMPUTED_VALUE"""),"KANTOR REGIONAL IV SEMARANG 50004")</f>
        <v>KANTOR REGIONAL IV SEMARANG 50004</v>
      </c>
      <c r="AN116" s="85" t="str">
        <f>IFERROR(__xludf.DUMMYFUNCTION("""COMPUTED_VALUE"""),"SPP YOGYAKARTA 55200")</f>
        <v>SPP YOGYAKARTA 55200</v>
      </c>
      <c r="AO116" s="85" t="str">
        <f>IFERROR(__xludf.DUMMYFUNCTION("""COMPUTED_VALUE"""),"1408230044813")</f>
        <v>1408230044813</v>
      </c>
      <c r="AP116" s="85" t="str">
        <f>IFERROR(__xludf.DUMMYFUNCTION("""COMPUTED_VALUE"""),"14082300448130001")</f>
        <v>14082300448130001</v>
      </c>
      <c r="AQ116" s="93"/>
      <c r="AR116" s="85"/>
      <c r="AS116" s="85"/>
      <c r="AT116" s="85" t="str">
        <f>IFERROR(__xludf.DUMMYFUNCTION("""COMPUTED_VALUE"""),"-7.8728034")</f>
        <v>-7.8728034</v>
      </c>
      <c r="AU116" s="85" t="str">
        <f>IFERROR(__xludf.DUMMYFUNCTION("""COMPUTED_VALUE"""),"110.3789842,17")</f>
        <v>110.3789842,17</v>
      </c>
      <c r="AV116" s="85" t="str">
        <f>IFERROR(__xludf.DUMMYFUNCTION("""COMPUTED_VALUE"""),"√")</f>
        <v>√</v>
      </c>
      <c r="AW116" s="85" t="str">
        <f>IFERROR(__xludf.DUMMYFUNCTION("""COMPUTED_VALUE"""),"√")</f>
        <v>√</v>
      </c>
      <c r="AX116" s="85"/>
      <c r="AY116" s="85"/>
      <c r="AZ116" s="85"/>
      <c r="BA116" s="85" t="str">
        <f>IFERROR(__xludf.DUMMYFUNCTION("""COMPUTED_VALUE"""),"√")</f>
        <v>√</v>
      </c>
      <c r="BB116" s="85" t="str">
        <f>IFERROR(__xludf.DUMMYFUNCTION("""COMPUTED_VALUE"""),"√")</f>
        <v>√</v>
      </c>
      <c r="BC116" s="85" t="str">
        <f>IFERROR(__xludf.DUMMYFUNCTION("""COMPUTED_VALUE"""),"√")</f>
        <v>√</v>
      </c>
      <c r="BD116" s="85" t="str">
        <f>IFERROR(__xludf.DUMMYFUNCTION("""COMPUTED_VALUE"""),"√")</f>
        <v>√</v>
      </c>
      <c r="BE116" s="85" t="str">
        <f>IFERROR(__xludf.DUMMYFUNCTION("""COMPUTED_VALUE"""),"√")</f>
        <v>√</v>
      </c>
      <c r="BF116" s="85"/>
      <c r="BG116" s="85"/>
      <c r="BH116" s="85"/>
      <c r="BI116" s="85"/>
      <c r="BJ116" s="85"/>
      <c r="BK116" s="85"/>
      <c r="BL116" s="85"/>
      <c r="BM116" s="85"/>
      <c r="BN116" s="85"/>
      <c r="BO116" s="85"/>
      <c r="BP116" s="85"/>
      <c r="BQ116" s="85"/>
      <c r="BR116" s="85"/>
      <c r="BS116" s="85"/>
      <c r="BT116" s="85"/>
      <c r="BU116" s="85"/>
      <c r="BV116" s="85"/>
      <c r="BW116" s="85"/>
      <c r="BX116" s="85"/>
      <c r="BY116" s="85"/>
      <c r="BZ116" s="85"/>
      <c r="CA116" s="85"/>
      <c r="CB116" s="85"/>
      <c r="CC116" s="85"/>
      <c r="CD116" s="85"/>
      <c r="CE116" s="85"/>
      <c r="CF116" s="85"/>
      <c r="CG116" s="85"/>
      <c r="CH116" s="85"/>
      <c r="CI116" s="85"/>
      <c r="CJ116" s="85"/>
      <c r="CK116" s="2"/>
    </row>
    <row r="117" ht="12.75" customHeight="1">
      <c r="A117" s="80">
        <f>IFERROR(__xludf.DUMMYFUNCTION("""COMPUTED_VALUE"""),114.0)</f>
        <v>114</v>
      </c>
      <c r="B117" s="80"/>
      <c r="C117" s="80"/>
      <c r="D117" s="81"/>
      <c r="E117" s="82"/>
      <c r="F117" s="80"/>
      <c r="G117" s="81"/>
      <c r="H117" s="80"/>
      <c r="I117" s="80"/>
      <c r="J117" s="80"/>
      <c r="K117" s="80"/>
      <c r="L117" s="80"/>
      <c r="M117" s="80"/>
      <c r="N117" s="80"/>
      <c r="O117" s="80" t="str">
        <f>IFERROR(__xludf.DUMMYFUNCTION("""COMPUTED_VALUE"""),"Cancel")</f>
        <v>Cancel</v>
      </c>
      <c r="P117" s="80"/>
      <c r="Q117" s="80"/>
      <c r="R117" s="80" t="str">
        <f>IFERROR(__xludf.DUMMYFUNCTION("""COMPUTED_VALUE"""),"GARATYMART")</f>
        <v>GARATYMART</v>
      </c>
      <c r="S117" s="80"/>
      <c r="T117" s="80"/>
      <c r="U117" s="80"/>
      <c r="V117" s="80"/>
      <c r="W117" s="80"/>
      <c r="X117" s="80"/>
      <c r="Y117" s="80"/>
      <c r="Z117" s="80"/>
      <c r="AA117" s="80"/>
      <c r="AB117" s="80"/>
      <c r="AC117" s="80"/>
      <c r="AD117" s="80"/>
      <c r="AE117" s="80"/>
      <c r="AF117" s="80"/>
      <c r="AG117" s="80"/>
      <c r="AH117" s="80"/>
      <c r="AI117" s="80"/>
      <c r="AJ117" s="80"/>
      <c r="AK117" s="80"/>
      <c r="AL117" s="80"/>
      <c r="AM117" s="80" t="str">
        <f>IFERROR(__xludf.DUMMYFUNCTION("""COMPUTED_VALUE"""),"KANTOR REGIONAL IV SEMARANG 50004")</f>
        <v>KANTOR REGIONAL IV SEMARANG 50004</v>
      </c>
      <c r="AN117" s="80"/>
      <c r="AO117" s="80"/>
      <c r="AP117" s="80"/>
      <c r="AQ117" s="83"/>
      <c r="AR117" s="80"/>
      <c r="AS117" s="80"/>
      <c r="AT117" s="80"/>
      <c r="AU117" s="80"/>
      <c r="AV117" s="80"/>
      <c r="AW117" s="80"/>
      <c r="AX117" s="80"/>
      <c r="AY117" s="80"/>
      <c r="AZ117" s="80"/>
      <c r="BA117" s="80"/>
      <c r="BB117" s="80"/>
      <c r="BC117" s="80"/>
      <c r="BD117" s="80"/>
      <c r="BE117" s="80"/>
      <c r="BF117" s="80"/>
      <c r="BG117" s="80"/>
      <c r="BH117" s="80"/>
      <c r="BI117" s="80"/>
      <c r="BJ117" s="80"/>
      <c r="BK117" s="80"/>
      <c r="BL117" s="80"/>
      <c r="BM117" s="80"/>
      <c r="BN117" s="80"/>
      <c r="BO117" s="80"/>
      <c r="BP117" s="80"/>
      <c r="BQ117" s="80"/>
      <c r="BR117" s="80"/>
      <c r="BS117" s="80"/>
      <c r="BT117" s="80"/>
      <c r="BU117" s="80"/>
      <c r="BV117" s="80"/>
      <c r="BW117" s="80"/>
      <c r="BX117" s="80"/>
      <c r="BY117" s="80"/>
      <c r="BZ117" s="80"/>
      <c r="CA117" s="80"/>
      <c r="CB117" s="80"/>
      <c r="CC117" s="80"/>
      <c r="CD117" s="80"/>
      <c r="CE117" s="80"/>
      <c r="CF117" s="80"/>
      <c r="CG117" s="80"/>
      <c r="CH117" s="80"/>
      <c r="CI117" s="80"/>
      <c r="CJ117" s="80"/>
      <c r="CK117" s="2"/>
    </row>
    <row r="118" ht="12.75" customHeight="1">
      <c r="A118" s="85">
        <f>IFERROR(__xludf.DUMMYFUNCTION("""COMPUTED_VALUE"""),115.0)</f>
        <v>115</v>
      </c>
      <c r="B118" s="85"/>
      <c r="C118" s="85"/>
      <c r="D118" s="86"/>
      <c r="E118" s="88"/>
      <c r="F118" s="85"/>
      <c r="G118" s="86"/>
      <c r="H118" s="85"/>
      <c r="I118" s="85"/>
      <c r="J118" s="85"/>
      <c r="K118" s="85"/>
      <c r="L118" s="85"/>
      <c r="M118" s="85"/>
      <c r="N118" s="85"/>
      <c r="O118" s="85" t="str">
        <f>IFERROR(__xludf.DUMMYFUNCTION("""COMPUTED_VALUE"""),"√")</f>
        <v>√</v>
      </c>
      <c r="P118" s="85" t="str">
        <f>IFERROR(__xludf.DUMMYFUNCTION("""COMPUTED_VALUE"""),"KH3BSPA26384JBEN")</f>
        <v>KH3BSPA26384JBEN</v>
      </c>
      <c r="Q118" s="85" t="str">
        <f>IFERROR(__xludf.DUMMYFUNCTION("""COMPUTED_VALUE"""),"Agen IRA IXORA")</f>
        <v>Agen IRA IXORA</v>
      </c>
      <c r="R118" s="85" t="str">
        <f>IFERROR(__xludf.DUMMYFUNCTION("""COMPUTED_VALUE"""),"Agen IRA IXORA")</f>
        <v>Agen IRA IXORA</v>
      </c>
      <c r="S118" s="85" t="str">
        <f>IFERROR(__xludf.DUMMYFUNCTION("""COMPUTED_VALUE"""),"Ira Ixora")</f>
        <v>Ira Ixora</v>
      </c>
      <c r="T118" s="85" t="str">
        <f>IFERROR(__xludf.DUMMYFUNCTION("""COMPUTED_VALUE"""),"Jln. Segara Wana No. 01 Rawa Bugel Rt 09 Rw 025, Harapan Jaya, Bekasi Utara, Bekasi")</f>
        <v>Jln. Segara Wana No. 01 Rawa Bugel Rt 09 Rw 025, Harapan Jaya, Bekasi Utara, Bekasi</v>
      </c>
      <c r="U118" s="85" t="str">
        <f>IFERROR(__xludf.DUMMYFUNCTION("""COMPUTED_VALUE"""),"Jln. Segara Wana No. 01 Rawa Bugel ")</f>
        <v>Jln. Segara Wana No. 01 Rawa Bugel </v>
      </c>
      <c r="V118" s="85" t="str">
        <f>IFERROR(__xludf.DUMMYFUNCTION("""COMPUTED_VALUE"""),"09/025")</f>
        <v>09/025</v>
      </c>
      <c r="W118" s="85" t="str">
        <f>IFERROR(__xludf.DUMMYFUNCTION("""COMPUTED_VALUE"""),"Harapan Jaya")</f>
        <v>Harapan Jaya</v>
      </c>
      <c r="X118" s="85" t="str">
        <f>IFERROR(__xludf.DUMMYFUNCTION("""COMPUTED_VALUE"""),"Bekasi Utara")</f>
        <v>Bekasi Utara</v>
      </c>
      <c r="Y118" s="85" t="str">
        <f>IFERROR(__xludf.DUMMYFUNCTION("""COMPUTED_VALUE"""),"Bekasi")</f>
        <v>Bekasi</v>
      </c>
      <c r="Z118" s="85" t="str">
        <f>IFERROR(__xludf.DUMMYFUNCTION("""COMPUTED_VALUE"""),"JAWA BARAT")</f>
        <v>JAWA BARAT</v>
      </c>
      <c r="AA118" s="85"/>
      <c r="AB118" s="85" t="str">
        <f>IFERROR(__xludf.DUMMYFUNCTION("""COMPUTED_VALUE"""),"3275035501800009")</f>
        <v>3275035501800009</v>
      </c>
      <c r="AC118" s="85" t="str">
        <f>IFERROR(__xludf.DUMMYFUNCTION("""COMPUTED_VALUE"""),"0")</f>
        <v>0</v>
      </c>
      <c r="AD118" s="85" t="str">
        <f>IFERROR(__xludf.DUMMYFUNCTION("""COMPUTED_VALUE"""),"CUM - EEN")</f>
        <v>CUM - EEN</v>
      </c>
      <c r="AE118" s="85" t="str">
        <f>IFERROR(__xludf.DUMMYFUNCTION("""COMPUTED_VALUE"""),"SUB EEN")</f>
        <v>SUB EEN</v>
      </c>
      <c r="AF118" s="85" t="str">
        <f>IFERROR(__xludf.DUMMYFUNCTION("""COMPUTED_VALUE"""),"'082299763003")</f>
        <v>'082299763003</v>
      </c>
      <c r="AG118" s="85"/>
      <c r="AH118" s="85" t="str">
        <f>IFERROR(__xludf.DUMMYFUNCTION("""COMPUTED_VALUE"""),"iraixora228@gmail.com")</f>
        <v>iraixora228@gmail.com</v>
      </c>
      <c r="AI118" s="85"/>
      <c r="AJ118" s="85"/>
      <c r="AK118" s="85"/>
      <c r="AL118" s="85"/>
      <c r="AM118" s="85"/>
      <c r="AN118" s="85"/>
      <c r="AO118" s="85" t="str">
        <f>IFERROR(__xludf.DUMMYFUNCTION("""COMPUTED_VALUE"""),"0")</f>
        <v>0</v>
      </c>
      <c r="AP118" s="85" t="str">
        <f>IFERROR(__xludf.DUMMYFUNCTION("""COMPUTED_VALUE"""),"0")</f>
        <v>0</v>
      </c>
      <c r="AQ118" s="93"/>
      <c r="AR118" s="85"/>
      <c r="AS118" s="85"/>
      <c r="AT118" s="85" t="str">
        <f>IFERROR(__xludf.DUMMYFUNCTION("""COMPUTED_VALUE"""),"-62144898")</f>
        <v>-62144898</v>
      </c>
      <c r="AU118" s="85" t="str">
        <f>IFERROR(__xludf.DUMMYFUNCTION("""COMPUTED_VALUE"""),"1069923472")</f>
        <v>1069923472</v>
      </c>
      <c r="AV118" s="85" t="str">
        <f>IFERROR(__xludf.DUMMYFUNCTION("""COMPUTED_VALUE"""),"√")</f>
        <v>√</v>
      </c>
      <c r="AW118" s="85"/>
      <c r="AX118" s="85"/>
      <c r="AY118" s="85"/>
      <c r="AZ118" s="85"/>
      <c r="BA118" s="85" t="str">
        <f>IFERROR(__xludf.DUMMYFUNCTION("""COMPUTED_VALUE"""),"√")</f>
        <v>√</v>
      </c>
      <c r="BB118" s="85"/>
      <c r="BC118" s="85"/>
      <c r="BD118" s="85"/>
      <c r="BE118" s="85" t="str">
        <f>IFERROR(__xludf.DUMMYFUNCTION("""COMPUTED_VALUE"""),"√")</f>
        <v>√</v>
      </c>
      <c r="BF118" s="85"/>
      <c r="BG118" s="85"/>
      <c r="BH118" s="85"/>
      <c r="BI118" s="85"/>
      <c r="BJ118" s="85"/>
      <c r="BK118" s="85"/>
      <c r="BL118" s="85"/>
      <c r="BM118" s="85"/>
      <c r="BN118" s="85"/>
      <c r="BO118" s="85"/>
      <c r="BP118" s="85"/>
      <c r="BQ118" s="85"/>
      <c r="BR118" s="85"/>
      <c r="BS118" s="85"/>
      <c r="BT118" s="85"/>
      <c r="BU118" s="85"/>
      <c r="BV118" s="85"/>
      <c r="BW118" s="85"/>
      <c r="BX118" s="85"/>
      <c r="BY118" s="85"/>
      <c r="BZ118" s="85"/>
      <c r="CA118" s="85"/>
      <c r="CB118" s="85"/>
      <c r="CC118" s="85"/>
      <c r="CD118" s="85"/>
      <c r="CE118" s="85"/>
      <c r="CF118" s="85"/>
      <c r="CG118" s="85"/>
      <c r="CH118" s="85"/>
      <c r="CI118" s="85"/>
      <c r="CJ118" s="85"/>
      <c r="CK118" s="2"/>
    </row>
    <row r="119" ht="12.75" customHeight="1">
      <c r="A119" s="80">
        <f>IFERROR(__xludf.DUMMYFUNCTION("""COMPUTED_VALUE"""),116.0)</f>
        <v>116</v>
      </c>
      <c r="B119" s="80"/>
      <c r="C119" s="80"/>
      <c r="D119" s="81"/>
      <c r="E119" s="82"/>
      <c r="F119" s="80"/>
      <c r="G119" s="81"/>
      <c r="H119" s="80"/>
      <c r="I119" s="80"/>
      <c r="J119" s="80"/>
      <c r="K119" s="80"/>
      <c r="L119" s="80"/>
      <c r="M119" s="80" t="str">
        <f>IFERROR(__xludf.DUMMYFUNCTION("""COMPUTED_VALUE"""),"√")</f>
        <v>√</v>
      </c>
      <c r="N119" s="80"/>
      <c r="O119" s="80"/>
      <c r="P119" s="80" t="str">
        <f>IFERROR(__xludf.DUMMYFUNCTION("""COMPUTED_VALUE"""),"53BSPA16731JBJAY")</f>
        <v>53BSPA16731JBJAY</v>
      </c>
      <c r="Q119" s="80" t="str">
        <f>IFERROR(__xludf.DUMMYFUNCTION("""COMPUTED_VALUE"""),"DAVIN CELL")</f>
        <v>DAVIN CELL</v>
      </c>
      <c r="R119" s="80" t="str">
        <f>IFERROR(__xludf.DUMMYFUNCTION("""COMPUTED_VALUE"""),"DAVIN CELL")</f>
        <v>DAVIN CELL</v>
      </c>
      <c r="S119" s="80" t="str">
        <f>IFERROR(__xludf.DUMMYFUNCTION("""COMPUTED_VALUE"""),"ERRY SURATNO")</f>
        <v>ERRY SURATNO</v>
      </c>
      <c r="T119" s="80" t="str">
        <f>IFERROR(__xludf.DUMMYFUNCTION("""COMPUTED_VALUE"""),"JL  LEMAHABANG NO. 01 RT.002/004,LEMAHMEKAR, INDRAMAYU, JAWA BARAT")</f>
        <v>JL  LEMAHABANG NO. 01 RT.002/004,LEMAHMEKAR, INDRAMAYU, JAWA BARAT</v>
      </c>
      <c r="U119" s="80" t="str">
        <f>IFERROR(__xludf.DUMMYFUNCTION("""COMPUTED_VALUE"""),"JL  LEMAHABANG NO. 01 ")</f>
        <v>JL  LEMAHABANG NO. 01 </v>
      </c>
      <c r="V119" s="80" t="str">
        <f>IFERROR(__xludf.DUMMYFUNCTION("""COMPUTED_VALUE"""),"002/004")</f>
        <v>002/004</v>
      </c>
      <c r="W119" s="80" t="str">
        <f>IFERROR(__xludf.DUMMYFUNCTION("""COMPUTED_VALUE"""),"LEMAHMEKAR")</f>
        <v>LEMAHMEKAR</v>
      </c>
      <c r="X119" s="80" t="str">
        <f>IFERROR(__xludf.DUMMYFUNCTION("""COMPUTED_VALUE"""),"INDRAMAYU")</f>
        <v>INDRAMAYU</v>
      </c>
      <c r="Y119" s="80" t="str">
        <f>IFERROR(__xludf.DUMMYFUNCTION("""COMPUTED_VALUE"""),"INDRAMAYU")</f>
        <v>INDRAMAYU</v>
      </c>
      <c r="Z119" s="80" t="str">
        <f>IFERROR(__xludf.DUMMYFUNCTION("""COMPUTED_VALUE"""),"JAWA BARAT")</f>
        <v>JAWA BARAT</v>
      </c>
      <c r="AA119" s="80" t="str">
        <f>IFERROR(__xludf.DUMMYFUNCTION("""COMPUTED_VALUE"""),"45212")</f>
        <v>45212</v>
      </c>
      <c r="AB119" s="80" t="str">
        <f>IFERROR(__xludf.DUMMYFUNCTION("""COMPUTED_VALUE"""),"3212151702720002")</f>
        <v>3212151702720002</v>
      </c>
      <c r="AC119" s="80" t="str">
        <f>IFERROR(__xludf.DUMMYFUNCTION("""COMPUTED_VALUE"""),"24.520.712.1-437.000")</f>
        <v>24.520.712.1-437.000</v>
      </c>
      <c r="AD119" s="80" t="str">
        <f>IFERROR(__xludf.DUMMYFUNCTION("""COMPUTED_VALUE"""),"CUM - BSB - JABAR")</f>
        <v>CUM - BSB - JABAR</v>
      </c>
      <c r="AE119" s="80" t="str">
        <f>IFERROR(__xludf.DUMMYFUNCTION("""COMPUTED_VALUE"""),"SUB JAELANI POS")</f>
        <v>SUB JAELANI POS</v>
      </c>
      <c r="AF119" s="80" t="str">
        <f>IFERROR(__xludf.DUMMYFUNCTION("""COMPUTED_VALUE"""),"085929000045")</f>
        <v>085929000045</v>
      </c>
      <c r="AG119" s="80" t="str">
        <f>IFERROR(__xludf.DUMMYFUNCTION("""COMPUTED_VALUE"""),"085929000045")</f>
        <v>085929000045</v>
      </c>
      <c r="AH119" s="80" t="str">
        <f>IFERROR(__xludf.DUMMYFUNCTION("""COMPUTED_VALUE"""),"errysuratno.vallens@gmail.com")</f>
        <v>errysuratno.vallens@gmail.com</v>
      </c>
      <c r="AI119" s="80" t="str">
        <f>IFERROR(__xludf.DUMMYFUNCTION("""COMPUTED_VALUE"""),"45212S1")</f>
        <v>45212S1</v>
      </c>
      <c r="AJ119" s="80" t="str">
        <f>IFERROR(__xludf.DUMMYFUNCTION("""COMPUTED_VALUE"""),"64e5cfcbb1801b33c0048d4f")</f>
        <v>64e5cfcbb1801b33c0048d4f</v>
      </c>
      <c r="AK119" s="80" t="str">
        <f>IFERROR(__xludf.DUMMYFUNCTION("""COMPUTED_VALUE"""),"dm45212s1")</f>
        <v>dm45212s1</v>
      </c>
      <c r="AL119" s="80" t="str">
        <f>IFERROR(__xludf.DUMMYFUNCTION("""COMPUTED_VALUE"""),"Davin45212")</f>
        <v>Davin45212</v>
      </c>
      <c r="AM119" s="80"/>
      <c r="AN119" s="80" t="str">
        <f>IFERROR(__xludf.DUMMYFUNCTION("""COMPUTED_VALUE"""),"SPP INDRAMAYU")</f>
        <v>SPP INDRAMAYU</v>
      </c>
      <c r="AO119" s="80" t="str">
        <f>IFERROR(__xludf.DUMMYFUNCTION("""COMPUTED_VALUE"""),"'2108230080495")</f>
        <v>'2108230080495</v>
      </c>
      <c r="AP119" s="80" t="str">
        <f>IFERROR(__xludf.DUMMYFUNCTION("""COMPUTED_VALUE"""),"21082300804950001")</f>
        <v>21082300804950001</v>
      </c>
      <c r="AQ119" s="83"/>
      <c r="AR119" s="80"/>
      <c r="AS119" s="80"/>
      <c r="AT119" s="80" t="str">
        <f>IFERROR(__xludf.DUMMYFUNCTION("""COMPUTED_VALUE"""),"-6.331748")</f>
        <v>-6.331748</v>
      </c>
      <c r="AU119" s="80" t="str">
        <f>IFERROR(__xludf.DUMMYFUNCTION("""COMPUTED_VALUE"""),"108.328918")</f>
        <v>108.328918</v>
      </c>
      <c r="AV119" s="80" t="str">
        <f>IFERROR(__xludf.DUMMYFUNCTION("""COMPUTED_VALUE"""),"√")</f>
        <v>√</v>
      </c>
      <c r="AW119" s="80" t="str">
        <f>IFERROR(__xludf.DUMMYFUNCTION("""COMPUTED_VALUE"""),"√")</f>
        <v>√</v>
      </c>
      <c r="AX119" s="80"/>
      <c r="AY119" s="80"/>
      <c r="AZ119" s="80"/>
      <c r="BA119" s="80" t="str">
        <f>IFERROR(__xludf.DUMMYFUNCTION("""COMPUTED_VALUE"""),"√")</f>
        <v>√</v>
      </c>
      <c r="BB119" s="80" t="str">
        <f>IFERROR(__xludf.DUMMYFUNCTION("""COMPUTED_VALUE"""),"√")</f>
        <v>√</v>
      </c>
      <c r="BC119" s="80" t="str">
        <f>IFERROR(__xludf.DUMMYFUNCTION("""COMPUTED_VALUE"""),"√")</f>
        <v>√</v>
      </c>
      <c r="BD119" s="80" t="str">
        <f>IFERROR(__xludf.DUMMYFUNCTION("""COMPUTED_VALUE"""),"√")</f>
        <v>√</v>
      </c>
      <c r="BE119" s="80" t="str">
        <f>IFERROR(__xludf.DUMMYFUNCTION("""COMPUTED_VALUE"""),"√")</f>
        <v>√</v>
      </c>
      <c r="BF119" s="80"/>
      <c r="BG119" s="80"/>
      <c r="BH119" s="80"/>
      <c r="BI119" s="80"/>
      <c r="BJ119" s="80"/>
      <c r="BK119" s="80"/>
      <c r="BL119" s="80"/>
      <c r="BM119" s="80"/>
      <c r="BN119" s="80"/>
      <c r="BO119" s="80"/>
      <c r="BP119" s="80"/>
      <c r="BQ119" s="80"/>
      <c r="BR119" s="80"/>
      <c r="BS119" s="80"/>
      <c r="BT119" s="80"/>
      <c r="BU119" s="80"/>
      <c r="BV119" s="80"/>
      <c r="BW119" s="80"/>
      <c r="BX119" s="80"/>
      <c r="BY119" s="80"/>
      <c r="BZ119" s="80"/>
      <c r="CA119" s="80"/>
      <c r="CB119" s="80"/>
      <c r="CC119" s="80"/>
      <c r="CD119" s="80"/>
      <c r="CE119" s="80"/>
      <c r="CF119" s="80"/>
      <c r="CG119" s="80"/>
      <c r="CH119" s="80"/>
      <c r="CI119" s="80"/>
      <c r="CJ119" s="80"/>
      <c r="CK119" s="2"/>
    </row>
    <row r="120" ht="12.75" customHeight="1">
      <c r="A120" s="85">
        <f>IFERROR(__xludf.DUMMYFUNCTION("""COMPUTED_VALUE"""),117.0)</f>
        <v>117</v>
      </c>
      <c r="B120" s="85"/>
      <c r="C120" s="85"/>
      <c r="D120" s="86"/>
      <c r="E120" s="88"/>
      <c r="F120" s="85"/>
      <c r="G120" s="86"/>
      <c r="H120" s="85"/>
      <c r="I120" s="85"/>
      <c r="J120" s="85"/>
      <c r="K120" s="85"/>
      <c r="L120" s="85"/>
      <c r="M120" s="85" t="str">
        <f>IFERROR(__xludf.DUMMYFUNCTION("""COMPUTED_VALUE"""),"√")</f>
        <v>√</v>
      </c>
      <c r="N120" s="85"/>
      <c r="O120" s="85"/>
      <c r="P120" s="85" t="str">
        <f>IFERROR(__xludf.DUMMYFUNCTION("""COMPUTED_VALUE"""),"53BSPA16732JBJAY")</f>
        <v>53BSPA16732JBJAY</v>
      </c>
      <c r="Q120" s="85" t="str">
        <f>IFERROR(__xludf.DUMMYFUNCTION("""COMPUTED_VALUE"""),"BRILINK MAMARIO")</f>
        <v>BRILINK MAMARIO</v>
      </c>
      <c r="R120" s="85" t="str">
        <f>IFERROR(__xludf.DUMMYFUNCTION("""COMPUTED_VALUE"""),"BRILINK MAMARIO")</f>
        <v>BRILINK MAMARIO</v>
      </c>
      <c r="S120" s="85" t="str">
        <f>IFERROR(__xludf.DUMMYFUNCTION("""COMPUTED_VALUE"""),"SETIA HARIYA SANTOSO")</f>
        <v>SETIA HARIYA SANTOSO</v>
      </c>
      <c r="T120" s="85" t="str">
        <f>IFERROR(__xludf.DUMMYFUNCTION("""COMPUTED_VALUE"""),", BACUKIKI, PAREPARE, SULAWESI  SELATAN,91121 ")</f>
        <v>, BACUKIKI, PAREPARE, SULAWESI  SELATAN,91121 </v>
      </c>
      <c r="U120" s="85" t="str">
        <f>IFERROR(__xludf.DUMMYFUNCTION("""COMPUTED_VALUE"""),"JL GARUDA RT 02 RW 03, KEL : GALUNG MALOAN, KEC : BACUKIKI,PARE-PARE 91121")</f>
        <v>JL GARUDA RT 02 RW 03, KEL : GALUNG MALOAN, KEC : BACUKIKI,PARE-PARE 91121</v>
      </c>
      <c r="V120" s="85" t="str">
        <f>IFERROR(__xludf.DUMMYFUNCTION("""COMPUTED_VALUE"""),"02/03")</f>
        <v>02/03</v>
      </c>
      <c r="W120" s="85" t="str">
        <f>IFERROR(__xludf.DUMMYFUNCTION("""COMPUTED_VALUE"""),"GALUNG MALOAN")</f>
        <v>GALUNG MALOAN</v>
      </c>
      <c r="X120" s="85" t="str">
        <f>IFERROR(__xludf.DUMMYFUNCTION("""COMPUTED_VALUE"""),"BACUKIKI")</f>
        <v>BACUKIKI</v>
      </c>
      <c r="Y120" s="85" t="str">
        <f>IFERROR(__xludf.DUMMYFUNCTION("""COMPUTED_VALUE"""),"PARE-PARE")</f>
        <v>PARE-PARE</v>
      </c>
      <c r="Z120" s="85" t="str">
        <f>IFERROR(__xludf.DUMMYFUNCTION("""COMPUTED_VALUE"""),"SULAWESI SELATAN")</f>
        <v>SULAWESI SELATAN</v>
      </c>
      <c r="AA120" s="85" t="str">
        <f>IFERROR(__xludf.DUMMYFUNCTION("""COMPUTED_VALUE"""),"91121")</f>
        <v>91121</v>
      </c>
      <c r="AB120" s="85" t="str">
        <f>IFERROR(__xludf.DUMMYFUNCTION("""COMPUTED_VALUE"""),"7372010510790008")</f>
        <v>7372010510790008</v>
      </c>
      <c r="AC120" s="85" t="str">
        <f>IFERROR(__xludf.DUMMYFUNCTION("""COMPUTED_VALUE"""),"59.937.733.0-806.000")</f>
        <v>59.937.733.0-806.000</v>
      </c>
      <c r="AD120" s="85" t="str">
        <f>IFERROR(__xludf.DUMMYFUNCTION("""COMPUTED_VALUE"""),"CUM - BSB - JABAR")</f>
        <v>CUM - BSB - JABAR</v>
      </c>
      <c r="AE120" s="85" t="str">
        <f>IFERROR(__xludf.DUMMYFUNCTION("""COMPUTED_VALUE"""),"SUB JAELANI POS")</f>
        <v>SUB JAELANI POS</v>
      </c>
      <c r="AF120" s="85" t="str">
        <f>IFERROR(__xludf.DUMMYFUNCTION("""COMPUTED_VALUE"""),"6282189328956")</f>
        <v>6282189328956</v>
      </c>
      <c r="AG120" s="85"/>
      <c r="AH120" s="85" t="str">
        <f>IFERROR(__xludf.DUMMYFUNCTION("""COMPUTED_VALUE"""),"setiahariyasantoso@gmail.com")</f>
        <v>setiahariyasantoso@gmail.com</v>
      </c>
      <c r="AI120" s="85"/>
      <c r="AJ120" s="85"/>
      <c r="AK120" s="85"/>
      <c r="AL120" s="85"/>
      <c r="AM120" s="85"/>
      <c r="AN120" s="85" t="str">
        <f>IFERROR(__xludf.DUMMYFUNCTION("""COMPUTED_VALUE"""),"KCU PAREPARE 91111")</f>
        <v>KCU PAREPARE 91111</v>
      </c>
      <c r="AO120" s="85" t="str">
        <f>IFERROR(__xludf.DUMMYFUNCTION("""COMPUTED_VALUE"""),"2403230054992")</f>
        <v>2403230054992</v>
      </c>
      <c r="AP120" s="85" t="str">
        <f>IFERROR(__xludf.DUMMYFUNCTION("""COMPUTED_VALUE"""),"24032300549920001")</f>
        <v>24032300549920001</v>
      </c>
      <c r="AQ120" s="93"/>
      <c r="AR120" s="85"/>
      <c r="AS120" s="85"/>
      <c r="AT120" s="85" t="str">
        <f>IFERROR(__xludf.DUMMYFUNCTION("""COMPUTED_VALUE"""),"-4015146")</f>
        <v>-4015146</v>
      </c>
      <c r="AU120" s="85" t="str">
        <f>IFERROR(__xludf.DUMMYFUNCTION("""COMPUTED_VALUE"""),"119657685")</f>
        <v>119657685</v>
      </c>
      <c r="AV120" s="85" t="str">
        <f>IFERROR(__xludf.DUMMYFUNCTION("""COMPUTED_VALUE"""),"√")</f>
        <v>√</v>
      </c>
      <c r="AW120" s="85" t="str">
        <f>IFERROR(__xludf.DUMMYFUNCTION("""COMPUTED_VALUE"""),"√")</f>
        <v>√</v>
      </c>
      <c r="AX120" s="85"/>
      <c r="AY120" s="85"/>
      <c r="AZ120" s="85"/>
      <c r="BA120" s="85" t="str">
        <f>IFERROR(__xludf.DUMMYFUNCTION("""COMPUTED_VALUE"""),"√")</f>
        <v>√</v>
      </c>
      <c r="BB120" s="85" t="str">
        <f>IFERROR(__xludf.DUMMYFUNCTION("""COMPUTED_VALUE"""),"√")</f>
        <v>√</v>
      </c>
      <c r="BC120" s="85" t="str">
        <f>IFERROR(__xludf.DUMMYFUNCTION("""COMPUTED_VALUE"""),"√")</f>
        <v>√</v>
      </c>
      <c r="BD120" s="85" t="str">
        <f>IFERROR(__xludf.DUMMYFUNCTION("""COMPUTED_VALUE"""),"√")</f>
        <v>√</v>
      </c>
      <c r="BE120" s="85" t="str">
        <f>IFERROR(__xludf.DUMMYFUNCTION("""COMPUTED_VALUE"""),"√")</f>
        <v>√</v>
      </c>
      <c r="BF120" s="85"/>
      <c r="BG120" s="85"/>
      <c r="BH120" s="85"/>
      <c r="BI120" s="85"/>
      <c r="BJ120" s="85"/>
      <c r="BK120" s="85"/>
      <c r="BL120" s="85"/>
      <c r="BM120" s="85"/>
      <c r="BN120" s="85"/>
      <c r="BO120" s="85"/>
      <c r="BP120" s="85"/>
      <c r="BQ120" s="85"/>
      <c r="BR120" s="85"/>
      <c r="BS120" s="85"/>
      <c r="BT120" s="85"/>
      <c r="BU120" s="85"/>
      <c r="BV120" s="85"/>
      <c r="BW120" s="85"/>
      <c r="BX120" s="85"/>
      <c r="BY120" s="85"/>
      <c r="BZ120" s="85"/>
      <c r="CA120" s="85"/>
      <c r="CB120" s="85"/>
      <c r="CC120" s="85"/>
      <c r="CD120" s="85"/>
      <c r="CE120" s="85"/>
      <c r="CF120" s="85"/>
      <c r="CG120" s="85"/>
      <c r="CH120" s="85"/>
      <c r="CI120" s="85"/>
      <c r="CJ120" s="85"/>
      <c r="CK120" s="2"/>
    </row>
    <row r="121" ht="12.75" customHeight="1">
      <c r="A121" s="80">
        <f>IFERROR(__xludf.DUMMYFUNCTION("""COMPUTED_VALUE"""),118.0)</f>
        <v>118</v>
      </c>
      <c r="B121" s="80"/>
      <c r="C121" s="80"/>
      <c r="D121" s="81"/>
      <c r="E121" s="82"/>
      <c r="F121" s="80"/>
      <c r="G121" s="81"/>
      <c r="H121" s="80"/>
      <c r="I121" s="80"/>
      <c r="J121" s="80"/>
      <c r="K121" s="80"/>
      <c r="L121" s="80"/>
      <c r="M121" s="80" t="str">
        <f>IFERROR(__xludf.DUMMYFUNCTION("""COMPUTED_VALUE"""),"√")</f>
        <v>√</v>
      </c>
      <c r="N121" s="80"/>
      <c r="O121" s="80"/>
      <c r="P121" s="80" t="str">
        <f>IFERROR(__xludf.DUMMYFUNCTION("""COMPUTED_VALUE"""),"53BSPASB16679JBABD")</f>
        <v>53BSPASB16679JBABD</v>
      </c>
      <c r="Q121" s="80" t="str">
        <f>IFERROR(__xludf.DUMMYFUNCTION("""COMPUTED_VALUE"""),"COMPAS 13")</f>
        <v>COMPAS 13</v>
      </c>
      <c r="R121" s="80" t="str">
        <f>IFERROR(__xludf.DUMMYFUNCTION("""COMPUTED_VALUE"""),"COMPASS 13")</f>
        <v>COMPASS 13</v>
      </c>
      <c r="S121" s="80" t="str">
        <f>IFERROR(__xludf.DUMMYFUNCTION("""COMPUTED_VALUE"""),"ABDUL QODIR")</f>
        <v>ABDUL QODIR</v>
      </c>
      <c r="T121" s="80" t="str">
        <f>IFERROR(__xludf.DUMMYFUNCTION("""COMPUTED_VALUE"""),"JL. PERTANIAN NO.86 RT 002 RW 009, MAJALENGKA WETAN, MAJALENGKA,JAWA BARAT")</f>
        <v>JL. PERTANIAN NO.86 RT 002 RW 009, MAJALENGKA WETAN, MAJALENGKA,JAWA BARAT</v>
      </c>
      <c r="U121" s="80" t="str">
        <f>IFERROR(__xludf.DUMMYFUNCTION("""COMPUTED_VALUE"""),"JL. PERTANIAN NO.86 RT 002 RW 009, KEC.MAJALENGKA, KEL.MAJALENGKA WETAN, MAJALENGKA,45411")</f>
        <v>JL. PERTANIAN NO.86 RT 002 RW 009, KEC.MAJALENGKA, KEL.MAJALENGKA WETAN, MAJALENGKA,45411</v>
      </c>
      <c r="V121" s="80" t="str">
        <f>IFERROR(__xludf.DUMMYFUNCTION("""COMPUTED_VALUE"""),"002/009")</f>
        <v>002/009</v>
      </c>
      <c r="W121" s="80" t="str">
        <f>IFERROR(__xludf.DUMMYFUNCTION("""COMPUTED_VALUE"""),"MAJALENGKA WETAN")</f>
        <v>MAJALENGKA WETAN</v>
      </c>
      <c r="X121" s="80" t="str">
        <f>IFERROR(__xludf.DUMMYFUNCTION("""COMPUTED_VALUE"""),"MAJALENGKA")</f>
        <v>MAJALENGKA</v>
      </c>
      <c r="Y121" s="80" t="str">
        <f>IFERROR(__xludf.DUMMYFUNCTION("""COMPUTED_VALUE"""),"MAJALENGKA")</f>
        <v>MAJALENGKA</v>
      </c>
      <c r="Z121" s="80" t="str">
        <f>IFERROR(__xludf.DUMMYFUNCTION("""COMPUTED_VALUE"""),"JAWA BARAT")</f>
        <v>JAWA BARAT</v>
      </c>
      <c r="AA121" s="80" t="str">
        <f>IFERROR(__xludf.DUMMYFUNCTION("""COMPUTED_VALUE"""),"45411")</f>
        <v>45411</v>
      </c>
      <c r="AB121" s="80" t="str">
        <f>IFERROR(__xludf.DUMMYFUNCTION("""COMPUTED_VALUE"""),"3210071307730001")</f>
        <v>3210071307730001</v>
      </c>
      <c r="AC121" s="80" t="str">
        <f>IFERROR(__xludf.DUMMYFUNCTION("""COMPUTED_VALUE"""),"36.722.306.2-438.000")</f>
        <v>36.722.306.2-438.000</v>
      </c>
      <c r="AD121" s="80" t="str">
        <f>IFERROR(__xludf.DUMMYFUNCTION("""COMPUTED_VALUE"""),"CUM - ABD")</f>
        <v>CUM - ABD</v>
      </c>
      <c r="AE121" s="80" t="str">
        <f>IFERROR(__xludf.DUMMYFUNCTION("""COMPUTED_VALUE"""),"SUB ABDUL QODIR")</f>
        <v>SUB ABDUL QODIR</v>
      </c>
      <c r="AF121" s="80" t="str">
        <f>IFERROR(__xludf.DUMMYFUNCTION("""COMPUTED_VALUE"""),"0819-3113-3779")</f>
        <v>0819-3113-3779</v>
      </c>
      <c r="AG121" s="80"/>
      <c r="AH121" s="80" t="str">
        <f>IFERROR(__xludf.DUMMYFUNCTION("""COMPUTED_VALUE"""),"japars73@gmail.com")</f>
        <v>japars73@gmail.com</v>
      </c>
      <c r="AI121" s="80" t="str">
        <f>IFERROR(__xludf.DUMMYFUNCTION("""COMPUTED_VALUE"""),"45411S2")</f>
        <v>45411S2</v>
      </c>
      <c r="AJ121" s="80" t="str">
        <f>IFERROR(__xludf.DUMMYFUNCTION("""COMPUTED_VALUE"""),"652a38ac231c727d1c082620")</f>
        <v>652a38ac231c727d1c082620</v>
      </c>
      <c r="AK121" s="80" t="str">
        <f>IFERROR(__xludf.DUMMYFUNCTION("""COMPUTED_VALUE"""),"dm45411s2")</f>
        <v>dm45411s2</v>
      </c>
      <c r="AL121" s="80" t="str">
        <f>IFERROR(__xludf.DUMMYFUNCTION("""COMPUTED_VALUE"""),"!Mpas45411")</f>
        <v>!Mpas45411</v>
      </c>
      <c r="AM121" s="80"/>
      <c r="AN121" s="80" t="str">
        <f>IFERROR(__xludf.DUMMYFUNCTION("""COMPUTED_VALUE"""),"SPP MAJALENGKA 45400")</f>
        <v>SPP MAJALENGKA 45400</v>
      </c>
      <c r="AO121" s="80" t="str">
        <f>IFERROR(__xludf.DUMMYFUNCTION("""COMPUTED_VALUE"""),"0609230023665")</f>
        <v>0609230023665</v>
      </c>
      <c r="AP121" s="80" t="str">
        <f>IFERROR(__xludf.DUMMYFUNCTION("""COMPUTED_VALUE"""),"06092300236650001")</f>
        <v>06092300236650001</v>
      </c>
      <c r="AQ121" s="83"/>
      <c r="AR121" s="80"/>
      <c r="AS121" s="80"/>
      <c r="AT121" s="80" t="str">
        <f>IFERROR(__xludf.DUMMYFUNCTION("""COMPUTED_VALUE"""),"-6.8339496")</f>
        <v>-6.8339496</v>
      </c>
      <c r="AU121" s="80" t="str">
        <f>IFERROR(__xludf.DUMMYFUNCTION("""COMPUTED_VALUE"""),"108.2323527")</f>
        <v>108.2323527</v>
      </c>
      <c r="AV121" s="80"/>
      <c r="AW121" s="80"/>
      <c r="AX121" s="80"/>
      <c r="AY121" s="80"/>
      <c r="AZ121" s="80"/>
      <c r="BA121" s="80"/>
      <c r="BB121" s="80"/>
      <c r="BC121" s="80"/>
      <c r="BD121" s="80"/>
      <c r="BE121" s="80"/>
      <c r="BF121" s="80"/>
      <c r="BG121" s="80"/>
      <c r="BH121" s="80"/>
      <c r="BI121" s="80"/>
      <c r="BJ121" s="80"/>
      <c r="BK121" s="80"/>
      <c r="BL121" s="80"/>
      <c r="BM121" s="80"/>
      <c r="BN121" s="80"/>
      <c r="BO121" s="80"/>
      <c r="BP121" s="80"/>
      <c r="BQ121" s="80"/>
      <c r="BR121" s="80"/>
      <c r="BS121" s="80"/>
      <c r="BT121" s="80"/>
      <c r="BU121" s="80"/>
      <c r="BV121" s="80"/>
      <c r="BW121" s="80"/>
      <c r="BX121" s="80"/>
      <c r="BY121" s="80"/>
      <c r="BZ121" s="80"/>
      <c r="CA121" s="80"/>
      <c r="CB121" s="80"/>
      <c r="CC121" s="80"/>
      <c r="CD121" s="80"/>
      <c r="CE121" s="80"/>
      <c r="CF121" s="80"/>
      <c r="CG121" s="80"/>
      <c r="CH121" s="80"/>
      <c r="CI121" s="80"/>
      <c r="CJ121" s="80"/>
      <c r="CK121" s="2"/>
    </row>
    <row r="122" ht="12.75" customHeight="1">
      <c r="A122" s="85">
        <f>IFERROR(__xludf.DUMMYFUNCTION("""COMPUTED_VALUE"""),119.0)</f>
        <v>119</v>
      </c>
      <c r="B122" s="85"/>
      <c r="C122" s="85"/>
      <c r="D122" s="86"/>
      <c r="E122" s="88"/>
      <c r="F122" s="85"/>
      <c r="G122" s="86"/>
      <c r="H122" s="85"/>
      <c r="I122" s="85"/>
      <c r="J122" s="85"/>
      <c r="K122" s="85"/>
      <c r="L122" s="85"/>
      <c r="M122" s="85" t="str">
        <f>IFERROR(__xludf.DUMMYFUNCTION("""COMPUTED_VALUE"""),"√")</f>
        <v>√</v>
      </c>
      <c r="N122" s="85"/>
      <c r="O122" s="85"/>
      <c r="P122" s="85" t="str">
        <f>IFERROR(__xludf.DUMMYFUNCTION("""COMPUTED_VALUE"""),"53BSPA16733JBJAY")</f>
        <v>53BSPA16733JBJAY</v>
      </c>
      <c r="Q122" s="85" t="str">
        <f>IFERROR(__xludf.DUMMYFUNCTION("""COMPUTED_VALUE"""),"AGEN LYLI")</f>
        <v>AGEN LYLI</v>
      </c>
      <c r="R122" s="85" t="str">
        <f>IFERROR(__xludf.DUMMYFUNCTION("""COMPUTED_VALUE"""),"AGEN LYLI")</f>
        <v>AGEN LYLI</v>
      </c>
      <c r="S122" s="85" t="str">
        <f>IFERROR(__xludf.DUMMYFUNCTION("""COMPUTED_VALUE"""),"LYLI SUMARNI")</f>
        <v>LYLI SUMARNI</v>
      </c>
      <c r="T122" s="85" t="str">
        <f>IFERROR(__xludf.DUMMYFUNCTION("""COMPUTED_VALUE"""),"JL. A. P. PETTARANI NO 205  LALEBATA PANCA RIJANG SIDENRENG RAPPANG SULAWESI SELATAN")</f>
        <v>JL. A. P. PETTARANI NO 205  LALEBATA PANCA RIJANG SIDENRENG RAPPANG SULAWESI SELATAN</v>
      </c>
      <c r="U122" s="85" t="str">
        <f>IFERROR(__xludf.DUMMYFUNCTION("""COMPUTED_VALUE"""),"JL. POROS PINRANG RAPPANG, KEL.RAPPANG, KEC.PANCA RIJANG, SIDENRENG RAPPANG, 91651")</f>
        <v>JL. POROS PINRANG RAPPANG, KEL.RAPPANG, KEC.PANCA RIJANG, SIDENRENG RAPPANG, 91651</v>
      </c>
      <c r="V122" s="85"/>
      <c r="W122" s="85" t="str">
        <f>IFERROR(__xludf.DUMMYFUNCTION("""COMPUTED_VALUE"""),"RAPPANG")</f>
        <v>RAPPANG</v>
      </c>
      <c r="X122" s="85" t="str">
        <f>IFERROR(__xludf.DUMMYFUNCTION("""COMPUTED_VALUE"""),"PANCA RIJANG")</f>
        <v>PANCA RIJANG</v>
      </c>
      <c r="Y122" s="85" t="str">
        <f>IFERROR(__xludf.DUMMYFUNCTION("""COMPUTED_VALUE"""),"SIDENRENG RAPPANG")</f>
        <v>SIDENRENG RAPPANG</v>
      </c>
      <c r="Z122" s="85" t="str">
        <f>IFERROR(__xludf.DUMMYFUNCTION("""COMPUTED_VALUE"""),"SULAWESI SELATAN")</f>
        <v>SULAWESI SELATAN</v>
      </c>
      <c r="AA122" s="85" t="str">
        <f>IFERROR(__xludf.DUMMYFUNCTION("""COMPUTED_VALUE"""),"91651")</f>
        <v>91651</v>
      </c>
      <c r="AB122" s="85" t="str">
        <f>IFERROR(__xludf.DUMMYFUNCTION("""COMPUTED_VALUE"""),"7314054804740003")</f>
        <v>7314054804740003</v>
      </c>
      <c r="AC122" s="85" t="str">
        <f>IFERROR(__xludf.DUMMYFUNCTION("""COMPUTED_VALUE"""),"14.013.747.2-802.000")</f>
        <v>14.013.747.2-802.000</v>
      </c>
      <c r="AD122" s="85" t="str">
        <f>IFERROR(__xludf.DUMMYFUNCTION("""COMPUTED_VALUE"""),"CUM - BSB - JABAR")</f>
        <v>CUM - BSB - JABAR</v>
      </c>
      <c r="AE122" s="85" t="str">
        <f>IFERROR(__xludf.DUMMYFUNCTION("""COMPUTED_VALUE"""),"SUB JAELANI POS")</f>
        <v>SUB JAELANI POS</v>
      </c>
      <c r="AF122" s="85" t="str">
        <f>IFERROR(__xludf.DUMMYFUNCTION("""COMPUTED_VALUE"""),"088804111006")</f>
        <v>088804111006</v>
      </c>
      <c r="AG122" s="85"/>
      <c r="AH122" s="85" t="str">
        <f>IFERROR(__xludf.DUMMYFUNCTION("""COMPUTED_VALUE"""),"lylisumarni844@gmail.com")</f>
        <v>lylisumarni844@gmail.com</v>
      </c>
      <c r="AI122" s="85" t="str">
        <f>IFERROR(__xludf.DUMMYFUNCTION("""COMPUTED_VALUE"""),"91651S1")</f>
        <v>91651S1</v>
      </c>
      <c r="AJ122" s="85" t="str">
        <f>IFERROR(__xludf.DUMMYFUNCTION("""COMPUTED_VALUE"""),"65b231ae87e2fd3e530763f5")</f>
        <v>65b231ae87e2fd3e530763f5</v>
      </c>
      <c r="AK122" s="85" t="str">
        <f>IFERROR(__xludf.DUMMYFUNCTION("""COMPUTED_VALUE"""),"dm91651s1")</f>
        <v>dm91651s1</v>
      </c>
      <c r="AL122" s="85" t="str">
        <f>IFERROR(__xludf.DUMMYFUNCTION("""COMPUTED_VALUE"""),"#91651Pos")</f>
        <v>#91651Pos</v>
      </c>
      <c r="AM122" s="85"/>
      <c r="AN122" s="85" t="str">
        <f>IFERROR(__xludf.DUMMYFUNCTION("""COMPUTED_VALUE"""),"SPP RAPPANG 91600")</f>
        <v>SPP RAPPANG 91600</v>
      </c>
      <c r="AO122" s="85" t="str">
        <f>IFERROR(__xludf.DUMMYFUNCTION("""COMPUTED_VALUE"""),"2709230034312")</f>
        <v>2709230034312</v>
      </c>
      <c r="AP122" s="85" t="str">
        <f>IFERROR(__xludf.DUMMYFUNCTION("""COMPUTED_VALUE"""),"27092300343120001")</f>
        <v>27092300343120001</v>
      </c>
      <c r="AQ122" s="93"/>
      <c r="AR122" s="85"/>
      <c r="AS122" s="85"/>
      <c r="AT122" s="85" t="str">
        <f>IFERROR(__xludf.DUMMYFUNCTION("""COMPUTED_VALUE"""),"-3.843594")</f>
        <v>-3.843594</v>
      </c>
      <c r="AU122" s="85" t="str">
        <f>IFERROR(__xludf.DUMMYFUNCTION("""COMPUTED_VALUE"""),"119.816115")</f>
        <v>119.816115</v>
      </c>
      <c r="AV122" s="85" t="str">
        <f>IFERROR(__xludf.DUMMYFUNCTION("""COMPUTED_VALUE"""),"√")</f>
        <v>√</v>
      </c>
      <c r="AW122" s="85" t="str">
        <f>IFERROR(__xludf.DUMMYFUNCTION("""COMPUTED_VALUE"""),"√")</f>
        <v>√</v>
      </c>
      <c r="AX122" s="85"/>
      <c r="AY122" s="85"/>
      <c r="AZ122" s="85"/>
      <c r="BA122" s="85" t="str">
        <f>IFERROR(__xludf.DUMMYFUNCTION("""COMPUTED_VALUE"""),"√")</f>
        <v>√</v>
      </c>
      <c r="BB122" s="85" t="str">
        <f>IFERROR(__xludf.DUMMYFUNCTION("""COMPUTED_VALUE"""),"√")</f>
        <v>√</v>
      </c>
      <c r="BC122" s="85" t="str">
        <f>IFERROR(__xludf.DUMMYFUNCTION("""COMPUTED_VALUE"""),"√")</f>
        <v>√</v>
      </c>
      <c r="BD122" s="85" t="str">
        <f>IFERROR(__xludf.DUMMYFUNCTION("""COMPUTED_VALUE"""),"√")</f>
        <v>√</v>
      </c>
      <c r="BE122" s="85" t="str">
        <f>IFERROR(__xludf.DUMMYFUNCTION("""COMPUTED_VALUE"""),"√")</f>
        <v>√</v>
      </c>
      <c r="BF122" s="85"/>
      <c r="BG122" s="85"/>
      <c r="BH122" s="85"/>
      <c r="BI122" s="85"/>
      <c r="BJ122" s="85"/>
      <c r="BK122" s="85"/>
      <c r="BL122" s="85"/>
      <c r="BM122" s="85"/>
      <c r="BN122" s="85"/>
      <c r="BO122" s="85"/>
      <c r="BP122" s="85"/>
      <c r="BQ122" s="85"/>
      <c r="BR122" s="85"/>
      <c r="BS122" s="85"/>
      <c r="BT122" s="85"/>
      <c r="BU122" s="85"/>
      <c r="BV122" s="85"/>
      <c r="BW122" s="85"/>
      <c r="BX122" s="85"/>
      <c r="BY122" s="85"/>
      <c r="BZ122" s="85"/>
      <c r="CA122" s="85"/>
      <c r="CB122" s="85"/>
      <c r="CC122" s="85"/>
      <c r="CD122" s="85"/>
      <c r="CE122" s="85"/>
      <c r="CF122" s="85"/>
      <c r="CG122" s="85"/>
      <c r="CH122" s="85"/>
      <c r="CI122" s="85"/>
      <c r="CJ122" s="85"/>
      <c r="CK122" s="2"/>
    </row>
    <row r="123" ht="12.75" customHeight="1">
      <c r="A123" s="80">
        <f>IFERROR(__xludf.DUMMYFUNCTION("""COMPUTED_VALUE"""),120.0)</f>
        <v>120</v>
      </c>
      <c r="B123" s="80"/>
      <c r="C123" s="80"/>
      <c r="D123" s="81"/>
      <c r="E123" s="82"/>
      <c r="F123" s="80"/>
      <c r="G123" s="81"/>
      <c r="H123" s="80"/>
      <c r="I123" s="80"/>
      <c r="J123" s="80"/>
      <c r="K123" s="80"/>
      <c r="L123" s="80"/>
      <c r="M123" s="80" t="str">
        <f>IFERROR(__xludf.DUMMYFUNCTION("""COMPUTED_VALUE"""),"√")</f>
        <v>√</v>
      </c>
      <c r="N123" s="80"/>
      <c r="O123" s="80"/>
      <c r="P123" s="80" t="str">
        <f>IFERROR(__xludf.DUMMYFUNCTION("""COMPUTED_VALUE"""),"53BSPA16962JBRHD")</f>
        <v>53BSPA16962JBRHD</v>
      </c>
      <c r="Q123" s="80" t="str">
        <f>IFERROR(__xludf.DUMMYFUNCTION("""COMPUTED_VALUE"""),"Loket Homecreative86")</f>
        <v>Loket Homecreative86</v>
      </c>
      <c r="R123" s="80" t="str">
        <f>IFERROR(__xludf.DUMMYFUNCTION("""COMPUTED_VALUE"""),"Homecreative86")</f>
        <v>Homecreative86</v>
      </c>
      <c r="S123" s="80" t="str">
        <f>IFERROR(__xludf.DUMMYFUNCTION("""COMPUTED_VALUE"""),"LALAN KURNIAWAN")</f>
        <v>LALAN KURNIAWAN</v>
      </c>
      <c r="T123" s="80" t="str">
        <f>IFERROR(__xludf.DUMMYFUNCTION("""COMPUTED_VALUE"""),"DUSUN CILOA RT 004 RW 003 KEL.SUKAHAJI, KEC.CIHAURBEUTI, CIAMIS, 46262")</f>
        <v>DUSUN CILOA RT 004 RW 003 KEL.SUKAHAJI, KEC.CIHAURBEUTI, CIAMIS, 46262</v>
      </c>
      <c r="U123" s="80" t="str">
        <f>IFERROR(__xludf.DUMMYFUNCTION("""COMPUTED_VALUE"""),"DUSUN CILOA, KEL.SUKAHAJI, KEC.CIHAURBEUTI, CIAMIS, 46262")</f>
        <v>DUSUN CILOA, KEL.SUKAHAJI, KEC.CIHAURBEUTI, CIAMIS, 46262</v>
      </c>
      <c r="V123" s="80"/>
      <c r="W123" s="80" t="str">
        <f>IFERROR(__xludf.DUMMYFUNCTION("""COMPUTED_VALUE"""),"SUKAHAJI")</f>
        <v>SUKAHAJI</v>
      </c>
      <c r="X123" s="80" t="str">
        <f>IFERROR(__xludf.DUMMYFUNCTION("""COMPUTED_VALUE"""),"CIHAURBEUTI")</f>
        <v>CIHAURBEUTI</v>
      </c>
      <c r="Y123" s="80" t="str">
        <f>IFERROR(__xludf.DUMMYFUNCTION("""COMPUTED_VALUE"""),"CIAMIS")</f>
        <v>CIAMIS</v>
      </c>
      <c r="Z123" s="80" t="str">
        <f>IFERROR(__xludf.DUMMYFUNCTION("""COMPUTED_VALUE"""),"JAWA BARAT")</f>
        <v>JAWA BARAT</v>
      </c>
      <c r="AA123" s="80" t="str">
        <f>IFERROR(__xludf.DUMMYFUNCTION("""COMPUTED_VALUE"""),"46262")</f>
        <v>46262</v>
      </c>
      <c r="AB123" s="80" t="str">
        <f>IFERROR(__xludf.DUMMYFUNCTION("""COMPUTED_VALUE"""),"3207060303860001")</f>
        <v>3207060303860001</v>
      </c>
      <c r="AC123" s="80"/>
      <c r="AD123" s="80" t="str">
        <f>IFERROR(__xludf.DUMMYFUNCTION("""COMPUTED_VALUE"""),"CUM - HDT")</f>
        <v>CUM - HDT</v>
      </c>
      <c r="AE123" s="80" t="str">
        <f>IFERROR(__xludf.DUMMYFUNCTION("""COMPUTED_VALUE"""),"Sub Hidayat")</f>
        <v>Sub Hidayat</v>
      </c>
      <c r="AF123" s="80" t="str">
        <f>IFERROR(__xludf.DUMMYFUNCTION("""COMPUTED_VALUE"""),"+6288802111424")</f>
        <v>+6288802111424</v>
      </c>
      <c r="AG123" s="80"/>
      <c r="AH123" s="80" t="str">
        <f>IFERROR(__xludf.DUMMYFUNCTION("""COMPUTED_VALUE"""),"lalankurniawan86@gmail.com")</f>
        <v>lalankurniawan86@gmail.com</v>
      </c>
      <c r="AI123" s="80"/>
      <c r="AJ123" s="80"/>
      <c r="AK123" s="80"/>
      <c r="AL123" s="80"/>
      <c r="AM123" s="80"/>
      <c r="AN123" s="80" t="str">
        <f>IFERROR(__xludf.DUMMYFUNCTION("""COMPUTED_VALUE"""),"TASIKMALAYA 46100")</f>
        <v>TASIKMALAYA 46100</v>
      </c>
      <c r="AO123" s="80" t="str">
        <f>IFERROR(__xludf.DUMMYFUNCTION("""COMPUTED_VALUE"""),"0210230048004")</f>
        <v>0210230048004</v>
      </c>
      <c r="AP123" s="80" t="str">
        <f>IFERROR(__xludf.DUMMYFUNCTION("""COMPUTED_VALUE"""),"02102300480040001")</f>
        <v>02102300480040001</v>
      </c>
      <c r="AQ123" s="83"/>
      <c r="AR123" s="80"/>
      <c r="AS123" s="80"/>
      <c r="AT123" s="80" t="str">
        <f>IFERROR(__xludf.DUMMYFUNCTION("""COMPUTED_VALUE"""),"-7.2641452")</f>
        <v>-7.2641452</v>
      </c>
      <c r="AU123" s="80" t="str">
        <f>IFERROR(__xludf.DUMMYFUNCTION("""COMPUTED_VALUE"""),"108.2029054,15")</f>
        <v>108.2029054,15</v>
      </c>
      <c r="AV123" s="80" t="str">
        <f>IFERROR(__xludf.DUMMYFUNCTION("""COMPUTED_VALUE"""),"√")</f>
        <v>√</v>
      </c>
      <c r="AW123" s="80" t="str">
        <f>IFERROR(__xludf.DUMMYFUNCTION("""COMPUTED_VALUE"""),"√")</f>
        <v>√</v>
      </c>
      <c r="AX123" s="80"/>
      <c r="AY123" s="80"/>
      <c r="AZ123" s="80"/>
      <c r="BA123" s="80" t="str">
        <f>IFERROR(__xludf.DUMMYFUNCTION("""COMPUTED_VALUE"""),"√")</f>
        <v>√</v>
      </c>
      <c r="BB123" s="80"/>
      <c r="BC123" s="80" t="str">
        <f>IFERROR(__xludf.DUMMYFUNCTION("""COMPUTED_VALUE"""),"√")</f>
        <v>√</v>
      </c>
      <c r="BD123" s="80" t="str">
        <f>IFERROR(__xludf.DUMMYFUNCTION("""COMPUTED_VALUE"""),"√")</f>
        <v>√</v>
      </c>
      <c r="BE123" s="80" t="str">
        <f>IFERROR(__xludf.DUMMYFUNCTION("""COMPUTED_VALUE"""),"√")</f>
        <v>√</v>
      </c>
      <c r="BF123" s="80"/>
      <c r="BG123" s="80"/>
      <c r="BH123" s="80"/>
      <c r="BI123" s="80"/>
      <c r="BJ123" s="80"/>
      <c r="BK123" s="80"/>
      <c r="BL123" s="80"/>
      <c r="BM123" s="80"/>
      <c r="BN123" s="80"/>
      <c r="BO123" s="80"/>
      <c r="BP123" s="80"/>
      <c r="BQ123" s="80"/>
      <c r="BR123" s="80"/>
      <c r="BS123" s="80"/>
      <c r="BT123" s="80"/>
      <c r="BU123" s="80"/>
      <c r="BV123" s="80"/>
      <c r="BW123" s="80"/>
      <c r="BX123" s="80"/>
      <c r="BY123" s="80"/>
      <c r="BZ123" s="80"/>
      <c r="CA123" s="80"/>
      <c r="CB123" s="80"/>
      <c r="CC123" s="80"/>
      <c r="CD123" s="80"/>
      <c r="CE123" s="80"/>
      <c r="CF123" s="80"/>
      <c r="CG123" s="80"/>
      <c r="CH123" s="80"/>
      <c r="CI123" s="80"/>
      <c r="CJ123" s="80"/>
      <c r="CK123" s="2"/>
    </row>
    <row r="124" ht="12.75" customHeight="1">
      <c r="A124" s="85">
        <f>IFERROR(__xludf.DUMMYFUNCTION("""COMPUTED_VALUE"""),121.0)</f>
        <v>121</v>
      </c>
      <c r="B124" s="85"/>
      <c r="C124" s="85"/>
      <c r="D124" s="86"/>
      <c r="E124" s="88"/>
      <c r="F124" s="85"/>
      <c r="G124" s="86"/>
      <c r="H124" s="85"/>
      <c r="I124" s="85"/>
      <c r="J124" s="85"/>
      <c r="K124" s="85"/>
      <c r="L124" s="85"/>
      <c r="M124" s="85" t="str">
        <f>IFERROR(__xludf.DUMMYFUNCTION("""COMPUTED_VALUE"""),"√")</f>
        <v>√</v>
      </c>
      <c r="N124" s="85"/>
      <c r="O124" s="85"/>
      <c r="P124" s="85" t="str">
        <f>IFERROR(__xludf.DUMMYFUNCTION("""COMPUTED_VALUE"""),"53BSPA16960JBRHD")</f>
        <v>53BSPA16960JBRHD</v>
      </c>
      <c r="Q124" s="85" t="str">
        <f>IFERROR(__xludf.DUMMYFUNCTION("""COMPUTED_VALUE"""),"SRC ZONi")</f>
        <v>SRC ZONi</v>
      </c>
      <c r="R124" s="85" t="str">
        <f>IFERROR(__xludf.DUMMYFUNCTION("""COMPUTED_VALUE"""),"SRC ZONi")</f>
        <v>SRC ZONi</v>
      </c>
      <c r="S124" s="85" t="str">
        <f>IFERROR(__xludf.DUMMYFUNCTION("""COMPUTED_VALUE"""),"JONI MULYANA")</f>
        <v>JONI MULYANA</v>
      </c>
      <c r="T124" s="85" t="str">
        <f>IFERROR(__xludf.DUMMYFUNCTION("""COMPUTED_VALUE"""),"CIBUNGKUL RT.06/RW.012, SUKAMAJUKALER, INDIHIANG, TASIKMALAYA, 46151")</f>
        <v>CIBUNGKUL RT.06/RW.012, SUKAMAJUKALER, INDIHIANG, TASIKMALAYA, 46151</v>
      </c>
      <c r="U124" s="85" t="str">
        <f>IFERROR(__xludf.DUMMYFUNCTION("""COMPUTED_VALUE"""),"CIBUNGKUL RT.06/RW.012, SUKAMAJUKALER, INDIHIANG, TASIKMALAYA, 46151")</f>
        <v>CIBUNGKUL RT.06/RW.012, SUKAMAJUKALER, INDIHIANG, TASIKMALAYA, 46151</v>
      </c>
      <c r="V124" s="85"/>
      <c r="W124" s="85" t="str">
        <f>IFERROR(__xludf.DUMMYFUNCTION("""COMPUTED_VALUE"""),"SUKAMAJUKALER")</f>
        <v>SUKAMAJUKALER</v>
      </c>
      <c r="X124" s="85" t="str">
        <f>IFERROR(__xludf.DUMMYFUNCTION("""COMPUTED_VALUE"""),"INDIHIANG")</f>
        <v>INDIHIANG</v>
      </c>
      <c r="Y124" s="85" t="str">
        <f>IFERROR(__xludf.DUMMYFUNCTION("""COMPUTED_VALUE"""),"TASIKMALAYA")</f>
        <v>TASIKMALAYA</v>
      </c>
      <c r="Z124" s="85" t="str">
        <f>IFERROR(__xludf.DUMMYFUNCTION("""COMPUTED_VALUE"""),"JAWA BARAT")</f>
        <v>JAWA BARAT</v>
      </c>
      <c r="AA124" s="85" t="str">
        <f>IFERROR(__xludf.DUMMYFUNCTION("""COMPUTED_VALUE"""),"46151")</f>
        <v>46151</v>
      </c>
      <c r="AB124" s="85" t="str">
        <f>IFERROR(__xludf.DUMMYFUNCTION("""COMPUTED_VALUE"""),"3278041708850008")</f>
        <v>3278041708850008</v>
      </c>
      <c r="AC124" s="85" t="str">
        <f>IFERROR(__xludf.DUMMYFUNCTION("""COMPUTED_VALUE"""),"76.880.689.5-425.000")</f>
        <v>76.880.689.5-425.000</v>
      </c>
      <c r="AD124" s="85" t="str">
        <f>IFERROR(__xludf.DUMMYFUNCTION("""COMPUTED_VALUE"""),"CUM - HDT")</f>
        <v>CUM - HDT</v>
      </c>
      <c r="AE124" s="85" t="str">
        <f>IFERROR(__xludf.DUMMYFUNCTION("""COMPUTED_VALUE"""),"Sub Hidayat")</f>
        <v>Sub Hidayat</v>
      </c>
      <c r="AF124" s="85" t="str">
        <f>IFERROR(__xludf.DUMMYFUNCTION("""COMPUTED_VALUE"""),"+62 853-2364-4743")</f>
        <v>+62 853-2364-4743</v>
      </c>
      <c r="AG124" s="85"/>
      <c r="AH124" s="85" t="str">
        <f>IFERROR(__xludf.DUMMYFUNCTION("""COMPUTED_VALUE"""),"jonigoang@gmail.com")</f>
        <v>jonigoang@gmail.com</v>
      </c>
      <c r="AI124" s="85" t="str">
        <f>IFERROR(__xludf.DUMMYFUNCTION("""COMPUTED_VALUE"""),"46137S3")</f>
        <v>46137S3</v>
      </c>
      <c r="AJ124" s="85" t="str">
        <f>IFERROR(__xludf.DUMMYFUNCTION("""COMPUTED_VALUE"""),"656c03aeb52a87638c00718a")</f>
        <v>656c03aeb52a87638c00718a</v>
      </c>
      <c r="AK124" s="85" t="str">
        <f>IFERROR(__xludf.DUMMYFUNCTION("""COMPUTED_VALUE"""),"dm46137s3")</f>
        <v>dm46137s3</v>
      </c>
      <c r="AL124" s="85" t="str">
        <f>IFERROR(__xludf.DUMMYFUNCTION("""COMPUTED_VALUE"""),"#Czon46137")</f>
        <v>#Czon46137</v>
      </c>
      <c r="AM124" s="85"/>
      <c r="AN124" s="85" t="str">
        <f>IFERROR(__xludf.DUMMYFUNCTION("""COMPUTED_VALUE"""),"TASIKMALAYA 46100")</f>
        <v>TASIKMALAYA 46100</v>
      </c>
      <c r="AO124" s="85" t="str">
        <f>IFERROR(__xludf.DUMMYFUNCTION("""COMPUTED_VALUE"""),"0410230038075")</f>
        <v>0410230038075</v>
      </c>
      <c r="AP124" s="85" t="str">
        <f>IFERROR(__xludf.DUMMYFUNCTION("""COMPUTED_VALUE"""),"04102300380750001")</f>
        <v>04102300380750001</v>
      </c>
      <c r="AQ124" s="93"/>
      <c r="AR124" s="85"/>
      <c r="AS124" s="85"/>
      <c r="AT124" s="85" t="str">
        <f>IFERROR(__xludf.DUMMYFUNCTION("""COMPUTED_VALUE"""),"-7.2743738")</f>
        <v>-7.2743738</v>
      </c>
      <c r="AU124" s="85" t="str">
        <f>IFERROR(__xludf.DUMMYFUNCTION("""COMPUTED_VALUE"""),"108.1847664,3")</f>
        <v>108.1847664,3</v>
      </c>
      <c r="AV124" s="85" t="str">
        <f>IFERROR(__xludf.DUMMYFUNCTION("""COMPUTED_VALUE"""),"√")</f>
        <v>√</v>
      </c>
      <c r="AW124" s="85" t="str">
        <f>IFERROR(__xludf.DUMMYFUNCTION("""COMPUTED_VALUE"""),"√")</f>
        <v>√</v>
      </c>
      <c r="AX124" s="85"/>
      <c r="AY124" s="85"/>
      <c r="AZ124" s="85"/>
      <c r="BA124" s="85" t="str">
        <f>IFERROR(__xludf.DUMMYFUNCTION("""COMPUTED_VALUE"""),"√")</f>
        <v>√</v>
      </c>
      <c r="BB124" s="85" t="str">
        <f>IFERROR(__xludf.DUMMYFUNCTION("""COMPUTED_VALUE"""),"√")</f>
        <v>√</v>
      </c>
      <c r="BC124" s="85" t="str">
        <f>IFERROR(__xludf.DUMMYFUNCTION("""COMPUTED_VALUE"""),"√")</f>
        <v>√</v>
      </c>
      <c r="BD124" s="85" t="str">
        <f>IFERROR(__xludf.DUMMYFUNCTION("""COMPUTED_VALUE"""),"√")</f>
        <v>√</v>
      </c>
      <c r="BE124" s="85" t="str">
        <f>IFERROR(__xludf.DUMMYFUNCTION("""COMPUTED_VALUE"""),"√")</f>
        <v>√</v>
      </c>
      <c r="BF124" s="85"/>
      <c r="BG124" s="85"/>
      <c r="BH124" s="85"/>
      <c r="BI124" s="85"/>
      <c r="BJ124" s="85"/>
      <c r="BK124" s="85"/>
      <c r="BL124" s="85"/>
      <c r="BM124" s="85"/>
      <c r="BN124" s="85"/>
      <c r="BO124" s="85"/>
      <c r="BP124" s="85"/>
      <c r="BQ124" s="85"/>
      <c r="BR124" s="85"/>
      <c r="BS124" s="85"/>
      <c r="BT124" s="85"/>
      <c r="BU124" s="85"/>
      <c r="BV124" s="85"/>
      <c r="BW124" s="85"/>
      <c r="BX124" s="85"/>
      <c r="BY124" s="85"/>
      <c r="BZ124" s="85"/>
      <c r="CA124" s="85"/>
      <c r="CB124" s="85"/>
      <c r="CC124" s="85"/>
      <c r="CD124" s="85"/>
      <c r="CE124" s="85"/>
      <c r="CF124" s="85"/>
      <c r="CG124" s="85"/>
      <c r="CH124" s="85"/>
      <c r="CI124" s="85"/>
      <c r="CJ124" s="85"/>
      <c r="CK124" s="2"/>
    </row>
    <row r="125" ht="12.75" customHeight="1">
      <c r="A125" s="80">
        <f>IFERROR(__xludf.DUMMYFUNCTION("""COMPUTED_VALUE"""),122.0)</f>
        <v>122</v>
      </c>
      <c r="B125" s="80"/>
      <c r="C125" s="80"/>
      <c r="D125" s="81"/>
      <c r="E125" s="82"/>
      <c r="F125" s="80"/>
      <c r="G125" s="81"/>
      <c r="H125" s="80"/>
      <c r="I125" s="80"/>
      <c r="J125" s="80"/>
      <c r="K125" s="80"/>
      <c r="L125" s="80"/>
      <c r="M125" s="80"/>
      <c r="N125" s="80"/>
      <c r="O125" s="80"/>
      <c r="P125" s="80" t="str">
        <f>IFERROR(__xludf.DUMMYFUNCTION("""COMPUTED_VALUE"""),"53BSPA16598JBNOV")</f>
        <v>53BSPA16598JBNOV</v>
      </c>
      <c r="Q125" s="80" t="str">
        <f>IFERROR(__xludf.DUMMYFUNCTION("""COMPUTED_VALUE"""),"BERKAH")</f>
        <v>BERKAH</v>
      </c>
      <c r="R125" s="80" t="str">
        <f>IFERROR(__xludf.DUMMYFUNCTION("""COMPUTED_VALUE"""),"BERKAH")</f>
        <v>BERKAH</v>
      </c>
      <c r="S125" s="80" t="str">
        <f>IFERROR(__xludf.DUMMYFUNCTION("""COMPUTED_VALUE"""),"ADITOMO TRENGGONO ")</f>
        <v>ADITOMO TRENGGONO </v>
      </c>
      <c r="T125" s="80" t="str">
        <f>IFERROR(__xludf.DUMMYFUNCTION("""COMPUTED_VALUE"""),"KP. CIHIDEUNG ILIR RT 004 RW 004  CIHIDEUNG ILIR CIAMPEA  KAB. BOGOR JAWA BARAT")</f>
        <v>KP. CIHIDEUNG ILIR RT 004 RW 004  CIHIDEUNG ILIR CIAMPEA  KAB. BOGOR JAWA BARAT</v>
      </c>
      <c r="U125" s="80" t="str">
        <f>IFERROR(__xludf.DUMMYFUNCTION("""COMPUTED_VALUE"""),"RUKO HAJI UDIN RT 003 RW 004 CIHIDEUNG ILIR CIAMPEA  KAB. BOGOR JAWA BARAT 16620")</f>
        <v>RUKO HAJI UDIN RT 003 RW 004 CIHIDEUNG ILIR CIAMPEA  KAB. BOGOR JAWA BARAT 16620</v>
      </c>
      <c r="V125" s="80" t="str">
        <f>IFERROR(__xludf.DUMMYFUNCTION("""COMPUTED_VALUE"""),"003/004")</f>
        <v>003/004</v>
      </c>
      <c r="W125" s="80" t="str">
        <f>IFERROR(__xludf.DUMMYFUNCTION("""COMPUTED_VALUE"""),"CIHIDEUNG ILIR")</f>
        <v>CIHIDEUNG ILIR</v>
      </c>
      <c r="X125" s="80" t="str">
        <f>IFERROR(__xludf.DUMMYFUNCTION("""COMPUTED_VALUE"""),"CIAMPEA ")</f>
        <v>CIAMPEA </v>
      </c>
      <c r="Y125" s="80" t="str">
        <f>IFERROR(__xludf.DUMMYFUNCTION("""COMPUTED_VALUE"""),"BOGOR")</f>
        <v>BOGOR</v>
      </c>
      <c r="Z125" s="80" t="str">
        <f>IFERROR(__xludf.DUMMYFUNCTION("""COMPUTED_VALUE"""),"JAWA BARAT")</f>
        <v>JAWA BARAT</v>
      </c>
      <c r="AA125" s="80" t="str">
        <f>IFERROR(__xludf.DUMMYFUNCTION("""COMPUTED_VALUE"""),"16620")</f>
        <v>16620</v>
      </c>
      <c r="AB125" s="80" t="str">
        <f>IFERROR(__xludf.DUMMYFUNCTION("""COMPUTED_VALUE"""),"3201150501750000")</f>
        <v>3201150501750000</v>
      </c>
      <c r="AC125" s="80" t="str">
        <f>IFERROR(__xludf.DUMMYFUNCTION("""COMPUTED_VALUE"""),"76.061.018.8.434.000")</f>
        <v>76.061.018.8.434.000</v>
      </c>
      <c r="AD125" s="80" t="str">
        <f>IFERROR(__xludf.DUMMYFUNCTION("""COMPUTED_VALUE"""),"CUM - NOV")</f>
        <v>CUM - NOV</v>
      </c>
      <c r="AE125" s="80" t="str">
        <f>IFERROR(__xludf.DUMMYFUNCTION("""COMPUTED_VALUE"""),"SUB NOVI")</f>
        <v>SUB NOVI</v>
      </c>
      <c r="AF125" s="80" t="str">
        <f>IFERROR(__xludf.DUMMYFUNCTION("""COMPUTED_VALUE"""),"088295882330")</f>
        <v>088295882330</v>
      </c>
      <c r="AG125" s="80"/>
      <c r="AH125" s="80" t="str">
        <f>IFERROR(__xludf.DUMMYFUNCTION("""COMPUTED_VALUE"""),"aditomo999@gmail.com")</f>
        <v>aditomo999@gmail.com</v>
      </c>
      <c r="AI125" s="80"/>
      <c r="AJ125" s="80"/>
      <c r="AK125" s="80"/>
      <c r="AL125" s="80"/>
      <c r="AM125" s="80"/>
      <c r="AN125" s="80" t="str">
        <f>IFERROR(__xludf.DUMMYFUNCTION("""COMPUTED_VALUE"""),"BOGOR 16100")</f>
        <v>BOGOR 16100</v>
      </c>
      <c r="AO125" s="80"/>
      <c r="AP125" s="80"/>
      <c r="AQ125" s="83"/>
      <c r="AR125" s="80"/>
      <c r="AS125" s="80"/>
      <c r="AT125" s="80" t="str">
        <f>IFERROR(__xludf.DUMMYFUNCTION("""COMPUTED_VALUE"""),"-6.564203")</f>
        <v>-6.564203</v>
      </c>
      <c r="AU125" s="80" t="str">
        <f>IFERROR(__xludf.DUMMYFUNCTION("""COMPUTED_VALUE"""),"106.718336")</f>
        <v>106.718336</v>
      </c>
      <c r="AV125" s="80" t="str">
        <f>IFERROR(__xludf.DUMMYFUNCTION("""COMPUTED_VALUE"""),"√")</f>
        <v>√</v>
      </c>
      <c r="AW125" s="80" t="str">
        <f>IFERROR(__xludf.DUMMYFUNCTION("""COMPUTED_VALUE"""),"√")</f>
        <v>√</v>
      </c>
      <c r="AX125" s="80"/>
      <c r="AY125" s="80"/>
      <c r="AZ125" s="80"/>
      <c r="BA125" s="80" t="str">
        <f>IFERROR(__xludf.DUMMYFUNCTION("""COMPUTED_VALUE"""),"√")</f>
        <v>√</v>
      </c>
      <c r="BB125" s="80" t="str">
        <f>IFERROR(__xludf.DUMMYFUNCTION("""COMPUTED_VALUE"""),"√")</f>
        <v>√</v>
      </c>
      <c r="BC125" s="80"/>
      <c r="BD125" s="80"/>
      <c r="BE125" s="80" t="str">
        <f>IFERROR(__xludf.DUMMYFUNCTION("""COMPUTED_VALUE"""),"√")</f>
        <v>√</v>
      </c>
      <c r="BF125" s="80"/>
      <c r="BG125" s="80"/>
      <c r="BH125" s="80"/>
      <c r="BI125" s="80"/>
      <c r="BJ125" s="80"/>
      <c r="BK125" s="80"/>
      <c r="BL125" s="80"/>
      <c r="BM125" s="80"/>
      <c r="BN125" s="80"/>
      <c r="BO125" s="80"/>
      <c r="BP125" s="80"/>
      <c r="BQ125" s="80"/>
      <c r="BR125" s="80"/>
      <c r="BS125" s="80"/>
      <c r="BT125" s="80"/>
      <c r="BU125" s="80"/>
      <c r="BV125" s="80"/>
      <c r="BW125" s="80"/>
      <c r="BX125" s="80"/>
      <c r="BY125" s="80"/>
      <c r="BZ125" s="80"/>
      <c r="CA125" s="80"/>
      <c r="CB125" s="80"/>
      <c r="CC125" s="80"/>
      <c r="CD125" s="80"/>
      <c r="CE125" s="80"/>
      <c r="CF125" s="80"/>
      <c r="CG125" s="80"/>
      <c r="CH125" s="80"/>
      <c r="CI125" s="80"/>
      <c r="CJ125" s="80"/>
      <c r="CK125" s="2"/>
    </row>
    <row r="126" ht="12.75" customHeight="1">
      <c r="A126" s="85">
        <f>IFERROR(__xludf.DUMMYFUNCTION("""COMPUTED_VALUE"""),123.0)</f>
        <v>123</v>
      </c>
      <c r="B126" s="85"/>
      <c r="C126" s="85"/>
      <c r="D126" s="86"/>
      <c r="E126" s="88"/>
      <c r="F126" s="85"/>
      <c r="G126" s="86"/>
      <c r="H126" s="85"/>
      <c r="I126" s="85"/>
      <c r="J126" s="85"/>
      <c r="K126" s="85"/>
      <c r="L126" s="85"/>
      <c r="M126" s="85"/>
      <c r="N126" s="85"/>
      <c r="O126" s="85" t="str">
        <f>IFERROR(__xludf.DUMMYFUNCTION("""COMPUTED_VALUE"""),"√")</f>
        <v>√</v>
      </c>
      <c r="P126" s="85" t="str">
        <f>IFERROR(__xludf.DUMMYFUNCTION("""COMPUTED_VALUE"""),"53BSPA04017JBJAY")</f>
        <v>53BSPA04017JBJAY</v>
      </c>
      <c r="Q126" s="85" t="str">
        <f>IFERROR(__xludf.DUMMYFUNCTION("""COMPUTED_VALUE"""),"SICEPAT KAMARASAN")</f>
        <v>SICEPAT KAMARASAN</v>
      </c>
      <c r="R126" s="85" t="str">
        <f>IFERROR(__xludf.DUMMYFUNCTION("""COMPUTED_VALUE"""),"SICEPAT KAMARASAN")</f>
        <v>SICEPAT KAMARASAN</v>
      </c>
      <c r="S126" s="85" t="str">
        <f>IFERROR(__xludf.DUMMYFUNCTION("""COMPUTED_VALUE"""),"NIA AMALIA, AMD")</f>
        <v>NIA AMALIA, AMD</v>
      </c>
      <c r="T126" s="85" t="str">
        <f>IFERROR(__xludf.DUMMYFUNCTION("""COMPUTED_VALUE"""),"KAMARASAN RESIDENCE RT 003 RW 001 BLOK D1-3 NO. 3 BUAHBATU BOJONGSOANG KAB. BANDUNG Jawa Barat 40287")</f>
        <v>KAMARASAN RESIDENCE RT 003 RW 001 BLOK D1-3 NO. 3 BUAHBATU BOJONGSOANG KAB. BANDUNG Jawa Barat 40287</v>
      </c>
      <c r="U126" s="85" t="str">
        <f>IFERROR(__xludf.DUMMYFUNCTION("""COMPUTED_VALUE"""),"KAMARASAN RESIDENCE RT 003 RW 001 BLOK D1-3 NO. 3 BUAHBATU BOJONGSOANG KAB. BANDUNG Jawa Barat 40287")</f>
        <v>KAMARASAN RESIDENCE RT 003 RW 001 BLOK D1-3 NO. 3 BUAHBATU BOJONGSOANG KAB. BANDUNG Jawa Barat 40287</v>
      </c>
      <c r="V126" s="85" t="str">
        <f>IFERROR(__xludf.DUMMYFUNCTION("""COMPUTED_VALUE"""),"003/001")</f>
        <v>003/001</v>
      </c>
      <c r="W126" s="85" t="str">
        <f>IFERROR(__xludf.DUMMYFUNCTION("""COMPUTED_VALUE"""),"BUAHBATU")</f>
        <v>BUAHBATU</v>
      </c>
      <c r="X126" s="85" t="str">
        <f>IFERROR(__xludf.DUMMYFUNCTION("""COMPUTED_VALUE"""),"BOJONGSOANG")</f>
        <v>BOJONGSOANG</v>
      </c>
      <c r="Y126" s="85" t="str">
        <f>IFERROR(__xludf.DUMMYFUNCTION("""COMPUTED_VALUE"""),"KAB BANDUNG")</f>
        <v>KAB BANDUNG</v>
      </c>
      <c r="Z126" s="85" t="str">
        <f>IFERROR(__xludf.DUMMYFUNCTION("""COMPUTED_VALUE"""),"JAWA BARAT")</f>
        <v>JAWA BARAT</v>
      </c>
      <c r="AA126" s="85" t="str">
        <f>IFERROR(__xludf.DUMMYFUNCTION("""COMPUTED_VALUE"""),"40354")</f>
        <v>40354</v>
      </c>
      <c r="AB126" s="85" t="str">
        <f>IFERROR(__xludf.DUMMYFUNCTION("""COMPUTED_VALUE"""),"3273225807840004")</f>
        <v>3273225807840004</v>
      </c>
      <c r="AC126" s="85"/>
      <c r="AD126" s="85" t="str">
        <f>IFERROR(__xludf.DUMMYFUNCTION("""COMPUTED_VALUE"""),"CUM - BSB - JABAR")</f>
        <v>CUM - BSB - JABAR</v>
      </c>
      <c r="AE126" s="85" t="str">
        <f>IFERROR(__xludf.DUMMYFUNCTION("""COMPUTED_VALUE"""),"SUB JAELANI POS")</f>
        <v>SUB JAELANI POS</v>
      </c>
      <c r="AF126" s="85" t="str">
        <f>IFERROR(__xludf.DUMMYFUNCTION("""COMPUTED_VALUE"""),"087700558668")</f>
        <v>087700558668</v>
      </c>
      <c r="AG126" s="85"/>
      <c r="AH126" s="85" t="str">
        <f>IFERROR(__xludf.DUMMYFUNCTION("""COMPUTED_VALUE"""),"olla-laa2000@yahoo.com")</f>
        <v>olla-laa2000@yahoo.com</v>
      </c>
      <c r="AI126" s="85"/>
      <c r="AJ126" s="85"/>
      <c r="AK126" s="85"/>
      <c r="AL126" s="85"/>
      <c r="AM126" s="85"/>
      <c r="AN126" s="85"/>
      <c r="AO126" s="85"/>
      <c r="AP126" s="85"/>
      <c r="AQ126" s="93"/>
      <c r="AR126" s="85"/>
      <c r="AS126" s="85"/>
      <c r="AT126" s="85" t="str">
        <f>IFERROR(__xludf.DUMMYFUNCTION("""COMPUTED_VALUE"""),"-6.967.985")</f>
        <v>-6.967.985</v>
      </c>
      <c r="AU126" s="85" t="str">
        <f>IFERROR(__xludf.DUMMYFUNCTION("""COMPUTED_VALUE"""),"107.668.865")</f>
        <v>107.668.865</v>
      </c>
      <c r="AV126" s="85" t="str">
        <f>IFERROR(__xludf.DUMMYFUNCTION("""COMPUTED_VALUE"""),"√")</f>
        <v>√</v>
      </c>
      <c r="AW126" s="85"/>
      <c r="AX126" s="85"/>
      <c r="AY126" s="85"/>
      <c r="AZ126" s="85"/>
      <c r="BA126" s="85" t="str">
        <f>IFERROR(__xludf.DUMMYFUNCTION("""COMPUTED_VALUE"""),"√")</f>
        <v>√</v>
      </c>
      <c r="BB126" s="85"/>
      <c r="BC126" s="85"/>
      <c r="BD126" s="85"/>
      <c r="BE126" s="85" t="str">
        <f>IFERROR(__xludf.DUMMYFUNCTION("""COMPUTED_VALUE"""),"√")</f>
        <v>√</v>
      </c>
      <c r="BF126" s="85"/>
      <c r="BG126" s="85"/>
      <c r="BH126" s="85"/>
      <c r="BI126" s="85"/>
      <c r="BJ126" s="85"/>
      <c r="BK126" s="85"/>
      <c r="BL126" s="85"/>
      <c r="BM126" s="85"/>
      <c r="BN126" s="85"/>
      <c r="BO126" s="85"/>
      <c r="BP126" s="85"/>
      <c r="BQ126" s="85"/>
      <c r="BR126" s="85"/>
      <c r="BS126" s="85"/>
      <c r="BT126" s="85"/>
      <c r="BU126" s="85"/>
      <c r="BV126" s="85"/>
      <c r="BW126" s="85"/>
      <c r="BX126" s="85"/>
      <c r="BY126" s="85"/>
      <c r="BZ126" s="85"/>
      <c r="CA126" s="85"/>
      <c r="CB126" s="85"/>
      <c r="CC126" s="85"/>
      <c r="CD126" s="85"/>
      <c r="CE126" s="85"/>
      <c r="CF126" s="85"/>
      <c r="CG126" s="85"/>
      <c r="CH126" s="85"/>
      <c r="CI126" s="85"/>
      <c r="CJ126" s="85"/>
      <c r="CK126" s="2"/>
    </row>
    <row r="127" ht="12.75" customHeight="1">
      <c r="A127" s="80">
        <f>IFERROR(__xludf.DUMMYFUNCTION("""COMPUTED_VALUE"""),124.0)</f>
        <v>124</v>
      </c>
      <c r="B127" s="80"/>
      <c r="C127" s="80"/>
      <c r="D127" s="81"/>
      <c r="E127" s="82"/>
      <c r="F127" s="80"/>
      <c r="G127" s="81"/>
      <c r="H127" s="80"/>
      <c r="I127" s="80"/>
      <c r="J127" s="80"/>
      <c r="K127" s="80"/>
      <c r="L127" s="80"/>
      <c r="M127" s="80" t="str">
        <f>IFERROR(__xludf.DUMMYFUNCTION("""COMPUTED_VALUE"""),"√")</f>
        <v>√</v>
      </c>
      <c r="N127" s="80"/>
      <c r="O127" s="80"/>
      <c r="P127" s="80" t="str">
        <f>IFERROR(__xludf.DUMMYFUNCTION("""COMPUTED_VALUE"""),"53BSPA04018JBJAY")</f>
        <v>53BSPA04018JBJAY</v>
      </c>
      <c r="Q127" s="80" t="str">
        <f>IFERROR(__xludf.DUMMYFUNCTION("""COMPUTED_VALUE"""),"Nanana ")</f>
        <v>Nanana </v>
      </c>
      <c r="R127" s="80" t="str">
        <f>IFERROR(__xludf.DUMMYFUNCTION("""COMPUTED_VALUE"""),"NANANA")</f>
        <v>NANANA</v>
      </c>
      <c r="S127" s="80" t="str">
        <f>IFERROR(__xludf.DUMMYFUNCTION("""COMPUTED_VALUE"""),"SRI PUJIANTI")</f>
        <v>SRI PUJIANTI</v>
      </c>
      <c r="T127" s="80" t="str">
        <f>IFERROR(__xludf.DUMMYFUNCTION("""COMPUTED_VALUE"""),"JL.BABAKAN SARI III NO.50 RT.001/RW.009 KIARACONDONG,BANDUNG")</f>
        <v>JL.BABAKAN SARI III NO.50 RT.001/RW.009 KIARACONDONG,BANDUNG</v>
      </c>
      <c r="U127" s="80" t="str">
        <f>IFERROR(__xludf.DUMMYFUNCTION("""COMPUTED_VALUE"""),"JL.BABAKAN SARI III NO.50 RT.001/RW.009 KIARACONDONG,BANDUNG")</f>
        <v>JL.BABAKAN SARI III NO.50 RT.001/RW.009 KIARACONDONG,BANDUNG</v>
      </c>
      <c r="V127" s="80" t="str">
        <f>IFERROR(__xludf.DUMMYFUNCTION("""COMPUTED_VALUE"""),"001/009")</f>
        <v>001/009</v>
      </c>
      <c r="W127" s="80" t="str">
        <f>IFERROR(__xludf.DUMMYFUNCTION("""COMPUTED_VALUE"""),"BABAKANSARI")</f>
        <v>BABAKANSARI</v>
      </c>
      <c r="X127" s="80" t="str">
        <f>IFERROR(__xludf.DUMMYFUNCTION("""COMPUTED_VALUE"""),"KIARACONDONG")</f>
        <v>KIARACONDONG</v>
      </c>
      <c r="Y127" s="80" t="str">
        <f>IFERROR(__xludf.DUMMYFUNCTION("""COMPUTED_VALUE"""),"BANDUNG")</f>
        <v>BANDUNG</v>
      </c>
      <c r="Z127" s="80" t="str">
        <f>IFERROR(__xludf.DUMMYFUNCTION("""COMPUTED_VALUE"""),"JAWA BARAT")</f>
        <v>JAWA BARAT</v>
      </c>
      <c r="AA127" s="80" t="str">
        <f>IFERROR(__xludf.DUMMYFUNCTION("""COMPUTED_VALUE"""),"40283")</f>
        <v>40283</v>
      </c>
      <c r="AB127" s="80" t="str">
        <f>IFERROR(__xludf.DUMMYFUNCTION("""COMPUTED_VALUE"""),"3273166411820004")</f>
        <v>3273166411820004</v>
      </c>
      <c r="AC127" s="80"/>
      <c r="AD127" s="80" t="str">
        <f>IFERROR(__xludf.DUMMYFUNCTION("""COMPUTED_VALUE"""),"CUM - BSB - JABAR")</f>
        <v>CUM - BSB - JABAR</v>
      </c>
      <c r="AE127" s="80" t="str">
        <f>IFERROR(__xludf.DUMMYFUNCTION("""COMPUTED_VALUE"""),"SUB JAELANI POS")</f>
        <v>SUB JAELANI POS</v>
      </c>
      <c r="AF127" s="80" t="str">
        <f>IFERROR(__xludf.DUMMYFUNCTION("""COMPUTED_VALUE"""),"081321791551")</f>
        <v>081321791551</v>
      </c>
      <c r="AG127" s="80"/>
      <c r="AH127" s="80" t="str">
        <f>IFERROR(__xludf.DUMMYFUNCTION("""COMPUTED_VALUE"""),"sripujianti24@gmail.com")</f>
        <v>sripujianti24@gmail.com</v>
      </c>
      <c r="AI127" s="80" t="str">
        <f>IFERROR(__xludf.DUMMYFUNCTION("""COMPUTED_VALUE"""),"40283S1")</f>
        <v>40283S1</v>
      </c>
      <c r="AJ127" s="80" t="str">
        <f>IFERROR(__xludf.DUMMYFUNCTION("""COMPUTED_VALUE"""),"656804fd099f08402a0c765b")</f>
        <v>656804fd099f08402a0c765b</v>
      </c>
      <c r="AK127" s="80" t="str">
        <f>IFERROR(__xludf.DUMMYFUNCTION("""COMPUTED_VALUE"""),"dm40283s1")</f>
        <v>dm40283s1</v>
      </c>
      <c r="AL127" s="80" t="str">
        <f>IFERROR(__xludf.DUMMYFUNCTION("""COMPUTED_VALUE"""),"#Anan40283")</f>
        <v>#Anan40283</v>
      </c>
      <c r="AM127" s="80"/>
      <c r="AN127" s="80" t="str">
        <f>IFERROR(__xludf.DUMMYFUNCTION("""COMPUTED_VALUE"""),"BANDUNG 40400")</f>
        <v>BANDUNG 40400</v>
      </c>
      <c r="AO127" s="80" t="str">
        <f>IFERROR(__xludf.DUMMYFUNCTION("""COMPUTED_VALUE"""),"0702220019191")</f>
        <v>0702220019191</v>
      </c>
      <c r="AP127" s="80" t="str">
        <f>IFERROR(__xludf.DUMMYFUNCTION("""COMPUTED_VALUE"""),"07022200191910002")</f>
        <v>07022200191910002</v>
      </c>
      <c r="AQ127" s="83"/>
      <c r="AR127" s="80"/>
      <c r="AS127" s="80"/>
      <c r="AT127" s="80" t="str">
        <f>IFERROR(__xludf.DUMMYFUNCTION("""COMPUTED_VALUE"""),"-6.9240999")</f>
        <v>-6.9240999</v>
      </c>
      <c r="AU127" s="80" t="str">
        <f>IFERROR(__xludf.DUMMYFUNCTION("""COMPUTED_VALUE"""),"107.6491766,3")</f>
        <v>107.6491766,3</v>
      </c>
      <c r="AV127" s="80" t="str">
        <f>IFERROR(__xludf.DUMMYFUNCTION("""COMPUTED_VALUE"""),"√")</f>
        <v>√</v>
      </c>
      <c r="AW127" s="80" t="str">
        <f>IFERROR(__xludf.DUMMYFUNCTION("""COMPUTED_VALUE"""),"√")</f>
        <v>√</v>
      </c>
      <c r="AX127" s="80"/>
      <c r="AY127" s="80"/>
      <c r="AZ127" s="80"/>
      <c r="BA127" s="80" t="str">
        <f>IFERROR(__xludf.DUMMYFUNCTION("""COMPUTED_VALUE"""),"√")</f>
        <v>√</v>
      </c>
      <c r="BB127" s="80"/>
      <c r="BC127" s="80" t="str">
        <f>IFERROR(__xludf.DUMMYFUNCTION("""COMPUTED_VALUE"""),"√")</f>
        <v>√</v>
      </c>
      <c r="BD127" s="80"/>
      <c r="BE127" s="80" t="str">
        <f>IFERROR(__xludf.DUMMYFUNCTION("""COMPUTED_VALUE"""),"√")</f>
        <v>√</v>
      </c>
      <c r="BF127" s="80"/>
      <c r="BG127" s="80"/>
      <c r="BH127" s="80"/>
      <c r="BI127" s="80"/>
      <c r="BJ127" s="80"/>
      <c r="BK127" s="80"/>
      <c r="BL127" s="80"/>
      <c r="BM127" s="80"/>
      <c r="BN127" s="80"/>
      <c r="BO127" s="80"/>
      <c r="BP127" s="80"/>
      <c r="BQ127" s="80"/>
      <c r="BR127" s="80"/>
      <c r="BS127" s="80"/>
      <c r="BT127" s="80"/>
      <c r="BU127" s="80"/>
      <c r="BV127" s="80"/>
      <c r="BW127" s="80"/>
      <c r="BX127" s="80"/>
      <c r="BY127" s="80"/>
      <c r="BZ127" s="80"/>
      <c r="CA127" s="80"/>
      <c r="CB127" s="80"/>
      <c r="CC127" s="80"/>
      <c r="CD127" s="80"/>
      <c r="CE127" s="80"/>
      <c r="CF127" s="80"/>
      <c r="CG127" s="80"/>
      <c r="CH127" s="80"/>
      <c r="CI127" s="80"/>
      <c r="CJ127" s="80"/>
      <c r="CK127" s="2"/>
    </row>
    <row r="128" ht="12.75" customHeight="1">
      <c r="A128" s="85">
        <f>IFERROR(__xludf.DUMMYFUNCTION("""COMPUTED_VALUE"""),125.0)</f>
        <v>125</v>
      </c>
      <c r="B128" s="85"/>
      <c r="C128" s="85"/>
      <c r="D128" s="86"/>
      <c r="E128" s="88"/>
      <c r="F128" s="85"/>
      <c r="G128" s="86"/>
      <c r="H128" s="85"/>
      <c r="I128" s="85"/>
      <c r="J128" s="85"/>
      <c r="K128" s="85"/>
      <c r="L128" s="85"/>
      <c r="M128" s="85"/>
      <c r="N128" s="85"/>
      <c r="O128" s="85" t="str">
        <f>IFERROR(__xludf.DUMMYFUNCTION("""COMPUTED_VALUE"""),"√")</f>
        <v>√</v>
      </c>
      <c r="P128" s="85" t="str">
        <f>IFERROR(__xludf.DUMMYFUNCTION("""COMPUTED_VALUE"""),"53BSPA16968JBRHD")</f>
        <v>53BSPA16968JBRHD</v>
      </c>
      <c r="Q128" s="85" t="str">
        <f>IFERROR(__xludf.DUMMYFUNCTION("""COMPUTED_VALUE"""),"Loket Vian")</f>
        <v>Loket Vian</v>
      </c>
      <c r="R128" s="85" t="str">
        <f>IFERROR(__xludf.DUMMYFUNCTION("""COMPUTED_VALUE"""),"Loket Vian")</f>
        <v>Loket Vian</v>
      </c>
      <c r="S128" s="85" t="str">
        <f>IFERROR(__xludf.DUMMYFUNCTION("""COMPUTED_VALUE"""),"Pian Sopyan Sauri")</f>
        <v>Pian Sopyan Sauri</v>
      </c>
      <c r="T128" s="85" t="str">
        <f>IFERROR(__xludf.DUMMYFUNCTION("""COMPUTED_VALUE"""),"JL. RAYA RAJAPOLAH NO 153 RAJAPOLAH RAJAPOLAH TASIKMALAYA Jawa Barat 46155")</f>
        <v>JL. RAYA RAJAPOLAH NO 153 RAJAPOLAH RAJAPOLAH TASIKMALAYA Jawa Barat 46155</v>
      </c>
      <c r="U128" s="85" t="str">
        <f>IFERROR(__xludf.DUMMYFUNCTION("""COMPUTED_VALUE"""),"JL. RAYA RAJAPOLAH NO 153 RAJAPOLAH RAJAPOLAH TASIKMALAYA Jawa Barat 46155")</f>
        <v>JL. RAYA RAJAPOLAH NO 153 RAJAPOLAH RAJAPOLAH TASIKMALAYA Jawa Barat 46155</v>
      </c>
      <c r="V128" s="85"/>
      <c r="W128" s="85" t="str">
        <f>IFERROR(__xludf.DUMMYFUNCTION("""COMPUTED_VALUE"""),"RAJAPOLAH")</f>
        <v>RAJAPOLAH</v>
      </c>
      <c r="X128" s="85" t="str">
        <f>IFERROR(__xludf.DUMMYFUNCTION("""COMPUTED_VALUE"""),"RAJAPOLAH")</f>
        <v>RAJAPOLAH</v>
      </c>
      <c r="Y128" s="85" t="str">
        <f>IFERROR(__xludf.DUMMYFUNCTION("""COMPUTED_VALUE"""),"TASIKMALAYA")</f>
        <v>TASIKMALAYA</v>
      </c>
      <c r="Z128" s="85" t="str">
        <f>IFERROR(__xludf.DUMMYFUNCTION("""COMPUTED_VALUE"""),"JAWA BARAT")</f>
        <v>JAWA BARAT</v>
      </c>
      <c r="AA128" s="85" t="str">
        <f>IFERROR(__xludf.DUMMYFUNCTION("""COMPUTED_VALUE"""),"46155")</f>
        <v>46155</v>
      </c>
      <c r="AB128" s="85" t="str">
        <f>IFERROR(__xludf.DUMMYFUNCTION("""COMPUTED_VALUE"""),"3206112105450001")</f>
        <v>3206112105450001</v>
      </c>
      <c r="AC128" s="85"/>
      <c r="AD128" s="85" t="str">
        <f>IFERROR(__xludf.DUMMYFUNCTION("""COMPUTED_VALUE"""),"CUM - RHD")</f>
        <v>CUM - RHD</v>
      </c>
      <c r="AE128" s="85" t="str">
        <f>IFERROR(__xludf.DUMMYFUNCTION("""COMPUTED_VALUE"""),"SUB SUFIANA")</f>
        <v>SUB SUFIANA</v>
      </c>
      <c r="AF128" s="85" t="str">
        <f>IFERROR(__xludf.DUMMYFUNCTION("""COMPUTED_VALUE""")," 082118712114")</f>
        <v> 082118712114</v>
      </c>
      <c r="AG128" s="85"/>
      <c r="AH128" s="85" t="str">
        <f>IFERROR(__xludf.DUMMYFUNCTION("""COMPUTED_VALUE"""),"vianerase@gmail.com")</f>
        <v>vianerase@gmail.com</v>
      </c>
      <c r="AI128" s="85"/>
      <c r="AJ128" s="85"/>
      <c r="AK128" s="85"/>
      <c r="AL128" s="85"/>
      <c r="AM128" s="85"/>
      <c r="AN128" s="85"/>
      <c r="AO128" s="85"/>
      <c r="AP128" s="85"/>
      <c r="AQ128" s="93"/>
      <c r="AR128" s="85"/>
      <c r="AS128" s="85"/>
      <c r="AT128" s="85" t="str">
        <f>IFERROR(__xludf.DUMMYFUNCTION("""COMPUTED_VALUE"""),"-7.2240352")</f>
        <v>-7.2240352</v>
      </c>
      <c r="AU128" s="85" t="str">
        <f>IFERROR(__xludf.DUMMYFUNCTION("""COMPUTED_VALUE"""),"108.1901128")</f>
        <v>108.1901128</v>
      </c>
      <c r="AV128" s="85" t="str">
        <f>IFERROR(__xludf.DUMMYFUNCTION("""COMPUTED_VALUE"""),"√")</f>
        <v>√</v>
      </c>
      <c r="AW128" s="85"/>
      <c r="AX128" s="85"/>
      <c r="AY128" s="85"/>
      <c r="AZ128" s="85"/>
      <c r="BA128" s="85" t="str">
        <f>IFERROR(__xludf.DUMMYFUNCTION("""COMPUTED_VALUE"""),"√")</f>
        <v>√</v>
      </c>
      <c r="BB128" s="85"/>
      <c r="BC128" s="85"/>
      <c r="BD128" s="85"/>
      <c r="BE128" s="85" t="str">
        <f>IFERROR(__xludf.DUMMYFUNCTION("""COMPUTED_VALUE"""),"√")</f>
        <v>√</v>
      </c>
      <c r="BF128" s="85"/>
      <c r="BG128" s="85"/>
      <c r="BH128" s="85"/>
      <c r="BI128" s="85"/>
      <c r="BJ128" s="85"/>
      <c r="BK128" s="85"/>
      <c r="BL128" s="85"/>
      <c r="BM128" s="85"/>
      <c r="BN128" s="85"/>
      <c r="BO128" s="85"/>
      <c r="BP128" s="85"/>
      <c r="BQ128" s="85"/>
      <c r="BR128" s="85"/>
      <c r="BS128" s="85"/>
      <c r="BT128" s="85"/>
      <c r="BU128" s="85"/>
      <c r="BV128" s="85"/>
      <c r="BW128" s="85"/>
      <c r="BX128" s="85"/>
      <c r="BY128" s="85"/>
      <c r="BZ128" s="85"/>
      <c r="CA128" s="85"/>
      <c r="CB128" s="85"/>
      <c r="CC128" s="85"/>
      <c r="CD128" s="85"/>
      <c r="CE128" s="85"/>
      <c r="CF128" s="85"/>
      <c r="CG128" s="85"/>
      <c r="CH128" s="85"/>
      <c r="CI128" s="85"/>
      <c r="CJ128" s="85"/>
      <c r="CK128" s="2"/>
    </row>
    <row r="129" ht="12.75" customHeight="1">
      <c r="A129" s="80">
        <f>IFERROR(__xludf.DUMMYFUNCTION("""COMPUTED_VALUE"""),126.0)</f>
        <v>126</v>
      </c>
      <c r="B129" s="80"/>
      <c r="C129" s="80"/>
      <c r="D129" s="81"/>
      <c r="E129" s="82"/>
      <c r="F129" s="80"/>
      <c r="G129" s="81"/>
      <c r="H129" s="80"/>
      <c r="I129" s="80"/>
      <c r="J129" s="80"/>
      <c r="K129" s="80"/>
      <c r="L129" s="80"/>
      <c r="M129" s="80"/>
      <c r="N129" s="80"/>
      <c r="O129" s="80"/>
      <c r="P129" s="80" t="str">
        <f>IFERROR(__xludf.DUMMYFUNCTION("""COMPUTED_VALUE"""),"53BSPA04019JBJAY")</f>
        <v>53BSPA04019JBJAY</v>
      </c>
      <c r="Q129" s="80" t="str">
        <f>IFERROR(__xludf.DUMMYFUNCTION("""COMPUTED_VALUE"""),"AL FATIH")</f>
        <v>AL FATIH</v>
      </c>
      <c r="R129" s="80" t="str">
        <f>IFERROR(__xludf.DUMMYFUNCTION("""COMPUTED_VALUE"""),"AL FATIH")</f>
        <v>AL FATIH</v>
      </c>
      <c r="S129" s="80" t="str">
        <f>IFERROR(__xludf.DUMMYFUNCTION("""COMPUTED_VALUE"""),"Didin Jaenudin")</f>
        <v>Didin Jaenudin</v>
      </c>
      <c r="T129" s="80" t="str">
        <f>IFERROR(__xludf.DUMMYFUNCTION("""COMPUTED_VALUE"""),"GG. LANTAI MAS 30A/137D RT03 RW1 KEL : BABAKAN SURABAYA, KEC : KIARA CONDONG, KOTA BANDUNG")</f>
        <v>GG. LANTAI MAS 30A/137D RT03 RW1 KEL : BABAKAN SURABAYA, KEC : KIARA CONDONG, KOTA BANDUNG</v>
      </c>
      <c r="U129" s="80" t="str">
        <f>IFERROR(__xludf.DUMMYFUNCTION("""COMPUTED_VALUE"""),"GG. LANTAI MAS 30A/137D ")</f>
        <v>GG. LANTAI MAS 30A/137D </v>
      </c>
      <c r="V129" s="80" t="str">
        <f>IFERROR(__xludf.DUMMYFUNCTION("""COMPUTED_VALUE"""),"003/001")</f>
        <v>003/001</v>
      </c>
      <c r="W129" s="80" t="str">
        <f>IFERROR(__xludf.DUMMYFUNCTION("""COMPUTED_VALUE"""),"BABAKAN SURABAYA")</f>
        <v>BABAKAN SURABAYA</v>
      </c>
      <c r="X129" s="80" t="str">
        <f>IFERROR(__xludf.DUMMYFUNCTION("""COMPUTED_VALUE"""),"KIARA CONDONG")</f>
        <v>KIARA CONDONG</v>
      </c>
      <c r="Y129" s="80" t="str">
        <f>IFERROR(__xludf.DUMMYFUNCTION("""COMPUTED_VALUE"""),"BANDUNG")</f>
        <v>BANDUNG</v>
      </c>
      <c r="Z129" s="80" t="str">
        <f>IFERROR(__xludf.DUMMYFUNCTION("""COMPUTED_VALUE"""),"JAWA BARAT")</f>
        <v>JAWA BARAT</v>
      </c>
      <c r="AA129" s="80" t="str">
        <f>IFERROR(__xludf.DUMMYFUNCTION("""COMPUTED_VALUE"""),"40281")</f>
        <v>40281</v>
      </c>
      <c r="AB129" s="80" t="str">
        <f>IFERROR(__xludf.DUMMYFUNCTION("""COMPUTED_VALUE"""),"3273162309770002")</f>
        <v>3273162309770002</v>
      </c>
      <c r="AC129" s="80" t="str">
        <f>IFERROR(__xludf.DUMMYFUNCTION("""COMPUTED_VALUE"""),"79.257.358.6-424.000")</f>
        <v>79.257.358.6-424.000</v>
      </c>
      <c r="AD129" s="80" t="str">
        <f>IFERROR(__xludf.DUMMYFUNCTION("""COMPUTED_VALUE"""),"CUM - BSB - JABAR")</f>
        <v>CUM - BSB - JABAR</v>
      </c>
      <c r="AE129" s="80" t="str">
        <f>IFERROR(__xludf.DUMMYFUNCTION("""COMPUTED_VALUE"""),"SUB JAELANI POS")</f>
        <v>SUB JAELANI POS</v>
      </c>
      <c r="AF129" s="80" t="str">
        <f>IFERROR(__xludf.DUMMYFUNCTION("""COMPUTED_VALUE"""),"08114343110")</f>
        <v>08114343110</v>
      </c>
      <c r="AG129" s="80"/>
      <c r="AH129" s="80" t="str">
        <f>IFERROR(__xludf.DUMMYFUNCTION("""COMPUTED_VALUE"""),"brodjae98@gmail.com")</f>
        <v>brodjae98@gmail.com</v>
      </c>
      <c r="AI129" s="80"/>
      <c r="AJ129" s="80"/>
      <c r="AK129" s="80"/>
      <c r="AL129" s="80"/>
      <c r="AM129" s="80"/>
      <c r="AN129" s="80" t="str">
        <f>IFERROR(__xludf.DUMMYFUNCTION("""COMPUTED_VALUE"""),"SPP BANDUNG 40400")</f>
        <v>SPP BANDUNG 40400</v>
      </c>
      <c r="AO129" s="80" t="str">
        <f>IFERROR(__xludf.DUMMYFUNCTION("""COMPUTED_VALUE"""),"0211230088193")</f>
        <v>0211230088193</v>
      </c>
      <c r="AP129" s="80" t="str">
        <f>IFERROR(__xludf.DUMMYFUNCTION("""COMPUTED_VALUE"""),"02112300881930001")</f>
        <v>02112300881930001</v>
      </c>
      <c r="AQ129" s="83"/>
      <c r="AR129" s="80"/>
      <c r="AS129" s="80"/>
      <c r="AT129" s="80" t="str">
        <f>IFERROR(__xludf.DUMMYFUNCTION("""COMPUTED_VALUE"""),"-6.9079339")</f>
        <v>-6.9079339</v>
      </c>
      <c r="AU129" s="80" t="str">
        <f>IFERROR(__xludf.DUMMYFUNCTION("""COMPUTED_VALUE"""),"107.6466898")</f>
        <v>107.6466898</v>
      </c>
      <c r="AV129" s="80" t="str">
        <f>IFERROR(__xludf.DUMMYFUNCTION("""COMPUTED_VALUE"""),"√")</f>
        <v>√</v>
      </c>
      <c r="AW129" s="80" t="str">
        <f>IFERROR(__xludf.DUMMYFUNCTION("""COMPUTED_VALUE"""),"√")</f>
        <v>√</v>
      </c>
      <c r="AX129" s="80"/>
      <c r="AY129" s="80"/>
      <c r="AZ129" s="80"/>
      <c r="BA129" s="80" t="str">
        <f>IFERROR(__xludf.DUMMYFUNCTION("""COMPUTED_VALUE"""),"√")</f>
        <v>√</v>
      </c>
      <c r="BB129" s="80"/>
      <c r="BC129" s="80" t="str">
        <f>IFERROR(__xludf.DUMMYFUNCTION("""COMPUTED_VALUE"""),"√")</f>
        <v>√</v>
      </c>
      <c r="BD129" s="80"/>
      <c r="BE129" s="80" t="str">
        <f>IFERROR(__xludf.DUMMYFUNCTION("""COMPUTED_VALUE"""),"√")</f>
        <v>√</v>
      </c>
      <c r="BF129" s="80"/>
      <c r="BG129" s="80"/>
      <c r="BH129" s="80"/>
      <c r="BI129" s="80"/>
      <c r="BJ129" s="80"/>
      <c r="BK129" s="80"/>
      <c r="BL129" s="80"/>
      <c r="BM129" s="80"/>
      <c r="BN129" s="80"/>
      <c r="BO129" s="80"/>
      <c r="BP129" s="80"/>
      <c r="BQ129" s="80"/>
      <c r="BR129" s="80"/>
      <c r="BS129" s="80"/>
      <c r="BT129" s="80"/>
      <c r="BU129" s="80"/>
      <c r="BV129" s="80"/>
      <c r="BW129" s="80"/>
      <c r="BX129" s="80"/>
      <c r="BY129" s="80"/>
      <c r="BZ129" s="80"/>
      <c r="CA129" s="80"/>
      <c r="CB129" s="80"/>
      <c r="CC129" s="80"/>
      <c r="CD129" s="80"/>
      <c r="CE129" s="80"/>
      <c r="CF129" s="80"/>
      <c r="CG129" s="80"/>
      <c r="CH129" s="80"/>
      <c r="CI129" s="80"/>
      <c r="CJ129" s="80"/>
      <c r="CK129" s="2"/>
    </row>
    <row r="130" ht="12.75" customHeight="1">
      <c r="A130" s="85">
        <f>IFERROR(__xludf.DUMMYFUNCTION("""COMPUTED_VALUE"""),127.0)</f>
        <v>127</v>
      </c>
      <c r="B130" s="85"/>
      <c r="C130" s="85"/>
      <c r="D130" s="86"/>
      <c r="E130" s="88"/>
      <c r="F130" s="85"/>
      <c r="G130" s="86"/>
      <c r="H130" s="85"/>
      <c r="I130" s="85"/>
      <c r="J130" s="85"/>
      <c r="K130" s="85"/>
      <c r="L130" s="85"/>
      <c r="M130" s="85" t="str">
        <f>IFERROR(__xludf.DUMMYFUNCTION("""COMPUTED_VALUE"""),"√")</f>
        <v>√</v>
      </c>
      <c r="N130" s="85"/>
      <c r="O130" s="85" t="str">
        <f>IFERROR(__xludf.DUMMYFUNCTION("""COMPUTED_VALUE"""),"sudah terdaftar sebelumnya di Pos")</f>
        <v>sudah terdaftar sebelumnya di Pos</v>
      </c>
      <c r="P130" s="85" t="str">
        <f>IFERROR(__xludf.DUMMYFUNCTION("""COMPUTED_VALUE"""),"53BSPA04020JBJAY")</f>
        <v>53BSPA04020JBJAY</v>
      </c>
      <c r="Q130" s="85" t="str">
        <f>IFERROR(__xludf.DUMMYFUNCTION("""COMPUTED_VALUE"""),"LOGAM")</f>
        <v>LOGAM</v>
      </c>
      <c r="R130" s="85" t="str">
        <f>IFERROR(__xludf.DUMMYFUNCTION("""COMPUTED_VALUE"""),"LOGAM")</f>
        <v>LOGAM</v>
      </c>
      <c r="S130" s="85" t="str">
        <f>IFERROR(__xludf.DUMMYFUNCTION("""COMPUTED_VALUE"""),"IR. A IWAN SOSIAWAN")</f>
        <v>IR. A IWAN SOSIAWAN</v>
      </c>
      <c r="T130" s="85" t="str">
        <f>IFERROR(__xludf.DUMMYFUNCTION("""COMPUTED_VALUE"""),"KOMP.H. BARDAN NO. 287 RT 007 RW 004, KEL.KUJANGSARI, KEC.BANDUNG KIDUL, BANDUNG")</f>
        <v>KOMP.H. BARDAN NO. 287 RT 007 RW 004, KEL.KUJANGSARI, KEC.BANDUNG KIDUL, BANDUNG</v>
      </c>
      <c r="U130" s="85" t="str">
        <f>IFERROR(__xludf.DUMMYFUNCTION("""COMPUTED_VALUE"""),"KOMP.H. BARDAN NO. 287  ")</f>
        <v>KOMP.H. BARDAN NO. 287  </v>
      </c>
      <c r="V130" s="85" t="str">
        <f>IFERROR(__xludf.DUMMYFUNCTION("""COMPUTED_VALUE"""),"007/004")</f>
        <v>007/004</v>
      </c>
      <c r="W130" s="85" t="str">
        <f>IFERROR(__xludf.DUMMYFUNCTION("""COMPUTED_VALUE"""),"KUJANGSARI")</f>
        <v>KUJANGSARI</v>
      </c>
      <c r="X130" s="85" t="str">
        <f>IFERROR(__xludf.DUMMYFUNCTION("""COMPUTED_VALUE"""),"BANDUNG KIDUL")</f>
        <v>BANDUNG KIDUL</v>
      </c>
      <c r="Y130" s="85" t="str">
        <f>IFERROR(__xludf.DUMMYFUNCTION("""COMPUTED_VALUE"""),"BANDUNG")</f>
        <v>BANDUNG</v>
      </c>
      <c r="Z130" s="85" t="str">
        <f>IFERROR(__xludf.DUMMYFUNCTION("""COMPUTED_VALUE"""),"JAWA BARAT")</f>
        <v>JAWA BARAT</v>
      </c>
      <c r="AA130" s="85" t="str">
        <f>IFERROR(__xludf.DUMMYFUNCTION("""COMPUTED_VALUE"""),"40287")</f>
        <v>40287</v>
      </c>
      <c r="AB130" s="85" t="str">
        <f>IFERROR(__xludf.DUMMYFUNCTION("""COMPUTED_VALUE"""),"3273271106640001")</f>
        <v>3273271106640001</v>
      </c>
      <c r="AC130" s="85" t="str">
        <f>IFERROR(__xludf.DUMMYFUNCTION("""COMPUTED_VALUE"""),"80.959.163.9-424.000")</f>
        <v>80.959.163.9-424.000</v>
      </c>
      <c r="AD130" s="85" t="str">
        <f>IFERROR(__xludf.DUMMYFUNCTION("""COMPUTED_VALUE"""),"CUM - BSB - JABAR")</f>
        <v>CUM - BSB - JABAR</v>
      </c>
      <c r="AE130" s="85" t="str">
        <f>IFERROR(__xludf.DUMMYFUNCTION("""COMPUTED_VALUE"""),"SUB JAELANI POS")</f>
        <v>SUB JAELANI POS</v>
      </c>
      <c r="AF130" s="85" t="str">
        <f>IFERROR(__xludf.DUMMYFUNCTION("""COMPUTED_VALUE"""),"081373716890")</f>
        <v>081373716890</v>
      </c>
      <c r="AG130" s="85"/>
      <c r="AH130" s="85" t="str">
        <f>IFERROR(__xludf.DUMMYFUNCTION("""COMPUTED_VALUE"""),"i.sosiawan@yahoo.co.id ")</f>
        <v>i.sosiawan@yahoo.co.id </v>
      </c>
      <c r="AI130" s="85"/>
      <c r="AJ130" s="85"/>
      <c r="AK130" s="85"/>
      <c r="AL130" s="85"/>
      <c r="AM130" s="85"/>
      <c r="AN130" s="85" t="str">
        <f>IFERROR(__xludf.DUMMYFUNCTION("""COMPUTED_VALUE"""),"SPP BANDUNG 40400")</f>
        <v>SPP BANDUNG 40400</v>
      </c>
      <c r="AO130" s="85" t="str">
        <f>IFERROR(__xludf.DUMMYFUNCTION("""COMPUTED_VALUE"""),"2310230034713")</f>
        <v>2310230034713</v>
      </c>
      <c r="AP130" s="85" t="str">
        <f>IFERROR(__xludf.DUMMYFUNCTION("""COMPUTED_VALUE"""),"23102300347130001")</f>
        <v>23102300347130001</v>
      </c>
      <c r="AQ130" s="93"/>
      <c r="AR130" s="85"/>
      <c r="AS130" s="85"/>
      <c r="AT130" s="85" t="str">
        <f>IFERROR(__xludf.DUMMYFUNCTION("""COMPUTED_VALUE"""),"-6.9614906")</f>
        <v>-6.9614906</v>
      </c>
      <c r="AU130" s="85" t="str">
        <f>IFERROR(__xludf.DUMMYFUNCTION("""COMPUTED_VALUE"""),"107.6445079")</f>
        <v>107.6445079</v>
      </c>
      <c r="AV130" s="85" t="str">
        <f>IFERROR(__xludf.DUMMYFUNCTION("""COMPUTED_VALUE"""),"√")</f>
        <v>√</v>
      </c>
      <c r="AW130" s="85" t="str">
        <f>IFERROR(__xludf.DUMMYFUNCTION("""COMPUTED_VALUE"""),"√")</f>
        <v>√</v>
      </c>
      <c r="AX130" s="85"/>
      <c r="AY130" s="85"/>
      <c r="AZ130" s="85"/>
      <c r="BA130" s="85" t="str">
        <f>IFERROR(__xludf.DUMMYFUNCTION("""COMPUTED_VALUE"""),"√")</f>
        <v>√</v>
      </c>
      <c r="BB130" s="85"/>
      <c r="BC130" s="85" t="str">
        <f>IFERROR(__xludf.DUMMYFUNCTION("""COMPUTED_VALUE"""),"√")</f>
        <v>√</v>
      </c>
      <c r="BD130" s="85"/>
      <c r="BE130" s="85" t="str">
        <f>IFERROR(__xludf.DUMMYFUNCTION("""COMPUTED_VALUE"""),"√")</f>
        <v>√</v>
      </c>
      <c r="BF130" s="85"/>
      <c r="BG130" s="85"/>
      <c r="BH130" s="85"/>
      <c r="BI130" s="85"/>
      <c r="BJ130" s="85"/>
      <c r="BK130" s="85"/>
      <c r="BL130" s="85"/>
      <c r="BM130" s="85"/>
      <c r="BN130" s="85"/>
      <c r="BO130" s="85"/>
      <c r="BP130" s="85"/>
      <c r="BQ130" s="85"/>
      <c r="BR130" s="85"/>
      <c r="BS130" s="85"/>
      <c r="BT130" s="85"/>
      <c r="BU130" s="85"/>
      <c r="BV130" s="85"/>
      <c r="BW130" s="85"/>
      <c r="BX130" s="85"/>
      <c r="BY130" s="85"/>
      <c r="BZ130" s="85"/>
      <c r="CA130" s="85"/>
      <c r="CB130" s="85"/>
      <c r="CC130" s="85"/>
      <c r="CD130" s="85"/>
      <c r="CE130" s="85"/>
      <c r="CF130" s="85"/>
      <c r="CG130" s="85"/>
      <c r="CH130" s="85"/>
      <c r="CI130" s="85"/>
      <c r="CJ130" s="85"/>
      <c r="CK130" s="2"/>
    </row>
    <row r="131" ht="12.75" customHeight="1">
      <c r="A131" s="80">
        <f>IFERROR(__xludf.DUMMYFUNCTION("""COMPUTED_VALUE"""),128.0)</f>
        <v>128</v>
      </c>
      <c r="B131" s="80"/>
      <c r="C131" s="80"/>
      <c r="D131" s="81"/>
      <c r="E131" s="82"/>
      <c r="F131" s="80"/>
      <c r="G131" s="81"/>
      <c r="H131" s="80"/>
      <c r="I131" s="80"/>
      <c r="J131" s="80"/>
      <c r="K131" s="80"/>
      <c r="L131" s="80"/>
      <c r="M131" s="80" t="str">
        <f>IFERROR(__xludf.DUMMYFUNCTION("""COMPUTED_VALUE"""),"√")</f>
        <v>√</v>
      </c>
      <c r="N131" s="80"/>
      <c r="O131" s="80"/>
      <c r="P131" s="80" t="str">
        <f>IFERROR(__xludf.DUMMYFUNCTION("""COMPUTED_VALUE"""),"53BSPA29448JBRKO")</f>
        <v>53BSPA29448JBRKO</v>
      </c>
      <c r="Q131" s="80" t="str">
        <f>IFERROR(__xludf.DUMMYFUNCTION("""COMPUTED_VALUE"""),"ALTAZ STORE")</f>
        <v>ALTAZ STORE</v>
      </c>
      <c r="R131" s="80" t="str">
        <f>IFERROR(__xludf.DUMMYFUNCTION("""COMPUTED_VALUE"""),"ALTAZ STORE")</f>
        <v>ALTAZ STORE</v>
      </c>
      <c r="S131" s="80" t="str">
        <f>IFERROR(__xludf.DUMMYFUNCTION("""COMPUTED_VALUE"""),"RAMLAN ZAINUDIN")</f>
        <v>RAMLAN ZAINUDIN</v>
      </c>
      <c r="T131" s="80" t="str">
        <f>IFERROR(__xludf.DUMMYFUNCTION("""COMPUTED_VALUE"""),"KP.CIGARUKGAK 03/12 NO.30, KEC.CILENGKRANG, KEL.GIRIMEKAR, KAB.BANDUNG, 40619")</f>
        <v>KP.CIGARUKGAK 03/12 NO.30, KEC.CILENGKRANG, KEL.GIRIMEKAR, KAB.BANDUNG, 40619</v>
      </c>
      <c r="U131" s="80" t="str">
        <f>IFERROR(__xludf.DUMMYFUNCTION("""COMPUTED_VALUE"""),"KP.CIGARUKGAK NO.30 ")</f>
        <v>KP.CIGARUKGAK NO.30 </v>
      </c>
      <c r="V131" s="80" t="str">
        <f>IFERROR(__xludf.DUMMYFUNCTION("""COMPUTED_VALUE"""),"003/012")</f>
        <v>003/012</v>
      </c>
      <c r="W131" s="80" t="str">
        <f>IFERROR(__xludf.DUMMYFUNCTION("""COMPUTED_VALUE"""),"CILENGKRANG")</f>
        <v>CILENGKRANG</v>
      </c>
      <c r="X131" s="80" t="str">
        <f>IFERROR(__xludf.DUMMYFUNCTION("""COMPUTED_VALUE"""),"GIRIMEKAR")</f>
        <v>GIRIMEKAR</v>
      </c>
      <c r="Y131" s="80" t="str">
        <f>IFERROR(__xludf.DUMMYFUNCTION("""COMPUTED_VALUE"""),"BANDUNG")</f>
        <v>BANDUNG</v>
      </c>
      <c r="Z131" s="80" t="str">
        <f>IFERROR(__xludf.DUMMYFUNCTION("""COMPUTED_VALUE"""),"JAWA BARAT")</f>
        <v>JAWA BARAT</v>
      </c>
      <c r="AA131" s="80" t="str">
        <f>IFERROR(__xludf.DUMMYFUNCTION("""COMPUTED_VALUE"""),"40619")</f>
        <v>40619</v>
      </c>
      <c r="AB131" s="80" t="str">
        <f>IFERROR(__xludf.DUMMYFUNCTION("""COMPUTED_VALUE"""),"3273021101910008")</f>
        <v>3273021101910008</v>
      </c>
      <c r="AC131" s="80" t="str">
        <f>IFERROR(__xludf.DUMMYFUNCTION("""COMPUTED_VALUE"""),"57.214980.5-423.000")</f>
        <v>57.214980.5-423.000</v>
      </c>
      <c r="AD131" s="80" t="str">
        <f>IFERROR(__xludf.DUMMYFUNCTION("""COMPUTED_VALUE"""),"CUM - RKO ")</f>
        <v>CUM - RKO </v>
      </c>
      <c r="AE131" s="80" t="str">
        <f>IFERROR(__xludf.DUMMYFUNCTION("""COMPUTED_VALUE"""),"SUB RIKO")</f>
        <v>SUB RIKO</v>
      </c>
      <c r="AF131" s="80" t="str">
        <f>IFERROR(__xludf.DUMMYFUNCTION("""COMPUTED_VALUE"""),"085722975757")</f>
        <v>085722975757</v>
      </c>
      <c r="AG131" s="80"/>
      <c r="AH131" s="80" t="str">
        <f>IFERROR(__xludf.DUMMYFUNCTION("""COMPUTED_VALUE"""),"ritasetiadi@gmail.com")</f>
        <v>ritasetiadi@gmail.com</v>
      </c>
      <c r="AI131" s="80" t="str">
        <f>IFERROR(__xludf.DUMMYFUNCTION("""COMPUTED_VALUE"""),"40392S3")</f>
        <v>40392S3</v>
      </c>
      <c r="AJ131" s="80" t="str">
        <f>IFERROR(__xludf.DUMMYFUNCTION("""COMPUTED_VALUE"""),"656809cebc7f849141035677")</f>
        <v>656809cebc7f849141035677</v>
      </c>
      <c r="AK131" s="80" t="str">
        <f>IFERROR(__xludf.DUMMYFUNCTION("""COMPUTED_VALUE"""),"dm40392s3")</f>
        <v>dm40392s3</v>
      </c>
      <c r="AL131" s="80" t="str">
        <f>IFERROR(__xludf.DUMMYFUNCTION("""COMPUTED_VALUE"""),"#Tazs40392")</f>
        <v>#Tazs40392</v>
      </c>
      <c r="AM131" s="80"/>
      <c r="AN131" s="80" t="str">
        <f>IFERROR(__xludf.DUMMYFUNCTION("""COMPUTED_VALUE"""),"SPP BANDUNG 40400")</f>
        <v>SPP BANDUNG 40400</v>
      </c>
      <c r="AO131" s="80" t="str">
        <f>IFERROR(__xludf.DUMMYFUNCTION("""COMPUTED_VALUE"""),"211230102332")</f>
        <v>211230102332</v>
      </c>
      <c r="AP131" s="80" t="str">
        <f>IFERROR(__xludf.DUMMYFUNCTION("""COMPUTED_VALUE"""),"02112301023320001")</f>
        <v>02112301023320001</v>
      </c>
      <c r="AQ131" s="83"/>
      <c r="AR131" s="80"/>
      <c r="AS131" s="80"/>
      <c r="AT131" s="80" t="str">
        <f>IFERROR(__xludf.DUMMYFUNCTION("""COMPUTED_VALUE"""),"-6.890821")</f>
        <v>-6.890821</v>
      </c>
      <c r="AU131" s="80" t="str">
        <f>IFERROR(__xludf.DUMMYFUNCTION("""COMPUTED_VALUE"""),"107.6956382")</f>
        <v>107.6956382</v>
      </c>
      <c r="AV131" s="80" t="str">
        <f>IFERROR(__xludf.DUMMYFUNCTION("""COMPUTED_VALUE"""),"√")</f>
        <v>√</v>
      </c>
      <c r="AW131" s="80" t="str">
        <f>IFERROR(__xludf.DUMMYFUNCTION("""COMPUTED_VALUE"""),"√")</f>
        <v>√</v>
      </c>
      <c r="AX131" s="80"/>
      <c r="AY131" s="80"/>
      <c r="AZ131" s="80"/>
      <c r="BA131" s="80" t="str">
        <f>IFERROR(__xludf.DUMMYFUNCTION("""COMPUTED_VALUE"""),"√")</f>
        <v>√</v>
      </c>
      <c r="BB131" s="80"/>
      <c r="BC131" s="80" t="str">
        <f>IFERROR(__xludf.DUMMYFUNCTION("""COMPUTED_VALUE"""),"√")</f>
        <v>√</v>
      </c>
      <c r="BD131" s="80"/>
      <c r="BE131" s="80" t="str">
        <f>IFERROR(__xludf.DUMMYFUNCTION("""COMPUTED_VALUE"""),"√")</f>
        <v>√</v>
      </c>
      <c r="BF131" s="80"/>
      <c r="BG131" s="80"/>
      <c r="BH131" s="80"/>
      <c r="BI131" s="80"/>
      <c r="BJ131" s="80"/>
      <c r="BK131" s="80"/>
      <c r="BL131" s="80"/>
      <c r="BM131" s="80"/>
      <c r="BN131" s="80"/>
      <c r="BO131" s="80"/>
      <c r="BP131" s="80"/>
      <c r="BQ131" s="80"/>
      <c r="BR131" s="80"/>
      <c r="BS131" s="80"/>
      <c r="BT131" s="80"/>
      <c r="BU131" s="80"/>
      <c r="BV131" s="80"/>
      <c r="BW131" s="80"/>
      <c r="BX131" s="80"/>
      <c r="BY131" s="80"/>
      <c r="BZ131" s="80"/>
      <c r="CA131" s="80"/>
      <c r="CB131" s="80"/>
      <c r="CC131" s="80"/>
      <c r="CD131" s="80"/>
      <c r="CE131" s="80"/>
      <c r="CF131" s="80"/>
      <c r="CG131" s="80"/>
      <c r="CH131" s="80"/>
      <c r="CI131" s="80"/>
      <c r="CJ131" s="80"/>
      <c r="CK131" s="2"/>
    </row>
    <row r="132" ht="12.75" customHeight="1">
      <c r="A132" s="85">
        <f>IFERROR(__xludf.DUMMYFUNCTION("""COMPUTED_VALUE"""),129.0)</f>
        <v>129</v>
      </c>
      <c r="B132" s="85"/>
      <c r="C132" s="85"/>
      <c r="D132" s="86"/>
      <c r="E132" s="88"/>
      <c r="F132" s="85"/>
      <c r="G132" s="86"/>
      <c r="H132" s="85"/>
      <c r="I132" s="85"/>
      <c r="J132" s="85"/>
      <c r="K132" s="85"/>
      <c r="L132" s="85"/>
      <c r="M132" s="85"/>
      <c r="N132" s="85"/>
      <c r="O132" s="85" t="str">
        <f>IFERROR(__xludf.DUMMYFUNCTION("""COMPUTED_VALUE"""),"√")</f>
        <v>√</v>
      </c>
      <c r="P132" s="85" t="str">
        <f>IFERROR(__xludf.DUMMYFUNCTION("""COMPUTED_VALUE"""),"53BSPA29745JBEEN")</f>
        <v>53BSPA29745JBEEN</v>
      </c>
      <c r="Q132" s="85" t="str">
        <f>IFERROR(__xludf.DUMMYFUNCTION("""COMPUTED_VALUE""")," XAVIAR 2013")</f>
        <v> XAVIAR 2013</v>
      </c>
      <c r="R132" s="85" t="str">
        <f>IFERROR(__xludf.DUMMYFUNCTION("""COMPUTED_VALUE""")," XAVIAR 2013")</f>
        <v> XAVIAR 2013</v>
      </c>
      <c r="S132" s="85" t="str">
        <f>IFERROR(__xludf.DUMMYFUNCTION("""COMPUTED_VALUE"""),"WILLY JONATHANS")</f>
        <v>WILLY JONATHANS</v>
      </c>
      <c r="T132" s="85" t="str">
        <f>IFERROR(__xludf.DUMMYFUNCTION("""COMPUTED_VALUE"""),"JL. PEMUDA NO 82 RT 001/008, KEL.DEPOK, KEC.PANCORAN MAS, KOTA DEPOK, 16431")</f>
        <v>JL. PEMUDA NO 82 RT 001/008, KEL.DEPOK, KEC.PANCORAN MAS, KOTA DEPOK, 16431</v>
      </c>
      <c r="U132" s="85" t="str">
        <f>IFERROR(__xludf.DUMMYFUNCTION("""COMPUTED_VALUE"""),"JL. PEMUDA NO 82 RT 001/008, KEL.DEPOK, KEC.PANCORAN MAS, KOTA DEPOK, 16431")</f>
        <v>JL. PEMUDA NO 82 RT 001/008, KEL.DEPOK, KEC.PANCORAN MAS, KOTA DEPOK, 16431</v>
      </c>
      <c r="V132" s="85" t="str">
        <f>IFERROR(__xludf.DUMMYFUNCTION("""COMPUTED_VALUE"""),"001/008")</f>
        <v>001/008</v>
      </c>
      <c r="W132" s="85" t="str">
        <f>IFERROR(__xludf.DUMMYFUNCTION("""COMPUTED_VALUE"""),"DEPOK")</f>
        <v>DEPOK</v>
      </c>
      <c r="X132" s="85" t="str">
        <f>IFERROR(__xludf.DUMMYFUNCTION("""COMPUTED_VALUE"""),"PANCORAN MAS")</f>
        <v>PANCORAN MAS</v>
      </c>
      <c r="Y132" s="85" t="str">
        <f>IFERROR(__xludf.DUMMYFUNCTION("""COMPUTED_VALUE"""),"DEPOK")</f>
        <v>DEPOK</v>
      </c>
      <c r="Z132" s="85" t="str">
        <f>IFERROR(__xludf.DUMMYFUNCTION("""COMPUTED_VALUE"""),"JAWA BARAT")</f>
        <v>JAWA BARAT</v>
      </c>
      <c r="AA132" s="85" t="str">
        <f>IFERROR(__xludf.DUMMYFUNCTION("""COMPUTED_VALUE"""),"16431")</f>
        <v>16431</v>
      </c>
      <c r="AB132" s="85" t="str">
        <f>IFERROR(__xludf.DUMMYFUNCTION("""COMPUTED_VALUE"""),"3276011106470001")</f>
        <v>3276011106470001</v>
      </c>
      <c r="AC132" s="85" t="str">
        <f>IFERROR(__xludf.DUMMYFUNCTION("""COMPUTED_VALUE"""),"26.044.912.9-412.000")</f>
        <v>26.044.912.9-412.000</v>
      </c>
      <c r="AD132" s="85" t="str">
        <f>IFERROR(__xludf.DUMMYFUNCTION("""COMPUTED_VALUE"""),"CUM - EEN")</f>
        <v>CUM - EEN</v>
      </c>
      <c r="AE132" s="85" t="str">
        <f>IFERROR(__xludf.DUMMYFUNCTION("""COMPUTED_VALUE"""),"SUB EEN")</f>
        <v>SUB EEN</v>
      </c>
      <c r="AF132" s="85" t="str">
        <f>IFERROR(__xludf.DUMMYFUNCTION("""COMPUTED_VALUE"""),"081295770236")</f>
        <v>081295770236</v>
      </c>
      <c r="AG132" s="85"/>
      <c r="AH132" s="85" t="str">
        <f>IFERROR(__xludf.DUMMYFUNCTION("""COMPUTED_VALUE"""),"wilademail@yahoo.com.sg")</f>
        <v>wilademail@yahoo.com.sg</v>
      </c>
      <c r="AI132" s="85"/>
      <c r="AJ132" s="85"/>
      <c r="AK132" s="85"/>
      <c r="AL132" s="85"/>
      <c r="AM132" s="85"/>
      <c r="AN132" s="85"/>
      <c r="AO132" s="85"/>
      <c r="AP132" s="85"/>
      <c r="AQ132" s="93"/>
      <c r="AR132" s="85"/>
      <c r="AS132" s="85"/>
      <c r="AT132" s="85"/>
      <c r="AU132" s="85"/>
      <c r="AV132" s="85"/>
      <c r="AW132" s="85"/>
      <c r="AX132" s="85"/>
      <c r="AY132" s="85"/>
      <c r="AZ132" s="85"/>
      <c r="BA132" s="85"/>
      <c r="BB132" s="85"/>
      <c r="BC132" s="85"/>
      <c r="BD132" s="85"/>
      <c r="BE132" s="85"/>
      <c r="BF132" s="85"/>
      <c r="BG132" s="85"/>
      <c r="BH132" s="85"/>
      <c r="BI132" s="85"/>
      <c r="BJ132" s="85"/>
      <c r="BK132" s="85"/>
      <c r="BL132" s="85"/>
      <c r="BM132" s="85"/>
      <c r="BN132" s="85"/>
      <c r="BO132" s="85"/>
      <c r="BP132" s="85"/>
      <c r="BQ132" s="85"/>
      <c r="BR132" s="85"/>
      <c r="BS132" s="85"/>
      <c r="BT132" s="85"/>
      <c r="BU132" s="85"/>
      <c r="BV132" s="85"/>
      <c r="BW132" s="85"/>
      <c r="BX132" s="85"/>
      <c r="BY132" s="85"/>
      <c r="BZ132" s="85"/>
      <c r="CA132" s="85"/>
      <c r="CB132" s="85"/>
      <c r="CC132" s="85"/>
      <c r="CD132" s="85"/>
      <c r="CE132" s="85"/>
      <c r="CF132" s="85"/>
      <c r="CG132" s="85"/>
      <c r="CH132" s="85"/>
      <c r="CI132" s="85"/>
      <c r="CJ132" s="85"/>
      <c r="CK132" s="2"/>
    </row>
    <row r="133" ht="12.75" customHeight="1">
      <c r="A133" s="80">
        <f>IFERROR(__xludf.DUMMYFUNCTION("""COMPUTED_VALUE"""),130.0)</f>
        <v>130</v>
      </c>
      <c r="B133" s="80"/>
      <c r="C133" s="80"/>
      <c r="D133" s="81"/>
      <c r="E133" s="82"/>
      <c r="F133" s="80"/>
      <c r="G133" s="81"/>
      <c r="H133" s="80"/>
      <c r="I133" s="80"/>
      <c r="J133" s="80"/>
      <c r="K133" s="80"/>
      <c r="L133" s="80"/>
      <c r="M133" s="80"/>
      <c r="N133" s="80"/>
      <c r="O133" s="80" t="str">
        <f>IFERROR(__xludf.DUMMYFUNCTION("""COMPUTED_VALUE"""),"√")</f>
        <v>√</v>
      </c>
      <c r="P133" s="80" t="str">
        <f>IFERROR(__xludf.DUMMYFUNCTION("""COMPUTED_VALUE"""),"53BSPA04021JBJAY")</f>
        <v>53BSPA04021JBJAY</v>
      </c>
      <c r="Q133" s="80" t="str">
        <f>IFERROR(__xludf.DUMMYFUNCTION("""COMPUTED_VALUE"""),"KEBON KAWUNG")</f>
        <v>KEBON KAWUNG</v>
      </c>
      <c r="R133" s="80" t="str">
        <f>IFERROR(__xludf.DUMMYFUNCTION("""COMPUTED_VALUE"""),"KEBON KAWUNG")</f>
        <v>KEBON KAWUNG</v>
      </c>
      <c r="S133" s="80" t="str">
        <f>IFERROR(__xludf.DUMMYFUNCTION("""COMPUTED_VALUE"""),"HENDRA ADILUKITO")</f>
        <v>HENDRA ADILUKITO</v>
      </c>
      <c r="T133" s="80" t="str">
        <f>IFERROR(__xludf.DUMMYFUNCTION("""COMPUTED_VALUE"""),"Gg. SALEH 179/66, RT.006/RW.006, KEL.ARJUNA, KEC.CICENDO, KOTA BANDUNG")</f>
        <v>Gg. SALEH 179/66, RT.006/RW.006, KEL.ARJUNA, KEC.CICENDO, KOTA BANDUNG</v>
      </c>
      <c r="U133" s="80" t="str">
        <f>IFERROR(__xludf.DUMMYFUNCTION("""COMPUTED_VALUE""")," JL KEBON KAWUNG NO 14")</f>
        <v> JL KEBON KAWUNG NO 14</v>
      </c>
      <c r="V133" s="80"/>
      <c r="W133" s="80" t="str">
        <f>IFERROR(__xludf.DUMMYFUNCTION("""COMPUTED_VALUE"""),"PASIRKALIKI")</f>
        <v>PASIRKALIKI</v>
      </c>
      <c r="X133" s="80" t="str">
        <f>IFERROR(__xludf.DUMMYFUNCTION("""COMPUTED_VALUE"""),"CICENDO")</f>
        <v>CICENDO</v>
      </c>
      <c r="Y133" s="80" t="str">
        <f>IFERROR(__xludf.DUMMYFUNCTION("""COMPUTED_VALUE"""),"BANDUNG")</f>
        <v>BANDUNG</v>
      </c>
      <c r="Z133" s="80" t="str">
        <f>IFERROR(__xludf.DUMMYFUNCTION("""COMPUTED_VALUE"""),"JAWA BARAT")</f>
        <v>JAWA BARAT</v>
      </c>
      <c r="AA133" s="80" t="str">
        <f>IFERROR(__xludf.DUMMYFUNCTION("""COMPUTED_VALUE"""),"40171")</f>
        <v>40171</v>
      </c>
      <c r="AB133" s="80" t="str">
        <f>IFERROR(__xludf.DUMMYFUNCTION("""COMPUTED_VALUE"""),"3273060901760003")</f>
        <v>3273060901760003</v>
      </c>
      <c r="AC133" s="80"/>
      <c r="AD133" s="80" t="str">
        <f>IFERROR(__xludf.DUMMYFUNCTION("""COMPUTED_VALUE"""),"CUM - BSB - JABAR")</f>
        <v>CUM - BSB - JABAR</v>
      </c>
      <c r="AE133" s="80" t="str">
        <f>IFERROR(__xludf.DUMMYFUNCTION("""COMPUTED_VALUE"""),"SUB JAELANI POS")</f>
        <v>SUB JAELANI POS</v>
      </c>
      <c r="AF133" s="80" t="str">
        <f>IFERROR(__xludf.DUMMYFUNCTION("""COMPUTED_VALUE"""),"083822360411")</f>
        <v>083822360411</v>
      </c>
      <c r="AG133" s="80"/>
      <c r="AH133" s="80" t="str">
        <f>IFERROR(__xludf.DUMMYFUNCTION("""COMPUTED_VALUE"""),"wahanakawung@gmail.com")</f>
        <v>wahanakawung@gmail.com</v>
      </c>
      <c r="AI133" s="80"/>
      <c r="AJ133" s="80"/>
      <c r="AK133" s="80"/>
      <c r="AL133" s="80"/>
      <c r="AM133" s="80"/>
      <c r="AN133" s="80"/>
      <c r="AO133" s="80"/>
      <c r="AP133" s="80"/>
      <c r="AQ133" s="83"/>
      <c r="AR133" s="80"/>
      <c r="AS133" s="80"/>
      <c r="AT133" s="80" t="str">
        <f>IFERROR(__xludf.DUMMYFUNCTION("""COMPUTED_VALUE"""),"-6.912456")</f>
        <v>-6.912456</v>
      </c>
      <c r="AU133" s="80" t="str">
        <f>IFERROR(__xludf.DUMMYFUNCTION("""COMPUTED_VALUE"""),"107.6005497")</f>
        <v>107.6005497</v>
      </c>
      <c r="AV133" s="80" t="str">
        <f>IFERROR(__xludf.DUMMYFUNCTION("""COMPUTED_VALUE"""),"√")</f>
        <v>√</v>
      </c>
      <c r="AW133" s="80"/>
      <c r="AX133" s="80"/>
      <c r="AY133" s="80"/>
      <c r="AZ133" s="80"/>
      <c r="BA133" s="80" t="str">
        <f>IFERROR(__xludf.DUMMYFUNCTION("""COMPUTED_VALUE"""),"√")</f>
        <v>√</v>
      </c>
      <c r="BB133" s="80"/>
      <c r="BC133" s="80"/>
      <c r="BD133" s="80"/>
      <c r="BE133" s="80"/>
      <c r="BF133" s="80"/>
      <c r="BG133" s="80"/>
      <c r="BH133" s="80"/>
      <c r="BI133" s="80"/>
      <c r="BJ133" s="80"/>
      <c r="BK133" s="80"/>
      <c r="BL133" s="80"/>
      <c r="BM133" s="80"/>
      <c r="BN133" s="80"/>
      <c r="BO133" s="80"/>
      <c r="BP133" s="80"/>
      <c r="BQ133" s="80"/>
      <c r="BR133" s="80"/>
      <c r="BS133" s="80"/>
      <c r="BT133" s="80"/>
      <c r="BU133" s="80"/>
      <c r="BV133" s="80"/>
      <c r="BW133" s="80"/>
      <c r="BX133" s="80"/>
      <c r="BY133" s="80"/>
      <c r="BZ133" s="80"/>
      <c r="CA133" s="80"/>
      <c r="CB133" s="80"/>
      <c r="CC133" s="80"/>
      <c r="CD133" s="80"/>
      <c r="CE133" s="80"/>
      <c r="CF133" s="80"/>
      <c r="CG133" s="80"/>
      <c r="CH133" s="80"/>
      <c r="CI133" s="80"/>
      <c r="CJ133" s="80"/>
      <c r="CK133" s="2"/>
    </row>
    <row r="134" ht="12.75" customHeight="1">
      <c r="A134" s="85">
        <f>IFERROR(__xludf.DUMMYFUNCTION("""COMPUTED_VALUE"""),131.0)</f>
        <v>131</v>
      </c>
      <c r="B134" s="85"/>
      <c r="C134" s="85"/>
      <c r="D134" s="86"/>
      <c r="E134" s="88"/>
      <c r="F134" s="85"/>
      <c r="G134" s="86"/>
      <c r="H134" s="85"/>
      <c r="I134" s="85"/>
      <c r="J134" s="85"/>
      <c r="K134" s="85"/>
      <c r="L134" s="85"/>
      <c r="M134" s="85" t="str">
        <f>IFERROR(__xludf.DUMMYFUNCTION("""COMPUTED_VALUE"""),"√")</f>
        <v>√</v>
      </c>
      <c r="N134" s="85"/>
      <c r="O134" s="85" t="str">
        <f>IFERROR(__xludf.DUMMYFUNCTION("""COMPUTED_VALUE"""),"√")</f>
        <v>√</v>
      </c>
      <c r="P134" s="85" t="str">
        <f>IFERROR(__xludf.DUMMYFUNCTION("""COMPUTED_VALUE"""),"53BSPA29466JBEEN")</f>
        <v>53BSPA29466JBEEN</v>
      </c>
      <c r="Q134" s="85" t="str">
        <f>IFERROR(__xludf.DUMMYFUNCTION("""COMPUTED_VALUE"""),"KUD PERMATASARI")</f>
        <v>KUD PERMATASARI</v>
      </c>
      <c r="R134" s="85" t="str">
        <f>IFERROR(__xludf.DUMMYFUNCTION("""COMPUTED_VALUE"""),"KUD PERMATASARI")</f>
        <v>KUD PERMATASARI</v>
      </c>
      <c r="S134" s="85" t="str">
        <f>IFERROR(__xludf.DUMMYFUNCTION("""COMPUTED_VALUE"""),"H. REMBANG SUSANTO")</f>
        <v>H. REMBANG SUSANTO</v>
      </c>
      <c r="T134" s="85" t="str">
        <f>IFERROR(__xludf.DUMMYFUNCTION("""COMPUTED_VALUE"""),"KP.CIBUNTU BOJONG RT.01/01 GANDASARI CIKARANG BARAT")</f>
        <v>KP.CIBUNTU BOJONG RT.01/01 GANDASARI CIKARANG BARAT</v>
      </c>
      <c r="U134" s="85" t="str">
        <f>IFERROR(__xludf.DUMMYFUNCTION("""COMPUTED_VALUE"""),"JL. TELAGA ASIH")</f>
        <v>JL. TELAGA ASIH</v>
      </c>
      <c r="V134" s="85"/>
      <c r="W134" s="85" t="str">
        <f>IFERROR(__xludf.DUMMYFUNCTION("""COMPUTED_VALUE"""),"TELAGA ASIH")</f>
        <v>TELAGA ASIH</v>
      </c>
      <c r="X134" s="85" t="str">
        <f>IFERROR(__xludf.DUMMYFUNCTION("""COMPUTED_VALUE"""),"CIKARANG BARAT")</f>
        <v>CIKARANG BARAT</v>
      </c>
      <c r="Y134" s="85" t="str">
        <f>IFERROR(__xludf.DUMMYFUNCTION("""COMPUTED_VALUE"""),"BEKASI")</f>
        <v>BEKASI</v>
      </c>
      <c r="Z134" s="85" t="str">
        <f>IFERROR(__xludf.DUMMYFUNCTION("""COMPUTED_VALUE"""),"JAWA BARAT")</f>
        <v>JAWA BARAT</v>
      </c>
      <c r="AA134" s="85" t="str">
        <f>IFERROR(__xludf.DUMMYFUNCTION("""COMPUTED_VALUE"""),"17530")</f>
        <v>17530</v>
      </c>
      <c r="AB134" s="85" t="str">
        <f>IFERROR(__xludf.DUMMYFUNCTION("""COMPUTED_VALUE"""),"3216081012800027")</f>
        <v>3216081012800027</v>
      </c>
      <c r="AC134" s="85" t="str">
        <f>IFERROR(__xludf.DUMMYFUNCTION("""COMPUTED_VALUE"""),"01.438.038.0-413.000")</f>
        <v>01.438.038.0-413.000</v>
      </c>
      <c r="AD134" s="85" t="str">
        <f>IFERROR(__xludf.DUMMYFUNCTION("""COMPUTED_VALUE"""),"CUM - EEN")</f>
        <v>CUM - EEN</v>
      </c>
      <c r="AE134" s="85" t="str">
        <f>IFERROR(__xludf.DUMMYFUNCTION("""COMPUTED_VALUE"""),"SUB EEN")</f>
        <v>SUB EEN</v>
      </c>
      <c r="AF134" s="85" t="str">
        <f>IFERROR(__xludf.DUMMYFUNCTION("""COMPUTED_VALUE"""),"081287968486")</f>
        <v>081287968486</v>
      </c>
      <c r="AG134" s="85"/>
      <c r="AH134" s="85" t="str">
        <f>IFERROR(__xludf.DUMMYFUNCTION("""COMPUTED_VALUE"""),"iyee.thea@gmail.com")</f>
        <v>iyee.thea@gmail.com</v>
      </c>
      <c r="AI134" s="85" t="str">
        <f>IFERROR(__xludf.DUMMYFUNCTION("""COMPUTED_VALUE"""),"17841S2")</f>
        <v>17841S2</v>
      </c>
      <c r="AJ134" s="85" t="str">
        <f>IFERROR(__xludf.DUMMYFUNCTION("""COMPUTED_VALUE"""),"659665535594b5ec240cf780")</f>
        <v>659665535594b5ec240cf780</v>
      </c>
      <c r="AK134" s="85" t="str">
        <f>IFERROR(__xludf.DUMMYFUNCTION("""COMPUTED_VALUE"""),"dm17841s2")</f>
        <v>dm17841s2</v>
      </c>
      <c r="AL134" s="85" t="str">
        <f>IFERROR(__xludf.DUMMYFUNCTION("""COMPUTED_VALUE"""),"#Kudp17841")</f>
        <v>#Kudp17841</v>
      </c>
      <c r="AM134" s="85"/>
      <c r="AN134" s="85" t="str">
        <f>IFERROR(__xludf.DUMMYFUNCTION("""COMPUTED_VALUE"""),"KC CIKARANG 17500")</f>
        <v>KC CIKARANG 17500</v>
      </c>
      <c r="AO134" s="85" t="str">
        <f>IFERROR(__xludf.DUMMYFUNCTION("""COMPUTED_VALUE"""),"2211230091582")</f>
        <v>2211230091582</v>
      </c>
      <c r="AP134" s="85" t="str">
        <f>IFERROR(__xludf.DUMMYFUNCTION("""COMPUTED_VALUE"""),"22112300915820001")</f>
        <v>22112300915820001</v>
      </c>
      <c r="AQ134" s="93"/>
      <c r="AR134" s="85"/>
      <c r="AS134" s="85"/>
      <c r="AT134" s="85" t="str">
        <f>IFERROR(__xludf.DUMMYFUNCTION("""COMPUTED_VALUE"""),"-6.2726052")</f>
        <v>-6.2726052</v>
      </c>
      <c r="AU134" s="85" t="str">
        <f>IFERROR(__xludf.DUMMYFUNCTION("""COMPUTED_VALUE"""),"107.1038374")</f>
        <v>107.1038374</v>
      </c>
      <c r="AV134" s="85" t="str">
        <f>IFERROR(__xludf.DUMMYFUNCTION("""COMPUTED_VALUE"""),"√")</f>
        <v>√</v>
      </c>
      <c r="AW134" s="85" t="str">
        <f>IFERROR(__xludf.DUMMYFUNCTION("""COMPUTED_VALUE"""),"√")</f>
        <v>√</v>
      </c>
      <c r="AX134" s="85"/>
      <c r="AY134" s="85"/>
      <c r="AZ134" s="85"/>
      <c r="BA134" s="85" t="str">
        <f>IFERROR(__xludf.DUMMYFUNCTION("""COMPUTED_VALUE"""),"√")</f>
        <v>√</v>
      </c>
      <c r="BB134" s="85" t="str">
        <f>IFERROR(__xludf.DUMMYFUNCTION("""COMPUTED_VALUE"""),"√")</f>
        <v>√</v>
      </c>
      <c r="BC134" s="85" t="str">
        <f>IFERROR(__xludf.DUMMYFUNCTION("""COMPUTED_VALUE"""),"√")</f>
        <v>√</v>
      </c>
      <c r="BD134" s="85" t="str">
        <f>IFERROR(__xludf.DUMMYFUNCTION("""COMPUTED_VALUE"""),"√")</f>
        <v>√</v>
      </c>
      <c r="BE134" s="85" t="str">
        <f>IFERROR(__xludf.DUMMYFUNCTION("""COMPUTED_VALUE"""),"√")</f>
        <v>√</v>
      </c>
      <c r="BF134" s="85"/>
      <c r="BG134" s="85"/>
      <c r="BH134" s="85"/>
      <c r="BI134" s="85"/>
      <c r="BJ134" s="85"/>
      <c r="BK134" s="85"/>
      <c r="BL134" s="85"/>
      <c r="BM134" s="85"/>
      <c r="BN134" s="85"/>
      <c r="BO134" s="85"/>
      <c r="BP134" s="85"/>
      <c r="BQ134" s="85"/>
      <c r="BR134" s="85"/>
      <c r="BS134" s="85"/>
      <c r="BT134" s="85"/>
      <c r="BU134" s="85"/>
      <c r="BV134" s="85"/>
      <c r="BW134" s="85"/>
      <c r="BX134" s="85"/>
      <c r="BY134" s="85"/>
      <c r="BZ134" s="85"/>
      <c r="CA134" s="85"/>
      <c r="CB134" s="85"/>
      <c r="CC134" s="85"/>
      <c r="CD134" s="85"/>
      <c r="CE134" s="85"/>
      <c r="CF134" s="85"/>
      <c r="CG134" s="85"/>
      <c r="CH134" s="85"/>
      <c r="CI134" s="85"/>
      <c r="CJ134" s="85"/>
      <c r="CK134" s="2"/>
    </row>
    <row r="135" ht="12.75" customHeight="1">
      <c r="A135" s="80">
        <f>IFERROR(__xludf.DUMMYFUNCTION("""COMPUTED_VALUE"""),132.0)</f>
        <v>132</v>
      </c>
      <c r="B135" s="80"/>
      <c r="C135" s="80"/>
      <c r="D135" s="81"/>
      <c r="E135" s="82"/>
      <c r="F135" s="80"/>
      <c r="G135" s="81"/>
      <c r="H135" s="80"/>
      <c r="I135" s="80"/>
      <c r="J135" s="80"/>
      <c r="K135" s="80"/>
      <c r="L135" s="80"/>
      <c r="M135" s="80" t="str">
        <f>IFERROR(__xludf.DUMMYFUNCTION("""COMPUTED_VALUE"""),"√")</f>
        <v>√</v>
      </c>
      <c r="N135" s="80"/>
      <c r="O135" s="80"/>
      <c r="P135" s="80" t="str">
        <f>IFERROR(__xludf.DUMMYFUNCTION("""COMPUTED_VALUE"""),"53BSPA04022JBJAY")</f>
        <v>53BSPA04022JBJAY</v>
      </c>
      <c r="Q135" s="80" t="str">
        <f>IFERROR(__xludf.DUMMYFUNCTION("""COMPUTED_VALUE"""),"TOKO RiZKY")</f>
        <v>TOKO RiZKY</v>
      </c>
      <c r="R135" s="80" t="str">
        <f>IFERROR(__xludf.DUMMYFUNCTION("""COMPUTED_VALUE"""),"Toko Rizky")</f>
        <v>Toko Rizky</v>
      </c>
      <c r="S135" s="80" t="str">
        <f>IFERROR(__xludf.DUMMYFUNCTION("""COMPUTED_VALUE"""),"AI SUSILAWATI")</f>
        <v>AI SUSILAWATI</v>
      </c>
      <c r="T135" s="80" t="str">
        <f>IFERROR(__xludf.DUMMYFUNCTION("""COMPUTED_VALUE"""),"KP.PASIR JENGKOL RT.001/RW.006, SUKAHAJI, SUKAWENING, GARUT")</f>
        <v>KP.PASIR JENGKOL RT.001/RW.006, SUKAHAJI, SUKAWENING, GARUT</v>
      </c>
      <c r="U135" s="80" t="str">
        <f>IFERROR(__xludf.DUMMYFUNCTION("""COMPUTED_VALUE"""),"KP.PASIR JENGKOL")</f>
        <v>KP.PASIR JENGKOL</v>
      </c>
      <c r="V135" s="80" t="str">
        <f>IFERROR(__xludf.DUMMYFUNCTION("""COMPUTED_VALUE"""),"001/006")</f>
        <v>001/006</v>
      </c>
      <c r="W135" s="80" t="str">
        <f>IFERROR(__xludf.DUMMYFUNCTION("""COMPUTED_VALUE"""),"SUKAHAJI")</f>
        <v>SUKAHAJI</v>
      </c>
      <c r="X135" s="80" t="str">
        <f>IFERROR(__xludf.DUMMYFUNCTION("""COMPUTED_VALUE"""),"SUKAWENING")</f>
        <v>SUKAWENING</v>
      </c>
      <c r="Y135" s="80" t="str">
        <f>IFERROR(__xludf.DUMMYFUNCTION("""COMPUTED_VALUE"""),"GARUT")</f>
        <v>GARUT</v>
      </c>
      <c r="Z135" s="80" t="str">
        <f>IFERROR(__xludf.DUMMYFUNCTION("""COMPUTED_VALUE"""),"JAWA BARAT")</f>
        <v>JAWA BARAT</v>
      </c>
      <c r="AA135" s="80" t="str">
        <f>IFERROR(__xludf.DUMMYFUNCTION("""COMPUTED_VALUE"""),"44184")</f>
        <v>44184</v>
      </c>
      <c r="AB135" s="80" t="str">
        <f>IFERROR(__xludf.DUMMYFUNCTION("""COMPUTED_VALUE"""),"3205154205730001")</f>
        <v>3205154205730001</v>
      </c>
      <c r="AC135" s="80" t="str">
        <f>IFERROR(__xludf.DUMMYFUNCTION("""COMPUTED_VALUE"""),"88.331.208.4-443.000")</f>
        <v>88.331.208.4-443.000</v>
      </c>
      <c r="AD135" s="80" t="str">
        <f>IFERROR(__xludf.DUMMYFUNCTION("""COMPUTED_VALUE"""),"CUM - TSR")</f>
        <v>CUM - TSR</v>
      </c>
      <c r="AE135" s="80" t="str">
        <f>IFERROR(__xludf.DUMMYFUNCTION("""COMPUTED_VALUE"""),"SUB TATANG POS")</f>
        <v>SUB TATANG POS</v>
      </c>
      <c r="AF135" s="80" t="str">
        <f>IFERROR(__xludf.DUMMYFUNCTION("""COMPUTED_VALUE"""),"081320505503")</f>
        <v>081320505503</v>
      </c>
      <c r="AG135" s="80"/>
      <c r="AH135" s="80" t="str">
        <f>IFERROR(__xludf.DUMMYFUNCTION("""COMPUTED_VALUE"""),"Ais7632@gmail.com")</f>
        <v>Ais7632@gmail.com</v>
      </c>
      <c r="AI135" s="80" t="str">
        <f>IFERROR(__xludf.DUMMYFUNCTION("""COMPUTED_VALUE"""),"44184S1")</f>
        <v>44184S1</v>
      </c>
      <c r="AJ135" s="80" t="str">
        <f>IFERROR(__xludf.DUMMYFUNCTION("""COMPUTED_VALUE"""),"656c070d4c57f5088204284b")</f>
        <v>656c070d4c57f5088204284b</v>
      </c>
      <c r="AK135" s="80" t="str">
        <f>IFERROR(__xludf.DUMMYFUNCTION("""COMPUTED_VALUE"""),"dm44184s1")</f>
        <v>dm44184s1</v>
      </c>
      <c r="AL135" s="80" t="str">
        <f>IFERROR(__xludf.DUMMYFUNCTION("""COMPUTED_VALUE"""),"#Kozy44184")</f>
        <v>#Kozy44184</v>
      </c>
      <c r="AM135" s="80"/>
      <c r="AN135" s="80" t="str">
        <f>IFERROR(__xludf.DUMMYFUNCTION("""COMPUTED_VALUE"""),"KC GARUT 44100")</f>
        <v>KC GARUT 44100</v>
      </c>
      <c r="AO135" s="80" t="str">
        <f>IFERROR(__xludf.DUMMYFUNCTION("""COMPUTED_VALUE"""),"2711230285302")</f>
        <v>2711230285302</v>
      </c>
      <c r="AP135" s="80" t="str">
        <f>IFERROR(__xludf.DUMMYFUNCTION("""COMPUTED_VALUE"""),"27112302853020001")</f>
        <v>27112302853020001</v>
      </c>
      <c r="AQ135" s="83"/>
      <c r="AR135" s="80"/>
      <c r="AS135" s="80"/>
      <c r="AT135" s="80" t="str">
        <f>IFERROR(__xludf.DUMMYFUNCTION("""COMPUTED_VALUE"""),"-7.125.956")</f>
        <v>-7.125.956</v>
      </c>
      <c r="AU135" s="80" t="str">
        <f>IFERROR(__xludf.DUMMYFUNCTION("""COMPUTED_VALUE"""),"107.920.826")</f>
        <v>107.920.826</v>
      </c>
      <c r="AV135" s="80" t="str">
        <f>IFERROR(__xludf.DUMMYFUNCTION("""COMPUTED_VALUE"""),"√")</f>
        <v>√</v>
      </c>
      <c r="AW135" s="80" t="str">
        <f>IFERROR(__xludf.DUMMYFUNCTION("""COMPUTED_VALUE"""),"√")</f>
        <v>√</v>
      </c>
      <c r="AX135" s="80"/>
      <c r="AY135" s="80"/>
      <c r="AZ135" s="80"/>
      <c r="BA135" s="80" t="str">
        <f>IFERROR(__xludf.DUMMYFUNCTION("""COMPUTED_VALUE"""),"√")</f>
        <v>√</v>
      </c>
      <c r="BB135" s="80" t="str">
        <f>IFERROR(__xludf.DUMMYFUNCTION("""COMPUTED_VALUE"""),"√")</f>
        <v>√</v>
      </c>
      <c r="BC135" s="80"/>
      <c r="BD135" s="80"/>
      <c r="BE135" s="80" t="str">
        <f>IFERROR(__xludf.DUMMYFUNCTION("""COMPUTED_VALUE"""),"√")</f>
        <v>√</v>
      </c>
      <c r="BF135" s="80"/>
      <c r="BG135" s="80"/>
      <c r="BH135" s="80"/>
      <c r="BI135" s="80"/>
      <c r="BJ135" s="80"/>
      <c r="BK135" s="80"/>
      <c r="BL135" s="80"/>
      <c r="BM135" s="80"/>
      <c r="BN135" s="80"/>
      <c r="BO135" s="80"/>
      <c r="BP135" s="80"/>
      <c r="BQ135" s="80"/>
      <c r="BR135" s="80"/>
      <c r="BS135" s="80"/>
      <c r="BT135" s="80"/>
      <c r="BU135" s="80"/>
      <c r="BV135" s="80"/>
      <c r="BW135" s="80"/>
      <c r="BX135" s="80"/>
      <c r="BY135" s="80"/>
      <c r="BZ135" s="80"/>
      <c r="CA135" s="80"/>
      <c r="CB135" s="80"/>
      <c r="CC135" s="80"/>
      <c r="CD135" s="80"/>
      <c r="CE135" s="80"/>
      <c r="CF135" s="80"/>
      <c r="CG135" s="80"/>
      <c r="CH135" s="80"/>
      <c r="CI135" s="80"/>
      <c r="CJ135" s="80"/>
      <c r="CK135" s="2"/>
    </row>
    <row r="136" ht="12.75" customHeight="1">
      <c r="A136" s="85">
        <f>IFERROR(__xludf.DUMMYFUNCTION("""COMPUTED_VALUE"""),133.0)</f>
        <v>133</v>
      </c>
      <c r="B136" s="85"/>
      <c r="C136" s="85"/>
      <c r="D136" s="86"/>
      <c r="E136" s="88"/>
      <c r="F136" s="85"/>
      <c r="G136" s="86"/>
      <c r="H136" s="85"/>
      <c r="I136" s="85"/>
      <c r="J136" s="85"/>
      <c r="K136" s="85"/>
      <c r="L136" s="85"/>
      <c r="M136" s="85" t="str">
        <f>IFERROR(__xludf.DUMMYFUNCTION("""COMPUTED_VALUE"""),"√")</f>
        <v>√</v>
      </c>
      <c r="N136" s="85"/>
      <c r="O136" s="85"/>
      <c r="P136" s="85" t="str">
        <f>IFERROR(__xludf.DUMMYFUNCTION("""COMPUTED_VALUE"""),"53BSPA04023JBJAY")</f>
        <v>53BSPA04023JBJAY</v>
      </c>
      <c r="Q136" s="85" t="str">
        <f>IFERROR(__xludf.DUMMYFUNCTION("""COMPUTED_VALUE"""),"TOKO NANIK")</f>
        <v>TOKO NANIK</v>
      </c>
      <c r="R136" s="85" t="str">
        <f>IFERROR(__xludf.DUMMYFUNCTION("""COMPUTED_VALUE"""),"TOKO NANIK")</f>
        <v>TOKO NANIK</v>
      </c>
      <c r="S136" s="85" t="str">
        <f>IFERROR(__xludf.DUMMYFUNCTION("""COMPUTED_VALUE"""),"NANI KURNIASIH")</f>
        <v>NANI KURNIASIH</v>
      </c>
      <c r="T136" s="85" t="str">
        <f>IFERROR(__xludf.DUMMYFUNCTION("""COMPUTED_VALUE"""),"KP. PEDES RT. 001/009, KEL.PATARUMAN, KEC.TAROGONG KIDUL, GARUT")</f>
        <v>KP. PEDES RT. 001/009, KEL.PATARUMAN, KEC.TAROGONG KIDUL, GARUT</v>
      </c>
      <c r="U136" s="85" t="str">
        <f>IFERROR(__xludf.DUMMYFUNCTION("""COMPUTED_VALUE"""),"KP. PEDES ")</f>
        <v>KP. PEDES </v>
      </c>
      <c r="V136" s="85" t="str">
        <f>IFERROR(__xludf.DUMMYFUNCTION("""COMPUTED_VALUE"""),"001/009")</f>
        <v>001/009</v>
      </c>
      <c r="W136" s="85" t="str">
        <f>IFERROR(__xludf.DUMMYFUNCTION("""COMPUTED_VALUE"""),"PATARUMAN")</f>
        <v>PATARUMAN</v>
      </c>
      <c r="X136" s="85" t="str">
        <f>IFERROR(__xludf.DUMMYFUNCTION("""COMPUTED_VALUE"""),"TAROGONG KIDUL")</f>
        <v>TAROGONG KIDUL</v>
      </c>
      <c r="Y136" s="85" t="str">
        <f>IFERROR(__xludf.DUMMYFUNCTION("""COMPUTED_VALUE"""),"GARUT")</f>
        <v>GARUT</v>
      </c>
      <c r="Z136" s="85" t="str">
        <f>IFERROR(__xludf.DUMMYFUNCTION("""COMPUTED_VALUE"""),"JAWA BARAT")</f>
        <v>JAWA BARAT</v>
      </c>
      <c r="AA136" s="85" t="str">
        <f>IFERROR(__xludf.DUMMYFUNCTION("""COMPUTED_VALUE"""),"44151")</f>
        <v>44151</v>
      </c>
      <c r="AB136" s="85" t="str">
        <f>IFERROR(__xludf.DUMMYFUNCTION("""COMPUTED_VALUE"""),"3205054906770002")</f>
        <v>3205054906770002</v>
      </c>
      <c r="AC136" s="85" t="str">
        <f>IFERROR(__xludf.DUMMYFUNCTION("""COMPUTED_VALUE"""),"78.993.540.0-443.000")</f>
        <v>78.993.540.0-443.000</v>
      </c>
      <c r="AD136" s="85" t="str">
        <f>IFERROR(__xludf.DUMMYFUNCTION("""COMPUTED_VALUE"""),"CUM - TSR")</f>
        <v>CUM - TSR</v>
      </c>
      <c r="AE136" s="85" t="str">
        <f>IFERROR(__xludf.DUMMYFUNCTION("""COMPUTED_VALUE"""),"SUB TATANG POS")</f>
        <v>SUB TATANG POS</v>
      </c>
      <c r="AF136" s="85" t="str">
        <f>IFERROR(__xludf.DUMMYFUNCTION("""COMPUTED_VALUE"""),"081395050064")</f>
        <v>081395050064</v>
      </c>
      <c r="AG136" s="85"/>
      <c r="AH136" s="85" t="str">
        <f>IFERROR(__xludf.DUMMYFUNCTION("""COMPUTED_VALUE"""),"beres44100@gmail.com")</f>
        <v>beres44100@gmail.com</v>
      </c>
      <c r="AI136" s="85" t="str">
        <f>IFERROR(__xludf.DUMMYFUNCTION("""COMPUTED_VALUE"""),"44121S2")</f>
        <v>44121S2</v>
      </c>
      <c r="AJ136" s="85" t="str">
        <f>IFERROR(__xludf.DUMMYFUNCTION("""COMPUTED_VALUE"""),"656bfebbf7b8b0f809060d86")</f>
        <v>656bfebbf7b8b0f809060d86</v>
      </c>
      <c r="AK136" s="85" t="str">
        <f>IFERROR(__xludf.DUMMYFUNCTION("""COMPUTED_VALUE"""),"dm44121s2")</f>
        <v>dm44121s2</v>
      </c>
      <c r="AL136" s="85" t="str">
        <f>IFERROR(__xludf.DUMMYFUNCTION("""COMPUTED_VALUE"""),"#Kona44121")</f>
        <v>#Kona44121</v>
      </c>
      <c r="AM136" s="85" t="str">
        <f>IFERROR(__xludf.DUMMYFUNCTION("""COMPUTED_VALUE"""),"KANTOR REGIONAL III BANDUNG 40004")</f>
        <v>KANTOR REGIONAL III BANDUNG 40004</v>
      </c>
      <c r="AN136" s="85" t="str">
        <f>IFERROR(__xludf.DUMMYFUNCTION("""COMPUTED_VALUE"""),"KC GARUT 44100")</f>
        <v>KC GARUT 44100</v>
      </c>
      <c r="AO136" s="85" t="str">
        <f>IFERROR(__xludf.DUMMYFUNCTION("""COMPUTED_VALUE"""),"1511230119113")</f>
        <v>1511230119113</v>
      </c>
      <c r="AP136" s="85" t="str">
        <f>IFERROR(__xludf.DUMMYFUNCTION("""COMPUTED_VALUE"""),"15112301191130001")</f>
        <v>15112301191130001</v>
      </c>
      <c r="AQ136" s="93"/>
      <c r="AR136" s="85"/>
      <c r="AS136" s="85"/>
      <c r="AT136" s="85" t="str">
        <f>IFERROR(__xludf.DUMMYFUNCTION("""COMPUTED_VALUE"""),"-7.125.956")</f>
        <v>-7.125.956</v>
      </c>
      <c r="AU136" s="85" t="str">
        <f>IFERROR(__xludf.DUMMYFUNCTION("""COMPUTED_VALUE"""),"107.920.826")</f>
        <v>107.920.826</v>
      </c>
      <c r="AV136" s="85" t="str">
        <f>IFERROR(__xludf.DUMMYFUNCTION("""COMPUTED_VALUE"""),"√")</f>
        <v>√</v>
      </c>
      <c r="AW136" s="85" t="str">
        <f>IFERROR(__xludf.DUMMYFUNCTION("""COMPUTED_VALUE"""),"√")</f>
        <v>√</v>
      </c>
      <c r="AX136" s="85"/>
      <c r="AY136" s="85"/>
      <c r="AZ136" s="85"/>
      <c r="BA136" s="85" t="str">
        <f>IFERROR(__xludf.DUMMYFUNCTION("""COMPUTED_VALUE"""),"√")</f>
        <v>√</v>
      </c>
      <c r="BB136" s="85" t="str">
        <f>IFERROR(__xludf.DUMMYFUNCTION("""COMPUTED_VALUE"""),"√")</f>
        <v>√</v>
      </c>
      <c r="BC136" s="85"/>
      <c r="BD136" s="85"/>
      <c r="BE136" s="85" t="str">
        <f>IFERROR(__xludf.DUMMYFUNCTION("""COMPUTED_VALUE"""),"√")</f>
        <v>√</v>
      </c>
      <c r="BF136" s="85"/>
      <c r="BG136" s="85"/>
      <c r="BH136" s="85"/>
      <c r="BI136" s="85"/>
      <c r="BJ136" s="85"/>
      <c r="BK136" s="85"/>
      <c r="BL136" s="85"/>
      <c r="BM136" s="85"/>
      <c r="BN136" s="85"/>
      <c r="BO136" s="85"/>
      <c r="BP136" s="85"/>
      <c r="BQ136" s="85"/>
      <c r="BR136" s="85"/>
      <c r="BS136" s="85"/>
      <c r="BT136" s="85"/>
      <c r="BU136" s="85"/>
      <c r="BV136" s="85"/>
      <c r="BW136" s="85"/>
      <c r="BX136" s="85"/>
      <c r="BY136" s="85"/>
      <c r="BZ136" s="85"/>
      <c r="CA136" s="85"/>
      <c r="CB136" s="85"/>
      <c r="CC136" s="85"/>
      <c r="CD136" s="85"/>
      <c r="CE136" s="85"/>
      <c r="CF136" s="85"/>
      <c r="CG136" s="85"/>
      <c r="CH136" s="85"/>
      <c r="CI136" s="85"/>
      <c r="CJ136" s="85"/>
      <c r="CK136" s="2"/>
    </row>
    <row r="137" ht="12.75" customHeight="1">
      <c r="A137" s="80">
        <f>IFERROR(__xludf.DUMMYFUNCTION("""COMPUTED_VALUE"""),134.0)</f>
        <v>134</v>
      </c>
      <c r="B137" s="80"/>
      <c r="C137" s="80"/>
      <c r="D137" s="81"/>
      <c r="E137" s="82"/>
      <c r="F137" s="80"/>
      <c r="G137" s="81"/>
      <c r="H137" s="80"/>
      <c r="I137" s="80"/>
      <c r="J137" s="80"/>
      <c r="K137" s="80"/>
      <c r="L137" s="80"/>
      <c r="M137" s="80"/>
      <c r="N137" s="80"/>
      <c r="O137" s="80" t="str">
        <f>IFERROR(__xludf.DUMMYFUNCTION("""COMPUTED_VALUE"""),"Cancel")</f>
        <v>Cancel</v>
      </c>
      <c r="P137" s="80" t="str">
        <f>IFERROR(__xludf.DUMMYFUNCTION("""COMPUTED_VALUE"""),"53BSPA16790JBCUM")</f>
        <v>53BSPA16790JBCUM</v>
      </c>
      <c r="Q137" s="80" t="str">
        <f>IFERROR(__xludf.DUMMYFUNCTION("""COMPUTED_VALUE"""),"SAWAH KURUNG")</f>
        <v>SAWAH KURUNG</v>
      </c>
      <c r="R137" s="80"/>
      <c r="S137" s="80" t="str">
        <f>IFERROR(__xludf.DUMMYFUNCTION("""COMPUTED_VALUE"""),"FENNY RIKMASARI")</f>
        <v>FENNY RIKMASARI</v>
      </c>
      <c r="T137" s="80" t="str">
        <f>IFERROR(__xludf.DUMMYFUNCTION("""COMPUTED_VALUE"""),"JLN.SAWAH KURUNG IV NO.23 RT.001/RW.002 KEL.CIATEUL, KEC.REGOL, KOTA BANDUNG")</f>
        <v>JLN.SAWAH KURUNG IV NO.23 RT.001/RW.002 KEL.CIATEUL, KEC.REGOL, KOTA BANDUNG</v>
      </c>
      <c r="U137" s="80" t="str">
        <f>IFERROR(__xludf.DUMMYFUNCTION("""COMPUTED_VALUE"""),"JLN SAWAH KURUNG IV NO 23 RT OO1 RW 002 KEL CIATEUL KEC REGOL KOTA BANDUNG")</f>
        <v>JLN SAWAH KURUNG IV NO 23 RT OO1 RW 002 KEL CIATEUL KEC REGOL KOTA BANDUNG</v>
      </c>
      <c r="V137" s="80" t="str">
        <f>IFERROR(__xludf.DUMMYFUNCTION("""COMPUTED_VALUE"""),"001/002")</f>
        <v>001/002</v>
      </c>
      <c r="W137" s="80" t="str">
        <f>IFERROR(__xludf.DUMMYFUNCTION("""COMPUTED_VALUE"""),"CIATEUL")</f>
        <v>CIATEUL</v>
      </c>
      <c r="X137" s="80" t="str">
        <f>IFERROR(__xludf.DUMMYFUNCTION("""COMPUTED_VALUE"""),"REGOL")</f>
        <v>REGOL</v>
      </c>
      <c r="Y137" s="80" t="str">
        <f>IFERROR(__xludf.DUMMYFUNCTION("""COMPUTED_VALUE"""),"BANDUNG")</f>
        <v>BANDUNG</v>
      </c>
      <c r="Z137" s="80" t="str">
        <f>IFERROR(__xludf.DUMMYFUNCTION("""COMPUTED_VALUE"""),"JAWA BARAT")</f>
        <v>JAWA BARAT</v>
      </c>
      <c r="AA137" s="80" t="str">
        <f>IFERROR(__xludf.DUMMYFUNCTION("""COMPUTED_VALUE"""),"40252")</f>
        <v>40252</v>
      </c>
      <c r="AB137" s="80" t="str">
        <f>IFERROR(__xludf.DUMMYFUNCTION("""COMPUTED_VALUE"""),"3273117112690012")</f>
        <v>3273117112690012</v>
      </c>
      <c r="AC137" s="80"/>
      <c r="AD137" s="80" t="str">
        <f>IFERROR(__xludf.DUMMYFUNCTION("""COMPUTED_VALUE"""),"CUM - BSB - JABAR")</f>
        <v>CUM - BSB - JABAR</v>
      </c>
      <c r="AE137" s="80" t="str">
        <f>IFERROR(__xludf.DUMMYFUNCTION("""COMPUTED_VALUE"""),"SUB CUM")</f>
        <v>SUB CUM</v>
      </c>
      <c r="AF137" s="80" t="str">
        <f>IFERROR(__xludf.DUMMYFUNCTION("""COMPUTED_VALUE"""),"6289675527273")</f>
        <v>6289675527273</v>
      </c>
      <c r="AG137" s="80"/>
      <c r="AH137" s="80" t="str">
        <f>IFERROR(__xludf.DUMMYFUNCTION("""COMPUTED_VALUE"""),"fenny59@gmail.com")</f>
        <v>fenny59@gmail.com</v>
      </c>
      <c r="AI137" s="80"/>
      <c r="AJ137" s="80"/>
      <c r="AK137" s="80"/>
      <c r="AL137" s="80"/>
      <c r="AM137" s="80"/>
      <c r="AN137" s="80"/>
      <c r="AO137" s="80"/>
      <c r="AP137" s="80"/>
      <c r="AQ137" s="83"/>
      <c r="AR137" s="80"/>
      <c r="AS137" s="80"/>
      <c r="AT137" s="80"/>
      <c r="AU137" s="80"/>
      <c r="AV137" s="80"/>
      <c r="AW137" s="80"/>
      <c r="AX137" s="80"/>
      <c r="AY137" s="80"/>
      <c r="AZ137" s="80"/>
      <c r="BA137" s="80"/>
      <c r="BB137" s="80"/>
      <c r="BC137" s="80"/>
      <c r="BD137" s="80"/>
      <c r="BE137" s="80"/>
      <c r="BF137" s="80"/>
      <c r="BG137" s="80"/>
      <c r="BH137" s="80"/>
      <c r="BI137" s="80"/>
      <c r="BJ137" s="80"/>
      <c r="BK137" s="80"/>
      <c r="BL137" s="80"/>
      <c r="BM137" s="80"/>
      <c r="BN137" s="80"/>
      <c r="BO137" s="80"/>
      <c r="BP137" s="80"/>
      <c r="BQ137" s="80"/>
      <c r="BR137" s="80"/>
      <c r="BS137" s="80"/>
      <c r="BT137" s="80"/>
      <c r="BU137" s="80"/>
      <c r="BV137" s="80"/>
      <c r="BW137" s="80"/>
      <c r="BX137" s="80"/>
      <c r="BY137" s="80"/>
      <c r="BZ137" s="80"/>
      <c r="CA137" s="80"/>
      <c r="CB137" s="80"/>
      <c r="CC137" s="80"/>
      <c r="CD137" s="80"/>
      <c r="CE137" s="80"/>
      <c r="CF137" s="80"/>
      <c r="CG137" s="80"/>
      <c r="CH137" s="80"/>
      <c r="CI137" s="80"/>
      <c r="CJ137" s="80"/>
      <c r="CK137" s="2"/>
    </row>
    <row r="138" ht="12.75" customHeight="1">
      <c r="A138" s="85">
        <f>IFERROR(__xludf.DUMMYFUNCTION("""COMPUTED_VALUE"""),135.0)</f>
        <v>135</v>
      </c>
      <c r="B138" s="85"/>
      <c r="C138" s="85"/>
      <c r="D138" s="86"/>
      <c r="E138" s="88"/>
      <c r="F138" s="85"/>
      <c r="G138" s="86"/>
      <c r="H138" s="85"/>
      <c r="I138" s="85"/>
      <c r="J138" s="85"/>
      <c r="K138" s="85"/>
      <c r="L138" s="85"/>
      <c r="M138" s="85"/>
      <c r="N138" s="85"/>
      <c r="O138" s="85" t="str">
        <f>IFERROR(__xludf.DUMMYFUNCTION("""COMPUTED_VALUE"""),"√")</f>
        <v>√</v>
      </c>
      <c r="P138" s="85" t="str">
        <f>IFERROR(__xludf.DUMMYFUNCTION("""COMPUTED_VALUE"""),"53BSPA04005JBEEN")</f>
        <v>53BSPA04005JBEEN</v>
      </c>
      <c r="Q138" s="85" t="str">
        <f>IFERROR(__xludf.DUMMYFUNCTION("""COMPUTED_VALUE"""),"JATIBENING ")</f>
        <v>JATIBENING </v>
      </c>
      <c r="R138" s="85" t="str">
        <f>IFERROR(__xludf.DUMMYFUNCTION("""COMPUTED_VALUE"""),"JATIBENING ")</f>
        <v>JATIBENING </v>
      </c>
      <c r="S138" s="85" t="str">
        <f>IFERROR(__xludf.DUMMYFUNCTION("""COMPUTED_VALUE"""),"ELLEN SAFITRI")</f>
        <v>ELLEN SAFITRI</v>
      </c>
      <c r="T138" s="85" t="str">
        <f>IFERROR(__xludf.DUMMYFUNCTION("""COMPUTED_VALUE"""),"JL. RAYA BUKIT INDAH I BLOK C RT.001/RW.008 KEL.JATIMAKMUR, KEC.PONDOKGEDE, BEKASI 17143")</f>
        <v>JL. RAYA BUKIT INDAH I BLOK C RT.001/RW.008 KEL.JATIMAKMUR, KEC.PONDOKGEDE, BEKASI 17143</v>
      </c>
      <c r="U138" s="85" t="str">
        <f>IFERROR(__xludf.DUMMYFUNCTION("""COMPUTED_VALUE"""),"RUKO JATIBENING PARK BLOK B NO 2 JLN DR RATNA, ")</f>
        <v>RUKO JATIBENING PARK BLOK B NO 2 JLN DR RATNA, </v>
      </c>
      <c r="V138" s="85"/>
      <c r="W138" s="85" t="str">
        <f>IFERROR(__xludf.DUMMYFUNCTION("""COMPUTED_VALUE"""),"JATIBENING")</f>
        <v>JATIBENING</v>
      </c>
      <c r="X138" s="85" t="str">
        <f>IFERROR(__xludf.DUMMYFUNCTION("""COMPUTED_VALUE"""),"PONDOKGEDE")</f>
        <v>PONDOKGEDE</v>
      </c>
      <c r="Y138" s="85" t="str">
        <f>IFERROR(__xludf.DUMMYFUNCTION("""COMPUTED_VALUE"""),"BEKASI")</f>
        <v>BEKASI</v>
      </c>
      <c r="Z138" s="85" t="str">
        <f>IFERROR(__xludf.DUMMYFUNCTION("""COMPUTED_VALUE"""),"JAWA BARAT")</f>
        <v>JAWA BARAT</v>
      </c>
      <c r="AA138" s="85" t="str">
        <f>IFERROR(__xludf.DUMMYFUNCTION("""COMPUTED_VALUE"""),"17143")</f>
        <v>17143</v>
      </c>
      <c r="AB138" s="85" t="str">
        <f>IFERROR(__xludf.DUMMYFUNCTION("""COMPUTED_VALUE"""),"3171075601780004")</f>
        <v>3171075601780004</v>
      </c>
      <c r="AC138" s="85"/>
      <c r="AD138" s="85" t="str">
        <f>IFERROR(__xludf.DUMMYFUNCTION("""COMPUTED_VALUE"""),"CUM - EEN")</f>
        <v>CUM - EEN</v>
      </c>
      <c r="AE138" s="85" t="str">
        <f>IFERROR(__xludf.DUMMYFUNCTION("""COMPUTED_VALUE"""),"SUB EEN")</f>
        <v>SUB EEN</v>
      </c>
      <c r="AF138" s="85" t="str">
        <f>IFERROR(__xludf.DUMMYFUNCTION("""COMPUTED_VALUE"""),"081513203494")</f>
        <v>081513203494</v>
      </c>
      <c r="AG138" s="85"/>
      <c r="AH138" s="85" t="str">
        <f>IFERROR(__xludf.DUMMYFUNCTION("""COMPUTED_VALUE"""),"elle_nsafitri@yahoo.com")</f>
        <v>elle_nsafitri@yahoo.com</v>
      </c>
      <c r="AI138" s="85"/>
      <c r="AJ138" s="85"/>
      <c r="AK138" s="85"/>
      <c r="AL138" s="85"/>
      <c r="AM138" s="85"/>
      <c r="AN138" s="85"/>
      <c r="AO138" s="85"/>
      <c r="AP138" s="85"/>
      <c r="AQ138" s="93"/>
      <c r="AR138" s="85"/>
      <c r="AS138" s="85"/>
      <c r="AT138" s="85"/>
      <c r="AU138" s="85"/>
      <c r="AV138" s="85"/>
      <c r="AW138" s="85"/>
      <c r="AX138" s="85"/>
      <c r="AY138" s="85"/>
      <c r="AZ138" s="85"/>
      <c r="BA138" s="85"/>
      <c r="BB138" s="85"/>
      <c r="BC138" s="85"/>
      <c r="BD138" s="85"/>
      <c r="BE138" s="85"/>
      <c r="BF138" s="85"/>
      <c r="BG138" s="85"/>
      <c r="BH138" s="85"/>
      <c r="BI138" s="85"/>
      <c r="BJ138" s="85"/>
      <c r="BK138" s="85"/>
      <c r="BL138" s="85"/>
      <c r="BM138" s="85"/>
      <c r="BN138" s="85"/>
      <c r="BO138" s="85"/>
      <c r="BP138" s="85"/>
      <c r="BQ138" s="85"/>
      <c r="BR138" s="85"/>
      <c r="BS138" s="85"/>
      <c r="BT138" s="85"/>
      <c r="BU138" s="85"/>
      <c r="BV138" s="85"/>
      <c r="BW138" s="85"/>
      <c r="BX138" s="85"/>
      <c r="BY138" s="85"/>
      <c r="BZ138" s="85"/>
      <c r="CA138" s="85"/>
      <c r="CB138" s="85"/>
      <c r="CC138" s="85"/>
      <c r="CD138" s="85"/>
      <c r="CE138" s="85"/>
      <c r="CF138" s="85"/>
      <c r="CG138" s="85"/>
      <c r="CH138" s="85"/>
      <c r="CI138" s="85"/>
      <c r="CJ138" s="85"/>
      <c r="CK138" s="2"/>
    </row>
    <row r="139" ht="12.75" customHeight="1">
      <c r="A139" s="80">
        <f>IFERROR(__xludf.DUMMYFUNCTION("""COMPUTED_VALUE"""),136.0)</f>
        <v>136</v>
      </c>
      <c r="B139" s="80"/>
      <c r="C139" s="80"/>
      <c r="D139" s="81"/>
      <c r="E139" s="82"/>
      <c r="F139" s="80"/>
      <c r="G139" s="81"/>
      <c r="H139" s="80"/>
      <c r="I139" s="80"/>
      <c r="J139" s="80"/>
      <c r="K139" s="80"/>
      <c r="L139" s="80"/>
      <c r="M139" s="80" t="str">
        <f>IFERROR(__xludf.DUMMYFUNCTION("""COMPUTED_VALUE"""),"√")</f>
        <v>√</v>
      </c>
      <c r="N139" s="80"/>
      <c r="O139" s="80"/>
      <c r="P139" s="80" t="str">
        <f>IFERROR(__xludf.DUMMYFUNCTION("""COMPUTED_VALUE"""),"53BSPA04135JBTSA")</f>
        <v>53BSPA04135JBTSA</v>
      </c>
      <c r="Q139" s="80" t="str">
        <f>IFERROR(__xludf.DUMMYFUNCTION("""COMPUTED_VALUE"""),"AGENPOS DIANA BANYURESMI")</f>
        <v>AGENPOS DIANA BANYURESMI</v>
      </c>
      <c r="R139" s="80" t="str">
        <f>IFERROR(__xludf.DUMMYFUNCTION("""COMPUTED_VALUE"""),"AGENPOS DIANA BANYURESMI")</f>
        <v>AGENPOS DIANA BANYURESMI</v>
      </c>
      <c r="S139" s="80" t="str">
        <f>IFERROR(__xludf.DUMMYFUNCTION("""COMPUTED_VALUE"""),"YADI MULYADI")</f>
        <v>YADI MULYADI</v>
      </c>
      <c r="T139" s="80" t="str">
        <f>IFERROR(__xludf.DUMMYFUNCTION("""COMPUTED_VALUE"""),"KP NYALINDUNG RT. 001 RW. 006 SUKAMUKTI, BANYURESMI, KAB. GARUT 44191")</f>
        <v>KP NYALINDUNG RT. 001 RW. 006 SUKAMUKTI, BANYURESMI, KAB. GARUT 44191</v>
      </c>
      <c r="U139" s="80" t="str">
        <f>IFERROR(__xludf.DUMMYFUNCTION("""COMPUTED_VALUE"""),"JL H HASAN ARIF  ")</f>
        <v>JL H HASAN ARIF  </v>
      </c>
      <c r="V139" s="80"/>
      <c r="W139" s="80" t="str">
        <f>IFERROR(__xludf.DUMMYFUNCTION("""COMPUTED_VALUE"""),"BANYURESMI")</f>
        <v>BANYURESMI</v>
      </c>
      <c r="X139" s="80" t="str">
        <f>IFERROR(__xludf.DUMMYFUNCTION("""COMPUTED_VALUE"""),"BANYURESMI")</f>
        <v>BANYURESMI</v>
      </c>
      <c r="Y139" s="80" t="str">
        <f>IFERROR(__xludf.DUMMYFUNCTION("""COMPUTED_VALUE"""),"GARUT")</f>
        <v>GARUT</v>
      </c>
      <c r="Z139" s="80" t="str">
        <f>IFERROR(__xludf.DUMMYFUNCTION("""COMPUTED_VALUE"""),"JAWA BARAT")</f>
        <v>JAWA BARAT</v>
      </c>
      <c r="AA139" s="80" t="str">
        <f>IFERROR(__xludf.DUMMYFUNCTION("""COMPUTED_VALUE"""),"44191")</f>
        <v>44191</v>
      </c>
      <c r="AB139" s="80" t="str">
        <f>IFERROR(__xludf.DUMMYFUNCTION("""COMPUTED_VALUE"""),"3205060503950009")</f>
        <v>3205060503950009</v>
      </c>
      <c r="AC139" s="80" t="str">
        <f>IFERROR(__xludf.DUMMYFUNCTION("""COMPUTED_VALUE"""),"75.765.271.4-443.000")</f>
        <v>75.765.271.4-443.000</v>
      </c>
      <c r="AD139" s="80" t="str">
        <f>IFERROR(__xludf.DUMMYFUNCTION("""COMPUTED_VALUE"""),"CUM - TSR")</f>
        <v>CUM - TSR</v>
      </c>
      <c r="AE139" s="80" t="str">
        <f>IFERROR(__xludf.DUMMYFUNCTION("""COMPUTED_VALUE"""),"SUB TATANG POS")</f>
        <v>SUB TATANG POS</v>
      </c>
      <c r="AF139" s="80" t="str">
        <f>IFERROR(__xludf.DUMMYFUNCTION("""COMPUTED_VALUE"""),"6287775361047")</f>
        <v>6287775361047</v>
      </c>
      <c r="AG139" s="80"/>
      <c r="AH139" s="80" t="str">
        <f>IFERROR(__xludf.DUMMYFUNCTION("""COMPUTED_VALUE"""),"ydmlyd@gmail.com")</f>
        <v>ydmlyd@gmail.com</v>
      </c>
      <c r="AI139" s="80" t="str">
        <f>IFERROR(__xludf.DUMMYFUNCTION("""COMPUTED_VALUE"""),"44191S1")</f>
        <v>44191S1</v>
      </c>
      <c r="AJ139" s="80" t="str">
        <f>IFERROR(__xludf.DUMMYFUNCTION("""COMPUTED_VALUE"""),"659232d5a28eaf38130674ff")</f>
        <v>659232d5a28eaf38130674ff</v>
      </c>
      <c r="AK139" s="80" t="str">
        <f>IFERROR(__xludf.DUMMYFUNCTION("""COMPUTED_VALUE"""),"dm44191s1")</f>
        <v>dm44191s1</v>
      </c>
      <c r="AL139" s="80" t="str">
        <f>IFERROR(__xludf.DUMMYFUNCTION("""COMPUTED_VALUE"""),"#44191Pos")</f>
        <v>#44191Pos</v>
      </c>
      <c r="AM139" s="80"/>
      <c r="AN139" s="80" t="str">
        <f>IFERROR(__xludf.DUMMYFUNCTION("""COMPUTED_VALUE"""),"KC GARUT 44100")</f>
        <v>KC GARUT 44100</v>
      </c>
      <c r="AO139" s="80" t="str">
        <f>IFERROR(__xludf.DUMMYFUNCTION("""COMPUTED_VALUE"""),"2212230005767")</f>
        <v>2212230005767</v>
      </c>
      <c r="AP139" s="80" t="str">
        <f>IFERROR(__xludf.DUMMYFUNCTION("""COMPUTED_VALUE"""),"22122300057670001")</f>
        <v>22122300057670001</v>
      </c>
      <c r="AQ139" s="83"/>
      <c r="AR139" s="80"/>
      <c r="AS139" s="80"/>
      <c r="AT139" s="80" t="str">
        <f>IFERROR(__xludf.DUMMYFUNCTION("""COMPUTED_VALUE"""),"-7.15523")</f>
        <v>-7.15523</v>
      </c>
      <c r="AU139" s="80" t="str">
        <f>IFERROR(__xludf.DUMMYFUNCTION("""COMPUTED_VALUE"""),"107.95092")</f>
        <v>107.95092</v>
      </c>
      <c r="AV139" s="80" t="str">
        <f>IFERROR(__xludf.DUMMYFUNCTION("""COMPUTED_VALUE"""),"√")</f>
        <v>√</v>
      </c>
      <c r="AW139" s="80"/>
      <c r="AX139" s="80"/>
      <c r="AY139" s="80"/>
      <c r="AZ139" s="80"/>
      <c r="BA139" s="80" t="str">
        <f>IFERROR(__xludf.DUMMYFUNCTION("""COMPUTED_VALUE"""),"√")</f>
        <v>√</v>
      </c>
      <c r="BB139" s="80" t="str">
        <f>IFERROR(__xludf.DUMMYFUNCTION("""COMPUTED_VALUE"""),"√")</f>
        <v>√</v>
      </c>
      <c r="BC139" s="80"/>
      <c r="BD139" s="80"/>
      <c r="BE139" s="80" t="str">
        <f>IFERROR(__xludf.DUMMYFUNCTION("""COMPUTED_VALUE"""),"√")</f>
        <v>√</v>
      </c>
      <c r="BF139" s="80"/>
      <c r="BG139" s="80"/>
      <c r="BH139" s="80"/>
      <c r="BI139" s="80"/>
      <c r="BJ139" s="80"/>
      <c r="BK139" s="80"/>
      <c r="BL139" s="80"/>
      <c r="BM139" s="80"/>
      <c r="BN139" s="80"/>
      <c r="BO139" s="80"/>
      <c r="BP139" s="80"/>
      <c r="BQ139" s="80"/>
      <c r="BR139" s="80"/>
      <c r="BS139" s="80"/>
      <c r="BT139" s="80"/>
      <c r="BU139" s="80"/>
      <c r="BV139" s="80"/>
      <c r="BW139" s="80"/>
      <c r="BX139" s="80"/>
      <c r="BY139" s="80"/>
      <c r="BZ139" s="80"/>
      <c r="CA139" s="80"/>
      <c r="CB139" s="80"/>
      <c r="CC139" s="80"/>
      <c r="CD139" s="80"/>
      <c r="CE139" s="80"/>
      <c r="CF139" s="80"/>
      <c r="CG139" s="80"/>
      <c r="CH139" s="80"/>
      <c r="CI139" s="80"/>
      <c r="CJ139" s="80"/>
      <c r="CK139" s="2"/>
    </row>
    <row r="140" ht="12.75" customHeight="1">
      <c r="A140" s="85">
        <f>IFERROR(__xludf.DUMMYFUNCTION("""COMPUTED_VALUE"""),137.0)</f>
        <v>137</v>
      </c>
      <c r="B140" s="85"/>
      <c r="C140" s="85"/>
      <c r="D140" s="86">
        <f>IFERROR(__xludf.DUMMYFUNCTION("""COMPUTED_VALUE"""),45303.0)</f>
        <v>45303</v>
      </c>
      <c r="E140" s="88"/>
      <c r="F140" s="85"/>
      <c r="G140" s="86"/>
      <c r="H140" s="85"/>
      <c r="I140" s="85"/>
      <c r="J140" s="85"/>
      <c r="K140" s="85"/>
      <c r="L140" s="85"/>
      <c r="M140" s="85"/>
      <c r="N140" s="85"/>
      <c r="O140" s="85" t="str">
        <f>IFERROR(__xludf.DUMMYFUNCTION("""COMPUTED_VALUE"""),"√")</f>
        <v>√</v>
      </c>
      <c r="P140" s="85" t="str">
        <f>IFERROR(__xludf.DUMMYFUNCTION("""COMPUTED_VALUE"""),"53BSPA25183JBRAS")</f>
        <v>53BSPA25183JBRAS</v>
      </c>
      <c r="Q140" s="85" t="str">
        <f>IFERROR(__xludf.DUMMYFUNCTION("""COMPUTED_VALUE"""),"ESA SEJAHTERA")</f>
        <v>ESA SEJAHTERA</v>
      </c>
      <c r="R140" s="85" t="str">
        <f>IFERROR(__xludf.DUMMYFUNCTION("""COMPUTED_VALUE"""),"ESA SEJAHTERA")</f>
        <v>ESA SEJAHTERA</v>
      </c>
      <c r="S140" s="85" t="str">
        <f>IFERROR(__xludf.DUMMYFUNCTION("""COMPUTED_VALUE"""),"ANDRIANSYAH")</f>
        <v>ANDRIANSYAH</v>
      </c>
      <c r="T140" s="85" t="str">
        <f>IFERROR(__xludf.DUMMYFUNCTION("""COMPUTED_VALUE"""),"KP. BALAKANG RT 001 RW 002 KEL. SINDANGLAYA, KEC. CIPANAS, KAB. CIANJUR")</f>
        <v>KP. BALAKANG RT 001 RW 002 KEL. SINDANGLAYA, KEC. CIPANAS, KAB. CIANJUR</v>
      </c>
      <c r="U140" s="85" t="str">
        <f>IFERROR(__xludf.DUMMYFUNCTION("""COMPUTED_VALUE"""),"JL. MARIWATI KP. BALAKANG KIDUL")</f>
        <v>JL. MARIWATI KP. BALAKANG KIDUL</v>
      </c>
      <c r="V140" s="85" t="str">
        <f>IFERROR(__xludf.DUMMYFUNCTION("""COMPUTED_VALUE"""),"001/001")</f>
        <v>001/001</v>
      </c>
      <c r="W140" s="85" t="str">
        <f>IFERROR(__xludf.DUMMYFUNCTION("""COMPUTED_VALUE"""),"SINDANGLAYA")</f>
        <v>SINDANGLAYA</v>
      </c>
      <c r="X140" s="85" t="str">
        <f>IFERROR(__xludf.DUMMYFUNCTION("""COMPUTED_VALUE"""),"CIPANAS")</f>
        <v>CIPANAS</v>
      </c>
      <c r="Y140" s="85" t="str">
        <f>IFERROR(__xludf.DUMMYFUNCTION("""COMPUTED_VALUE"""),"CIANJUR")</f>
        <v>CIANJUR</v>
      </c>
      <c r="Z140" s="85" t="str">
        <f>IFERROR(__xludf.DUMMYFUNCTION("""COMPUTED_VALUE"""),"JAWA BARAT")</f>
        <v>JAWA BARAT</v>
      </c>
      <c r="AA140" s="85" t="str">
        <f>IFERROR(__xludf.DUMMYFUNCTION("""COMPUTED_VALUE"""),"43253")</f>
        <v>43253</v>
      </c>
      <c r="AB140" s="85" t="str">
        <f>IFERROR(__xludf.DUMMYFUNCTION("""COMPUTED_VALUE"""),"3203282910920001")</f>
        <v>3203282910920001</v>
      </c>
      <c r="AC140" s="85" t="str">
        <f>IFERROR(__xludf.DUMMYFUNCTION("""COMPUTED_VALUE"""),"85.919.626.3-406.000")</f>
        <v>85.919.626.3-406.000</v>
      </c>
      <c r="AD140" s="85" t="str">
        <f>IFERROR(__xludf.DUMMYFUNCTION("""COMPUTED_VALUE"""),"CUM - ASR")</f>
        <v>CUM - ASR</v>
      </c>
      <c r="AE140" s="85" t="str">
        <f>IFERROR(__xludf.DUMMYFUNCTION("""COMPUTED_VALUE"""),"SUB ASEP ROSAD")</f>
        <v>SUB ASEP ROSAD</v>
      </c>
      <c r="AF140" s="85" t="str">
        <f>IFERROR(__xludf.DUMMYFUNCTION("""COMPUTED_VALUE"""),"082214789322")</f>
        <v>082214789322</v>
      </c>
      <c r="AG140" s="85"/>
      <c r="AH140" s="85" t="str">
        <f>IFERROR(__xludf.DUMMYFUNCTION("""COMPUTED_VALUE"""),"andriansyah9114@gmail.com")</f>
        <v>andriansyah9114@gmail.com</v>
      </c>
      <c r="AI140" s="85" t="str">
        <f>IFERROR(__xludf.DUMMYFUNCTION("""COMPUTED_VALUE"""),"43255S4")</f>
        <v>43255S4</v>
      </c>
      <c r="AJ140" s="85" t="str">
        <f>IFERROR(__xludf.DUMMYFUNCTION("""COMPUTED_VALUE"""),"65a391d5c84ab90d58061156")</f>
        <v>65a391d5c84ab90d58061156</v>
      </c>
      <c r="AK140" s="85" t="str">
        <f>IFERROR(__xludf.DUMMYFUNCTION("""COMPUTED_VALUE"""),"dm43255s4")</f>
        <v>dm43255s4</v>
      </c>
      <c r="AL140" s="85" t="str">
        <f>IFERROR(__xludf.DUMMYFUNCTION("""COMPUTED_VALUE"""),"#43255poS")</f>
        <v>#43255poS</v>
      </c>
      <c r="AM140" s="85"/>
      <c r="AN140" s="85" t="str">
        <f>IFERROR(__xludf.DUMMYFUNCTION("""COMPUTED_VALUE"""),"SPP CIANJUR 43200")</f>
        <v>SPP CIANJUR 43200</v>
      </c>
      <c r="AO140" s="85" t="str">
        <f>IFERROR(__xludf.DUMMYFUNCTION("""COMPUTED_VALUE"""),"0801240014254")</f>
        <v>0801240014254</v>
      </c>
      <c r="AP140" s="85" t="str">
        <f>IFERROR(__xludf.DUMMYFUNCTION("""COMPUTED_VALUE"""),"08012400142540001")</f>
        <v>08012400142540001</v>
      </c>
      <c r="AQ140" s="93"/>
      <c r="AR140" s="85"/>
      <c r="AS140" s="85"/>
      <c r="AT140" s="85" t="str">
        <f>IFERROR(__xludf.DUMMYFUNCTION("""COMPUTED_VALUE"""),"-6.7307385")</f>
        <v>-6.7307385</v>
      </c>
      <c r="AU140" s="85" t="str">
        <f>IFERROR(__xludf.DUMMYFUNCTION("""COMPUTED_VALUE"""),"107.0417943")</f>
        <v>107.0417943</v>
      </c>
      <c r="AV140" s="85" t="str">
        <f>IFERROR(__xludf.DUMMYFUNCTION("""COMPUTED_VALUE"""),"√")</f>
        <v>√</v>
      </c>
      <c r="AW140" s="85"/>
      <c r="AX140" s="85"/>
      <c r="AY140" s="85"/>
      <c r="AZ140" s="85"/>
      <c r="BA140" s="85" t="str">
        <f>IFERROR(__xludf.DUMMYFUNCTION("""COMPUTED_VALUE"""),"√")</f>
        <v>√</v>
      </c>
      <c r="BB140" s="85" t="str">
        <f>IFERROR(__xludf.DUMMYFUNCTION("""COMPUTED_VALUE"""),"√")</f>
        <v>√</v>
      </c>
      <c r="BC140" s="85"/>
      <c r="BD140" s="85"/>
      <c r="BE140" s="85"/>
      <c r="BF140" s="85"/>
      <c r="BG140" s="85"/>
      <c r="BH140" s="85"/>
      <c r="BI140" s="85"/>
      <c r="BJ140" s="85"/>
      <c r="BK140" s="85"/>
      <c r="BL140" s="85"/>
      <c r="BM140" s="85"/>
      <c r="BN140" s="85"/>
      <c r="BO140" s="85"/>
      <c r="BP140" s="85"/>
      <c r="BQ140" s="85"/>
      <c r="BR140" s="85"/>
      <c r="BS140" s="85"/>
      <c r="BT140" s="85"/>
      <c r="BU140" s="85"/>
      <c r="BV140" s="85"/>
      <c r="BW140" s="85"/>
      <c r="BX140" s="85"/>
      <c r="BY140" s="85"/>
      <c r="BZ140" s="85"/>
      <c r="CA140" s="85"/>
      <c r="CB140" s="85"/>
      <c r="CC140" s="85"/>
      <c r="CD140" s="85"/>
      <c r="CE140" s="85"/>
      <c r="CF140" s="85"/>
      <c r="CG140" s="85"/>
      <c r="CH140" s="85"/>
      <c r="CI140" s="85"/>
      <c r="CJ140" s="85"/>
      <c r="CK140" s="2"/>
    </row>
    <row r="141" ht="12.75" customHeight="1">
      <c r="A141" s="80">
        <f>IFERROR(__xludf.DUMMYFUNCTION("""COMPUTED_VALUE"""),138.0)</f>
        <v>138</v>
      </c>
      <c r="B141" s="80"/>
      <c r="C141" s="80"/>
      <c r="D141" s="81">
        <f>IFERROR(__xludf.DUMMYFUNCTION("""COMPUTED_VALUE"""),45322.0)</f>
        <v>45322</v>
      </c>
      <c r="E141" s="82"/>
      <c r="F141" s="80"/>
      <c r="G141" s="81"/>
      <c r="H141" s="80"/>
      <c r="I141" s="80"/>
      <c r="J141" s="80"/>
      <c r="K141" s="80"/>
      <c r="L141" s="80"/>
      <c r="M141" s="80"/>
      <c r="N141" s="80"/>
      <c r="O141" s="80"/>
      <c r="P141" s="80" t="str">
        <f>IFERROR(__xludf.DUMMYFUNCTION("""COMPUTED_VALUE"""),"44BSPA45017NTBLG")</f>
        <v>44BSPA45017NTBLG</v>
      </c>
      <c r="Q141" s="80" t="str">
        <f>IFERROR(__xludf.DUMMYFUNCTION("""COMPUTED_VALUE"""),"Globaltour 2")</f>
        <v>Globaltour 2</v>
      </c>
      <c r="R141" s="80" t="str">
        <f>IFERROR(__xludf.DUMMYFUNCTION("""COMPUTED_VALUE"""),"HnJ CELL")</f>
        <v>HnJ CELL</v>
      </c>
      <c r="S141" s="80" t="str">
        <f>IFERROR(__xludf.DUMMYFUNCTION("""COMPUTED_VALUE""")," JUPRI S.PD")</f>
        <v> JUPRI S.PD</v>
      </c>
      <c r="T141" s="80" t="str">
        <f>IFERROR(__xludf.DUMMYFUNCTION("""COMPUTED_VALUE"""),"SINTUNG BARAT  RT 000 RW 000")</f>
        <v>SINTUNG BARAT  RT 000 RW 000</v>
      </c>
      <c r="U141" s="80" t="str">
        <f>IFERROR(__xludf.DUMMYFUNCTION("""COMPUTED_VALUE"""),"SINTUNG BARAT  RT 000 RW 000")</f>
        <v>SINTUNG BARAT  RT 000 RW 000</v>
      </c>
      <c r="V141" s="80"/>
      <c r="W141" s="80" t="str">
        <f>IFERROR(__xludf.DUMMYFUNCTION("""COMPUTED_VALUE"""),"SINTUNG")</f>
        <v>SINTUNG</v>
      </c>
      <c r="X141" s="80" t="str">
        <f>IFERROR(__xludf.DUMMYFUNCTION("""COMPUTED_VALUE"""),"PRINGGARATA")</f>
        <v>PRINGGARATA</v>
      </c>
      <c r="Y141" s="80" t="str">
        <f>IFERROR(__xludf.DUMMYFUNCTION("""COMPUTED_VALUE"""),"LOMBOK TENGAH")</f>
        <v>LOMBOK TENGAH</v>
      </c>
      <c r="Z141" s="80" t="str">
        <f>IFERROR(__xludf.DUMMYFUNCTION("""COMPUTED_VALUE"""),"NTB")</f>
        <v>NTB</v>
      </c>
      <c r="AA141" s="80" t="str">
        <f>IFERROR(__xludf.DUMMYFUNCTION("""COMPUTED_VALUE"""),"83562")</f>
        <v>83562</v>
      </c>
      <c r="AB141" s="80" t="str">
        <f>IFERROR(__xludf.DUMMYFUNCTION("""COMPUTED_VALUE"""),"5202081909660001")</f>
        <v>5202081909660001</v>
      </c>
      <c r="AC141" s="80" t="str">
        <f>IFERROR(__xludf.DUMMYFUNCTION("""COMPUTED_VALUE"""),"47.596.060.5-915.000")</f>
        <v>47.596.060.5-915.000</v>
      </c>
      <c r="AD141" s="80" t="str">
        <f>IFERROR(__xludf.DUMMYFUNCTION("""COMPUTED_VALUE"""),"CUM - LGT")</f>
        <v>CUM - LGT</v>
      </c>
      <c r="AE141" s="80" t="str">
        <f>IFERROR(__xludf.DUMMYFUNCTION("""COMPUTED_VALUE"""),"SUB JUPRI")</f>
        <v>SUB JUPRI</v>
      </c>
      <c r="AF141" s="80" t="str">
        <f>IFERROR(__xludf.DUMMYFUNCTION("""COMPUTED_VALUE"""),"0812-3930-2617")</f>
        <v>0812-3930-2617</v>
      </c>
      <c r="AG141" s="80"/>
      <c r="AH141" s="80" t="str">
        <f>IFERROR(__xludf.DUMMYFUNCTION("""COMPUTED_VALUE"""),"lombokglobaltour@gmail.com ")</f>
        <v>lombokglobaltour@gmail.com </v>
      </c>
      <c r="AI141" s="80" t="str">
        <f>IFERROR(__xludf.DUMMYFUNCTION("""COMPUTED_VALUE"""),"83562S6")</f>
        <v>83562S6</v>
      </c>
      <c r="AJ141" s="80" t="str">
        <f>IFERROR(__xludf.DUMMYFUNCTION("""COMPUTED_VALUE"""),"65d96149f2def0d49305784d")</f>
        <v>65d96149f2def0d49305784d</v>
      </c>
      <c r="AK141" s="80" t="str">
        <f>IFERROR(__xludf.DUMMYFUNCTION("""COMPUTED_VALUE"""),"dm83562s6")</f>
        <v>dm83562s6</v>
      </c>
      <c r="AL141" s="80" t="str">
        <f>IFERROR(__xludf.DUMMYFUNCTION("""COMPUTED_VALUE"""),"#HnjPos321")</f>
        <v>#HnjPos321</v>
      </c>
      <c r="AM141" s="80"/>
      <c r="AN141" s="80" t="str">
        <f>IFERROR(__xludf.DUMMYFUNCTION("""COMPUTED_VALUE"""),"SPP MATARAM 83100")</f>
        <v>SPP MATARAM 83100</v>
      </c>
      <c r="AO141" s="80" t="str">
        <f>IFERROR(__xludf.DUMMYFUNCTION("""COMPUTED_VALUE"""),"0301240051586")</f>
        <v>0301240051586</v>
      </c>
      <c r="AP141" s="80" t="str">
        <f>IFERROR(__xludf.DUMMYFUNCTION("""COMPUTED_VALUE"""),"03012400515860001")</f>
        <v>03012400515860001</v>
      </c>
      <c r="AQ141" s="83"/>
      <c r="AR141" s="80"/>
      <c r="AS141" s="80"/>
      <c r="AT141" s="80" t="str">
        <f>IFERROR(__xludf.DUMMYFUNCTION("""COMPUTED_VALUE"""),"-8.6078849")</f>
        <v>-8.6078849</v>
      </c>
      <c r="AU141" s="80" t="str">
        <f>IFERROR(__xludf.DUMMYFUNCTION("""COMPUTED_VALUE"""),"116.2205281")</f>
        <v>116.2205281</v>
      </c>
      <c r="AV141" s="80" t="str">
        <f>IFERROR(__xludf.DUMMYFUNCTION("""COMPUTED_VALUE"""),"√")</f>
        <v>√</v>
      </c>
      <c r="AW141" s="80"/>
      <c r="AX141" s="80"/>
      <c r="AY141" s="80"/>
      <c r="AZ141" s="80"/>
      <c r="BA141" s="80" t="str">
        <f>IFERROR(__xludf.DUMMYFUNCTION("""COMPUTED_VALUE"""),"√")</f>
        <v>√</v>
      </c>
      <c r="BB141" s="80" t="str">
        <f>IFERROR(__xludf.DUMMYFUNCTION("""COMPUTED_VALUE"""),"√")</f>
        <v>√</v>
      </c>
      <c r="BC141" s="80"/>
      <c r="BD141" s="80"/>
      <c r="BE141" s="80"/>
      <c r="BF141" s="80"/>
      <c r="BG141" s="80"/>
      <c r="BH141" s="80"/>
      <c r="BI141" s="80"/>
      <c r="BJ141" s="80"/>
      <c r="BK141" s="80"/>
      <c r="BL141" s="80"/>
      <c r="BM141" s="80"/>
      <c r="BN141" s="80"/>
      <c r="BO141" s="80"/>
      <c r="BP141" s="80"/>
      <c r="BQ141" s="80"/>
      <c r="BR141" s="80"/>
      <c r="BS141" s="80"/>
      <c r="BT141" s="80"/>
      <c r="BU141" s="80"/>
      <c r="BV141" s="80"/>
      <c r="BW141" s="80"/>
      <c r="BX141" s="80"/>
      <c r="BY141" s="80"/>
      <c r="BZ141" s="80"/>
      <c r="CA141" s="80"/>
      <c r="CB141" s="80"/>
      <c r="CC141" s="80"/>
      <c r="CD141" s="80"/>
      <c r="CE141" s="80"/>
      <c r="CF141" s="80"/>
      <c r="CG141" s="80"/>
      <c r="CH141" s="80"/>
      <c r="CI141" s="80"/>
      <c r="CJ141" s="80"/>
      <c r="CK141" s="2"/>
    </row>
    <row r="142" ht="12.75" customHeight="1">
      <c r="A142" s="85">
        <f>IFERROR(__xludf.DUMMYFUNCTION("""COMPUTED_VALUE"""),139.0)</f>
        <v>139</v>
      </c>
      <c r="B142" s="85"/>
      <c r="C142" s="85"/>
      <c r="D142" s="86"/>
      <c r="E142" s="88"/>
      <c r="F142" s="85"/>
      <c r="G142" s="86"/>
      <c r="H142" s="85"/>
      <c r="I142" s="85"/>
      <c r="J142" s="85"/>
      <c r="K142" s="85"/>
      <c r="L142" s="85"/>
      <c r="M142" s="85" t="str">
        <f>IFERROR(__xludf.DUMMYFUNCTION("""COMPUTED_VALUE"""),"√")</f>
        <v>√</v>
      </c>
      <c r="N142" s="85"/>
      <c r="O142" s="85"/>
      <c r="P142" s="85" t="str">
        <f>IFERROR(__xludf.DUMMYFUNCTION("""COMPUTED_VALUE"""),"53BSPA04136JBTSA")</f>
        <v>53BSPA04136JBTSA</v>
      </c>
      <c r="Q142" s="85" t="str">
        <f>IFERROR(__xludf.DUMMYFUNCTION("""COMPUTED_VALUE"""),"AGEN RAGA JAYA")</f>
        <v>AGEN RAGA JAYA</v>
      </c>
      <c r="R142" s="85" t="str">
        <f>IFERROR(__xludf.DUMMYFUNCTION("""COMPUTED_VALUE"""),"AGEN RAGA JAYA")</f>
        <v>AGEN RAGA JAYA</v>
      </c>
      <c r="S142" s="85" t="str">
        <f>IFERROR(__xludf.DUMMYFUNCTION("""COMPUTED_VALUE"""),"JEJEN JENAL ARIPIN")</f>
        <v>JEJEN JENAL ARIPIN</v>
      </c>
      <c r="T142" s="85" t="str">
        <f>IFERROR(__xludf.DUMMYFUNCTION("""COMPUTED_VALUE"""),"KP CIPATIK RT. 003 RW. 003 NANJUNGJAYA, KERSAMANAH, KAB. GARUT  44194")</f>
        <v>KP CIPATIK RT. 003 RW. 003 NANJUNGJAYA, KERSAMANAH, KAB. GARUT  44194</v>
      </c>
      <c r="U142" s="85" t="str">
        <f>IFERROR(__xludf.DUMMYFUNCTION("""COMPUTED_VALUE"""),"KP CIPATIK")</f>
        <v>KP CIPATIK</v>
      </c>
      <c r="V142" s="85" t="str">
        <f>IFERROR(__xludf.DUMMYFUNCTION("""COMPUTED_VALUE"""),"003/003")</f>
        <v>003/003</v>
      </c>
      <c r="W142" s="85" t="str">
        <f>IFERROR(__xludf.DUMMYFUNCTION("""COMPUTED_VALUE"""),"NANJUNGJAYA")</f>
        <v>NANJUNGJAYA</v>
      </c>
      <c r="X142" s="85" t="str">
        <f>IFERROR(__xludf.DUMMYFUNCTION("""COMPUTED_VALUE"""),"KERSAMANAH")</f>
        <v>KERSAMANAH</v>
      </c>
      <c r="Y142" s="85" t="str">
        <f>IFERROR(__xludf.DUMMYFUNCTION("""COMPUTED_VALUE"""),"GARUT")</f>
        <v>GARUT</v>
      </c>
      <c r="Z142" s="85" t="str">
        <f>IFERROR(__xludf.DUMMYFUNCTION("""COMPUTED_VALUE"""),"JAWA BARAT")</f>
        <v>JAWA BARAT</v>
      </c>
      <c r="AA142" s="85" t="str">
        <f>IFERROR(__xludf.DUMMYFUNCTION("""COMPUTED_VALUE"""),"44194")</f>
        <v>44194</v>
      </c>
      <c r="AB142" s="85" t="str">
        <f>IFERROR(__xludf.DUMMYFUNCTION("""COMPUTED_VALUE"""),"3205131712920004")</f>
        <v>3205131712920004</v>
      </c>
      <c r="AC142" s="85" t="str">
        <f>IFERROR(__xludf.DUMMYFUNCTION("""COMPUTED_VALUE"""),"70.877.386.6-004.000")</f>
        <v>70.877.386.6-004.000</v>
      </c>
      <c r="AD142" s="85" t="str">
        <f>IFERROR(__xludf.DUMMYFUNCTION("""COMPUTED_VALUE"""),"CUM - TSR")</f>
        <v>CUM - TSR</v>
      </c>
      <c r="AE142" s="85" t="str">
        <f>IFERROR(__xludf.DUMMYFUNCTION("""COMPUTED_VALUE"""),"SUB TATANG POS")</f>
        <v>SUB TATANG POS</v>
      </c>
      <c r="AF142" s="85" t="str">
        <f>IFERROR(__xludf.DUMMYFUNCTION("""COMPUTED_VALUE"""),"089697088088")</f>
        <v>089697088088</v>
      </c>
      <c r="AG142" s="85"/>
      <c r="AH142" s="85" t="str">
        <f>IFERROR(__xludf.DUMMYFUNCTION("""COMPUTED_VALUE"""),"mamasiliwangi.rjs12@gmail.com")</f>
        <v>mamasiliwangi.rjs12@gmail.com</v>
      </c>
      <c r="AI142" s="85" t="str">
        <f>IFERROR(__xludf.DUMMYFUNCTION("""COMPUTED_VALUE"""),"44194S2")</f>
        <v>44194S2</v>
      </c>
      <c r="AJ142" s="85" t="str">
        <f>IFERROR(__xludf.DUMMYFUNCTION("""COMPUTED_VALUE"""),"659238997dce3f02fd0419c7")</f>
        <v>659238997dce3f02fd0419c7</v>
      </c>
      <c r="AK142" s="85" t="str">
        <f>IFERROR(__xludf.DUMMYFUNCTION("""COMPUTED_VALUE"""),"dm44194s2")</f>
        <v>dm44194s2</v>
      </c>
      <c r="AL142" s="85" t="str">
        <f>IFERROR(__xludf.DUMMYFUNCTION("""COMPUTED_VALUE"""),"#44194Pos")</f>
        <v>#44194Pos</v>
      </c>
      <c r="AM142" s="85"/>
      <c r="AN142" s="85" t="str">
        <f>IFERROR(__xludf.DUMMYFUNCTION("""COMPUTED_VALUE"""),"KC GARUT 44100")</f>
        <v>KC GARUT 44100</v>
      </c>
      <c r="AO142" s="85" t="str">
        <f>IFERROR(__xludf.DUMMYFUNCTION("""COMPUTED_VALUE"""),"2911220086054")</f>
        <v>2911220086054</v>
      </c>
      <c r="AP142" s="85" t="str">
        <f>IFERROR(__xludf.DUMMYFUNCTION("""COMPUTED_VALUE"""),"29112200860540001")</f>
        <v>29112200860540001</v>
      </c>
      <c r="AQ142" s="93"/>
      <c r="AR142" s="85"/>
      <c r="AS142" s="85"/>
      <c r="AT142" s="85" t="str">
        <f>IFERROR(__xludf.DUMMYFUNCTION("""COMPUTED_VALUE"""),"-7.054714")</f>
        <v>-7.054714</v>
      </c>
      <c r="AU142" s="85" t="str">
        <f>IFERROR(__xludf.DUMMYFUNCTION("""COMPUTED_VALUE"""),"108.13214")</f>
        <v>108.13214</v>
      </c>
      <c r="AV142" s="85" t="str">
        <f>IFERROR(__xludf.DUMMYFUNCTION("""COMPUTED_VALUE"""),"√")</f>
        <v>√</v>
      </c>
      <c r="AW142" s="85"/>
      <c r="AX142" s="85"/>
      <c r="AY142" s="85"/>
      <c r="AZ142" s="85"/>
      <c r="BA142" s="85" t="str">
        <f>IFERROR(__xludf.DUMMYFUNCTION("""COMPUTED_VALUE"""),"√")</f>
        <v>√</v>
      </c>
      <c r="BB142" s="85" t="str">
        <f>IFERROR(__xludf.DUMMYFUNCTION("""COMPUTED_VALUE"""),"√")</f>
        <v>√</v>
      </c>
      <c r="BC142" s="85"/>
      <c r="BD142" s="85"/>
      <c r="BE142" s="85" t="str">
        <f>IFERROR(__xludf.DUMMYFUNCTION("""COMPUTED_VALUE"""),"√")</f>
        <v>√</v>
      </c>
      <c r="BF142" s="85"/>
      <c r="BG142" s="85"/>
      <c r="BH142" s="85"/>
      <c r="BI142" s="85"/>
      <c r="BJ142" s="85"/>
      <c r="BK142" s="85"/>
      <c r="BL142" s="85"/>
      <c r="BM142" s="85"/>
      <c r="BN142" s="85"/>
      <c r="BO142" s="85"/>
      <c r="BP142" s="85"/>
      <c r="BQ142" s="85"/>
      <c r="BR142" s="85"/>
      <c r="BS142" s="85"/>
      <c r="BT142" s="85"/>
      <c r="BU142" s="85"/>
      <c r="BV142" s="85"/>
      <c r="BW142" s="85"/>
      <c r="BX142" s="85"/>
      <c r="BY142" s="85"/>
      <c r="BZ142" s="85"/>
      <c r="CA142" s="85"/>
      <c r="CB142" s="85"/>
      <c r="CC142" s="85"/>
      <c r="CD142" s="85"/>
      <c r="CE142" s="85"/>
      <c r="CF142" s="85"/>
      <c r="CG142" s="85"/>
      <c r="CH142" s="85"/>
      <c r="CI142" s="85"/>
      <c r="CJ142" s="85"/>
      <c r="CK142" s="2"/>
    </row>
    <row r="143" ht="12.75" customHeight="1">
      <c r="A143" s="80">
        <f>IFERROR(__xludf.DUMMYFUNCTION("""COMPUTED_VALUE"""),140.0)</f>
        <v>140</v>
      </c>
      <c r="B143" s="80"/>
      <c r="C143" s="80"/>
      <c r="D143" s="81"/>
      <c r="E143" s="82"/>
      <c r="F143" s="80"/>
      <c r="G143" s="81"/>
      <c r="H143" s="80"/>
      <c r="I143" s="80"/>
      <c r="J143" s="80"/>
      <c r="K143" s="80"/>
      <c r="L143" s="80"/>
      <c r="M143" s="80" t="str">
        <f>IFERROR(__xludf.DUMMYFUNCTION("""COMPUTED_VALUE"""),"√")</f>
        <v>√</v>
      </c>
      <c r="N143" s="80"/>
      <c r="O143" s="80"/>
      <c r="P143" s="80" t="str">
        <f>IFERROR(__xludf.DUMMYFUNCTION("""COMPUTED_VALUE"""),"53BSPA04137JBTSA")</f>
        <v>53BSPA04137JBTSA</v>
      </c>
      <c r="Q143" s="80" t="str">
        <f>IFERROR(__xludf.DUMMYFUNCTION("""COMPUTED_VALUE"""),"99 Express")</f>
        <v>99 Express</v>
      </c>
      <c r="R143" s="80" t="str">
        <f>IFERROR(__xludf.DUMMYFUNCTION("""COMPUTED_VALUE"""),"AGEN 99 Express")</f>
        <v>AGEN 99 Express</v>
      </c>
      <c r="S143" s="80" t="str">
        <f>IFERROR(__xludf.DUMMYFUNCTION("""COMPUTED_VALUE"""),"DEVI PRIATNA")</f>
        <v>DEVI PRIATNA</v>
      </c>
      <c r="T143" s="80" t="str">
        <f>IFERROR(__xludf.DUMMYFUNCTION("""COMPUTED_VALUE"""),"PERUM TALAGA PESONA INTAN BLOK B 14 RT. 003 RW. 012, SINDANGRATU, WANARAJA, GARUT, 44183")</f>
        <v>PERUM TALAGA PESONA INTAN BLOK B 14 RT. 003 RW. 012, SINDANGRATU, WANARAJA, GARUT, 44183</v>
      </c>
      <c r="U143" s="80" t="str">
        <f>IFERROR(__xludf.DUMMYFUNCTION("""COMPUTED_VALUE"""),"PERUM TALAGA PESONA INTAN BLOK B 14 RT. 003 RW. 012")</f>
        <v>PERUM TALAGA PESONA INTAN BLOK B 14 RT. 003 RW. 012</v>
      </c>
      <c r="V143" s="80" t="str">
        <f>IFERROR(__xludf.DUMMYFUNCTION("""COMPUTED_VALUE"""),"003/012")</f>
        <v>003/012</v>
      </c>
      <c r="W143" s="80" t="str">
        <f>IFERROR(__xludf.DUMMYFUNCTION("""COMPUTED_VALUE"""),"SINDANGRATU")</f>
        <v>SINDANGRATU</v>
      </c>
      <c r="X143" s="80" t="str">
        <f>IFERROR(__xludf.DUMMYFUNCTION("""COMPUTED_VALUE"""),"WANARAJA")</f>
        <v>WANARAJA</v>
      </c>
      <c r="Y143" s="80" t="str">
        <f>IFERROR(__xludf.DUMMYFUNCTION("""COMPUTED_VALUE"""),"GARUT")</f>
        <v>GARUT</v>
      </c>
      <c r="Z143" s="80" t="str">
        <f>IFERROR(__xludf.DUMMYFUNCTION("""COMPUTED_VALUE"""),"JAWA BARAT")</f>
        <v>JAWA BARAT</v>
      </c>
      <c r="AA143" s="80" t="str">
        <f>IFERROR(__xludf.DUMMYFUNCTION("""COMPUTED_VALUE"""),"44183")</f>
        <v>44183</v>
      </c>
      <c r="AB143" s="80" t="str">
        <f>IFERROR(__xludf.DUMMYFUNCTION("""COMPUTED_VALUE"""),"3205122802970005")</f>
        <v>3205122802970005</v>
      </c>
      <c r="AC143" s="80" t="str">
        <f>IFERROR(__xludf.DUMMYFUNCTION("""COMPUTED_VALUE"""),"42.470.608.3-443.000")</f>
        <v>42.470.608.3-443.000</v>
      </c>
      <c r="AD143" s="80" t="str">
        <f>IFERROR(__xludf.DUMMYFUNCTION("""COMPUTED_VALUE"""),"CUM - TSR")</f>
        <v>CUM - TSR</v>
      </c>
      <c r="AE143" s="80" t="str">
        <f>IFERROR(__xludf.DUMMYFUNCTION("""COMPUTED_VALUE"""),"SUB TATANG POS")</f>
        <v>SUB TATANG POS</v>
      </c>
      <c r="AF143" s="80" t="str">
        <f>IFERROR(__xludf.DUMMYFUNCTION("""COMPUTED_VALUE"""),"089502841886")</f>
        <v>089502841886</v>
      </c>
      <c r="AG143" s="80"/>
      <c r="AH143" s="80" t="str">
        <f>IFERROR(__xludf.DUMMYFUNCTION("""COMPUTED_VALUE"""),"devipriatna28@gmail.com")</f>
        <v>devipriatna28@gmail.com</v>
      </c>
      <c r="AI143" s="80" t="str">
        <f>IFERROR(__xludf.DUMMYFUNCTION("""COMPUTED_VALUE"""),"44183S5")</f>
        <v>44183S5</v>
      </c>
      <c r="AJ143" s="80" t="str">
        <f>IFERROR(__xludf.DUMMYFUNCTION("""COMPUTED_VALUE"""),"65abcb911634c92af50bc7d1")</f>
        <v>65abcb911634c92af50bc7d1</v>
      </c>
      <c r="AK143" s="80" t="str">
        <f>IFERROR(__xludf.DUMMYFUNCTION("""COMPUTED_VALUE"""),"dm44183s5")</f>
        <v>dm44183s5</v>
      </c>
      <c r="AL143" s="80" t="str">
        <f>IFERROR(__xludf.DUMMYFUNCTION("""COMPUTED_VALUE"""),"#44183Pos")</f>
        <v>#44183Pos</v>
      </c>
      <c r="AM143" s="80" t="str">
        <f>IFERROR(__xludf.DUMMYFUNCTION("""COMPUTED_VALUE"""),"KANTOR REGIONAL III BANDUNG 40004")</f>
        <v>KANTOR REGIONAL III BANDUNG 40004</v>
      </c>
      <c r="AN143" s="80" t="str">
        <f>IFERROR(__xludf.DUMMYFUNCTION("""COMPUTED_VALUE"""),"KC GARUT 44100")</f>
        <v>KC GARUT 44100</v>
      </c>
      <c r="AO143" s="80" t="str">
        <f>IFERROR(__xludf.DUMMYFUNCTION("""COMPUTED_VALUE"""),"0501240052545")</f>
        <v>0501240052545</v>
      </c>
      <c r="AP143" s="80"/>
      <c r="AQ143" s="83"/>
      <c r="AR143" s="80"/>
      <c r="AS143" s="80"/>
      <c r="AT143" s="80" t="str">
        <f>IFERROR(__xludf.DUMMYFUNCTION("""COMPUTED_VALUE"""),"-7,1782")</f>
        <v>-7,1782</v>
      </c>
      <c r="AU143" s="80" t="str">
        <f>IFERROR(__xludf.DUMMYFUNCTION("""COMPUTED_VALUE"""),"107,99495")</f>
        <v>107,99495</v>
      </c>
      <c r="AV143" s="80" t="str">
        <f>IFERROR(__xludf.DUMMYFUNCTION("""COMPUTED_VALUE"""),"√")</f>
        <v>√</v>
      </c>
      <c r="AW143" s="80"/>
      <c r="AX143" s="80"/>
      <c r="AY143" s="80"/>
      <c r="AZ143" s="80"/>
      <c r="BA143" s="80" t="str">
        <f>IFERROR(__xludf.DUMMYFUNCTION("""COMPUTED_VALUE"""),"√")</f>
        <v>√</v>
      </c>
      <c r="BB143" s="80" t="str">
        <f>IFERROR(__xludf.DUMMYFUNCTION("""COMPUTED_VALUE"""),"√")</f>
        <v>√</v>
      </c>
      <c r="BC143" s="80"/>
      <c r="BD143" s="80"/>
      <c r="BE143" s="80"/>
      <c r="BF143" s="80"/>
      <c r="BG143" s="80"/>
      <c r="BH143" s="80"/>
      <c r="BI143" s="80"/>
      <c r="BJ143" s="80"/>
      <c r="BK143" s="80"/>
      <c r="BL143" s="80"/>
      <c r="BM143" s="80"/>
      <c r="BN143" s="80"/>
      <c r="BO143" s="80"/>
      <c r="BP143" s="80"/>
      <c r="BQ143" s="80"/>
      <c r="BR143" s="80"/>
      <c r="BS143" s="80"/>
      <c r="BT143" s="80"/>
      <c r="BU143" s="80"/>
      <c r="BV143" s="80"/>
      <c r="BW143" s="80"/>
      <c r="BX143" s="80"/>
      <c r="BY143" s="80"/>
      <c r="BZ143" s="80"/>
      <c r="CA143" s="80"/>
      <c r="CB143" s="80"/>
      <c r="CC143" s="80"/>
      <c r="CD143" s="80"/>
      <c r="CE143" s="80"/>
      <c r="CF143" s="80"/>
      <c r="CG143" s="80"/>
      <c r="CH143" s="80"/>
      <c r="CI143" s="80"/>
      <c r="CJ143" s="80"/>
      <c r="CK143" s="2"/>
    </row>
    <row r="144" ht="12.75" customHeight="1">
      <c r="A144" s="85">
        <f>IFERROR(__xludf.DUMMYFUNCTION("""COMPUTED_VALUE"""),141.0)</f>
        <v>141</v>
      </c>
      <c r="B144" s="85"/>
      <c r="C144" s="85"/>
      <c r="D144" s="86">
        <f>IFERROR(__xludf.DUMMYFUNCTION("""COMPUTED_VALUE"""),45313.0)</f>
        <v>45313</v>
      </c>
      <c r="E144" s="88"/>
      <c r="F144" s="85"/>
      <c r="G144" s="86"/>
      <c r="H144" s="85"/>
      <c r="I144" s="85"/>
      <c r="J144" s="85"/>
      <c r="K144" s="85"/>
      <c r="L144" s="85"/>
      <c r="M144" s="85" t="str">
        <f>IFERROR(__xludf.DUMMYFUNCTION("""COMPUTED_VALUE"""),"√")</f>
        <v>√</v>
      </c>
      <c r="N144" s="85"/>
      <c r="O144" s="85"/>
      <c r="P144" s="85" t="str">
        <f>IFERROR(__xludf.DUMMYFUNCTION("""COMPUTED_VALUE"""),"53BSPA04216JBFTN")</f>
        <v>53BSPA04216JBFTN</v>
      </c>
      <c r="Q144" s="85" t="str">
        <f>IFERROR(__xludf.DUMMYFUNCTION("""COMPUTED_VALUE"""),"YAH ACEP")</f>
        <v>YAH ACEP</v>
      </c>
      <c r="R144" s="85" t="str">
        <f>IFERROR(__xludf.DUMMYFUNCTION("""COMPUTED_VALUE"""),"YAH ACEP")</f>
        <v>YAH ACEP</v>
      </c>
      <c r="S144" s="85" t="str">
        <f>IFERROR(__xludf.DUMMYFUNCTION("""COMPUTED_VALUE"""),"ACHMAD SOLEH")</f>
        <v>ACHMAD SOLEH</v>
      </c>
      <c r="T144" s="85" t="str">
        <f>IFERROR(__xludf.DUMMYFUNCTION("""COMPUTED_VALUE"""),"KP. LEUWI LOA RT 004 RW 002")</f>
        <v>KP. LEUWI LOA RT 004 RW 002</v>
      </c>
      <c r="U144" s="85" t="str">
        <f>IFERROR(__xludf.DUMMYFUNCTION("""COMPUTED_VALUE"""),"KP. LEUWI LOA")</f>
        <v>KP. LEUWI LOA</v>
      </c>
      <c r="V144" s="85" t="str">
        <f>IFERROR(__xludf.DUMMYFUNCTION("""COMPUTED_VALUE"""),"004/002")</f>
        <v>004/002</v>
      </c>
      <c r="W144" s="85" t="str">
        <f>IFERROR(__xludf.DUMMYFUNCTION("""COMPUTED_VALUE"""),"SUKAGALIH")</f>
        <v>SUKAGALIH</v>
      </c>
      <c r="X144" s="85" t="str">
        <f>IFERROR(__xludf.DUMMYFUNCTION("""COMPUTED_VALUE"""),"CIKALONGKULON")</f>
        <v>CIKALONGKULON</v>
      </c>
      <c r="Y144" s="85" t="str">
        <f>IFERROR(__xludf.DUMMYFUNCTION("""COMPUTED_VALUE"""),"CIANJUR")</f>
        <v>CIANJUR</v>
      </c>
      <c r="Z144" s="85" t="str">
        <f>IFERROR(__xludf.DUMMYFUNCTION("""COMPUTED_VALUE"""),"JAWA BARAT")</f>
        <v>JAWA BARAT</v>
      </c>
      <c r="AA144" s="85" t="str">
        <f>IFERROR(__xludf.DUMMYFUNCTION("""COMPUTED_VALUE"""),"43291")</f>
        <v>43291</v>
      </c>
      <c r="AB144" s="85" t="str">
        <f>IFERROR(__xludf.DUMMYFUNCTION("""COMPUTED_VALUE"""),"3203120302900013")</f>
        <v>3203120302900013</v>
      </c>
      <c r="AC144" s="85" t="str">
        <f>IFERROR(__xludf.DUMMYFUNCTION("""COMPUTED_VALUE"""),"19.182.488.7-406.000")</f>
        <v>19.182.488.7-406.000</v>
      </c>
      <c r="AD144" s="85" t="str">
        <f>IFERROR(__xludf.DUMMYFUNCTION("""COMPUTED_VALUE"""),"CUM - FTN")</f>
        <v>CUM - FTN</v>
      </c>
      <c r="AE144" s="85" t="str">
        <f>IFERROR(__xludf.DUMMYFUNCTION("""COMPUTED_VALUE"""),"SUB FATHONI")</f>
        <v>SUB FATHONI</v>
      </c>
      <c r="AF144" s="85" t="str">
        <f>IFERROR(__xludf.DUMMYFUNCTION("""COMPUTED_VALUE"""),"082317553714")</f>
        <v>082317553714</v>
      </c>
      <c r="AG144" s="85"/>
      <c r="AH144" s="85" t="str">
        <f>IFERROR(__xludf.DUMMYFUNCTION("""COMPUTED_VALUE"""),"ahmadsdinata@gmail.com")</f>
        <v>ahmadsdinata@gmail.com</v>
      </c>
      <c r="AI144" s="85" t="str">
        <f>IFERROR(__xludf.DUMMYFUNCTION("""COMPUTED_VALUE"""),"43291S3")</f>
        <v>43291S3</v>
      </c>
      <c r="AJ144" s="85" t="str">
        <f>IFERROR(__xludf.DUMMYFUNCTION("""COMPUTED_VALUE"""),"65ae38c215f5b340c6030e7c")</f>
        <v>65ae38c215f5b340c6030e7c</v>
      </c>
      <c r="AK144" s="85" t="str">
        <f>IFERROR(__xludf.DUMMYFUNCTION("""COMPUTED_VALUE"""),"dm43291s3")</f>
        <v>dm43291s3</v>
      </c>
      <c r="AL144" s="85" t="str">
        <f>IFERROR(__xludf.DUMMYFUNCTION("""COMPUTED_VALUE"""),"#43291Pos")</f>
        <v>#43291Pos</v>
      </c>
      <c r="AM144" s="85" t="str">
        <f>IFERROR(__xludf.DUMMYFUNCTION("""COMPUTED_VALUE"""),"KANTOR REGIONAL III BANDUNG 40004")</f>
        <v>KANTOR REGIONAL III BANDUNG 40004</v>
      </c>
      <c r="AN144" s="85" t="str">
        <f>IFERROR(__xludf.DUMMYFUNCTION("""COMPUTED_VALUE"""),"KC CIANJUR 43200")</f>
        <v>KC CIANJUR 43200</v>
      </c>
      <c r="AO144" s="85" t="str">
        <f>IFERROR(__xludf.DUMMYFUNCTION("""COMPUTED_VALUE"""),"02000100724110001")</f>
        <v>02000100724110001</v>
      </c>
      <c r="AP144" s="85" t="str">
        <f>IFERROR(__xludf.DUMMYFUNCTION("""COMPUTED_VALUE"""),"02000100724110001")</f>
        <v>02000100724110001</v>
      </c>
      <c r="AQ144" s="93"/>
      <c r="AR144" s="85"/>
      <c r="AS144" s="85"/>
      <c r="AT144" s="85" t="str">
        <f>IFERROR(__xludf.DUMMYFUNCTION("""COMPUTED_VALUE"""),"-6.712542")</f>
        <v>-6.712542</v>
      </c>
      <c r="AU144" s="85" t="str">
        <f>IFERROR(__xludf.DUMMYFUNCTION("""COMPUTED_VALUE"""),"107.214871")</f>
        <v>107.214871</v>
      </c>
      <c r="AV144" s="85" t="str">
        <f>IFERROR(__xludf.DUMMYFUNCTION("""COMPUTED_VALUE"""),"√")</f>
        <v>√</v>
      </c>
      <c r="AW144" s="85" t="str">
        <f>IFERROR(__xludf.DUMMYFUNCTION("""COMPUTED_VALUE"""),"√")</f>
        <v>√</v>
      </c>
      <c r="AX144" s="85"/>
      <c r="AY144" s="85"/>
      <c r="AZ144" s="85"/>
      <c r="BA144" s="85" t="str">
        <f>IFERROR(__xludf.DUMMYFUNCTION("""COMPUTED_VALUE"""),"√")</f>
        <v>√</v>
      </c>
      <c r="BB144" s="85" t="str">
        <f>IFERROR(__xludf.DUMMYFUNCTION("""COMPUTED_VALUE"""),"√")</f>
        <v>√</v>
      </c>
      <c r="BC144" s="85" t="str">
        <f>IFERROR(__xludf.DUMMYFUNCTION("""COMPUTED_VALUE"""),"√")</f>
        <v>√</v>
      </c>
      <c r="BD144" s="85" t="str">
        <f>IFERROR(__xludf.DUMMYFUNCTION("""COMPUTED_VALUE"""),"√")</f>
        <v>√</v>
      </c>
      <c r="BE144" s="85" t="str">
        <f>IFERROR(__xludf.DUMMYFUNCTION("""COMPUTED_VALUE"""),"√")</f>
        <v>√</v>
      </c>
      <c r="BF144" s="85"/>
      <c r="BG144" s="85"/>
      <c r="BH144" s="85"/>
      <c r="BI144" s="85"/>
      <c r="BJ144" s="85"/>
      <c r="BK144" s="85"/>
      <c r="BL144" s="85"/>
      <c r="BM144" s="85"/>
      <c r="BN144" s="85"/>
      <c r="BO144" s="85"/>
      <c r="BP144" s="85"/>
      <c r="BQ144" s="85"/>
      <c r="BR144" s="85"/>
      <c r="BS144" s="85"/>
      <c r="BT144" s="85"/>
      <c r="BU144" s="85"/>
      <c r="BV144" s="85"/>
      <c r="BW144" s="85"/>
      <c r="BX144" s="85"/>
      <c r="BY144" s="85"/>
      <c r="BZ144" s="85"/>
      <c r="CA144" s="85"/>
      <c r="CB144" s="85"/>
      <c r="CC144" s="85"/>
      <c r="CD144" s="85"/>
      <c r="CE144" s="85"/>
      <c r="CF144" s="85"/>
      <c r="CG144" s="85"/>
      <c r="CH144" s="85"/>
      <c r="CI144" s="85"/>
      <c r="CJ144" s="85"/>
      <c r="CK144" s="2"/>
    </row>
    <row r="145" ht="14.25" customHeight="1">
      <c r="A145" s="80">
        <f>IFERROR(__xludf.DUMMYFUNCTION("""COMPUTED_VALUE"""),142.0)</f>
        <v>142</v>
      </c>
      <c r="B145" s="80"/>
      <c r="C145" s="80"/>
      <c r="D145" s="81"/>
      <c r="E145" s="82"/>
      <c r="F145" s="80"/>
      <c r="G145" s="81"/>
      <c r="H145" s="80"/>
      <c r="I145" s="80"/>
      <c r="J145" s="80"/>
      <c r="K145" s="80"/>
      <c r="L145" s="80"/>
      <c r="M145" s="80" t="str">
        <f>IFERROR(__xludf.DUMMYFUNCTION("""COMPUTED_VALUE"""),"√")</f>
        <v>√</v>
      </c>
      <c r="N145" s="80"/>
      <c r="O145" s="80"/>
      <c r="P145" s="80" t="str">
        <f>IFERROR(__xludf.DUMMYFUNCTION("""COMPUTED_VALUE"""),"53BSPA04231JBKSM")</f>
        <v>53BSPA04231JBKSM</v>
      </c>
      <c r="Q145" s="80" t="str">
        <f>IFERROR(__xludf.DUMMYFUNCTION("""COMPUTED_VALUE"""),"TANJUNGTIGA")</f>
        <v>TANJUNGTIGA</v>
      </c>
      <c r="R145" s="80" t="str">
        <f>IFERROR(__xludf.DUMMYFUNCTION("""COMPUTED_VALUE"""),"TANJUNGTIGA")</f>
        <v>TANJUNGTIGA</v>
      </c>
      <c r="S145" s="80" t="str">
        <f>IFERROR(__xludf.DUMMYFUNCTION("""COMPUTED_VALUE"""),"SUHERMAN")</f>
        <v>SUHERMAN</v>
      </c>
      <c r="T145" s="80" t="str">
        <f>IFERROR(__xludf.DUMMYFUNCTION("""COMPUTED_VALUE"""),"DUSUN TANJUNG LAUT RT. 02 RW. 07 TANJUNGTIGA, BLANAKAN, KAB. SUBANG 41259")</f>
        <v>DUSUN TANJUNG LAUT RT. 02 RW. 07 TANJUNGTIGA, BLANAKAN, KAB. SUBANG 41259</v>
      </c>
      <c r="U145" s="80" t="str">
        <f>IFERROR(__xludf.DUMMYFUNCTION("""COMPUTED_VALUE"""),"DUSUN TANJUNG LAUT")</f>
        <v>DUSUN TANJUNG LAUT</v>
      </c>
      <c r="V145" s="80" t="str">
        <f>IFERROR(__xludf.DUMMYFUNCTION("""COMPUTED_VALUE"""),"002/007")</f>
        <v>002/007</v>
      </c>
      <c r="W145" s="80" t="str">
        <f>IFERROR(__xludf.DUMMYFUNCTION("""COMPUTED_VALUE"""),"TANJUNGTIGA")</f>
        <v>TANJUNGTIGA</v>
      </c>
      <c r="X145" s="80" t="str">
        <f>IFERROR(__xludf.DUMMYFUNCTION("""COMPUTED_VALUE"""),"BLANAKAN")</f>
        <v>BLANAKAN</v>
      </c>
      <c r="Y145" s="80" t="str">
        <f>IFERROR(__xludf.DUMMYFUNCTION("""COMPUTED_VALUE"""),"SUBANG")</f>
        <v>SUBANG</v>
      </c>
      <c r="Z145" s="80" t="str">
        <f>IFERROR(__xludf.DUMMYFUNCTION("""COMPUTED_VALUE"""),"JAWA BARAT")</f>
        <v>JAWA BARAT</v>
      </c>
      <c r="AA145" s="80" t="str">
        <f>IFERROR(__xludf.DUMMYFUNCTION("""COMPUTED_VALUE"""),"41259")</f>
        <v>41259</v>
      </c>
      <c r="AB145" s="80" t="str">
        <f>IFERROR(__xludf.DUMMYFUNCTION("""COMPUTED_VALUE"""),"3275091106820012")</f>
        <v>3275091106820012</v>
      </c>
      <c r="AC145" s="80" t="str">
        <f>IFERROR(__xludf.DUMMYFUNCTION("""COMPUTED_VALUE"""),"41.637.454.4-439.000")</f>
        <v>41.637.454.4-439.000</v>
      </c>
      <c r="AD145" s="80" t="str">
        <f>IFERROR(__xludf.DUMMYFUNCTION("""COMPUTED_VALUE"""),"CUM - KSM")</f>
        <v>CUM - KSM</v>
      </c>
      <c r="AE145" s="80" t="str">
        <f>IFERROR(__xludf.DUMMYFUNCTION("""COMPUTED_VALUE"""),"SUB AHMAD KOSIM")</f>
        <v>SUB AHMAD KOSIM</v>
      </c>
      <c r="AF145" s="80" t="str">
        <f>IFERROR(__xludf.DUMMYFUNCTION("""COMPUTED_VALUE"""),"6283846526674")</f>
        <v>6283846526674</v>
      </c>
      <c r="AG145" s="80"/>
      <c r="AH145" s="80" t="str">
        <f>IFERROR(__xludf.DUMMYFUNCTION("""COMPUTED_VALUE"""),"-")</f>
        <v>-</v>
      </c>
      <c r="AI145" s="80" t="str">
        <f>IFERROR(__xludf.DUMMYFUNCTION("""COMPUTED_VALUE"""),"41259S2")</f>
        <v>41259S2</v>
      </c>
      <c r="AJ145" s="80" t="str">
        <f>IFERROR(__xludf.DUMMYFUNCTION("""COMPUTED_VALUE"""),"65ae35b4dbafe458c103a4fd")</f>
        <v>65ae35b4dbafe458c103a4fd</v>
      </c>
      <c r="AK145" s="80" t="str">
        <f>IFERROR(__xludf.DUMMYFUNCTION("""COMPUTED_VALUE"""),"dm41259s2")</f>
        <v>dm41259s2</v>
      </c>
      <c r="AL145" s="80" t="str">
        <f>IFERROR(__xludf.DUMMYFUNCTION("""COMPUTED_VALUE"""),"#41259Pos")</f>
        <v>#41259Pos</v>
      </c>
      <c r="AM145" s="80"/>
      <c r="AN145" s="80" t="str">
        <f>IFERROR(__xludf.DUMMYFUNCTION("""COMPUTED_VALUE"""),"KC SUBANG 41200")</f>
        <v>KC SUBANG 41200</v>
      </c>
      <c r="AO145" s="80" t="str">
        <f>IFERROR(__xludf.DUMMYFUNCTION("""COMPUTED_VALUE"""),"1101240171454")</f>
        <v>1101240171454</v>
      </c>
      <c r="AP145" s="80" t="str">
        <f>IFERROR(__xludf.DUMMYFUNCTION("""COMPUTED_VALUE"""),"11012401714540001")</f>
        <v>11012401714540001</v>
      </c>
      <c r="AQ145" s="83"/>
      <c r="AR145" s="80"/>
      <c r="AS145" s="80"/>
      <c r="AT145" s="80" t="str">
        <f>IFERROR(__xludf.DUMMYFUNCTION("""COMPUTED_VALUE"""),"-6.282480")</f>
        <v>-6.282480</v>
      </c>
      <c r="AU145" s="80" t="str">
        <f>IFERROR(__xludf.DUMMYFUNCTION("""COMPUTED_VALUE"""),"107.708872")</f>
        <v>107.708872</v>
      </c>
      <c r="AV145" s="80" t="str">
        <f>IFERROR(__xludf.DUMMYFUNCTION("""COMPUTED_VALUE"""),"√")</f>
        <v>√</v>
      </c>
      <c r="AW145" s="80" t="str">
        <f>IFERROR(__xludf.DUMMYFUNCTION("""COMPUTED_VALUE"""),"√")</f>
        <v>√</v>
      </c>
      <c r="AX145" s="80"/>
      <c r="AY145" s="80"/>
      <c r="AZ145" s="80"/>
      <c r="BA145" s="80" t="str">
        <f>IFERROR(__xludf.DUMMYFUNCTION("""COMPUTED_VALUE"""),"√")</f>
        <v>√</v>
      </c>
      <c r="BB145" s="80" t="str">
        <f>IFERROR(__xludf.DUMMYFUNCTION("""COMPUTED_VALUE"""),"√")</f>
        <v>√</v>
      </c>
      <c r="BC145" s="80" t="str">
        <f>IFERROR(__xludf.DUMMYFUNCTION("""COMPUTED_VALUE"""),"√")</f>
        <v>√</v>
      </c>
      <c r="BD145" s="80" t="str">
        <f>IFERROR(__xludf.DUMMYFUNCTION("""COMPUTED_VALUE"""),"√")</f>
        <v>√</v>
      </c>
      <c r="BE145" s="80" t="str">
        <f>IFERROR(__xludf.DUMMYFUNCTION("""COMPUTED_VALUE"""),"√")</f>
        <v>√</v>
      </c>
      <c r="BF145" s="80"/>
      <c r="BG145" s="80"/>
      <c r="BH145" s="80"/>
      <c r="BI145" s="80"/>
      <c r="BJ145" s="80"/>
      <c r="BK145" s="80"/>
      <c r="BL145" s="80"/>
      <c r="BM145" s="80"/>
      <c r="BN145" s="80"/>
      <c r="BO145" s="80"/>
      <c r="BP145" s="80"/>
      <c r="BQ145" s="80"/>
      <c r="BR145" s="80"/>
      <c r="BS145" s="80"/>
      <c r="BT145" s="80"/>
      <c r="BU145" s="80"/>
      <c r="BV145" s="80"/>
      <c r="BW145" s="80"/>
      <c r="BX145" s="80"/>
      <c r="BY145" s="80"/>
      <c r="BZ145" s="80"/>
      <c r="CA145" s="80"/>
      <c r="CB145" s="80"/>
      <c r="CC145" s="80"/>
      <c r="CD145" s="80"/>
      <c r="CE145" s="80"/>
      <c r="CF145" s="80"/>
      <c r="CG145" s="80"/>
      <c r="CH145" s="80"/>
      <c r="CI145" s="80"/>
      <c r="CJ145" s="80"/>
      <c r="CK145" s="2"/>
    </row>
    <row r="146" ht="14.25" customHeight="1">
      <c r="A146" s="85">
        <f>IFERROR(__xludf.DUMMYFUNCTION("""COMPUTED_VALUE"""),143.0)</f>
        <v>143</v>
      </c>
      <c r="B146" s="85"/>
      <c r="C146" s="85"/>
      <c r="D146" s="86"/>
      <c r="E146" s="88"/>
      <c r="F146" s="85"/>
      <c r="G146" s="86"/>
      <c r="H146" s="85"/>
      <c r="I146" s="85"/>
      <c r="J146" s="85"/>
      <c r="K146" s="85"/>
      <c r="L146" s="85"/>
      <c r="M146" s="85"/>
      <c r="N146" s="85"/>
      <c r="O146" s="85"/>
      <c r="P146" s="85" t="str">
        <f>IFERROR(__xludf.DUMMYFUNCTION("""COMPUTED_VALUE"""),"53BSPA04024JBJAY")</f>
        <v>53BSPA04024JBJAY</v>
      </c>
      <c r="Q146" s="85" t="str">
        <f>IFERROR(__xludf.DUMMYFUNCTION("""COMPUTED_VALUE"""),"ADM INDUSTRIES")</f>
        <v>ADM INDUSTRIES</v>
      </c>
      <c r="R146" s="85" t="str">
        <f>IFERROR(__xludf.DUMMYFUNCTION("""COMPUTED_VALUE"""),"ADM INDUSTRIES")</f>
        <v>ADM INDUSTRIES</v>
      </c>
      <c r="S146" s="85" t="str">
        <f>IFERROR(__xludf.DUMMYFUNCTION("""COMPUTED_VALUE"""),"DEDE DERMAWAN")</f>
        <v>DEDE DERMAWAN</v>
      </c>
      <c r="T146" s="85" t="str">
        <f>IFERROR(__xludf.DUMMYFUNCTION("""COMPUTED_VALUE"""),"DUSUN PANGASINAN RT. 002 RW. 004, KEL.PAMANUKAN, KEC.PAMANUKAN, KAB. SUBANG")</f>
        <v>DUSUN PANGASINAN RT. 002 RW. 004, KEL.PAMANUKAN, KEC.PAMANUKAN, KAB. SUBANG</v>
      </c>
      <c r="U146" s="85" t="str">
        <f>IFERROR(__xludf.DUMMYFUNCTION("""COMPUTED_VALUE"""),"JL.KELAPA KEMBAR, JL.RAYA PAMANUKAN NO.13")</f>
        <v>JL.KELAPA KEMBAR, JL.RAYA PAMANUKAN NO.13</v>
      </c>
      <c r="V146" s="85"/>
      <c r="W146" s="85" t="str">
        <f>IFERROR(__xludf.DUMMYFUNCTION("""COMPUTED_VALUE"""),"PAMANUKAN")</f>
        <v>PAMANUKAN</v>
      </c>
      <c r="X146" s="85" t="str">
        <f>IFERROR(__xludf.DUMMYFUNCTION("""COMPUTED_VALUE"""),"PAMANUKAN")</f>
        <v>PAMANUKAN</v>
      </c>
      <c r="Y146" s="85" t="str">
        <f>IFERROR(__xludf.DUMMYFUNCTION("""COMPUTED_VALUE"""),"SUBANG")</f>
        <v>SUBANG</v>
      </c>
      <c r="Z146" s="85" t="str">
        <f>IFERROR(__xludf.DUMMYFUNCTION("""COMPUTED_VALUE"""),"JAWA BARAT")</f>
        <v>JAWA BARAT</v>
      </c>
      <c r="AA146" s="85" t="str">
        <f>IFERROR(__xludf.DUMMYFUNCTION("""COMPUTED_VALUE"""),"41254")</f>
        <v>41254</v>
      </c>
      <c r="AB146" s="85" t="str">
        <f>IFERROR(__xludf.DUMMYFUNCTION("""COMPUTED_VALUE"""),"3213110805790004")</f>
        <v>3213110805790004</v>
      </c>
      <c r="AC146" s="85" t="str">
        <f>IFERROR(__xludf.DUMMYFUNCTION("""COMPUTED_VALUE"""),"35.234.223.2-439.000")</f>
        <v>35.234.223.2-439.000</v>
      </c>
      <c r="AD146" s="85" t="str">
        <f>IFERROR(__xludf.DUMMYFUNCTION("""COMPUTED_VALUE"""),"CUM - BSB - JABAR")</f>
        <v>CUM - BSB - JABAR</v>
      </c>
      <c r="AE146" s="85" t="str">
        <f>IFERROR(__xludf.DUMMYFUNCTION("""COMPUTED_VALUE"""),"SUB JAELANI POS")</f>
        <v>SUB JAELANI POS</v>
      </c>
      <c r="AF146" s="85" t="str">
        <f>IFERROR(__xludf.DUMMYFUNCTION("""COMPUTED_VALUE"""),"08112222594")</f>
        <v>08112222594</v>
      </c>
      <c r="AG146" s="85"/>
      <c r="AH146" s="85" t="str">
        <f>IFERROR(__xludf.DUMMYFUNCTION("""COMPUTED_VALUE"""),"ddhermaone@gmail.com")</f>
        <v>ddhermaone@gmail.com</v>
      </c>
      <c r="AI146" s="85" t="str">
        <f>IFERROR(__xludf.DUMMYFUNCTION("""COMPUTED_VALUE"""),"41254S3")</f>
        <v>41254S3</v>
      </c>
      <c r="AJ146" s="85" t="str">
        <f>IFERROR(__xludf.DUMMYFUNCTION("""COMPUTED_VALUE"""),"659f5a0155acd43e8c041f2c")</f>
        <v>659f5a0155acd43e8c041f2c</v>
      </c>
      <c r="AK146" s="85" t="str">
        <f>IFERROR(__xludf.DUMMYFUNCTION("""COMPUTED_VALUE"""),"dm41254s3")</f>
        <v>dm41254s3</v>
      </c>
      <c r="AL146" s="85" t="str">
        <f>IFERROR(__xludf.DUMMYFUNCTION("""COMPUTED_VALUE"""),"#41254poS")</f>
        <v>#41254poS</v>
      </c>
      <c r="AM146" s="85"/>
      <c r="AN146" s="85" t="str">
        <f>IFERROR(__xludf.DUMMYFUNCTION("""COMPUTED_VALUE"""),"KC SUBANG 41200")</f>
        <v>KC SUBANG 41200</v>
      </c>
      <c r="AO146" s="85" t="str">
        <f>IFERROR(__xludf.DUMMYFUNCTION("""COMPUTED_VALUE"""),"0901240083127")</f>
        <v>0901240083127</v>
      </c>
      <c r="AP146" s="85" t="str">
        <f>IFERROR(__xludf.DUMMYFUNCTION("""COMPUTED_VALUE"""),"09012400831270001")</f>
        <v>09012400831270001</v>
      </c>
      <c r="AQ146" s="93"/>
      <c r="AR146" s="85"/>
      <c r="AS146" s="85"/>
      <c r="AT146" s="85" t="str">
        <f>IFERROR(__xludf.DUMMYFUNCTION("""COMPUTED_VALUE"""),"-6.282550")</f>
        <v>-6.282550</v>
      </c>
      <c r="AU146" s="85" t="str">
        <f>IFERROR(__xludf.DUMMYFUNCTION("""COMPUTED_VALUE"""),"107.817956")</f>
        <v>107.817956</v>
      </c>
      <c r="AV146" s="85" t="str">
        <f>IFERROR(__xludf.DUMMYFUNCTION("""COMPUTED_VALUE"""),"√")</f>
        <v>√</v>
      </c>
      <c r="AW146" s="85"/>
      <c r="AX146" s="85"/>
      <c r="AY146" s="85"/>
      <c r="AZ146" s="85"/>
      <c r="BA146" s="85" t="str">
        <f>IFERROR(__xludf.DUMMYFUNCTION("""COMPUTED_VALUE"""),"√")</f>
        <v>√</v>
      </c>
      <c r="BB146" s="85" t="str">
        <f>IFERROR(__xludf.DUMMYFUNCTION("""COMPUTED_VALUE"""),"√")</f>
        <v>√</v>
      </c>
      <c r="BC146" s="85"/>
      <c r="BD146" s="85"/>
      <c r="BE146" s="85"/>
      <c r="BF146" s="85"/>
      <c r="BG146" s="85"/>
      <c r="BH146" s="85"/>
      <c r="BI146" s="85"/>
      <c r="BJ146" s="85"/>
      <c r="BK146" s="85"/>
      <c r="BL146" s="85"/>
      <c r="BM146" s="85"/>
      <c r="BN146" s="85"/>
      <c r="BO146" s="85"/>
      <c r="BP146" s="85"/>
      <c r="BQ146" s="85"/>
      <c r="BR146" s="85"/>
      <c r="BS146" s="85"/>
      <c r="BT146" s="85"/>
      <c r="BU146" s="85"/>
      <c r="BV146" s="85"/>
      <c r="BW146" s="85"/>
      <c r="BX146" s="85"/>
      <c r="BY146" s="85"/>
      <c r="BZ146" s="85"/>
      <c r="CA146" s="85"/>
      <c r="CB146" s="85"/>
      <c r="CC146" s="85"/>
      <c r="CD146" s="85"/>
      <c r="CE146" s="85"/>
      <c r="CF146" s="85"/>
      <c r="CG146" s="85"/>
      <c r="CH146" s="85"/>
      <c r="CI146" s="85"/>
      <c r="CJ146" s="85"/>
      <c r="CK146" s="2"/>
    </row>
    <row r="147" ht="14.25" customHeight="1">
      <c r="A147" s="80">
        <f>IFERROR(__xludf.DUMMYFUNCTION("""COMPUTED_VALUE"""),144.0)</f>
        <v>144</v>
      </c>
      <c r="B147" s="80"/>
      <c r="C147" s="80"/>
      <c r="D147" s="81"/>
      <c r="E147" s="82"/>
      <c r="F147" s="80"/>
      <c r="G147" s="81"/>
      <c r="H147" s="80"/>
      <c r="I147" s="80"/>
      <c r="J147" s="80"/>
      <c r="K147" s="80"/>
      <c r="L147" s="80"/>
      <c r="M147" s="80" t="str">
        <f>IFERROR(__xludf.DUMMYFUNCTION("""COMPUTED_VALUE"""),"√")</f>
        <v>√</v>
      </c>
      <c r="N147" s="80"/>
      <c r="O147" s="80"/>
      <c r="P147" s="80" t="str">
        <f>IFERROR(__xludf.DUMMYFUNCTION("""COMPUTED_VALUE"""),"53BSPA04232JBKSM")</f>
        <v>53BSPA04232JBKSM</v>
      </c>
      <c r="Q147" s="80" t="str">
        <f>IFERROR(__xludf.DUMMYFUNCTION("""COMPUTED_VALUE"""),"KALIJATI RAYA")</f>
        <v>KALIJATI RAYA</v>
      </c>
      <c r="R147" s="80" t="str">
        <f>IFERROR(__xludf.DUMMYFUNCTION("""COMPUTED_VALUE"""),"KALIJATI RAYA")</f>
        <v>KALIJATI RAYA</v>
      </c>
      <c r="S147" s="80" t="str">
        <f>IFERROR(__xludf.DUMMYFUNCTION("""COMPUTED_VALUE"""),"KEMALLUDIN")</f>
        <v>KEMALLUDIN</v>
      </c>
      <c r="T147" s="80" t="str">
        <f>IFERROR(__xludf.DUMMYFUNCTION("""COMPUTED_VALUE"""),"KP CILEULEUY RT. 004 RW. 005 GUNUNGTUA, CIJAMBE, KAB. SUBANG 41286")</f>
        <v>KP CILEULEUY RT. 004 RW. 005 GUNUNGTUA, CIJAMBE, KAB. SUBANG 41286</v>
      </c>
      <c r="U147" s="80" t="str">
        <f>IFERROR(__xludf.DUMMYFUNCTION("""COMPUTED_VALUE"""),"JL. RAYA KALIJATI ")</f>
        <v>JL. RAYA KALIJATI </v>
      </c>
      <c r="V147" s="80"/>
      <c r="W147" s="80" t="str">
        <f>IFERROR(__xludf.DUMMYFUNCTION("""COMPUTED_VALUE"""),"KALIJATI BARAT")</f>
        <v>KALIJATI BARAT</v>
      </c>
      <c r="X147" s="80" t="str">
        <f>IFERROR(__xludf.DUMMYFUNCTION("""COMPUTED_VALUE"""),"KALIJATI")</f>
        <v>KALIJATI</v>
      </c>
      <c r="Y147" s="80" t="str">
        <f>IFERROR(__xludf.DUMMYFUNCTION("""COMPUTED_VALUE"""),"SUBANG")</f>
        <v>SUBANG</v>
      </c>
      <c r="Z147" s="80" t="str">
        <f>IFERROR(__xludf.DUMMYFUNCTION("""COMPUTED_VALUE"""),"JAWA BARAT")</f>
        <v>JAWA BARAT</v>
      </c>
      <c r="AA147" s="80" t="str">
        <f>IFERROR(__xludf.DUMMYFUNCTION("""COMPUTED_VALUE"""),"41271")</f>
        <v>41271</v>
      </c>
      <c r="AB147" s="80" t="str">
        <f>IFERROR(__xludf.DUMMYFUNCTION("""COMPUTED_VALUE"""),"3213192909920001")</f>
        <v>3213192909920001</v>
      </c>
      <c r="AC147" s="80" t="str">
        <f>IFERROR(__xludf.DUMMYFUNCTION("""COMPUTED_VALUE"""),"75.554.426.9-439.000")</f>
        <v>75.554.426.9-439.000</v>
      </c>
      <c r="AD147" s="80" t="str">
        <f>IFERROR(__xludf.DUMMYFUNCTION("""COMPUTED_VALUE"""),"CUM - KSM")</f>
        <v>CUM - KSM</v>
      </c>
      <c r="AE147" s="80" t="str">
        <f>IFERROR(__xludf.DUMMYFUNCTION("""COMPUTED_VALUE"""),"SUB AHMAD KOSIM")</f>
        <v>SUB AHMAD KOSIM</v>
      </c>
      <c r="AF147" s="80"/>
      <c r="AG147" s="80"/>
      <c r="AH147" s="80"/>
      <c r="AI147" s="80" t="str">
        <f>IFERROR(__xludf.DUMMYFUNCTION("""COMPUTED_VALUE"""),"41271S2")</f>
        <v>41271S2</v>
      </c>
      <c r="AJ147" s="80" t="str">
        <f>IFERROR(__xludf.DUMMYFUNCTION("""COMPUTED_VALUE"""),"65ae2053cefb563d0309764b")</f>
        <v>65ae2053cefb563d0309764b</v>
      </c>
      <c r="AK147" s="80" t="str">
        <f>IFERROR(__xludf.DUMMYFUNCTION("""COMPUTED_VALUE"""),"dm41271s2")</f>
        <v>dm41271s2</v>
      </c>
      <c r="AL147" s="80" t="str">
        <f>IFERROR(__xludf.DUMMYFUNCTION("""COMPUTED_VALUE"""),"#41271Pos")</f>
        <v>#41271Pos</v>
      </c>
      <c r="AM147" s="80"/>
      <c r="AN147" s="80" t="str">
        <f>IFERROR(__xludf.DUMMYFUNCTION("""COMPUTED_VALUE"""),"KC SUBANG 41200")</f>
        <v>KC SUBANG 41200</v>
      </c>
      <c r="AO147" s="80" t="str">
        <f>IFERROR(__xludf.DUMMYFUNCTION("""COMPUTED_VALUE"""),"1101240235343")</f>
        <v>1101240235343</v>
      </c>
      <c r="AP147" s="80" t="str">
        <f>IFERROR(__xludf.DUMMYFUNCTION("""COMPUTED_VALUE"""),"11012402353430001")</f>
        <v>11012402353430001</v>
      </c>
      <c r="AQ147" s="83"/>
      <c r="AR147" s="80"/>
      <c r="AS147" s="80"/>
      <c r="AT147" s="80" t="str">
        <f>IFERROR(__xludf.DUMMYFUNCTION("""COMPUTED_VALUE"""),"-6.522218")</f>
        <v>-6.522218</v>
      </c>
      <c r="AU147" s="80" t="str">
        <f>IFERROR(__xludf.DUMMYFUNCTION("""COMPUTED_VALUE"""),"107.676252")</f>
        <v>107.676252</v>
      </c>
      <c r="AV147" s="80" t="str">
        <f>IFERROR(__xludf.DUMMYFUNCTION("""COMPUTED_VALUE"""),"√")</f>
        <v>√</v>
      </c>
      <c r="AW147" s="80" t="str">
        <f>IFERROR(__xludf.DUMMYFUNCTION("""COMPUTED_VALUE"""),"√")</f>
        <v>√</v>
      </c>
      <c r="AX147" s="80"/>
      <c r="AY147" s="80"/>
      <c r="AZ147" s="80"/>
      <c r="BA147" s="80" t="str">
        <f>IFERROR(__xludf.DUMMYFUNCTION("""COMPUTED_VALUE"""),"√")</f>
        <v>√</v>
      </c>
      <c r="BB147" s="80" t="str">
        <f>IFERROR(__xludf.DUMMYFUNCTION("""COMPUTED_VALUE"""),"√")</f>
        <v>√</v>
      </c>
      <c r="BC147" s="80" t="str">
        <f>IFERROR(__xludf.DUMMYFUNCTION("""COMPUTED_VALUE"""),"√")</f>
        <v>√</v>
      </c>
      <c r="BD147" s="80" t="str">
        <f>IFERROR(__xludf.DUMMYFUNCTION("""COMPUTED_VALUE"""),"√")</f>
        <v>√</v>
      </c>
      <c r="BE147" s="80" t="str">
        <f>IFERROR(__xludf.DUMMYFUNCTION("""COMPUTED_VALUE"""),"√")</f>
        <v>√</v>
      </c>
      <c r="BF147" s="80"/>
      <c r="BG147" s="80"/>
      <c r="BH147" s="80"/>
      <c r="BI147" s="80"/>
      <c r="BJ147" s="80"/>
      <c r="BK147" s="80"/>
      <c r="BL147" s="80"/>
      <c r="BM147" s="80"/>
      <c r="BN147" s="80"/>
      <c r="BO147" s="80"/>
      <c r="BP147" s="80"/>
      <c r="BQ147" s="80"/>
      <c r="BR147" s="80"/>
      <c r="BS147" s="80"/>
      <c r="BT147" s="80"/>
      <c r="BU147" s="80"/>
      <c r="BV147" s="80"/>
      <c r="BW147" s="80"/>
      <c r="BX147" s="80"/>
      <c r="BY147" s="80"/>
      <c r="BZ147" s="80"/>
      <c r="CA147" s="80"/>
      <c r="CB147" s="80"/>
      <c r="CC147" s="80"/>
      <c r="CD147" s="80"/>
      <c r="CE147" s="80"/>
      <c r="CF147" s="80"/>
      <c r="CG147" s="80"/>
      <c r="CH147" s="80"/>
      <c r="CI147" s="80"/>
      <c r="CJ147" s="80"/>
      <c r="CK147" s="2"/>
    </row>
    <row r="148" ht="14.25" customHeight="1">
      <c r="A148" s="85">
        <f>IFERROR(__xludf.DUMMYFUNCTION("""COMPUTED_VALUE"""),145.0)</f>
        <v>145</v>
      </c>
      <c r="B148" s="85"/>
      <c r="C148" s="85"/>
      <c r="D148" s="86"/>
      <c r="E148" s="88"/>
      <c r="F148" s="85"/>
      <c r="G148" s="86"/>
      <c r="H148" s="85"/>
      <c r="I148" s="85"/>
      <c r="J148" s="85"/>
      <c r="K148" s="85"/>
      <c r="L148" s="85"/>
      <c r="M148" s="85" t="str">
        <f>IFERROR(__xludf.DUMMYFUNCTION("""COMPUTED_VALUE"""),"√")</f>
        <v>√</v>
      </c>
      <c r="N148" s="85"/>
      <c r="O148" s="85"/>
      <c r="P148" s="85" t="str">
        <f>IFERROR(__xludf.DUMMYFUNCTION("""COMPUTED_VALUE"""),"53BSPA04233JBKSM")</f>
        <v>53BSPA04233JBKSM</v>
      </c>
      <c r="Q148" s="85" t="str">
        <f>IFERROR(__xludf.DUMMYFUNCTION("""COMPUTED_VALUE"""),"Bina Sejahtera Express Logistik")</f>
        <v>Bina Sejahtera Express Logistik</v>
      </c>
      <c r="R148" s="85" t="str">
        <f>IFERROR(__xludf.DUMMYFUNCTION("""COMPUTED_VALUE"""),"BINA SEJAHTERA LOGISTIK")</f>
        <v>BINA SEJAHTERA LOGISTIK</v>
      </c>
      <c r="S148" s="85" t="str">
        <f>IFERROR(__xludf.DUMMYFUNCTION("""COMPUTED_VALUE"""),"EDENG")</f>
        <v>EDENG</v>
      </c>
      <c r="T148" s="85" t="str">
        <f>IFERROR(__xludf.DUMMYFUNCTION("""COMPUTED_VALUE"""),"KP.KIARAPANDAK RT.09 RW.03 GANDASOLI, TANJUNGSIANG, KAB. SUBANG 41284")</f>
        <v>KP.KIARAPANDAK RT.09 RW.03 GANDASOLI, TANJUNGSIANG, KAB. SUBANG 41284</v>
      </c>
      <c r="U148" s="85" t="str">
        <f>IFERROR(__xludf.DUMMYFUNCTION("""COMPUTED_VALUE"""),"Rancamanggung")</f>
        <v>Rancamanggung</v>
      </c>
      <c r="V148" s="85"/>
      <c r="W148" s="85" t="str">
        <f>IFERROR(__xludf.DUMMYFUNCTION("""COMPUTED_VALUE"""),"GANDASOLI")</f>
        <v>GANDASOLI</v>
      </c>
      <c r="X148" s="85" t="str">
        <f>IFERROR(__xludf.DUMMYFUNCTION("""COMPUTED_VALUE"""),"Tanjungsiang")</f>
        <v>Tanjungsiang</v>
      </c>
      <c r="Y148" s="85" t="str">
        <f>IFERROR(__xludf.DUMMYFUNCTION("""COMPUTED_VALUE"""),"SUBANG")</f>
        <v>SUBANG</v>
      </c>
      <c r="Z148" s="85" t="str">
        <f>IFERROR(__xludf.DUMMYFUNCTION("""COMPUTED_VALUE"""),"JAWA BARAT")</f>
        <v>JAWA BARAT</v>
      </c>
      <c r="AA148" s="85" t="str">
        <f>IFERROR(__xludf.DUMMYFUNCTION("""COMPUTED_VALUE"""),"41284")</f>
        <v>41284</v>
      </c>
      <c r="AB148" s="85" t="str">
        <f>IFERROR(__xludf.DUMMYFUNCTION("""COMPUTED_VALUE"""),"3213140206990002")</f>
        <v>3213140206990002</v>
      </c>
      <c r="AC148" s="85" t="str">
        <f>IFERROR(__xludf.DUMMYFUNCTION("""COMPUTED_VALUE"""),"39.784.317.8-439.000")</f>
        <v>39.784.317.8-439.000</v>
      </c>
      <c r="AD148" s="85" t="str">
        <f>IFERROR(__xludf.DUMMYFUNCTION("""COMPUTED_VALUE"""),"CUM - KSM")</f>
        <v>CUM - KSM</v>
      </c>
      <c r="AE148" s="85" t="str">
        <f>IFERROR(__xludf.DUMMYFUNCTION("""COMPUTED_VALUE"""),"SUB AHMAD KOSIM")</f>
        <v>SUB AHMAD KOSIM</v>
      </c>
      <c r="AF148" s="85" t="str">
        <f>IFERROR(__xludf.DUMMYFUNCTION("""COMPUTED_VALUE"""),"082130282409")</f>
        <v>082130282409</v>
      </c>
      <c r="AG148" s="85"/>
      <c r="AH148" s="85" t="str">
        <f>IFERROR(__xludf.DUMMYFUNCTION("""COMPUTED_VALUE"""),"edengelis111@gmail.com")</f>
        <v>edengelis111@gmail.com</v>
      </c>
      <c r="AI148" s="85" t="str">
        <f>IFERROR(__xludf.DUMMYFUNCTION("""COMPUTED_VALUE"""),"41284S1")</f>
        <v>41284S1</v>
      </c>
      <c r="AJ148" s="85" t="str">
        <f>IFERROR(__xludf.DUMMYFUNCTION("""COMPUTED_VALUE"""),"65b08df4999de58f850d0248")</f>
        <v>65b08df4999de58f850d0248</v>
      </c>
      <c r="AK148" s="85" t="str">
        <f>IFERROR(__xludf.DUMMYFUNCTION("""COMPUTED_VALUE"""),"dm41284s1")</f>
        <v>dm41284s1</v>
      </c>
      <c r="AL148" s="85" t="str">
        <f>IFERROR(__xludf.DUMMYFUNCTION("""COMPUTED_VALUE"""),"#41284Pos")</f>
        <v>#41284Pos</v>
      </c>
      <c r="AM148" s="85"/>
      <c r="AN148" s="85" t="str">
        <f>IFERROR(__xludf.DUMMYFUNCTION("""COMPUTED_VALUE"""),"KC SUBANG 41200")</f>
        <v>KC SUBANG 41200</v>
      </c>
      <c r="AO148" s="85" t="str">
        <f>IFERROR(__xludf.DUMMYFUNCTION("""COMPUTED_VALUE"""),"1810230083227")</f>
        <v>1810230083227</v>
      </c>
      <c r="AP148" s="85" t="str">
        <f>IFERROR(__xludf.DUMMYFUNCTION("""COMPUTED_VALUE"""),"18102300832270002")</f>
        <v>18102300832270002</v>
      </c>
      <c r="AQ148" s="93"/>
      <c r="AR148" s="85"/>
      <c r="AS148" s="85"/>
      <c r="AT148" s="85" t="str">
        <f>IFERROR(__xludf.DUMMYFUNCTION("""COMPUTED_VALUE"""),"-6.713127")</f>
        <v>-6.713127</v>
      </c>
      <c r="AU148" s="85" t="str">
        <f>IFERROR(__xludf.DUMMYFUNCTION("""COMPUTED_VALUE"""),"107.820974")</f>
        <v>107.820974</v>
      </c>
      <c r="AV148" s="85" t="str">
        <f>IFERROR(__xludf.DUMMYFUNCTION("""COMPUTED_VALUE"""),"√")</f>
        <v>√</v>
      </c>
      <c r="AW148" s="85" t="str">
        <f>IFERROR(__xludf.DUMMYFUNCTION("""COMPUTED_VALUE"""),"√")</f>
        <v>√</v>
      </c>
      <c r="AX148" s="85"/>
      <c r="AY148" s="85"/>
      <c r="AZ148" s="85"/>
      <c r="BA148" s="85" t="str">
        <f>IFERROR(__xludf.DUMMYFUNCTION("""COMPUTED_VALUE"""),"√")</f>
        <v>√</v>
      </c>
      <c r="BB148" s="85" t="str">
        <f>IFERROR(__xludf.DUMMYFUNCTION("""COMPUTED_VALUE"""),"√")</f>
        <v>√</v>
      </c>
      <c r="BC148" s="85" t="str">
        <f>IFERROR(__xludf.DUMMYFUNCTION("""COMPUTED_VALUE"""),"√")</f>
        <v>√</v>
      </c>
      <c r="BD148" s="85" t="str">
        <f>IFERROR(__xludf.DUMMYFUNCTION("""COMPUTED_VALUE"""),"√")</f>
        <v>√</v>
      </c>
      <c r="BE148" s="85" t="str">
        <f>IFERROR(__xludf.DUMMYFUNCTION("""COMPUTED_VALUE"""),"√")</f>
        <v>√</v>
      </c>
      <c r="BF148" s="85"/>
      <c r="BG148" s="85"/>
      <c r="BH148" s="85"/>
      <c r="BI148" s="85"/>
      <c r="BJ148" s="85"/>
      <c r="BK148" s="85"/>
      <c r="BL148" s="85"/>
      <c r="BM148" s="85"/>
      <c r="BN148" s="85"/>
      <c r="BO148" s="85"/>
      <c r="BP148" s="85"/>
      <c r="BQ148" s="85"/>
      <c r="BR148" s="85"/>
      <c r="BS148" s="85"/>
      <c r="BT148" s="85"/>
      <c r="BU148" s="85"/>
      <c r="BV148" s="85"/>
      <c r="BW148" s="85"/>
      <c r="BX148" s="85"/>
      <c r="BY148" s="85"/>
      <c r="BZ148" s="85"/>
      <c r="CA148" s="85"/>
      <c r="CB148" s="85"/>
      <c r="CC148" s="85"/>
      <c r="CD148" s="85"/>
      <c r="CE148" s="85"/>
      <c r="CF148" s="85"/>
      <c r="CG148" s="85"/>
      <c r="CH148" s="85"/>
      <c r="CI148" s="85"/>
      <c r="CJ148" s="85"/>
      <c r="CK148" s="2"/>
    </row>
    <row r="149" ht="14.25" customHeight="1">
      <c r="A149" s="80">
        <f>IFERROR(__xludf.DUMMYFUNCTION("""COMPUTED_VALUE"""),146.0)</f>
        <v>146</v>
      </c>
      <c r="B149" s="80"/>
      <c r="C149" s="80"/>
      <c r="D149" s="81"/>
      <c r="E149" s="82"/>
      <c r="F149" s="80"/>
      <c r="G149" s="81"/>
      <c r="H149" s="80"/>
      <c r="I149" s="80"/>
      <c r="J149" s="80"/>
      <c r="K149" s="80"/>
      <c r="L149" s="80"/>
      <c r="M149" s="80"/>
      <c r="N149" s="80"/>
      <c r="O149" s="80"/>
      <c r="P149" s="80" t="str">
        <f>IFERROR(__xludf.DUMMYFUNCTION("""COMPUTED_VALUE"""),"53BSPA04234JBKSM")</f>
        <v>53BSPA04234JBKSM</v>
      </c>
      <c r="Q149" s="80" t="str">
        <f>IFERROR(__xludf.DUMMYFUNCTION("""COMPUTED_VALUE"""),"PUTRA MANDIRI")</f>
        <v>PUTRA MANDIRI</v>
      </c>
      <c r="R149" s="80" t="str">
        <f>IFERROR(__xludf.DUMMYFUNCTION("""COMPUTED_VALUE"""),"AGEN PUTRA MANDIRI")</f>
        <v>AGEN PUTRA MANDIRI</v>
      </c>
      <c r="S149" s="80" t="str">
        <f>IFERROR(__xludf.DUMMYFUNCTION("""COMPUTED_VALUE"""),"FAISAL SYAFA’AT")</f>
        <v>FAISAL SYAFA’AT</v>
      </c>
      <c r="T149" s="80" t="str">
        <f>IFERROR(__xludf.DUMMYFUNCTION("""COMPUTED_VALUE"""),"KP GOROWONG 002/005, KEL.GARDUSAYANG, KEC.CISALAK, KOTA SUBANG, 41283")</f>
        <v>KP GOROWONG 002/005, KEL.GARDUSAYANG, KEC.CISALAK, KOTA SUBANG, 41283</v>
      </c>
      <c r="U149" s="80" t="str">
        <f>IFERROR(__xludf.DUMMYFUNCTION("""COMPUTED_VALUE"""),"JL RAYA TANJUNGSIANG")</f>
        <v>JL RAYA TANJUNGSIANG</v>
      </c>
      <c r="V149" s="80"/>
      <c r="W149" s="80" t="str">
        <f>IFERROR(__xludf.DUMMYFUNCTION("""COMPUTED_VALUE"""),"PAKUHAJI")</f>
        <v>PAKUHAJI</v>
      </c>
      <c r="X149" s="80" t="str">
        <f>IFERROR(__xludf.DUMMYFUNCTION("""COMPUTED_VALUE"""),"CISALAK")</f>
        <v>CISALAK</v>
      </c>
      <c r="Y149" s="80" t="str">
        <f>IFERROR(__xludf.DUMMYFUNCTION("""COMPUTED_VALUE"""),"SUBANG")</f>
        <v>SUBANG</v>
      </c>
      <c r="Z149" s="80" t="str">
        <f>IFERROR(__xludf.DUMMYFUNCTION("""COMPUTED_VALUE"""),"JAWA BARAT")</f>
        <v>JAWA BARAT</v>
      </c>
      <c r="AA149" s="80" t="str">
        <f>IFERROR(__xludf.DUMMYFUNCTION("""COMPUTED_VALUE"""),"41283")</f>
        <v>41283</v>
      </c>
      <c r="AB149" s="80" t="str">
        <f>IFERROR(__xludf.DUMMYFUNCTION("""COMPUTED_VALUE"""),"3213021108920003")</f>
        <v>3213021108920003</v>
      </c>
      <c r="AC149" s="80" t="str">
        <f>IFERROR(__xludf.DUMMYFUNCTION("""COMPUTED_VALUE"""),"75.931.083.2-439.000")</f>
        <v>75.931.083.2-439.000</v>
      </c>
      <c r="AD149" s="80" t="str">
        <f>IFERROR(__xludf.DUMMYFUNCTION("""COMPUTED_VALUE"""),"CUM - KSM")</f>
        <v>CUM - KSM</v>
      </c>
      <c r="AE149" s="80" t="str">
        <f>IFERROR(__xludf.DUMMYFUNCTION("""COMPUTED_VALUE"""),"SUB AHMAD KOSIM")</f>
        <v>SUB AHMAD KOSIM</v>
      </c>
      <c r="AF149" s="80" t="str">
        <f>IFERROR(__xludf.DUMMYFUNCTION("""COMPUTED_VALUE"""),"+6285321808606")</f>
        <v>+6285321808606</v>
      </c>
      <c r="AG149" s="80"/>
      <c r="AH149" s="80" t="str">
        <f>IFERROR(__xludf.DUMMYFUNCTION("""COMPUTED_VALUE"""),"id.faisalsy@gmail.com")</f>
        <v>id.faisalsy@gmail.com</v>
      </c>
      <c r="AI149" s="80" t="str">
        <f>IFERROR(__xludf.DUMMYFUNCTION("""COMPUTED_VALUE"""),"41283S1")</f>
        <v>41283S1</v>
      </c>
      <c r="AJ149" s="80" t="str">
        <f>IFERROR(__xludf.DUMMYFUNCTION("""COMPUTED_VALUE"""),"65ae237fe505c2a4720bb0eb")</f>
        <v>65ae237fe505c2a4720bb0eb</v>
      </c>
      <c r="AK149" s="80" t="str">
        <f>IFERROR(__xludf.DUMMYFUNCTION("""COMPUTED_VALUE"""),"dm41283s1")</f>
        <v>dm41283s1</v>
      </c>
      <c r="AL149" s="80" t="str">
        <f>IFERROR(__xludf.DUMMYFUNCTION("""COMPUTED_VALUE"""),"#41283Pos")</f>
        <v>#41283Pos</v>
      </c>
      <c r="AM149" s="80"/>
      <c r="AN149" s="80" t="str">
        <f>IFERROR(__xludf.DUMMYFUNCTION("""COMPUTED_VALUE"""),"KC SUBANG 41200")</f>
        <v>KC SUBANG 41200</v>
      </c>
      <c r="AO149" s="80" t="str">
        <f>IFERROR(__xludf.DUMMYFUNCTION("""COMPUTED_VALUE"""),"1601240019293")</f>
        <v>1601240019293</v>
      </c>
      <c r="AP149" s="80" t="str">
        <f>IFERROR(__xludf.DUMMYFUNCTION("""COMPUTED_VALUE"""),"16012400192930001")</f>
        <v>16012400192930001</v>
      </c>
      <c r="AQ149" s="83"/>
      <c r="AR149" s="80"/>
      <c r="AS149" s="80"/>
      <c r="AT149" s="80" t="str">
        <f>IFERROR(__xludf.DUMMYFUNCTION("""COMPUTED_VALUE"""),"-6,740747")</f>
        <v>-6,740747</v>
      </c>
      <c r="AU149" s="80" t="str">
        <f>IFERROR(__xludf.DUMMYFUNCTION("""COMPUTED_VALUE"""),"107,795589")</f>
        <v>107,795589</v>
      </c>
      <c r="AV149" s="80" t="str">
        <f>IFERROR(__xludf.DUMMYFUNCTION("""COMPUTED_VALUE"""),"√")</f>
        <v>√</v>
      </c>
      <c r="AW149" s="80" t="str">
        <f>IFERROR(__xludf.DUMMYFUNCTION("""COMPUTED_VALUE"""),"√")</f>
        <v>√</v>
      </c>
      <c r="AX149" s="80"/>
      <c r="AY149" s="80"/>
      <c r="AZ149" s="80"/>
      <c r="BA149" s="80" t="str">
        <f>IFERROR(__xludf.DUMMYFUNCTION("""COMPUTED_VALUE"""),"√")</f>
        <v>√</v>
      </c>
      <c r="BB149" s="80" t="str">
        <f>IFERROR(__xludf.DUMMYFUNCTION("""COMPUTED_VALUE"""),"√")</f>
        <v>√</v>
      </c>
      <c r="BC149" s="80" t="str">
        <f>IFERROR(__xludf.DUMMYFUNCTION("""COMPUTED_VALUE"""),"√")</f>
        <v>√</v>
      </c>
      <c r="BD149" s="80" t="str">
        <f>IFERROR(__xludf.DUMMYFUNCTION("""COMPUTED_VALUE"""),"√")</f>
        <v>√</v>
      </c>
      <c r="BE149" s="80" t="str">
        <f>IFERROR(__xludf.DUMMYFUNCTION("""COMPUTED_VALUE"""),"√")</f>
        <v>√</v>
      </c>
      <c r="BF149" s="80"/>
      <c r="BG149" s="80"/>
      <c r="BH149" s="80"/>
      <c r="BI149" s="80"/>
      <c r="BJ149" s="80"/>
      <c r="BK149" s="80"/>
      <c r="BL149" s="80"/>
      <c r="BM149" s="80"/>
      <c r="BN149" s="80"/>
      <c r="BO149" s="80"/>
      <c r="BP149" s="80"/>
      <c r="BQ149" s="80"/>
      <c r="BR149" s="80"/>
      <c r="BS149" s="80"/>
      <c r="BT149" s="80"/>
      <c r="BU149" s="80"/>
      <c r="BV149" s="80"/>
      <c r="BW149" s="80"/>
      <c r="BX149" s="80"/>
      <c r="BY149" s="80"/>
      <c r="BZ149" s="80"/>
      <c r="CA149" s="80"/>
      <c r="CB149" s="80"/>
      <c r="CC149" s="80"/>
      <c r="CD149" s="80"/>
      <c r="CE149" s="80"/>
      <c r="CF149" s="80"/>
      <c r="CG149" s="80"/>
      <c r="CH149" s="80"/>
      <c r="CI149" s="80"/>
      <c r="CJ149" s="80"/>
      <c r="CK149" s="2"/>
    </row>
    <row r="150" ht="12.75" customHeight="1">
      <c r="A150" s="85">
        <f>IFERROR(__xludf.DUMMYFUNCTION("""COMPUTED_VALUE"""),147.0)</f>
        <v>147</v>
      </c>
      <c r="B150" s="85"/>
      <c r="C150" s="85"/>
      <c r="D150" s="86">
        <f>IFERROR(__xludf.DUMMYFUNCTION("""COMPUTED_VALUE"""),45322.0)</f>
        <v>45322</v>
      </c>
      <c r="E150" s="88"/>
      <c r="F150" s="85"/>
      <c r="G150" s="86"/>
      <c r="H150" s="85"/>
      <c r="I150" s="85"/>
      <c r="J150" s="85"/>
      <c r="K150" s="85"/>
      <c r="L150" s="85"/>
      <c r="M150" s="85"/>
      <c r="N150" s="85"/>
      <c r="O150" s="85"/>
      <c r="P150" s="85" t="str">
        <f>IFERROR(__xludf.DUMMYFUNCTION("""COMPUTED_VALUE"""),"53BSPA04220JBFTN")</f>
        <v>53BSPA04220JBFTN</v>
      </c>
      <c r="Q150" s="85" t="str">
        <f>IFERROR(__xludf.DUMMYFUNCTION("""COMPUTED_VALUE"""),"KUD KARYA SIMPATI")</f>
        <v>KUD KARYA SIMPATI</v>
      </c>
      <c r="R150" s="85" t="str">
        <f>IFERROR(__xludf.DUMMYFUNCTION("""COMPUTED_VALUE"""),"KUD KARYA SIMPATI")</f>
        <v>KUD KARYA SIMPATI</v>
      </c>
      <c r="S150" s="85" t="str">
        <f>IFERROR(__xludf.DUMMYFUNCTION("""COMPUTED_VALUE"""),"DEDI HERMAWAN")</f>
        <v>DEDI HERMAWAN</v>
      </c>
      <c r="T150" s="85" t="str">
        <f>IFERROR(__xludf.DUMMYFUNCTION("""COMPUTED_VALUE"""),"JL.MUNJUL-SOREANG, MUNJUL, CILAKU, KABUPATEN CIANJUR, 43285")</f>
        <v>JL.MUNJUL-SOREANG, MUNJUL, CILAKU, KABUPATEN CIANJUR, 43285</v>
      </c>
      <c r="U150" s="85" t="str">
        <f>IFERROR(__xludf.DUMMYFUNCTION("""COMPUTED_VALUE"""),"JL.MUNJUL-SOREANG")</f>
        <v>JL.MUNJUL-SOREANG</v>
      </c>
      <c r="V150" s="85"/>
      <c r="W150" s="85" t="str">
        <f>IFERROR(__xludf.DUMMYFUNCTION("""COMPUTED_VALUE"""),"MUNJUL")</f>
        <v>MUNJUL</v>
      </c>
      <c r="X150" s="85" t="str">
        <f>IFERROR(__xludf.DUMMYFUNCTION("""COMPUTED_VALUE"""),"CILAKU")</f>
        <v>CILAKU</v>
      </c>
      <c r="Y150" s="85" t="str">
        <f>IFERROR(__xludf.DUMMYFUNCTION("""COMPUTED_VALUE"""),"CIANJUR")</f>
        <v>CIANJUR</v>
      </c>
      <c r="Z150" s="85" t="str">
        <f>IFERROR(__xludf.DUMMYFUNCTION("""COMPUTED_VALUE"""),"JAWA BARAT")</f>
        <v>JAWA BARAT</v>
      </c>
      <c r="AA150" s="85" t="str">
        <f>IFERROR(__xludf.DUMMYFUNCTION("""COMPUTED_VALUE"""),"43285")</f>
        <v>43285</v>
      </c>
      <c r="AB150" s="85" t="str">
        <f>IFERROR(__xludf.DUMMYFUNCTION("""COMPUTED_VALUE"""),"3203011302760006")</f>
        <v>3203011302760006</v>
      </c>
      <c r="AC150" s="85" t="str">
        <f>IFERROR(__xludf.DUMMYFUNCTION("""COMPUTED_VALUE"""),"44.232.367.1-406.000")</f>
        <v>44.232.367.1-406.000</v>
      </c>
      <c r="AD150" s="85" t="str">
        <f>IFERROR(__xludf.DUMMYFUNCTION("""COMPUTED_VALUE"""),"CUM - FTN")</f>
        <v>CUM - FTN</v>
      </c>
      <c r="AE150" s="85" t="str">
        <f>IFERROR(__xludf.DUMMYFUNCTION("""COMPUTED_VALUE"""),"SUB FATHONI")</f>
        <v>SUB FATHONI</v>
      </c>
      <c r="AF150" s="85" t="str">
        <f>IFERROR(__xludf.DUMMYFUNCTION("""COMPUTED_VALUE"""),"082117090694")</f>
        <v>082117090694</v>
      </c>
      <c r="AG150" s="85"/>
      <c r="AH150" s="85" t="str">
        <f>IFERROR(__xludf.DUMMYFUNCTION("""COMPUTED_VALUE"""),"kudkaryasimpati@gmail.com")</f>
        <v>kudkaryasimpati@gmail.com</v>
      </c>
      <c r="AI150" s="85" t="str">
        <f>IFERROR(__xludf.DUMMYFUNCTION("""COMPUTED_VALUE"""),"43285S3")</f>
        <v>43285S3</v>
      </c>
      <c r="AJ150" s="85" t="str">
        <f>IFERROR(__xludf.DUMMYFUNCTION("""COMPUTED_VALUE"""),"6667ce5b4de70ccc1b017333")</f>
        <v>6667ce5b4de70ccc1b017333</v>
      </c>
      <c r="AK150" s="85" t="str">
        <f>IFERROR(__xludf.DUMMYFUNCTION("""COMPUTED_VALUE"""),"dm43285s3")</f>
        <v>dm43285s3</v>
      </c>
      <c r="AL150" s="85" t="str">
        <f>IFERROR(__xludf.DUMMYFUNCTION("""COMPUTED_VALUE"""),"#43285Pos")</f>
        <v>#43285Pos</v>
      </c>
      <c r="AM150" s="85" t="str">
        <f>IFERROR(__xludf.DUMMYFUNCTION("""COMPUTED_VALUE"""),"KANTOR REGIONAL III BANDUNG 40004")</f>
        <v>KANTOR REGIONAL III BANDUNG 40004</v>
      </c>
      <c r="AN150" s="85" t="str">
        <f>IFERROR(__xludf.DUMMYFUNCTION("""COMPUTED_VALUE"""),"KC CIANJUR 43200")</f>
        <v>KC CIANJUR 43200</v>
      </c>
      <c r="AO150" s="85" t="str">
        <f>IFERROR(__xludf.DUMMYFUNCTION("""COMPUTED_VALUE"""),"2003230097499")</f>
        <v>2003230097499</v>
      </c>
      <c r="AP150" s="85" t="str">
        <f>IFERROR(__xludf.DUMMYFUNCTION("""COMPUTED_VALUE"""),"20032300974990001")</f>
        <v>20032300974990001</v>
      </c>
      <c r="AQ150" s="93"/>
      <c r="AR150" s="85"/>
      <c r="AS150" s="85"/>
      <c r="AT150" s="85" t="str">
        <f>IFERROR(__xludf.DUMMYFUNCTION("""COMPUTED_VALUE"""),"-6.8402343")</f>
        <v>-6.8402343</v>
      </c>
      <c r="AU150" s="85" t="str">
        <f>IFERROR(__xludf.DUMMYFUNCTION("""COMPUTED_VALUE"""),"107.156891")</f>
        <v>107.156891</v>
      </c>
      <c r="AV150" s="85" t="str">
        <f>IFERROR(__xludf.DUMMYFUNCTION("""COMPUTED_VALUE"""),"√")</f>
        <v>√</v>
      </c>
      <c r="AW150" s="85" t="str">
        <f>IFERROR(__xludf.DUMMYFUNCTION("""COMPUTED_VALUE"""),"√")</f>
        <v>√</v>
      </c>
      <c r="AX150" s="85"/>
      <c r="AY150" s="85"/>
      <c r="AZ150" s="85"/>
      <c r="BA150" s="85" t="str">
        <f>IFERROR(__xludf.DUMMYFUNCTION("""COMPUTED_VALUE"""),"√")</f>
        <v>√</v>
      </c>
      <c r="BB150" s="85" t="str">
        <f>IFERROR(__xludf.DUMMYFUNCTION("""COMPUTED_VALUE"""),"√")</f>
        <v>√</v>
      </c>
      <c r="BC150" s="85" t="str">
        <f>IFERROR(__xludf.DUMMYFUNCTION("""COMPUTED_VALUE"""),"√")</f>
        <v>√</v>
      </c>
      <c r="BD150" s="85" t="str">
        <f>IFERROR(__xludf.DUMMYFUNCTION("""COMPUTED_VALUE"""),"√")</f>
        <v>√</v>
      </c>
      <c r="BE150" s="85" t="str">
        <f>IFERROR(__xludf.DUMMYFUNCTION("""COMPUTED_VALUE"""),"√")</f>
        <v>√</v>
      </c>
      <c r="BF150" s="85"/>
      <c r="BG150" s="85"/>
      <c r="BH150" s="85"/>
      <c r="BI150" s="85"/>
      <c r="BJ150" s="85"/>
      <c r="BK150" s="85"/>
      <c r="BL150" s="85"/>
      <c r="BM150" s="85"/>
      <c r="BN150" s="85"/>
      <c r="BO150" s="85"/>
      <c r="BP150" s="85"/>
      <c r="BQ150" s="85"/>
      <c r="BR150" s="85"/>
      <c r="BS150" s="85"/>
      <c r="BT150" s="85"/>
      <c r="BU150" s="85"/>
      <c r="BV150" s="85"/>
      <c r="BW150" s="85"/>
      <c r="BX150" s="85"/>
      <c r="BY150" s="85"/>
      <c r="BZ150" s="85"/>
      <c r="CA150" s="85"/>
      <c r="CB150" s="85"/>
      <c r="CC150" s="85"/>
      <c r="CD150" s="85"/>
      <c r="CE150" s="85"/>
      <c r="CF150" s="85"/>
      <c r="CG150" s="85"/>
      <c r="CH150" s="85"/>
      <c r="CI150" s="85"/>
      <c r="CJ150" s="85"/>
      <c r="CK150" s="2"/>
    </row>
    <row r="151" ht="12.75" customHeight="1">
      <c r="A151" s="80">
        <f>IFERROR(__xludf.DUMMYFUNCTION("""COMPUTED_VALUE"""),148.0)</f>
        <v>148</v>
      </c>
      <c r="B151" s="80"/>
      <c r="C151" s="80"/>
      <c r="D151" s="81"/>
      <c r="E151" s="82"/>
      <c r="F151" s="80"/>
      <c r="G151" s="81"/>
      <c r="H151" s="80"/>
      <c r="I151" s="80"/>
      <c r="J151" s="80"/>
      <c r="K151" s="80"/>
      <c r="L151" s="80"/>
      <c r="M151" s="80" t="str">
        <f>IFERROR(__xludf.DUMMYFUNCTION("""COMPUTED_VALUE"""),"√")</f>
        <v>√</v>
      </c>
      <c r="N151" s="80"/>
      <c r="O151" s="80"/>
      <c r="P151" s="80" t="str">
        <f>IFERROR(__xludf.DUMMYFUNCTION("""COMPUTED_VALUE"""),"53BSPA04221JBEEN")</f>
        <v>53BSPA04221JBEEN</v>
      </c>
      <c r="Q151" s="80" t="str">
        <f>IFERROR(__xludf.DUMMYFUNCTION("""COMPUTED_VALUE"""),"DWI PERTENGAHAN")</f>
        <v>DWI PERTENGAHAN</v>
      </c>
      <c r="R151" s="80" t="str">
        <f>IFERROR(__xludf.DUMMYFUNCTION("""COMPUTED_VALUE"""),"DWI PERTENGAHAN")</f>
        <v>DWI PERTENGAHAN</v>
      </c>
      <c r="S151" s="80" t="str">
        <f>IFERROR(__xludf.DUMMYFUNCTION("""COMPUTED_VALUE"""),"DWI KRISTININGRUM")</f>
        <v>DWI KRISTININGRUM</v>
      </c>
      <c r="T151" s="80" t="str">
        <f>IFERROR(__xludf.DUMMYFUNCTION("""COMPUTED_VALUE"""),"JL. PERTENGAHAN NO.20 RT.003/003 KEL.CIJANTUNG, KEC.PASAR REBO, KOTA JAKARTA TIMUR, 13770")</f>
        <v>JL. PERTENGAHAN NO.20 RT.003/003 KEL.CIJANTUNG, KEC.PASAR REBO, KOTA JAKARTA TIMUR, 13770</v>
      </c>
      <c r="U151" s="80" t="str">
        <f>IFERROR(__xludf.DUMMYFUNCTION("""COMPUTED_VALUE"""),"JL. PERTENGAHAN")</f>
        <v>JL. PERTENGAHAN</v>
      </c>
      <c r="V151" s="80" t="str">
        <f>IFERROR(__xludf.DUMMYFUNCTION("""COMPUTED_VALUE"""),"003/003")</f>
        <v>003/003</v>
      </c>
      <c r="W151" s="80" t="str">
        <f>IFERROR(__xludf.DUMMYFUNCTION("""COMPUTED_VALUE"""),"CIJANTUNG")</f>
        <v>CIJANTUNG</v>
      </c>
      <c r="X151" s="80" t="str">
        <f>IFERROR(__xludf.DUMMYFUNCTION("""COMPUTED_VALUE"""),"PASAR REBO")</f>
        <v>PASAR REBO</v>
      </c>
      <c r="Y151" s="80" t="str">
        <f>IFERROR(__xludf.DUMMYFUNCTION("""COMPUTED_VALUE"""),"JAKARTA TIMUR")</f>
        <v>JAKARTA TIMUR</v>
      </c>
      <c r="Z151" s="80" t="str">
        <f>IFERROR(__xludf.DUMMYFUNCTION("""COMPUTED_VALUE"""),"DKI JAKARTA")</f>
        <v>DKI JAKARTA</v>
      </c>
      <c r="AA151" s="80" t="str">
        <f>IFERROR(__xludf.DUMMYFUNCTION("""COMPUTED_VALUE"""),"13770")</f>
        <v>13770</v>
      </c>
      <c r="AB151" s="80" t="str">
        <f>IFERROR(__xludf.DUMMYFUNCTION("""COMPUTED_VALUE"""),"3175016110890004")</f>
        <v>3175016110890004</v>
      </c>
      <c r="AC151" s="80" t="str">
        <f>IFERROR(__xludf.DUMMYFUNCTION("""COMPUTED_VALUE"""),"07.544.217.8-001.000")</f>
        <v>07.544.217.8-001.000</v>
      </c>
      <c r="AD151" s="80" t="str">
        <f>IFERROR(__xludf.DUMMYFUNCTION("""COMPUTED_VALUE"""),"CUM - EEN")</f>
        <v>CUM - EEN</v>
      </c>
      <c r="AE151" s="80" t="str">
        <f>IFERROR(__xludf.DUMMYFUNCTION("""COMPUTED_VALUE"""),"SUB EEN")</f>
        <v>SUB EEN</v>
      </c>
      <c r="AF151" s="80" t="str">
        <f>IFERROR(__xludf.DUMMYFUNCTION("""COMPUTED_VALUE"""),"+6282111995666")</f>
        <v>+6282111995666</v>
      </c>
      <c r="AG151" s="80"/>
      <c r="AH151" s="80" t="str">
        <f>IFERROR(__xludf.DUMMYFUNCTION("""COMPUTED_VALUE"""),"dwikristiningrum21@gmail.com")</f>
        <v>dwikristiningrum21@gmail.com</v>
      </c>
      <c r="AI151" s="80" t="str">
        <f>IFERROR(__xludf.DUMMYFUNCTION("""COMPUTED_VALUE"""),"13770S2")</f>
        <v>13770S2</v>
      </c>
      <c r="AJ151" s="80" t="str">
        <f>IFERROR(__xludf.DUMMYFUNCTION("""COMPUTED_VALUE"""),"65b227200f7a9570f00d6343")</f>
        <v>65b227200f7a9570f00d6343</v>
      </c>
      <c r="AK151" s="80" t="str">
        <f>IFERROR(__xludf.DUMMYFUNCTION("""COMPUTED_VALUE"""),"dm13770s2")</f>
        <v>dm13770s2</v>
      </c>
      <c r="AL151" s="80" t="str">
        <f>IFERROR(__xludf.DUMMYFUNCTION("""COMPUTED_VALUE"""),"#13770Pos")</f>
        <v>#13770Pos</v>
      </c>
      <c r="AM151" s="80"/>
      <c r="AN151" s="80" t="str">
        <f>IFERROR(__xludf.DUMMYFUNCTION("""COMPUTED_VALUE"""),"KCU BEKASI 17000")</f>
        <v>KCU BEKASI 17000</v>
      </c>
      <c r="AO151" s="80" t="str">
        <f>IFERROR(__xludf.DUMMYFUNCTION("""COMPUTED_VALUE"""),"2201240080962")</f>
        <v>2201240080962</v>
      </c>
      <c r="AP151" s="80" t="str">
        <f>IFERROR(__xludf.DUMMYFUNCTION("""COMPUTED_VALUE"""),"22012400809620001")</f>
        <v>22012400809620001</v>
      </c>
      <c r="AQ151" s="83"/>
      <c r="AR151" s="80"/>
      <c r="AS151" s="80"/>
      <c r="AT151" s="80" t="str">
        <f>IFERROR(__xludf.DUMMYFUNCTION("""COMPUTED_VALUE"""),"-6.3202323")</f>
        <v>-6.3202323</v>
      </c>
      <c r="AU151" s="80" t="str">
        <f>IFERROR(__xludf.DUMMYFUNCTION("""COMPUTED_VALUE"""),"106.8555303,17")</f>
        <v>106.8555303,17</v>
      </c>
      <c r="AV151" s="80" t="str">
        <f>IFERROR(__xludf.DUMMYFUNCTION("""COMPUTED_VALUE"""),"√")</f>
        <v>√</v>
      </c>
      <c r="AW151" s="80" t="str">
        <f>IFERROR(__xludf.DUMMYFUNCTION("""COMPUTED_VALUE"""),"√")</f>
        <v>√</v>
      </c>
      <c r="AX151" s="80"/>
      <c r="AY151" s="80"/>
      <c r="AZ151" s="80"/>
      <c r="BA151" s="80" t="str">
        <f>IFERROR(__xludf.DUMMYFUNCTION("""COMPUTED_VALUE"""),"√")</f>
        <v>√</v>
      </c>
      <c r="BB151" s="80" t="str">
        <f>IFERROR(__xludf.DUMMYFUNCTION("""COMPUTED_VALUE"""),"√")</f>
        <v>√</v>
      </c>
      <c r="BC151" s="80" t="str">
        <f>IFERROR(__xludf.DUMMYFUNCTION("""COMPUTED_VALUE"""),"√")</f>
        <v>√</v>
      </c>
      <c r="BD151" s="80" t="str">
        <f>IFERROR(__xludf.DUMMYFUNCTION("""COMPUTED_VALUE"""),"√")</f>
        <v>√</v>
      </c>
      <c r="BE151" s="80" t="str">
        <f>IFERROR(__xludf.DUMMYFUNCTION("""COMPUTED_VALUE"""),"√")</f>
        <v>√</v>
      </c>
      <c r="BF151" s="80"/>
      <c r="BG151" s="80"/>
      <c r="BH151" s="80"/>
      <c r="BI151" s="80"/>
      <c r="BJ151" s="80"/>
      <c r="BK151" s="80"/>
      <c r="BL151" s="80"/>
      <c r="BM151" s="80"/>
      <c r="BN151" s="80"/>
      <c r="BO151" s="80"/>
      <c r="BP151" s="80"/>
      <c r="BQ151" s="80"/>
      <c r="BR151" s="80"/>
      <c r="BS151" s="80"/>
      <c r="BT151" s="80"/>
      <c r="BU151" s="80"/>
      <c r="BV151" s="80"/>
      <c r="BW151" s="80"/>
      <c r="BX151" s="80"/>
      <c r="BY151" s="80"/>
      <c r="BZ151" s="80"/>
      <c r="CA151" s="80"/>
      <c r="CB151" s="80"/>
      <c r="CC151" s="80"/>
      <c r="CD151" s="80"/>
      <c r="CE151" s="80"/>
      <c r="CF151" s="80"/>
      <c r="CG151" s="80"/>
      <c r="CH151" s="80"/>
      <c r="CI151" s="80"/>
      <c r="CJ151" s="80"/>
      <c r="CK151" s="2"/>
    </row>
    <row r="152" ht="14.25" customHeight="1">
      <c r="A152" s="85">
        <f>IFERROR(__xludf.DUMMYFUNCTION("""COMPUTED_VALUE"""),149.0)</f>
        <v>149</v>
      </c>
      <c r="B152" s="85"/>
      <c r="C152" s="85"/>
      <c r="D152" s="86"/>
      <c r="E152" s="88"/>
      <c r="F152" s="85"/>
      <c r="G152" s="86"/>
      <c r="H152" s="85"/>
      <c r="I152" s="85"/>
      <c r="J152" s="85"/>
      <c r="K152" s="85"/>
      <c r="L152" s="85"/>
      <c r="M152" s="85"/>
      <c r="N152" s="85"/>
      <c r="O152" s="85"/>
      <c r="P152" s="85" t="str">
        <f>IFERROR(__xludf.DUMMYFUNCTION("""COMPUTED_VALUE"""),"53BSPA04235JBKSM")</f>
        <v>53BSPA04235JBKSM</v>
      </c>
      <c r="Q152" s="101" t="str">
        <f>IFERROR(__xludf.DUMMYFUNCTION("""COMPUTED_VALUE"""),"Jewelery.Co")</f>
        <v>Jewelery.Co</v>
      </c>
      <c r="R152" s="101" t="str">
        <f>IFERROR(__xludf.DUMMYFUNCTION("""COMPUTED_VALUE"""),"Jewellery.Co")</f>
        <v>Jewellery.Co</v>
      </c>
      <c r="S152" s="85" t="str">
        <f>IFERROR(__xludf.DUMMYFUNCTION("""COMPUTED_VALUE"""),"FIRMAN HERMANSYAH")</f>
        <v>FIRMAN HERMANSYAH</v>
      </c>
      <c r="T152" s="85" t="str">
        <f>IFERROR(__xludf.DUMMYFUNCTION("""COMPUTED_VALUE"""),"KP. MANALANGU 021/008 KEL.TANJUNGSIANG, KEC. TANJUNGSIANG, KOTA SUBANG, 41284")</f>
        <v>KP. MANALANGU 021/008 KEL.TANJUNGSIANG, KEC. TANJUNGSIANG, KOTA SUBANG, 41284</v>
      </c>
      <c r="U152" s="85" t="str">
        <f>IFERROR(__xludf.DUMMYFUNCTION("""COMPUTED_VALUE"""),"JL. CIKEMBAR")</f>
        <v>JL. CIKEMBAR</v>
      </c>
      <c r="V152" s="85"/>
      <c r="W152" s="85" t="str">
        <f>IFERROR(__xludf.DUMMYFUNCTION("""COMPUTED_VALUE"""),"TANJUNGSIANG")</f>
        <v>TANJUNGSIANG</v>
      </c>
      <c r="X152" s="85" t="str">
        <f>IFERROR(__xludf.DUMMYFUNCTION("""COMPUTED_VALUE"""),"TANJUNGSIANG")</f>
        <v>TANJUNGSIANG</v>
      </c>
      <c r="Y152" s="85" t="str">
        <f>IFERROR(__xludf.DUMMYFUNCTION("""COMPUTED_VALUE"""),"SUBANG")</f>
        <v>SUBANG</v>
      </c>
      <c r="Z152" s="85" t="str">
        <f>IFERROR(__xludf.DUMMYFUNCTION("""COMPUTED_VALUE"""),"JAWA BARAT")</f>
        <v>JAWA BARAT</v>
      </c>
      <c r="AA152" s="85" t="str">
        <f>IFERROR(__xludf.DUMMYFUNCTION("""COMPUTED_VALUE"""),"41284")</f>
        <v>41284</v>
      </c>
      <c r="AB152" s="85" t="str">
        <f>IFERROR(__xludf.DUMMYFUNCTION("""COMPUTED_VALUE"""),"3213140905900001")</f>
        <v>3213140905900001</v>
      </c>
      <c r="AC152" s="85" t="str">
        <f>IFERROR(__xludf.DUMMYFUNCTION("""COMPUTED_VALUE"""),"0")</f>
        <v>0</v>
      </c>
      <c r="AD152" s="85" t="str">
        <f>IFERROR(__xludf.DUMMYFUNCTION("""COMPUTED_VALUE"""),"CUM - KSM")</f>
        <v>CUM - KSM</v>
      </c>
      <c r="AE152" s="85" t="str">
        <f>IFERROR(__xludf.DUMMYFUNCTION("""COMPUTED_VALUE"""),"SUB AHMAD KOSIM")</f>
        <v>SUB AHMAD KOSIM</v>
      </c>
      <c r="AF152" s="85" t="str">
        <f>IFERROR(__xludf.DUMMYFUNCTION("""COMPUTED_VALUE"""),"082320404441")</f>
        <v>082320404441</v>
      </c>
      <c r="AG152" s="85"/>
      <c r="AH152" s="85"/>
      <c r="AI152" s="85" t="str">
        <f>IFERROR(__xludf.DUMMYFUNCTION("""COMPUTED_VALUE"""),"41284S2")</f>
        <v>41284S2</v>
      </c>
      <c r="AJ152" s="85" t="str">
        <f>IFERROR(__xludf.DUMMYFUNCTION("""COMPUTED_VALUE"""),"65b236c9ff57e8ce25069882")</f>
        <v>65b236c9ff57e8ce25069882</v>
      </c>
      <c r="AK152" s="85" t="str">
        <f>IFERROR(__xludf.DUMMYFUNCTION("""COMPUTED_VALUE"""),"dm41284s2")</f>
        <v>dm41284s2</v>
      </c>
      <c r="AL152" s="85" t="str">
        <f>IFERROR(__xludf.DUMMYFUNCTION("""COMPUTED_VALUE"""),"#41284Pos")</f>
        <v>#41284Pos</v>
      </c>
      <c r="AM152" s="85"/>
      <c r="AN152" s="85" t="str">
        <f>IFERROR(__xludf.DUMMYFUNCTION("""COMPUTED_VALUE"""),"KC SUBANG 41200")</f>
        <v>KC SUBANG 41200</v>
      </c>
      <c r="AO152" s="85" t="str">
        <f>IFERROR(__xludf.DUMMYFUNCTION("""COMPUTED_VALUE"""),"2501240059051")</f>
        <v>2501240059051</v>
      </c>
      <c r="AP152" s="85" t="str">
        <f>IFERROR(__xludf.DUMMYFUNCTION("""COMPUTED_VALUE"""),"25012400590510001")</f>
        <v>25012400590510001</v>
      </c>
      <c r="AQ152" s="93"/>
      <c r="AR152" s="85"/>
      <c r="AS152" s="85"/>
      <c r="AT152" s="85" t="str">
        <f>IFERROR(__xludf.DUMMYFUNCTION("""COMPUTED_VALUE"""),"-6,75072")</f>
        <v>-6,75072</v>
      </c>
      <c r="AU152" s="85" t="str">
        <f>IFERROR(__xludf.DUMMYFUNCTION("""COMPUTED_VALUE"""),"107,809325")</f>
        <v>107,809325</v>
      </c>
      <c r="AV152" s="85" t="str">
        <f>IFERROR(__xludf.DUMMYFUNCTION("""COMPUTED_VALUE"""),"√")</f>
        <v>√</v>
      </c>
      <c r="AW152" s="85" t="str">
        <f>IFERROR(__xludf.DUMMYFUNCTION("""COMPUTED_VALUE"""),"√")</f>
        <v>√</v>
      </c>
      <c r="AX152" s="85"/>
      <c r="AY152" s="85"/>
      <c r="AZ152" s="85"/>
      <c r="BA152" s="85" t="str">
        <f>IFERROR(__xludf.DUMMYFUNCTION("""COMPUTED_VALUE"""),"√")</f>
        <v>√</v>
      </c>
      <c r="BB152" s="85" t="str">
        <f>IFERROR(__xludf.DUMMYFUNCTION("""COMPUTED_VALUE"""),"√")</f>
        <v>√</v>
      </c>
      <c r="BC152" s="85" t="str">
        <f>IFERROR(__xludf.DUMMYFUNCTION("""COMPUTED_VALUE"""),"√")</f>
        <v>√</v>
      </c>
      <c r="BD152" s="85" t="str">
        <f>IFERROR(__xludf.DUMMYFUNCTION("""COMPUTED_VALUE"""),"√")</f>
        <v>√</v>
      </c>
      <c r="BE152" s="85" t="str">
        <f>IFERROR(__xludf.DUMMYFUNCTION("""COMPUTED_VALUE"""),"√")</f>
        <v>√</v>
      </c>
      <c r="BF152" s="85"/>
      <c r="BG152" s="85"/>
      <c r="BH152" s="85"/>
      <c r="BI152" s="85"/>
      <c r="BJ152" s="85"/>
      <c r="BK152" s="85"/>
      <c r="BL152" s="85"/>
      <c r="BM152" s="85"/>
      <c r="BN152" s="85"/>
      <c r="BO152" s="85"/>
      <c r="BP152" s="85"/>
      <c r="BQ152" s="85"/>
      <c r="BR152" s="85"/>
      <c r="BS152" s="85"/>
      <c r="BT152" s="85"/>
      <c r="BU152" s="85"/>
      <c r="BV152" s="85"/>
      <c r="BW152" s="85"/>
      <c r="BX152" s="85"/>
      <c r="BY152" s="85"/>
      <c r="BZ152" s="85"/>
      <c r="CA152" s="85"/>
      <c r="CB152" s="85"/>
      <c r="CC152" s="85"/>
      <c r="CD152" s="85"/>
      <c r="CE152" s="85"/>
      <c r="CF152" s="85"/>
      <c r="CG152" s="85"/>
      <c r="CH152" s="85"/>
      <c r="CI152" s="85"/>
      <c r="CJ152" s="85"/>
      <c r="CK152" s="2"/>
    </row>
    <row r="153" ht="14.25" customHeight="1">
      <c r="A153" s="80">
        <f>IFERROR(__xludf.DUMMYFUNCTION("""COMPUTED_VALUE"""),150.0)</f>
        <v>150</v>
      </c>
      <c r="B153" s="80"/>
      <c r="C153" s="80"/>
      <c r="D153" s="81">
        <f>IFERROR(__xludf.DUMMYFUNCTION("""COMPUTED_VALUE"""),45320.0)</f>
        <v>45320</v>
      </c>
      <c r="E153" s="82"/>
      <c r="F153" s="80"/>
      <c r="G153" s="81"/>
      <c r="H153" s="80"/>
      <c r="I153" s="80"/>
      <c r="J153" s="80"/>
      <c r="K153" s="80"/>
      <c r="L153" s="80"/>
      <c r="M153" s="80" t="str">
        <f>IFERROR(__xludf.DUMMYFUNCTION("""COMPUTED_VALUE"""),"√")</f>
        <v>√</v>
      </c>
      <c r="N153" s="80"/>
      <c r="O153" s="80" t="str">
        <f>IFERROR(__xludf.DUMMYFUNCTION("""COMPUTED_VALUE"""),"√")</f>
        <v>√</v>
      </c>
      <c r="P153" s="80" t="str">
        <f>IFERROR(__xludf.DUMMYFUNCTION("""COMPUTED_VALUE"""),"53BSPA04226JBEEN")</f>
        <v>53BSPA04226JBEEN</v>
      </c>
      <c r="Q153" s="80" t="str">
        <f>IFERROR(__xludf.DUMMYFUNCTION("""COMPUTED_VALUE"""),"SOERYADIRA LOGISTIK")</f>
        <v>SOERYADIRA LOGISTIK</v>
      </c>
      <c r="R153" s="80" t="str">
        <f>IFERROR(__xludf.DUMMYFUNCTION("""COMPUTED_VALUE"""),"SOERYADIRA LOGISTIK")</f>
        <v>SOERYADIRA LOGISTIK</v>
      </c>
      <c r="S153" s="80" t="str">
        <f>IFERROR(__xludf.DUMMYFUNCTION("""COMPUTED_VALUE"""),"ANA FITRININGTIAS")</f>
        <v>ANA FITRININGTIAS</v>
      </c>
      <c r="T153" s="80" t="str">
        <f>IFERROR(__xludf.DUMMYFUNCTION("""COMPUTED_VALUE"""),"JL. SETU INDAH IV A.I NO.22 RT.002/003 KEL. SETU, KEC.CIPAYUNG, JAKARTA TIMUR, 13880")</f>
        <v>JL. SETU INDAH IV A.I NO.22 RT.002/003 KEL. SETU, KEC.CIPAYUNG, JAKARTA TIMUR, 13880</v>
      </c>
      <c r="U153" s="80" t="str">
        <f>IFERROR(__xludf.DUMMYFUNCTION("""COMPUTED_VALUE"""),"JL. PENDIDIKAN II NO.3 33A")</f>
        <v>JL. PENDIDIKAN II NO.3 33A</v>
      </c>
      <c r="V153" s="80" t="str">
        <f>IFERROR(__xludf.DUMMYFUNCTION("""COMPUTED_VALUE"""),"003/004")</f>
        <v>003/004</v>
      </c>
      <c r="W153" s="80" t="str">
        <f>IFERROR(__xludf.DUMMYFUNCTION("""COMPUTED_VALUE"""),"CIJANTUNG")</f>
        <v>CIJANTUNG</v>
      </c>
      <c r="X153" s="80" t="str">
        <f>IFERROR(__xludf.DUMMYFUNCTION("""COMPUTED_VALUE"""),"PASAR REBO")</f>
        <v>PASAR REBO</v>
      </c>
      <c r="Y153" s="80" t="str">
        <f>IFERROR(__xludf.DUMMYFUNCTION("""COMPUTED_VALUE"""),"JAKARTA TIMUR")</f>
        <v>JAKARTA TIMUR</v>
      </c>
      <c r="Z153" s="80" t="str">
        <f>IFERROR(__xludf.DUMMYFUNCTION("""COMPUTED_VALUE"""),"DKI JAKARTA")</f>
        <v>DKI JAKARTA</v>
      </c>
      <c r="AA153" s="80" t="str">
        <f>IFERROR(__xludf.DUMMYFUNCTION("""COMPUTED_VALUE"""),"13770")</f>
        <v>13770</v>
      </c>
      <c r="AB153" s="80" t="str">
        <f>IFERROR(__xludf.DUMMYFUNCTION("""COMPUTED_VALUE"""),"3175096407820012")</f>
        <v>3175096407820012</v>
      </c>
      <c r="AC153" s="80" t="str">
        <f>IFERROR(__xludf.DUMMYFUNCTION("""COMPUTED_VALUE"""),"45.151.275.0-009.000")</f>
        <v>45.151.275.0-009.000</v>
      </c>
      <c r="AD153" s="80" t="str">
        <f>IFERROR(__xludf.DUMMYFUNCTION("""COMPUTED_VALUE"""),"CUM - EEN")</f>
        <v>CUM - EEN</v>
      </c>
      <c r="AE153" s="80" t="str">
        <f>IFERROR(__xludf.DUMMYFUNCTION("""COMPUTED_VALUE"""),"SUB EEN")</f>
        <v>SUB EEN</v>
      </c>
      <c r="AF153" s="80" t="str">
        <f>IFERROR(__xludf.DUMMYFUNCTION("""COMPUTED_VALUE"""),"085777441304")</f>
        <v>085777441304</v>
      </c>
      <c r="AG153" s="80"/>
      <c r="AH153" s="80" t="str">
        <f>IFERROR(__xludf.DUMMYFUNCTION("""COMPUTED_VALUE"""),"anafitriningtias@gmail.com")</f>
        <v>anafitriningtias@gmail.com</v>
      </c>
      <c r="AI153" s="80" t="str">
        <f>IFERROR(__xludf.DUMMYFUNCTION("""COMPUTED_VALUE"""),"13770S3")</f>
        <v>13770S3</v>
      </c>
      <c r="AJ153" s="80" t="str">
        <f>IFERROR(__xludf.DUMMYFUNCTION("""COMPUTED_VALUE"""),"65e7eb475fd626055e0d9252")</f>
        <v>65e7eb475fd626055e0d9252</v>
      </c>
      <c r="AK153" s="80" t="str">
        <f>IFERROR(__xludf.DUMMYFUNCTION("""COMPUTED_VALUE"""),"dm13770s3")</f>
        <v>dm13770s3</v>
      </c>
      <c r="AL153" s="80" t="str">
        <f>IFERROR(__xludf.DUMMYFUNCTION("""COMPUTED_VALUE"""),"#13770Pos")</f>
        <v>#13770Pos</v>
      </c>
      <c r="AM153" s="80" t="str">
        <f>IFERROR(__xludf.DUMMYFUNCTION("""COMPUTED_VALUE"""),"KANTOR REGIONAL II JAKARTA 10004")</f>
        <v>KANTOR REGIONAL II JAKARTA 10004</v>
      </c>
      <c r="AN153" s="80" t="str">
        <f>IFERROR(__xludf.DUMMYFUNCTION("""COMPUTED_VALUE"""),"KCU JAKARTAPREMIER 13000")</f>
        <v>KCU JAKARTAPREMIER 13000</v>
      </c>
      <c r="AO153" s="80" t="str">
        <f>IFERROR(__xludf.DUMMYFUNCTION("""COMPUTED_VALUE"""),"2901240075334")</f>
        <v>2901240075334</v>
      </c>
      <c r="AP153" s="80" t="str">
        <f>IFERROR(__xludf.DUMMYFUNCTION("""COMPUTED_VALUE"""),"29012400753340001")</f>
        <v>29012400753340001</v>
      </c>
      <c r="AQ153" s="83"/>
      <c r="AR153" s="80"/>
      <c r="AS153" s="80"/>
      <c r="AT153" s="80" t="str">
        <f>IFERROR(__xludf.DUMMYFUNCTION("""COMPUTED_VALUE"""),"-6.3157612")</f>
        <v>-6.3157612</v>
      </c>
      <c r="AU153" s="80" t="str">
        <f>IFERROR(__xludf.DUMMYFUNCTION("""COMPUTED_VALUE"""),"106.8619612,17")</f>
        <v>106.8619612,17</v>
      </c>
      <c r="AV153" s="80" t="str">
        <f>IFERROR(__xludf.DUMMYFUNCTION("""COMPUTED_VALUE"""),"√")</f>
        <v>√</v>
      </c>
      <c r="AW153" s="80" t="str">
        <f>IFERROR(__xludf.DUMMYFUNCTION("""COMPUTED_VALUE"""),"√")</f>
        <v>√</v>
      </c>
      <c r="AX153" s="80"/>
      <c r="AY153" s="80"/>
      <c r="AZ153" s="80"/>
      <c r="BA153" s="80" t="str">
        <f>IFERROR(__xludf.DUMMYFUNCTION("""COMPUTED_VALUE"""),"√")</f>
        <v>√</v>
      </c>
      <c r="BB153" s="80" t="str">
        <f>IFERROR(__xludf.DUMMYFUNCTION("""COMPUTED_VALUE"""),"√")</f>
        <v>√</v>
      </c>
      <c r="BC153" s="80"/>
      <c r="BD153" s="80"/>
      <c r="BE153" s="80" t="str">
        <f>IFERROR(__xludf.DUMMYFUNCTION("""COMPUTED_VALUE"""),"√")</f>
        <v>√</v>
      </c>
      <c r="BF153" s="80" t="str">
        <f>IFERROR(__xludf.DUMMYFUNCTION("""COMPUTED_VALUE"""),"√")</f>
        <v>√</v>
      </c>
      <c r="BG153" s="80" t="str">
        <f>IFERROR(__xludf.DUMMYFUNCTION("""COMPUTED_VALUE"""),"√")</f>
        <v>√</v>
      </c>
      <c r="BH153" s="80"/>
      <c r="BI153" s="80"/>
      <c r="BJ153" s="80"/>
      <c r="BK153" s="80"/>
      <c r="BL153" s="80"/>
      <c r="BM153" s="80"/>
      <c r="BN153" s="80"/>
      <c r="BO153" s="80"/>
      <c r="BP153" s="80"/>
      <c r="BQ153" s="80"/>
      <c r="BR153" s="80"/>
      <c r="BS153" s="80"/>
      <c r="BT153" s="80"/>
      <c r="BU153" s="80"/>
      <c r="BV153" s="80"/>
      <c r="BW153" s="80"/>
      <c r="BX153" s="80"/>
      <c r="BY153" s="80"/>
      <c r="BZ153" s="80"/>
      <c r="CA153" s="80"/>
      <c r="CB153" s="80"/>
      <c r="CC153" s="80"/>
      <c r="CD153" s="80"/>
      <c r="CE153" s="80"/>
      <c r="CF153" s="80"/>
      <c r="CG153" s="80"/>
      <c r="CH153" s="80"/>
      <c r="CI153" s="80"/>
      <c r="CJ153" s="80"/>
      <c r="CK153" s="2"/>
    </row>
    <row r="154" ht="12.75" customHeight="1">
      <c r="A154" s="85">
        <f>IFERROR(__xludf.DUMMYFUNCTION("""COMPUTED_VALUE"""),151.0)</f>
        <v>151</v>
      </c>
      <c r="B154" s="85"/>
      <c r="C154" s="85"/>
      <c r="D154" s="86">
        <f>IFERROR(__xludf.DUMMYFUNCTION("""COMPUTED_VALUE"""),45338.0)</f>
        <v>45338</v>
      </c>
      <c r="E154" s="88"/>
      <c r="F154" s="85"/>
      <c r="G154" s="86"/>
      <c r="H154" s="85"/>
      <c r="I154" s="85"/>
      <c r="J154" s="85"/>
      <c r="K154" s="85"/>
      <c r="L154" s="85"/>
      <c r="M154" s="85"/>
      <c r="N154" s="85"/>
      <c r="O154" s="85"/>
      <c r="P154" s="85" t="str">
        <f>IFERROR(__xludf.DUMMYFUNCTION("""COMPUTED_VALUE"""),"53BSPA04026JBJAY")</f>
        <v>53BSPA04026JBJAY</v>
      </c>
      <c r="Q154" s="85" t="str">
        <f>IFERROR(__xludf.DUMMYFUNCTION("""COMPUTED_VALUE"""),"IDZMA SHOP")</f>
        <v>IDZMA SHOP</v>
      </c>
      <c r="R154" s="85" t="str">
        <f>IFERROR(__xludf.DUMMYFUNCTION("""COMPUTED_VALUE"""),"IDZMA SHOP")</f>
        <v>IDZMA SHOP</v>
      </c>
      <c r="S154" s="85" t="str">
        <f>IFERROR(__xludf.DUMMYFUNCTION("""COMPUTED_VALUE"""),"BAMBANG SUPRIYONO")</f>
        <v>BAMBANG SUPRIYONO</v>
      </c>
      <c r="T154" s="85" t="str">
        <f>IFERROR(__xludf.DUMMYFUNCTION("""COMPUTED_VALUE"""),"KOMP PU PENGAIRAN JL. KS TUBUN NO 55 , RT.002/RW.004, KOANG JAYA, KEC. KARAWACI, KOTA TANGERANG, BANTEN 15112")</f>
        <v>KOMP PU PENGAIRAN JL. KS TUBUN NO 55 , RT.002/RW.004, KOANG JAYA, KEC. KARAWACI, KOTA TANGERANG, BANTEN 15112</v>
      </c>
      <c r="U154" s="85" t="str">
        <f>IFERROR(__xludf.DUMMYFUNCTION("""COMPUTED_VALUE"""),"KOMP PU PENGAIRAN JL. KS TUBUN NO 55 ")</f>
        <v>KOMP PU PENGAIRAN JL. KS TUBUN NO 55 </v>
      </c>
      <c r="V154" s="85" t="str">
        <f>IFERROR(__xludf.DUMMYFUNCTION("""COMPUTED_VALUE"""),"002/004")</f>
        <v>002/004</v>
      </c>
      <c r="W154" s="85" t="str">
        <f>IFERROR(__xludf.DUMMYFUNCTION("""COMPUTED_VALUE"""),"KOANG JAYA")</f>
        <v>KOANG JAYA</v>
      </c>
      <c r="X154" s="85" t="str">
        <f>IFERROR(__xludf.DUMMYFUNCTION("""COMPUTED_VALUE"""),"KARAWACI")</f>
        <v>KARAWACI</v>
      </c>
      <c r="Y154" s="85" t="str">
        <f>IFERROR(__xludf.DUMMYFUNCTION("""COMPUTED_VALUE"""),"TANGERANG")</f>
        <v>TANGERANG</v>
      </c>
      <c r="Z154" s="85" t="str">
        <f>IFERROR(__xludf.DUMMYFUNCTION("""COMPUTED_VALUE"""),"BANTEN ")</f>
        <v>BANTEN </v>
      </c>
      <c r="AA154" s="85" t="str">
        <f>IFERROR(__xludf.DUMMYFUNCTION("""COMPUTED_VALUE"""),"15112")</f>
        <v>15112</v>
      </c>
      <c r="AB154" s="85" t="str">
        <f>IFERROR(__xludf.DUMMYFUNCTION("""COMPUTED_VALUE"""),"3172031310830006")</f>
        <v>3172031310830006</v>
      </c>
      <c r="AC154" s="85" t="str">
        <f>IFERROR(__xludf.DUMMYFUNCTION("""COMPUTED_VALUE"""),"68.727.485.2-045.000")</f>
        <v>68.727.485.2-045.000</v>
      </c>
      <c r="AD154" s="85" t="str">
        <f>IFERROR(__xludf.DUMMYFUNCTION("""COMPUTED_VALUE"""),"CUM - BSB - JABAR")</f>
        <v>CUM - BSB - JABAR</v>
      </c>
      <c r="AE154" s="85" t="str">
        <f>IFERROR(__xludf.DUMMYFUNCTION("""COMPUTED_VALUE"""),"SUB JAELANI POS")</f>
        <v>SUB JAELANI POS</v>
      </c>
      <c r="AF154" s="85" t="str">
        <f>IFERROR(__xludf.DUMMYFUNCTION("""COMPUTED_VALUE"""),"081284663756")</f>
        <v>081284663756</v>
      </c>
      <c r="AG154" s="85"/>
      <c r="AH154" s="85" t="str">
        <f>IFERROR(__xludf.DUMMYFUNCTION("""COMPUTED_VALUE"""),"suryatissnawawi@gmail.com")</f>
        <v>suryatissnawawi@gmail.com</v>
      </c>
      <c r="AI154" s="85" t="str">
        <f>IFERROR(__xludf.DUMMYFUNCTION("""COMPUTED_VALUE"""),"15112S1")</f>
        <v>15112S1</v>
      </c>
      <c r="AJ154" s="85" t="str">
        <f>IFERROR(__xludf.DUMMYFUNCTION("""COMPUTED_VALUE"""),"65d9ee6eb94a249eaf09c096")</f>
        <v>65d9ee6eb94a249eaf09c096</v>
      </c>
      <c r="AK154" s="85" t="str">
        <f>IFERROR(__xludf.DUMMYFUNCTION("""COMPUTED_VALUE"""),"dm15112s1")</f>
        <v>dm15112s1</v>
      </c>
      <c r="AL154" s="85" t="str">
        <f>IFERROR(__xludf.DUMMYFUNCTION("""COMPUTED_VALUE"""),"#15112Pos")</f>
        <v>#15112Pos</v>
      </c>
      <c r="AM154" s="85" t="str">
        <f>IFERROR(__xludf.DUMMYFUNCTION("""COMPUTED_VALUE"""),"KANTOR REGIONAL II JAKARTA 10004")</f>
        <v>KANTOR REGIONAL II JAKARTA 10004</v>
      </c>
      <c r="AN154" s="85" t="str">
        <f>IFERROR(__xludf.DUMMYFUNCTION("""COMPUTED_VALUE"""),"SPP TANGERANG 15000")</f>
        <v>SPP TANGERANG 15000</v>
      </c>
      <c r="AO154" s="85" t="str">
        <f>IFERROR(__xludf.DUMMYFUNCTION("""COMPUTED_VALUE"""),"1502240022386")</f>
        <v>1502240022386</v>
      </c>
      <c r="AP154" s="85" t="str">
        <f>IFERROR(__xludf.DUMMYFUNCTION("""COMPUTED_VALUE"""),"15022400223860001")</f>
        <v>15022400223860001</v>
      </c>
      <c r="AQ154" s="93"/>
      <c r="AR154" s="85"/>
      <c r="AS154" s="85"/>
      <c r="AT154" s="85" t="str">
        <f>IFERROR(__xludf.DUMMYFUNCTION("""COMPUTED_VALUE"""),"-6.162612")</f>
        <v>-6.162612</v>
      </c>
      <c r="AU154" s="85" t="str">
        <f>IFERROR(__xludf.DUMMYFUNCTION("""COMPUTED_VALUE"""),"106.627934")</f>
        <v>106.627934</v>
      </c>
      <c r="AV154" s="85" t="str">
        <f>IFERROR(__xludf.DUMMYFUNCTION("""COMPUTED_VALUE"""),"√")</f>
        <v>√</v>
      </c>
      <c r="AW154" s="85"/>
      <c r="AX154" s="85"/>
      <c r="AY154" s="85"/>
      <c r="AZ154" s="85"/>
      <c r="BA154" s="85" t="str">
        <f>IFERROR(__xludf.DUMMYFUNCTION("""COMPUTED_VALUE"""),"√")</f>
        <v>√</v>
      </c>
      <c r="BB154" s="85"/>
      <c r="BC154" s="85" t="str">
        <f>IFERROR(__xludf.DUMMYFUNCTION("""COMPUTED_VALUE"""),"√")</f>
        <v>√</v>
      </c>
      <c r="BD154" s="85" t="str">
        <f>IFERROR(__xludf.DUMMYFUNCTION("""COMPUTED_VALUE"""),"√")</f>
        <v>√</v>
      </c>
      <c r="BE154" s="85" t="str">
        <f>IFERROR(__xludf.DUMMYFUNCTION("""COMPUTED_VALUE"""),"√")</f>
        <v>√</v>
      </c>
      <c r="BF154" s="85"/>
      <c r="BG154" s="85"/>
      <c r="BH154" s="85"/>
      <c r="BI154" s="85"/>
      <c r="BJ154" s="85"/>
      <c r="BK154" s="85"/>
      <c r="BL154" s="85"/>
      <c r="BM154" s="85"/>
      <c r="BN154" s="85"/>
      <c r="BO154" s="85"/>
      <c r="BP154" s="85"/>
      <c r="BQ154" s="85"/>
      <c r="BR154" s="85"/>
      <c r="BS154" s="85"/>
      <c r="BT154" s="85"/>
      <c r="BU154" s="85"/>
      <c r="BV154" s="85"/>
      <c r="BW154" s="85"/>
      <c r="BX154" s="85"/>
      <c r="BY154" s="85"/>
      <c r="BZ154" s="85"/>
      <c r="CA154" s="85"/>
      <c r="CB154" s="85"/>
      <c r="CC154" s="85"/>
      <c r="CD154" s="85"/>
      <c r="CE154" s="85"/>
      <c r="CF154" s="85"/>
      <c r="CG154" s="85"/>
      <c r="CH154" s="85"/>
      <c r="CI154" s="85"/>
      <c r="CJ154" s="85"/>
      <c r="CK154" s="2"/>
    </row>
    <row r="155" ht="12.75" customHeight="1">
      <c r="A155" s="80">
        <f>IFERROR(__xludf.DUMMYFUNCTION("""COMPUTED_VALUE"""),152.0)</f>
        <v>152</v>
      </c>
      <c r="B155" s="80"/>
      <c r="C155" s="80"/>
      <c r="D155" s="81">
        <f>IFERROR(__xludf.DUMMYFUNCTION("""COMPUTED_VALUE"""),45344.0)</f>
        <v>45344</v>
      </c>
      <c r="E155" s="82"/>
      <c r="F155" s="80"/>
      <c r="G155" s="81"/>
      <c r="H155" s="80"/>
      <c r="I155" s="80"/>
      <c r="J155" s="80"/>
      <c r="K155" s="80"/>
      <c r="L155" s="80"/>
      <c r="M155" s="80"/>
      <c r="N155" s="80"/>
      <c r="O155" s="80"/>
      <c r="P155" s="80" t="str">
        <f>IFERROR(__xludf.DUMMYFUNCTION("""COMPUTED_VALUE"""),"53BSPA04236JBKSM")</f>
        <v>53BSPA04236JBKSM</v>
      </c>
      <c r="Q155" s="80" t="str">
        <f>IFERROR(__xludf.DUMMYFUNCTION("""COMPUTED_VALUE"""),"BONGAS")</f>
        <v>BONGAS</v>
      </c>
      <c r="R155" s="80" t="str">
        <f>IFERROR(__xludf.DUMMYFUNCTION("""COMPUTED_VALUE"""),"MUC BONGAS")</f>
        <v>MUC BONGAS</v>
      </c>
      <c r="S155" s="80" t="str">
        <f>IFERROR(__xludf.DUMMYFUNCTION("""COMPUTED_VALUE"""),"YANA MULYANA")</f>
        <v>YANA MULYANA</v>
      </c>
      <c r="T155" s="80" t="str">
        <f>IFERROR(__xludf.DUMMYFUNCTION("""COMPUTED_VALUE"""),"DUSUN BABAKAN KEPUH RT. 11 RW. 02 BONGAS, PAMANUKAN, KAB. SUBANG ")</f>
        <v>DUSUN BABAKAN KEPUH RT. 11 RW. 02 BONGAS, PAMANUKAN, KAB. SUBANG </v>
      </c>
      <c r="U155" s="80" t="str">
        <f>IFERROR(__xludf.DUMMYFUNCTION("""COMPUTED_VALUE"""),"DUSUN BABAKAN KEPUH ")</f>
        <v>DUSUN BABAKAN KEPUH </v>
      </c>
      <c r="V155" s="80" t="str">
        <f>IFERROR(__xludf.DUMMYFUNCTION("""COMPUTED_VALUE"""),"11/02")</f>
        <v>11/02</v>
      </c>
      <c r="W155" s="80" t="str">
        <f>IFERROR(__xludf.DUMMYFUNCTION("""COMPUTED_VALUE"""),"BONGAS")</f>
        <v>BONGAS</v>
      </c>
      <c r="X155" s="80" t="str">
        <f>IFERROR(__xludf.DUMMYFUNCTION("""COMPUTED_VALUE"""),"PAMANUKAN")</f>
        <v>PAMANUKAN</v>
      </c>
      <c r="Y155" s="80" t="str">
        <f>IFERROR(__xludf.DUMMYFUNCTION("""COMPUTED_VALUE"""),"SUBANG")</f>
        <v>SUBANG</v>
      </c>
      <c r="Z155" s="80" t="str">
        <f>IFERROR(__xludf.DUMMYFUNCTION("""COMPUTED_VALUE"""),"JAWA BARAT")</f>
        <v>JAWA BARAT</v>
      </c>
      <c r="AA155" s="80" t="str">
        <f>IFERROR(__xludf.DUMMYFUNCTION("""COMPUTED_VALUE"""),"41254")</f>
        <v>41254</v>
      </c>
      <c r="AB155" s="80" t="str">
        <f>IFERROR(__xludf.DUMMYFUNCTION("""COMPUTED_VALUE"""),"3213111412870002")</f>
        <v>3213111412870002</v>
      </c>
      <c r="AC155" s="80" t="str">
        <f>IFERROR(__xludf.DUMMYFUNCTION("""COMPUTED_VALUE"""),"36.193.094.4-439.000")</f>
        <v>36.193.094.4-439.000</v>
      </c>
      <c r="AD155" s="80" t="str">
        <f>IFERROR(__xludf.DUMMYFUNCTION("""COMPUTED_VALUE"""),"CUM - KSM")</f>
        <v>CUM - KSM</v>
      </c>
      <c r="AE155" s="80" t="str">
        <f>IFERROR(__xludf.DUMMYFUNCTION("""COMPUTED_VALUE"""),"SUB AHMAD KOSIM")</f>
        <v>SUB AHMAD KOSIM</v>
      </c>
      <c r="AF155" s="80" t="str">
        <f>IFERROR(__xludf.DUMMYFUNCTION("""COMPUTED_VALUE"""),"085351851635")</f>
        <v>085351851635</v>
      </c>
      <c r="AG155" s="80"/>
      <c r="AH155" s="80" t="str">
        <f>IFERROR(__xludf.DUMMYFUNCTION("""COMPUTED_VALUE"""),"yanamulyana.nkri@gmail.com")</f>
        <v>yanamulyana.nkri@gmail.com</v>
      </c>
      <c r="AI155" s="80" t="str">
        <f>IFERROR(__xludf.DUMMYFUNCTION("""COMPUTED_VALUE"""),"41254S4")</f>
        <v>41254S4</v>
      </c>
      <c r="AJ155" s="80" t="str">
        <f>IFERROR(__xludf.DUMMYFUNCTION("""COMPUTED_VALUE"""),"664c3573c50a2c40720815f6")</f>
        <v>664c3573c50a2c40720815f6</v>
      </c>
      <c r="AK155" s="80" t="str">
        <f>IFERROR(__xludf.DUMMYFUNCTION("""COMPUTED_VALUE"""),"dm41254s4")</f>
        <v>dm41254s4</v>
      </c>
      <c r="AL155" s="80" t="str">
        <f>IFERROR(__xludf.DUMMYFUNCTION("""COMPUTED_VALUE"""),"#41254Pos")</f>
        <v>#41254Pos</v>
      </c>
      <c r="AM155" s="80" t="str">
        <f>IFERROR(__xludf.DUMMYFUNCTION("""COMPUTED_VALUE"""),"KANTOR REGIONAL III BANDUNG 40004")</f>
        <v>KANTOR REGIONAL III BANDUNG 40004</v>
      </c>
      <c r="AN155" s="80" t="str">
        <f>IFERROR(__xludf.DUMMYFUNCTION("""COMPUTED_VALUE"""),"KC SUBANG 41200")</f>
        <v>KC SUBANG 41200</v>
      </c>
      <c r="AO155" s="80" t="str">
        <f>IFERROR(__xludf.DUMMYFUNCTION("""COMPUTED_VALUE"""),"1207230018901")</f>
        <v>1207230018901</v>
      </c>
      <c r="AP155" s="80" t="str">
        <f>IFERROR(__xludf.DUMMYFUNCTION("""COMPUTED_VALUE"""),"12072300189010001")</f>
        <v>12072300189010001</v>
      </c>
      <c r="AQ155" s="83"/>
      <c r="AR155" s="80"/>
      <c r="AS155" s="80"/>
      <c r="AT155" s="80" t="str">
        <f>IFERROR(__xludf.DUMMYFUNCTION("""COMPUTED_VALUE"""),"-6.312726")</f>
        <v>-6.312726</v>
      </c>
      <c r="AU155" s="80" t="str">
        <f>IFERROR(__xludf.DUMMYFUNCTION("""COMPUTED_VALUE"""),"107833647")</f>
        <v>107833647</v>
      </c>
      <c r="AV155" s="80" t="str">
        <f>IFERROR(__xludf.DUMMYFUNCTION("""COMPUTED_VALUE"""),"√")</f>
        <v>√</v>
      </c>
      <c r="AW155" s="80"/>
      <c r="AX155" s="80"/>
      <c r="AY155" s="80"/>
      <c r="AZ155" s="80"/>
      <c r="BA155" s="80"/>
      <c r="BB155" s="80"/>
      <c r="BC155" s="80"/>
      <c r="BD155" s="80"/>
      <c r="BE155" s="80"/>
      <c r="BF155" s="80"/>
      <c r="BG155" s="80"/>
      <c r="BH155" s="80"/>
      <c r="BI155" s="80"/>
      <c r="BJ155" s="80"/>
      <c r="BK155" s="80"/>
      <c r="BL155" s="80"/>
      <c r="BM155" s="80"/>
      <c r="BN155" s="80"/>
      <c r="BO155" s="80"/>
      <c r="BP155" s="80"/>
      <c r="BQ155" s="80"/>
      <c r="BR155" s="80"/>
      <c r="BS155" s="80"/>
      <c r="BT155" s="80"/>
      <c r="BU155" s="80"/>
      <c r="BV155" s="80"/>
      <c r="BW155" s="80"/>
      <c r="BX155" s="80"/>
      <c r="BY155" s="80"/>
      <c r="BZ155" s="80"/>
      <c r="CA155" s="80"/>
      <c r="CB155" s="80"/>
      <c r="CC155" s="80"/>
      <c r="CD155" s="80"/>
      <c r="CE155" s="80"/>
      <c r="CF155" s="80"/>
      <c r="CG155" s="80"/>
      <c r="CH155" s="80"/>
      <c r="CI155" s="80"/>
      <c r="CJ155" s="80"/>
      <c r="CK155" s="2"/>
    </row>
    <row r="156" ht="12.75" customHeight="1">
      <c r="A156" s="85">
        <f>IFERROR(__xludf.DUMMYFUNCTION("""COMPUTED_VALUE"""),153.0)</f>
        <v>153</v>
      </c>
      <c r="B156" s="85"/>
      <c r="C156" s="85"/>
      <c r="D156" s="86">
        <f>IFERROR(__xludf.DUMMYFUNCTION("""COMPUTED_VALUE"""),45345.0)</f>
        <v>45345</v>
      </c>
      <c r="E156" s="88"/>
      <c r="F156" s="85"/>
      <c r="G156" s="86"/>
      <c r="H156" s="85"/>
      <c r="I156" s="85"/>
      <c r="J156" s="85"/>
      <c r="K156" s="85"/>
      <c r="L156" s="85"/>
      <c r="M156" s="85"/>
      <c r="N156" s="85"/>
      <c r="O156" s="85"/>
      <c r="P156" s="85" t="str">
        <f>IFERROR(__xludf.DUMMYFUNCTION("""COMPUTED_VALUE"""),"53BSPA04138JBTSA")</f>
        <v>53BSPA04138JBTSA</v>
      </c>
      <c r="Q156" s="85" t="str">
        <f>IFERROR(__xludf.DUMMYFUNCTION("""COMPUTED_VALUE"""),"KANTOR POS GARUDA EXPRESS")</f>
        <v>KANTOR POS GARUDA EXPRESS</v>
      </c>
      <c r="R156" s="85" t="str">
        <f>IFERROR(__xludf.DUMMYFUNCTION("""COMPUTED_VALUE"""),"KANTOR POS GARUDA EXPRESS")</f>
        <v>KANTOR POS GARUDA EXPRESS</v>
      </c>
      <c r="S156" s="85" t="str">
        <f>IFERROR(__xludf.DUMMYFUNCTION("""COMPUTED_VALUE"""),"ASEP SAEPUL KHOLIK")</f>
        <v>ASEP SAEPUL KHOLIK</v>
      </c>
      <c r="T156" s="85" t="str">
        <f>IFERROR(__xludf.DUMMYFUNCTION("""COMPUTED_VALUE"""),"KP PALNUNJUK RT 001 RW 001 SIRNASARI, SAMARANG, KAB GARUT ")</f>
        <v>KP PALNUNJUK RT 001 RW 001 SIRNASARI, SAMARANG, KAB GARUT </v>
      </c>
      <c r="U156" s="85" t="str">
        <f>IFERROR(__xludf.DUMMYFUNCTION("""COMPUTED_VALUE"""),"JL. RAYA SIMPANG - SAMARANG NO.22")</f>
        <v>JL. RAYA SIMPANG - SAMARANG NO.22</v>
      </c>
      <c r="V156" s="85"/>
      <c r="W156" s="85" t="str">
        <f>IFERROR(__xludf.DUMMYFUNCTION("""COMPUTED_VALUE"""),"SIMPANGSARI")</f>
        <v>SIMPANGSARI</v>
      </c>
      <c r="X156" s="85" t="str">
        <f>IFERROR(__xludf.DUMMYFUNCTION("""COMPUTED_VALUE"""),"CISURUPAN")</f>
        <v>CISURUPAN</v>
      </c>
      <c r="Y156" s="85" t="str">
        <f>IFERROR(__xludf.DUMMYFUNCTION("""COMPUTED_VALUE"""),"GARUT")</f>
        <v>GARUT</v>
      </c>
      <c r="Z156" s="85" t="str">
        <f>IFERROR(__xludf.DUMMYFUNCTION("""COMPUTED_VALUE"""),"JAWA BARAT")</f>
        <v>JAWA BARAT</v>
      </c>
      <c r="AA156" s="85" t="str">
        <f>IFERROR(__xludf.DUMMYFUNCTION("""COMPUTED_VALUE"""),"44161")</f>
        <v>44161</v>
      </c>
      <c r="AB156" s="85" t="str">
        <f>IFERROR(__xludf.DUMMYFUNCTION("""COMPUTED_VALUE"""),"3205072707910004")</f>
        <v>3205072707910004</v>
      </c>
      <c r="AC156" s="85" t="str">
        <f>IFERROR(__xludf.DUMMYFUNCTION("""COMPUTED_VALUE"""),"95.268.952.9-443.000")</f>
        <v>95.268.952.9-443.000</v>
      </c>
      <c r="AD156" s="85" t="str">
        <f>IFERROR(__xludf.DUMMYFUNCTION("""COMPUTED_VALUE"""),"CUM - TSR")</f>
        <v>CUM - TSR</v>
      </c>
      <c r="AE156" s="85" t="str">
        <f>IFERROR(__xludf.DUMMYFUNCTION("""COMPUTED_VALUE"""),"SUB TATANG POS")</f>
        <v>SUB TATANG POS</v>
      </c>
      <c r="AF156" s="85" t="str">
        <f>IFERROR(__xludf.DUMMYFUNCTION("""COMPUTED_VALUE"""),"085794075336")</f>
        <v>085794075336</v>
      </c>
      <c r="AG156" s="85"/>
      <c r="AH156" s="85" t="str">
        <f>IFERROR(__xludf.DUMMYFUNCTION("""COMPUTED_VALUE"""),"asepsaepulkholik25@gmail.com")</f>
        <v>asepsaepulkholik25@gmail.com</v>
      </c>
      <c r="AI156" s="85" t="str">
        <f>IFERROR(__xludf.DUMMYFUNCTION("""COMPUTED_VALUE"""),"44163S6")</f>
        <v>44163S6</v>
      </c>
      <c r="AJ156" s="85" t="str">
        <f>IFERROR(__xludf.DUMMYFUNCTION("""COMPUTED_VALUE"""),"66504d1051e9d8df260dceea")</f>
        <v>66504d1051e9d8df260dceea</v>
      </c>
      <c r="AK156" s="85" t="str">
        <f>IFERROR(__xludf.DUMMYFUNCTION("""COMPUTED_VALUE"""),"dm44163s6")</f>
        <v>dm44163s6</v>
      </c>
      <c r="AL156" s="85" t="str">
        <f>IFERROR(__xludf.DUMMYFUNCTION("""COMPUTED_VALUE"""),"#44163Pos")</f>
        <v>#44163Pos</v>
      </c>
      <c r="AM156" s="85" t="str">
        <f>IFERROR(__xludf.DUMMYFUNCTION("""COMPUTED_VALUE"""),"KANTOR REGIONAL III BANDUNG 40004")</f>
        <v>KANTOR REGIONAL III BANDUNG 40004</v>
      </c>
      <c r="AN156" s="85" t="str">
        <f>IFERROR(__xludf.DUMMYFUNCTION("""COMPUTED_VALUE"""),"KC GARUT 44100")</f>
        <v>KC GARUT 44100</v>
      </c>
      <c r="AO156" s="85" t="str">
        <f>IFERROR(__xludf.DUMMYFUNCTION("""COMPUTED_VALUE"""),"1010230181157")</f>
        <v>1010230181157</v>
      </c>
      <c r="AP156" s="85" t="str">
        <f>IFERROR(__xludf.DUMMYFUNCTION("""COMPUTED_VALUE"""),"10102301811570001")</f>
        <v>10102301811570001</v>
      </c>
      <c r="AQ156" s="93"/>
      <c r="AR156" s="85"/>
      <c r="AS156" s="85"/>
      <c r="AT156" s="85" t="str">
        <f>IFERROR(__xludf.DUMMYFUNCTION("""COMPUTED_VALUE"""),"-7.15523")</f>
        <v>-7.15523</v>
      </c>
      <c r="AU156" s="85" t="str">
        <f>IFERROR(__xludf.DUMMYFUNCTION("""COMPUTED_VALUE"""),"107.95092")</f>
        <v>107.95092</v>
      </c>
      <c r="AV156" s="85" t="str">
        <f>IFERROR(__xludf.DUMMYFUNCTION("""COMPUTED_VALUE"""),"√")</f>
        <v>√</v>
      </c>
      <c r="AW156" s="85"/>
      <c r="AX156" s="85"/>
      <c r="AY156" s="85"/>
      <c r="AZ156" s="85"/>
      <c r="BA156" s="85"/>
      <c r="BB156" s="85"/>
      <c r="BC156" s="85"/>
      <c r="BD156" s="85"/>
      <c r="BE156" s="85"/>
      <c r="BF156" s="85"/>
      <c r="BG156" s="85"/>
      <c r="BH156" s="85"/>
      <c r="BI156" s="85"/>
      <c r="BJ156" s="85"/>
      <c r="BK156" s="85"/>
      <c r="BL156" s="85"/>
      <c r="BM156" s="85"/>
      <c r="BN156" s="85"/>
      <c r="BO156" s="85"/>
      <c r="BP156" s="85"/>
      <c r="BQ156" s="85"/>
      <c r="BR156" s="85"/>
      <c r="BS156" s="85"/>
      <c r="BT156" s="85"/>
      <c r="BU156" s="85"/>
      <c r="BV156" s="85"/>
      <c r="BW156" s="85"/>
      <c r="BX156" s="85"/>
      <c r="BY156" s="85"/>
      <c r="BZ156" s="85"/>
      <c r="CA156" s="85"/>
      <c r="CB156" s="85"/>
      <c r="CC156" s="85"/>
      <c r="CD156" s="85"/>
      <c r="CE156" s="85"/>
      <c r="CF156" s="85"/>
      <c r="CG156" s="85"/>
      <c r="CH156" s="85"/>
      <c r="CI156" s="85"/>
      <c r="CJ156" s="85"/>
      <c r="CK156" s="2"/>
    </row>
    <row r="157" ht="12.75" customHeight="1">
      <c r="A157" s="80">
        <f>IFERROR(__xludf.DUMMYFUNCTION("""COMPUTED_VALUE"""),154.0)</f>
        <v>154</v>
      </c>
      <c r="B157" s="80"/>
      <c r="C157" s="80"/>
      <c r="D157" s="81">
        <f>IFERROR(__xludf.DUMMYFUNCTION("""COMPUTED_VALUE"""),45343.0)</f>
        <v>45343</v>
      </c>
      <c r="E157" s="82"/>
      <c r="F157" s="80"/>
      <c r="G157" s="81"/>
      <c r="H157" s="80"/>
      <c r="I157" s="80"/>
      <c r="J157" s="80"/>
      <c r="K157" s="80"/>
      <c r="L157" s="80"/>
      <c r="M157" s="80"/>
      <c r="N157" s="80"/>
      <c r="O157" s="80"/>
      <c r="P157" s="80" t="str">
        <f>IFERROR(__xludf.DUMMYFUNCTION("""COMPUTED_VALUE"""),"MLO5500001CUMBDI")</f>
        <v>MLO5500001CUMBDI</v>
      </c>
      <c r="Q157" s="80" t="str">
        <f>IFERROR(__xludf.DUMMYFUNCTION("""COMPUTED_VALUE"""),"BINTANG TERANG")</f>
        <v>BINTANG TERANG</v>
      </c>
      <c r="R157" s="80" t="str">
        <f>IFERROR(__xludf.DUMMYFUNCTION("""COMPUTED_VALUE"""),"BINTANG TERANG")</f>
        <v>BINTANG TERANG</v>
      </c>
      <c r="S157" s="80" t="str">
        <f>IFERROR(__xludf.DUMMYFUNCTION("""COMPUTED_VALUE"""),"OCIM")</f>
        <v>OCIM</v>
      </c>
      <c r="T157" s="80" t="str">
        <f>IFERROR(__xludf.DUMMYFUNCTION("""COMPUTED_VALUE"""),"JL RAYA SUKAKERTA NO. 444, KEL.SUKAKERTA, KEC.PANUMBANGAN, KAB CIAMIS, 46263")</f>
        <v>JL RAYA SUKAKERTA NO. 444, KEL.SUKAKERTA, KEC.PANUMBANGAN, KAB CIAMIS, 46263</v>
      </c>
      <c r="U157" s="80" t="str">
        <f>IFERROR(__xludf.DUMMYFUNCTION("""COMPUTED_VALUE"""),"JL RAYA SUKAKERTA NO. 444")</f>
        <v>JL RAYA SUKAKERTA NO. 444</v>
      </c>
      <c r="V157" s="80"/>
      <c r="W157" s="80" t="str">
        <f>IFERROR(__xludf.DUMMYFUNCTION("""COMPUTED_VALUE"""),"SUKAKERTA ")</f>
        <v>SUKAKERTA </v>
      </c>
      <c r="X157" s="80" t="str">
        <f>IFERROR(__xludf.DUMMYFUNCTION("""COMPUTED_VALUE"""),"PANUMBANGAN ")</f>
        <v>PANUMBANGAN </v>
      </c>
      <c r="Y157" s="80" t="str">
        <f>IFERROR(__xludf.DUMMYFUNCTION("""COMPUTED_VALUE"""),"CIAMIS ")</f>
        <v>CIAMIS </v>
      </c>
      <c r="Z157" s="80" t="str">
        <f>IFERROR(__xludf.DUMMYFUNCTION("""COMPUTED_VALUE"""),"JAWA BARAT")</f>
        <v>JAWA BARAT</v>
      </c>
      <c r="AA157" s="80" t="str">
        <f>IFERROR(__xludf.DUMMYFUNCTION("""COMPUTED_VALUE"""),"46263")</f>
        <v>46263</v>
      </c>
      <c r="AB157" s="80" t="str">
        <f>IFERROR(__xludf.DUMMYFUNCTION("""COMPUTED_VALUE"""),"3273012504890001")</f>
        <v>3273012504890001</v>
      </c>
      <c r="AC157" s="80" t="str">
        <f>IFERROR(__xludf.DUMMYFUNCTION("""COMPUTED_VALUE"""),"50.719.227.6-442.000")</f>
        <v>50.719.227.6-442.000</v>
      </c>
      <c r="AD157" s="80" t="str">
        <f>IFERROR(__xludf.DUMMYFUNCTION("""COMPUTED_VALUE"""),"CUM - PS - BADI")</f>
        <v>CUM - PS - BADI</v>
      </c>
      <c r="AE157" s="80" t="str">
        <f>IFERROR(__xludf.DUMMYFUNCTION("""COMPUTED_VALUE"""),"SUB BANDI POS")</f>
        <v>SUB BANDI POS</v>
      </c>
      <c r="AF157" s="80" t="str">
        <f>IFERROR(__xludf.DUMMYFUNCTION("""COMPUTED_VALUE"""),"081313858595")</f>
        <v>081313858595</v>
      </c>
      <c r="AG157" s="80"/>
      <c r="AH157" s="80" t="str">
        <f>IFERROR(__xludf.DUMMYFUNCTION("""COMPUTED_VALUE"""),"'ocim@bintangterang.or.id")</f>
        <v>'ocim@bintangterang.or.id</v>
      </c>
      <c r="AI157" s="80" t="str">
        <f>IFERROR(__xludf.DUMMYFUNCTION("""COMPUTED_VALUE"""),"46263S1")</f>
        <v>46263S1</v>
      </c>
      <c r="AJ157" s="80" t="str">
        <f>IFERROR(__xludf.DUMMYFUNCTION("""COMPUTED_VALUE"""),"663b3fa2905852da0402cf93")</f>
        <v>663b3fa2905852da0402cf93</v>
      </c>
      <c r="AK157" s="80" t="str">
        <f>IFERROR(__xludf.DUMMYFUNCTION("""COMPUTED_VALUE"""),"dm46263s1")</f>
        <v>dm46263s1</v>
      </c>
      <c r="AL157" s="80" t="str">
        <f>IFERROR(__xludf.DUMMYFUNCTION("""COMPUTED_VALUE"""),"#46263Pos")</f>
        <v>#46263Pos</v>
      </c>
      <c r="AM157" s="80" t="str">
        <f>IFERROR(__xludf.DUMMYFUNCTION("""COMPUTED_VALUE"""),"KANTOR REGIONAL III BANDUNG 40004")</f>
        <v>KANTOR REGIONAL III BANDUNG 40004</v>
      </c>
      <c r="AN157" s="80" t="str">
        <f>IFERROR(__xludf.DUMMYFUNCTION("""COMPUTED_VALUE"""),"KC CIAMIS 46200")</f>
        <v>KC CIAMIS 46200</v>
      </c>
      <c r="AO157" s="80" t="str">
        <f>IFERROR(__xludf.DUMMYFUNCTION("""COMPUTED_VALUE"""),"2310230101897")</f>
        <v>2310230101897</v>
      </c>
      <c r="AP157" s="80" t="str">
        <f>IFERROR(__xludf.DUMMYFUNCTION("""COMPUTED_VALUE"""),"23102301018970002")</f>
        <v>23102301018970002</v>
      </c>
      <c r="AQ157" s="83"/>
      <c r="AR157" s="80"/>
      <c r="AS157" s="80"/>
      <c r="AT157" s="80" t="str">
        <f>IFERROR(__xludf.DUMMYFUNCTION("""COMPUTED_VALUE"""),"-7.147991")</f>
        <v>-7.147991</v>
      </c>
      <c r="AU157" s="80" t="str">
        <f>IFERROR(__xludf.DUMMYFUNCTION("""COMPUTED_VALUE"""),"108.211735")</f>
        <v>108.211735</v>
      </c>
      <c r="AV157" s="80"/>
      <c r="AW157" s="80"/>
      <c r="AX157" s="80"/>
      <c r="AY157" s="80"/>
      <c r="AZ157" s="80"/>
      <c r="BA157" s="80"/>
      <c r="BB157" s="80"/>
      <c r="BC157" s="80"/>
      <c r="BD157" s="80"/>
      <c r="BE157" s="80"/>
      <c r="BF157" s="80"/>
      <c r="BG157" s="80"/>
      <c r="BH157" s="80"/>
      <c r="BI157" s="80"/>
      <c r="BJ157" s="80"/>
      <c r="BK157" s="80"/>
      <c r="BL157" s="80"/>
      <c r="BM157" s="80"/>
      <c r="BN157" s="80"/>
      <c r="BO157" s="80"/>
      <c r="BP157" s="80"/>
      <c r="BQ157" s="80"/>
      <c r="BR157" s="80"/>
      <c r="BS157" s="80"/>
      <c r="BT157" s="80"/>
      <c r="BU157" s="80"/>
      <c r="BV157" s="80"/>
      <c r="BW157" s="80"/>
      <c r="BX157" s="80"/>
      <c r="BY157" s="80"/>
      <c r="BZ157" s="80"/>
      <c r="CA157" s="80"/>
      <c r="CB157" s="80"/>
      <c r="CC157" s="80"/>
      <c r="CD157" s="80"/>
      <c r="CE157" s="80"/>
      <c r="CF157" s="80"/>
      <c r="CG157" s="80"/>
      <c r="CH157" s="80"/>
      <c r="CI157" s="80"/>
      <c r="CJ157" s="80"/>
      <c r="CK157" s="2"/>
    </row>
    <row r="158" ht="14.25" customHeight="1">
      <c r="A158" s="85">
        <f>IFERROR(__xludf.DUMMYFUNCTION("""COMPUTED_VALUE"""),155.0)</f>
        <v>155</v>
      </c>
      <c r="B158" s="85"/>
      <c r="C158" s="85"/>
      <c r="D158" s="86">
        <f>IFERROR(__xludf.DUMMYFUNCTION("""COMPUTED_VALUE"""),45343.0)</f>
        <v>45343</v>
      </c>
      <c r="E158" s="88"/>
      <c r="F158" s="85"/>
      <c r="G158" s="86"/>
      <c r="H158" s="85"/>
      <c r="I158" s="85"/>
      <c r="J158" s="85"/>
      <c r="K158" s="85"/>
      <c r="L158" s="85"/>
      <c r="M158" s="85"/>
      <c r="N158" s="85"/>
      <c r="O158" s="85"/>
      <c r="P158" s="85" t="str">
        <f>IFERROR(__xludf.DUMMYFUNCTION("""COMPUTED_VALUE"""),"53BSPA04317JBDEV")</f>
        <v>53BSPA04317JBDEV</v>
      </c>
      <c r="Q158" s="85" t="str">
        <f>IFERROR(__xludf.DUMMYFUNCTION("""COMPUTED_VALUE"""),"PABUARAN ")</f>
        <v>PABUARAN </v>
      </c>
      <c r="R158" s="85" t="str">
        <f>IFERROR(__xludf.DUMMYFUNCTION("""COMPUTED_VALUE"""),"PABUARAN POS")</f>
        <v>PABUARAN POS</v>
      </c>
      <c r="S158" s="85" t="str">
        <f>IFERROR(__xludf.DUMMYFUNCTION("""COMPUTED_VALUE"""),"FAJAR JAJULI")</f>
        <v>FAJAR JAJULI</v>
      </c>
      <c r="T158" s="85" t="str">
        <f>IFERROR(__xludf.DUMMYFUNCTION("""COMPUTED_VALUE"""),"KP.BOJONG GENTENG RT.006/001, PABUARAN, PABUARAN, KABUPATEN SUKABUMI")</f>
        <v>KP.BOJONG GENTENG RT.006/001, PABUARAN, PABUARAN, KABUPATEN SUKABUMI</v>
      </c>
      <c r="U158" s="85" t="str">
        <f>IFERROR(__xludf.DUMMYFUNCTION("""COMPUTED_VALUE"""),"KP. PUNCAKTUGU")</f>
        <v>KP. PUNCAKTUGU</v>
      </c>
      <c r="V158" s="85"/>
      <c r="W158" s="85" t="str">
        <f>IFERROR(__xludf.DUMMYFUNCTION("""COMPUTED_VALUE"""),"PABUARAN")</f>
        <v>PABUARAN</v>
      </c>
      <c r="X158" s="85" t="str">
        <f>IFERROR(__xludf.DUMMYFUNCTION("""COMPUTED_VALUE"""),"PABUARAN")</f>
        <v>PABUARAN</v>
      </c>
      <c r="Y158" s="85" t="str">
        <f>IFERROR(__xludf.DUMMYFUNCTION("""COMPUTED_VALUE"""),"SUKABUMI")</f>
        <v>SUKABUMI</v>
      </c>
      <c r="Z158" s="85" t="str">
        <f>IFERROR(__xludf.DUMMYFUNCTION("""COMPUTED_VALUE"""),"JAWA BARAT")</f>
        <v>JAWA BARAT</v>
      </c>
      <c r="AA158" s="85" t="str">
        <f>IFERROR(__xludf.DUMMYFUNCTION("""COMPUTED_VALUE"""),"43373")</f>
        <v>43373</v>
      </c>
      <c r="AB158" s="85" t="str">
        <f>IFERROR(__xludf.DUMMYFUNCTION("""COMPUTED_VALUE"""),"3273012504890001")</f>
        <v>3273012504890001</v>
      </c>
      <c r="AC158" s="85" t="str">
        <f>IFERROR(__xludf.DUMMYFUNCTION("""COMPUTED_VALUE"""),"93.639.205.9-405.000")</f>
        <v>93.639.205.9-405.000</v>
      </c>
      <c r="AD158" s="85" t="str">
        <f>IFERROR(__xludf.DUMMYFUNCTION("""COMPUTED_VALUE"""),"CUM - PS - DEVB")</f>
        <v>CUM - PS - DEVB</v>
      </c>
      <c r="AE158" s="85" t="str">
        <f>IFERROR(__xludf.DUMMYFUNCTION("""COMPUTED_VALUE"""),"SUB DENDHY POS")</f>
        <v>SUB DENDHY POS</v>
      </c>
      <c r="AF158" s="85" t="str">
        <f>IFERROR(__xludf.DUMMYFUNCTION("""COMPUTED_VALUE"""),"085722008454")</f>
        <v>085722008454</v>
      </c>
      <c r="AG158" s="85"/>
      <c r="AH158" s="85" t="str">
        <f>IFERROR(__xludf.DUMMYFUNCTION("""COMPUTED_VALUE"""),"fajarjajuli@gmail.com")</f>
        <v>fajarjajuli@gmail.com</v>
      </c>
      <c r="AI158" s="85" t="str">
        <f>IFERROR(__xludf.DUMMYFUNCTION("""COMPUTED_VALUE"""),"43373S1")</f>
        <v>43373S1</v>
      </c>
      <c r="AJ158" s="85" t="str">
        <f>IFERROR(__xludf.DUMMYFUNCTION("""COMPUTED_VALUE"""),"65d9f9378df456e99b0598ea")</f>
        <v>65d9f9378df456e99b0598ea</v>
      </c>
      <c r="AK158" s="85" t="str">
        <f>IFERROR(__xludf.DUMMYFUNCTION("""COMPUTED_VALUE"""),"dm43373s1")</f>
        <v>dm43373s1</v>
      </c>
      <c r="AL158" s="85" t="str">
        <f>IFERROR(__xludf.DUMMYFUNCTION("""COMPUTED_VALUE"""),"43373Pos")</f>
        <v>43373Pos</v>
      </c>
      <c r="AM158" s="85" t="str">
        <f>IFERROR(__xludf.DUMMYFUNCTION("""COMPUTED_VALUE"""),"KANTOR REGIONAL III BANDUNG 40004")</f>
        <v>KANTOR REGIONAL III BANDUNG 40004</v>
      </c>
      <c r="AN158" s="85" t="str">
        <f>IFERROR(__xludf.DUMMYFUNCTION("""COMPUTED_VALUE"""),"KC SUKABUMI 43100")</f>
        <v>KC SUKABUMI 43100</v>
      </c>
      <c r="AO158" s="85" t="str">
        <f>IFERROR(__xludf.DUMMYFUNCTION("""COMPUTED_VALUE"""),"0605230024133")</f>
        <v>0605230024133</v>
      </c>
      <c r="AP158" s="85" t="str">
        <f>IFERROR(__xludf.DUMMYFUNCTION("""COMPUTED_VALUE"""),"06052300241330001")</f>
        <v>06052300241330001</v>
      </c>
      <c r="AQ158" s="93"/>
      <c r="AR158" s="85"/>
      <c r="AS158" s="85"/>
      <c r="AT158" s="85" t="str">
        <f>IFERROR(__xludf.DUMMYFUNCTION("""COMPUTED_VALUE"""),"-7,2053809")</f>
        <v>-7,2053809</v>
      </c>
      <c r="AU158" s="85" t="str">
        <f>IFERROR(__xludf.DUMMYFUNCTION("""COMPUTED_VALUE"""),"106,8349469")</f>
        <v>106,8349469</v>
      </c>
      <c r="AV158" s="85" t="str">
        <f>IFERROR(__xludf.DUMMYFUNCTION("""COMPUTED_VALUE"""),"√")</f>
        <v>√</v>
      </c>
      <c r="AW158" s="85"/>
      <c r="AX158" s="85"/>
      <c r="AY158" s="85"/>
      <c r="AZ158" s="85"/>
      <c r="BA158" s="85"/>
      <c r="BB158" s="85"/>
      <c r="BC158" s="85"/>
      <c r="BD158" s="85"/>
      <c r="BE158" s="85"/>
      <c r="BF158" s="85"/>
      <c r="BG158" s="85"/>
      <c r="BH158" s="85"/>
      <c r="BI158" s="85"/>
      <c r="BJ158" s="85"/>
      <c r="BK158" s="85"/>
      <c r="BL158" s="85"/>
      <c r="BM158" s="85"/>
      <c r="BN158" s="85"/>
      <c r="BO158" s="85"/>
      <c r="BP158" s="85"/>
      <c r="BQ158" s="85"/>
      <c r="BR158" s="85"/>
      <c r="BS158" s="85"/>
      <c r="BT158" s="85"/>
      <c r="BU158" s="85"/>
      <c r="BV158" s="85"/>
      <c r="BW158" s="85"/>
      <c r="BX158" s="85"/>
      <c r="BY158" s="85"/>
      <c r="BZ158" s="85"/>
      <c r="CA158" s="85"/>
      <c r="CB158" s="85"/>
      <c r="CC158" s="85"/>
      <c r="CD158" s="85"/>
      <c r="CE158" s="85"/>
      <c r="CF158" s="85"/>
      <c r="CG158" s="85"/>
      <c r="CH158" s="85"/>
      <c r="CI158" s="85"/>
      <c r="CJ158" s="85"/>
      <c r="CK158" s="2"/>
    </row>
    <row r="159" ht="14.25" customHeight="1">
      <c r="A159" s="80">
        <f>IFERROR(__xludf.DUMMYFUNCTION("""COMPUTED_VALUE"""),156.0)</f>
        <v>156</v>
      </c>
      <c r="B159" s="80"/>
      <c r="C159" s="80"/>
      <c r="D159" s="81">
        <f>IFERROR(__xludf.DUMMYFUNCTION("""COMPUTED_VALUE"""),45345.0)</f>
        <v>45345</v>
      </c>
      <c r="E159" s="82"/>
      <c r="F159" s="80"/>
      <c r="G159" s="81"/>
      <c r="H159" s="80"/>
      <c r="I159" s="80"/>
      <c r="J159" s="80"/>
      <c r="K159" s="80"/>
      <c r="L159" s="80"/>
      <c r="M159" s="80"/>
      <c r="N159" s="80"/>
      <c r="O159" s="80"/>
      <c r="P159" s="80" t="str">
        <f>IFERROR(__xludf.DUMMYFUNCTION("""COMPUTED_VALUE"""),"53BSPA04082JBCUM")</f>
        <v>53BSPA04082JBCUM</v>
      </c>
      <c r="Q159" s="80" t="str">
        <f>IFERROR(__xludf.DUMMYFUNCTION("""COMPUTED_VALUE"""),"USAHA JAYA")</f>
        <v>USAHA JAYA</v>
      </c>
      <c r="R159" s="80" t="str">
        <f>IFERROR(__xludf.DUMMYFUNCTION("""COMPUTED_VALUE"""),"USAHA JAYA")</f>
        <v>USAHA JAYA</v>
      </c>
      <c r="S159" s="80" t="str">
        <f>IFERROR(__xludf.DUMMYFUNCTION("""COMPUTED_VALUE"""),"DEDE HUDAYA")</f>
        <v>DEDE HUDAYA</v>
      </c>
      <c r="T159" s="80" t="str">
        <f>IFERROR(__xludf.DUMMYFUNCTION("""COMPUTED_VALUE"""),"CIBEUTI PABRIK RT 004 RW 006")</f>
        <v>CIBEUTI PABRIK RT 004 RW 006</v>
      </c>
      <c r="U159" s="80" t="str">
        <f>IFERROR(__xludf.DUMMYFUNCTION("""COMPUTED_VALUE"""),"CIBEUTI PABRIK ")</f>
        <v>CIBEUTI PABRIK </v>
      </c>
      <c r="V159" s="80" t="str">
        <f>IFERROR(__xludf.DUMMYFUNCTION("""COMPUTED_VALUE"""),"004/006")</f>
        <v>004/006</v>
      </c>
      <c r="W159" s="80" t="str">
        <f>IFERROR(__xludf.DUMMYFUNCTION("""COMPUTED_VALUE"""),"CIBEUTI")</f>
        <v>CIBEUTI</v>
      </c>
      <c r="X159" s="80" t="str">
        <f>IFERROR(__xludf.DUMMYFUNCTION("""COMPUTED_VALUE"""),"KAWALU")</f>
        <v>KAWALU</v>
      </c>
      <c r="Y159" s="80" t="str">
        <f>IFERROR(__xludf.DUMMYFUNCTION("""COMPUTED_VALUE"""),"TASIKMALAYA")</f>
        <v>TASIKMALAYA</v>
      </c>
      <c r="Z159" s="80" t="str">
        <f>IFERROR(__xludf.DUMMYFUNCTION("""COMPUTED_VALUE"""),"JAWA BARAT")</f>
        <v>JAWA BARAT</v>
      </c>
      <c r="AA159" s="80" t="str">
        <f>IFERROR(__xludf.DUMMYFUNCTION("""COMPUTED_VALUE"""),"46143")</f>
        <v>46143</v>
      </c>
      <c r="AB159" s="80" t="str">
        <f>IFERROR(__xludf.DUMMYFUNCTION("""COMPUTED_VALUE"""),"3278081807850013")</f>
        <v>3278081807850013</v>
      </c>
      <c r="AC159" s="80" t="str">
        <f>IFERROR(__xludf.DUMMYFUNCTION("""COMPUTED_VALUE"""),"75.298.243.9-425.000")</f>
        <v>75.298.243.9-425.000</v>
      </c>
      <c r="AD159" s="80" t="str">
        <f>IFERROR(__xludf.DUMMYFUNCTION("""COMPUTED_VALUE"""),"CUM - BSB - JABAR")</f>
        <v>CUM - BSB - JABAR</v>
      </c>
      <c r="AE159" s="80" t="str">
        <f>IFERROR(__xludf.DUMMYFUNCTION("""COMPUTED_VALUE"""),"SUB CUM")</f>
        <v>SUB CUM</v>
      </c>
      <c r="AF159" s="80" t="str">
        <f>IFERROR(__xludf.DUMMYFUNCTION("""COMPUTED_VALUE"""),"089510447335")</f>
        <v>089510447335</v>
      </c>
      <c r="AG159" s="80"/>
      <c r="AH159" s="80" t="str">
        <f>IFERROR(__xludf.DUMMYFUNCTION("""COMPUTED_VALUE"""),"dedehudaya01@gmail.com")</f>
        <v>dedehudaya01@gmail.com</v>
      </c>
      <c r="AI159" s="80" t="str">
        <f>IFERROR(__xludf.DUMMYFUNCTION("""COMPUTED_VALUE"""),"46143S1")</f>
        <v>46143S1</v>
      </c>
      <c r="AJ159" s="80" t="str">
        <f>IFERROR(__xludf.DUMMYFUNCTION("""COMPUTED_VALUE"""),"6698e24cd161c11f0504dabb")</f>
        <v>6698e24cd161c11f0504dabb</v>
      </c>
      <c r="AK159" s="80" t="str">
        <f>IFERROR(__xludf.DUMMYFUNCTION("""COMPUTED_VALUE"""),"dm46143s1")</f>
        <v>dm46143s1</v>
      </c>
      <c r="AL159" s="80" t="str">
        <f>IFERROR(__xludf.DUMMYFUNCTION("""COMPUTED_VALUE"""),"#46143Pos")</f>
        <v>#46143Pos</v>
      </c>
      <c r="AM159" s="80" t="str">
        <f>IFERROR(__xludf.DUMMYFUNCTION("""COMPUTED_VALUE"""),"KANTOR REGIONAL III BANDUNG 40004")</f>
        <v>KANTOR REGIONAL III BANDUNG 40004</v>
      </c>
      <c r="AN159" s="80" t="str">
        <f>IFERROR(__xludf.DUMMYFUNCTION("""COMPUTED_VALUE"""),"KC TASIKMALAYA 46100")</f>
        <v>KC TASIKMALAYA 46100</v>
      </c>
      <c r="AO159" s="80" t="str">
        <f>IFERROR(__xludf.DUMMYFUNCTION("""COMPUTED_VALUE"""),"2202240384761")</f>
        <v>2202240384761</v>
      </c>
      <c r="AP159" s="80" t="str">
        <f>IFERROR(__xludf.DUMMYFUNCTION("""COMPUTED_VALUE"""),"22022403847610001")</f>
        <v>22022403847610001</v>
      </c>
      <c r="AQ159" s="83"/>
      <c r="AR159" s="80"/>
      <c r="AS159" s="80"/>
      <c r="AT159" s="80" t="str">
        <f>IFERROR(__xludf.DUMMYFUNCTION("""COMPUTED_VALUE"""),"-7.3456738")</f>
        <v>-7.3456738</v>
      </c>
      <c r="AU159" s="80" t="str">
        <f>IFERROR(__xludf.DUMMYFUNCTION("""COMPUTED_VALUE"""),"108.1882519")</f>
        <v>108.1882519</v>
      </c>
      <c r="AV159" s="80" t="str">
        <f>IFERROR(__xludf.DUMMYFUNCTION("""COMPUTED_VALUE"""),"√")</f>
        <v>√</v>
      </c>
      <c r="AW159" s="80"/>
      <c r="AX159" s="80"/>
      <c r="AY159" s="80"/>
      <c r="AZ159" s="80"/>
      <c r="BA159" s="80"/>
      <c r="BB159" s="80"/>
      <c r="BC159" s="80"/>
      <c r="BD159" s="80"/>
      <c r="BE159" s="80"/>
      <c r="BF159" s="80"/>
      <c r="BG159" s="80"/>
      <c r="BH159" s="80"/>
      <c r="BI159" s="80"/>
      <c r="BJ159" s="80"/>
      <c r="BK159" s="80"/>
      <c r="BL159" s="80"/>
      <c r="BM159" s="80"/>
      <c r="BN159" s="80"/>
      <c r="BO159" s="80"/>
      <c r="BP159" s="80"/>
      <c r="BQ159" s="80"/>
      <c r="BR159" s="80"/>
      <c r="BS159" s="80"/>
      <c r="BT159" s="80"/>
      <c r="BU159" s="80"/>
      <c r="BV159" s="80"/>
      <c r="BW159" s="80"/>
      <c r="BX159" s="80"/>
      <c r="BY159" s="80"/>
      <c r="BZ159" s="80"/>
      <c r="CA159" s="80"/>
      <c r="CB159" s="80"/>
      <c r="CC159" s="80"/>
      <c r="CD159" s="80"/>
      <c r="CE159" s="80"/>
      <c r="CF159" s="80"/>
      <c r="CG159" s="80"/>
      <c r="CH159" s="80"/>
      <c r="CI159" s="80"/>
      <c r="CJ159" s="80"/>
      <c r="CK159" s="2"/>
    </row>
    <row r="160" ht="14.25" customHeight="1">
      <c r="A160" s="85">
        <f>IFERROR(__xludf.DUMMYFUNCTION("""COMPUTED_VALUE"""),157.0)</f>
        <v>157</v>
      </c>
      <c r="B160" s="85"/>
      <c r="C160" s="85"/>
      <c r="D160" s="86">
        <f>IFERROR(__xludf.DUMMYFUNCTION("""COMPUTED_VALUE"""),45364.0)</f>
        <v>45364</v>
      </c>
      <c r="E160" s="88"/>
      <c r="F160" s="85"/>
      <c r="G160" s="86"/>
      <c r="H160" s="85"/>
      <c r="I160" s="85"/>
      <c r="J160" s="85"/>
      <c r="K160" s="85"/>
      <c r="L160" s="85"/>
      <c r="M160" s="85"/>
      <c r="N160" s="85"/>
      <c r="O160" s="85"/>
      <c r="P160" s="85" t="str">
        <f>IFERROR(__xludf.DUMMYFUNCTION("""COMPUTED_VALUE"""),"53BSPA04229JBEEN")</f>
        <v>53BSPA04229JBEEN</v>
      </c>
      <c r="Q160" s="85" t="str">
        <f>IFERROR(__xludf.DUMMYFUNCTION("""COMPUTED_VALUE"""),"POS GEMILANG YASIFA")</f>
        <v>POS GEMILANG YASIFA</v>
      </c>
      <c r="R160" s="85" t="str">
        <f>IFERROR(__xludf.DUMMYFUNCTION("""COMPUTED_VALUE"""),"POS GEMILANG YASIFA")</f>
        <v>POS GEMILANG YASIFA</v>
      </c>
      <c r="S160" s="85" t="str">
        <f>IFERROR(__xludf.DUMMYFUNCTION("""COMPUTED_VALUE"""),"N. SITI FATIMAH. Z")</f>
        <v>N. SITI FATIMAH. Z</v>
      </c>
      <c r="T160" s="85" t="str">
        <f>IFERROR(__xludf.DUMMYFUNCTION("""COMPUTED_VALUE"""),"KP.CITARINGGUL RT.001/RW.004, KEL. CITARINGGUL, KEC.BABAKAN MADANG, BOGOR, 16810")</f>
        <v>KP.CITARINGGUL RT.001/RW.004, KEL. CITARINGGUL, KEC.BABAKAN MADANG, BOGOR, 16810</v>
      </c>
      <c r="U160" s="85" t="str">
        <f>IFERROR(__xludf.DUMMYFUNCTION("""COMPUTED_VALUE"""),"JL. RAYA BABAKAN MADANG NO.129, ")</f>
        <v>JL. RAYA BABAKAN MADANG NO.129, </v>
      </c>
      <c r="V160" s="85"/>
      <c r="W160" s="85" t="str">
        <f>IFERROR(__xludf.DUMMYFUNCTION("""COMPUTED_VALUE"""),"CITARINGGUL")</f>
        <v>CITARINGGUL</v>
      </c>
      <c r="X160" s="85" t="str">
        <f>IFERROR(__xludf.DUMMYFUNCTION("""COMPUTED_VALUE"""),"BABAKAN MADANG")</f>
        <v>BABAKAN MADANG</v>
      </c>
      <c r="Y160" s="85" t="str">
        <f>IFERROR(__xludf.DUMMYFUNCTION("""COMPUTED_VALUE"""),"BOGOR")</f>
        <v>BOGOR</v>
      </c>
      <c r="Z160" s="85" t="str">
        <f>IFERROR(__xludf.DUMMYFUNCTION("""COMPUTED_VALUE"""),"JAWA BARAT")</f>
        <v>JAWA BARAT</v>
      </c>
      <c r="AA160" s="85" t="str">
        <f>IFERROR(__xludf.DUMMYFUNCTION("""COMPUTED_VALUE"""),"16810")</f>
        <v>16810</v>
      </c>
      <c r="AB160" s="85" t="str">
        <f>IFERROR(__xludf.DUMMYFUNCTION("""COMPUTED_VALUE"""),"3201055306730003")</f>
        <v>3201055306730003</v>
      </c>
      <c r="AC160" s="85" t="str">
        <f>IFERROR(__xludf.DUMMYFUNCTION("""COMPUTED_VALUE"""),"09.208.522.4-403.000")</f>
        <v>09.208.522.4-403.000</v>
      </c>
      <c r="AD160" s="85" t="str">
        <f>IFERROR(__xludf.DUMMYFUNCTION("""COMPUTED_VALUE"""),"CUM - EEN")</f>
        <v>CUM - EEN</v>
      </c>
      <c r="AE160" s="85" t="str">
        <f>IFERROR(__xludf.DUMMYFUNCTION("""COMPUTED_VALUE"""),"SUB EEN")</f>
        <v>SUB EEN</v>
      </c>
      <c r="AF160" s="85" t="str">
        <f>IFERROR(__xludf.DUMMYFUNCTION("""COMPUTED_VALUE"""),"085691635431")</f>
        <v>085691635431</v>
      </c>
      <c r="AG160" s="85"/>
      <c r="AH160" s="85"/>
      <c r="AI160" s="85" t="str">
        <f>IFERROR(__xludf.DUMMYFUNCTION("""COMPUTED_VALUE"""),"16862S1")</f>
        <v>16862S1</v>
      </c>
      <c r="AJ160" s="85" t="str">
        <f>IFERROR(__xludf.DUMMYFUNCTION("""COMPUTED_VALUE"""),"6654115ecffe2ad6c208283b")</f>
        <v>6654115ecffe2ad6c208283b</v>
      </c>
      <c r="AK160" s="85" t="str">
        <f>IFERROR(__xludf.DUMMYFUNCTION("""COMPUTED_VALUE"""),"dm57373s3 ")</f>
        <v>dm57373s3 </v>
      </c>
      <c r="AL160" s="85" t="str">
        <f>IFERROR(__xludf.DUMMYFUNCTION("""COMPUTED_VALUE"""),"#57373Pos")</f>
        <v>#57373Pos</v>
      </c>
      <c r="AM160" s="85" t="str">
        <f>IFERROR(__xludf.DUMMYFUNCTION("""COMPUTED_VALUE"""),"KANTOR REGIONAL II JAKARTA 10004")</f>
        <v>KANTOR REGIONAL II JAKARTA 10004</v>
      </c>
      <c r="AN160" s="85" t="str">
        <f>IFERROR(__xludf.DUMMYFUNCTION("""COMPUTED_VALUE"""),"KC CIBINONG 16900")</f>
        <v>KC CIBINONG 16900</v>
      </c>
      <c r="AO160" s="85"/>
      <c r="AP160" s="85"/>
      <c r="AQ160" s="93"/>
      <c r="AR160" s="85"/>
      <c r="AS160" s="85"/>
      <c r="AT160" s="85"/>
      <c r="AU160" s="85"/>
      <c r="AV160" s="85"/>
      <c r="AW160" s="85"/>
      <c r="AX160" s="85"/>
      <c r="AY160" s="85"/>
      <c r="AZ160" s="85"/>
      <c r="BA160" s="85"/>
      <c r="BB160" s="85"/>
      <c r="BC160" s="85"/>
      <c r="BD160" s="85"/>
      <c r="BE160" s="85"/>
      <c r="BF160" s="85"/>
      <c r="BG160" s="85"/>
      <c r="BH160" s="85"/>
      <c r="BI160" s="85"/>
      <c r="BJ160" s="85"/>
      <c r="BK160" s="85"/>
      <c r="BL160" s="85"/>
      <c r="BM160" s="85"/>
      <c r="BN160" s="85"/>
      <c r="BO160" s="85"/>
      <c r="BP160" s="85"/>
      <c r="BQ160" s="85"/>
      <c r="BR160" s="85"/>
      <c r="BS160" s="85"/>
      <c r="BT160" s="85"/>
      <c r="BU160" s="85"/>
      <c r="BV160" s="85"/>
      <c r="BW160" s="85"/>
      <c r="BX160" s="85"/>
      <c r="BY160" s="85"/>
      <c r="BZ160" s="85"/>
      <c r="CA160" s="85"/>
      <c r="CB160" s="85"/>
      <c r="CC160" s="85"/>
      <c r="CD160" s="85"/>
      <c r="CE160" s="85"/>
      <c r="CF160" s="85"/>
      <c r="CG160" s="85"/>
      <c r="CH160" s="85"/>
      <c r="CI160" s="85"/>
      <c r="CJ160" s="85"/>
      <c r="CK160" s="2"/>
    </row>
    <row r="161" ht="17.25" customHeight="1">
      <c r="A161" s="80">
        <f>IFERROR(__xludf.DUMMYFUNCTION("""COMPUTED_VALUE"""),158.0)</f>
        <v>158</v>
      </c>
      <c r="B161" s="80"/>
      <c r="C161" s="80"/>
      <c r="D161" s="81">
        <f>IFERROR(__xludf.DUMMYFUNCTION("""COMPUTED_VALUE"""),45348.0)</f>
        <v>45348</v>
      </c>
      <c r="E161" s="82"/>
      <c r="F161" s="80"/>
      <c r="G161" s="81"/>
      <c r="H161" s="80"/>
      <c r="I161" s="80"/>
      <c r="J161" s="80"/>
      <c r="K161" s="80"/>
      <c r="L161" s="80"/>
      <c r="M161" s="80"/>
      <c r="N161" s="80"/>
      <c r="O161" s="80"/>
      <c r="P161" s="80" t="str">
        <f>IFERROR(__xludf.DUMMYFUNCTION("""COMPUTED_VALUE"""),"53BSPA04338JBWDY")</f>
        <v>53BSPA04338JBWDY</v>
      </c>
      <c r="Q161" s="80" t="str">
        <f>IFERROR(__xludf.DUMMYFUNCTION("""COMPUTED_VALUE"""),"HRIZKI")</f>
        <v>HRIZKI</v>
      </c>
      <c r="R161" s="80" t="str">
        <f>IFERROR(__xludf.DUMMYFUNCTION("""COMPUTED_VALUE"""),"HRIZKI")</f>
        <v>HRIZKI</v>
      </c>
      <c r="S161" s="80" t="str">
        <f>IFERROR(__xludf.DUMMYFUNCTION("""COMPUTED_VALUE"""),"MAULIDIN AAN FATHURACHMAN")</f>
        <v>MAULIDIN AAN FATHURACHMAN</v>
      </c>
      <c r="T161" s="80" t="str">
        <f>IFERROR(__xludf.DUMMYFUNCTION("""COMPUTED_VALUE"""),"JL UDANG 1 NO 21 RT 3 RW 5 DS PABEAN UDIK KEC INDRAMAYU KAB INDRAMAYU, 45219")</f>
        <v>JL UDANG 1 NO 21 RT 3 RW 5 DS PABEAN UDIK KEC INDRAMAYU KAB INDRAMAYU, 45219</v>
      </c>
      <c r="U161" s="80" t="str">
        <f>IFERROR(__xludf.DUMMYFUNCTION("""COMPUTED_VALUE"""),"JL SAMSU NO 10 ")</f>
        <v>JL SAMSU NO 10 </v>
      </c>
      <c r="V161" s="80"/>
      <c r="W161" s="80" t="str">
        <f>IFERROR(__xludf.DUMMYFUNCTION("""COMPUTED_VALUE"""),"LEMAHMEKAR")</f>
        <v>LEMAHMEKAR</v>
      </c>
      <c r="X161" s="80" t="str">
        <f>IFERROR(__xludf.DUMMYFUNCTION("""COMPUTED_VALUE"""),"INDRAMAYU")</f>
        <v>INDRAMAYU</v>
      </c>
      <c r="Y161" s="80" t="str">
        <f>IFERROR(__xludf.DUMMYFUNCTION("""COMPUTED_VALUE"""),"INDRAMAYU")</f>
        <v>INDRAMAYU</v>
      </c>
      <c r="Z161" s="80" t="str">
        <f>IFERROR(__xludf.DUMMYFUNCTION("""COMPUTED_VALUE"""),"JAWA BARAT")</f>
        <v>JAWA BARAT</v>
      </c>
      <c r="AA161" s="80" t="str">
        <f>IFERROR(__xludf.DUMMYFUNCTION("""COMPUTED_VALUE"""),"45212")</f>
        <v>45212</v>
      </c>
      <c r="AB161" s="80" t="str">
        <f>IFERROR(__xludf.DUMMYFUNCTION("""COMPUTED_VALUE"""),"3212161302940002")</f>
        <v>3212161302940002</v>
      </c>
      <c r="AC161" s="80" t="str">
        <f>IFERROR(__xludf.DUMMYFUNCTION("""COMPUTED_VALUE"""),"92.030.507.5-437.000")</f>
        <v>92.030.507.5-437.000</v>
      </c>
      <c r="AD161" s="80" t="str">
        <f>IFERROR(__xludf.DUMMYFUNCTION("""COMPUTED_VALUE"""),"CUM - PS - WENDY")</f>
        <v>CUM - PS - WENDY</v>
      </c>
      <c r="AE161" s="80" t="str">
        <f>IFERROR(__xludf.DUMMYFUNCTION("""COMPUTED_VALUE"""),"SUB WENDY")</f>
        <v>SUB WENDY</v>
      </c>
      <c r="AF161" s="80" t="str">
        <f>IFERROR(__xludf.DUMMYFUNCTION("""COMPUTED_VALUE"""),"085892395410")</f>
        <v>085892395410</v>
      </c>
      <c r="AG161" s="80"/>
      <c r="AH161" s="80" t="str">
        <f>IFERROR(__xludf.DUMMYFUNCTION("""COMPUTED_VALUE"""),"mldnaan@gmail.com")</f>
        <v>mldnaan@gmail.com</v>
      </c>
      <c r="AI161" s="80" t="str">
        <f>IFERROR(__xludf.DUMMYFUNCTION("""COMPUTED_VALUE"""),"45219S1")</f>
        <v>45219S1</v>
      </c>
      <c r="AJ161" s="80" t="str">
        <f>IFERROR(__xludf.DUMMYFUNCTION("""COMPUTED_VALUE"""),"66699ef2c11d59c5fc08c5a2")</f>
        <v>66699ef2c11d59c5fc08c5a2</v>
      </c>
      <c r="AK161" s="80" t="str">
        <f>IFERROR(__xludf.DUMMYFUNCTION("""COMPUTED_VALUE"""),"dm45219s1")</f>
        <v>dm45219s1</v>
      </c>
      <c r="AL161" s="80" t="str">
        <f>IFERROR(__xludf.DUMMYFUNCTION("""COMPUTED_VALUE"""),"#45219Pos")</f>
        <v>#45219Pos</v>
      </c>
      <c r="AM161" s="80" t="str">
        <f>IFERROR(__xludf.DUMMYFUNCTION("""COMPUTED_VALUE"""),"KANTOR REGIONAL III BANDUNG 40004")</f>
        <v>KANTOR REGIONAL III BANDUNG 40004</v>
      </c>
      <c r="AN161" s="80" t="str">
        <f>IFERROR(__xludf.DUMMYFUNCTION("""COMPUTED_VALUE"""),"KC INDRAMAYU 45200")</f>
        <v>KC INDRAMAYU 45200</v>
      </c>
      <c r="AO161" s="80" t="str">
        <f>IFERROR(__xludf.DUMMYFUNCTION("""COMPUTED_VALUE"""),"2610220056008")</f>
        <v>2610220056008</v>
      </c>
      <c r="AP161" s="80" t="str">
        <f>IFERROR(__xludf.DUMMYFUNCTION("""COMPUTED_VALUE"""),"26102200560080001")</f>
        <v>26102200560080001</v>
      </c>
      <c r="AQ161" s="83"/>
      <c r="AR161" s="80"/>
      <c r="AS161" s="80"/>
      <c r="AT161" s="80" t="str">
        <f>IFERROR(__xludf.DUMMYFUNCTION("""COMPUTED_VALUE"""),"-6. 335008")</f>
        <v>-6. 335008</v>
      </c>
      <c r="AU161" s="80" t="str">
        <f>IFERROR(__xludf.DUMMYFUNCTION("""COMPUTED_VALUE"""),"108.338406")</f>
        <v>108.338406</v>
      </c>
      <c r="AV161" s="80"/>
      <c r="AW161" s="80"/>
      <c r="AX161" s="80"/>
      <c r="AY161" s="80"/>
      <c r="AZ161" s="80"/>
      <c r="BA161" s="80"/>
      <c r="BB161" s="80"/>
      <c r="BC161" s="80"/>
      <c r="BD161" s="80"/>
      <c r="BE161" s="80"/>
      <c r="BF161" s="80"/>
      <c r="BG161" s="80"/>
      <c r="BH161" s="80"/>
      <c r="BI161" s="80"/>
      <c r="BJ161" s="80"/>
      <c r="BK161" s="80"/>
      <c r="BL161" s="80"/>
      <c r="BM161" s="80"/>
      <c r="BN161" s="80"/>
      <c r="BO161" s="80"/>
      <c r="BP161" s="80"/>
      <c r="BQ161" s="80"/>
      <c r="BR161" s="80"/>
      <c r="BS161" s="80"/>
      <c r="BT161" s="80"/>
      <c r="BU161" s="80"/>
      <c r="BV161" s="80"/>
      <c r="BW161" s="80"/>
      <c r="BX161" s="80"/>
      <c r="BY161" s="80"/>
      <c r="BZ161" s="80"/>
      <c r="CA161" s="80"/>
      <c r="CB161" s="80"/>
      <c r="CC161" s="80"/>
      <c r="CD161" s="80"/>
      <c r="CE161" s="80"/>
      <c r="CF161" s="80"/>
      <c r="CG161" s="80"/>
      <c r="CH161" s="80"/>
      <c r="CI161" s="80"/>
      <c r="CJ161" s="80"/>
      <c r="CK161" s="2"/>
    </row>
    <row r="162" ht="15.75" customHeight="1">
      <c r="A162" s="85">
        <f>IFERROR(__xludf.DUMMYFUNCTION("""COMPUTED_VALUE"""),159.0)</f>
        <v>159</v>
      </c>
      <c r="B162" s="85"/>
      <c r="C162" s="85"/>
      <c r="D162" s="86"/>
      <c r="E162" s="88"/>
      <c r="F162" s="85"/>
      <c r="G162" s="86"/>
      <c r="H162" s="85"/>
      <c r="I162" s="85"/>
      <c r="J162" s="85"/>
      <c r="K162" s="85"/>
      <c r="L162" s="85"/>
      <c r="M162" s="85"/>
      <c r="N162" s="85"/>
      <c r="O162" s="85"/>
      <c r="P162" s="85" t="str">
        <f>IFERROR(__xludf.DUMMYFUNCTION("""COMPUTED_VALUE"""),"MLO5500002CUMRBM")</f>
        <v>MLO5500002CUMRBM</v>
      </c>
      <c r="Q162" s="85" t="str">
        <f>IFERROR(__xludf.DUMMYFUNCTION("""COMPUTED_VALUE"""),"SEVERNAYA")</f>
        <v>SEVERNAYA</v>
      </c>
      <c r="R162" s="85" t="str">
        <f>IFERROR(__xludf.DUMMYFUNCTION("""COMPUTED_VALUE"""),"SEVERNAYA")</f>
        <v>SEVERNAYA</v>
      </c>
      <c r="S162" s="85" t="str">
        <f>IFERROR(__xludf.DUMMYFUNCTION("""COMPUTED_VALUE"""),"Mochamad Rangga Bintang Manggala ")</f>
        <v>Mochamad Rangga Bintang Manggala </v>
      </c>
      <c r="T162" s="85" t="str">
        <f>IFERROR(__xludf.DUMMYFUNCTION("""COMPUTED_VALUE"""),"perum graha Alana blok B6-17, 01/09, Kuningan, Kuningan")</f>
        <v>perum graha Alana blok B6-17, 01/09, Kuningan, Kuningan</v>
      </c>
      <c r="U162" s="85"/>
      <c r="V162" s="85"/>
      <c r="W162" s="85"/>
      <c r="X162" s="85"/>
      <c r="Y162" s="85"/>
      <c r="Z162" s="85"/>
      <c r="AA162" s="85"/>
      <c r="AB162" s="85" t="str">
        <f>IFERROR(__xludf.DUMMYFUNCTION("""COMPUTED_VALUE"""),"3211130707940004")</f>
        <v>3211130707940004</v>
      </c>
      <c r="AC162" s="85" t="str">
        <f>IFERROR(__xludf.DUMMYFUNCTION("""COMPUTED_VALUE"""),"0")</f>
        <v>0</v>
      </c>
      <c r="AD162" s="85" t="str">
        <f>IFERROR(__xludf.DUMMYFUNCTION("""COMPUTED_VALUE"""),"CUM - RBM")</f>
        <v>CUM - RBM</v>
      </c>
      <c r="AE162" s="85" t="str">
        <f>IFERROR(__xludf.DUMMYFUNCTION("""COMPUTED_VALUE"""),"SUB RANGGA POS")</f>
        <v>SUB RANGGA POS</v>
      </c>
      <c r="AF162" s="85" t="str">
        <f>IFERROR(__xludf.DUMMYFUNCTION("""COMPUTED_VALUE"""),"085219052627")</f>
        <v>085219052627</v>
      </c>
      <c r="AG162" s="85"/>
      <c r="AH162" s="85" t="str">
        <f>IFERROR(__xludf.DUMMYFUNCTION("""COMPUTED_VALUE"""),"evbimanggala@gmail.com")</f>
        <v>evbimanggala@gmail.com</v>
      </c>
      <c r="AI162" s="85" t="str">
        <f>IFERROR(__xludf.DUMMYFUNCTION("""COMPUTED_VALUE"""),"45371S2")</f>
        <v>45371S2</v>
      </c>
      <c r="AJ162" s="85" t="str">
        <f>IFERROR(__xludf.DUMMYFUNCTION("""COMPUTED_VALUE"""),"639a941e43a7b8357c378916")</f>
        <v>639a941e43a7b8357c378916</v>
      </c>
      <c r="AK162" s="85" t="str">
        <f>IFERROR(__xludf.DUMMYFUNCTION("""COMPUTED_VALUE"""),"dm45371s2")</f>
        <v>dm45371s2</v>
      </c>
      <c r="AL162" s="85" t="str">
        <f>IFERROR(__xludf.DUMMYFUNCTION("""COMPUTED_VALUE"""),"password")</f>
        <v>password</v>
      </c>
      <c r="AM162" s="85"/>
      <c r="AN162" s="85"/>
      <c r="AO162" s="85"/>
      <c r="AP162" s="85"/>
      <c r="AQ162" s="93"/>
      <c r="AR162" s="85"/>
      <c r="AS162" s="85"/>
      <c r="AT162" s="85"/>
      <c r="AU162" s="85"/>
      <c r="AV162" s="85"/>
      <c r="AW162" s="85"/>
      <c r="AX162" s="85"/>
      <c r="AY162" s="85"/>
      <c r="AZ162" s="85"/>
      <c r="BA162" s="85"/>
      <c r="BB162" s="85"/>
      <c r="BC162" s="85"/>
      <c r="BD162" s="85"/>
      <c r="BE162" s="85"/>
      <c r="BF162" s="85"/>
      <c r="BG162" s="85"/>
      <c r="BH162" s="85"/>
      <c r="BI162" s="85"/>
      <c r="BJ162" s="85"/>
      <c r="BK162" s="85"/>
      <c r="BL162" s="85"/>
      <c r="BM162" s="85"/>
      <c r="BN162" s="85"/>
      <c r="BO162" s="85"/>
      <c r="BP162" s="85"/>
      <c r="BQ162" s="85"/>
      <c r="BR162" s="85"/>
      <c r="BS162" s="85"/>
      <c r="BT162" s="85"/>
      <c r="BU162" s="85"/>
      <c r="BV162" s="85"/>
      <c r="BW162" s="85"/>
      <c r="BX162" s="85"/>
      <c r="BY162" s="85"/>
      <c r="BZ162" s="85"/>
      <c r="CA162" s="85"/>
      <c r="CB162" s="85"/>
      <c r="CC162" s="85"/>
      <c r="CD162" s="85"/>
      <c r="CE162" s="85"/>
      <c r="CF162" s="85"/>
      <c r="CG162" s="85"/>
      <c r="CH162" s="85"/>
      <c r="CI162" s="85"/>
      <c r="CJ162" s="85"/>
      <c r="CK162" s="2"/>
    </row>
    <row r="163" ht="14.25" customHeight="1">
      <c r="A163" s="80">
        <f>IFERROR(__xludf.DUMMYFUNCTION("""COMPUTED_VALUE"""),160.0)</f>
        <v>160</v>
      </c>
      <c r="B163" s="80"/>
      <c r="C163" s="80"/>
      <c r="D163" s="81">
        <f>IFERROR(__xludf.DUMMYFUNCTION("""COMPUTED_VALUE"""),45348.0)</f>
        <v>45348</v>
      </c>
      <c r="E163" s="82"/>
      <c r="F163" s="80"/>
      <c r="G163" s="81"/>
      <c r="H163" s="80"/>
      <c r="I163" s="80"/>
      <c r="J163" s="80"/>
      <c r="K163" s="80"/>
      <c r="L163" s="80"/>
      <c r="M163" s="80"/>
      <c r="N163" s="80"/>
      <c r="O163" s="80"/>
      <c r="P163" s="80" t="str">
        <f>IFERROR(__xludf.DUMMYFUNCTION("""COMPUTED_VALUE"""),"53BSPA04083JBCUM")</f>
        <v>53BSPA04083JBCUM</v>
      </c>
      <c r="Q163" s="80" t="str">
        <f>IFERROR(__xludf.DUMMYFUNCTION("""COMPUTED_VALUE"""),"STC CELL")</f>
        <v>STC CELL</v>
      </c>
      <c r="R163" s="80" t="str">
        <f>IFERROR(__xludf.DUMMYFUNCTION("""COMPUTED_VALUE"""),"STC CELL")</f>
        <v>STC CELL</v>
      </c>
      <c r="S163" s="80" t="str">
        <f>IFERROR(__xludf.DUMMYFUNCTION("""COMPUTED_VALUE"""),"IING SUJAR'I")</f>
        <v>IING SUJAR'I</v>
      </c>
      <c r="T163" s="80" t="str">
        <f>IFERROR(__xludf.DUMMYFUNCTION("""COMPUTED_VALUE"""),"DUSUN CISANTANA RT 007 RW 001, DESA CISANTANA KEC. CIGUGUR, KAB. KUNINGAN 45552")</f>
        <v>DUSUN CISANTANA RT 007 RW 001, DESA CISANTANA KEC. CIGUGUR, KAB. KUNINGAN 45552</v>
      </c>
      <c r="U163" s="80" t="str">
        <f>IFERROR(__xludf.DUMMYFUNCTION("""COMPUTED_VALUE"""),"DUSUN CISANTANA RT 007 RW 001")</f>
        <v>DUSUN CISANTANA RT 007 RW 001</v>
      </c>
      <c r="V163" s="80"/>
      <c r="W163" s="80" t="str">
        <f>IFERROR(__xludf.DUMMYFUNCTION("""COMPUTED_VALUE"""),"CISANTANA")</f>
        <v>CISANTANA</v>
      </c>
      <c r="X163" s="80" t="str">
        <f>IFERROR(__xludf.DUMMYFUNCTION("""COMPUTED_VALUE"""),"CIGUGUR")</f>
        <v>CIGUGUR</v>
      </c>
      <c r="Y163" s="80" t="str">
        <f>IFERROR(__xludf.DUMMYFUNCTION("""COMPUTED_VALUE"""),"KUNINGAN")</f>
        <v>KUNINGAN</v>
      </c>
      <c r="Z163" s="80" t="str">
        <f>IFERROR(__xludf.DUMMYFUNCTION("""COMPUTED_VALUE"""),"JAWA BARAT")</f>
        <v>JAWA BARAT</v>
      </c>
      <c r="AA163" s="80" t="str">
        <f>IFERROR(__xludf.DUMMYFUNCTION("""COMPUTED_VALUE"""),"45552")</f>
        <v>45552</v>
      </c>
      <c r="AB163" s="80" t="str">
        <f>IFERROR(__xludf.DUMMYFUNCTION("""COMPUTED_VALUE"""),"3208181307730005")</f>
        <v>3208181307730005</v>
      </c>
      <c r="AC163" s="80" t="str">
        <f>IFERROR(__xludf.DUMMYFUNCTION("""COMPUTED_VALUE"""),"24.372.034.9-438.000")</f>
        <v>24.372.034.9-438.000</v>
      </c>
      <c r="AD163" s="80" t="str">
        <f>IFERROR(__xludf.DUMMYFUNCTION("""COMPUTED_VALUE"""),"CUM - BSB - JABAR")</f>
        <v>CUM - BSB - JABAR</v>
      </c>
      <c r="AE163" s="80" t="str">
        <f>IFERROR(__xludf.DUMMYFUNCTION("""COMPUTED_VALUE"""),"SUB CUM")</f>
        <v>SUB CUM</v>
      </c>
      <c r="AF163" s="80" t="str">
        <f>IFERROR(__xludf.DUMMYFUNCTION("""COMPUTED_VALUE"""),"082119603000/089609603000")</f>
        <v>082119603000/089609603000</v>
      </c>
      <c r="AG163" s="80"/>
      <c r="AH163" s="80" t="str">
        <f>IFERROR(__xludf.DUMMYFUNCTION("""COMPUTED_VALUE"""),"iieng_dtm@yahoo.com")</f>
        <v>iieng_dtm@yahoo.com</v>
      </c>
      <c r="AI163" s="80" t="str">
        <f>IFERROR(__xludf.DUMMYFUNCTION("""COMPUTED_VALUE"""),"45552S4")</f>
        <v>45552S4</v>
      </c>
      <c r="AJ163" s="80" t="str">
        <f>IFERROR(__xludf.DUMMYFUNCTION("""COMPUTED_VALUE"""),"6663174a5d5040858907d5c7")</f>
        <v>6663174a5d5040858907d5c7</v>
      </c>
      <c r="AK163" s="80" t="str">
        <f>IFERROR(__xludf.DUMMYFUNCTION("""COMPUTED_VALUE"""),"dm45552s4")</f>
        <v>dm45552s4</v>
      </c>
      <c r="AL163" s="80" t="str">
        <f>IFERROR(__xludf.DUMMYFUNCTION("""COMPUTED_VALUE"""),"#45552Pos")</f>
        <v>#45552Pos</v>
      </c>
      <c r="AM163" s="80" t="str">
        <f>IFERROR(__xludf.DUMMYFUNCTION("""COMPUTED_VALUE"""),"KANTOR REGIONAL III BANDUNG 40004")</f>
        <v>KANTOR REGIONAL III BANDUNG 40004</v>
      </c>
      <c r="AN163" s="80" t="str">
        <f>IFERROR(__xludf.DUMMYFUNCTION("""COMPUTED_VALUE"""),"KC KUNINGAN 45500")</f>
        <v>KC KUNINGAN 45500</v>
      </c>
      <c r="AO163" s="80" t="str">
        <f>IFERROR(__xludf.DUMMYFUNCTION("""COMPUTED_VALUE"""),"0220208102315")</f>
        <v>0220208102315</v>
      </c>
      <c r="AP163" s="80" t="str">
        <f>IFERROR(__xludf.DUMMYFUNCTION("""COMPUTED_VALUE"""),"02202081023150001")</f>
        <v>02202081023150001</v>
      </c>
      <c r="AQ163" s="83"/>
      <c r="AR163" s="80"/>
      <c r="AS163" s="80"/>
      <c r="AT163" s="80" t="str">
        <f>IFERROR(__xludf.DUMMYFUNCTION("""COMPUTED_VALUE"""),"-6.9597268")</f>
        <v>-6.9597268</v>
      </c>
      <c r="AU163" s="80" t="str">
        <f>IFERROR(__xludf.DUMMYFUNCTION("""COMPUTED_VALUE"""),"108.449705")</f>
        <v>108.449705</v>
      </c>
      <c r="AV163" s="80"/>
      <c r="AW163" s="80"/>
      <c r="AX163" s="80"/>
      <c r="AY163" s="80"/>
      <c r="AZ163" s="80"/>
      <c r="BA163" s="80"/>
      <c r="BB163" s="80"/>
      <c r="BC163" s="80"/>
      <c r="BD163" s="80"/>
      <c r="BE163" s="80"/>
      <c r="BF163" s="80"/>
      <c r="BG163" s="80"/>
      <c r="BH163" s="80"/>
      <c r="BI163" s="80"/>
      <c r="BJ163" s="80"/>
      <c r="BK163" s="80"/>
      <c r="BL163" s="80"/>
      <c r="BM163" s="80"/>
      <c r="BN163" s="80"/>
      <c r="BO163" s="80"/>
      <c r="BP163" s="80"/>
      <c r="BQ163" s="80"/>
      <c r="BR163" s="80"/>
      <c r="BS163" s="80"/>
      <c r="BT163" s="80"/>
      <c r="BU163" s="80"/>
      <c r="BV163" s="80"/>
      <c r="BW163" s="80"/>
      <c r="BX163" s="80"/>
      <c r="BY163" s="80"/>
      <c r="BZ163" s="80"/>
      <c r="CA163" s="80"/>
      <c r="CB163" s="80"/>
      <c r="CC163" s="80"/>
      <c r="CD163" s="80"/>
      <c r="CE163" s="80"/>
      <c r="CF163" s="80"/>
      <c r="CG163" s="80"/>
      <c r="CH163" s="80"/>
      <c r="CI163" s="80"/>
      <c r="CJ163" s="80"/>
      <c r="CK163" s="2"/>
    </row>
    <row r="164" ht="14.25" customHeight="1">
      <c r="A164" s="85">
        <f>IFERROR(__xludf.DUMMYFUNCTION("""COMPUTED_VALUE"""),161.0)</f>
        <v>161</v>
      </c>
      <c r="B164" s="85"/>
      <c r="C164" s="85"/>
      <c r="D164" s="86">
        <f>IFERROR(__xludf.DUMMYFUNCTION("""COMPUTED_VALUE"""),45364.0)</f>
        <v>45364</v>
      </c>
      <c r="E164" s="88"/>
      <c r="F164" s="85"/>
      <c r="G164" s="86"/>
      <c r="H164" s="85"/>
      <c r="I164" s="85"/>
      <c r="J164" s="85"/>
      <c r="K164" s="85"/>
      <c r="L164" s="85"/>
      <c r="M164" s="85"/>
      <c r="N164" s="85"/>
      <c r="O164" s="85"/>
      <c r="P164" s="85" t="str">
        <f>IFERROR(__xludf.DUMMYFUNCTION("""COMPUTED_VALUE"""),"53BSPA04408JBJAY")</f>
        <v>53BSPA04408JBJAY</v>
      </c>
      <c r="Q164" s="85" t="str">
        <f>IFERROR(__xludf.DUMMYFUNCTION("""COMPUTED_VALUE"""),"IQBAL POST EXPRESS")</f>
        <v>IQBAL POST EXPRESS</v>
      </c>
      <c r="R164" s="85" t="str">
        <f>IFERROR(__xludf.DUMMYFUNCTION("""COMPUTED_VALUE"""),"IQBAL POST EXPRESS")</f>
        <v>IQBAL POST EXPRESS</v>
      </c>
      <c r="S164" s="85" t="str">
        <f>IFERROR(__xludf.DUMMYFUNCTION("""COMPUTED_VALUE"""),"SUARJAT")</f>
        <v>SUARJAT</v>
      </c>
      <c r="T164" s="85" t="str">
        <f>IFERROR(__xludf.DUMMYFUNCTION("""COMPUTED_VALUE"""),"Kp. GEMPOL ASRI RT 02 RW 01 DESA CIBADAK KEC. CIBEBER KAB. CIANJUR 43262")</f>
        <v>Kp. GEMPOL ASRI RT 02 RW 01 DESA CIBADAK KEC. CIBEBER KAB. CIANJUR 43262</v>
      </c>
      <c r="U164" s="85" t="str">
        <f>IFERROR(__xludf.DUMMYFUNCTION("""COMPUTED_VALUE"""),"Kp. CIBINGBIN RT 02 RW 02")</f>
        <v>Kp. CIBINGBIN RT 02 RW 02</v>
      </c>
      <c r="V164" s="85"/>
      <c r="W164" s="85" t="str">
        <f>IFERROR(__xludf.DUMMYFUNCTION("""COMPUTED_VALUE"""),"CIBADAK")</f>
        <v>CIBADAK</v>
      </c>
      <c r="X164" s="85" t="str">
        <f>IFERROR(__xludf.DUMMYFUNCTION("""COMPUTED_VALUE"""),"CIBEBER")</f>
        <v>CIBEBER</v>
      </c>
      <c r="Y164" s="85" t="str">
        <f>IFERROR(__xludf.DUMMYFUNCTION("""COMPUTED_VALUE"""),"CIANJUR")</f>
        <v>CIANJUR</v>
      </c>
      <c r="Z164" s="85" t="str">
        <f>IFERROR(__xludf.DUMMYFUNCTION("""COMPUTED_VALUE"""),"JAWA BARAT")</f>
        <v>JAWA BARAT</v>
      </c>
      <c r="AA164" s="85" t="str">
        <f>IFERROR(__xludf.DUMMYFUNCTION("""COMPUTED_VALUE"""),"43262")</f>
        <v>43262</v>
      </c>
      <c r="AB164" s="85" t="str">
        <f>IFERROR(__xludf.DUMMYFUNCTION("""COMPUTED_VALUE"""),"3203030304690017")</f>
        <v>3203030304690017</v>
      </c>
      <c r="AC164" s="85" t="str">
        <f>IFERROR(__xludf.DUMMYFUNCTION("""COMPUTED_VALUE"""),"44.663.890.0-406.000")</f>
        <v>44.663.890.0-406.000</v>
      </c>
      <c r="AD164" s="85" t="str">
        <f>IFERROR(__xludf.DUMMYFUNCTION("""COMPUTED_VALUE"""),"CUM - BSB - JABAR")</f>
        <v>CUM - BSB - JABAR</v>
      </c>
      <c r="AE164" s="85" t="str">
        <f>IFERROR(__xludf.DUMMYFUNCTION("""COMPUTED_VALUE"""),"SUB JAELANI POS")</f>
        <v>SUB JAELANI POS</v>
      </c>
      <c r="AF164" s="85" t="str">
        <f>IFERROR(__xludf.DUMMYFUNCTION("""COMPUTED_VALUE"""),"085798070181")</f>
        <v>085798070181</v>
      </c>
      <c r="AG164" s="85"/>
      <c r="AH164" s="85" t="str">
        <f>IFERROR(__xludf.DUMMYFUNCTION("""COMPUTED_VALUE"""),"ajatsuarjat.69@gmail.com")</f>
        <v>ajatsuarjat.69@gmail.com</v>
      </c>
      <c r="AI164" s="85" t="str">
        <f>IFERROR(__xludf.DUMMYFUNCTION("""COMPUTED_VALUE"""),"43262S5")</f>
        <v>43262S5</v>
      </c>
      <c r="AJ164" s="85" t="str">
        <f>IFERROR(__xludf.DUMMYFUNCTION("""COMPUTED_VALUE"""),"6654a03362ccb6a1260d4836")</f>
        <v>6654a03362ccb6a1260d4836</v>
      </c>
      <c r="AK164" s="85" t="str">
        <f>IFERROR(__xludf.DUMMYFUNCTION("""COMPUTED_VALUE"""),"dm43262s5")</f>
        <v>dm43262s5</v>
      </c>
      <c r="AL164" s="85" t="str">
        <f>IFERROR(__xludf.DUMMYFUNCTION("""COMPUTED_VALUE"""),"#43262Pos")</f>
        <v>#43262Pos</v>
      </c>
      <c r="AM164" s="85" t="str">
        <f>IFERROR(__xludf.DUMMYFUNCTION("""COMPUTED_VALUE"""),"KANTOR REGIONAL III BANDUNG 40004")</f>
        <v>KANTOR REGIONAL III BANDUNG 40004</v>
      </c>
      <c r="AN164" s="85" t="str">
        <f>IFERROR(__xludf.DUMMYFUNCTION("""COMPUTED_VALUE"""),"KC CIANJUR 43200")</f>
        <v>KC CIANJUR 43200</v>
      </c>
      <c r="AO164" s="85" t="str">
        <f>IFERROR(__xludf.DUMMYFUNCTION("""COMPUTED_VALUE"""),"1606230031886")</f>
        <v>1606230031886</v>
      </c>
      <c r="AP164" s="85" t="str">
        <f>IFERROR(__xludf.DUMMYFUNCTION("""COMPUTED_VALUE"""),"16062300318860001")</f>
        <v>16062300318860001</v>
      </c>
      <c r="AQ164" s="93"/>
      <c r="AR164" s="85"/>
      <c r="AS164" s="85"/>
      <c r="AT164" s="85" t="str">
        <f>IFERROR(__xludf.DUMMYFUNCTION("""COMPUTED_VALUE"""),"-6,9404406")</f>
        <v>-6,9404406</v>
      </c>
      <c r="AU164" s="85" t="str">
        <f>IFERROR(__xludf.DUMMYFUNCTION("""COMPUTED_VALUE"""),"107,1429633")</f>
        <v>107,1429633</v>
      </c>
      <c r="AV164" s="85"/>
      <c r="AW164" s="85"/>
      <c r="AX164" s="85"/>
      <c r="AY164" s="85"/>
      <c r="AZ164" s="85"/>
      <c r="BA164" s="85"/>
      <c r="BB164" s="85"/>
      <c r="BC164" s="85"/>
      <c r="BD164" s="85"/>
      <c r="BE164" s="85"/>
      <c r="BF164" s="85"/>
      <c r="BG164" s="85"/>
      <c r="BH164" s="85"/>
      <c r="BI164" s="85"/>
      <c r="BJ164" s="85"/>
      <c r="BK164" s="85"/>
      <c r="BL164" s="85"/>
      <c r="BM164" s="85"/>
      <c r="BN164" s="85"/>
      <c r="BO164" s="85"/>
      <c r="BP164" s="85"/>
      <c r="BQ164" s="85"/>
      <c r="BR164" s="85"/>
      <c r="BS164" s="85"/>
      <c r="BT164" s="85"/>
      <c r="BU164" s="85"/>
      <c r="BV164" s="85"/>
      <c r="BW164" s="85"/>
      <c r="BX164" s="85"/>
      <c r="BY164" s="85"/>
      <c r="BZ164" s="85"/>
      <c r="CA164" s="85"/>
      <c r="CB164" s="85"/>
      <c r="CC164" s="85"/>
      <c r="CD164" s="85"/>
      <c r="CE164" s="85"/>
      <c r="CF164" s="85"/>
      <c r="CG164" s="85"/>
      <c r="CH164" s="85"/>
      <c r="CI164" s="85"/>
      <c r="CJ164" s="85"/>
      <c r="CK164" s="2"/>
    </row>
    <row r="165" ht="14.25" customHeight="1">
      <c r="A165" s="80">
        <f>IFERROR(__xludf.DUMMYFUNCTION("""COMPUTED_VALUE"""),162.0)</f>
        <v>162</v>
      </c>
      <c r="B165" s="80"/>
      <c r="C165" s="80"/>
      <c r="D165" s="81">
        <f>IFERROR(__xludf.DUMMYFUNCTION("""COMPUTED_VALUE"""),45356.0)</f>
        <v>45356</v>
      </c>
      <c r="E165" s="82"/>
      <c r="F165" s="80"/>
      <c r="G165" s="81"/>
      <c r="H165" s="80"/>
      <c r="I165" s="80"/>
      <c r="J165" s="80"/>
      <c r="K165" s="80"/>
      <c r="L165" s="80"/>
      <c r="M165" s="80"/>
      <c r="N165" s="80"/>
      <c r="O165" s="80"/>
      <c r="P165" s="80" t="str">
        <f>IFERROR(__xludf.DUMMYFUNCTION("""COMPUTED_VALUE"""),"53BSPA16957JBNDS")</f>
        <v>53BSPA16957JBNDS</v>
      </c>
      <c r="Q165" s="80" t="str">
        <f>IFERROR(__xludf.DUMMYFUNCTION("""COMPUTED_VALUE"""),"TOKO ALVIN")</f>
        <v>TOKO ALVIN</v>
      </c>
      <c r="R165" s="80" t="str">
        <f>IFERROR(__xludf.DUMMYFUNCTION("""COMPUTED_VALUE"""),"TOKO ALVIN")</f>
        <v>TOKO ALVIN</v>
      </c>
      <c r="S165" s="80" t="str">
        <f>IFERROR(__xludf.DUMMYFUNCTION("""COMPUTED_VALUE"""),"DIDIN WAHYUDIN")</f>
        <v>DIDIN WAHYUDIN</v>
      </c>
      <c r="T165" s="80" t="str">
        <f>IFERROR(__xludf.DUMMYFUNCTION("""COMPUTED_VALUE"""),"DUSUN TIPAR KEL. WANASALAM, KEC.LIGUNG, KAB.MAJALENGKA, JAWA BARAT, 45456")</f>
        <v>DUSUN TIPAR KEL. WANASALAM, KEC.LIGUNG, KAB.MAJALENGKA, JAWA BARAT, 45456</v>
      </c>
      <c r="U165" s="80" t="str">
        <f>IFERROR(__xludf.DUMMYFUNCTION("""COMPUTED_VALUE"""),"DUSUN TIPAR RT 001 RW 007")</f>
        <v>DUSUN TIPAR RT 001 RW 007</v>
      </c>
      <c r="V165" s="80"/>
      <c r="W165" s="80" t="str">
        <f>IFERROR(__xludf.DUMMYFUNCTION("""COMPUTED_VALUE"""),"WANASALAM")</f>
        <v>WANASALAM</v>
      </c>
      <c r="X165" s="80" t="str">
        <f>IFERROR(__xludf.DUMMYFUNCTION("""COMPUTED_VALUE"""),"LIGUNG")</f>
        <v>LIGUNG</v>
      </c>
      <c r="Y165" s="80" t="str">
        <f>IFERROR(__xludf.DUMMYFUNCTION("""COMPUTED_VALUE"""),"MAJALENGKA")</f>
        <v>MAJALENGKA</v>
      </c>
      <c r="Z165" s="80" t="str">
        <f>IFERROR(__xludf.DUMMYFUNCTION("""COMPUTED_VALUE"""),"JAWA BARAT")</f>
        <v>JAWA BARAT</v>
      </c>
      <c r="AA165" s="80" t="str">
        <f>IFERROR(__xludf.DUMMYFUNCTION("""COMPUTED_VALUE"""),"45456")</f>
        <v>45456</v>
      </c>
      <c r="AB165" s="80" t="str">
        <f>IFERROR(__xludf.DUMMYFUNCTION("""COMPUTED_VALUE"""),"3210162007870021")</f>
        <v>3210162007870021</v>
      </c>
      <c r="AC165" s="80" t="str">
        <f>IFERROR(__xludf.DUMMYFUNCTION("""COMPUTED_VALUE"""),"72.913.400.7-438.000")</f>
        <v>72.913.400.7-438.000</v>
      </c>
      <c r="AD165" s="80" t="str">
        <f>IFERROR(__xludf.DUMMYFUNCTION("""COMPUTED_VALUE"""),"CUM - NDS")</f>
        <v>CUM - NDS</v>
      </c>
      <c r="AE165" s="80" t="str">
        <f>IFERROR(__xludf.DUMMYFUNCTION("""COMPUTED_VALUE"""),"SUB NURUL DIMAS")</f>
        <v>SUB NURUL DIMAS</v>
      </c>
      <c r="AF165" s="80" t="str">
        <f>IFERROR(__xludf.DUMMYFUNCTION("""COMPUTED_VALUE"""),"082319834052")</f>
        <v>082319834052</v>
      </c>
      <c r="AG165" s="80"/>
      <c r="AH165" s="80" t="str">
        <f>IFERROR(__xludf.DUMMYFUNCTION("""COMPUTED_VALUE"""),"wahyudinputraaliyah94@gmail.com")</f>
        <v>wahyudinputraaliyah94@gmail.com</v>
      </c>
      <c r="AI165" s="80" t="str">
        <f>IFERROR(__xludf.DUMMYFUNCTION("""COMPUTED_VALUE"""),"45456S3")</f>
        <v>45456S3</v>
      </c>
      <c r="AJ165" s="80" t="str">
        <f>IFERROR(__xludf.DUMMYFUNCTION("""COMPUTED_VALUE"""),"66338fa5735973f2110877b3")</f>
        <v>66338fa5735973f2110877b3</v>
      </c>
      <c r="AK165" s="80" t="str">
        <f>IFERROR(__xludf.DUMMYFUNCTION("""COMPUTED_VALUE"""),"dm45456s3")</f>
        <v>dm45456s3</v>
      </c>
      <c r="AL165" s="80" t="str">
        <f>IFERROR(__xludf.DUMMYFUNCTION("""COMPUTED_VALUE"""),"#45456Pos")</f>
        <v>#45456Pos</v>
      </c>
      <c r="AM165" s="80" t="str">
        <f>IFERROR(__xludf.DUMMYFUNCTION("""COMPUTED_VALUE"""),"KANTOR REGIONAL III BANDUNG 40004")</f>
        <v>KANTOR REGIONAL III BANDUNG 40004</v>
      </c>
      <c r="AN165" s="80" t="str">
        <f>IFERROR(__xludf.DUMMYFUNCTION("""COMPUTED_VALUE"""),"KC MAJALENGKA 45400")</f>
        <v>KC MAJALENGKA 45400</v>
      </c>
      <c r="AO165" s="80" t="str">
        <f>IFERROR(__xludf.DUMMYFUNCTION("""COMPUTED_VALUE"""),"0503240045235")</f>
        <v>0503240045235</v>
      </c>
      <c r="AP165" s="80" t="str">
        <f>IFERROR(__xludf.DUMMYFUNCTION("""COMPUTED_VALUE"""),"05032400452350001")</f>
        <v>05032400452350001</v>
      </c>
      <c r="AQ165" s="83"/>
      <c r="AR165" s="80"/>
      <c r="AS165" s="80"/>
      <c r="AT165" s="80" t="str">
        <f>IFERROR(__xludf.DUMMYFUNCTION("""COMPUTED_VALUE"""),"-6.66264")</f>
        <v>-6.66264</v>
      </c>
      <c r="AU165" s="80" t="str">
        <f>IFERROR(__xludf.DUMMYFUNCTION("""COMPUTED_VALUE"""),"108.333713")</f>
        <v>108.333713</v>
      </c>
      <c r="AV165" s="80"/>
      <c r="AW165" s="80"/>
      <c r="AX165" s="80"/>
      <c r="AY165" s="80"/>
      <c r="AZ165" s="80"/>
      <c r="BA165" s="80"/>
      <c r="BB165" s="80"/>
      <c r="BC165" s="80"/>
      <c r="BD165" s="80"/>
      <c r="BE165" s="80"/>
      <c r="BF165" s="80"/>
      <c r="BG165" s="80"/>
      <c r="BH165" s="80"/>
      <c r="BI165" s="80"/>
      <c r="BJ165" s="80"/>
      <c r="BK165" s="80"/>
      <c r="BL165" s="80"/>
      <c r="BM165" s="80"/>
      <c r="BN165" s="80"/>
      <c r="BO165" s="80"/>
      <c r="BP165" s="80"/>
      <c r="BQ165" s="80"/>
      <c r="BR165" s="80"/>
      <c r="BS165" s="80"/>
      <c r="BT165" s="80"/>
      <c r="BU165" s="80"/>
      <c r="BV165" s="80"/>
      <c r="BW165" s="80"/>
      <c r="BX165" s="80"/>
      <c r="BY165" s="80"/>
      <c r="BZ165" s="80"/>
      <c r="CA165" s="80"/>
      <c r="CB165" s="80"/>
      <c r="CC165" s="80"/>
      <c r="CD165" s="80"/>
      <c r="CE165" s="80"/>
      <c r="CF165" s="80"/>
      <c r="CG165" s="80"/>
      <c r="CH165" s="80"/>
      <c r="CI165" s="80"/>
      <c r="CJ165" s="80"/>
      <c r="CK165" s="2"/>
    </row>
    <row r="166" ht="14.25" customHeight="1">
      <c r="A166" s="85">
        <f>IFERROR(__xludf.DUMMYFUNCTION("""COMPUTED_VALUE"""),163.0)</f>
        <v>163</v>
      </c>
      <c r="B166" s="85"/>
      <c r="C166" s="85"/>
      <c r="D166" s="86">
        <f>IFERROR(__xludf.DUMMYFUNCTION("""COMPUTED_VALUE"""),45360.0)</f>
        <v>45360</v>
      </c>
      <c r="E166" s="88"/>
      <c r="F166" s="85"/>
      <c r="G166" s="86"/>
      <c r="H166" s="85"/>
      <c r="I166" s="85"/>
      <c r="J166" s="85"/>
      <c r="K166" s="85"/>
      <c r="L166" s="85"/>
      <c r="M166" s="85"/>
      <c r="N166" s="85"/>
      <c r="O166" s="85"/>
      <c r="P166" s="85" t="str">
        <f>IFERROR(__xludf.DUMMYFUNCTION("""COMPUTED_VALUE"""),"54BSPA18042JKBAM")</f>
        <v>54BSPA18042JKBAM</v>
      </c>
      <c r="Q166" s="85" t="str">
        <f>IFERROR(__xludf.DUMMYFUNCTION("""COMPUTED_VALUE"""),"SUHENDAR")</f>
        <v>SUHENDAR</v>
      </c>
      <c r="R166" s="85" t="str">
        <f>IFERROR(__xludf.DUMMYFUNCTION("""COMPUTED_VALUE"""),"RESTU MANDIRI")</f>
        <v>RESTU MANDIRI</v>
      </c>
      <c r="S166" s="85" t="str">
        <f>IFERROR(__xludf.DUMMYFUNCTION("""COMPUTED_VALUE"""),"NANIS SUHENDAR")</f>
        <v>NANIS SUHENDAR</v>
      </c>
      <c r="T166" s="85" t="str">
        <f>IFERROR(__xludf.DUMMYFUNCTION("""COMPUTED_VALUE"""),"KP PICUNG BERA RT.001/RW 001KEL.BANYUBIRU, KEC.LABUAN, KAB.PANDEGLANG, BANTEN, 42264")</f>
        <v>KP PICUNG BERA RT.001/RW 001KEL.BANYUBIRU, KEC.LABUAN, KAB.PANDEGLANG, BANTEN, 42264</v>
      </c>
      <c r="U166" s="85" t="str">
        <f>IFERROR(__xludf.DUMMYFUNCTION("""COMPUTED_VALUE"""),"KP PICUNG BERA ")</f>
        <v>KP PICUNG BERA </v>
      </c>
      <c r="V166" s="85" t="str">
        <f>IFERROR(__xludf.DUMMYFUNCTION("""COMPUTED_VALUE"""),"001/001 ")</f>
        <v>001/001 </v>
      </c>
      <c r="W166" s="85" t="str">
        <f>IFERROR(__xludf.DUMMYFUNCTION("""COMPUTED_VALUE"""),"BANYUBIRU")</f>
        <v>BANYUBIRU</v>
      </c>
      <c r="X166" s="85" t="str">
        <f>IFERROR(__xludf.DUMMYFUNCTION("""COMPUTED_VALUE"""),"LABUAN ")</f>
        <v>LABUAN </v>
      </c>
      <c r="Y166" s="85" t="str">
        <f>IFERROR(__xludf.DUMMYFUNCTION("""COMPUTED_VALUE"""),"PANDEGLANG")</f>
        <v>PANDEGLANG</v>
      </c>
      <c r="Z166" s="85" t="str">
        <f>IFERROR(__xludf.DUMMYFUNCTION("""COMPUTED_VALUE"""),"BANTEN ")</f>
        <v>BANTEN </v>
      </c>
      <c r="AA166" s="85" t="str">
        <f>IFERROR(__xludf.DUMMYFUNCTION("""COMPUTED_VALUE"""),"42264")</f>
        <v>42264</v>
      </c>
      <c r="AB166" s="85" t="str">
        <f>IFERROR(__xludf.DUMMYFUNCTION("""COMPUTED_VALUE"""),"3601122712820001")</f>
        <v>3601122712820001</v>
      </c>
      <c r="AC166" s="85" t="str">
        <f>IFERROR(__xludf.DUMMYFUNCTION("""COMPUTED_VALUE"""),"98.147.567.6-419.000")</f>
        <v>98.147.567.6-419.000</v>
      </c>
      <c r="AD166" s="85" t="str">
        <f>IFERROR(__xludf.DUMMYFUNCTION("""COMPUTED_VALUE"""),"CUM - BAM")</f>
        <v>CUM - BAM</v>
      </c>
      <c r="AE166" s="85" t="str">
        <f>IFERROR(__xludf.DUMMYFUNCTION("""COMPUTED_VALUE"""),"BAIDILLAH MA'MUN.ST")</f>
        <v>BAIDILLAH MA'MUN.ST</v>
      </c>
      <c r="AF166" s="85" t="str">
        <f>IFERROR(__xludf.DUMMYFUNCTION("""COMPUTED_VALUE"""),"087771111865")</f>
        <v>087771111865</v>
      </c>
      <c r="AG166" s="85"/>
      <c r="AH166" s="85" t="str">
        <f>IFERROR(__xludf.DUMMYFUNCTION("""COMPUTED_VALUE"""),"nenissuhendar@gmail.com")</f>
        <v>nenissuhendar@gmail.com</v>
      </c>
      <c r="AI166" s="85" t="str">
        <f>IFERROR(__xludf.DUMMYFUNCTION("""COMPUTED_VALUE"""),"42264S2")</f>
        <v>42264S2</v>
      </c>
      <c r="AJ166" s="85" t="str">
        <f>IFERROR(__xludf.DUMMYFUNCTION("""COMPUTED_VALUE"""),"6684d09e3b8e88c07a07d96")</f>
        <v>6684d09e3b8e88c07a07d96</v>
      </c>
      <c r="AK166" s="85" t="str">
        <f>IFERROR(__xludf.DUMMYFUNCTION("""COMPUTED_VALUE"""),"dm42264s2")</f>
        <v>dm42264s2</v>
      </c>
      <c r="AL166" s="85" t="str">
        <f>IFERROR(__xludf.DUMMYFUNCTION("""COMPUTED_VALUE"""),"#42264Pos")</f>
        <v>#42264Pos</v>
      </c>
      <c r="AM166" s="85" t="str">
        <f>IFERROR(__xludf.DUMMYFUNCTION("""COMPUTED_VALUE"""),"KANTOR REGIONAL II JAKARTA 10004")</f>
        <v>KANTOR REGIONAL II JAKARTA 10004</v>
      </c>
      <c r="AN166" s="85" t="str">
        <f>IFERROR(__xludf.DUMMYFUNCTION("""COMPUTED_VALUE"""),"KC PANDEGLANG 42200")</f>
        <v>KC PANDEGLANG 42200</v>
      </c>
      <c r="AO166" s="85" t="str">
        <f>IFERROR(__xludf.DUMMYFUNCTION("""COMPUTED_VALUE"""),"8772831519129")</f>
        <v>8772831519129</v>
      </c>
      <c r="AP166" s="85" t="str">
        <f>IFERROR(__xludf.DUMMYFUNCTION("""COMPUTED_VALUE"""),"07032400767520001")</f>
        <v>07032400767520001</v>
      </c>
      <c r="AQ166" s="93"/>
      <c r="AR166" s="85"/>
      <c r="AS166" s="85"/>
      <c r="AT166" s="85" t="str">
        <f>IFERROR(__xludf.DUMMYFUNCTION("""COMPUTED_VALUE"""),"-6.353433")</f>
        <v>-6.353433</v>
      </c>
      <c r="AU166" s="85" t="str">
        <f>IFERROR(__xludf.DUMMYFUNCTION("""COMPUTED_VALUE"""),"106.009292")</f>
        <v>106.009292</v>
      </c>
      <c r="AV166" s="85"/>
      <c r="AW166" s="85"/>
      <c r="AX166" s="85"/>
      <c r="AY166" s="85"/>
      <c r="AZ166" s="85"/>
      <c r="BA166" s="85"/>
      <c r="BB166" s="85"/>
      <c r="BC166" s="85"/>
      <c r="BD166" s="85"/>
      <c r="BE166" s="85"/>
      <c r="BF166" s="85"/>
      <c r="BG166" s="85"/>
      <c r="BH166" s="85"/>
      <c r="BI166" s="85"/>
      <c r="BJ166" s="85"/>
      <c r="BK166" s="85"/>
      <c r="BL166" s="85"/>
      <c r="BM166" s="85"/>
      <c r="BN166" s="85"/>
      <c r="BO166" s="85"/>
      <c r="BP166" s="85"/>
      <c r="BQ166" s="85"/>
      <c r="BR166" s="85"/>
      <c r="BS166" s="85"/>
      <c r="BT166" s="85"/>
      <c r="BU166" s="85"/>
      <c r="BV166" s="85"/>
      <c r="BW166" s="85"/>
      <c r="BX166" s="85"/>
      <c r="BY166" s="85"/>
      <c r="BZ166" s="85"/>
      <c r="CA166" s="85"/>
      <c r="CB166" s="85"/>
      <c r="CC166" s="85"/>
      <c r="CD166" s="85"/>
      <c r="CE166" s="85"/>
      <c r="CF166" s="85"/>
      <c r="CG166" s="85"/>
      <c r="CH166" s="85"/>
      <c r="CI166" s="85"/>
      <c r="CJ166" s="85"/>
      <c r="CK166" s="2"/>
    </row>
    <row r="167" ht="12.75" customHeight="1">
      <c r="A167" s="80">
        <f>IFERROR(__xludf.DUMMYFUNCTION("""COMPUTED_VALUE"""),164.0)</f>
        <v>164</v>
      </c>
      <c r="B167" s="80"/>
      <c r="C167" s="80"/>
      <c r="D167" s="81">
        <f>IFERROR(__xludf.DUMMYFUNCTION("""COMPUTED_VALUE"""),45362.0)</f>
        <v>45362</v>
      </c>
      <c r="E167" s="82"/>
      <c r="F167" s="80"/>
      <c r="G167" s="81"/>
      <c r="H167" s="80"/>
      <c r="I167" s="80"/>
      <c r="J167" s="80"/>
      <c r="K167" s="80"/>
      <c r="L167" s="80"/>
      <c r="M167" s="80"/>
      <c r="N167" s="80"/>
      <c r="O167" s="80"/>
      <c r="P167" s="80" t="str">
        <f>IFERROR(__xludf.DUMMYFUNCTION("""COMPUTED_VALUE"""),"MLO5500004CUMLYS")</f>
        <v>MLO5500004CUMLYS</v>
      </c>
      <c r="Q167" s="80" t="str">
        <f>IFERROR(__xludf.DUMMYFUNCTION("""COMPUTED_VALUE"""),"PATRIOT")</f>
        <v>PATRIOT</v>
      </c>
      <c r="R167" s="80" t="str">
        <f>IFERROR(__xludf.DUMMYFUNCTION("""COMPUTED_VALUE"""),"PATRIOT")</f>
        <v>PATRIOT</v>
      </c>
      <c r="S167" s="80" t="str">
        <f>IFERROR(__xludf.DUMMYFUNCTION("""COMPUTED_VALUE"""),"RIZKI PRATIWI")</f>
        <v>RIZKI PRATIWI</v>
      </c>
      <c r="T167" s="80" t="str">
        <f>IFERROR(__xludf.DUMMYFUNCTION("""COMPUTED_VALUE"""),"JLN. PATRIOT No.151 RT.003/RW.002, KEL. BANDENGAN, KEC.PEKALONGAN UTARA, KOTA PEKALONGAN, JAWA TENGAH, 51143")</f>
        <v>JLN. PATRIOT No.151 RT.003/RW.002, KEL. BANDENGAN, KEC.PEKALONGAN UTARA, KOTA PEKALONGAN, JAWA TENGAH, 51143</v>
      </c>
      <c r="U167" s="80" t="str">
        <f>IFERROR(__xludf.DUMMYFUNCTION("""COMPUTED_VALUE"""),"JLN. PATRIOT No.151 ")</f>
        <v>JLN. PATRIOT No.151 </v>
      </c>
      <c r="V167" s="80" t="str">
        <f>IFERROR(__xludf.DUMMYFUNCTION("""COMPUTED_VALUE"""),"003/002 ")</f>
        <v>003/002 </v>
      </c>
      <c r="W167" s="80" t="str">
        <f>IFERROR(__xludf.DUMMYFUNCTION("""COMPUTED_VALUE"""),"BANDENGAN ")</f>
        <v>BANDENGAN </v>
      </c>
      <c r="X167" s="80" t="str">
        <f>IFERROR(__xludf.DUMMYFUNCTION("""COMPUTED_VALUE"""),"PEKALONGAN UTARA ")</f>
        <v>PEKALONGAN UTARA </v>
      </c>
      <c r="Y167" s="80" t="str">
        <f>IFERROR(__xludf.DUMMYFUNCTION("""COMPUTED_VALUE"""),"PEKALONGAN")</f>
        <v>PEKALONGAN</v>
      </c>
      <c r="Z167" s="80" t="str">
        <f>IFERROR(__xludf.DUMMYFUNCTION("""COMPUTED_VALUE"""),"JAWA TENGAH")</f>
        <v>JAWA TENGAH</v>
      </c>
      <c r="AA167" s="80" t="str">
        <f>IFERROR(__xludf.DUMMYFUNCTION("""COMPUTED_VALUE"""),"51143")</f>
        <v>51143</v>
      </c>
      <c r="AB167" s="80" t="str">
        <f>IFERROR(__xludf.DUMMYFUNCTION("""COMPUTED_VALUE"""),"3375035911000005")</f>
        <v>3375035911000005</v>
      </c>
      <c r="AC167" s="80" t="str">
        <f>IFERROR(__xludf.DUMMYFUNCTION("""COMPUTED_VALUE"""),"53.211.012.9-502.000")</f>
        <v>53.211.012.9-502.000</v>
      </c>
      <c r="AD167" s="80" t="str">
        <f>IFERROR(__xludf.DUMMYFUNCTION("""COMPUTED_VALUE"""),"CUM - PS - LYS")</f>
        <v>CUM - PS - LYS</v>
      </c>
      <c r="AE167" s="80" t="str">
        <f>IFERROR(__xludf.DUMMYFUNCTION("""COMPUTED_VALUE"""),"SUB LINDA POS")</f>
        <v>SUB LINDA POS</v>
      </c>
      <c r="AF167" s="80" t="str">
        <f>IFERROR(__xludf.DUMMYFUNCTION("""COMPUTED_VALUE"""),"085926154184")</f>
        <v>085926154184</v>
      </c>
      <c r="AG167" s="80"/>
      <c r="AH167" s="80" t="str">
        <f>IFERROR(__xludf.DUMMYFUNCTION("""COMPUTED_VALUE"""),"lindayoes15@gmail.com")</f>
        <v>lindayoes15@gmail.com</v>
      </c>
      <c r="AI167" s="80"/>
      <c r="AJ167" s="80"/>
      <c r="AK167" s="80"/>
      <c r="AL167" s="80"/>
      <c r="AM167" s="80" t="str">
        <f>IFERROR(__xludf.DUMMYFUNCTION("""COMPUTED_VALUE"""),"KANTOR REGIONAL IV SEMARANG 50004")</f>
        <v>KANTOR REGIONAL IV SEMARANG 50004</v>
      </c>
      <c r="AN167" s="80" t="str">
        <f>IFERROR(__xludf.DUMMYFUNCTION("""COMPUTED_VALUE"""),"KCU PEKALONGAN 51100")</f>
        <v>KCU PEKALONGAN 51100</v>
      </c>
      <c r="AO167" s="80" t="str">
        <f>IFERROR(__xludf.DUMMYFUNCTION("""COMPUTED_VALUE"""),"1103240010411")</f>
        <v>1103240010411</v>
      </c>
      <c r="AP167" s="80" t="str">
        <f>IFERROR(__xludf.DUMMYFUNCTION("""COMPUTED_VALUE"""),"11032400104110001")</f>
        <v>11032400104110001</v>
      </c>
      <c r="AQ167" s="83"/>
      <c r="AR167" s="80"/>
      <c r="AS167" s="80"/>
      <c r="AT167" s="80" t="str">
        <f>IFERROR(__xludf.DUMMYFUNCTION("""COMPUTED_VALUE"""),"-6.876675")</f>
        <v>-6.876675</v>
      </c>
      <c r="AU167" s="80" t="str">
        <f>IFERROR(__xludf.DUMMYFUNCTION("""COMPUTED_VALUE"""),"109.668086")</f>
        <v>109.668086</v>
      </c>
      <c r="AV167" s="80"/>
      <c r="AW167" s="80"/>
      <c r="AX167" s="80"/>
      <c r="AY167" s="80"/>
      <c r="AZ167" s="80"/>
      <c r="BA167" s="80"/>
      <c r="BB167" s="80"/>
      <c r="BC167" s="80"/>
      <c r="BD167" s="80"/>
      <c r="BE167" s="80"/>
      <c r="BF167" s="80"/>
      <c r="BG167" s="80"/>
      <c r="BH167" s="80"/>
      <c r="BI167" s="80"/>
      <c r="BJ167" s="80"/>
      <c r="BK167" s="80"/>
      <c r="BL167" s="80"/>
      <c r="BM167" s="80"/>
      <c r="BN167" s="80"/>
      <c r="BO167" s="80"/>
      <c r="BP167" s="80"/>
      <c r="BQ167" s="80"/>
      <c r="BR167" s="80"/>
      <c r="BS167" s="80"/>
      <c r="BT167" s="80"/>
      <c r="BU167" s="80"/>
      <c r="BV167" s="80"/>
      <c r="BW167" s="80"/>
      <c r="BX167" s="80"/>
      <c r="BY167" s="80"/>
      <c r="BZ167" s="80"/>
      <c r="CA167" s="80"/>
      <c r="CB167" s="80"/>
      <c r="CC167" s="80"/>
      <c r="CD167" s="80"/>
      <c r="CE167" s="80"/>
      <c r="CF167" s="80"/>
      <c r="CG167" s="80"/>
      <c r="CH167" s="80"/>
      <c r="CI167" s="80"/>
      <c r="CJ167" s="80"/>
      <c r="CK167" s="2"/>
    </row>
    <row r="168" ht="14.25" customHeight="1">
      <c r="A168" s="85">
        <f>IFERROR(__xludf.DUMMYFUNCTION("""COMPUTED_VALUE"""),165.0)</f>
        <v>165</v>
      </c>
      <c r="B168" s="85"/>
      <c r="C168" s="85"/>
      <c r="D168" s="86">
        <f>IFERROR(__xludf.DUMMYFUNCTION("""COMPUTED_VALUE"""),45366.0)</f>
        <v>45366</v>
      </c>
      <c r="E168" s="88"/>
      <c r="F168" s="85"/>
      <c r="G168" s="86"/>
      <c r="H168" s="85"/>
      <c r="I168" s="85"/>
      <c r="J168" s="85"/>
      <c r="K168" s="85"/>
      <c r="L168" s="85"/>
      <c r="M168" s="85"/>
      <c r="N168" s="85"/>
      <c r="O168" s="85"/>
      <c r="P168" s="85" t="str">
        <f>IFERROR(__xludf.DUMMYFUNCTION("""COMPUTED_VALUE"""),"MLO5500006CUMFAN")</f>
        <v>MLO5500006CUMFAN</v>
      </c>
      <c r="Q168" s="85" t="str">
        <f>IFERROR(__xludf.DUMMYFUNCTION("""COMPUTED_VALUE"""),"AGEN WARUNG LOBAK")</f>
        <v>AGEN WARUNG LOBAK</v>
      </c>
      <c r="R168" s="85" t="str">
        <f>IFERROR(__xludf.DUMMYFUNCTION("""COMPUTED_VALUE"""),"MUC AGEN WARUNG LOBAK")</f>
        <v>MUC AGEN WARUNG LOBAK</v>
      </c>
      <c r="S168" s="85" t="str">
        <f>IFERROR(__xludf.DUMMYFUNCTION("""COMPUTED_VALUE"""),"EDWIN SUDRAJAT")</f>
        <v>EDWIN SUDRAJAT</v>
      </c>
      <c r="T168" s="85" t="str">
        <f>IFERROR(__xludf.DUMMYFUNCTION("""COMPUTED_VALUE"""),"JL. KOPO KOMP. NATA ENDAH BLOK B57, KEL.MARGAHAYU TENGAH, KEC.MARGAHAYU, KAB. BANDUNG, JAWA BARAT, 40352")</f>
        <v>JL. KOPO KOMP. NATA ENDAH BLOK B57, KEL.MARGAHAYU TENGAH, KEC.MARGAHAYU, KAB. BANDUNG, JAWA BARAT, 40352</v>
      </c>
      <c r="U168" s="85" t="str">
        <f>IFERROR(__xludf.DUMMYFUNCTION("""COMPUTED_VALUE"""),"JL. WR. LOBAK SENTRA BISNIS BLOK B6 ")</f>
        <v>JL. WR. LOBAK SENTRA BISNIS BLOK B6 </v>
      </c>
      <c r="V168" s="85"/>
      <c r="W168" s="85" t="str">
        <f>IFERROR(__xludf.DUMMYFUNCTION("""COMPUTED_VALUE"""),"GANDASARI ")</f>
        <v>GANDASARI </v>
      </c>
      <c r="X168" s="85" t="str">
        <f>IFERROR(__xludf.DUMMYFUNCTION("""COMPUTED_VALUE"""),"KATAPANG ")</f>
        <v>KATAPANG </v>
      </c>
      <c r="Y168" s="85" t="str">
        <f>IFERROR(__xludf.DUMMYFUNCTION("""COMPUTED_VALUE"""),"BANDUNG ")</f>
        <v>BANDUNG </v>
      </c>
      <c r="Z168" s="85" t="str">
        <f>IFERROR(__xludf.DUMMYFUNCTION("""COMPUTED_VALUE"""),"JAWA BARAT ")</f>
        <v>JAWA BARAT </v>
      </c>
      <c r="AA168" s="85" t="str">
        <f>IFERROR(__xludf.DUMMYFUNCTION("""COMPUTED_VALUE"""),"40355")</f>
        <v>40355</v>
      </c>
      <c r="AB168" s="85" t="str">
        <f>IFERROR(__xludf.DUMMYFUNCTION("""COMPUTED_VALUE"""),"3204091910900003")</f>
        <v>3204091910900003</v>
      </c>
      <c r="AC168" s="85" t="str">
        <f>IFERROR(__xludf.DUMMYFUNCTION("""COMPUTED_VALUE"""),"75.761.733.7-445.000")</f>
        <v>75.761.733.7-445.000</v>
      </c>
      <c r="AD168" s="85" t="str">
        <f>IFERROR(__xludf.DUMMYFUNCTION("""COMPUTED_VALUE"""),"CUM - PS - FAN")</f>
        <v>CUM - PS - FAN</v>
      </c>
      <c r="AE168" s="85" t="str">
        <f>IFERROR(__xludf.DUMMYFUNCTION("""COMPUTED_VALUE"""),"SUB FAHMA POS")</f>
        <v>SUB FAHMA POS</v>
      </c>
      <c r="AF168" s="85" t="str">
        <f>IFERROR(__xludf.DUMMYFUNCTION("""COMPUTED_VALUE"""),"08982651635")</f>
        <v>08982651635</v>
      </c>
      <c r="AG168" s="85"/>
      <c r="AH168" s="85" t="str">
        <f>IFERROR(__xludf.DUMMYFUNCTION("""COMPUTED_VALUE"""),"edwin12a4@gmail.com")</f>
        <v>edwin12a4@gmail.com</v>
      </c>
      <c r="AI168" s="85" t="str">
        <f>IFERROR(__xludf.DUMMYFUNCTION("""COMPUTED_VALUE"""),"40355S4")</f>
        <v>40355S4</v>
      </c>
      <c r="AJ168" s="85" t="str">
        <f>IFERROR(__xludf.DUMMYFUNCTION("""COMPUTED_VALUE"""),"65fbe2d19757ee28980d1911")</f>
        <v>65fbe2d19757ee28980d1911</v>
      </c>
      <c r="AK168" s="85" t="str">
        <f>IFERROR(__xludf.DUMMYFUNCTION("""COMPUTED_VALUE"""),"dm40355s4")</f>
        <v>dm40355s4</v>
      </c>
      <c r="AL168" s="85" t="str">
        <f>IFERROR(__xludf.DUMMYFUNCTION("""COMPUTED_VALUE"""),"#40355Pos")</f>
        <v>#40355Pos</v>
      </c>
      <c r="AM168" s="85" t="str">
        <f>IFERROR(__xludf.DUMMYFUNCTION("""COMPUTED_VALUE"""),"KANTOR REGIONAL III BANDUNG 40004")</f>
        <v>KANTOR REGIONAL III BANDUNG 40004</v>
      </c>
      <c r="AN168" s="85" t="str">
        <f>IFERROR(__xludf.DUMMYFUNCTION("""COMPUTED_VALUE"""),"KC SOREANG 40900")</f>
        <v>KC SOREANG 40900</v>
      </c>
      <c r="AO168" s="85" t="str">
        <f>IFERROR(__xludf.DUMMYFUNCTION("""COMPUTED_VALUE"""),"1503240245802")</f>
        <v>1503240245802</v>
      </c>
      <c r="AP168" s="85" t="str">
        <f>IFERROR(__xludf.DUMMYFUNCTION("""COMPUTED_VALUE"""),"15032402458020001")</f>
        <v>15032402458020001</v>
      </c>
      <c r="AQ168" s="93"/>
      <c r="AR168" s="85"/>
      <c r="AS168" s="85"/>
      <c r="AT168" s="85" t="str">
        <f>IFERROR(__xludf.DUMMYFUNCTION("""COMPUTED_VALUE"""),"-7.017702")</f>
        <v>-7.017702</v>
      </c>
      <c r="AU168" s="85" t="str">
        <f>IFERROR(__xludf.DUMMYFUNCTION("""COMPUTED_VALUE"""),"107.5476966")</f>
        <v>107.5476966</v>
      </c>
      <c r="AV168" s="85"/>
      <c r="AW168" s="85"/>
      <c r="AX168" s="85"/>
      <c r="AY168" s="85"/>
      <c r="AZ168" s="85"/>
      <c r="BA168" s="85"/>
      <c r="BB168" s="85"/>
      <c r="BC168" s="85"/>
      <c r="BD168" s="85"/>
      <c r="BE168" s="85"/>
      <c r="BF168" s="85"/>
      <c r="BG168" s="85"/>
      <c r="BH168" s="85"/>
      <c r="BI168" s="85"/>
      <c r="BJ168" s="85"/>
      <c r="BK168" s="85"/>
      <c r="BL168" s="85"/>
      <c r="BM168" s="85"/>
      <c r="BN168" s="85"/>
      <c r="BO168" s="85"/>
      <c r="BP168" s="85"/>
      <c r="BQ168" s="85"/>
      <c r="BR168" s="85"/>
      <c r="BS168" s="85"/>
      <c r="BT168" s="85"/>
      <c r="BU168" s="85"/>
      <c r="BV168" s="85"/>
      <c r="BW168" s="85"/>
      <c r="BX168" s="85"/>
      <c r="BY168" s="85"/>
      <c r="BZ168" s="85"/>
      <c r="CA168" s="85"/>
      <c r="CB168" s="85"/>
      <c r="CC168" s="85"/>
      <c r="CD168" s="85"/>
      <c r="CE168" s="85"/>
      <c r="CF168" s="85"/>
      <c r="CG168" s="85"/>
      <c r="CH168" s="85"/>
      <c r="CI168" s="85"/>
      <c r="CJ168" s="85"/>
      <c r="CK168" s="2"/>
    </row>
    <row r="169" ht="14.25" customHeight="1">
      <c r="A169" s="80">
        <f>IFERROR(__xludf.DUMMYFUNCTION("""COMPUTED_VALUE"""),166.0)</f>
        <v>166</v>
      </c>
      <c r="B169" s="80"/>
      <c r="C169" s="80"/>
      <c r="D169" s="81">
        <f>IFERROR(__xludf.DUMMYFUNCTION("""COMPUTED_VALUE"""),45369.0)</f>
        <v>45369</v>
      </c>
      <c r="E169" s="82"/>
      <c r="F169" s="80"/>
      <c r="G169" s="81"/>
      <c r="H169" s="80"/>
      <c r="I169" s="80"/>
      <c r="J169" s="80"/>
      <c r="K169" s="80"/>
      <c r="L169" s="80"/>
      <c r="M169" s="80"/>
      <c r="N169" s="80"/>
      <c r="O169" s="80"/>
      <c r="P169" s="80" t="str">
        <f>IFERROR(__xludf.DUMMYFUNCTION("""COMPUTED_VALUE"""),"53BSPA04499JBRDK")</f>
        <v>53BSPA04499JBRDK</v>
      </c>
      <c r="Q169" s="80" t="str">
        <f>IFERROR(__xludf.DUMMYFUNCTION("""COMPUTED_VALUE"""),"HANNIF")</f>
        <v>HANNIF</v>
      </c>
      <c r="R169" s="80" t="str">
        <f>IFERROR(__xludf.DUMMYFUNCTION("""COMPUTED_VALUE"""),"MUC HANNIF")</f>
        <v>MUC HANNIF</v>
      </c>
      <c r="S169" s="80" t="str">
        <f>IFERROR(__xludf.DUMMYFUNCTION("""COMPUTED_VALUE"""),"HARTONO ADI PRABOWO")</f>
        <v>HARTONO ADI PRABOWO</v>
      </c>
      <c r="T169" s="80" t="str">
        <f>IFERROR(__xludf.DUMMYFUNCTION("""COMPUTED_VALUE"""),"PERUM GRIYA MELATI BLOK A5/5 RT 001 RW 013, KEL.BUBULAK, KEC.BOGOR BARAT, KOTA BOGOR, JAWA BARAT, 16115")</f>
        <v>PERUM GRIYA MELATI BLOK A5/5 RT 001 RW 013, KEL.BUBULAK, KEC.BOGOR BARAT, KOTA BOGOR, JAWA BARAT, 16115</v>
      </c>
      <c r="U169" s="80" t="str">
        <f>IFERROR(__xludf.DUMMYFUNCTION("""COMPUTED_VALUE"""),"JL. CILUBANG MEKAR RT 001 RW 005")</f>
        <v>JL. CILUBANG MEKAR RT 001 RW 005</v>
      </c>
      <c r="V169" s="80"/>
      <c r="W169" s="80" t="str">
        <f>IFERROR(__xludf.DUMMYFUNCTION("""COMPUTED_VALUE"""),"SITU GEDE")</f>
        <v>SITU GEDE</v>
      </c>
      <c r="X169" s="80" t="str">
        <f>IFERROR(__xludf.DUMMYFUNCTION("""COMPUTED_VALUE"""),"BOGOR BARAT")</f>
        <v>BOGOR BARAT</v>
      </c>
      <c r="Y169" s="80" t="str">
        <f>IFERROR(__xludf.DUMMYFUNCTION("""COMPUTED_VALUE"""),"BOGOR")</f>
        <v>BOGOR</v>
      </c>
      <c r="Z169" s="80" t="str">
        <f>IFERROR(__xludf.DUMMYFUNCTION("""COMPUTED_VALUE"""),"JAWA BARAT")</f>
        <v>JAWA BARAT</v>
      </c>
      <c r="AA169" s="80" t="str">
        <f>IFERROR(__xludf.DUMMYFUNCTION("""COMPUTED_VALUE"""),"16115")</f>
        <v>16115</v>
      </c>
      <c r="AB169" s="80" t="str">
        <f>IFERROR(__xludf.DUMMYFUNCTION("""COMPUTED_VALUE"""),"3374112610640003")</f>
        <v>3374112610640003</v>
      </c>
      <c r="AC169" s="80" t="str">
        <f>IFERROR(__xludf.DUMMYFUNCTION("""COMPUTED_VALUE"""),"57.366.089.1-517.000")</f>
        <v>57.366.089.1-517.000</v>
      </c>
      <c r="AD169" s="80" t="str">
        <f>IFERROR(__xludf.DUMMYFUNCTION("""COMPUTED_VALUE"""),"CUM - PS - RDK")</f>
        <v>CUM - PS - RDK</v>
      </c>
      <c r="AE169" s="80" t="str">
        <f>IFERROR(__xludf.DUMMYFUNCTION("""COMPUTED_VALUE"""),"SUB RINGGI POS")</f>
        <v>SUB RINGGI POS</v>
      </c>
      <c r="AF169" s="80" t="str">
        <f>IFERROR(__xludf.DUMMYFUNCTION("""COMPUTED_VALUE"""),"081325583386")</f>
        <v>081325583386</v>
      </c>
      <c r="AG169" s="80"/>
      <c r="AH169" s="80" t="str">
        <f>IFERROR(__xludf.DUMMYFUNCTION("""COMPUTED_VALUE"""),"Hap.prabowo@gmail.com")</f>
        <v>Hap.prabowo@gmail.com</v>
      </c>
      <c r="AI169" s="80"/>
      <c r="AJ169" s="80"/>
      <c r="AK169" s="80"/>
      <c r="AL169" s="80"/>
      <c r="AM169" s="80" t="str">
        <f>IFERROR(__xludf.DUMMYFUNCTION("""COMPUTED_VALUE"""),"KANTOR REGIONAL II JAKARTA 10004")</f>
        <v>KANTOR REGIONAL II JAKARTA 10004</v>
      </c>
      <c r="AN169" s="80" t="str">
        <f>IFERROR(__xludf.DUMMYFUNCTION("""COMPUTED_VALUE"""),"KCU BOGOR 16000")</f>
        <v>KCU BOGOR 16000</v>
      </c>
      <c r="AO169" s="80" t="str">
        <f>IFERROR(__xludf.DUMMYFUNCTION("""COMPUTED_VALUE"""),"1402240004449")</f>
        <v>1402240004449</v>
      </c>
      <c r="AP169" s="80" t="str">
        <f>IFERROR(__xludf.DUMMYFUNCTION("""COMPUTED_VALUE"""),"14022400044490001")</f>
        <v>14022400044490001</v>
      </c>
      <c r="AQ169" s="83"/>
      <c r="AR169" s="80"/>
      <c r="AS169" s="80"/>
      <c r="AT169" s="80" t="str">
        <f>IFERROR(__xludf.DUMMYFUNCTION("""COMPUTED_VALUE"""),"-6.5505206")</f>
        <v>-6.5505206</v>
      </c>
      <c r="AU169" s="80" t="str">
        <f>IFERROR(__xludf.DUMMYFUNCTION("""COMPUTED_VALUE"""),"106.6503432")</f>
        <v>106.6503432</v>
      </c>
      <c r="AV169" s="80"/>
      <c r="AW169" s="80"/>
      <c r="AX169" s="80"/>
      <c r="AY169" s="80"/>
      <c r="AZ169" s="80"/>
      <c r="BA169" s="80"/>
      <c r="BB169" s="80"/>
      <c r="BC169" s="80"/>
      <c r="BD169" s="80"/>
      <c r="BE169" s="80"/>
      <c r="BF169" s="80"/>
      <c r="BG169" s="80"/>
      <c r="BH169" s="80"/>
      <c r="BI169" s="80"/>
      <c r="BJ169" s="80"/>
      <c r="BK169" s="80"/>
      <c r="BL169" s="80"/>
      <c r="BM169" s="80"/>
      <c r="BN169" s="80"/>
      <c r="BO169" s="80"/>
      <c r="BP169" s="80"/>
      <c r="BQ169" s="80"/>
      <c r="BR169" s="80"/>
      <c r="BS169" s="80"/>
      <c r="BT169" s="80"/>
      <c r="BU169" s="80"/>
      <c r="BV169" s="80"/>
      <c r="BW169" s="80"/>
      <c r="BX169" s="80"/>
      <c r="BY169" s="80"/>
      <c r="BZ169" s="80"/>
      <c r="CA169" s="80"/>
      <c r="CB169" s="80"/>
      <c r="CC169" s="80"/>
      <c r="CD169" s="80"/>
      <c r="CE169" s="80"/>
      <c r="CF169" s="80"/>
      <c r="CG169" s="80"/>
      <c r="CH169" s="80"/>
      <c r="CI169" s="80"/>
      <c r="CJ169" s="80"/>
      <c r="CK169" s="2"/>
    </row>
    <row r="170" ht="14.25" customHeight="1">
      <c r="A170" s="85">
        <f>IFERROR(__xludf.DUMMYFUNCTION("""COMPUTED_VALUE"""),167.0)</f>
        <v>167</v>
      </c>
      <c r="B170" s="85"/>
      <c r="C170" s="85"/>
      <c r="D170" s="86">
        <f>IFERROR(__xludf.DUMMYFUNCTION("""COMPUTED_VALUE"""),45369.0)</f>
        <v>45369</v>
      </c>
      <c r="E170" s="88"/>
      <c r="F170" s="85"/>
      <c r="G170" s="86"/>
      <c r="H170" s="85"/>
      <c r="I170" s="85"/>
      <c r="J170" s="85"/>
      <c r="K170" s="85"/>
      <c r="L170" s="85"/>
      <c r="M170" s="85"/>
      <c r="N170" s="85"/>
      <c r="O170" s="85"/>
      <c r="P170" s="85" t="str">
        <f>IFERROR(__xludf.DUMMYFUNCTION("""COMPUTED_VALUE"""),"53BSPA04422JBEEN")</f>
        <v>53BSPA04422JBEEN</v>
      </c>
      <c r="Q170" s="85" t="str">
        <f>IFERROR(__xludf.DUMMYFUNCTION("""COMPUTED_VALUE"""),"TOKO TIGAHA 9")</f>
        <v>TOKO TIGAHA 9</v>
      </c>
      <c r="R170" s="85" t="str">
        <f>IFERROR(__xludf.DUMMYFUNCTION("""COMPUTED_VALUE"""),"MUC TOKO TIGAHA 9")</f>
        <v>MUC TOKO TIGAHA 9</v>
      </c>
      <c r="S170" s="85" t="str">
        <f>IFERROR(__xludf.DUMMYFUNCTION("""COMPUTED_VALUE"""),"WAHYUDI")</f>
        <v>WAHYUDI</v>
      </c>
      <c r="T170" s="85" t="str">
        <f>IFERROR(__xludf.DUMMYFUNCTION("""COMPUTED_VALUE"""),"BEKASI REGENSI I H5 NO.22 RT.004/RW.007, KEL.WANASARI, KEC.CIBITUNG, KAB.BEKASI 17521")</f>
        <v>BEKASI REGENSI I H5 NO.22 RT.004/RW.007, KEL.WANASARI, KEC.CIBITUNG, KAB.BEKASI 17521</v>
      </c>
      <c r="U170" s="85" t="str">
        <f>IFERROR(__xludf.DUMMYFUNCTION("""COMPUTED_VALUE"""),"JL. PURI NIRWANA RESIDENCES RAYA, BLOK EL NO. 9")</f>
        <v>JL. PURI NIRWANA RESIDENCES RAYA, BLOK EL NO. 9</v>
      </c>
      <c r="V170" s="85"/>
      <c r="W170" s="85" t="str">
        <f>IFERROR(__xludf.DUMMYFUNCTION("""COMPUTED_VALUE"""),"SUKARAYA")</f>
        <v>SUKARAYA</v>
      </c>
      <c r="X170" s="85" t="str">
        <f>IFERROR(__xludf.DUMMYFUNCTION("""COMPUTED_VALUE"""),"KARANG BAHAGIA")</f>
        <v>KARANG BAHAGIA</v>
      </c>
      <c r="Y170" s="85" t="str">
        <f>IFERROR(__xludf.DUMMYFUNCTION("""COMPUTED_VALUE"""),"BEKASI")</f>
        <v>BEKASI</v>
      </c>
      <c r="Z170" s="85" t="str">
        <f>IFERROR(__xludf.DUMMYFUNCTION("""COMPUTED_VALUE"""),"JAWA BARAT")</f>
        <v>JAWA BARAT</v>
      </c>
      <c r="AA170" s="85" t="str">
        <f>IFERROR(__xludf.DUMMYFUNCTION("""COMPUTED_VALUE"""),"17536")</f>
        <v>17536</v>
      </c>
      <c r="AB170" s="85" t="str">
        <f>IFERROR(__xludf.DUMMYFUNCTION("""COMPUTED_VALUE"""),"3216070811710009")</f>
        <v>3216070811710009</v>
      </c>
      <c r="AC170" s="85" t="str">
        <f>IFERROR(__xludf.DUMMYFUNCTION("""COMPUTED_VALUE"""),"57.565.092.4-432.000")</f>
        <v>57.565.092.4-432.000</v>
      </c>
      <c r="AD170" s="85" t="str">
        <f>IFERROR(__xludf.DUMMYFUNCTION("""COMPUTED_VALUE"""),"CUM - EEN")</f>
        <v>CUM - EEN</v>
      </c>
      <c r="AE170" s="85" t="str">
        <f>IFERROR(__xludf.DUMMYFUNCTION("""COMPUTED_VALUE"""),"SUB EEN")</f>
        <v>SUB EEN</v>
      </c>
      <c r="AF170" s="85" t="str">
        <f>IFERROR(__xludf.DUMMYFUNCTION("""COMPUTED_VALUE"""),"081282826193")</f>
        <v>081282826193</v>
      </c>
      <c r="AG170" s="85"/>
      <c r="AH170" s="85" t="str">
        <f>IFERROR(__xludf.DUMMYFUNCTION("""COMPUTED_VALUE"""),"wsunaryo013@gmail.com")</f>
        <v>wsunaryo013@gmail.com</v>
      </c>
      <c r="AI170" s="85" t="str">
        <f>IFERROR(__xludf.DUMMYFUNCTION("""COMPUTED_VALUE"""),"17536S1")</f>
        <v>17536S1</v>
      </c>
      <c r="AJ170" s="85" t="str">
        <f>IFERROR(__xludf.DUMMYFUNCTION("""COMPUTED_VALUE"""),"663b81d9873f7d8cac018071")</f>
        <v>663b81d9873f7d8cac018071</v>
      </c>
      <c r="AK170" s="85" t="str">
        <f>IFERROR(__xludf.DUMMYFUNCTION("""COMPUTED_VALUE"""),"dm17536s1")</f>
        <v>dm17536s1</v>
      </c>
      <c r="AL170" s="85" t="str">
        <f>IFERROR(__xludf.DUMMYFUNCTION("""COMPUTED_VALUE"""),"#17536Pos")</f>
        <v>#17536Pos</v>
      </c>
      <c r="AM170" s="85" t="str">
        <f>IFERROR(__xludf.DUMMYFUNCTION("""COMPUTED_VALUE"""),"KANTOR REGIONAL II JAKARTA 10004")</f>
        <v>KANTOR REGIONAL II JAKARTA 10004</v>
      </c>
      <c r="AN170" s="85" t="str">
        <f>IFERROR(__xludf.DUMMYFUNCTION("""COMPUTED_VALUE"""),"KC CIKARANG 17500")</f>
        <v>KC CIKARANG 17500</v>
      </c>
      <c r="AO170" s="85" t="str">
        <f>IFERROR(__xludf.DUMMYFUNCTION("""COMPUTED_VALUE"""),"1803240095081")</f>
        <v>1803240095081</v>
      </c>
      <c r="AP170" s="85" t="str">
        <f>IFERROR(__xludf.DUMMYFUNCTION("""COMPUTED_VALUE"""),"18032400950810001")</f>
        <v>18032400950810001</v>
      </c>
      <c r="AQ170" s="93"/>
      <c r="AR170" s="85"/>
      <c r="AS170" s="85"/>
      <c r="AT170" s="85" t="str">
        <f>IFERROR(__xludf.DUMMYFUNCTION("""COMPUTED_VALUE"""),"-6.2408466")</f>
        <v>-6.2408466</v>
      </c>
      <c r="AU170" s="85" t="str">
        <f>IFERROR(__xludf.DUMMYFUNCTION("""COMPUTED_VALUE"""),"107.1677198")</f>
        <v>107.1677198</v>
      </c>
      <c r="AV170" s="85"/>
      <c r="AW170" s="85"/>
      <c r="AX170" s="85"/>
      <c r="AY170" s="85"/>
      <c r="AZ170" s="85"/>
      <c r="BA170" s="85"/>
      <c r="BB170" s="85"/>
      <c r="BC170" s="85"/>
      <c r="BD170" s="85"/>
      <c r="BE170" s="85"/>
      <c r="BF170" s="85"/>
      <c r="BG170" s="85"/>
      <c r="BH170" s="85"/>
      <c r="BI170" s="85"/>
      <c r="BJ170" s="85"/>
      <c r="BK170" s="85"/>
      <c r="BL170" s="85"/>
      <c r="BM170" s="85"/>
      <c r="BN170" s="85"/>
      <c r="BO170" s="85"/>
      <c r="BP170" s="85"/>
      <c r="BQ170" s="85"/>
      <c r="BR170" s="85"/>
      <c r="BS170" s="85"/>
      <c r="BT170" s="85"/>
      <c r="BU170" s="85"/>
      <c r="BV170" s="85"/>
      <c r="BW170" s="85"/>
      <c r="BX170" s="85"/>
      <c r="BY170" s="85"/>
      <c r="BZ170" s="85"/>
      <c r="CA170" s="85"/>
      <c r="CB170" s="85"/>
      <c r="CC170" s="85"/>
      <c r="CD170" s="85"/>
      <c r="CE170" s="85"/>
      <c r="CF170" s="85"/>
      <c r="CG170" s="85"/>
      <c r="CH170" s="85"/>
      <c r="CI170" s="85"/>
      <c r="CJ170" s="85"/>
      <c r="CK170" s="2"/>
    </row>
    <row r="171" ht="14.25" customHeight="1">
      <c r="A171" s="80">
        <f>IFERROR(__xludf.DUMMYFUNCTION("""COMPUTED_VALUE"""),168.0)</f>
        <v>168</v>
      </c>
      <c r="B171" s="80"/>
      <c r="C171" s="80"/>
      <c r="D171" s="81">
        <f>IFERROR(__xludf.DUMMYFUNCTION("""COMPUTED_VALUE"""),45366.0)</f>
        <v>45366</v>
      </c>
      <c r="E171" s="82"/>
      <c r="F171" s="80"/>
      <c r="G171" s="81"/>
      <c r="H171" s="80"/>
      <c r="I171" s="80"/>
      <c r="J171" s="80"/>
      <c r="K171" s="80"/>
      <c r="L171" s="80"/>
      <c r="M171" s="80"/>
      <c r="N171" s="80"/>
      <c r="O171" s="80"/>
      <c r="P171" s="80" t="str">
        <f>IFERROR(__xludf.DUMMYFUNCTION("""COMPUTED_VALUE"""),"53BSPA04951JBDWH")</f>
        <v>53BSPA04951JBDWH</v>
      </c>
      <c r="Q171" s="80" t="str">
        <f>IFERROR(__xludf.DUMMYFUNCTION("""COMPUTED_VALUE"""),"RIDHA POST")</f>
        <v>RIDHA POST</v>
      </c>
      <c r="R171" s="80" t="str">
        <f>IFERROR(__xludf.DUMMYFUNCTION("""COMPUTED_VALUE"""),"MUC RIDHA POST")</f>
        <v>MUC RIDHA POST</v>
      </c>
      <c r="S171" s="80" t="str">
        <f>IFERROR(__xludf.DUMMYFUNCTION("""COMPUTED_VALUE"""),"IBNU MAULANA")</f>
        <v>IBNU MAULANA</v>
      </c>
      <c r="T171" s="80" t="str">
        <f>IFERROR(__xludf.DUMMYFUNCTION("""COMPUTED_VALUE"""),"BUGEL INDAH, BLOK D6 NO. 9, RT. 001, RW. 02, KEL.BUGEL, KEC.KARAWACI, KOTA TANGERANG, BANTEN, 15113")</f>
        <v>BUGEL INDAH, BLOK D6 NO. 9, RT. 001, RW. 02, KEL.BUGEL, KEC.KARAWACI, KOTA TANGERANG, BANTEN, 15113</v>
      </c>
      <c r="U171" s="80" t="str">
        <f>IFERROR(__xludf.DUMMYFUNCTION("""COMPUTED_VALUE"""),"BUGEL INDAH, BLOK D6 NO. 9, ")</f>
        <v>BUGEL INDAH, BLOK D6 NO. 9, </v>
      </c>
      <c r="V171" s="80" t="str">
        <f>IFERROR(__xludf.DUMMYFUNCTION("""COMPUTED_VALUE"""),"001/02 ")</f>
        <v>001/02 </v>
      </c>
      <c r="W171" s="80" t="str">
        <f>IFERROR(__xludf.DUMMYFUNCTION("""COMPUTED_VALUE"""),"BUGEL ")</f>
        <v>BUGEL </v>
      </c>
      <c r="X171" s="80" t="str">
        <f>IFERROR(__xludf.DUMMYFUNCTION("""COMPUTED_VALUE"""),"KARAWACI ")</f>
        <v>KARAWACI </v>
      </c>
      <c r="Y171" s="80" t="str">
        <f>IFERROR(__xludf.DUMMYFUNCTION("""COMPUTED_VALUE"""),"TANGERANG ")</f>
        <v>TANGERANG </v>
      </c>
      <c r="Z171" s="80" t="str">
        <f>IFERROR(__xludf.DUMMYFUNCTION("""COMPUTED_VALUE"""),"BANTEN ")</f>
        <v>BANTEN </v>
      </c>
      <c r="AA171" s="80" t="str">
        <f>IFERROR(__xludf.DUMMYFUNCTION("""COMPUTED_VALUE"""),"15113")</f>
        <v>15113</v>
      </c>
      <c r="AB171" s="80" t="str">
        <f>IFERROR(__xludf.DUMMYFUNCTION("""COMPUTED_VALUE"""),"3671062703760002")</f>
        <v>3671062703760002</v>
      </c>
      <c r="AC171" s="80" t="str">
        <f>IFERROR(__xludf.DUMMYFUNCTION("""COMPUTED_VALUE"""),"38.303.497.2-402.000")</f>
        <v>38.303.497.2-402.000</v>
      </c>
      <c r="AD171" s="80" t="str">
        <f>IFERROR(__xludf.DUMMYFUNCTION("""COMPUTED_VALUE"""),"CUM - PS - DWIH")</f>
        <v>CUM - PS - DWIH</v>
      </c>
      <c r="AE171" s="80" t="str">
        <f>IFERROR(__xludf.DUMMYFUNCTION("""COMPUTED_VALUE"""),"SUB DWI POS")</f>
        <v>SUB DWI POS</v>
      </c>
      <c r="AF171" s="80" t="str">
        <f>IFERROR(__xludf.DUMMYFUNCTION("""COMPUTED_VALUE"""),"085288932923")</f>
        <v>085288932923</v>
      </c>
      <c r="AG171" s="80"/>
      <c r="AH171" s="80" t="str">
        <f>IFERROR(__xludf.DUMMYFUNCTION("""COMPUTED_VALUE"""),"srituminingn@gmail.com")</f>
        <v>srituminingn@gmail.com</v>
      </c>
      <c r="AI171" s="80" t="str">
        <f>IFERROR(__xludf.DUMMYFUNCTION("""COMPUTED_VALUE"""),"15826S2")</f>
        <v>15826S2</v>
      </c>
      <c r="AJ171" s="80" t="str">
        <f>IFERROR(__xludf.DUMMYFUNCTION("""COMPUTED_VALUE"""),"667cd7152668be4932099209")</f>
        <v>667cd7152668be4932099209</v>
      </c>
      <c r="AK171" s="80" t="str">
        <f>IFERROR(__xludf.DUMMYFUNCTION("""COMPUTED_VALUE"""),"dm15826s2")</f>
        <v>dm15826s2</v>
      </c>
      <c r="AL171" s="80" t="str">
        <f>IFERROR(__xludf.DUMMYFUNCTION("""COMPUTED_VALUE"""),"#15826Pos")</f>
        <v>#15826Pos</v>
      </c>
      <c r="AM171" s="80" t="str">
        <f>IFERROR(__xludf.DUMMYFUNCTION("""COMPUTED_VALUE"""),"KANTOR REGIONAL II JAKARTA 10004")</f>
        <v>KANTOR REGIONAL II JAKARTA 10004</v>
      </c>
      <c r="AN171" s="80" t="str">
        <f>IFERROR(__xludf.DUMMYFUNCTION("""COMPUTED_VALUE"""),"KCU TANGERANG 15000")</f>
        <v>KCU TANGERANG 15000</v>
      </c>
      <c r="AO171" s="80" t="str">
        <f>IFERROR(__xludf.DUMMYFUNCTION("""COMPUTED_VALUE"""),"1503240083793")</f>
        <v>1503240083793</v>
      </c>
      <c r="AP171" s="80" t="str">
        <f>IFERROR(__xludf.DUMMYFUNCTION("""COMPUTED_VALUE"""),"15032400837930001")</f>
        <v>15032400837930001</v>
      </c>
      <c r="AQ171" s="83"/>
      <c r="AR171" s="80"/>
      <c r="AS171" s="80"/>
      <c r="AT171" s="80" t="str">
        <f>IFERROR(__xludf.DUMMYFUNCTION("""COMPUTED_VALUE"""),"-6.3191111")</f>
        <v>-6.3191111</v>
      </c>
      <c r="AU171" s="80" t="str">
        <f>IFERROR(__xludf.DUMMYFUNCTION("""COMPUTED_VALUE"""),"106.578133")</f>
        <v>106.578133</v>
      </c>
      <c r="AV171" s="80"/>
      <c r="AW171" s="80"/>
      <c r="AX171" s="80"/>
      <c r="AY171" s="80"/>
      <c r="AZ171" s="80"/>
      <c r="BA171" s="80"/>
      <c r="BB171" s="80"/>
      <c r="BC171" s="80"/>
      <c r="BD171" s="80"/>
      <c r="BE171" s="80"/>
      <c r="BF171" s="80"/>
      <c r="BG171" s="80"/>
      <c r="BH171" s="80"/>
      <c r="BI171" s="80"/>
      <c r="BJ171" s="80"/>
      <c r="BK171" s="80"/>
      <c r="BL171" s="80"/>
      <c r="BM171" s="80"/>
      <c r="BN171" s="80"/>
      <c r="BO171" s="80"/>
      <c r="BP171" s="80"/>
      <c r="BQ171" s="80"/>
      <c r="BR171" s="80"/>
      <c r="BS171" s="80"/>
      <c r="BT171" s="80"/>
      <c r="BU171" s="80"/>
      <c r="BV171" s="80"/>
      <c r="BW171" s="80"/>
      <c r="BX171" s="80"/>
      <c r="BY171" s="80"/>
      <c r="BZ171" s="80"/>
      <c r="CA171" s="80"/>
      <c r="CB171" s="80"/>
      <c r="CC171" s="80"/>
      <c r="CD171" s="80"/>
      <c r="CE171" s="80"/>
      <c r="CF171" s="80"/>
      <c r="CG171" s="80"/>
      <c r="CH171" s="80"/>
      <c r="CI171" s="80"/>
      <c r="CJ171" s="80"/>
      <c r="CK171" s="2"/>
    </row>
    <row r="172" ht="12.75" customHeight="1">
      <c r="A172" s="85">
        <f>IFERROR(__xludf.DUMMYFUNCTION("""COMPUTED_VALUE"""),169.0)</f>
        <v>169</v>
      </c>
      <c r="B172" s="85"/>
      <c r="C172" s="85"/>
      <c r="D172" s="86">
        <f>IFERROR(__xludf.DUMMYFUNCTION("""COMPUTED_VALUE"""),45364.0)</f>
        <v>45364</v>
      </c>
      <c r="E172" s="88"/>
      <c r="F172" s="85"/>
      <c r="G172" s="86"/>
      <c r="H172" s="85"/>
      <c r="I172" s="85"/>
      <c r="J172" s="85"/>
      <c r="K172" s="85"/>
      <c r="L172" s="85"/>
      <c r="M172" s="85"/>
      <c r="N172" s="85"/>
      <c r="O172" s="85"/>
      <c r="P172" s="85" t="str">
        <f>IFERROR(__xludf.DUMMYFUNCTION("""COMPUTED_VALUE"""),"53BSPA04419JBEEN")</f>
        <v>53BSPA04419JBEEN</v>
      </c>
      <c r="Q172" s="85" t="str">
        <f>IFERROR(__xludf.DUMMYFUNCTION("""COMPUTED_VALUE"""),"AGEN POST ANYELIR")</f>
        <v>AGEN POST ANYELIR</v>
      </c>
      <c r="R172" s="85" t="str">
        <f>IFERROR(__xludf.DUMMYFUNCTION("""COMPUTED_VALUE"""),"AGEN POST ANYELIR")</f>
        <v>AGEN POST ANYELIR</v>
      </c>
      <c r="S172" s="85" t="str">
        <f>IFERROR(__xludf.DUMMYFUNCTION("""COMPUTED_VALUE"""),"MUHAMMAD YUSUF")</f>
        <v>MUHAMMAD YUSUF</v>
      </c>
      <c r="T172" s="85" t="str">
        <f>IFERROR(__xludf.DUMMYFUNCTION("""COMPUTED_VALUE"""),"JL. ANYELIR 6 NO. 90 RT. 003/006, KEL.DEPOK JAYA, KEC.PANCORAN MAS, KOTA DEPOK, JAWA BARAT,16432")</f>
        <v>JL. ANYELIR 6 NO. 90 RT. 003/006, KEL.DEPOK JAYA, KEC.PANCORAN MAS, KOTA DEPOK, JAWA BARAT,16432</v>
      </c>
      <c r="U172" s="85" t="str">
        <f>IFERROR(__xludf.DUMMYFUNCTION("""COMPUTED_VALUE"""),"JL. ANYELIR 6 NO. 90 ")</f>
        <v>JL. ANYELIR 6 NO. 90 </v>
      </c>
      <c r="V172" s="85" t="str">
        <f>IFERROR(__xludf.DUMMYFUNCTION("""COMPUTED_VALUE"""),"003/006 ")</f>
        <v>003/006 </v>
      </c>
      <c r="W172" s="85" t="str">
        <f>IFERROR(__xludf.DUMMYFUNCTION("""COMPUTED_VALUE"""),"DEPOK JAYA ")</f>
        <v>DEPOK JAYA </v>
      </c>
      <c r="X172" s="85" t="str">
        <f>IFERROR(__xludf.DUMMYFUNCTION("""COMPUTED_VALUE"""),"PANCORAN MAS ")</f>
        <v>PANCORAN MAS </v>
      </c>
      <c r="Y172" s="85" t="str">
        <f>IFERROR(__xludf.DUMMYFUNCTION("""COMPUTED_VALUE"""),"DEPOK ")</f>
        <v>DEPOK </v>
      </c>
      <c r="Z172" s="85" t="str">
        <f>IFERROR(__xludf.DUMMYFUNCTION("""COMPUTED_VALUE"""),"JAWA BARAT ")</f>
        <v>JAWA BARAT </v>
      </c>
      <c r="AA172" s="85" t="str">
        <f>IFERROR(__xludf.DUMMYFUNCTION("""COMPUTED_VALUE"""),"16432")</f>
        <v>16432</v>
      </c>
      <c r="AB172" s="85" t="str">
        <f>IFERROR(__xludf.DUMMYFUNCTION("""COMPUTED_VALUE"""),"3276012909770008")</f>
        <v>3276012909770008</v>
      </c>
      <c r="AC172" s="85" t="str">
        <f>IFERROR(__xludf.DUMMYFUNCTION("""COMPUTED_VALUE"""),"32.760.129.0-977.0008")</f>
        <v>32.760.129.0-977.0008</v>
      </c>
      <c r="AD172" s="85" t="str">
        <f>IFERROR(__xludf.DUMMYFUNCTION("""COMPUTED_VALUE"""),"CUM - EEN")</f>
        <v>CUM - EEN</v>
      </c>
      <c r="AE172" s="85" t="str">
        <f>IFERROR(__xludf.DUMMYFUNCTION("""COMPUTED_VALUE"""),"SUB EEN")</f>
        <v>SUB EEN</v>
      </c>
      <c r="AF172" s="85" t="str">
        <f>IFERROR(__xludf.DUMMYFUNCTION("""COMPUTED_VALUE"""),"085779680335")</f>
        <v>085779680335</v>
      </c>
      <c r="AG172" s="85"/>
      <c r="AH172" s="85" t="str">
        <f>IFERROR(__xludf.DUMMYFUNCTION("""COMPUTED_VALUE"""),"ysfeagle7@gmail.com")</f>
        <v>ysfeagle7@gmail.com</v>
      </c>
      <c r="AI172" s="85" t="str">
        <f>IFERROR(__xludf.DUMMYFUNCTION("""COMPUTED_VALUE"""),"16432S3")</f>
        <v>16432S3</v>
      </c>
      <c r="AJ172" s="85" t="str">
        <f>IFERROR(__xludf.DUMMYFUNCTION("""COMPUTED_VALUE"""),"66308a9a32c4039668054bbe")</f>
        <v>66308a9a32c4039668054bbe</v>
      </c>
      <c r="AK172" s="85" t="str">
        <f>IFERROR(__xludf.DUMMYFUNCTION("""COMPUTED_VALUE"""),"dm16432s3")</f>
        <v>dm16432s3</v>
      </c>
      <c r="AL172" s="85" t="str">
        <f>IFERROR(__xludf.DUMMYFUNCTION("""COMPUTED_VALUE"""),"#16432Pos")</f>
        <v>#16432Pos</v>
      </c>
      <c r="AM172" s="85" t="str">
        <f>IFERROR(__xludf.DUMMYFUNCTION("""COMPUTED_VALUE"""),"KANTOR REGIONAL II JAKARTA 10004")</f>
        <v>KANTOR REGIONAL II JAKARTA 10004</v>
      </c>
      <c r="AN172" s="85" t="str">
        <f>IFERROR(__xludf.DUMMYFUNCTION("""COMPUTED_VALUE"""),"KC DEPOK 16400")</f>
        <v>KC DEPOK 16400</v>
      </c>
      <c r="AO172" s="85" t="str">
        <f>IFERROR(__xludf.DUMMYFUNCTION("""COMPUTED_VALUE"""),"0803240063859")</f>
        <v>0803240063859</v>
      </c>
      <c r="AP172" s="85" t="str">
        <f>IFERROR(__xludf.DUMMYFUNCTION("""COMPUTED_VALUE"""),"08032400638590001")</f>
        <v>08032400638590001</v>
      </c>
      <c r="AQ172" s="93"/>
      <c r="AR172" s="85"/>
      <c r="AS172" s="85"/>
      <c r="AT172" s="85" t="str">
        <f>IFERROR(__xludf.DUMMYFUNCTION("""COMPUTED_VALUE"""),"-6.391569")</f>
        <v>-6.391569</v>
      </c>
      <c r="AU172" s="85" t="str">
        <f>IFERROR(__xludf.DUMMYFUNCTION("""COMPUTED_VALUE"""),"106.814819")</f>
        <v>106.814819</v>
      </c>
      <c r="AV172" s="85"/>
      <c r="AW172" s="85"/>
      <c r="AX172" s="85"/>
      <c r="AY172" s="85"/>
      <c r="AZ172" s="85"/>
      <c r="BA172" s="85"/>
      <c r="BB172" s="85"/>
      <c r="BC172" s="85"/>
      <c r="BD172" s="85"/>
      <c r="BE172" s="85"/>
      <c r="BF172" s="85"/>
      <c r="BG172" s="85"/>
      <c r="BH172" s="85"/>
      <c r="BI172" s="85"/>
      <c r="BJ172" s="85"/>
      <c r="BK172" s="85"/>
      <c r="BL172" s="85"/>
      <c r="BM172" s="85"/>
      <c r="BN172" s="85"/>
      <c r="BO172" s="85"/>
      <c r="BP172" s="85"/>
      <c r="BQ172" s="85"/>
      <c r="BR172" s="85"/>
      <c r="BS172" s="85"/>
      <c r="BT172" s="85"/>
      <c r="BU172" s="85"/>
      <c r="BV172" s="85"/>
      <c r="BW172" s="85"/>
      <c r="BX172" s="85"/>
      <c r="BY172" s="85"/>
      <c r="BZ172" s="85"/>
      <c r="CA172" s="85"/>
      <c r="CB172" s="85"/>
      <c r="CC172" s="85"/>
      <c r="CD172" s="85"/>
      <c r="CE172" s="85"/>
      <c r="CF172" s="85"/>
      <c r="CG172" s="85"/>
      <c r="CH172" s="85"/>
      <c r="CI172" s="85"/>
      <c r="CJ172" s="85"/>
      <c r="CK172" s="2"/>
    </row>
    <row r="173" ht="12.75" customHeight="1">
      <c r="A173" s="80">
        <f>IFERROR(__xludf.DUMMYFUNCTION("""COMPUTED_VALUE"""),170.0)</f>
        <v>170</v>
      </c>
      <c r="B173" s="80"/>
      <c r="C173" s="80"/>
      <c r="D173" s="81">
        <f>IFERROR(__xludf.DUMMYFUNCTION("""COMPUTED_VALUE"""),45360.0)</f>
        <v>45360</v>
      </c>
      <c r="E173" s="82"/>
      <c r="F173" s="80"/>
      <c r="G173" s="81"/>
      <c r="H173" s="80"/>
      <c r="I173" s="80"/>
      <c r="J173" s="80"/>
      <c r="K173" s="80"/>
      <c r="L173" s="80"/>
      <c r="M173" s="80"/>
      <c r="N173" s="80"/>
      <c r="O173" s="80"/>
      <c r="P173" s="80" t="str">
        <f>IFERROR(__xludf.DUMMYFUNCTION("""COMPUTED_VALUE"""),"52BSPA07578JTBPK")</f>
        <v>52BSPA07578JTBPK</v>
      </c>
      <c r="Q173" s="80" t="str">
        <f>IFERROR(__xludf.DUMMYFUNCTION("""COMPUTED_VALUE"""),"Mitra Post Indonesia")</f>
        <v>Mitra Post Indonesia</v>
      </c>
      <c r="R173" s="80" t="str">
        <f>IFERROR(__xludf.DUMMYFUNCTION("""COMPUTED_VALUE"""),"MITRA POST INDONESIA")</f>
        <v>MITRA POST INDONESIA</v>
      </c>
      <c r="S173" s="80" t="str">
        <f>IFERROR(__xludf.DUMMYFUNCTION("""COMPUTED_VALUE"""),"NOVITA SARI")</f>
        <v>NOVITA SARI</v>
      </c>
      <c r="T173" s="80" t="str">
        <f>IFERROR(__xludf.DUMMYFUNCTION("""COMPUTED_VALUE"""),"KEPARAKAN KIDUL MG I/1288 YK RT 053/RW 012, KEL.KEPARAKAN, KEC.MERGANGSAN, KOTA YOGYAKARTA, DAERAH ISTIMEWA YOGYAKARTA, 55152")</f>
        <v>KEPARAKAN KIDUL MG I/1288 YK RT 053/RW 012, KEL.KEPARAKAN, KEC.MERGANGSAN, KOTA YOGYAKARTA, DAERAH ISTIMEWA YOGYAKARTA, 55152</v>
      </c>
      <c r="U173" s="80" t="str">
        <f>IFERROR(__xludf.DUMMYFUNCTION("""COMPUTED_VALUE"""),"JL. PURBAYAPATEN")</f>
        <v>JL. PURBAYAPATEN</v>
      </c>
      <c r="V173" s="80"/>
      <c r="W173" s="80" t="str">
        <f>IFERROR(__xludf.DUMMYFUNCTION("""COMPUTED_VALUE"""),"TRIDADI")</f>
        <v>TRIDADI</v>
      </c>
      <c r="X173" s="80" t="str">
        <f>IFERROR(__xludf.DUMMYFUNCTION("""COMPUTED_VALUE"""),"SLEMAN")</f>
        <v>SLEMAN</v>
      </c>
      <c r="Y173" s="80" t="str">
        <f>IFERROR(__xludf.DUMMYFUNCTION("""COMPUTED_VALUE"""),"SLEMAN")</f>
        <v>SLEMAN</v>
      </c>
      <c r="Z173" s="80" t="str">
        <f>IFERROR(__xludf.DUMMYFUNCTION("""COMPUTED_VALUE"""),"D.I YOGYAKARTA")</f>
        <v>D.I YOGYAKARTA</v>
      </c>
      <c r="AA173" s="80" t="str">
        <f>IFERROR(__xludf.DUMMYFUNCTION("""COMPUTED_VALUE"""),"55511")</f>
        <v>55511</v>
      </c>
      <c r="AB173" s="80" t="str">
        <f>IFERROR(__xludf.DUMMYFUNCTION("""COMPUTED_VALUE"""),"3471126811890001")</f>
        <v>3471126811890001</v>
      </c>
      <c r="AC173" s="80" t="str">
        <f>IFERROR(__xludf.DUMMYFUNCTION("""COMPUTED_VALUE"""),"97.525.787.4-541.000")</f>
        <v>97.525.787.4-541.000</v>
      </c>
      <c r="AD173" s="80" t="str">
        <f>IFERROR(__xludf.DUMMYFUNCTION("""COMPUTED_VALUE"""),"CUM - PS - BPKT")</f>
        <v>CUM - PS - BPKT</v>
      </c>
      <c r="AE173" s="80" t="str">
        <f>IFERROR(__xludf.DUMMYFUNCTION("""COMPUTED_VALUE"""),"SUB PURBO POS")</f>
        <v>SUB PURBO POS</v>
      </c>
      <c r="AF173" s="80" t="str">
        <f>IFERROR(__xludf.DUMMYFUNCTION("""COMPUTED_VALUE"""),"082220055644")</f>
        <v>082220055644</v>
      </c>
      <c r="AG173" s="80"/>
      <c r="AH173" s="80" t="str">
        <f>IFERROR(__xludf.DUMMYFUNCTION("""COMPUTED_VALUE"""),"indonesiamitrapos@gmail.com")</f>
        <v>indonesiamitrapos@gmail.com</v>
      </c>
      <c r="AI173" s="80" t="str">
        <f>IFERROR(__xludf.DUMMYFUNCTION("""COMPUTED_VALUE"""),"55511S2")</f>
        <v>55511S2</v>
      </c>
      <c r="AJ173" s="80" t="str">
        <f>IFERROR(__xludf.DUMMYFUNCTION("""COMPUTED_VALUE"""),"6607ad6df7d09d9f8c090766")</f>
        <v>6607ad6df7d09d9f8c090766</v>
      </c>
      <c r="AK173" s="80" t="str">
        <f>IFERROR(__xludf.DUMMYFUNCTION("""COMPUTED_VALUE"""),"dm55511s2")</f>
        <v>dm55511s2</v>
      </c>
      <c r="AL173" s="80" t="str">
        <f>IFERROR(__xludf.DUMMYFUNCTION("""COMPUTED_VALUE"""),"#55511Pos")</f>
        <v>#55511Pos</v>
      </c>
      <c r="AM173" s="80" t="str">
        <f>IFERROR(__xludf.DUMMYFUNCTION("""COMPUTED_VALUE"""),"KANTOR REGIONAL IV SEMARANG 50004")</f>
        <v>KANTOR REGIONAL IV SEMARANG 50004</v>
      </c>
      <c r="AN173" s="80" t="str">
        <f>IFERROR(__xludf.DUMMYFUNCTION("""COMPUTED_VALUE"""),"KCU YOGYAKARTA 55000")</f>
        <v>KCU YOGYAKARTA 55000</v>
      </c>
      <c r="AO173" s="80" t="str">
        <f>IFERROR(__xludf.DUMMYFUNCTION("""COMPUTED_VALUE"""),"2002240311302")</f>
        <v>2002240311302</v>
      </c>
      <c r="AP173" s="80" t="str">
        <f>IFERROR(__xludf.DUMMYFUNCTION("""COMPUTED_VALUE"""),"20022403113020001")</f>
        <v>20022403113020001</v>
      </c>
      <c r="AQ173" s="83"/>
      <c r="AR173" s="80"/>
      <c r="AS173" s="80"/>
      <c r="AT173" s="80" t="str">
        <f>IFERROR(__xludf.DUMMYFUNCTION("""COMPUTED_VALUE"""),"-7.709397")</f>
        <v>-7.709397</v>
      </c>
      <c r="AU173" s="80" t="str">
        <f>IFERROR(__xludf.DUMMYFUNCTION("""COMPUTED_VALUE"""),"110.34476")</f>
        <v>110.34476</v>
      </c>
      <c r="AV173" s="80"/>
      <c r="AW173" s="80"/>
      <c r="AX173" s="80"/>
      <c r="AY173" s="80"/>
      <c r="AZ173" s="80"/>
      <c r="BA173" s="80"/>
      <c r="BB173" s="80"/>
      <c r="BC173" s="80"/>
      <c r="BD173" s="80"/>
      <c r="BE173" s="80"/>
      <c r="BF173" s="80"/>
      <c r="BG173" s="80"/>
      <c r="BH173" s="80"/>
      <c r="BI173" s="80"/>
      <c r="BJ173" s="80"/>
      <c r="BK173" s="80"/>
      <c r="BL173" s="80"/>
      <c r="BM173" s="80"/>
      <c r="BN173" s="80"/>
      <c r="BO173" s="80"/>
      <c r="BP173" s="80"/>
      <c r="BQ173" s="80"/>
      <c r="BR173" s="80"/>
      <c r="BS173" s="80"/>
      <c r="BT173" s="80"/>
      <c r="BU173" s="80"/>
      <c r="BV173" s="80"/>
      <c r="BW173" s="80"/>
      <c r="BX173" s="80"/>
      <c r="BY173" s="80"/>
      <c r="BZ173" s="80"/>
      <c r="CA173" s="80"/>
      <c r="CB173" s="80"/>
      <c r="CC173" s="80"/>
      <c r="CD173" s="80"/>
      <c r="CE173" s="80"/>
      <c r="CF173" s="80"/>
      <c r="CG173" s="80"/>
      <c r="CH173" s="80"/>
      <c r="CI173" s="80"/>
      <c r="CJ173" s="80"/>
      <c r="CK173" s="2"/>
    </row>
    <row r="174" ht="14.25" customHeight="1">
      <c r="A174" s="85">
        <f>IFERROR(__xludf.DUMMYFUNCTION("""COMPUTED_VALUE"""),171.0)</f>
        <v>171</v>
      </c>
      <c r="B174" s="85"/>
      <c r="C174" s="85"/>
      <c r="D174" s="86">
        <f>IFERROR(__xludf.DUMMYFUNCTION("""COMPUTED_VALUE"""),45370.0)</f>
        <v>45370</v>
      </c>
      <c r="E174" s="88"/>
      <c r="F174" s="85"/>
      <c r="G174" s="86"/>
      <c r="H174" s="85"/>
      <c r="I174" s="85"/>
      <c r="J174" s="85"/>
      <c r="K174" s="85"/>
      <c r="L174" s="85"/>
      <c r="M174" s="85"/>
      <c r="N174" s="85"/>
      <c r="O174" s="85"/>
      <c r="P174" s="85" t="str">
        <f>IFERROR(__xludf.DUMMYFUNCTION("""COMPUTED_VALUE"""),"53BSPA04501JBFAN")</f>
        <v>53BSPA04501JBFAN</v>
      </c>
      <c r="Q174" s="85" t="str">
        <f>IFERROR(__xludf.DUMMYFUNCTION("""COMPUTED_VALUE"""),"LAPAK DK")</f>
        <v>LAPAK DK</v>
      </c>
      <c r="R174" s="85" t="str">
        <f>IFERROR(__xludf.DUMMYFUNCTION("""COMPUTED_VALUE"""),"LAPAK DK")</f>
        <v>LAPAK DK</v>
      </c>
      <c r="S174" s="85" t="str">
        <f>IFERROR(__xludf.DUMMYFUNCTION("""COMPUTED_VALUE"""),"HERMAWAN HUSEN")</f>
        <v>HERMAWAN HUSEN</v>
      </c>
      <c r="T174" s="85" t="str">
        <f>IFERROR(__xludf.DUMMYFUNCTION("""COMPUTED_VALUE"""),"GUNUNG RAHAYU 13 RT 003 RW 010, KEL. PASIRKALIKI, KEC. CIMAHI UTARA, KOTA CIMAHI, JAWA BARAT,40514")</f>
        <v>GUNUNG RAHAYU 13 RT 003 RW 010, KEL. PASIRKALIKI, KEC. CIMAHI UTARA, KOTA CIMAHI, JAWA BARAT,40514</v>
      </c>
      <c r="U174" s="85" t="str">
        <f>IFERROR(__xludf.DUMMYFUNCTION("""COMPUTED_VALUE"""),"GUNUNG RAHAYU 13 ")</f>
        <v>GUNUNG RAHAYU 13 </v>
      </c>
      <c r="V174" s="85" t="str">
        <f>IFERROR(__xludf.DUMMYFUNCTION("""COMPUTED_VALUE"""),"003/010")</f>
        <v>003/010</v>
      </c>
      <c r="W174" s="85" t="str">
        <f>IFERROR(__xludf.DUMMYFUNCTION("""COMPUTED_VALUE"""),"PASIRKALIKI")</f>
        <v>PASIRKALIKI</v>
      </c>
      <c r="X174" s="85" t="str">
        <f>IFERROR(__xludf.DUMMYFUNCTION("""COMPUTED_VALUE"""),"CIMAHI UTARA")</f>
        <v>CIMAHI UTARA</v>
      </c>
      <c r="Y174" s="85" t="str">
        <f>IFERROR(__xludf.DUMMYFUNCTION("""COMPUTED_VALUE"""),"CIMAHI")</f>
        <v>CIMAHI</v>
      </c>
      <c r="Z174" s="85" t="str">
        <f>IFERROR(__xludf.DUMMYFUNCTION("""COMPUTED_VALUE"""),"JAWA BARAT")</f>
        <v>JAWA BARAT</v>
      </c>
      <c r="AA174" s="85" t="str">
        <f>IFERROR(__xludf.DUMMYFUNCTION("""COMPUTED_VALUE"""),"40514")</f>
        <v>40514</v>
      </c>
      <c r="AB174" s="85" t="str">
        <f>IFERROR(__xludf.DUMMYFUNCTION("""COMPUTED_VALUE"""),"3277032803700005")</f>
        <v>3277032803700005</v>
      </c>
      <c r="AC174" s="85" t="str">
        <f>IFERROR(__xludf.DUMMYFUNCTION("""COMPUTED_VALUE"""),"93.021.971.2-421.000")</f>
        <v>93.021.971.2-421.000</v>
      </c>
      <c r="AD174" s="85" t="str">
        <f>IFERROR(__xludf.DUMMYFUNCTION("""COMPUTED_VALUE"""),"CUM - PS - FAN")</f>
        <v>CUM - PS - FAN</v>
      </c>
      <c r="AE174" s="85" t="str">
        <f>IFERROR(__xludf.DUMMYFUNCTION("""COMPUTED_VALUE"""),"SUB FAHMA POS")</f>
        <v>SUB FAHMA POS</v>
      </c>
      <c r="AF174" s="85" t="str">
        <f>IFERROR(__xludf.DUMMYFUNCTION("""COMPUTED_VALUE"""),"089575031970")</f>
        <v>089575031970</v>
      </c>
      <c r="AG174" s="85"/>
      <c r="AH174" s="85" t="str">
        <f>IFERROR(__xludf.DUMMYFUNCTION("""COMPUTED_VALUE"""),"3341101@gmail.com")</f>
        <v>3341101@gmail.com</v>
      </c>
      <c r="AI174" s="85" t="str">
        <f>IFERROR(__xludf.DUMMYFUNCTION("""COMPUTED_VALUE"""),"40514S1")</f>
        <v>40514S1</v>
      </c>
      <c r="AJ174" s="85" t="str">
        <f>IFERROR(__xludf.DUMMYFUNCTION("""COMPUTED_VALUE"""),"663493548af04b2c690666a8")</f>
        <v>663493548af04b2c690666a8</v>
      </c>
      <c r="AK174" s="85" t="str">
        <f>IFERROR(__xludf.DUMMYFUNCTION("""COMPUTED_VALUE"""),"dm40514s1")</f>
        <v>dm40514s1</v>
      </c>
      <c r="AL174" s="85" t="str">
        <f>IFERROR(__xludf.DUMMYFUNCTION("""COMPUTED_VALUE"""),"#40514Pos")</f>
        <v>#40514Pos</v>
      </c>
      <c r="AM174" s="85" t="str">
        <f>IFERROR(__xludf.DUMMYFUNCTION("""COMPUTED_VALUE"""),"KANTOR REGIONAL III BANDUNG 40004")</f>
        <v>KANTOR REGIONAL III BANDUNG 40004</v>
      </c>
      <c r="AN174" s="85" t="str">
        <f>IFERROR(__xludf.DUMMYFUNCTION("""COMPUTED_VALUE"""),"KC CIMAHI 40500")</f>
        <v>KC CIMAHI 40500</v>
      </c>
      <c r="AO174" s="85" t="str">
        <f>IFERROR(__xludf.DUMMYFUNCTION("""COMPUTED_VALUE"""),"1903240316805")</f>
        <v>1903240316805</v>
      </c>
      <c r="AP174" s="85" t="str">
        <f>IFERROR(__xludf.DUMMYFUNCTION("""COMPUTED_VALUE"""),"19032403168050001")</f>
        <v>19032403168050001</v>
      </c>
      <c r="AQ174" s="93"/>
      <c r="AR174" s="85"/>
      <c r="AS174" s="85"/>
      <c r="AT174" s="85" t="str">
        <f>IFERROR(__xludf.DUMMYFUNCTION("""COMPUTED_VALUE"""),"-6.8863645")</f>
        <v>-6.8863645</v>
      </c>
      <c r="AU174" s="85" t="str">
        <f>IFERROR(__xludf.DUMMYFUNCTION("""COMPUTED_VALUE"""),"107.5681023")</f>
        <v>107.5681023</v>
      </c>
      <c r="AV174" s="85"/>
      <c r="AW174" s="85"/>
      <c r="AX174" s="85"/>
      <c r="AY174" s="85"/>
      <c r="AZ174" s="85"/>
      <c r="BA174" s="85"/>
      <c r="BB174" s="85"/>
      <c r="BC174" s="85"/>
      <c r="BD174" s="85"/>
      <c r="BE174" s="85"/>
      <c r="BF174" s="85"/>
      <c r="BG174" s="85"/>
      <c r="BH174" s="85"/>
      <c r="BI174" s="85"/>
      <c r="BJ174" s="85"/>
      <c r="BK174" s="85"/>
      <c r="BL174" s="85"/>
      <c r="BM174" s="85"/>
      <c r="BN174" s="85"/>
      <c r="BO174" s="85"/>
      <c r="BP174" s="85"/>
      <c r="BQ174" s="85"/>
      <c r="BR174" s="85"/>
      <c r="BS174" s="85"/>
      <c r="BT174" s="85"/>
      <c r="BU174" s="85"/>
      <c r="BV174" s="85"/>
      <c r="BW174" s="85"/>
      <c r="BX174" s="85"/>
      <c r="BY174" s="85"/>
      <c r="BZ174" s="85"/>
      <c r="CA174" s="85"/>
      <c r="CB174" s="85"/>
      <c r="CC174" s="85"/>
      <c r="CD174" s="85"/>
      <c r="CE174" s="85"/>
      <c r="CF174" s="85"/>
      <c r="CG174" s="85"/>
      <c r="CH174" s="85"/>
      <c r="CI174" s="85"/>
      <c r="CJ174" s="85"/>
      <c r="CK174" s="2"/>
    </row>
    <row r="175" ht="12.75" customHeight="1">
      <c r="A175" s="80">
        <f>IFERROR(__xludf.DUMMYFUNCTION("""COMPUTED_VALUE"""),172.0)</f>
        <v>172</v>
      </c>
      <c r="B175" s="80"/>
      <c r="C175" s="80"/>
      <c r="D175" s="81"/>
      <c r="E175" s="82"/>
      <c r="F175" s="80"/>
      <c r="G175" s="81"/>
      <c r="H175" s="80"/>
      <c r="I175" s="80"/>
      <c r="J175" s="80"/>
      <c r="K175" s="80"/>
      <c r="L175" s="80"/>
      <c r="M175" s="80"/>
      <c r="N175" s="80"/>
      <c r="O175" s="80"/>
      <c r="P175" s="80" t="str">
        <f>IFERROR(__xludf.DUMMYFUNCTION("""COMPUTED_VALUE"""),"53BSPA04533JBBDR")</f>
        <v>53BSPA04533JBBDR</v>
      </c>
      <c r="Q175" s="80" t="str">
        <f>IFERROR(__xludf.DUMMYFUNCTION("""COMPUTED_VALUE"""),"Syafa Marwah Cell")</f>
        <v>Syafa Marwah Cell</v>
      </c>
      <c r="R175" s="80" t="str">
        <f>IFERROR(__xludf.DUMMYFUNCTION("""COMPUTED_VALUE"""),"MUC SYAFA MARWAH CELL")</f>
        <v>MUC SYAFA MARWAH CELL</v>
      </c>
      <c r="S175" s="80" t="str">
        <f>IFERROR(__xludf.DUMMYFUNCTION("""COMPUTED_VALUE"""),"Wahyu Abdurohman ")</f>
        <v>Wahyu Abdurohman </v>
      </c>
      <c r="T175" s="80" t="str">
        <f>IFERROR(__xludf.DUMMYFUNCTION("""COMPUTED_VALUE"""),"Kp. Karangmulya RT 01 RW 01 Desa Cibodas Kecamatan Bungursari Kabupaten Purwakarta ")</f>
        <v>Kp. Karangmulya RT 01 RW 01 Desa Cibodas Kecamatan Bungursari Kabupaten Purwakarta </v>
      </c>
      <c r="U175" s="80" t="str">
        <f>IFERROR(__xludf.DUMMYFUNCTION("""COMPUTED_VALUE"""),"Kp. Karangmulya RT 01 RW 01")</f>
        <v>Kp. Karangmulya RT 01 RW 01</v>
      </c>
      <c r="V175" s="80"/>
      <c r="W175" s="80" t="str">
        <f>IFERROR(__xludf.DUMMYFUNCTION("""COMPUTED_VALUE"""),"Cibodas ")</f>
        <v>Cibodas </v>
      </c>
      <c r="X175" s="80" t="str">
        <f>IFERROR(__xludf.DUMMYFUNCTION("""COMPUTED_VALUE"""),"Bungursari ")</f>
        <v>Bungursari </v>
      </c>
      <c r="Y175" s="80" t="str">
        <f>IFERROR(__xludf.DUMMYFUNCTION("""COMPUTED_VALUE"""),"Kab. Purwakarta")</f>
        <v>Kab. Purwakarta</v>
      </c>
      <c r="Z175" s="80" t="str">
        <f>IFERROR(__xludf.DUMMYFUNCTION("""COMPUTED_VALUE"""),"JAWA BARAT")</f>
        <v>JAWA BARAT</v>
      </c>
      <c r="AA175" s="80" t="str">
        <f>IFERROR(__xludf.DUMMYFUNCTION("""COMPUTED_VALUE"""),"41182")</f>
        <v>41182</v>
      </c>
      <c r="AB175" s="80" t="str">
        <f>IFERROR(__xludf.DUMMYFUNCTION("""COMPUTED_VALUE"""),"3214133011940002")</f>
        <v>3214133011940002</v>
      </c>
      <c r="AC175" s="80" t="str">
        <f>IFERROR(__xludf.DUMMYFUNCTION("""COMPUTED_VALUE"""),"42.352.555.9-409.000")</f>
        <v>42.352.555.9-409.000</v>
      </c>
      <c r="AD175" s="80" t="str">
        <f>IFERROR(__xludf.DUMMYFUNCTION("""COMPUTED_VALUE"""),"CUM - ABDR")</f>
        <v>CUM - ABDR</v>
      </c>
      <c r="AE175" s="80" t="str">
        <f>IFERROR(__xludf.DUMMYFUNCTION("""COMPUTED_VALUE"""),"SUB ABDURAHMAN POS")</f>
        <v>SUB ABDURAHMAN POS</v>
      </c>
      <c r="AF175" s="80" t="str">
        <f>IFERROR(__xludf.DUMMYFUNCTION("""COMPUTED_VALUE"""),"087872885863")</f>
        <v>087872885863</v>
      </c>
      <c r="AG175" s="80"/>
      <c r="AH175" s="80" t="str">
        <f>IFERROR(__xludf.DUMMYFUNCTION("""COMPUTED_VALUE"""),"wahyuabdurohman30@gmail.com")</f>
        <v>wahyuabdurohman30@gmail.com</v>
      </c>
      <c r="AI175" s="80" t="str">
        <f>IFERROR(__xludf.DUMMYFUNCTION("""COMPUTED_VALUE"""),"41182S5")</f>
        <v>41182S5</v>
      </c>
      <c r="AJ175" s="80" t="str">
        <f>IFERROR(__xludf.DUMMYFUNCTION("""COMPUTED_VALUE"""),"66a9deabf9a4ba5e190a33bd")</f>
        <v>66a9deabf9a4ba5e190a33bd</v>
      </c>
      <c r="AK175" s="80" t="str">
        <f>IFERROR(__xludf.DUMMYFUNCTION("""COMPUTED_VALUE"""),"dm41182s5")</f>
        <v>dm41182s5</v>
      </c>
      <c r="AL175" s="80" t="str">
        <f>IFERROR(__xludf.DUMMYFUNCTION("""COMPUTED_VALUE"""),"#41182Pos")</f>
        <v>#41182Pos</v>
      </c>
      <c r="AM175" s="80" t="str">
        <f>IFERROR(__xludf.DUMMYFUNCTION("""COMPUTED_VALUE"""),"KANTOR REGIONAL III BANDUNG 40004")</f>
        <v>KANTOR REGIONAL III BANDUNG 40004</v>
      </c>
      <c r="AN175" s="80" t="str">
        <f>IFERROR(__xludf.DUMMYFUNCTION("""COMPUTED_VALUE"""),"KC PURWAKARTA 41100")</f>
        <v>KC PURWAKARTA 41100</v>
      </c>
      <c r="AO175" s="80" t="str">
        <f>IFERROR(__xludf.DUMMYFUNCTION("""COMPUTED_VALUE"""),"0305240059556")</f>
        <v>0305240059556</v>
      </c>
      <c r="AP175" s="80" t="str">
        <f>IFERROR(__xludf.DUMMYFUNCTION("""COMPUTED_VALUE"""),"03052400595560001")</f>
        <v>03052400595560001</v>
      </c>
      <c r="AQ175" s="83"/>
      <c r="AR175" s="80"/>
      <c r="AS175" s="80"/>
      <c r="AT175" s="80" t="str">
        <f>IFERROR(__xludf.DUMMYFUNCTION("""COMPUTED_VALUE"""),"-6.894969")</f>
        <v>-6.894969</v>
      </c>
      <c r="AU175" s="80" t="str">
        <f>IFERROR(__xludf.DUMMYFUNCTION("""COMPUTED_VALUE"""),"107,680,739")</f>
        <v>107,680,739</v>
      </c>
      <c r="AV175" s="80"/>
      <c r="AW175" s="80"/>
      <c r="AX175" s="80"/>
      <c r="AY175" s="80"/>
      <c r="AZ175" s="80"/>
      <c r="BA175" s="80"/>
      <c r="BB175" s="80"/>
      <c r="BC175" s="80"/>
      <c r="BD175" s="80"/>
      <c r="BE175" s="80"/>
      <c r="BF175" s="80"/>
      <c r="BG175" s="80"/>
      <c r="BH175" s="80"/>
      <c r="BI175" s="80"/>
      <c r="BJ175" s="80"/>
      <c r="BK175" s="80"/>
      <c r="BL175" s="80"/>
      <c r="BM175" s="80"/>
      <c r="BN175" s="80"/>
      <c r="BO175" s="80"/>
      <c r="BP175" s="80"/>
      <c r="BQ175" s="80"/>
      <c r="BR175" s="80"/>
      <c r="BS175" s="80"/>
      <c r="BT175" s="80"/>
      <c r="BU175" s="80"/>
      <c r="BV175" s="80"/>
      <c r="BW175" s="80"/>
      <c r="BX175" s="80"/>
      <c r="BY175" s="80"/>
      <c r="BZ175" s="80"/>
      <c r="CA175" s="80"/>
      <c r="CB175" s="80"/>
      <c r="CC175" s="80"/>
      <c r="CD175" s="80"/>
      <c r="CE175" s="80"/>
      <c r="CF175" s="80"/>
      <c r="CG175" s="80"/>
      <c r="CH175" s="80"/>
      <c r="CI175" s="80"/>
      <c r="CJ175" s="80"/>
      <c r="CK175" s="2"/>
    </row>
    <row r="176" ht="12.75" customHeight="1">
      <c r="A176" s="85">
        <f>IFERROR(__xludf.DUMMYFUNCTION("""COMPUTED_VALUE"""),173.0)</f>
        <v>173</v>
      </c>
      <c r="B176" s="85"/>
      <c r="C176" s="85"/>
      <c r="D176" s="86"/>
      <c r="E176" s="88"/>
      <c r="F176" s="85"/>
      <c r="G176" s="86"/>
      <c r="H176" s="85"/>
      <c r="I176" s="85"/>
      <c r="J176" s="85"/>
      <c r="K176" s="85"/>
      <c r="L176" s="85"/>
      <c r="M176" s="85"/>
      <c r="N176" s="85"/>
      <c r="O176" s="85"/>
      <c r="P176" s="85" t="str">
        <f>IFERROR(__xludf.DUMMYFUNCTION("""COMPUTED_VALUE"""),"53BSPA04534JBRNY")</f>
        <v>53BSPA04534JBRNY</v>
      </c>
      <c r="Q176" s="85" t="str">
        <f>IFERROR(__xludf.DUMMYFUNCTION("""COMPUTED_VALUE"""),"HIMAWARI CARGO")</f>
        <v>HIMAWARI CARGO</v>
      </c>
      <c r="R176" s="85" t="str">
        <f>IFERROR(__xludf.DUMMYFUNCTION("""COMPUTED_VALUE"""),"HIMAWARI CARGO")</f>
        <v>HIMAWARI CARGO</v>
      </c>
      <c r="S176" s="85" t="str">
        <f>IFERROR(__xludf.DUMMYFUNCTION("""COMPUTED_VALUE"""),"RANI RAHMAWATI")</f>
        <v>RANI RAHMAWATI</v>
      </c>
      <c r="T176" s="85" t="str">
        <f>IFERROR(__xludf.DUMMYFUNCTION("""COMPUTED_VALUE"""),"JL. ABDUL WAHAB NO. 8 RT 001 RW 009 SAWANGAN DEPOK ")</f>
        <v>JL. ABDUL WAHAB NO. 8 RT 001 RW 009 SAWANGAN DEPOK </v>
      </c>
      <c r="U176" s="85" t="str">
        <f>IFERROR(__xludf.DUMMYFUNCTION("""COMPUTED_VALUE"""),"JL. CIODENG NO. 28 RT 001 RW 007")</f>
        <v>JL. CIODENG NO. 28 RT 001 RW 007</v>
      </c>
      <c r="V176" s="85" t="str">
        <f>IFERROR(__xludf.DUMMYFUNCTION("""COMPUTED_VALUE"""),"001/007")</f>
        <v>001/007</v>
      </c>
      <c r="W176" s="85" t="str">
        <f>IFERROR(__xludf.DUMMYFUNCTION("""COMPUTED_VALUE"""),"BOJONGMALAKA")</f>
        <v>BOJONGMALAKA</v>
      </c>
      <c r="X176" s="85" t="str">
        <f>IFERROR(__xludf.DUMMYFUNCTION("""COMPUTED_VALUE"""),"BALEENDAH")</f>
        <v>BALEENDAH</v>
      </c>
      <c r="Y176" s="85" t="str">
        <f>IFERROR(__xludf.DUMMYFUNCTION("""COMPUTED_VALUE"""),"BANDUNG")</f>
        <v>BANDUNG</v>
      </c>
      <c r="Z176" s="85" t="str">
        <f>IFERROR(__xludf.DUMMYFUNCTION("""COMPUTED_VALUE"""),"JAWA BARAT")</f>
        <v>JAWA BARAT</v>
      </c>
      <c r="AA176" s="85" t="str">
        <f>IFERROR(__xludf.DUMMYFUNCTION("""COMPUTED_VALUE"""),"40375")</f>
        <v>40375</v>
      </c>
      <c r="AB176" s="85" t="str">
        <f>IFERROR(__xludf.DUMMYFUNCTION("""COMPUTED_VALUE"""),"3204326306990004")</f>
        <v>3204326306990004</v>
      </c>
      <c r="AC176" s="85" t="str">
        <f>IFERROR(__xludf.DUMMYFUNCTION("""COMPUTED_VALUE"""),"10.078.605.2-448.000")</f>
        <v>10.078.605.2-448.000</v>
      </c>
      <c r="AD176" s="85" t="str">
        <f>IFERROR(__xludf.DUMMYFUNCTION("""COMPUTED_VALUE"""),"CUM - PS - RSS")</f>
        <v>CUM - PS - RSS</v>
      </c>
      <c r="AE176" s="85" t="str">
        <f>IFERROR(__xludf.DUMMYFUNCTION("""COMPUTED_VALUE"""),"SUB RONY POS")</f>
        <v>SUB RONY POS</v>
      </c>
      <c r="AF176" s="85" t="str">
        <f>IFERROR(__xludf.DUMMYFUNCTION("""COMPUTED_VALUE"""),"082129694590")</f>
        <v>082129694590</v>
      </c>
      <c r="AG176" s="85"/>
      <c r="AH176" s="85" t="str">
        <f>IFERROR(__xludf.DUMMYFUNCTION("""COMPUTED_VALUE"""),"rr230699@gmail.com")</f>
        <v>rr230699@gmail.com</v>
      </c>
      <c r="AI176" s="85" t="str">
        <f>IFERROR(__xludf.DUMMYFUNCTION("""COMPUTED_VALUE"""),"40375S8")</f>
        <v>40375S8</v>
      </c>
      <c r="AJ176" s="85" t="str">
        <f>IFERROR(__xludf.DUMMYFUNCTION("""COMPUTED_VALUE"""),"66347bc473543ef7b204a58f")</f>
        <v>66347bc473543ef7b204a58f</v>
      </c>
      <c r="AK176" s="85" t="str">
        <f>IFERROR(__xludf.DUMMYFUNCTION("""COMPUTED_VALUE"""),"dm40375s8")</f>
        <v>dm40375s8</v>
      </c>
      <c r="AL176" s="85" t="str">
        <f>IFERROR(__xludf.DUMMYFUNCTION("""COMPUTED_VALUE"""),"#40375Pos")</f>
        <v>#40375Pos</v>
      </c>
      <c r="AM176" s="85" t="str">
        <f>IFERROR(__xludf.DUMMYFUNCTION("""COMPUTED_VALUE"""),"KANTOR REGIONAL III BANDUNG 40004")</f>
        <v>KANTOR REGIONAL III BANDUNG 40004</v>
      </c>
      <c r="AN176" s="85" t="str">
        <f>IFERROR(__xludf.DUMMYFUNCTION("""COMPUTED_VALUE"""),"KC SOREANG 40900")</f>
        <v>KC SOREANG 40900</v>
      </c>
      <c r="AO176" s="85" t="str">
        <f>IFERROR(__xludf.DUMMYFUNCTION("""COMPUTED_VALUE"""),"2803240088692")</f>
        <v>2803240088692</v>
      </c>
      <c r="AP176" s="85" t="str">
        <f>IFERROR(__xludf.DUMMYFUNCTION("""COMPUTED_VALUE"""),"28032400886920001")</f>
        <v>28032400886920001</v>
      </c>
      <c r="AQ176" s="93"/>
      <c r="AR176" s="85"/>
      <c r="AS176" s="85"/>
      <c r="AT176" s="85" t="str">
        <f>IFERROR(__xludf.DUMMYFUNCTION("""COMPUTED_VALUE"""),"-6.9838271")</f>
        <v>-6.9838271</v>
      </c>
      <c r="AU176" s="85" t="str">
        <f>IFERROR(__xludf.DUMMYFUNCTION("""COMPUTED_VALUE"""),"107.6029892")</f>
        <v>107.6029892</v>
      </c>
      <c r="AV176" s="85"/>
      <c r="AW176" s="85"/>
      <c r="AX176" s="85"/>
      <c r="AY176" s="85"/>
      <c r="AZ176" s="85"/>
      <c r="BA176" s="85"/>
      <c r="BB176" s="85"/>
      <c r="BC176" s="85"/>
      <c r="BD176" s="85"/>
      <c r="BE176" s="85"/>
      <c r="BF176" s="85"/>
      <c r="BG176" s="85"/>
      <c r="BH176" s="85"/>
      <c r="BI176" s="85"/>
      <c r="BJ176" s="85"/>
      <c r="BK176" s="85"/>
      <c r="BL176" s="85"/>
      <c r="BM176" s="85"/>
      <c r="BN176" s="85"/>
      <c r="BO176" s="85"/>
      <c r="BP176" s="85"/>
      <c r="BQ176" s="85"/>
      <c r="BR176" s="85"/>
      <c r="BS176" s="85"/>
      <c r="BT176" s="85"/>
      <c r="BU176" s="85"/>
      <c r="BV176" s="85"/>
      <c r="BW176" s="85"/>
      <c r="BX176" s="85"/>
      <c r="BY176" s="85"/>
      <c r="BZ176" s="85"/>
      <c r="CA176" s="85"/>
      <c r="CB176" s="85"/>
      <c r="CC176" s="85"/>
      <c r="CD176" s="85"/>
      <c r="CE176" s="85"/>
      <c r="CF176" s="85"/>
      <c r="CG176" s="85"/>
      <c r="CH176" s="85"/>
      <c r="CI176" s="85"/>
      <c r="CJ176" s="85"/>
      <c r="CK176" s="2"/>
    </row>
    <row r="177" ht="15.0" customHeight="1">
      <c r="A177" s="80">
        <f>IFERROR(__xludf.DUMMYFUNCTION("""COMPUTED_VALUE"""),174.0)</f>
        <v>174</v>
      </c>
      <c r="B177" s="80"/>
      <c r="C177" s="80"/>
      <c r="D177" s="81"/>
      <c r="E177" s="82"/>
      <c r="F177" s="80"/>
      <c r="G177" s="81"/>
      <c r="H177" s="80"/>
      <c r="I177" s="80"/>
      <c r="J177" s="80"/>
      <c r="K177" s="80"/>
      <c r="L177" s="80"/>
      <c r="M177" s="80"/>
      <c r="N177" s="80"/>
      <c r="O177" s="80"/>
      <c r="P177" s="80" t="str">
        <f>IFERROR(__xludf.DUMMYFUNCTION("""COMPUTED_VALUE"""),"52BSPA07580JTSSL")</f>
        <v>52BSPA07580JTSSL</v>
      </c>
      <c r="Q177" s="80" t="str">
        <f>IFERROR(__xludf.DUMMYFUNCTION("""COMPUTED_VALUE"""),"SRC 59MART")</f>
        <v>SRC 59MART</v>
      </c>
      <c r="R177" s="80" t="str">
        <f>IFERROR(__xludf.DUMMYFUNCTION("""COMPUTED_VALUE"""),"MUC SRC 59MART")</f>
        <v>MUC SRC 59MART</v>
      </c>
      <c r="S177" s="80" t="str">
        <f>IFERROR(__xludf.DUMMYFUNCTION("""COMPUTED_VALUE"""),"MUHAMMAD FATIH NAWA MAHIRA")</f>
        <v>MUHAMMAD FATIH NAWA MAHIRA</v>
      </c>
      <c r="T177" s="80" t="str">
        <f>IFERROR(__xludf.DUMMYFUNCTION("""COMPUTED_VALUE"""),"NGUWER RT17/RW04 DUYUNGAN, SIDOHARJO, SRAGEN")</f>
        <v>NGUWER RT17/RW04 DUYUNGAN, SIDOHARJO, SRAGEN</v>
      </c>
      <c r="U177" s="80" t="str">
        <f>IFERROR(__xludf.DUMMYFUNCTION("""COMPUTED_VALUE"""),"NGUWER (59MART) RT17/RW04")</f>
        <v>NGUWER (59MART) RT17/RW04</v>
      </c>
      <c r="V177" s="80" t="str">
        <f>IFERROR(__xludf.DUMMYFUNCTION("""COMPUTED_VALUE"""),"17/04")</f>
        <v>17/04</v>
      </c>
      <c r="W177" s="80" t="str">
        <f>IFERROR(__xludf.DUMMYFUNCTION("""COMPUTED_VALUE"""),"DUYUNGAN")</f>
        <v>DUYUNGAN</v>
      </c>
      <c r="X177" s="80" t="str">
        <f>IFERROR(__xludf.DUMMYFUNCTION("""COMPUTED_VALUE"""),"Duyungan")</f>
        <v>Duyungan</v>
      </c>
      <c r="Y177" s="80" t="str">
        <f>IFERROR(__xludf.DUMMYFUNCTION("""COMPUTED_VALUE"""),"Sidoharjo")</f>
        <v>Sidoharjo</v>
      </c>
      <c r="Z177" s="80" t="str">
        <f>IFERROR(__xludf.DUMMYFUNCTION("""COMPUTED_VALUE"""),"JAWA TENGAH")</f>
        <v>JAWA TENGAH</v>
      </c>
      <c r="AA177" s="80" t="str">
        <f>IFERROR(__xludf.DUMMYFUNCTION("""COMPUTED_VALUE"""),"57281")</f>
        <v>57281</v>
      </c>
      <c r="AB177" s="80" t="str">
        <f>IFERROR(__xludf.DUMMYFUNCTION("""COMPUTED_VALUE"""),"3314112307010002")</f>
        <v>3314112307010002</v>
      </c>
      <c r="AC177" s="80" t="str">
        <f>IFERROR(__xludf.DUMMYFUNCTION("""COMPUTED_VALUE"""),"07.680.149.7-528.000")</f>
        <v>07.680.149.7-528.000</v>
      </c>
      <c r="AD177" s="80" t="str">
        <f>IFERROR(__xludf.DUMMYFUNCTION("""COMPUTED_VALUE"""),"CUM - PS - SSL")</f>
        <v>CUM - PS - SSL</v>
      </c>
      <c r="AE177" s="80" t="str">
        <f>IFERROR(__xludf.DUMMYFUNCTION("""COMPUTED_VALUE"""),"SUB SUSILO POS")</f>
        <v>SUB SUSILO POS</v>
      </c>
      <c r="AF177" s="80" t="str">
        <f>IFERROR(__xludf.DUMMYFUNCTION("""COMPUTED_VALUE"""),"082220889641")</f>
        <v>082220889641</v>
      </c>
      <c r="AG177" s="80"/>
      <c r="AH177" s="80" t="str">
        <f>IFERROR(__xludf.DUMMYFUNCTION("""COMPUTED_VALUE"""),"fatih.nawa@gmail.com")</f>
        <v>fatih.nawa@gmail.com</v>
      </c>
      <c r="AI177" s="80" t="str">
        <f>IFERROR(__xludf.DUMMYFUNCTION("""COMPUTED_VALUE"""),"57281S2")</f>
        <v>57281S2</v>
      </c>
      <c r="AJ177" s="80" t="str">
        <f>IFERROR(__xludf.DUMMYFUNCTION("""COMPUTED_VALUE"""),"667bd81289af1a503e0e2e0a")</f>
        <v>667bd81289af1a503e0e2e0a</v>
      </c>
      <c r="AK177" s="80" t="str">
        <f>IFERROR(__xludf.DUMMYFUNCTION("""COMPUTED_VALUE"""),"dm57281s2")</f>
        <v>dm57281s2</v>
      </c>
      <c r="AL177" s="80" t="str">
        <f>IFERROR(__xludf.DUMMYFUNCTION("""COMPUTED_VALUE"""),"#57281Pos")</f>
        <v>#57281Pos</v>
      </c>
      <c r="AM177" s="80" t="str">
        <f>IFERROR(__xludf.DUMMYFUNCTION("""COMPUTED_VALUE"""),"KANTOR REGIONAL IV SEMARANG 50004")</f>
        <v>KANTOR REGIONAL IV SEMARANG 50004</v>
      </c>
      <c r="AN177" s="80" t="str">
        <f>IFERROR(__xludf.DUMMYFUNCTION("""COMPUTED_VALUE"""),"KC SRAGEN 57200")</f>
        <v>KC SRAGEN 57200</v>
      </c>
      <c r="AO177" s="80" t="str">
        <f>IFERROR(__xludf.DUMMYFUNCTION("""COMPUTED_VALUE"""),"2806220044659")</f>
        <v>2806220044659</v>
      </c>
      <c r="AP177" s="80" t="str">
        <f>IFERROR(__xludf.DUMMYFUNCTION("""COMPUTED_VALUE"""),"28062200446590001")</f>
        <v>28062200446590001</v>
      </c>
      <c r="AQ177" s="83"/>
      <c r="AR177" s="80"/>
      <c r="AS177" s="80"/>
      <c r="AT177" s="80" t="str">
        <f>IFERROR(__xludf.DUMMYFUNCTION("""COMPUTED_VALUE"""),"-7.4519407")</f>
        <v>-7.4519407</v>
      </c>
      <c r="AU177" s="80" t="str">
        <f>IFERROR(__xludf.DUMMYFUNCTION("""COMPUTED_VALUE"""),"110.9655103")</f>
        <v>110.9655103</v>
      </c>
      <c r="AV177" s="80"/>
      <c r="AW177" s="80"/>
      <c r="AX177" s="80"/>
      <c r="AY177" s="80"/>
      <c r="AZ177" s="80"/>
      <c r="BA177" s="80"/>
      <c r="BB177" s="80"/>
      <c r="BC177" s="80"/>
      <c r="BD177" s="80"/>
      <c r="BE177" s="80"/>
      <c r="BF177" s="80"/>
      <c r="BG177" s="80"/>
      <c r="BH177" s="80"/>
      <c r="BI177" s="80"/>
      <c r="BJ177" s="80"/>
      <c r="BK177" s="80"/>
      <c r="BL177" s="80"/>
      <c r="BM177" s="80"/>
      <c r="BN177" s="80"/>
      <c r="BO177" s="80"/>
      <c r="BP177" s="80"/>
      <c r="BQ177" s="80"/>
      <c r="BR177" s="80"/>
      <c r="BS177" s="80"/>
      <c r="BT177" s="80"/>
      <c r="BU177" s="80"/>
      <c r="BV177" s="80"/>
      <c r="BW177" s="80"/>
      <c r="BX177" s="80"/>
      <c r="BY177" s="80"/>
      <c r="BZ177" s="80"/>
      <c r="CA177" s="80"/>
      <c r="CB177" s="80"/>
      <c r="CC177" s="80"/>
      <c r="CD177" s="80"/>
      <c r="CE177" s="80"/>
      <c r="CF177" s="80"/>
      <c r="CG177" s="80"/>
      <c r="CH177" s="80"/>
      <c r="CI177" s="80"/>
      <c r="CJ177" s="80"/>
      <c r="CK177" s="2"/>
    </row>
    <row r="178" ht="12.75" customHeight="1">
      <c r="A178" s="85">
        <f>IFERROR(__xludf.DUMMYFUNCTION("""COMPUTED_VALUE"""),175.0)</f>
        <v>175</v>
      </c>
      <c r="B178" s="85"/>
      <c r="C178" s="85"/>
      <c r="D178" s="86"/>
      <c r="E178" s="88"/>
      <c r="F178" s="85"/>
      <c r="G178" s="86"/>
      <c r="H178" s="85"/>
      <c r="I178" s="85"/>
      <c r="J178" s="85"/>
      <c r="K178" s="85"/>
      <c r="L178" s="85"/>
      <c r="M178" s="85"/>
      <c r="N178" s="85"/>
      <c r="O178" s="85"/>
      <c r="P178" s="85" t="str">
        <f>IFERROR(__xludf.DUMMYFUNCTION("""COMPUTED_VALUE"""),"52BSPA07581JTMSR")</f>
        <v>52BSPA07581JTMSR</v>
      </c>
      <c r="Q178" s="85" t="str">
        <f>IFERROR(__xludf.DUMMYFUNCTION("""COMPUTED_VALUE"""),"WARUNG INDOMANGIR")</f>
        <v>WARUNG INDOMANGIR</v>
      </c>
      <c r="R178" s="85" t="str">
        <f>IFERROR(__xludf.DUMMYFUNCTION("""COMPUTED_VALUE"""),"MUC WARUNG INDOMANGIR")</f>
        <v>MUC WARUNG INDOMANGIR</v>
      </c>
      <c r="S178" s="85" t="str">
        <f>IFERROR(__xludf.DUMMYFUNCTION("""COMPUTED_VALUE"""),"SISKA LESTARI")</f>
        <v>SISKA LESTARI</v>
      </c>
      <c r="T178" s="85" t="str">
        <f>IFERROR(__xludf.DUMMYFUNCTION("""COMPUTED_VALUE"""),"DUSUN DIWEK RT 003/009 Pandemulyo, Bulu, Kab. Temanggung, JAWA TENGAH, 56253")</f>
        <v>DUSUN DIWEK RT 003/009 Pandemulyo, Bulu, Kab. Temanggung, JAWA TENGAH, 56253</v>
      </c>
      <c r="U178" s="85" t="str">
        <f>IFERROR(__xludf.DUMMYFUNCTION("""COMPUTED_VALUE"""),"DUSUN MANGIR, RT 001 RW 010")</f>
        <v>DUSUN MANGIR, RT 001 RW 010</v>
      </c>
      <c r="V178" s="85"/>
      <c r="W178" s="85" t="str">
        <f>IFERROR(__xludf.DUMMYFUNCTION("""COMPUTED_VALUE"""),"PANDEMULYO")</f>
        <v>PANDEMULYO</v>
      </c>
      <c r="X178" s="85" t="str">
        <f>IFERROR(__xludf.DUMMYFUNCTION("""COMPUTED_VALUE"""),"BULU")</f>
        <v>BULU</v>
      </c>
      <c r="Y178" s="85" t="str">
        <f>IFERROR(__xludf.DUMMYFUNCTION("""COMPUTED_VALUE"""),"TEMANGGUNG")</f>
        <v>TEMANGGUNG</v>
      </c>
      <c r="Z178" s="85" t="str">
        <f>IFERROR(__xludf.DUMMYFUNCTION("""COMPUTED_VALUE"""),"JAWA TENGAH")</f>
        <v>JAWA TENGAH</v>
      </c>
      <c r="AA178" s="85" t="str">
        <f>IFERROR(__xludf.DUMMYFUNCTION("""COMPUTED_VALUE"""),"56253")</f>
        <v>56253</v>
      </c>
      <c r="AB178" s="85" t="str">
        <f>IFERROR(__xludf.DUMMYFUNCTION("""COMPUTED_VALUE"""),"3323075207930002")</f>
        <v>3323075207930002</v>
      </c>
      <c r="AC178" s="85" t="str">
        <f>IFERROR(__xludf.DUMMYFUNCTION("""COMPUTED_VALUE"""),"70.778.100.1-533.000")</f>
        <v>70.778.100.1-533.000</v>
      </c>
      <c r="AD178" s="85" t="str">
        <f>IFERROR(__xludf.DUMMYFUNCTION("""COMPUTED_VALUE"""),"CUM - PS - MSRH")</f>
        <v>CUM - PS - MSRH</v>
      </c>
      <c r="AE178" s="85" t="str">
        <f>IFERROR(__xludf.DUMMYFUNCTION("""COMPUTED_VALUE"""),"SUB MUSARIFAH POS")</f>
        <v>SUB MUSARIFAH POS</v>
      </c>
      <c r="AF178" s="85" t="str">
        <f>IFERROR(__xludf.DUMMYFUNCTION("""COMPUTED_VALUE"""),"085894332105")</f>
        <v>085894332105</v>
      </c>
      <c r="AG178" s="85"/>
      <c r="AH178" s="85" t="str">
        <f>IFERROR(__xludf.DUMMYFUNCTION("""COMPUTED_VALUE"""),"siskalestari402@gmail.com")</f>
        <v>siskalestari402@gmail.com</v>
      </c>
      <c r="AI178" s="85" t="str">
        <f>IFERROR(__xludf.DUMMYFUNCTION("""COMPUTED_VALUE"""),"56253S3")</f>
        <v>56253S3</v>
      </c>
      <c r="AJ178" s="85" t="str">
        <f>IFERROR(__xludf.DUMMYFUNCTION("""COMPUTED_VALUE"""),"6639a4dc3d1f4b311c0a5d79")</f>
        <v>6639a4dc3d1f4b311c0a5d79</v>
      </c>
      <c r="AK178" s="85"/>
      <c r="AL178" s="85"/>
      <c r="AM178" s="85" t="str">
        <f>IFERROR(__xludf.DUMMYFUNCTION("""COMPUTED_VALUE"""),"KANTOR REGIONAL IV SEMARANG 50004")</f>
        <v>KANTOR REGIONAL IV SEMARANG 50004</v>
      </c>
      <c r="AN178" s="85" t="str">
        <f>IFERROR(__xludf.DUMMYFUNCTION("""COMPUTED_VALUE"""),"KC TEMANGGUNG 56200")</f>
        <v>KC TEMANGGUNG 56200</v>
      </c>
      <c r="AO178" s="85" t="str">
        <f>IFERROR(__xludf.DUMMYFUNCTION("""COMPUTED_VALUE"""),"1604240032436")</f>
        <v>1604240032436</v>
      </c>
      <c r="AP178" s="85" t="str">
        <f>IFERROR(__xludf.DUMMYFUNCTION("""COMPUTED_VALUE"""),"16042400324360001")</f>
        <v>16042400324360001</v>
      </c>
      <c r="AQ178" s="93"/>
      <c r="AR178" s="85"/>
      <c r="AS178" s="85"/>
      <c r="AT178" s="85" t="str">
        <f>IFERROR(__xludf.DUMMYFUNCTION("""COMPUTED_VALUE"""),"-7.3195594")</f>
        <v>-7.3195594</v>
      </c>
      <c r="AU178" s="85" t="str">
        <f>IFERROR(__xludf.DUMMYFUNCTION("""COMPUTED_VALUE"""),"110.1465879")</f>
        <v>110.1465879</v>
      </c>
      <c r="AV178" s="85"/>
      <c r="AW178" s="85"/>
      <c r="AX178" s="85"/>
      <c r="AY178" s="85"/>
      <c r="AZ178" s="85"/>
      <c r="BA178" s="85"/>
      <c r="BB178" s="85"/>
      <c r="BC178" s="85"/>
      <c r="BD178" s="85"/>
      <c r="BE178" s="85"/>
      <c r="BF178" s="85"/>
      <c r="BG178" s="85"/>
      <c r="BH178" s="85"/>
      <c r="BI178" s="85"/>
      <c r="BJ178" s="85"/>
      <c r="BK178" s="85"/>
      <c r="BL178" s="85"/>
      <c r="BM178" s="85"/>
      <c r="BN178" s="85"/>
      <c r="BO178" s="85"/>
      <c r="BP178" s="85"/>
      <c r="BQ178" s="85"/>
      <c r="BR178" s="85"/>
      <c r="BS178" s="85"/>
      <c r="BT178" s="85"/>
      <c r="BU178" s="85"/>
      <c r="BV178" s="85"/>
      <c r="BW178" s="85"/>
      <c r="BX178" s="85"/>
      <c r="BY178" s="85"/>
      <c r="BZ178" s="85"/>
      <c r="CA178" s="85"/>
      <c r="CB178" s="85"/>
      <c r="CC178" s="85"/>
      <c r="CD178" s="85"/>
      <c r="CE178" s="85"/>
      <c r="CF178" s="85"/>
      <c r="CG178" s="85"/>
      <c r="CH178" s="85"/>
      <c r="CI178" s="85"/>
      <c r="CJ178" s="85"/>
      <c r="CK178" s="2"/>
    </row>
    <row r="179" ht="14.25" customHeight="1">
      <c r="A179" s="80">
        <f>IFERROR(__xludf.DUMMYFUNCTION("""COMPUTED_VALUE"""),176.0)</f>
        <v>176</v>
      </c>
      <c r="B179" s="80"/>
      <c r="C179" s="80"/>
      <c r="D179" s="81"/>
      <c r="E179" s="82"/>
      <c r="F179" s="80"/>
      <c r="G179" s="81"/>
      <c r="H179" s="80"/>
      <c r="I179" s="80"/>
      <c r="J179" s="80"/>
      <c r="K179" s="80"/>
      <c r="L179" s="80"/>
      <c r="M179" s="80"/>
      <c r="N179" s="80"/>
      <c r="O179" s="80"/>
      <c r="P179" s="80" t="str">
        <f>IFERROR(__xludf.DUMMYFUNCTION("""COMPUTED_VALUE"""),"53BSPA04560JBHPR")</f>
        <v>53BSPA04560JBHPR</v>
      </c>
      <c r="Q179" s="80" t="str">
        <f>IFERROR(__xludf.DUMMYFUNCTION("""COMPUTED_VALUE"""),"MITRA USAHA")</f>
        <v>MITRA USAHA</v>
      </c>
      <c r="R179" s="80" t="str">
        <f>IFERROR(__xludf.DUMMYFUNCTION("""COMPUTED_VALUE"""),"MUC MITRA USAHA")</f>
        <v>MUC MITRA USAHA</v>
      </c>
      <c r="S179" s="80" t="str">
        <f>IFERROR(__xludf.DUMMYFUNCTION("""COMPUTED_VALUE"""),"SULARTO")</f>
        <v>SULARTO</v>
      </c>
      <c r="T179" s="80" t="str">
        <f>IFERROR(__xludf.DUMMYFUNCTION("""COMPUTED_VALUE"""),"KP. Babakan Pekapuran RT 05 RW 04 Nomor 20 Curug, Cimanggis, Kota Depok, JAWA BARAT 16453")</f>
        <v>KP. Babakan Pekapuran RT 05 RW 04 Nomor 20 Curug, Cimanggis, Kota Depok, JAWA BARAT 16453</v>
      </c>
      <c r="U179" s="80" t="str">
        <f>IFERROR(__xludf.DUMMYFUNCTION("""COMPUTED_VALUE"""),"Jl. Banjaran Pucung 2 RT 01 RW 05 nomor 170")</f>
        <v>Jl. Banjaran Pucung 2 RT 01 RW 05 nomor 170</v>
      </c>
      <c r="V179" s="80"/>
      <c r="W179" s="80" t="str">
        <f>IFERROR(__xludf.DUMMYFUNCTION("""COMPUTED_VALUE"""),"Cilangkap")</f>
        <v>Cilangkap</v>
      </c>
      <c r="X179" s="80" t="str">
        <f>IFERROR(__xludf.DUMMYFUNCTION("""COMPUTED_VALUE"""),"Tapos")</f>
        <v>Tapos</v>
      </c>
      <c r="Y179" s="80" t="str">
        <f>IFERROR(__xludf.DUMMYFUNCTION("""COMPUTED_VALUE"""),"Kota Depok")</f>
        <v>Kota Depok</v>
      </c>
      <c r="Z179" s="80" t="str">
        <f>IFERROR(__xludf.DUMMYFUNCTION("""COMPUTED_VALUE"""),"JAWA BARAT")</f>
        <v>JAWA BARAT</v>
      </c>
      <c r="AA179" s="80" t="str">
        <f>IFERROR(__xludf.DUMMYFUNCTION("""COMPUTED_VALUE"""),"16465")</f>
        <v>16465</v>
      </c>
      <c r="AB179" s="80" t="str">
        <f>IFERROR(__xludf.DUMMYFUNCTION("""COMPUTED_VALUE"""),"3276020509630004")</f>
        <v>3276020509630004</v>
      </c>
      <c r="AC179" s="80" t="str">
        <f>IFERROR(__xludf.DUMMYFUNCTION("""COMPUTED_VALUE"""),"69.119.351.0-412.000")</f>
        <v>69.119.351.0-412.000</v>
      </c>
      <c r="AD179" s="80" t="str">
        <f>IFERROR(__xludf.DUMMYFUNCTION("""COMPUTED_VALUE"""),"CUM - PS - HPR")</f>
        <v>CUM - PS - HPR</v>
      </c>
      <c r="AE179" s="80" t="str">
        <f>IFERROR(__xludf.DUMMYFUNCTION("""COMPUTED_VALUE"""),"CUM - PS - HPR")</f>
        <v>CUM - PS - HPR</v>
      </c>
      <c r="AF179" s="80" t="str">
        <f>IFERROR(__xludf.DUMMYFUNCTION("""COMPUTED_VALUE"""),"082113110563")</f>
        <v>082113110563</v>
      </c>
      <c r="AG179" s="80"/>
      <c r="AH179" s="80" t="str">
        <f>IFERROR(__xludf.DUMMYFUNCTION("""COMPUTED_VALUE"""),"sularto.lart@yahoo.co.id")</f>
        <v>sularto.lart@yahoo.co.id</v>
      </c>
      <c r="AI179" s="80" t="str">
        <f>IFERROR(__xludf.DUMMYFUNCTION("""COMPUTED_VALUE"""),"16465S4")</f>
        <v>16465S4</v>
      </c>
      <c r="AJ179" s="80" t="str">
        <f>IFERROR(__xludf.DUMMYFUNCTION("""COMPUTED_VALUE"""),"6635a5223bbe10f811054421")</f>
        <v>6635a5223bbe10f811054421</v>
      </c>
      <c r="AK179" s="80"/>
      <c r="AL179" s="80"/>
      <c r="AM179" s="80" t="str">
        <f>IFERROR(__xludf.DUMMYFUNCTION("""COMPUTED_VALUE"""),"KANTOR REGIONAL II JAKARTA 10004")</f>
        <v>KANTOR REGIONAL II JAKARTA 10004</v>
      </c>
      <c r="AN179" s="80" t="str">
        <f>IFERROR(__xludf.DUMMYFUNCTION("""COMPUTED_VALUE"""),"KC DEPOK 16400")</f>
        <v>KC DEPOK 16400</v>
      </c>
      <c r="AO179" s="80" t="str">
        <f>IFERROR(__xludf.DUMMYFUNCTION("""COMPUTED_VALUE"""),"0304240066395")</f>
        <v>0304240066395</v>
      </c>
      <c r="AP179" s="80" t="str">
        <f>IFERROR(__xludf.DUMMYFUNCTION("""COMPUTED_VALUE"""),"03042400663950001")</f>
        <v>03042400663950001</v>
      </c>
      <c r="AQ179" s="83"/>
      <c r="AR179" s="80"/>
      <c r="AS179" s="80"/>
      <c r="AT179" s="80" t="str">
        <f>IFERROR(__xludf.DUMMYFUNCTION("""COMPUTED_VALUE"""),"-6.4308689")</f>
        <v>-6.4308689</v>
      </c>
      <c r="AU179" s="80" t="str">
        <f>IFERROR(__xludf.DUMMYFUNCTION("""COMPUTED_VALUE"""),"106.8685387")</f>
        <v>106.8685387</v>
      </c>
      <c r="AV179" s="80"/>
      <c r="AW179" s="80"/>
      <c r="AX179" s="80"/>
      <c r="AY179" s="80"/>
      <c r="AZ179" s="80"/>
      <c r="BA179" s="80"/>
      <c r="BB179" s="80"/>
      <c r="BC179" s="80"/>
      <c r="BD179" s="80"/>
      <c r="BE179" s="80"/>
      <c r="BF179" s="80"/>
      <c r="BG179" s="80"/>
      <c r="BH179" s="80"/>
      <c r="BI179" s="80"/>
      <c r="BJ179" s="80"/>
      <c r="BK179" s="80"/>
      <c r="BL179" s="80"/>
      <c r="BM179" s="80"/>
      <c r="BN179" s="80"/>
      <c r="BO179" s="80"/>
      <c r="BP179" s="80"/>
      <c r="BQ179" s="80"/>
      <c r="BR179" s="80"/>
      <c r="BS179" s="80"/>
      <c r="BT179" s="80"/>
      <c r="BU179" s="80"/>
      <c r="BV179" s="80"/>
      <c r="BW179" s="80"/>
      <c r="BX179" s="80"/>
      <c r="BY179" s="80"/>
      <c r="BZ179" s="80"/>
      <c r="CA179" s="80"/>
      <c r="CB179" s="80"/>
      <c r="CC179" s="80"/>
      <c r="CD179" s="80"/>
      <c r="CE179" s="80"/>
      <c r="CF179" s="80"/>
      <c r="CG179" s="80"/>
      <c r="CH179" s="80"/>
      <c r="CI179" s="80"/>
      <c r="CJ179" s="80"/>
      <c r="CK179" s="2"/>
    </row>
    <row r="180" ht="14.25" customHeight="1">
      <c r="A180" s="85">
        <f>IFERROR(__xludf.DUMMYFUNCTION("""COMPUTED_VALUE"""),177.0)</f>
        <v>177</v>
      </c>
      <c r="B180" s="85"/>
      <c r="C180" s="85"/>
      <c r="D180" s="86"/>
      <c r="E180" s="88"/>
      <c r="F180" s="85"/>
      <c r="G180" s="86"/>
      <c r="H180" s="85"/>
      <c r="I180" s="85"/>
      <c r="J180" s="85"/>
      <c r="K180" s="85"/>
      <c r="L180" s="85"/>
      <c r="M180" s="85"/>
      <c r="N180" s="85"/>
      <c r="O180" s="85"/>
      <c r="P180" s="85" t="str">
        <f>IFERROR(__xludf.DUMMYFUNCTION("""COMPUTED_VALUE"""),"53BSPA04632JBRSS")</f>
        <v>53BSPA04632JBRSS</v>
      </c>
      <c r="Q180" s="85" t="str">
        <f>IFERROR(__xludf.DUMMYFUNCTION("""COMPUTED_VALUE"""),"TOKO CITRA MHD")</f>
        <v>TOKO CITRA MHD</v>
      </c>
      <c r="R180" s="85" t="str">
        <f>IFERROR(__xludf.DUMMYFUNCTION("""COMPUTED_VALUE"""),"MUC TOKO CITRA MHD")</f>
        <v>MUC TOKO CITRA MHD</v>
      </c>
      <c r="S180" s="85" t="str">
        <f>IFERROR(__xludf.DUMMYFUNCTION("""COMPUTED_VALUE"""),"SYARIFULLOH")</f>
        <v>SYARIFULLOH</v>
      </c>
      <c r="T180" s="85" t="str">
        <f>IFERROR(__xludf.DUMMYFUNCTION("""COMPUTED_VALUE"""),"KP CIMUNCANG RT.004/ RW.012, Manggahang, Baleendah, Kab. Bandung, JAWA BARAT 40375")</f>
        <v>KP CIMUNCANG RT.004/ RW.012, Manggahang, Baleendah, Kab. Bandung, JAWA BARAT 40375</v>
      </c>
      <c r="U180" s="85" t="str">
        <f>IFERROR(__xludf.DUMMYFUNCTION("""COMPUTED_VALUE"""),"KP. CIMUNCANG RT 004 RW 012")</f>
        <v>KP. CIMUNCANG RT 004 RW 012</v>
      </c>
      <c r="V180" s="85"/>
      <c r="W180" s="85" t="str">
        <f>IFERROR(__xludf.DUMMYFUNCTION("""COMPUTED_VALUE"""),"Manggahang")</f>
        <v>Manggahang</v>
      </c>
      <c r="X180" s="85" t="str">
        <f>IFERROR(__xludf.DUMMYFUNCTION("""COMPUTED_VALUE"""),"Baleendah")</f>
        <v>Baleendah</v>
      </c>
      <c r="Y180" s="85" t="str">
        <f>IFERROR(__xludf.DUMMYFUNCTION("""COMPUTED_VALUE"""),"Kab. Bandung")</f>
        <v>Kab. Bandung</v>
      </c>
      <c r="Z180" s="85" t="str">
        <f>IFERROR(__xludf.DUMMYFUNCTION("""COMPUTED_VALUE"""),"JAWA BARAT")</f>
        <v>JAWA BARAT</v>
      </c>
      <c r="AA180" s="85" t="str">
        <f>IFERROR(__xludf.DUMMYFUNCTION("""COMPUTED_VALUE"""),"40375")</f>
        <v>40375</v>
      </c>
      <c r="AB180" s="85" t="str">
        <f>IFERROR(__xludf.DUMMYFUNCTION("""COMPUTED_VALUE"""),"3204320201740001")</f>
        <v>3204320201740001</v>
      </c>
      <c r="AC180" s="85" t="str">
        <f>IFERROR(__xludf.DUMMYFUNCTION("""COMPUTED_VALUE"""),"70.051.171.0-445.000")</f>
        <v>70.051.171.0-445.000</v>
      </c>
      <c r="AD180" s="85" t="str">
        <f>IFERROR(__xludf.DUMMYFUNCTION("""COMPUTED_VALUE"""),"CUM - PS - RSS")</f>
        <v>CUM - PS - RSS</v>
      </c>
      <c r="AE180" s="85" t="str">
        <f>IFERROR(__xludf.DUMMYFUNCTION("""COMPUTED_VALUE"""),"SUB RONY POS")</f>
        <v>SUB RONY POS</v>
      </c>
      <c r="AF180" s="85" t="str">
        <f>IFERROR(__xludf.DUMMYFUNCTION("""COMPUTED_VALUE"""),"085802937401")</f>
        <v>085802937401</v>
      </c>
      <c r="AG180" s="85"/>
      <c r="AH180" s="85" t="str">
        <f>IFERROR(__xludf.DUMMYFUNCTION("""COMPUTED_VALUE"""),"syarifulloh433@gmail.com")</f>
        <v>syarifulloh433@gmail.com</v>
      </c>
      <c r="AI180" s="85" t="str">
        <f>IFERROR(__xludf.DUMMYFUNCTION("""COMPUTED_VALUE"""),"40375S9")</f>
        <v>40375S9</v>
      </c>
      <c r="AJ180" s="85" t="str">
        <f>IFERROR(__xludf.DUMMYFUNCTION("""COMPUTED_VALUE"""),"6635ab34f3ce7bd33f039711")</f>
        <v>6635ab34f3ce7bd33f039711</v>
      </c>
      <c r="AK180" s="85"/>
      <c r="AL180" s="85"/>
      <c r="AM180" s="85" t="str">
        <f>IFERROR(__xludf.DUMMYFUNCTION("""COMPUTED_VALUE"""),"KANTOR REGIONAL III BANDUNG 40004")</f>
        <v>KANTOR REGIONAL III BANDUNG 40004</v>
      </c>
      <c r="AN180" s="85" t="str">
        <f>IFERROR(__xludf.DUMMYFUNCTION("""COMPUTED_VALUE"""),"KC SOREANG 40900")</f>
        <v>KC SOREANG 40900</v>
      </c>
      <c r="AO180" s="85" t="str">
        <f>IFERROR(__xludf.DUMMYFUNCTION("""COMPUTED_VALUE"""),"2204240301083")</f>
        <v>2204240301083</v>
      </c>
      <c r="AP180" s="85" t="str">
        <f>IFERROR(__xludf.DUMMYFUNCTION("""COMPUTED_VALUE"""),"22042403010830001")</f>
        <v>22042403010830001</v>
      </c>
      <c r="AQ180" s="93"/>
      <c r="AR180" s="85"/>
      <c r="AS180" s="85"/>
      <c r="AT180" s="85" t="str">
        <f>IFERROR(__xludf.DUMMYFUNCTION("""COMPUTED_VALUE"""),"-7.0186016")</f>
        <v>-7.0186016</v>
      </c>
      <c r="AU180" s="85" t="str">
        <f>IFERROR(__xludf.DUMMYFUNCTION("""COMPUTED_VALUE"""),"107.6506257")</f>
        <v>107.6506257</v>
      </c>
      <c r="AV180" s="85"/>
      <c r="AW180" s="85"/>
      <c r="AX180" s="85"/>
      <c r="AY180" s="85"/>
      <c r="AZ180" s="85"/>
      <c r="BA180" s="85"/>
      <c r="BB180" s="85"/>
      <c r="BC180" s="85"/>
      <c r="BD180" s="85"/>
      <c r="BE180" s="85"/>
      <c r="BF180" s="85"/>
      <c r="BG180" s="85"/>
      <c r="BH180" s="85"/>
      <c r="BI180" s="85"/>
      <c r="BJ180" s="85"/>
      <c r="BK180" s="85"/>
      <c r="BL180" s="85"/>
      <c r="BM180" s="85"/>
      <c r="BN180" s="85"/>
      <c r="BO180" s="85"/>
      <c r="BP180" s="85"/>
      <c r="BQ180" s="85"/>
      <c r="BR180" s="85"/>
      <c r="BS180" s="85"/>
      <c r="BT180" s="85"/>
      <c r="BU180" s="85"/>
      <c r="BV180" s="85"/>
      <c r="BW180" s="85"/>
      <c r="BX180" s="85"/>
      <c r="BY180" s="85"/>
      <c r="BZ180" s="85"/>
      <c r="CA180" s="85"/>
      <c r="CB180" s="85"/>
      <c r="CC180" s="85"/>
      <c r="CD180" s="85"/>
      <c r="CE180" s="85"/>
      <c r="CF180" s="85"/>
      <c r="CG180" s="85"/>
      <c r="CH180" s="85"/>
      <c r="CI180" s="85"/>
      <c r="CJ180" s="85"/>
      <c r="CK180" s="2"/>
    </row>
    <row r="181" ht="14.25" customHeight="1">
      <c r="A181" s="80">
        <f>IFERROR(__xludf.DUMMYFUNCTION("""COMPUTED_VALUE"""),178.0)</f>
        <v>178</v>
      </c>
      <c r="B181" s="80"/>
      <c r="C181" s="80"/>
      <c r="D181" s="81"/>
      <c r="E181" s="82"/>
      <c r="F181" s="80"/>
      <c r="G181" s="81"/>
      <c r="H181" s="80"/>
      <c r="I181" s="80"/>
      <c r="J181" s="80"/>
      <c r="K181" s="80"/>
      <c r="L181" s="80"/>
      <c r="M181" s="80"/>
      <c r="N181" s="80"/>
      <c r="O181" s="80"/>
      <c r="P181" s="80" t="str">
        <f>IFERROR(__xludf.DUMMYFUNCTION("""COMPUTED_VALUE"""),"52BSPA07582JTBPK")</f>
        <v>52BSPA07582JTBPK</v>
      </c>
      <c r="Q181" s="80" t="str">
        <f>IFERROR(__xludf.DUMMYFUNCTION("""COMPUTED_VALUE"""),"AGEN POST EECC")</f>
        <v>AGEN POST EECC</v>
      </c>
      <c r="R181" s="80" t="str">
        <f>IFERROR(__xludf.DUMMYFUNCTION("""COMPUTED_VALUE"""),"AGEN POST EECC")</f>
        <v>AGEN POST EECC</v>
      </c>
      <c r="S181" s="80" t="str">
        <f>IFERROR(__xludf.DUMMYFUNCTION("""COMPUTED_VALUE""")," ACHMAD SAIFULLAH ")</f>
        <v> ACHMAD SAIFULLAH </v>
      </c>
      <c r="T181" s="80" t="str">
        <f>IFERROR(__xludf.DUMMYFUNCTION("""COMPUTED_VALUE""")," JL. RAYA TAJEM TAPANREJO MAGUWOHARJO DEPOK SLEMAN ")</f>
        <v> JL. RAYA TAJEM TAPANREJO MAGUWOHARJO DEPOK SLEMAN </v>
      </c>
      <c r="U181" s="80" t="str">
        <f>IFERROR(__xludf.DUMMYFUNCTION("""COMPUTED_VALUE"""),"JL. RAYA TAJEM NO. 5 TEPANREJO")</f>
        <v>JL. RAYA TAJEM NO. 5 TEPANREJO</v>
      </c>
      <c r="V181" s="80"/>
      <c r="W181" s="80" t="str">
        <f>IFERROR(__xludf.DUMMYFUNCTION("""COMPUTED_VALUE"""),"Maguwoharjo")</f>
        <v>Maguwoharjo</v>
      </c>
      <c r="X181" s="80" t="str">
        <f>IFERROR(__xludf.DUMMYFUNCTION("""COMPUTED_VALUE"""),"Depok")</f>
        <v>Depok</v>
      </c>
      <c r="Y181" s="80" t="str">
        <f>IFERROR(__xludf.DUMMYFUNCTION("""COMPUTED_VALUE"""),"Kab. Sleman")</f>
        <v>Kab. Sleman</v>
      </c>
      <c r="Z181" s="80" t="str">
        <f>IFERROR(__xludf.DUMMYFUNCTION("""COMPUTED_VALUE"""),"JAWA TENGAH")</f>
        <v>JAWA TENGAH</v>
      </c>
      <c r="AA181" s="80" t="str">
        <f>IFERROR(__xludf.DUMMYFUNCTION("""COMPUTED_VALUE"""),"55598")</f>
        <v>55598</v>
      </c>
      <c r="AB181" s="80" t="str">
        <f>IFERROR(__xludf.DUMMYFUNCTION("""COMPUTED_VALUE"""),"3404073003730005")</f>
        <v>3404073003730005</v>
      </c>
      <c r="AC181" s="80" t="str">
        <f>IFERROR(__xludf.DUMMYFUNCTION("""COMPUTED_VALUE"""),"07.839.103.4-542.000")</f>
        <v>07.839.103.4-542.000</v>
      </c>
      <c r="AD181" s="80" t="str">
        <f>IFERROR(__xludf.DUMMYFUNCTION("""COMPUTED_VALUE"""),"CUM - PS - BPKT")</f>
        <v>CUM - PS - BPKT</v>
      </c>
      <c r="AE181" s="80" t="str">
        <f>IFERROR(__xludf.DUMMYFUNCTION("""COMPUTED_VALUE"""),"SUB PURBO POS")</f>
        <v>SUB PURBO POS</v>
      </c>
      <c r="AF181" s="80" t="str">
        <f>IFERROR(__xludf.DUMMYFUNCTION("""COMPUTED_VALUE"""),"082137139588")</f>
        <v>082137139588</v>
      </c>
      <c r="AG181" s="80"/>
      <c r="AH181" s="80" t="str">
        <f>IFERROR(__xludf.DUMMYFUNCTION("""COMPUTED_VALUE"""),"saifuljjt@gmail.com ")</f>
        <v>saifuljjt@gmail.com </v>
      </c>
      <c r="AI181" s="80" t="str">
        <f>IFERROR(__xludf.DUMMYFUNCTION("""COMPUTED_VALUE"""),"55598SG")</f>
        <v>55598SG</v>
      </c>
      <c r="AJ181" s="80" t="str">
        <f>IFERROR(__xludf.DUMMYFUNCTION("""COMPUTED_VALUE"""),"6678dcb394ec0a68410e9528")</f>
        <v>6678dcb394ec0a68410e9528</v>
      </c>
      <c r="AK181" s="80" t="str">
        <f>IFERROR(__xludf.DUMMYFUNCTION("""COMPUTED_VALUE"""),"dm55598sg")</f>
        <v>dm55598sg</v>
      </c>
      <c r="AL181" s="80" t="str">
        <f>IFERROR(__xludf.DUMMYFUNCTION("""COMPUTED_VALUE"""),"#55598Pos")</f>
        <v>#55598Pos</v>
      </c>
      <c r="AM181" s="80" t="str">
        <f>IFERROR(__xludf.DUMMYFUNCTION("""COMPUTED_VALUE"""),"KANTOR REGIONAL IV SEMARANG 50004")</f>
        <v>KANTOR REGIONAL IV SEMARANG 50004</v>
      </c>
      <c r="AN181" s="80" t="str">
        <f>IFERROR(__xludf.DUMMYFUNCTION("""COMPUTED_VALUE"""),"KCU YOGYAKARTA 55000")</f>
        <v>KCU YOGYAKARTA 55000</v>
      </c>
      <c r="AO181" s="80" t="str">
        <f>IFERROR(__xludf.DUMMYFUNCTION("""COMPUTED_VALUE"""),"2204240364612")</f>
        <v>2204240364612</v>
      </c>
      <c r="AP181" s="80" t="str">
        <f>IFERROR(__xludf.DUMMYFUNCTION("""COMPUTED_VALUE"""),"22042403646120001")</f>
        <v>22042403646120001</v>
      </c>
      <c r="AQ181" s="83"/>
      <c r="AR181" s="80"/>
      <c r="AS181" s="80"/>
      <c r="AT181" s="80" t="str">
        <f>IFERROR(__xludf.DUMMYFUNCTION("""COMPUTED_VALUE"""),"-7.7573867")</f>
        <v>-7.7573867</v>
      </c>
      <c r="AU181" s="80" t="str">
        <f>IFERROR(__xludf.DUMMYFUNCTION("""COMPUTED_VALUE"""),"110.4335931")</f>
        <v>110.4335931</v>
      </c>
      <c r="AV181" s="80"/>
      <c r="AW181" s="80"/>
      <c r="AX181" s="80"/>
      <c r="AY181" s="80"/>
      <c r="AZ181" s="80"/>
      <c r="BA181" s="80"/>
      <c r="BB181" s="80"/>
      <c r="BC181" s="80"/>
      <c r="BD181" s="80"/>
      <c r="BE181" s="80"/>
      <c r="BF181" s="80"/>
      <c r="BG181" s="80"/>
      <c r="BH181" s="80"/>
      <c r="BI181" s="80"/>
      <c r="BJ181" s="80"/>
      <c r="BK181" s="80"/>
      <c r="BL181" s="80"/>
      <c r="BM181" s="80"/>
      <c r="BN181" s="80"/>
      <c r="BO181" s="80"/>
      <c r="BP181" s="80"/>
      <c r="BQ181" s="80"/>
      <c r="BR181" s="80"/>
      <c r="BS181" s="80"/>
      <c r="BT181" s="80"/>
      <c r="BU181" s="80"/>
      <c r="BV181" s="80"/>
      <c r="BW181" s="80"/>
      <c r="BX181" s="80"/>
      <c r="BY181" s="80"/>
      <c r="BZ181" s="80"/>
      <c r="CA181" s="80"/>
      <c r="CB181" s="80"/>
      <c r="CC181" s="80"/>
      <c r="CD181" s="80"/>
      <c r="CE181" s="80"/>
      <c r="CF181" s="80"/>
      <c r="CG181" s="80"/>
      <c r="CH181" s="80"/>
      <c r="CI181" s="80"/>
      <c r="CJ181" s="80"/>
      <c r="CK181" s="2"/>
    </row>
    <row r="182" ht="12.75" customHeight="1">
      <c r="A182" s="85">
        <f>IFERROR(__xludf.DUMMYFUNCTION("""COMPUTED_VALUE"""),179.0)</f>
        <v>179</v>
      </c>
      <c r="B182" s="85"/>
      <c r="C182" s="85"/>
      <c r="D182" s="86"/>
      <c r="E182" s="88"/>
      <c r="F182" s="85"/>
      <c r="G182" s="86"/>
      <c r="H182" s="85"/>
      <c r="I182" s="85"/>
      <c r="J182" s="85"/>
      <c r="K182" s="85"/>
      <c r="L182" s="85"/>
      <c r="M182" s="85"/>
      <c r="N182" s="85"/>
      <c r="O182" s="85"/>
      <c r="P182" s="85" t="str">
        <f>IFERROR(__xludf.DUMMYFUNCTION("""COMPUTED_VALUE"""),"53BSPA04633JBTSA")</f>
        <v>53BSPA04633JBTSA</v>
      </c>
      <c r="Q182" s="85" t="str">
        <f>IFERROR(__xludf.DUMMYFUNCTION("""COMPUTED_VALUE"""),"BILGINA")</f>
        <v>BILGINA</v>
      </c>
      <c r="R182" s="85" t="str">
        <f>IFERROR(__xludf.DUMMYFUNCTION("""COMPUTED_VALUE"""),"MUC BILGINA")</f>
        <v>MUC BILGINA</v>
      </c>
      <c r="S182" s="85" t="str">
        <f>IFERROR(__xludf.DUMMYFUNCTION("""COMPUTED_VALUE"""),"BENI SUHERDI")</f>
        <v>BENI SUHERDI</v>
      </c>
      <c r="T182" s="85" t="str">
        <f>IFERROR(__xludf.DUMMYFUNCTION("""COMPUTED_VALUE"""),"KP. LEUWEUNGTIIS RT 001 RW 002")</f>
        <v>KP. LEUWEUNGTIIS RT 001 RW 002</v>
      </c>
      <c r="U182" s="85" t="str">
        <f>IFERROR(__xludf.DUMMYFUNCTION("""COMPUTED_VALUE"""),"KP. LEUWEUNGTIIS RT 001 RW 002")</f>
        <v>KP. LEUWEUNGTIIS RT 001 RW 002</v>
      </c>
      <c r="V182" s="85"/>
      <c r="W182" s="85" t="str">
        <f>IFERROR(__xludf.DUMMYFUNCTION("""COMPUTED_VALUE"""),"HARUMAN")</f>
        <v>HARUMAN</v>
      </c>
      <c r="X182" s="85" t="str">
        <f>IFERROR(__xludf.DUMMYFUNCTION("""COMPUTED_VALUE"""),"LELES")</f>
        <v>LELES</v>
      </c>
      <c r="Y182" s="85" t="str">
        <f>IFERROR(__xludf.DUMMYFUNCTION("""COMPUTED_VALUE"""),"KAB. GARUT")</f>
        <v>KAB. GARUT</v>
      </c>
      <c r="Z182" s="85" t="str">
        <f>IFERROR(__xludf.DUMMYFUNCTION("""COMPUTED_VALUE"""),"JAWA BARAT")</f>
        <v>JAWA BARAT</v>
      </c>
      <c r="AA182" s="85" t="str">
        <f>IFERROR(__xludf.DUMMYFUNCTION("""COMPUTED_VALUE"""),"44152")</f>
        <v>44152</v>
      </c>
      <c r="AB182" s="85" t="str">
        <f>IFERROR(__xludf.DUMMYFUNCTION("""COMPUTED_VALUE"""),"3205091001830001")</f>
        <v>3205091001830001</v>
      </c>
      <c r="AC182" s="85" t="str">
        <f>IFERROR(__xludf.DUMMYFUNCTION("""COMPUTED_VALUE"""),"09.930.849.6-443.000")</f>
        <v>09.930.849.6-443.000</v>
      </c>
      <c r="AD182" s="85" t="str">
        <f>IFERROR(__xludf.DUMMYFUNCTION("""COMPUTED_VALUE"""),"CUM - TSR")</f>
        <v>CUM - TSR</v>
      </c>
      <c r="AE182" s="85" t="str">
        <f>IFERROR(__xludf.DUMMYFUNCTION("""COMPUTED_VALUE"""),"SUB TATANG POS")</f>
        <v>SUB TATANG POS</v>
      </c>
      <c r="AF182" s="85" t="str">
        <f>IFERROR(__xludf.DUMMYFUNCTION("""COMPUTED_VALUE"""),"089515276936")</f>
        <v>089515276936</v>
      </c>
      <c r="AG182" s="85"/>
      <c r="AH182" s="85" t="str">
        <f>IFERROR(__xludf.DUMMYFUNCTION("""COMPUTED_VALUE"""),"senjalangit184@gmail.com")</f>
        <v>senjalangit184@gmail.com</v>
      </c>
      <c r="AI182" s="85" t="str">
        <f>IFERROR(__xludf.DUMMYFUNCTION("""COMPUTED_VALUE"""),"44152S3")</f>
        <v>44152S3</v>
      </c>
      <c r="AJ182" s="85" t="str">
        <f>IFERROR(__xludf.DUMMYFUNCTION("""COMPUTED_VALUE"""),"6635b42b7d1790b2fa035a8a")</f>
        <v>6635b42b7d1790b2fa035a8a</v>
      </c>
      <c r="AK182" s="85" t="str">
        <f>IFERROR(__xludf.DUMMYFUNCTION("""COMPUTED_VALUE"""),"dm44152s3")</f>
        <v>dm44152s3</v>
      </c>
      <c r="AL182" s="85" t="str">
        <f>IFERROR(__xludf.DUMMYFUNCTION("""COMPUTED_VALUE"""),"#44152Pos")</f>
        <v>#44152Pos</v>
      </c>
      <c r="AM182" s="85" t="str">
        <f>IFERROR(__xludf.DUMMYFUNCTION("""COMPUTED_VALUE"""),"KANTOR REGIONAL III BANDUNG 40004")</f>
        <v>KANTOR REGIONAL III BANDUNG 40004</v>
      </c>
      <c r="AN182" s="85" t="str">
        <f>IFERROR(__xludf.DUMMYFUNCTION("""COMPUTED_VALUE"""),"KC GARUT 44100")</f>
        <v>KC GARUT 44100</v>
      </c>
      <c r="AO182" s="85" t="str">
        <f>IFERROR(__xludf.DUMMYFUNCTION("""COMPUTED_VALUE"""),"1308230046522")</f>
        <v>1308230046522</v>
      </c>
      <c r="AP182" s="85" t="str">
        <f>IFERROR(__xludf.DUMMYFUNCTION("""COMPUTED_VALUE"""),"13082300465220003")</f>
        <v>13082300465220003</v>
      </c>
      <c r="AQ182" s="93"/>
      <c r="AR182" s="85"/>
      <c r="AS182" s="85"/>
      <c r="AT182" s="85" t="str">
        <f>IFERROR(__xludf.DUMMYFUNCTION("""COMPUTED_VALUE"""),"-7.1260248")</f>
        <v>-7.1260248</v>
      </c>
      <c r="AU182" s="85" t="str">
        <f>IFERROR(__xludf.DUMMYFUNCTION("""COMPUTED_VALUE"""),"107.8909697")</f>
        <v>107.8909697</v>
      </c>
      <c r="AV182" s="85"/>
      <c r="AW182" s="85"/>
      <c r="AX182" s="85"/>
      <c r="AY182" s="85"/>
      <c r="AZ182" s="85"/>
      <c r="BA182" s="85"/>
      <c r="BB182" s="85"/>
      <c r="BC182" s="85"/>
      <c r="BD182" s="85"/>
      <c r="BE182" s="85"/>
      <c r="BF182" s="85"/>
      <c r="BG182" s="85"/>
      <c r="BH182" s="85"/>
      <c r="BI182" s="85"/>
      <c r="BJ182" s="85"/>
      <c r="BK182" s="85"/>
      <c r="BL182" s="85"/>
      <c r="BM182" s="85"/>
      <c r="BN182" s="85"/>
      <c r="BO182" s="85"/>
      <c r="BP182" s="85"/>
      <c r="BQ182" s="85"/>
      <c r="BR182" s="85"/>
      <c r="BS182" s="85"/>
      <c r="BT182" s="85"/>
      <c r="BU182" s="85"/>
      <c r="BV182" s="85"/>
      <c r="BW182" s="85"/>
      <c r="BX182" s="85"/>
      <c r="BY182" s="85"/>
      <c r="BZ182" s="85"/>
      <c r="CA182" s="85"/>
      <c r="CB182" s="85"/>
      <c r="CC182" s="85"/>
      <c r="CD182" s="85"/>
      <c r="CE182" s="85"/>
      <c r="CF182" s="85"/>
      <c r="CG182" s="85"/>
      <c r="CH182" s="85"/>
      <c r="CI182" s="85"/>
      <c r="CJ182" s="85"/>
      <c r="CK182" s="2"/>
    </row>
    <row r="183" ht="14.25" customHeight="1">
      <c r="A183" s="80">
        <f>IFERROR(__xludf.DUMMYFUNCTION("""COMPUTED_VALUE"""),180.0)</f>
        <v>180</v>
      </c>
      <c r="B183" s="80"/>
      <c r="C183" s="80"/>
      <c r="D183" s="81"/>
      <c r="E183" s="82"/>
      <c r="F183" s="80"/>
      <c r="G183" s="81"/>
      <c r="H183" s="80"/>
      <c r="I183" s="80"/>
      <c r="J183" s="80"/>
      <c r="K183" s="80"/>
      <c r="L183" s="80"/>
      <c r="M183" s="80"/>
      <c r="N183" s="80"/>
      <c r="O183" s="80"/>
      <c r="P183" s="80" t="str">
        <f>IFERROR(__xludf.DUMMYFUNCTION("""COMPUTED_VALUE"""),"53BSPA04634JBHPR")</f>
        <v>53BSPA04634JBHPR</v>
      </c>
      <c r="Q183" s="80" t="str">
        <f>IFERROR(__xludf.DUMMYFUNCTION("""COMPUTED_VALUE"""),"ARH BEJI")</f>
        <v>ARH BEJI</v>
      </c>
      <c r="R183" s="80" t="str">
        <f>IFERROR(__xludf.DUMMYFUNCTION("""COMPUTED_VALUE"""),"MUC ARH BEJI")</f>
        <v>MUC ARH BEJI</v>
      </c>
      <c r="S183" s="80" t="str">
        <f>IFERROR(__xludf.DUMMYFUNCTION("""COMPUTED_VALUE"""),"HANDRI AGUS")</f>
        <v>HANDRI AGUS</v>
      </c>
      <c r="T183" s="80" t="str">
        <f>IFERROR(__xludf.DUMMYFUNCTION("""COMPUTED_VALUE""")," JL ARIF RAHMAN HAKIM NO 53, KEL BEJI, KEC BEJI, KOTA DEPOK, 16421")</f>
        <v> JL ARIF RAHMAN HAKIM NO 53, KEL BEJI, KEC BEJI, KOTA DEPOK, 16421</v>
      </c>
      <c r="U183" s="80" t="str">
        <f>IFERROR(__xludf.DUMMYFUNCTION("""COMPUTED_VALUE"""),"JL ARIF RAHMAN HAKIM NO 53 RT 02 RW 03")</f>
        <v>JL ARIF RAHMAN HAKIM NO 53 RT 02 RW 03</v>
      </c>
      <c r="V183" s="80"/>
      <c r="W183" s="80" t="str">
        <f>IFERROR(__xludf.DUMMYFUNCTION("""COMPUTED_VALUE"""),"Beji")</f>
        <v>Beji</v>
      </c>
      <c r="X183" s="80" t="str">
        <f>IFERROR(__xludf.DUMMYFUNCTION("""COMPUTED_VALUE"""),"Beji")</f>
        <v>Beji</v>
      </c>
      <c r="Y183" s="80" t="str">
        <f>IFERROR(__xludf.DUMMYFUNCTION("""COMPUTED_VALUE"""),"Kota Depok")</f>
        <v>Kota Depok</v>
      </c>
      <c r="Z183" s="80" t="str">
        <f>IFERROR(__xludf.DUMMYFUNCTION("""COMPUTED_VALUE"""),"JAWA BARAT")</f>
        <v>JAWA BARAT</v>
      </c>
      <c r="AA183" s="80" t="str">
        <f>IFERROR(__xludf.DUMMYFUNCTION("""COMPUTED_VALUE"""),"16421")</f>
        <v>16421</v>
      </c>
      <c r="AB183" s="80" t="str">
        <f>IFERROR(__xludf.DUMMYFUNCTION("""COMPUTED_VALUE"""),"3276060208860001")</f>
        <v>3276060208860001</v>
      </c>
      <c r="AC183" s="80" t="str">
        <f>IFERROR(__xludf.DUMMYFUNCTION("""COMPUTED_VALUE"""),"34.525.897.4-412.000")</f>
        <v>34.525.897.4-412.000</v>
      </c>
      <c r="AD183" s="80" t="str">
        <f>IFERROR(__xludf.DUMMYFUNCTION("""COMPUTED_VALUE"""),"CUM - PS - HPR")</f>
        <v>CUM - PS - HPR</v>
      </c>
      <c r="AE183" s="80" t="str">
        <f>IFERROR(__xludf.DUMMYFUNCTION("""COMPUTED_VALUE"""),"SUB HADI POS")</f>
        <v>SUB HADI POS</v>
      </c>
      <c r="AF183" s="80" t="str">
        <f>IFERROR(__xludf.DUMMYFUNCTION("""COMPUTED_VALUE"""),"08165456919")</f>
        <v>08165456919</v>
      </c>
      <c r="AG183" s="80"/>
      <c r="AH183" s="80" t="str">
        <f>IFERROR(__xludf.DUMMYFUNCTION("""COMPUTED_VALUE"""),"lp.dep.posarhbeji@gmail.com")</f>
        <v>lp.dep.posarhbeji@gmail.com</v>
      </c>
      <c r="AI183" s="80" t="str">
        <f>IFERROR(__xludf.DUMMYFUNCTION("""COMPUTED_VALUE"""),"16421S5")</f>
        <v>16421S5</v>
      </c>
      <c r="AJ183" s="80" t="str">
        <f>IFERROR(__xludf.DUMMYFUNCTION("""COMPUTED_VALUE"""),"662f4924590eb9654706bc79")</f>
        <v>662f4924590eb9654706bc79</v>
      </c>
      <c r="AK183" s="80" t="str">
        <f>IFERROR(__xludf.DUMMYFUNCTION("""COMPUTED_VALUE"""),"dm16421s5")</f>
        <v>dm16421s5</v>
      </c>
      <c r="AL183" s="80" t="str">
        <f>IFERROR(__xludf.DUMMYFUNCTION("""COMPUTED_VALUE"""),"#16421Pos")</f>
        <v>#16421Pos</v>
      </c>
      <c r="AM183" s="80" t="str">
        <f>IFERROR(__xludf.DUMMYFUNCTION("""COMPUTED_VALUE"""),"KANTOR REGIONAL II JAKARTA 10004")</f>
        <v>KANTOR REGIONAL II JAKARTA 10004</v>
      </c>
      <c r="AN183" s="80" t="str">
        <f>IFERROR(__xludf.DUMMYFUNCTION("""COMPUTED_VALUE"""),"KC DEPOK 16400")</f>
        <v>KC DEPOK 16400</v>
      </c>
      <c r="AO183" s="80" t="str">
        <f>IFERROR(__xludf.DUMMYFUNCTION("""COMPUTED_VALUE"""),"2304240059651")</f>
        <v>2304240059651</v>
      </c>
      <c r="AP183" s="80" t="str">
        <f>IFERROR(__xludf.DUMMYFUNCTION("""COMPUTED_VALUE"""),"23042400596510001")</f>
        <v>23042400596510001</v>
      </c>
      <c r="AQ183" s="83"/>
      <c r="AR183" s="80"/>
      <c r="AS183" s="80"/>
      <c r="AT183" s="80" t="str">
        <f>IFERROR(__xludf.DUMMYFUNCTION("""COMPUTED_VALUE"""),"-6.3886967")</f>
        <v>-6.3886967</v>
      </c>
      <c r="AU183" s="80" t="str">
        <f>IFERROR(__xludf.DUMMYFUNCTION("""COMPUTED_VALUE"""),"106.8172584")</f>
        <v>106.8172584</v>
      </c>
      <c r="AV183" s="80"/>
      <c r="AW183" s="80"/>
      <c r="AX183" s="80"/>
      <c r="AY183" s="80"/>
      <c r="AZ183" s="80"/>
      <c r="BA183" s="80"/>
      <c r="BB183" s="80"/>
      <c r="BC183" s="80"/>
      <c r="BD183" s="80"/>
      <c r="BE183" s="80"/>
      <c r="BF183" s="80"/>
      <c r="BG183" s="80"/>
      <c r="BH183" s="80"/>
      <c r="BI183" s="80"/>
      <c r="BJ183" s="80"/>
      <c r="BK183" s="80"/>
      <c r="BL183" s="80"/>
      <c r="BM183" s="80"/>
      <c r="BN183" s="80"/>
      <c r="BO183" s="80"/>
      <c r="BP183" s="80"/>
      <c r="BQ183" s="80"/>
      <c r="BR183" s="80"/>
      <c r="BS183" s="80"/>
      <c r="BT183" s="80" t="str">
        <f>IFERROR(__xludf.DUMMYFUNCTION("""COMPUTED_VALUE"""),"ALAMAT KTP BELUM DI UPDATE")</f>
        <v>ALAMAT KTP BELUM DI UPDATE</v>
      </c>
      <c r="BU183" s="80"/>
      <c r="BV183" s="80"/>
      <c r="BW183" s="80"/>
      <c r="BX183" s="80"/>
      <c r="BY183" s="80"/>
      <c r="BZ183" s="80"/>
      <c r="CA183" s="80"/>
      <c r="CB183" s="80"/>
      <c r="CC183" s="80"/>
      <c r="CD183" s="80"/>
      <c r="CE183" s="80"/>
      <c r="CF183" s="80"/>
      <c r="CG183" s="80"/>
      <c r="CH183" s="80"/>
      <c r="CI183" s="80"/>
      <c r="CJ183" s="80"/>
      <c r="CK183" s="2"/>
    </row>
    <row r="184" ht="14.25" customHeight="1">
      <c r="A184" s="85">
        <f>IFERROR(__xludf.DUMMYFUNCTION("""COMPUTED_VALUE"""),181.0)</f>
        <v>181</v>
      </c>
      <c r="B184" s="85"/>
      <c r="C184" s="85"/>
      <c r="D184" s="86"/>
      <c r="E184" s="88"/>
      <c r="F184" s="85"/>
      <c r="G184" s="86"/>
      <c r="H184" s="85"/>
      <c r="I184" s="85"/>
      <c r="J184" s="85"/>
      <c r="K184" s="85"/>
      <c r="L184" s="85"/>
      <c r="M184" s="85"/>
      <c r="N184" s="85"/>
      <c r="O184" s="85"/>
      <c r="P184" s="85" t="str">
        <f>IFERROR(__xludf.DUMMYFUNCTION("""COMPUTED_VALUE"""),"52BSPA07593JTSYF")</f>
        <v>52BSPA07593JTSYF</v>
      </c>
      <c r="Q184" s="85" t="str">
        <f>IFERROR(__xludf.DUMMYFUNCTION("""COMPUTED_VALUE"""),"BARI CELL")</f>
        <v>BARI CELL</v>
      </c>
      <c r="R184" s="85" t="str">
        <f>IFERROR(__xludf.DUMMYFUNCTION("""COMPUTED_VALUE"""),"MUC BARICELL")</f>
        <v>MUC BARICELL</v>
      </c>
      <c r="S184" s="85" t="str">
        <f>IFERROR(__xludf.DUMMYFUNCTION("""COMPUTED_VALUE"""),"SOBARI")</f>
        <v>SOBARI</v>
      </c>
      <c r="T184" s="85" t="str">
        <f>IFERROR(__xludf.DUMMYFUNCTION("""COMPUTED_VALUE"""),"DESA KEBASEN RT 005/002 KEC TALANG KAB TEGAL")</f>
        <v>DESA KEBASEN RT 005/002 KEC TALANG KAB TEGAL</v>
      </c>
      <c r="U184" s="85" t="str">
        <f>IFERROR(__xludf.DUMMYFUNCTION("""COMPUTED_VALUE"""),"DESA KEBASEN RT 005/002 KEC TALANG KAB TEGAL")</f>
        <v>DESA KEBASEN RT 005/002 KEC TALANG KAB TEGAL</v>
      </c>
      <c r="V184" s="85"/>
      <c r="W184" s="85" t="str">
        <f>IFERROR(__xludf.DUMMYFUNCTION("""COMPUTED_VALUE"""),"KEBASEN")</f>
        <v>KEBASEN</v>
      </c>
      <c r="X184" s="85" t="str">
        <f>IFERROR(__xludf.DUMMYFUNCTION("""COMPUTED_VALUE"""),"TALANG")</f>
        <v>TALANG</v>
      </c>
      <c r="Y184" s="85" t="str">
        <f>IFERROR(__xludf.DUMMYFUNCTION("""COMPUTED_VALUE"""),"KAB TEGAL")</f>
        <v>KAB TEGAL</v>
      </c>
      <c r="Z184" s="85" t="str">
        <f>IFERROR(__xludf.DUMMYFUNCTION("""COMPUTED_VALUE"""),"JAWA TENGAH")</f>
        <v>JAWA TENGAH</v>
      </c>
      <c r="AA184" s="85" t="str">
        <f>IFERROR(__xludf.DUMMYFUNCTION("""COMPUTED_VALUE"""),"52193")</f>
        <v>52193</v>
      </c>
      <c r="AB184" s="85" t="str">
        <f>IFERROR(__xludf.DUMMYFUNCTION("""COMPUTED_VALUE"""),"3328122812730008")</f>
        <v>3328122812730008</v>
      </c>
      <c r="AC184" s="85" t="str">
        <f>IFERROR(__xludf.DUMMYFUNCTION("""COMPUTED_VALUE"""),"14.112.608.6-501.000")</f>
        <v>14.112.608.6-501.000</v>
      </c>
      <c r="AD184" s="85" t="str">
        <f>IFERROR(__xludf.DUMMYFUNCTION("""COMPUTED_VALUE"""),"CUM - PS - SYF")</f>
        <v>CUM - PS - SYF</v>
      </c>
      <c r="AE184" s="85" t="str">
        <f>IFERROR(__xludf.DUMMYFUNCTION("""COMPUTED_VALUE"""),"SUB SYAIFULLOH POS")</f>
        <v>SUB SYAIFULLOH POS</v>
      </c>
      <c r="AF184" s="85" t="str">
        <f>IFERROR(__xludf.DUMMYFUNCTION("""COMPUTED_VALUE"""),"081548078934")</f>
        <v>081548078934</v>
      </c>
      <c r="AG184" s="85"/>
      <c r="AH184" s="85" t="str">
        <f>IFERROR(__xludf.DUMMYFUNCTION("""COMPUTED_VALUE"""),"barisobari057@gmail.com")</f>
        <v>barisobari057@gmail.com</v>
      </c>
      <c r="AI184" s="85" t="str">
        <f>IFERROR(__xludf.DUMMYFUNCTION("""COMPUTED_VALUE"""),"52493S5")</f>
        <v>52493S5</v>
      </c>
      <c r="AJ184" s="85" t="str">
        <f>IFERROR(__xludf.DUMMYFUNCTION("""COMPUTED_VALUE"""),"666b00f77185d77d3d096ef5")</f>
        <v>666b00f77185d77d3d096ef5</v>
      </c>
      <c r="AK184" s="85" t="str">
        <f>IFERROR(__xludf.DUMMYFUNCTION("""COMPUTED_VALUE"""),"dm52493s5")</f>
        <v>dm52493s5</v>
      </c>
      <c r="AL184" s="85" t="str">
        <f>IFERROR(__xludf.DUMMYFUNCTION("""COMPUTED_VALUE"""),"#52493Pos")</f>
        <v>#52493Pos</v>
      </c>
      <c r="AM184" s="85" t="str">
        <f>IFERROR(__xludf.DUMMYFUNCTION("""COMPUTED_VALUE"""),"KANTOR REGIONAL IV SEMARANG 50004")</f>
        <v>KANTOR REGIONAL IV SEMARANG 50004</v>
      </c>
      <c r="AN184" s="85" t="str">
        <f>IFERROR(__xludf.DUMMYFUNCTION("""COMPUTED_VALUE"""),"KC TEGAL 52100")</f>
        <v>KC TEGAL 52100</v>
      </c>
      <c r="AO184" s="85" t="str">
        <f>IFERROR(__xludf.DUMMYFUNCTION("""COMPUTED_VALUE"""),"2005240041046")</f>
        <v>2005240041046</v>
      </c>
      <c r="AP184" s="85" t="str">
        <f>IFERROR(__xludf.DUMMYFUNCTION("""COMPUTED_VALUE"""),"20052400410460001")</f>
        <v>20052400410460001</v>
      </c>
      <c r="AQ184" s="93"/>
      <c r="AR184" s="85"/>
      <c r="AS184" s="85"/>
      <c r="AT184" s="85" t="str">
        <f>IFERROR(__xludf.DUMMYFUNCTION("""COMPUTED_VALUE"""),"-6.9153867")</f>
        <v>-6.9153867</v>
      </c>
      <c r="AU184" s="85" t="str">
        <f>IFERROR(__xludf.DUMMYFUNCTION("""COMPUTED_VALUE"""),"109.1270608")</f>
        <v>109.1270608</v>
      </c>
      <c r="AV184" s="85"/>
      <c r="AW184" s="85"/>
      <c r="AX184" s="85"/>
      <c r="AY184" s="85"/>
      <c r="AZ184" s="85"/>
      <c r="BA184" s="85"/>
      <c r="BB184" s="85"/>
      <c r="BC184" s="85"/>
      <c r="BD184" s="85"/>
      <c r="BE184" s="85"/>
      <c r="BF184" s="85"/>
      <c r="BG184" s="85"/>
      <c r="BH184" s="85"/>
      <c r="BI184" s="85"/>
      <c r="BJ184" s="85"/>
      <c r="BK184" s="85"/>
      <c r="BL184" s="85"/>
      <c r="BM184" s="85"/>
      <c r="BN184" s="85"/>
      <c r="BO184" s="85"/>
      <c r="BP184" s="85"/>
      <c r="BQ184" s="85"/>
      <c r="BR184" s="85"/>
      <c r="BS184" s="85"/>
      <c r="BT184" s="85"/>
      <c r="BU184" s="85"/>
      <c r="BV184" s="85"/>
      <c r="BW184" s="85"/>
      <c r="BX184" s="85"/>
      <c r="BY184" s="85"/>
      <c r="BZ184" s="85"/>
      <c r="CA184" s="85"/>
      <c r="CB184" s="85"/>
      <c r="CC184" s="85"/>
      <c r="CD184" s="85"/>
      <c r="CE184" s="85"/>
      <c r="CF184" s="85"/>
      <c r="CG184" s="85"/>
      <c r="CH184" s="85"/>
      <c r="CI184" s="85"/>
      <c r="CJ184" s="85"/>
      <c r="CK184" s="2"/>
    </row>
    <row r="185" ht="14.25" customHeight="1">
      <c r="A185" s="80">
        <f>IFERROR(__xludf.DUMMYFUNCTION("""COMPUTED_VALUE"""),182.0)</f>
        <v>182</v>
      </c>
      <c r="B185" s="80"/>
      <c r="C185" s="80"/>
      <c r="D185" s="81"/>
      <c r="E185" s="82"/>
      <c r="F185" s="80"/>
      <c r="G185" s="81"/>
      <c r="H185" s="80"/>
      <c r="I185" s="80"/>
      <c r="J185" s="80"/>
      <c r="K185" s="80"/>
      <c r="L185" s="80"/>
      <c r="M185" s="80"/>
      <c r="N185" s="80"/>
      <c r="O185" s="80"/>
      <c r="P185" s="80" t="str">
        <f>IFERROR(__xludf.DUMMYFUNCTION("""COMPUTED_VALUE"""),"52BSPA07599JTSYF")</f>
        <v>52BSPA07599JTSYF</v>
      </c>
      <c r="Q185" s="80" t="str">
        <f>IFERROR(__xludf.DUMMYFUNCTION("""COMPUTED_VALUE"""),"INPUT FC")</f>
        <v>INPUT FC</v>
      </c>
      <c r="R185" s="80" t="str">
        <f>IFERROR(__xludf.DUMMYFUNCTION("""COMPUTED_VALUE"""),"MUC INPUT FC")</f>
        <v>MUC INPUT FC</v>
      </c>
      <c r="S185" s="80" t="str">
        <f>IFERROR(__xludf.DUMMYFUNCTION("""COMPUTED_VALUE"""),"Indra Adi Saputro")</f>
        <v>Indra Adi Saputro</v>
      </c>
      <c r="T185" s="80" t="str">
        <f>IFERROR(__xludf.DUMMYFUNCTION("""COMPUTED_VALUE"""),"Desa Pekiringan, RT. 013 RW. 003 KEC. TALANG - KAB. TEGAL 52493")</f>
        <v>Desa Pekiringan, RT. 013 RW. 003 KEC. TALANG - KAB. TEGAL 52493</v>
      </c>
      <c r="U185" s="80" t="str">
        <f>IFERROR(__xludf.DUMMYFUNCTION("""COMPUTED_VALUE"""),"Jl. Raya Banjaran -  Balamoa")</f>
        <v>Jl. Raya Banjaran -  Balamoa</v>
      </c>
      <c r="V185" s="80"/>
      <c r="W185" s="80" t="str">
        <f>IFERROR(__xludf.DUMMYFUNCTION("""COMPUTED_VALUE"""),"Jatirawa")</f>
        <v>Jatirawa</v>
      </c>
      <c r="X185" s="80" t="str">
        <f>IFERROR(__xludf.DUMMYFUNCTION("""COMPUTED_VALUE"""),"Tarub")</f>
        <v>Tarub</v>
      </c>
      <c r="Y185" s="80" t="str">
        <f>IFERROR(__xludf.DUMMYFUNCTION("""COMPUTED_VALUE"""),"Kab. Tegal")</f>
        <v>Kab. Tegal</v>
      </c>
      <c r="Z185" s="80" t="str">
        <f>IFERROR(__xludf.DUMMYFUNCTION("""COMPUTED_VALUE"""),"JAWA TENGAH")</f>
        <v>JAWA TENGAH</v>
      </c>
      <c r="AA185" s="80"/>
      <c r="AB185" s="80" t="str">
        <f>IFERROR(__xludf.DUMMYFUNCTION("""COMPUTED_VALUE"""),"3328141604930004")</f>
        <v>3328141604930004</v>
      </c>
      <c r="AC185" s="80" t="str">
        <f>IFERROR(__xludf.DUMMYFUNCTION("""COMPUTED_VALUE"""),"12.001.981.5-501.000")</f>
        <v>12.001.981.5-501.000</v>
      </c>
      <c r="AD185" s="80" t="str">
        <f>IFERROR(__xludf.DUMMYFUNCTION("""COMPUTED_VALUE"""),"CUM - PS - SYF")</f>
        <v>CUM - PS - SYF</v>
      </c>
      <c r="AE185" s="80" t="str">
        <f>IFERROR(__xludf.DUMMYFUNCTION("""COMPUTED_VALUE"""),"SUB SYAIFULLOH POS")</f>
        <v>SUB SYAIFULLOH POS</v>
      </c>
      <c r="AF185" s="80" t="str">
        <f>IFERROR(__xludf.DUMMYFUNCTION("""COMPUTED_VALUE"""),"082323282817")</f>
        <v>082323282817</v>
      </c>
      <c r="AG185" s="80"/>
      <c r="AH185" s="80" t="str">
        <f>IFERROR(__xludf.DUMMYFUNCTION("""COMPUTED_VALUE"""),"indraadisaputro16@gmail.com")</f>
        <v>indraadisaputro16@gmail.com</v>
      </c>
      <c r="AI185" s="80" t="str">
        <f>IFERROR(__xludf.DUMMYFUNCTION("""COMPUTED_VALUE"""),"52484S1")</f>
        <v>52484S1</v>
      </c>
      <c r="AJ185" s="80" t="str">
        <f>IFERROR(__xludf.DUMMYFUNCTION("""COMPUTED_VALUE"""),"66763b44ad99c4c5fd0f8ae9")</f>
        <v>66763b44ad99c4c5fd0f8ae9</v>
      </c>
      <c r="AK185" s="80" t="str">
        <f>IFERROR(__xludf.DUMMYFUNCTION("""COMPUTED_VALUE"""),"dm52484s1")</f>
        <v>dm52484s1</v>
      </c>
      <c r="AL185" s="80" t="str">
        <f>IFERROR(__xludf.DUMMYFUNCTION("""COMPUTED_VALUE"""),"#52484Pos")</f>
        <v>#52484Pos</v>
      </c>
      <c r="AM185" s="80" t="str">
        <f>IFERROR(__xludf.DUMMYFUNCTION("""COMPUTED_VALUE"""),"KANTOR REGIONAL IV SEMARANG 50004")</f>
        <v>KANTOR REGIONAL IV SEMARANG 50004</v>
      </c>
      <c r="AN185" s="80" t="str">
        <f>IFERROR(__xludf.DUMMYFUNCTION("""COMPUTED_VALUE"""),"KC TEGAL 52100")</f>
        <v>KC TEGAL 52100</v>
      </c>
      <c r="AO185" s="80" t="str">
        <f>IFERROR(__xludf.DUMMYFUNCTION("""COMPUTED_VALUE"""),"0305240066126")</f>
        <v>0305240066126</v>
      </c>
      <c r="AP185" s="80" t="str">
        <f>IFERROR(__xludf.DUMMYFUNCTION("""COMPUTED_VALUE"""),"03052400661260001")</f>
        <v>03052400661260001</v>
      </c>
      <c r="AQ185" s="83"/>
      <c r="AR185" s="80"/>
      <c r="AS185" s="80"/>
      <c r="AT185" s="80" t="str">
        <f>IFERROR(__xludf.DUMMYFUNCTION("""COMPUTED_VALUE"""),"-6.9449337")</f>
        <v>-6.9449337</v>
      </c>
      <c r="AU185" s="80" t="str">
        <f>IFERROR(__xludf.DUMMYFUNCTION("""COMPUTED_VALUE"""),"109.1616465")</f>
        <v>109.1616465</v>
      </c>
      <c r="AV185" s="80"/>
      <c r="AW185" s="80"/>
      <c r="AX185" s="80"/>
      <c r="AY185" s="80"/>
      <c r="AZ185" s="80"/>
      <c r="BA185" s="80"/>
      <c r="BB185" s="80"/>
      <c r="BC185" s="80"/>
      <c r="BD185" s="80"/>
      <c r="BE185" s="80"/>
      <c r="BF185" s="80"/>
      <c r="BG185" s="80"/>
      <c r="BH185" s="80"/>
      <c r="BI185" s="80"/>
      <c r="BJ185" s="80"/>
      <c r="BK185" s="80"/>
      <c r="BL185" s="80"/>
      <c r="BM185" s="80"/>
      <c r="BN185" s="80"/>
      <c r="BO185" s="80"/>
      <c r="BP185" s="80"/>
      <c r="BQ185" s="80"/>
      <c r="BR185" s="80"/>
      <c r="BS185" s="80"/>
      <c r="BT185" s="80"/>
      <c r="BU185" s="80"/>
      <c r="BV185" s="80"/>
      <c r="BW185" s="80"/>
      <c r="BX185" s="80"/>
      <c r="BY185" s="80"/>
      <c r="BZ185" s="80"/>
      <c r="CA185" s="80"/>
      <c r="CB185" s="80"/>
      <c r="CC185" s="80"/>
      <c r="CD185" s="80"/>
      <c r="CE185" s="80"/>
      <c r="CF185" s="80"/>
      <c r="CG185" s="80"/>
      <c r="CH185" s="80"/>
      <c r="CI185" s="80"/>
      <c r="CJ185" s="80"/>
      <c r="CK185" s="2"/>
    </row>
    <row r="186" ht="12.75" customHeight="1">
      <c r="A186" s="85">
        <f>IFERROR(__xludf.DUMMYFUNCTION("""COMPUTED_VALUE"""),183.0)</f>
        <v>183</v>
      </c>
      <c r="B186" s="85"/>
      <c r="C186" s="85"/>
      <c r="D186" s="86"/>
      <c r="E186" s="88"/>
      <c r="F186" s="85"/>
      <c r="G186" s="86"/>
      <c r="H186" s="85"/>
      <c r="I186" s="85"/>
      <c r="J186" s="85"/>
      <c r="K186" s="85"/>
      <c r="L186" s="85"/>
      <c r="M186" s="85"/>
      <c r="N186" s="85" t="str">
        <f>IFERROR(__xludf.DUMMYFUNCTION("""COMPUTED_VALUE"""),"ü")</f>
        <v>ü</v>
      </c>
      <c r="O186" s="85"/>
      <c r="P186" s="85" t="str">
        <f>IFERROR(__xludf.DUMMYFUNCTION("""COMPUTED_VALUE"""),"MLO5500007CUMKSM")</f>
        <v>MLO5500007CUMKSM</v>
      </c>
      <c r="Q186" s="85" t="str">
        <f>IFERROR(__xludf.DUMMYFUNCTION("""COMPUTED_VALUE"""),"JAWARA")</f>
        <v>JAWARA</v>
      </c>
      <c r="R186" s="85" t="str">
        <f>IFERROR(__xludf.DUMMYFUNCTION("""COMPUTED_VALUE"""),"MUC JAWARA")</f>
        <v>MUC JAWARA</v>
      </c>
      <c r="S186" s="85" t="str">
        <f>IFERROR(__xludf.DUMMYFUNCTION("""COMPUTED_VALUE"""),"INA RAHMAH SABILA")</f>
        <v>INA RAHMAH SABILA</v>
      </c>
      <c r="T186" s="85" t="str">
        <f>IFERROR(__xludf.DUMMYFUNCTION("""COMPUTED_VALUE"""),"KP. CILIMUS 2 RT 014 RW 006 Cisaat, Ciater, Kab. Subang, JAWA BARAT, 41288")</f>
        <v>KP. CILIMUS 2 RT 014 RW 006 Cisaat, Ciater, Kab. Subang, JAWA BARAT, 41288</v>
      </c>
      <c r="U186" s="85" t="str">
        <f>IFERROR(__xludf.DUMMYFUNCTION("""COMPUTED_VALUE"""),"KP. ANTAY RT 039 RW 010")</f>
        <v>KP. ANTAY RT 039 RW 010</v>
      </c>
      <c r="V186" s="85"/>
      <c r="W186" s="85" t="str">
        <f>IFERROR(__xludf.DUMMYFUNCTION("""COMPUTED_VALUE"""),"Cibuluh")</f>
        <v>Cibuluh</v>
      </c>
      <c r="X186" s="85" t="str">
        <f>IFERROR(__xludf.DUMMYFUNCTION("""COMPUTED_VALUE"""),"Tanjungsiang")</f>
        <v>Tanjungsiang</v>
      </c>
      <c r="Y186" s="85" t="str">
        <f>IFERROR(__xludf.DUMMYFUNCTION("""COMPUTED_VALUE"""),"Kab. Subang")</f>
        <v>Kab. Subang</v>
      </c>
      <c r="Z186" s="85" t="str">
        <f>IFERROR(__xludf.DUMMYFUNCTION("""COMPUTED_VALUE"""),"JAWA BARAT")</f>
        <v>JAWA BARAT</v>
      </c>
      <c r="AA186" s="85" t="str">
        <f>IFERROR(__xludf.DUMMYFUNCTION("""COMPUTED_VALUE"""),"41284")</f>
        <v>41284</v>
      </c>
      <c r="AB186" s="85" t="str">
        <f>IFERROR(__xludf.DUMMYFUNCTION("""COMPUTED_VALUE"""),"3213295306000006")</f>
        <v>3213295306000006</v>
      </c>
      <c r="AC186" s="85" t="str">
        <f>IFERROR(__xludf.DUMMYFUNCTION("""COMPUTED_VALUE"""),"95.490.101.3-439.000")</f>
        <v>95.490.101.3-439.000</v>
      </c>
      <c r="AD186" s="85" t="str">
        <f>IFERROR(__xludf.DUMMYFUNCTION("""COMPUTED_VALUE"""),"CUM - KSM")</f>
        <v>CUM - KSM</v>
      </c>
      <c r="AE186" s="85" t="str">
        <f>IFERROR(__xludf.DUMMYFUNCTION("""COMPUTED_VALUE"""),"SUB AHMAD KOSIM")</f>
        <v>SUB AHMAD KOSIM</v>
      </c>
      <c r="AF186" s="85" t="str">
        <f>IFERROR(__xludf.DUMMYFUNCTION("""COMPUTED_VALUE"""),"081321428084")</f>
        <v>081321428084</v>
      </c>
      <c r="AG186" s="85"/>
      <c r="AH186" s="85" t="str">
        <f>IFERROR(__xludf.DUMMYFUNCTION("""COMPUTED_VALUE"""),"inarahmahsyabila130600@gmail.com")</f>
        <v>inarahmahsyabila130600@gmail.com</v>
      </c>
      <c r="AI186" s="85" t="str">
        <f>IFERROR(__xludf.DUMMYFUNCTION("""COMPUTED_VALUE"""),"41284S3")</f>
        <v>41284S3</v>
      </c>
      <c r="AJ186" s="85" t="str">
        <f>IFERROR(__xludf.DUMMYFUNCTION("""COMPUTED_VALUE"""),"664ec1293d000b77fd0d375d")</f>
        <v>664ec1293d000b77fd0d375d</v>
      </c>
      <c r="AK186" s="85" t="str">
        <f>IFERROR(__xludf.DUMMYFUNCTION("""COMPUTED_VALUE"""),"dm41284s3")</f>
        <v>dm41284s3</v>
      </c>
      <c r="AL186" s="85" t="str">
        <f>IFERROR(__xludf.DUMMYFUNCTION("""COMPUTED_VALUE"""),"#41284Pos")</f>
        <v>#41284Pos</v>
      </c>
      <c r="AM186" s="85" t="str">
        <f>IFERROR(__xludf.DUMMYFUNCTION("""COMPUTED_VALUE"""),"KANTOR REGIONAL III BANDUNG 40004")</f>
        <v>KANTOR REGIONAL III BANDUNG 40004</v>
      </c>
      <c r="AN186" s="85" t="str">
        <f>IFERROR(__xludf.DUMMYFUNCTION("""COMPUTED_VALUE"""),"KC SUBANG 41200")</f>
        <v>KC SUBANG 41200</v>
      </c>
      <c r="AO186" s="85" t="str">
        <f>IFERROR(__xludf.DUMMYFUNCTION("""COMPUTED_VALUE"""),"0605240021682")</f>
        <v>0605240021682</v>
      </c>
      <c r="AP186" s="85" t="str">
        <f>IFERROR(__xludf.DUMMYFUNCTION("""COMPUTED_VALUE"""),"06052400216820001")</f>
        <v>06052400216820001</v>
      </c>
      <c r="AQ186" s="93"/>
      <c r="AR186" s="85"/>
      <c r="AS186" s="85"/>
      <c r="AT186" s="85" t="str">
        <f>IFERROR(__xludf.DUMMYFUNCTION("""COMPUTED_VALUE"""),"-6.7128801")</f>
        <v>-6.7128801</v>
      </c>
      <c r="AU186" s="85" t="str">
        <f>IFERROR(__xludf.DUMMYFUNCTION("""COMPUTED_VALUE"""),"107.8021158")</f>
        <v>107.8021158</v>
      </c>
      <c r="AV186" s="85"/>
      <c r="AW186" s="85"/>
      <c r="AX186" s="85"/>
      <c r="AY186" s="85"/>
      <c r="AZ186" s="85"/>
      <c r="BA186" s="85"/>
      <c r="BB186" s="85"/>
      <c r="BC186" s="85"/>
      <c r="BD186" s="85"/>
      <c r="BE186" s="85"/>
      <c r="BF186" s="85"/>
      <c r="BG186" s="85"/>
      <c r="BH186" s="85"/>
      <c r="BI186" s="85"/>
      <c r="BJ186" s="85"/>
      <c r="BK186" s="85"/>
      <c r="BL186" s="85"/>
      <c r="BM186" s="85"/>
      <c r="BN186" s="85"/>
      <c r="BO186" s="85"/>
      <c r="BP186" s="85"/>
      <c r="BQ186" s="85"/>
      <c r="BR186" s="85"/>
      <c r="BS186" s="85"/>
      <c r="BT186" s="85"/>
      <c r="BU186" s="85"/>
      <c r="BV186" s="85"/>
      <c r="BW186" s="85"/>
      <c r="BX186" s="85"/>
      <c r="BY186" s="85"/>
      <c r="BZ186" s="85"/>
      <c r="CA186" s="85"/>
      <c r="CB186" s="85"/>
      <c r="CC186" s="85"/>
      <c r="CD186" s="85"/>
      <c r="CE186" s="85"/>
      <c r="CF186" s="85"/>
      <c r="CG186" s="85"/>
      <c r="CH186" s="85"/>
      <c r="CI186" s="85"/>
      <c r="CJ186" s="85"/>
      <c r="CK186" s="2"/>
    </row>
    <row r="187" ht="14.25" customHeight="1">
      <c r="A187" s="80">
        <f>IFERROR(__xludf.DUMMYFUNCTION("""COMPUTED_VALUE"""),184.0)</f>
        <v>184</v>
      </c>
      <c r="B187" s="80"/>
      <c r="C187" s="80"/>
      <c r="D187" s="81"/>
      <c r="E187" s="82"/>
      <c r="F187" s="80"/>
      <c r="G187" s="81"/>
      <c r="H187" s="80"/>
      <c r="I187" s="80"/>
      <c r="J187" s="80"/>
      <c r="K187" s="80"/>
      <c r="L187" s="80"/>
      <c r="M187" s="80"/>
      <c r="N187" s="80"/>
      <c r="O187" s="80"/>
      <c r="P187" s="80" t="str">
        <f>IFERROR(__xludf.DUMMYFUNCTION("""COMPUTED_VALUE"""),"53BSPA04727JBFAN")</f>
        <v>53BSPA04727JBFAN</v>
      </c>
      <c r="Q187" s="80" t="str">
        <f>IFERROR(__xludf.DUMMYFUNCTION("""COMPUTED_VALUE"""),"	AN-NUUR")</f>
        <v>	AN-NUUR</v>
      </c>
      <c r="R187" s="80" t="str">
        <f>IFERROR(__xludf.DUMMYFUNCTION("""COMPUTED_VALUE"""),"MUC ANNUUR")</f>
        <v>MUC ANNUUR</v>
      </c>
      <c r="S187" s="80" t="str">
        <f>IFERROR(__xludf.DUMMYFUNCTION("""COMPUTED_VALUE"""),"ARIEF NURJAMAN")</f>
        <v>ARIEF NURJAMAN</v>
      </c>
      <c r="T187" s="80" t="str">
        <f>IFERROR(__xludf.DUMMYFUNCTION("""COMPUTED_VALUE"""),"JL. CIKUTRA NO. 170 RT 006 RW 002 , Sukapada, Cibeunying Kidul, Kota Bandung, JAWA BARAT 40125")</f>
        <v>JL. CIKUTRA NO. 170 RT 006 RW 002 , Sukapada, Cibeunying Kidul, Kota Bandung, JAWA BARAT 40125</v>
      </c>
      <c r="U187" s="80" t="str">
        <f>IFERROR(__xludf.DUMMYFUNCTION("""COMPUTED_VALUE"""),"JL. CIKUTRA NO. 170 RT 006 RW 002")</f>
        <v>JL. CIKUTRA NO. 170 RT 006 RW 002</v>
      </c>
      <c r="V187" s="80"/>
      <c r="W187" s="80" t="str">
        <f>IFERROR(__xludf.DUMMYFUNCTION("""COMPUTED_VALUE"""),"Sukapada")</f>
        <v>Sukapada</v>
      </c>
      <c r="X187" s="80" t="str">
        <f>IFERROR(__xludf.DUMMYFUNCTION("""COMPUTED_VALUE"""),"Cibeunying Kidul")</f>
        <v>Cibeunying Kidul</v>
      </c>
      <c r="Y187" s="80" t="str">
        <f>IFERROR(__xludf.DUMMYFUNCTION("""COMPUTED_VALUE"""),"Kota Bandung")</f>
        <v>Kota Bandung</v>
      </c>
      <c r="Z187" s="80" t="str">
        <f>IFERROR(__xludf.DUMMYFUNCTION("""COMPUTED_VALUE"""),"JAWA BARAT")</f>
        <v>JAWA BARAT</v>
      </c>
      <c r="AA187" s="80" t="str">
        <f>IFERROR(__xludf.DUMMYFUNCTION("""COMPUTED_VALUE"""),"40125")</f>
        <v>40125</v>
      </c>
      <c r="AB187" s="80" t="str">
        <f>IFERROR(__xludf.DUMMYFUNCTION("""COMPUTED_VALUE"""),"3273140704860007")</f>
        <v>3273140704860007</v>
      </c>
      <c r="AC187" s="80" t="str">
        <f>IFERROR(__xludf.DUMMYFUNCTION("""COMPUTED_VALUE"""),"36.269.192.5-423.000")</f>
        <v>36.269.192.5-423.000</v>
      </c>
      <c r="AD187" s="80" t="str">
        <f>IFERROR(__xludf.DUMMYFUNCTION("""COMPUTED_VALUE"""),"CUM - PS - FAN")</f>
        <v>CUM - PS - FAN</v>
      </c>
      <c r="AE187" s="80" t="str">
        <f>IFERROR(__xludf.DUMMYFUNCTION("""COMPUTED_VALUE"""),"SUB FAHMA POS")</f>
        <v>SUB FAHMA POS</v>
      </c>
      <c r="AF187" s="80" t="str">
        <f>IFERROR(__xludf.DUMMYFUNCTION("""COMPUTED_VALUE"""),"085320677544")</f>
        <v>085320677544</v>
      </c>
      <c r="AG187" s="80"/>
      <c r="AH187" s="80" t="str">
        <f>IFERROR(__xludf.DUMMYFUNCTION("""COMPUTED_VALUE"""),"nurjamanarief14@gmail.com")</f>
        <v>nurjamanarief14@gmail.com</v>
      </c>
      <c r="AI187" s="80" t="str">
        <f>IFERROR(__xludf.DUMMYFUNCTION("""COMPUTED_VALUE"""),"40125S3")</f>
        <v>40125S3</v>
      </c>
      <c r="AJ187" s="80" t="str">
        <f>IFERROR(__xludf.DUMMYFUNCTION("""COMPUTED_VALUE"""),"666552da86933b0d6f0f3814")</f>
        <v>666552da86933b0d6f0f3814</v>
      </c>
      <c r="AK187" s="80" t="str">
        <f>IFERROR(__xludf.DUMMYFUNCTION("""COMPUTED_VALUE"""),"dm40125s3")</f>
        <v>dm40125s3</v>
      </c>
      <c r="AL187" s="80" t="str">
        <f>IFERROR(__xludf.DUMMYFUNCTION("""COMPUTED_VALUE"""),"#40125Pos")</f>
        <v>#40125Pos</v>
      </c>
      <c r="AM187" s="80" t="str">
        <f>IFERROR(__xludf.DUMMYFUNCTION("""COMPUTED_VALUE"""),"KANTOR REGIONAL III BANDUNG 40004")</f>
        <v>KANTOR REGIONAL III BANDUNG 40004</v>
      </c>
      <c r="AN187" s="80" t="str">
        <f>IFERROR(__xludf.DUMMYFUNCTION("""COMPUTED_VALUE"""),"KCU BANDUNG 40000")</f>
        <v>KCU BANDUNG 40000</v>
      </c>
      <c r="AO187" s="80" t="str">
        <f>IFERROR(__xludf.DUMMYFUNCTION("""COMPUTED_VALUE"""),"0505240050457")</f>
        <v>0505240050457</v>
      </c>
      <c r="AP187" s="80" t="str">
        <f>IFERROR(__xludf.DUMMYFUNCTION("""COMPUTED_VALUE"""),"05052400504570001")</f>
        <v>05052400504570001</v>
      </c>
      <c r="AQ187" s="83"/>
      <c r="AR187" s="80"/>
      <c r="AS187" s="80"/>
      <c r="AT187" s="80" t="str">
        <f>IFERROR(__xludf.DUMMYFUNCTION("""COMPUTED_VALUE"""),"-6.8987511")</f>
        <v>-6.8987511</v>
      </c>
      <c r="AU187" s="80" t="str">
        <f>IFERROR(__xludf.DUMMYFUNCTION("""COMPUTED_VALUE"""),"107.6438443")</f>
        <v>107.6438443</v>
      </c>
      <c r="AV187" s="80"/>
      <c r="AW187" s="80"/>
      <c r="AX187" s="80"/>
      <c r="AY187" s="80"/>
      <c r="AZ187" s="80"/>
      <c r="BA187" s="80"/>
      <c r="BB187" s="80"/>
      <c r="BC187" s="80"/>
      <c r="BD187" s="80"/>
      <c r="BE187" s="80"/>
      <c r="BF187" s="80"/>
      <c r="BG187" s="80"/>
      <c r="BH187" s="80"/>
      <c r="BI187" s="80"/>
      <c r="BJ187" s="80"/>
      <c r="BK187" s="80"/>
      <c r="BL187" s="80"/>
      <c r="BM187" s="80"/>
      <c r="BN187" s="80"/>
      <c r="BO187" s="80"/>
      <c r="BP187" s="80"/>
      <c r="BQ187" s="80"/>
      <c r="BR187" s="80"/>
      <c r="BS187" s="80"/>
      <c r="BT187" s="80"/>
      <c r="BU187" s="80"/>
      <c r="BV187" s="80"/>
      <c r="BW187" s="80"/>
      <c r="BX187" s="80"/>
      <c r="BY187" s="80"/>
      <c r="BZ187" s="80"/>
      <c r="CA187" s="80"/>
      <c r="CB187" s="80"/>
      <c r="CC187" s="80"/>
      <c r="CD187" s="80"/>
      <c r="CE187" s="80"/>
      <c r="CF187" s="80"/>
      <c r="CG187" s="80"/>
      <c r="CH187" s="80"/>
      <c r="CI187" s="80"/>
      <c r="CJ187" s="80"/>
      <c r="CK187" s="2"/>
    </row>
    <row r="188" ht="14.25" customHeight="1">
      <c r="A188" s="85">
        <f>IFERROR(__xludf.DUMMYFUNCTION("""COMPUTED_VALUE"""),185.0)</f>
        <v>185</v>
      </c>
      <c r="B188" s="85"/>
      <c r="C188" s="85"/>
      <c r="D188" s="86"/>
      <c r="E188" s="88"/>
      <c r="F188" s="85"/>
      <c r="G188" s="86"/>
      <c r="H188" s="85"/>
      <c r="I188" s="85"/>
      <c r="J188" s="85"/>
      <c r="K188" s="85"/>
      <c r="L188" s="85"/>
      <c r="M188" s="85"/>
      <c r="N188" s="85"/>
      <c r="O188" s="85"/>
      <c r="P188" s="85" t="str">
        <f>IFERROR(__xludf.DUMMYFUNCTION("""COMPUTED_VALUE"""),"52BSPA07601JTSYF")</f>
        <v>52BSPA07601JTSYF</v>
      </c>
      <c r="Q188" s="85" t="str">
        <f>IFERROR(__xludf.DUMMYFUNCTION("""COMPUTED_VALUE"""),"MULYA JAYA")</f>
        <v>MULYA JAYA</v>
      </c>
      <c r="R188" s="85" t="str">
        <f>IFERROR(__xludf.DUMMYFUNCTION("""COMPUTED_VALUE"""),"MUC MULYA JAYA")</f>
        <v>MUC MULYA JAYA</v>
      </c>
      <c r="S188" s="85" t="str">
        <f>IFERROR(__xludf.DUMMYFUNCTION("""COMPUTED_VALUE"""),"ACH ZAMRONI")</f>
        <v>ACH ZAMRONI</v>
      </c>
      <c r="T188" s="85" t="str">
        <f>IFERROR(__xludf.DUMMYFUNCTION("""COMPUTED_VALUE"""),"GROGOL RT 014 RW 005 Grogol, Dukuhturi, Kab. Tegal, JAWA TENGAH 52492")</f>
        <v>GROGOL RT 014 RW 005 Grogol, Dukuhturi, Kab. Tegal, JAWA TENGAH 52492</v>
      </c>
      <c r="U188" s="85" t="str">
        <f>IFERROR(__xludf.DUMMYFUNCTION("""COMPUTED_VALUE"""),"JL. CUT NYAK DIEN NO. 4 RT 014 RW 004")</f>
        <v>JL. CUT NYAK DIEN NO. 4 RT 014 RW 004</v>
      </c>
      <c r="V188" s="85"/>
      <c r="W188" s="85" t="str">
        <f>IFERROR(__xludf.DUMMYFUNCTION("""COMPUTED_VALUE"""),"Grogol")</f>
        <v>Grogol</v>
      </c>
      <c r="X188" s="85" t="str">
        <f>IFERROR(__xludf.DUMMYFUNCTION("""COMPUTED_VALUE"""),"Dukuhturi")</f>
        <v>Dukuhturi</v>
      </c>
      <c r="Y188" s="85" t="str">
        <f>IFERROR(__xludf.DUMMYFUNCTION("""COMPUTED_VALUE"""),"Kab. Tegal")</f>
        <v>Kab. Tegal</v>
      </c>
      <c r="Z188" s="85" t="str">
        <f>IFERROR(__xludf.DUMMYFUNCTION("""COMPUTED_VALUE"""),"JAWA TENGAH")</f>
        <v>JAWA TENGAH</v>
      </c>
      <c r="AA188" s="85" t="str">
        <f>IFERROR(__xludf.DUMMYFUNCTION("""COMPUTED_VALUE"""),"52492")</f>
        <v>52492</v>
      </c>
      <c r="AB188" s="85" t="str">
        <f>IFERROR(__xludf.DUMMYFUNCTION("""COMPUTED_VALUE"""),"3328121505810008")</f>
        <v>3328121505810008</v>
      </c>
      <c r="AC188" s="85" t="str">
        <f>IFERROR(__xludf.DUMMYFUNCTION("""COMPUTED_VALUE"""),"62.104.785.1-501.000")</f>
        <v>62.104.785.1-501.000</v>
      </c>
      <c r="AD188" s="85" t="str">
        <f>IFERROR(__xludf.DUMMYFUNCTION("""COMPUTED_VALUE"""),"CUM - PS - SYF")</f>
        <v>CUM - PS - SYF</v>
      </c>
      <c r="AE188" s="85" t="str">
        <f>IFERROR(__xludf.DUMMYFUNCTION("""COMPUTED_VALUE"""),"SUB SYAIFULLOH POS")</f>
        <v>SUB SYAIFULLOH POS</v>
      </c>
      <c r="AF188" s="85" t="str">
        <f>IFERROR(__xludf.DUMMYFUNCTION("""COMPUTED_VALUE"""),"082324135899")</f>
        <v>082324135899</v>
      </c>
      <c r="AG188" s="85"/>
      <c r="AH188" s="85" t="str">
        <f>IFERROR(__xludf.DUMMYFUNCTION("""COMPUTED_VALUE"""),"srikumbung2092@gmail.com")</f>
        <v>srikumbung2092@gmail.com</v>
      </c>
      <c r="AI188" s="85" t="str">
        <f>IFERROR(__xludf.DUMMYFUNCTION("""COMPUTED_VALUE"""),"52492S5")</f>
        <v>52492S5</v>
      </c>
      <c r="AJ188" s="85" t="str">
        <f>IFERROR(__xludf.DUMMYFUNCTION("""COMPUTED_VALUE"""),"6684a1427612226f36092bfa")</f>
        <v>6684a1427612226f36092bfa</v>
      </c>
      <c r="AK188" s="85" t="str">
        <f>IFERROR(__xludf.DUMMYFUNCTION("""COMPUTED_VALUE"""),"dm52492s5")</f>
        <v>dm52492s5</v>
      </c>
      <c r="AL188" s="85" t="str">
        <f>IFERROR(__xludf.DUMMYFUNCTION("""COMPUTED_VALUE"""),"#52492Pos")</f>
        <v>#52492Pos</v>
      </c>
      <c r="AM188" s="85" t="str">
        <f>IFERROR(__xludf.DUMMYFUNCTION("""COMPUTED_VALUE"""),"KANTOR REGIONAL IV SEMARANG 50004")</f>
        <v>KANTOR REGIONAL IV SEMARANG 50004</v>
      </c>
      <c r="AN188" s="85" t="str">
        <f>IFERROR(__xludf.DUMMYFUNCTION("""COMPUTED_VALUE"""),"KC TEGAL 52100")</f>
        <v>KC TEGAL 52100</v>
      </c>
      <c r="AO188" s="85" t="str">
        <f>IFERROR(__xludf.DUMMYFUNCTION("""COMPUTED_VALUE"""),"0605240025168")</f>
        <v>0605240025168</v>
      </c>
      <c r="AP188" s="85" t="str">
        <f>IFERROR(__xludf.DUMMYFUNCTION("""COMPUTED_VALUE"""),"06052400251680001")</f>
        <v>06052400251680001</v>
      </c>
      <c r="AQ188" s="93"/>
      <c r="AR188" s="85"/>
      <c r="AS188" s="85"/>
      <c r="AT188" s="85" t="str">
        <f>IFERROR(__xludf.DUMMYFUNCTION("""COMPUTED_VALUE"""),"-6.8975777")</f>
        <v>-6.8975777</v>
      </c>
      <c r="AU188" s="85" t="str">
        <f>IFERROR(__xludf.DUMMYFUNCTION("""COMPUTED_VALUE"""),"109.1256248")</f>
        <v>109.1256248</v>
      </c>
      <c r="AV188" s="85"/>
      <c r="AW188" s="85"/>
      <c r="AX188" s="85"/>
      <c r="AY188" s="85"/>
      <c r="AZ188" s="85"/>
      <c r="BA188" s="85"/>
      <c r="BB188" s="85"/>
      <c r="BC188" s="85"/>
      <c r="BD188" s="85"/>
      <c r="BE188" s="85"/>
      <c r="BF188" s="85"/>
      <c r="BG188" s="85"/>
      <c r="BH188" s="85"/>
      <c r="BI188" s="85"/>
      <c r="BJ188" s="85"/>
      <c r="BK188" s="85"/>
      <c r="BL188" s="85"/>
      <c r="BM188" s="85"/>
      <c r="BN188" s="85"/>
      <c r="BO188" s="85"/>
      <c r="BP188" s="85"/>
      <c r="BQ188" s="85"/>
      <c r="BR188" s="85"/>
      <c r="BS188" s="85"/>
      <c r="BT188" s="85"/>
      <c r="BU188" s="85"/>
      <c r="BV188" s="85"/>
      <c r="BW188" s="85"/>
      <c r="BX188" s="85"/>
      <c r="BY188" s="85"/>
      <c r="BZ188" s="85"/>
      <c r="CA188" s="85"/>
      <c r="CB188" s="85"/>
      <c r="CC188" s="85"/>
      <c r="CD188" s="85"/>
      <c r="CE188" s="85"/>
      <c r="CF188" s="85"/>
      <c r="CG188" s="85"/>
      <c r="CH188" s="85"/>
      <c r="CI188" s="85"/>
      <c r="CJ188" s="85"/>
      <c r="CK188" s="2"/>
    </row>
    <row r="189" ht="14.25" customHeight="1">
      <c r="A189" s="80">
        <f>IFERROR(__xludf.DUMMYFUNCTION("""COMPUTED_VALUE"""),186.0)</f>
        <v>186</v>
      </c>
      <c r="B189" s="80"/>
      <c r="C189" s="80"/>
      <c r="D189" s="81"/>
      <c r="E189" s="82"/>
      <c r="F189" s="80"/>
      <c r="G189" s="81"/>
      <c r="H189" s="80"/>
      <c r="I189" s="80"/>
      <c r="J189" s="80"/>
      <c r="K189" s="80"/>
      <c r="L189" s="80"/>
      <c r="M189" s="80"/>
      <c r="N189" s="80"/>
      <c r="O189" s="80"/>
      <c r="P189" s="80" t="str">
        <f>IFERROR(__xludf.DUMMYFUNCTION("""COMPUTED_VALUE"""),"53BSPA04152JBBDR")</f>
        <v>53BSPA04152JBBDR</v>
      </c>
      <c r="Q189" s="80" t="str">
        <f>IFERROR(__xludf.DUMMYFUNCTION("""COMPUTED_VALUE"""),"HILMY")</f>
        <v>HILMY</v>
      </c>
      <c r="R189" s="80" t="str">
        <f>IFERROR(__xludf.DUMMYFUNCTION("""COMPUTED_VALUE"""),"MUC HILMY")</f>
        <v>MUC HILMY</v>
      </c>
      <c r="S189" s="80" t="str">
        <f>IFERROR(__xludf.DUMMYFUNCTION("""COMPUTED_VALUE"""),"MUHAMMAD HILMY")</f>
        <v>MUHAMMAD HILMY</v>
      </c>
      <c r="T189" s="80" t="str">
        <f>IFERROR(__xludf.DUMMYFUNCTION("""COMPUTED_VALUE"""),"BPI BLOK 7 NO 1 RT004 RW 013 Ciseureuh, Purwakarta, Kab. Purwakarta, JAWA BARAT 41118")</f>
        <v>BPI BLOK 7 NO 1 RT004 RW 013 Ciseureuh, Purwakarta, Kab. Purwakarta, JAWA BARAT 41118</v>
      </c>
      <c r="U189" s="80" t="str">
        <f>IFERROR(__xludf.DUMMYFUNCTION("""COMPUTED_VALUE"""),"BUKIT PANORAMA INDAH BLOK B7 NO. 1 RT 004 RW 013")</f>
        <v>BUKIT PANORAMA INDAH BLOK B7 NO. 1 RT 004 RW 013</v>
      </c>
      <c r="V189" s="80"/>
      <c r="W189" s="80" t="str">
        <f>IFERROR(__xludf.DUMMYFUNCTION("""COMPUTED_VALUE"""),"Ciseureuh")</f>
        <v>Ciseureuh</v>
      </c>
      <c r="X189" s="80" t="str">
        <f>IFERROR(__xludf.DUMMYFUNCTION("""COMPUTED_VALUE"""),"Purwakarta")</f>
        <v>Purwakarta</v>
      </c>
      <c r="Y189" s="80" t="str">
        <f>IFERROR(__xludf.DUMMYFUNCTION("""COMPUTED_VALUE"""),"Kab. Purwakarta")</f>
        <v>Kab. Purwakarta</v>
      </c>
      <c r="Z189" s="80" t="str">
        <f>IFERROR(__xludf.DUMMYFUNCTION("""COMPUTED_VALUE"""),"JAWA BARAT")</f>
        <v>JAWA BARAT</v>
      </c>
      <c r="AA189" s="80" t="str">
        <f>IFERROR(__xludf.DUMMYFUNCTION("""COMPUTED_VALUE"""),"41118")</f>
        <v>41118</v>
      </c>
      <c r="AB189" s="80" t="str">
        <f>IFERROR(__xludf.DUMMYFUNCTION("""COMPUTED_VALUE"""),"3214011405960004")</f>
        <v>3214011405960004</v>
      </c>
      <c r="AC189" s="80" t="str">
        <f>IFERROR(__xludf.DUMMYFUNCTION("""COMPUTED_VALUE"""),"53.870.849.6-409.000")</f>
        <v>53.870.849.6-409.000</v>
      </c>
      <c r="AD189" s="80" t="str">
        <f>IFERROR(__xludf.DUMMYFUNCTION("""COMPUTED_VALUE"""),"CUM - ABDR")</f>
        <v>CUM - ABDR</v>
      </c>
      <c r="AE189" s="80" t="str">
        <f>IFERROR(__xludf.DUMMYFUNCTION("""COMPUTED_VALUE"""),"SUB ABDURAHMAN POS")</f>
        <v>SUB ABDURAHMAN POS</v>
      </c>
      <c r="AF189" s="80" t="str">
        <f>IFERROR(__xludf.DUMMYFUNCTION("""COMPUTED_VALUE"""),"087778848442")</f>
        <v>087778848442</v>
      </c>
      <c r="AG189" s="80"/>
      <c r="AH189" s="80" t="str">
        <f>IFERROR(__xludf.DUMMYFUNCTION("""COMPUTED_VALUE"""),"hilmysyu@gmail.com")</f>
        <v>hilmysyu@gmail.com</v>
      </c>
      <c r="AI189" s="80" t="str">
        <f>IFERROR(__xludf.DUMMYFUNCTION("""COMPUTED_VALUE"""),"41118S1")</f>
        <v>41118S1</v>
      </c>
      <c r="AJ189" s="80" t="str">
        <f>IFERROR(__xludf.DUMMYFUNCTION("""COMPUTED_VALUE"""),"66b5cdba486bec7a6a0313b6")</f>
        <v>66b5cdba486bec7a6a0313b6</v>
      </c>
      <c r="AK189" s="80" t="str">
        <f>IFERROR(__xludf.DUMMYFUNCTION("""COMPUTED_VALUE"""),"dm41118s1")</f>
        <v>dm41118s1</v>
      </c>
      <c r="AL189" s="80" t="str">
        <f>IFERROR(__xludf.DUMMYFUNCTION("""COMPUTED_VALUE"""),"#41118Pos")</f>
        <v>#41118Pos</v>
      </c>
      <c r="AM189" s="80" t="str">
        <f>IFERROR(__xludf.DUMMYFUNCTION("""COMPUTED_VALUE"""),"KANTOR REGIONAL III BANDUNG 40004")</f>
        <v>KANTOR REGIONAL III BANDUNG 40004</v>
      </c>
      <c r="AN189" s="80" t="str">
        <f>IFERROR(__xludf.DUMMYFUNCTION("""COMPUTED_VALUE"""),"KC PURWAKARTA 41100")</f>
        <v>KC PURWAKARTA 41100</v>
      </c>
      <c r="AO189" s="80" t="str">
        <f>IFERROR(__xludf.DUMMYFUNCTION("""COMPUTED_VALUE"""),"0605240016113")</f>
        <v>0605240016113</v>
      </c>
      <c r="AP189" s="80" t="str">
        <f>IFERROR(__xludf.DUMMYFUNCTION("""COMPUTED_VALUE"""),"06052400161130001")</f>
        <v>06052400161130001</v>
      </c>
      <c r="AQ189" s="83"/>
      <c r="AR189" s="80"/>
      <c r="AS189" s="80"/>
      <c r="AT189" s="80" t="str">
        <f>IFERROR(__xludf.DUMMYFUNCTION("""COMPUTED_VALUE"""),"-6.5204361")</f>
        <v>-6.5204361</v>
      </c>
      <c r="AU189" s="80" t="str">
        <f>IFERROR(__xludf.DUMMYFUNCTION("""COMPUTED_VALUE"""),"107.458781")</f>
        <v>107.458781</v>
      </c>
      <c r="AV189" s="80"/>
      <c r="AW189" s="80"/>
      <c r="AX189" s="80"/>
      <c r="AY189" s="80"/>
      <c r="AZ189" s="80"/>
      <c r="BA189" s="80"/>
      <c r="BB189" s="80"/>
      <c r="BC189" s="80"/>
      <c r="BD189" s="80"/>
      <c r="BE189" s="80"/>
      <c r="BF189" s="80"/>
      <c r="BG189" s="80"/>
      <c r="BH189" s="80"/>
      <c r="BI189" s="80"/>
      <c r="BJ189" s="80"/>
      <c r="BK189" s="80"/>
      <c r="BL189" s="80"/>
      <c r="BM189" s="80"/>
      <c r="BN189" s="80"/>
      <c r="BO189" s="80"/>
      <c r="BP189" s="80"/>
      <c r="BQ189" s="80"/>
      <c r="BR189" s="80"/>
      <c r="BS189" s="80"/>
      <c r="BT189" s="80"/>
      <c r="BU189" s="80"/>
      <c r="BV189" s="80"/>
      <c r="BW189" s="80"/>
      <c r="BX189" s="80"/>
      <c r="BY189" s="80"/>
      <c r="BZ189" s="80"/>
      <c r="CA189" s="80"/>
      <c r="CB189" s="80"/>
      <c r="CC189" s="80"/>
      <c r="CD189" s="80"/>
      <c r="CE189" s="80"/>
      <c r="CF189" s="80"/>
      <c r="CG189" s="80"/>
      <c r="CH189" s="80"/>
      <c r="CI189" s="80"/>
      <c r="CJ189" s="80"/>
      <c r="CK189" s="2"/>
    </row>
    <row r="190" ht="14.25" customHeight="1">
      <c r="A190" s="85">
        <f>IFERROR(__xludf.DUMMYFUNCTION("""COMPUTED_VALUE"""),187.0)</f>
        <v>187</v>
      </c>
      <c r="B190" s="85"/>
      <c r="C190" s="85"/>
      <c r="D190" s="86"/>
      <c r="E190" s="88"/>
      <c r="F190" s="85"/>
      <c r="G190" s="86"/>
      <c r="H190" s="85"/>
      <c r="I190" s="85"/>
      <c r="J190" s="85"/>
      <c r="K190" s="85"/>
      <c r="L190" s="85"/>
      <c r="M190" s="85"/>
      <c r="N190" s="85"/>
      <c r="O190" s="85"/>
      <c r="P190" s="85" t="str">
        <f>IFERROR(__xludf.DUMMYFUNCTION("""COMPUTED_VALUE"""),"53BSPA04729JBFAN")</f>
        <v>53BSPA04729JBFAN</v>
      </c>
      <c r="Q190" s="85" t="str">
        <f>IFERROR(__xludf.DUMMYFUNCTION("""COMPUTED_VALUE"""),"LEUWI NUTUG")</f>
        <v>LEUWI NUTUG</v>
      </c>
      <c r="R190" s="85" t="str">
        <f>IFERROR(__xludf.DUMMYFUNCTION("""COMPUTED_VALUE"""),"MUC LEUWI NUTUG")</f>
        <v>MUC LEUWI NUTUG</v>
      </c>
      <c r="S190" s="85" t="str">
        <f>IFERROR(__xludf.DUMMYFUNCTION("""COMPUTED_VALUE"""),"NIRA HERMAWANTI ")</f>
        <v>NIRA HERMAWANTI </v>
      </c>
      <c r="T190" s="85" t="str">
        <f>IFERROR(__xludf.DUMMYFUNCTION("""COMPUTED_VALUE"""),"KP. LEUWINUTUG RT 004 RW 002 , Pananjung, Cangkuang, Kab. Bandung, JAWA BARAT 40361")</f>
        <v>KP. LEUWINUTUG RT 004 RW 002 , Pananjung, Cangkuang, Kab. Bandung, JAWA BARAT 40361</v>
      </c>
      <c r="U190" s="85" t="str">
        <f>IFERROR(__xludf.DUMMYFUNCTION("""COMPUTED_VALUE"""),"KP. LEUWINUTUG RT 004 RW 002")</f>
        <v>KP. LEUWINUTUG RT 004 RW 002</v>
      </c>
      <c r="V190" s="85"/>
      <c r="W190" s="85" t="str">
        <f>IFERROR(__xludf.DUMMYFUNCTION("""COMPUTED_VALUE"""),"Pananjung")</f>
        <v>Pananjung</v>
      </c>
      <c r="X190" s="85" t="str">
        <f>IFERROR(__xludf.DUMMYFUNCTION("""COMPUTED_VALUE"""),"Cangkuang")</f>
        <v>Cangkuang</v>
      </c>
      <c r="Y190" s="85" t="str">
        <f>IFERROR(__xludf.DUMMYFUNCTION("""COMPUTED_VALUE"""),"Kab. Bandung")</f>
        <v>Kab. Bandung</v>
      </c>
      <c r="Z190" s="85" t="str">
        <f>IFERROR(__xludf.DUMMYFUNCTION("""COMPUTED_VALUE"""),"JAWA BARAT")</f>
        <v>JAWA BARAT</v>
      </c>
      <c r="AA190" s="85" t="str">
        <f>IFERROR(__xludf.DUMMYFUNCTION("""COMPUTED_VALUE"""),"40361")</f>
        <v>40361</v>
      </c>
      <c r="AB190" s="85" t="str">
        <f>IFERROR(__xludf.DUMMYFUNCTION("""COMPUTED_VALUE"""),"3204444407930005")</f>
        <v>3204444407930005</v>
      </c>
      <c r="AC190" s="85" t="str">
        <f>IFERROR(__xludf.DUMMYFUNCTION("""COMPUTED_VALUE"""),"93.861.228.0-445.000")</f>
        <v>93.861.228.0-445.000</v>
      </c>
      <c r="AD190" s="85" t="str">
        <f>IFERROR(__xludf.DUMMYFUNCTION("""COMPUTED_VALUE"""),"CUM - PS - FAN")</f>
        <v>CUM - PS - FAN</v>
      </c>
      <c r="AE190" s="85" t="str">
        <f>IFERROR(__xludf.DUMMYFUNCTION("""COMPUTED_VALUE"""),"SUB FAHMA POS")</f>
        <v>SUB FAHMA POS</v>
      </c>
      <c r="AF190" s="85" t="str">
        <f>IFERROR(__xludf.DUMMYFUNCTION("""COMPUTED_VALUE"""),"082180878847")</f>
        <v>082180878847</v>
      </c>
      <c r="AG190" s="85"/>
      <c r="AH190" s="85" t="str">
        <f>IFERROR(__xludf.DUMMYFUNCTION("""COMPUTED_VALUE"""),"nirahermawanti0407@gmail.com ")</f>
        <v>nirahermawanti0407@gmail.com </v>
      </c>
      <c r="AI190" s="85" t="str">
        <f>IFERROR(__xludf.DUMMYFUNCTION("""COMPUTED_VALUE"""),"40361S7")</f>
        <v>40361S7</v>
      </c>
      <c r="AJ190" s="85" t="str">
        <f>IFERROR(__xludf.DUMMYFUNCTION("""COMPUTED_VALUE"""),"664f4c73e7b74d435304c0e3")</f>
        <v>664f4c73e7b74d435304c0e3</v>
      </c>
      <c r="AK190" s="85" t="str">
        <f>IFERROR(__xludf.DUMMYFUNCTION("""COMPUTED_VALUE"""),"dm40361s7")</f>
        <v>dm40361s7</v>
      </c>
      <c r="AL190" s="85" t="str">
        <f>IFERROR(__xludf.DUMMYFUNCTION("""COMPUTED_VALUE"""),"#40361Pos")</f>
        <v>#40361Pos</v>
      </c>
      <c r="AM190" s="85" t="str">
        <f>IFERROR(__xludf.DUMMYFUNCTION("""COMPUTED_VALUE"""),"KANTOR REGIONAL III BANDUNG 40004")</f>
        <v>KANTOR REGIONAL III BANDUNG 40004</v>
      </c>
      <c r="AN190" s="85" t="str">
        <f>IFERROR(__xludf.DUMMYFUNCTION("""COMPUTED_VALUE"""),"KC SOREANG 40900")</f>
        <v>KC SOREANG 40900</v>
      </c>
      <c r="AO190" s="85" t="str">
        <f>IFERROR(__xludf.DUMMYFUNCTION("""COMPUTED_VALUE"""),"0705240217661")</f>
        <v>0705240217661</v>
      </c>
      <c r="AP190" s="85" t="str">
        <f>IFERROR(__xludf.DUMMYFUNCTION("""COMPUTED_VALUE"""),"07052402176610001")</f>
        <v>07052402176610001</v>
      </c>
      <c r="AQ190" s="93"/>
      <c r="AR190" s="85"/>
      <c r="AS190" s="85"/>
      <c r="AT190" s="85" t="str">
        <f>IFERROR(__xludf.DUMMYFUNCTION("""COMPUTED_VALUE"""),"-6.958745")</f>
        <v>-6.958745</v>
      </c>
      <c r="AU190" s="85" t="str">
        <f>IFERROR(__xludf.DUMMYFUNCTION("""COMPUTED_VALUE"""),"106.945976")</f>
        <v>106.945976</v>
      </c>
      <c r="AV190" s="85"/>
      <c r="AW190" s="85"/>
      <c r="AX190" s="85"/>
      <c r="AY190" s="85"/>
      <c r="AZ190" s="85"/>
      <c r="BA190" s="85"/>
      <c r="BB190" s="85"/>
      <c r="BC190" s="85"/>
      <c r="BD190" s="85"/>
      <c r="BE190" s="85"/>
      <c r="BF190" s="85"/>
      <c r="BG190" s="85"/>
      <c r="BH190" s="85"/>
      <c r="BI190" s="85"/>
      <c r="BJ190" s="85"/>
      <c r="BK190" s="85"/>
      <c r="BL190" s="85"/>
      <c r="BM190" s="85"/>
      <c r="BN190" s="85"/>
      <c r="BO190" s="85"/>
      <c r="BP190" s="85"/>
      <c r="BQ190" s="85"/>
      <c r="BR190" s="85"/>
      <c r="BS190" s="85"/>
      <c r="BT190" s="85"/>
      <c r="BU190" s="85"/>
      <c r="BV190" s="85"/>
      <c r="BW190" s="85"/>
      <c r="BX190" s="85"/>
      <c r="BY190" s="85"/>
      <c r="BZ190" s="85"/>
      <c r="CA190" s="85"/>
      <c r="CB190" s="85"/>
      <c r="CC190" s="85"/>
      <c r="CD190" s="85"/>
      <c r="CE190" s="85"/>
      <c r="CF190" s="85"/>
      <c r="CG190" s="85"/>
      <c r="CH190" s="85"/>
      <c r="CI190" s="85"/>
      <c r="CJ190" s="85"/>
      <c r="CK190" s="2"/>
    </row>
    <row r="191" ht="14.25" customHeight="1">
      <c r="A191" s="80">
        <f>IFERROR(__xludf.DUMMYFUNCTION("""COMPUTED_VALUE"""),188.0)</f>
        <v>188</v>
      </c>
      <c r="B191" s="80"/>
      <c r="C191" s="80"/>
      <c r="D191" s="81"/>
      <c r="E191" s="82"/>
      <c r="F191" s="80"/>
      <c r="G191" s="81"/>
      <c r="H191" s="80"/>
      <c r="I191" s="80"/>
      <c r="J191" s="80"/>
      <c r="K191" s="80"/>
      <c r="L191" s="80"/>
      <c r="M191" s="80"/>
      <c r="N191" s="80"/>
      <c r="O191" s="80"/>
      <c r="P191" s="80" t="str">
        <f>IFERROR(__xludf.DUMMYFUNCTION("""COMPUTED_VALUE"""),"52BSPA07603JTSYF")</f>
        <v>52BSPA07603JTSYF</v>
      </c>
      <c r="Q191" s="80" t="str">
        <f>IFERROR(__xludf.DUMMYFUNCTION("""COMPUTED_VALUE"""),"NJ FOTOCOPY")</f>
        <v>NJ FOTOCOPY</v>
      </c>
      <c r="R191" s="80" t="str">
        <f>IFERROR(__xludf.DUMMYFUNCTION("""COMPUTED_VALUE"""),"MUC NJ FOTOCOPY")</f>
        <v>MUC NJ FOTOCOPY</v>
      </c>
      <c r="S191" s="80" t="str">
        <f>IFERROR(__xludf.DUMMYFUNCTION("""COMPUTED_VALUE"""),"TRI HESTI MILYARTI")</f>
        <v>TRI HESTI MILYARTI</v>
      </c>
      <c r="T191" s="80" t="str">
        <f>IFERROR(__xludf.DUMMYFUNCTION("""COMPUTED_VALUE"""),"TEGALWANGI RT 018 RW 006 KEL. TEGALWANGI KEC. TALANG KAB. TEGAL")</f>
        <v>TEGALWANGI RT 018 RW 006 KEL. TEGALWANGI KEC. TALANG KAB. TEGAL</v>
      </c>
      <c r="U191" s="80" t="str">
        <f>IFERROR(__xludf.DUMMYFUNCTION("""COMPUTED_VALUE"""),"JL. RAYA TEGAL WANGI NO. 12, PESENDOKAN")</f>
        <v>JL. RAYA TEGAL WANGI NO. 12, PESENDOKAN</v>
      </c>
      <c r="V191" s="80"/>
      <c r="W191" s="80" t="str">
        <f>IFERROR(__xludf.DUMMYFUNCTION("""COMPUTED_VALUE"""),"Tegalwangi")</f>
        <v>Tegalwangi</v>
      </c>
      <c r="X191" s="80" t="str">
        <f>IFERROR(__xludf.DUMMYFUNCTION("""COMPUTED_VALUE"""),"Talang")</f>
        <v>Talang</v>
      </c>
      <c r="Y191" s="80" t="str">
        <f>IFERROR(__xludf.DUMMYFUNCTION("""COMPUTED_VALUE""")," Kab. Tegal")</f>
        <v> Kab. Tegal</v>
      </c>
      <c r="Z191" s="80" t="str">
        <f>IFERROR(__xludf.DUMMYFUNCTION("""COMPUTED_VALUE"""),"JAWA TENGAH")</f>
        <v>JAWA TENGAH</v>
      </c>
      <c r="AA191" s="80" t="str">
        <f>IFERROR(__xludf.DUMMYFUNCTION("""COMPUTED_VALUE"""),"52493")</f>
        <v>52493</v>
      </c>
      <c r="AB191" s="80" t="str">
        <f>IFERROR(__xludf.DUMMYFUNCTION("""COMPUTED_VALUE"""),"3328126111750001")</f>
        <v>3328126111750001</v>
      </c>
      <c r="AC191" s="80" t="str">
        <f>IFERROR(__xludf.DUMMYFUNCTION("""COMPUTED_VALUE"""),"58.948.840.2-501.000")</f>
        <v>58.948.840.2-501.000</v>
      </c>
      <c r="AD191" s="80" t="str">
        <f>IFERROR(__xludf.DUMMYFUNCTION("""COMPUTED_VALUE"""),"CUM - PS - SYF")</f>
        <v>CUM - PS - SYF</v>
      </c>
      <c r="AE191" s="80" t="str">
        <f>IFERROR(__xludf.DUMMYFUNCTION("""COMPUTED_VALUE"""),"SUB SYAIFULLOH POS")</f>
        <v>SUB SYAIFULLOH POS</v>
      </c>
      <c r="AF191" s="80" t="str">
        <f>IFERROR(__xludf.DUMMYFUNCTION("""COMPUTED_VALUE"""),"081548086080")</f>
        <v>081548086080</v>
      </c>
      <c r="AG191" s="80"/>
      <c r="AH191" s="80" t="str">
        <f>IFERROR(__xludf.DUMMYFUNCTION("""COMPUTED_VALUE"""),"trihesti190@gmail.com")</f>
        <v>trihesti190@gmail.com</v>
      </c>
      <c r="AI191" s="80" t="str">
        <f>IFERROR(__xludf.DUMMYFUNCTION("""COMPUTED_VALUE"""),"52493S7")</f>
        <v>52493S7</v>
      </c>
      <c r="AJ191" s="80" t="str">
        <f>IFERROR(__xludf.DUMMYFUNCTION("""COMPUTED_VALUE"""),"666e592a309bbe719703408c")</f>
        <v>666e592a309bbe719703408c</v>
      </c>
      <c r="AK191" s="80" t="str">
        <f>IFERROR(__xludf.DUMMYFUNCTION("""COMPUTED_VALUE"""),"dm52493s7")</f>
        <v>dm52493s7</v>
      </c>
      <c r="AL191" s="80" t="str">
        <f>IFERROR(__xludf.DUMMYFUNCTION("""COMPUTED_VALUE"""),"#52493Pos")</f>
        <v>#52493Pos</v>
      </c>
      <c r="AM191" s="80" t="str">
        <f>IFERROR(__xludf.DUMMYFUNCTION("""COMPUTED_VALUE"""),"KANTOR REGIONAL IV SEMARANG 50004")</f>
        <v>KANTOR REGIONAL IV SEMARANG 50004</v>
      </c>
      <c r="AN191" s="80" t="str">
        <f>IFERROR(__xludf.DUMMYFUNCTION("""COMPUTED_VALUE"""),"KC TEGAL 52100")</f>
        <v>KC TEGAL 52100</v>
      </c>
      <c r="AO191" s="80" t="str">
        <f>IFERROR(__xludf.DUMMYFUNCTION("""COMPUTED_VALUE"""),"1405240082543")</f>
        <v>1405240082543</v>
      </c>
      <c r="AP191" s="80" t="str">
        <f>IFERROR(__xludf.DUMMYFUNCTION("""COMPUTED_VALUE"""),"14052400825430001")</f>
        <v>14052400825430001</v>
      </c>
      <c r="AQ191" s="83"/>
      <c r="AR191" s="80"/>
      <c r="AS191" s="80"/>
      <c r="AT191" s="80" t="str">
        <f>IFERROR(__xludf.DUMMYFUNCTION("""COMPUTED_VALUE"""),"-6.910973")</f>
        <v>-6.910973</v>
      </c>
      <c r="AU191" s="80" t="str">
        <f>IFERROR(__xludf.DUMMYFUNCTION("""COMPUTED_VALUE"""),"109.1309857")</f>
        <v>109.1309857</v>
      </c>
      <c r="AV191" s="80"/>
      <c r="AW191" s="80"/>
      <c r="AX191" s="80"/>
      <c r="AY191" s="80"/>
      <c r="AZ191" s="80"/>
      <c r="BA191" s="80"/>
      <c r="BB191" s="80"/>
      <c r="BC191" s="80"/>
      <c r="BD191" s="80"/>
      <c r="BE191" s="80"/>
      <c r="BF191" s="80"/>
      <c r="BG191" s="80"/>
      <c r="BH191" s="80"/>
      <c r="BI191" s="80"/>
      <c r="BJ191" s="80"/>
      <c r="BK191" s="80"/>
      <c r="BL191" s="80"/>
      <c r="BM191" s="80"/>
      <c r="BN191" s="80"/>
      <c r="BO191" s="80"/>
      <c r="BP191" s="80"/>
      <c r="BQ191" s="80"/>
      <c r="BR191" s="80"/>
      <c r="BS191" s="80"/>
      <c r="BT191" s="80"/>
      <c r="BU191" s="80"/>
      <c r="BV191" s="80"/>
      <c r="BW191" s="80"/>
      <c r="BX191" s="80"/>
      <c r="BY191" s="80"/>
      <c r="BZ191" s="80"/>
      <c r="CA191" s="80"/>
      <c r="CB191" s="80"/>
      <c r="CC191" s="80"/>
      <c r="CD191" s="80"/>
      <c r="CE191" s="80"/>
      <c r="CF191" s="80"/>
      <c r="CG191" s="80"/>
      <c r="CH191" s="80"/>
      <c r="CI191" s="80"/>
      <c r="CJ191" s="80"/>
      <c r="CK191" s="2"/>
    </row>
    <row r="192" ht="14.25" customHeight="1">
      <c r="A192" s="85">
        <f>IFERROR(__xludf.DUMMYFUNCTION("""COMPUTED_VALUE"""),189.0)</f>
        <v>189</v>
      </c>
      <c r="B192" s="85"/>
      <c r="C192" s="85"/>
      <c r="D192" s="86"/>
      <c r="E192" s="88"/>
      <c r="F192" s="85"/>
      <c r="G192" s="86"/>
      <c r="H192" s="85"/>
      <c r="I192" s="85"/>
      <c r="J192" s="85"/>
      <c r="K192" s="85"/>
      <c r="L192" s="85"/>
      <c r="M192" s="85"/>
      <c r="N192" s="85"/>
      <c r="O192" s="85"/>
      <c r="P192" s="85" t="str">
        <f>IFERROR(__xludf.DUMMYFUNCTION("""COMPUTED_VALUE"""),"53BSPA04730JBIHF")</f>
        <v>53BSPA04730JBIHF</v>
      </c>
      <c r="Q192" s="85" t="str">
        <f>IFERROR(__xludf.DUMMYFUNCTION("""COMPUTED_VALUE"""),"SALSABILA")</f>
        <v>SALSABILA</v>
      </c>
      <c r="R192" s="85" t="str">
        <f>IFERROR(__xludf.DUMMYFUNCTION("""COMPUTED_VALUE"""),"MUC SALSABILA")</f>
        <v>MUC SALSABILA</v>
      </c>
      <c r="S192" s="85" t="str">
        <f>IFERROR(__xludf.DUMMYFUNCTION("""COMPUTED_VALUE"""),"IWAN SETIAWAN")</f>
        <v>IWAN SETIAWAN</v>
      </c>
      <c r="T192" s="85" t="str">
        <f>IFERROR(__xludf.DUMMYFUNCTION("""COMPUTED_VALUE"""),"KP. KIANGIR RT 030 RW 002 Margalaksana, Sukaraja, Kab. Tasikmalaya, JAWA BARAT,46483")</f>
        <v>KP. KIANGIR RT 030 RW 002 Margalaksana, Sukaraja, Kab. Tasikmalaya, JAWA BARAT,46483</v>
      </c>
      <c r="U192" s="85" t="str">
        <f>IFERROR(__xludf.DUMMYFUNCTION("""COMPUTED_VALUE"""),"KP. KIANGIR RT 030 RW 002")</f>
        <v>KP. KIANGIR RT 030 RW 002</v>
      </c>
      <c r="V192" s="85"/>
      <c r="W192" s="85" t="str">
        <f>IFERROR(__xludf.DUMMYFUNCTION("""COMPUTED_VALUE"""),"Margalaksana")</f>
        <v>Margalaksana</v>
      </c>
      <c r="X192" s="85" t="str">
        <f>IFERROR(__xludf.DUMMYFUNCTION("""COMPUTED_VALUE"""),"Sukaraja")</f>
        <v>Sukaraja</v>
      </c>
      <c r="Y192" s="85" t="str">
        <f>IFERROR(__xludf.DUMMYFUNCTION("""COMPUTED_VALUE"""),"Kab. Tasikmalaya")</f>
        <v>Kab. Tasikmalaya</v>
      </c>
      <c r="Z192" s="85" t="str">
        <f>IFERROR(__xludf.DUMMYFUNCTION("""COMPUTED_VALUE"""),"JAWA BARAT")</f>
        <v>JAWA BARAT</v>
      </c>
      <c r="AA192" s="85" t="str">
        <f>IFERROR(__xludf.DUMMYFUNCTION("""COMPUTED_VALUE"""),"46483")</f>
        <v>46483</v>
      </c>
      <c r="AB192" s="85" t="str">
        <f>IFERROR(__xludf.DUMMYFUNCTION("""COMPUTED_VALUE"""),"3206170511790002")</f>
        <v>3206170511790002</v>
      </c>
      <c r="AC192" s="85" t="str">
        <f>IFERROR(__xludf.DUMMYFUNCTION("""COMPUTED_VALUE"""),"67.294.564.9-425.000")</f>
        <v>67.294.564.9-425.000</v>
      </c>
      <c r="AD192" s="85" t="str">
        <f>IFERROR(__xludf.DUMMYFUNCTION("""COMPUTED_VALUE"""),"CUM - PS - IHF")</f>
        <v>CUM - PS - IHF</v>
      </c>
      <c r="AE192" s="85" t="str">
        <f>IFERROR(__xludf.DUMMYFUNCTION("""COMPUTED_VALUE"""),"SUB IHSAN POS")</f>
        <v>SUB IHSAN POS</v>
      </c>
      <c r="AF192" s="85" t="str">
        <f>IFERROR(__xludf.DUMMYFUNCTION("""COMPUTED_VALUE"""),"085218978331")</f>
        <v>085218978331</v>
      </c>
      <c r="AG192" s="85"/>
      <c r="AH192" s="85" t="str">
        <f>IFERROR(__xludf.DUMMYFUNCTION("""COMPUTED_VALUE""")," iwan72280@gmail.com")</f>
        <v> iwan72280@gmail.com</v>
      </c>
      <c r="AI192" s="85" t="str">
        <f>IFERROR(__xludf.DUMMYFUNCTION("""COMPUTED_VALUE"""),"46483S1")</f>
        <v>46483S1</v>
      </c>
      <c r="AJ192" s="85" t="str">
        <f>IFERROR(__xludf.DUMMYFUNCTION("""COMPUTED_VALUE"""),"665c4975da2ecdd8f7038d7b")</f>
        <v>665c4975da2ecdd8f7038d7b</v>
      </c>
      <c r="AK192" s="85" t="str">
        <f>IFERROR(__xludf.DUMMYFUNCTION("""COMPUTED_VALUE"""),"dm46483s1")</f>
        <v>dm46483s1</v>
      </c>
      <c r="AL192" s="85" t="str">
        <f>IFERROR(__xludf.DUMMYFUNCTION("""COMPUTED_VALUE"""),"#46483Pos")</f>
        <v>#46483Pos</v>
      </c>
      <c r="AM192" s="85" t="str">
        <f>IFERROR(__xludf.DUMMYFUNCTION("""COMPUTED_VALUE"""),"KANTOR REGIONAL III BANDUNG 40004")</f>
        <v>KANTOR REGIONAL III BANDUNG 40004</v>
      </c>
      <c r="AN192" s="85" t="str">
        <f>IFERROR(__xludf.DUMMYFUNCTION("""COMPUTED_VALUE"""),"KC TASIKMALAYA 46100")</f>
        <v>KC TASIKMALAYA 46100</v>
      </c>
      <c r="AO192" s="85" t="str">
        <f>IFERROR(__xludf.DUMMYFUNCTION("""COMPUTED_VALUE"""),"1305240111439")</f>
        <v>1305240111439</v>
      </c>
      <c r="AP192" s="85" t="str">
        <f>IFERROR(__xludf.DUMMYFUNCTION("""COMPUTED_VALUE"""),"13052401114390001")</f>
        <v>13052401114390001</v>
      </c>
      <c r="AQ192" s="93"/>
      <c r="AR192" s="85"/>
      <c r="AS192" s="85"/>
      <c r="AT192" s="85" t="str">
        <f>IFERROR(__xludf.DUMMYFUNCTION("""COMPUTED_VALUE"""),"-6.958744")</f>
        <v>-6.958744</v>
      </c>
      <c r="AU192" s="85" t="str">
        <f>IFERROR(__xludf.DUMMYFUNCTION("""COMPUTED_VALUE"""),"106.945979")</f>
        <v>106.945979</v>
      </c>
      <c r="AV192" s="85"/>
      <c r="AW192" s="85"/>
      <c r="AX192" s="85"/>
      <c r="AY192" s="85"/>
      <c r="AZ192" s="85"/>
      <c r="BA192" s="85"/>
      <c r="BB192" s="85"/>
      <c r="BC192" s="85"/>
      <c r="BD192" s="85"/>
      <c r="BE192" s="85"/>
      <c r="BF192" s="85"/>
      <c r="BG192" s="85"/>
      <c r="BH192" s="85"/>
      <c r="BI192" s="85"/>
      <c r="BJ192" s="85"/>
      <c r="BK192" s="85"/>
      <c r="BL192" s="85"/>
      <c r="BM192" s="85"/>
      <c r="BN192" s="85"/>
      <c r="BO192" s="85"/>
      <c r="BP192" s="85"/>
      <c r="BQ192" s="85"/>
      <c r="BR192" s="85"/>
      <c r="BS192" s="85"/>
      <c r="BT192" s="85"/>
      <c r="BU192" s="85"/>
      <c r="BV192" s="85"/>
      <c r="BW192" s="85"/>
      <c r="BX192" s="85"/>
      <c r="BY192" s="85"/>
      <c r="BZ192" s="85"/>
      <c r="CA192" s="85"/>
      <c r="CB192" s="85"/>
      <c r="CC192" s="85"/>
      <c r="CD192" s="85"/>
      <c r="CE192" s="85"/>
      <c r="CF192" s="85"/>
      <c r="CG192" s="85"/>
      <c r="CH192" s="85"/>
      <c r="CI192" s="85"/>
      <c r="CJ192" s="85"/>
      <c r="CK192" s="2"/>
    </row>
    <row r="193" ht="14.25" customHeight="1">
      <c r="A193" s="80">
        <f>IFERROR(__xludf.DUMMYFUNCTION("""COMPUTED_VALUE"""),190.0)</f>
        <v>190</v>
      </c>
      <c r="B193" s="80"/>
      <c r="C193" s="80"/>
      <c r="D193" s="81"/>
      <c r="E193" s="82"/>
      <c r="F193" s="80"/>
      <c r="G193" s="81"/>
      <c r="H193" s="80"/>
      <c r="I193" s="80"/>
      <c r="J193" s="80"/>
      <c r="K193" s="80"/>
      <c r="L193" s="80"/>
      <c r="M193" s="80"/>
      <c r="N193" s="80"/>
      <c r="O193" s="80"/>
      <c r="P193" s="80" t="str">
        <f>IFERROR(__xludf.DUMMYFUNCTION("""COMPUTED_VALUE"""),"53BSPA29908JBEEN")</f>
        <v>53BSPA29908JBEEN</v>
      </c>
      <c r="Q193" s="80" t="str">
        <f>IFERROR(__xludf.DUMMYFUNCTION("""COMPUTED_VALUE"""),"ADELIA")</f>
        <v>ADELIA</v>
      </c>
      <c r="R193" s="80" t="str">
        <f>IFERROR(__xludf.DUMMYFUNCTION("""COMPUTED_VALUE"""),"MUC ADELIA")</f>
        <v>MUC ADELIA</v>
      </c>
      <c r="S193" s="80" t="str">
        <f>IFERROR(__xludf.DUMMYFUNCTION("""COMPUTED_VALUE"""),"RAHMAT")</f>
        <v>RAHMAT</v>
      </c>
      <c r="T193" s="80" t="str">
        <f>IFERROR(__xludf.DUMMYFUNCTION("""COMPUTED_VALUE"""),"Jl. Bhakti No.35 Rt.001/003 Bojongsari, Bojongsari Baru. Sawangan, Kota Depok 16522")</f>
        <v>Jl. Bhakti No.35 Rt.001/003 Bojongsari, Bojongsari Baru. Sawangan, Kota Depok 16522</v>
      </c>
      <c r="U193" s="80" t="str">
        <f>IFERROR(__xludf.DUMMYFUNCTION("""COMPUTED_VALUE"""),"Jl. Bhakti No.35 Rt.001/003")</f>
        <v>Jl. Bhakti No.35 Rt.001/003</v>
      </c>
      <c r="V193" s="80"/>
      <c r="W193" s="80" t="str">
        <f>IFERROR(__xludf.DUMMYFUNCTION("""COMPUTED_VALUE"""),"Bojongsari Baru")</f>
        <v>Bojongsari Baru</v>
      </c>
      <c r="X193" s="80" t="str">
        <f>IFERROR(__xludf.DUMMYFUNCTION("""COMPUTED_VALUE"""),"Bojongsari")</f>
        <v>Bojongsari</v>
      </c>
      <c r="Y193" s="80" t="str">
        <f>IFERROR(__xludf.DUMMYFUNCTION("""COMPUTED_VALUE"""),"Kota Depok")</f>
        <v>Kota Depok</v>
      </c>
      <c r="Z193" s="80" t="str">
        <f>IFERROR(__xludf.DUMMYFUNCTION("""COMPUTED_VALUE"""),"JAWA BARAT")</f>
        <v>JAWA BARAT</v>
      </c>
      <c r="AA193" s="80" t="str">
        <f>IFERROR(__xludf.DUMMYFUNCTION("""COMPUTED_VALUE"""),"16522")</f>
        <v>16522</v>
      </c>
      <c r="AB193" s="80" t="str">
        <f>IFERROR(__xludf.DUMMYFUNCTION("""COMPUTED_VALUE"""),"3276030402790005")</f>
        <v>3276030402790005</v>
      </c>
      <c r="AC193" s="80" t="str">
        <f>IFERROR(__xludf.DUMMYFUNCTION("""COMPUTED_VALUE"""),"85.029.264.0-448.000")</f>
        <v>85.029.264.0-448.000</v>
      </c>
      <c r="AD193" s="80" t="str">
        <f>IFERROR(__xludf.DUMMYFUNCTION("""COMPUTED_VALUE"""),"CUM - EEN")</f>
        <v>CUM - EEN</v>
      </c>
      <c r="AE193" s="80" t="str">
        <f>IFERROR(__xludf.DUMMYFUNCTION("""COMPUTED_VALUE"""),"SUB EEN")</f>
        <v>SUB EEN</v>
      </c>
      <c r="AF193" s="80" t="str">
        <f>IFERROR(__xludf.DUMMYFUNCTION("""COMPUTED_VALUE"""),"081281055577")</f>
        <v>081281055577</v>
      </c>
      <c r="AG193" s="80"/>
      <c r="AH193" s="80" t="str">
        <f>IFERROR(__xludf.DUMMYFUNCTION("""COMPUTED_VALUE"""),"ocimsaiman@yahoo.co.id")</f>
        <v>ocimsaiman@yahoo.co.id</v>
      </c>
      <c r="AI193" s="80" t="str">
        <f>IFERROR(__xludf.DUMMYFUNCTION("""COMPUTED_VALUE"""),"16522S1")</f>
        <v>16522S1</v>
      </c>
      <c r="AJ193" s="80" t="str">
        <f>IFERROR(__xludf.DUMMYFUNCTION("""COMPUTED_VALUE"""),"664719605fac6848fe0e23bd")</f>
        <v>664719605fac6848fe0e23bd</v>
      </c>
      <c r="AK193" s="80"/>
      <c r="AL193" s="80"/>
      <c r="AM193" s="80" t="str">
        <f>IFERROR(__xludf.DUMMYFUNCTION("""COMPUTED_VALUE"""),"KANTOR REGIONAL II JAKARTA 10004")</f>
        <v>KANTOR REGIONAL II JAKARTA 10004</v>
      </c>
      <c r="AN193" s="80" t="str">
        <f>IFERROR(__xludf.DUMMYFUNCTION("""COMPUTED_VALUE"""),"KC DEPOK 16400")</f>
        <v>KC DEPOK 16400</v>
      </c>
      <c r="AO193" s="80" t="str">
        <f>IFERROR(__xludf.DUMMYFUNCTION("""COMPUTED_VALUE"""),"0205240084136")</f>
        <v>0205240084136</v>
      </c>
      <c r="AP193" s="80" t="str">
        <f>IFERROR(__xludf.DUMMYFUNCTION("""COMPUTED_VALUE"""),"02052400841360001")</f>
        <v>02052400841360001</v>
      </c>
      <c r="AQ193" s="83"/>
      <c r="AR193" s="80"/>
      <c r="AS193" s="80"/>
      <c r="AT193" s="80" t="str">
        <f>IFERROR(__xludf.DUMMYFUNCTION("""COMPUTED_VALUE"""),"-6.3917562")</f>
        <v>-6.3917562</v>
      </c>
      <c r="AU193" s="80" t="str">
        <f>IFERROR(__xludf.DUMMYFUNCTION("""COMPUTED_VALUE"""),"106.7428492")</f>
        <v>106.7428492</v>
      </c>
      <c r="AV193" s="80"/>
      <c r="AW193" s="80"/>
      <c r="AX193" s="80"/>
      <c r="AY193" s="80"/>
      <c r="AZ193" s="80"/>
      <c r="BA193" s="80"/>
      <c r="BB193" s="80"/>
      <c r="BC193" s="80"/>
      <c r="BD193" s="80"/>
      <c r="BE193" s="80"/>
      <c r="BF193" s="80"/>
      <c r="BG193" s="80"/>
      <c r="BH193" s="80"/>
      <c r="BI193" s="80"/>
      <c r="BJ193" s="80"/>
      <c r="BK193" s="80"/>
      <c r="BL193" s="80"/>
      <c r="BM193" s="80"/>
      <c r="BN193" s="80"/>
      <c r="BO193" s="80"/>
      <c r="BP193" s="80"/>
      <c r="BQ193" s="80"/>
      <c r="BR193" s="80"/>
      <c r="BS193" s="80"/>
      <c r="BT193" s="80"/>
      <c r="BU193" s="80"/>
      <c r="BV193" s="80"/>
      <c r="BW193" s="80"/>
      <c r="BX193" s="80"/>
      <c r="BY193" s="80"/>
      <c r="BZ193" s="80"/>
      <c r="CA193" s="80"/>
      <c r="CB193" s="80"/>
      <c r="CC193" s="80"/>
      <c r="CD193" s="80"/>
      <c r="CE193" s="80"/>
      <c r="CF193" s="80"/>
      <c r="CG193" s="80"/>
      <c r="CH193" s="80"/>
      <c r="CI193" s="80"/>
      <c r="CJ193" s="80"/>
      <c r="CK193" s="2"/>
    </row>
    <row r="194" ht="14.25" customHeight="1">
      <c r="A194" s="85">
        <f>IFERROR(__xludf.DUMMYFUNCTION("""COMPUTED_VALUE"""),191.0)</f>
        <v>191</v>
      </c>
      <c r="B194" s="85"/>
      <c r="C194" s="85"/>
      <c r="D194" s="86"/>
      <c r="E194" s="88"/>
      <c r="F194" s="85"/>
      <c r="G194" s="86"/>
      <c r="H194" s="85"/>
      <c r="I194" s="85"/>
      <c r="J194" s="85"/>
      <c r="K194" s="85"/>
      <c r="L194" s="85"/>
      <c r="M194" s="85"/>
      <c r="N194" s="85"/>
      <c r="O194" s="85"/>
      <c r="P194" s="85" t="str">
        <f>IFERROR(__xludf.DUMMYFUNCTION("""COMPUTED_VALUE"""),"52BSPA07605JTSYF")</f>
        <v>52BSPA07605JTSYF</v>
      </c>
      <c r="Q194" s="85" t="str">
        <f>IFERROR(__xludf.DUMMYFUNCTION("""COMPUTED_VALUE"""),"SINAR JAYA")</f>
        <v>SINAR JAYA</v>
      </c>
      <c r="R194" s="85"/>
      <c r="S194" s="85"/>
      <c r="T194" s="85"/>
      <c r="U194" s="85"/>
      <c r="V194" s="85"/>
      <c r="W194" s="85"/>
      <c r="X194" s="85"/>
      <c r="Y194" s="85"/>
      <c r="Z194" s="85"/>
      <c r="AA194" s="85"/>
      <c r="AB194" s="85"/>
      <c r="AC194" s="85"/>
      <c r="AD194" s="85" t="str">
        <f>IFERROR(__xludf.DUMMYFUNCTION("""COMPUTED_VALUE"""),"CUM - PS - SYF")</f>
        <v>CUM - PS - SYF</v>
      </c>
      <c r="AE194" s="85" t="str">
        <f>IFERROR(__xludf.DUMMYFUNCTION("""COMPUTED_VALUE"""),"SUB SYAIFULLOH POS")</f>
        <v>SUB SYAIFULLOH POS</v>
      </c>
      <c r="AF194" s="85"/>
      <c r="AG194" s="85"/>
      <c r="AH194" s="85"/>
      <c r="AI194" s="85"/>
      <c r="AJ194" s="85"/>
      <c r="AK194" s="85"/>
      <c r="AL194" s="85"/>
      <c r="AM194" s="85"/>
      <c r="AN194" s="85"/>
      <c r="AO194" s="85"/>
      <c r="AP194" s="85"/>
      <c r="AQ194" s="93"/>
      <c r="AR194" s="85"/>
      <c r="AS194" s="85"/>
      <c r="AT194" s="85"/>
      <c r="AU194" s="85"/>
      <c r="AV194" s="85"/>
      <c r="AW194" s="85"/>
      <c r="AX194" s="85"/>
      <c r="AY194" s="85"/>
      <c r="AZ194" s="85"/>
      <c r="BA194" s="85"/>
      <c r="BB194" s="85"/>
      <c r="BC194" s="85"/>
      <c r="BD194" s="85"/>
      <c r="BE194" s="85"/>
      <c r="BF194" s="85"/>
      <c r="BG194" s="85"/>
      <c r="BH194" s="85"/>
      <c r="BI194" s="85"/>
      <c r="BJ194" s="85"/>
      <c r="BK194" s="85"/>
      <c r="BL194" s="85"/>
      <c r="BM194" s="85"/>
      <c r="BN194" s="85"/>
      <c r="BO194" s="85"/>
      <c r="BP194" s="85"/>
      <c r="BQ194" s="85"/>
      <c r="BR194" s="85"/>
      <c r="BS194" s="85"/>
      <c r="BT194" s="85"/>
      <c r="BU194" s="85"/>
      <c r="BV194" s="85"/>
      <c r="BW194" s="85"/>
      <c r="BX194" s="85"/>
      <c r="BY194" s="85"/>
      <c r="BZ194" s="85"/>
      <c r="CA194" s="85"/>
      <c r="CB194" s="85"/>
      <c r="CC194" s="85"/>
      <c r="CD194" s="85"/>
      <c r="CE194" s="85"/>
      <c r="CF194" s="85"/>
      <c r="CG194" s="85"/>
      <c r="CH194" s="85"/>
      <c r="CI194" s="85"/>
      <c r="CJ194" s="85"/>
      <c r="CK194" s="2"/>
    </row>
    <row r="195" ht="12.75" customHeight="1">
      <c r="A195" s="80">
        <f>IFERROR(__xludf.DUMMYFUNCTION("""COMPUTED_VALUE"""),192.0)</f>
        <v>192</v>
      </c>
      <c r="B195" s="80"/>
      <c r="C195" s="80"/>
      <c r="D195" s="81"/>
      <c r="E195" s="82"/>
      <c r="F195" s="80"/>
      <c r="G195" s="81"/>
      <c r="H195" s="80"/>
      <c r="I195" s="80"/>
      <c r="J195" s="80"/>
      <c r="K195" s="80"/>
      <c r="L195" s="80"/>
      <c r="M195" s="80"/>
      <c r="N195" s="80"/>
      <c r="O195" s="80"/>
      <c r="P195" s="80" t="str">
        <f>IFERROR(__xludf.DUMMYFUNCTION("""COMPUTED_VALUE"""),"53BSPA04731JBNUR")</f>
        <v>53BSPA04731JBNUR</v>
      </c>
      <c r="Q195" s="80" t="str">
        <f>IFERROR(__xludf.DUMMYFUNCTION("""COMPUTED_VALUE"""),"	ELOK JAYA")</f>
        <v>	ELOK JAYA</v>
      </c>
      <c r="R195" s="80" t="str">
        <f>IFERROR(__xludf.DUMMYFUNCTION("""COMPUTED_VALUE"""),"MUC ELOK JAYA")</f>
        <v>MUC ELOK JAYA</v>
      </c>
      <c r="S195" s="80" t="str">
        <f>IFERROR(__xludf.DUMMYFUNCTION("""COMPUTED_VALUE"""),"SOLIKIN")</f>
        <v>SOLIKIN</v>
      </c>
      <c r="T195" s="80" t="str">
        <f>IFERROR(__xludf.DUMMYFUNCTION("""COMPUTED_VALUE"""),"BLOK DESA LOR RT 009 RW 002 , Megugede, Weru, Kab. Cirebon, JAWA BARAT 45644")</f>
        <v>BLOK DESA LOR RT 009 RW 002 , Megugede, Weru, Kab. Cirebon, JAWA BARAT 45644</v>
      </c>
      <c r="U195" s="80" t="str">
        <f>IFERROR(__xludf.DUMMYFUNCTION("""COMPUTED_VALUE"""),"JL. FATAHILLAH NO. 168 RT 003 RW 001")</f>
        <v>JL. FATAHILLAH NO. 168 RT 003 RW 001</v>
      </c>
      <c r="V195" s="80"/>
      <c r="W195" s="80" t="str">
        <f>IFERROR(__xludf.DUMMYFUNCTION("""COMPUTED_VALUE"""),"Megucilik")</f>
        <v>Megucilik</v>
      </c>
      <c r="X195" s="80" t="str">
        <f>IFERROR(__xludf.DUMMYFUNCTION("""COMPUTED_VALUE"""),"Weru")</f>
        <v>Weru</v>
      </c>
      <c r="Y195" s="80" t="str">
        <f>IFERROR(__xludf.DUMMYFUNCTION("""COMPUTED_VALUE""")," Kab. Cirebon")</f>
        <v> Kab. Cirebon</v>
      </c>
      <c r="Z195" s="80" t="str">
        <f>IFERROR(__xludf.DUMMYFUNCTION("""COMPUTED_VALUE"""),"JAWA BARAT")</f>
        <v>JAWA BARAT</v>
      </c>
      <c r="AA195" s="80" t="str">
        <f>IFERROR(__xludf.DUMMYFUNCTION("""COMPUTED_VALUE"""),"45644")</f>
        <v>45644</v>
      </c>
      <c r="AB195" s="80" t="str">
        <f>IFERROR(__xludf.DUMMYFUNCTION("""COMPUTED_VALUE"""),"3209191802800001")</f>
        <v>3209191802800001</v>
      </c>
      <c r="AC195" s="80" t="str">
        <f>IFERROR(__xludf.DUMMYFUNCTION("""COMPUTED_VALUE"""),"25.643.518.1-426.000")</f>
        <v>25.643.518.1-426.000</v>
      </c>
      <c r="AD195" s="80" t="str">
        <f>IFERROR(__xludf.DUMMYFUNCTION("""COMPUTED_VALUE"""),"CUM - PS - NUR")</f>
        <v>CUM - PS - NUR</v>
      </c>
      <c r="AE195" s="80" t="str">
        <f>IFERROR(__xludf.DUMMYFUNCTION("""COMPUTED_VALUE"""),"SUB NUR POS")</f>
        <v>SUB NUR POS</v>
      </c>
      <c r="AF195" s="80" t="str">
        <f>IFERROR(__xludf.DUMMYFUNCTION("""COMPUTED_VALUE"""),"08122999779")</f>
        <v>08122999779</v>
      </c>
      <c r="AG195" s="80"/>
      <c r="AH195" s="80" t="str">
        <f>IFERROR(__xludf.DUMMYFUNCTION("""COMPUTED_VALUE"""),"boslikin@gmail.com")</f>
        <v>boslikin@gmail.com</v>
      </c>
      <c r="AI195" s="80" t="str">
        <f>IFERROR(__xludf.DUMMYFUNCTION("""COMPUTED_VALUE"""),"45644S3")</f>
        <v>45644S3</v>
      </c>
      <c r="AJ195" s="80" t="str">
        <f>IFERROR(__xludf.DUMMYFUNCTION("""COMPUTED_VALUE"""),"666278cb982d0e5653026304")</f>
        <v>666278cb982d0e5653026304</v>
      </c>
      <c r="AK195" s="80" t="str">
        <f>IFERROR(__xludf.DUMMYFUNCTION("""COMPUTED_VALUE"""),"dm45644s3")</f>
        <v>dm45644s3</v>
      </c>
      <c r="AL195" s="80" t="str">
        <f>IFERROR(__xludf.DUMMYFUNCTION("""COMPUTED_VALUE"""),"#45644Pos")</f>
        <v>#45644Pos</v>
      </c>
      <c r="AM195" s="80" t="str">
        <f>IFERROR(__xludf.DUMMYFUNCTION("""COMPUTED_VALUE"""),"KANTOR REGIONAL III BANDUNG 40004")</f>
        <v>KANTOR REGIONAL III BANDUNG 40004</v>
      </c>
      <c r="AN195" s="80" t="str">
        <f>IFERROR(__xludf.DUMMYFUNCTION("""COMPUTED_VALUE"""),"KCU CIREBON 45100")</f>
        <v>KCU CIREBON 45100</v>
      </c>
      <c r="AO195" s="80" t="str">
        <f>IFERROR(__xludf.DUMMYFUNCTION("""COMPUTED_VALUE"""),"9120203751279")</f>
        <v>9120203751279</v>
      </c>
      <c r="AP195" s="80" t="str">
        <f>IFERROR(__xludf.DUMMYFUNCTION("""COMPUTED_VALUE"""),"91202037512790001")</f>
        <v>91202037512790001</v>
      </c>
      <c r="AQ195" s="83"/>
      <c r="AR195" s="80"/>
      <c r="AS195" s="80"/>
      <c r="AT195" s="80" t="str">
        <f>IFERROR(__xludf.DUMMYFUNCTION("""COMPUTED_VALUE"""),"-6.7200778")</f>
        <v>-6.7200778</v>
      </c>
      <c r="AU195" s="80" t="str">
        <f>IFERROR(__xludf.DUMMYFUNCTION("""COMPUTED_VALUE"""),"108.5011804")</f>
        <v>108.5011804</v>
      </c>
      <c r="AV195" s="80"/>
      <c r="AW195" s="80"/>
      <c r="AX195" s="80"/>
      <c r="AY195" s="80"/>
      <c r="AZ195" s="80"/>
      <c r="BA195" s="80"/>
      <c r="BB195" s="80"/>
      <c r="BC195" s="80"/>
      <c r="BD195" s="80"/>
      <c r="BE195" s="80"/>
      <c r="BF195" s="80"/>
      <c r="BG195" s="80"/>
      <c r="BH195" s="80"/>
      <c r="BI195" s="80"/>
      <c r="BJ195" s="80"/>
      <c r="BK195" s="80"/>
      <c r="BL195" s="80"/>
      <c r="BM195" s="80"/>
      <c r="BN195" s="80"/>
      <c r="BO195" s="80"/>
      <c r="BP195" s="80"/>
      <c r="BQ195" s="80"/>
      <c r="BR195" s="80"/>
      <c r="BS195" s="80"/>
      <c r="BT195" s="80"/>
      <c r="BU195" s="80"/>
      <c r="BV195" s="80"/>
      <c r="BW195" s="80"/>
      <c r="BX195" s="80"/>
      <c r="BY195" s="80"/>
      <c r="BZ195" s="80"/>
      <c r="CA195" s="80"/>
      <c r="CB195" s="80"/>
      <c r="CC195" s="80"/>
      <c r="CD195" s="80"/>
      <c r="CE195" s="80"/>
      <c r="CF195" s="80"/>
      <c r="CG195" s="80"/>
      <c r="CH195" s="80"/>
      <c r="CI195" s="80"/>
      <c r="CJ195" s="80"/>
      <c r="CK195" s="2"/>
    </row>
    <row r="196" ht="12.75" customHeight="1">
      <c r="A196" s="85">
        <f>IFERROR(__xludf.DUMMYFUNCTION("""COMPUTED_VALUE"""),193.0)</f>
        <v>193</v>
      </c>
      <c r="B196" s="85"/>
      <c r="C196" s="85"/>
      <c r="D196" s="86"/>
      <c r="E196" s="88"/>
      <c r="F196" s="85"/>
      <c r="G196" s="86"/>
      <c r="H196" s="85"/>
      <c r="I196" s="85"/>
      <c r="J196" s="85"/>
      <c r="K196" s="85"/>
      <c r="L196" s="85"/>
      <c r="M196" s="85"/>
      <c r="N196" s="85"/>
      <c r="O196" s="85"/>
      <c r="P196" s="85" t="str">
        <f>IFERROR(__xludf.DUMMYFUNCTION("""COMPUTED_VALUE"""),"53BSPA04732JBYNS")</f>
        <v>53BSPA04732JBYNS</v>
      </c>
      <c r="Q196" s="85" t="str">
        <f>IFERROR(__xludf.DUMMYFUNCTION("""COMPUTED_VALUE"""),"BABE PADASUKA")</f>
        <v>BABE PADASUKA</v>
      </c>
      <c r="R196" s="85" t="str">
        <f>IFERROR(__xludf.DUMMYFUNCTION("""COMPUTED_VALUE"""),"MUC BABE PADASUKA")</f>
        <v>MUC BABE PADASUKA</v>
      </c>
      <c r="S196" s="85" t="str">
        <f>IFERROR(__xludf.DUMMYFUNCTION("""COMPUTED_VALUE"""),"BANI BERTONI ")</f>
        <v>BANI BERTONI </v>
      </c>
      <c r="T196" s="85" t="str">
        <f>IFERROR(__xludf.DUMMYFUNCTION("""COMPUTED_VALUE"""),"KOMPLEK PEMDA B 17 RT 007 RW 014 , Padasuka, Cimahi Tengah, Kota Cimahi, JAWA BARAT 40526")</f>
        <v>KOMPLEK PEMDA B 17 RT 007 RW 014 , Padasuka, Cimahi Tengah, Kota Cimahi, JAWA BARAT 40526</v>
      </c>
      <c r="U196" s="85" t="str">
        <f>IFERROR(__xludf.DUMMYFUNCTION("""COMPUTED_VALUE"""),"Komplek Pemda Blok B 17,")</f>
        <v>Komplek Pemda Blok B 17,</v>
      </c>
      <c r="V196" s="85"/>
      <c r="W196" s="85" t="str">
        <f>IFERROR(__xludf.DUMMYFUNCTION("""COMPUTED_VALUE"""),"Padasuka")</f>
        <v>Padasuka</v>
      </c>
      <c r="X196" s="85" t="str">
        <f>IFERROR(__xludf.DUMMYFUNCTION("""COMPUTED_VALUE"""),"Cimahi Tengah")</f>
        <v>Cimahi Tengah</v>
      </c>
      <c r="Y196" s="85" t="str">
        <f>IFERROR(__xludf.DUMMYFUNCTION("""COMPUTED_VALUE"""),"Kota Cimahi")</f>
        <v>Kota Cimahi</v>
      </c>
      <c r="Z196" s="85" t="str">
        <f>IFERROR(__xludf.DUMMYFUNCTION("""COMPUTED_VALUE"""),"JAWA BARAT")</f>
        <v>JAWA BARAT</v>
      </c>
      <c r="AA196" s="85" t="str">
        <f>IFERROR(__xludf.DUMMYFUNCTION("""COMPUTED_VALUE"""),"40526")</f>
        <v>40526</v>
      </c>
      <c r="AB196" s="85" t="str">
        <f>IFERROR(__xludf.DUMMYFUNCTION("""COMPUTED_VALUE"""),"3277022506820018")</f>
        <v>3277022506820018</v>
      </c>
      <c r="AC196" s="85" t="str">
        <f>IFERROR(__xludf.DUMMYFUNCTION("""COMPUTED_VALUE"""),"44.063.587.8-421.000")</f>
        <v>44.063.587.8-421.000</v>
      </c>
      <c r="AD196" s="85" t="str">
        <f>IFERROR(__xludf.DUMMYFUNCTION("""COMPUTED_VALUE"""),"CUM - BSB - JABAR")</f>
        <v>CUM - BSB - JABAR</v>
      </c>
      <c r="AE196" s="85" t="str">
        <f>IFERROR(__xludf.DUMMYFUNCTION("""COMPUTED_VALUE"""),"SUB YANSEN POS")</f>
        <v>SUB YANSEN POS</v>
      </c>
      <c r="AF196" s="85" t="str">
        <f>IFERROR(__xludf.DUMMYFUNCTION("""COMPUTED_VALUE"""),"085974164219")</f>
        <v>085974164219</v>
      </c>
      <c r="AG196" s="85"/>
      <c r="AH196" s="85" t="str">
        <f>IFERROR(__xludf.DUMMYFUNCTION("""COMPUTED_VALUE"""),"banibertoni@gmail.com")</f>
        <v>banibertoni@gmail.com</v>
      </c>
      <c r="AI196" s="85" t="str">
        <f>IFERROR(__xludf.DUMMYFUNCTION("""COMPUTED_VALUE"""),"40526S3")</f>
        <v>40526S3</v>
      </c>
      <c r="AJ196" s="85" t="str">
        <f>IFERROR(__xludf.DUMMYFUNCTION("""COMPUTED_VALUE"""),"666ac399941b02f1b10f2b73")</f>
        <v>666ac399941b02f1b10f2b73</v>
      </c>
      <c r="AK196" s="85" t="str">
        <f>IFERROR(__xludf.DUMMYFUNCTION("""COMPUTED_VALUE"""),"dm40526s3")</f>
        <v>dm40526s3</v>
      </c>
      <c r="AL196" s="85" t="str">
        <f>IFERROR(__xludf.DUMMYFUNCTION("""COMPUTED_VALUE"""),"#40526Pos")</f>
        <v>#40526Pos</v>
      </c>
      <c r="AM196" s="85" t="str">
        <f>IFERROR(__xludf.DUMMYFUNCTION("""COMPUTED_VALUE"""),"KANTOR REGIONAL III BANDUNG 40004")</f>
        <v>KANTOR REGIONAL III BANDUNG 40004</v>
      </c>
      <c r="AN196" s="85" t="str">
        <f>IFERROR(__xludf.DUMMYFUNCTION("""COMPUTED_VALUE"""),"KC CIMAHI 40500")</f>
        <v>KC CIMAHI 40500</v>
      </c>
      <c r="AO196" s="85" t="str">
        <f>IFERROR(__xludf.DUMMYFUNCTION("""COMPUTED_VALUE"""),"1205240070319")</f>
        <v>1205240070319</v>
      </c>
      <c r="AP196" s="85" t="str">
        <f>IFERROR(__xludf.DUMMYFUNCTION("""COMPUTED_VALUE"""),"12052400703190001")</f>
        <v>12052400703190001</v>
      </c>
      <c r="AQ196" s="93"/>
      <c r="AR196" s="85"/>
      <c r="AS196" s="85"/>
      <c r="AT196" s="85" t="str">
        <f>IFERROR(__xludf.DUMMYFUNCTION("""COMPUTED_VALUE"""),"-6.8742923")</f>
        <v>-6.8742923</v>
      </c>
      <c r="AU196" s="85" t="str">
        <f>IFERROR(__xludf.DUMMYFUNCTION("""COMPUTED_VALUE"""),"107.5261954")</f>
        <v>107.5261954</v>
      </c>
      <c r="AV196" s="85"/>
      <c r="AW196" s="85"/>
      <c r="AX196" s="85"/>
      <c r="AY196" s="85"/>
      <c r="AZ196" s="85"/>
      <c r="BA196" s="85"/>
      <c r="BB196" s="85"/>
      <c r="BC196" s="85"/>
      <c r="BD196" s="85"/>
      <c r="BE196" s="85"/>
      <c r="BF196" s="85"/>
      <c r="BG196" s="85"/>
      <c r="BH196" s="85"/>
      <c r="BI196" s="85"/>
      <c r="BJ196" s="85"/>
      <c r="BK196" s="85"/>
      <c r="BL196" s="85"/>
      <c r="BM196" s="85"/>
      <c r="BN196" s="85"/>
      <c r="BO196" s="85"/>
      <c r="BP196" s="85"/>
      <c r="BQ196" s="85"/>
      <c r="BR196" s="85"/>
      <c r="BS196" s="85"/>
      <c r="BT196" s="85"/>
      <c r="BU196" s="85"/>
      <c r="BV196" s="85"/>
      <c r="BW196" s="85"/>
      <c r="BX196" s="85"/>
      <c r="BY196" s="85"/>
      <c r="BZ196" s="85"/>
      <c r="CA196" s="85"/>
      <c r="CB196" s="85"/>
      <c r="CC196" s="85"/>
      <c r="CD196" s="85"/>
      <c r="CE196" s="85"/>
      <c r="CF196" s="85"/>
      <c r="CG196" s="85"/>
      <c r="CH196" s="85"/>
      <c r="CI196" s="85"/>
      <c r="CJ196" s="85"/>
      <c r="CK196" s="2"/>
    </row>
    <row r="197" ht="14.25" customHeight="1">
      <c r="A197" s="80">
        <f>IFERROR(__xludf.DUMMYFUNCTION("""COMPUTED_VALUE"""),194.0)</f>
        <v>194</v>
      </c>
      <c r="B197" s="80"/>
      <c r="C197" s="80"/>
      <c r="D197" s="81"/>
      <c r="E197" s="82"/>
      <c r="F197" s="80"/>
      <c r="G197" s="81"/>
      <c r="H197" s="80"/>
      <c r="I197" s="80"/>
      <c r="J197" s="80"/>
      <c r="K197" s="80"/>
      <c r="L197" s="80"/>
      <c r="M197" s="80"/>
      <c r="N197" s="80"/>
      <c r="O197" s="80"/>
      <c r="P197" s="80" t="str">
        <f>IFERROR(__xludf.DUMMYFUNCTION("""COMPUTED_VALUE"""),"53BSPA04733JBYNS")</f>
        <v>53BSPA04733JBYNS</v>
      </c>
      <c r="Q197" s="80" t="str">
        <f>IFERROR(__xludf.DUMMYFUNCTION("""COMPUTED_VALUE"""),"CIMAREME 04")</f>
        <v>CIMAREME 04</v>
      </c>
      <c r="R197" s="80" t="str">
        <f>IFERROR(__xludf.DUMMYFUNCTION("""COMPUTED_VALUE"""),"MUC CIMAREME 04")</f>
        <v>MUC CIMAREME 04</v>
      </c>
      <c r="S197" s="80" t="str">
        <f>IFERROR(__xludf.DUMMYFUNCTION("""COMPUTED_VALUE"""),"IMAM")</f>
        <v>IMAM</v>
      </c>
      <c r="T197" s="80" t="str">
        <f>IFERROR(__xludf.DUMMYFUNCTION("""COMPUTED_VALUE"""),"KP. MALAKA RT 002 RW 007 , Sindangkerta, Sindangkerta, Kab. Bandung Barat, JAWA BARAT 40763")</f>
        <v>KP. MALAKA RT 002 RW 007 , Sindangkerta, Sindangkerta, Kab. Bandung Barat, JAWA BARAT 40763</v>
      </c>
      <c r="U197" s="80" t="str">
        <f>IFERROR(__xludf.DUMMYFUNCTION("""COMPUTED_VALUE"""),"JL. RAYA CIMAREME NO. 199")</f>
        <v>JL. RAYA CIMAREME NO. 199</v>
      </c>
      <c r="V197" s="80"/>
      <c r="W197" s="80" t="str">
        <f>IFERROR(__xludf.DUMMYFUNCTION("""COMPUTED_VALUE"""),"Cimareme")</f>
        <v>Cimareme</v>
      </c>
      <c r="X197" s="80" t="str">
        <f>IFERROR(__xludf.DUMMYFUNCTION("""COMPUTED_VALUE"""),"Ngamprah")</f>
        <v>Ngamprah</v>
      </c>
      <c r="Y197" s="80" t="str">
        <f>IFERROR(__xludf.DUMMYFUNCTION("""COMPUTED_VALUE"""),"Kab. Bandung Barat")</f>
        <v>Kab. Bandung Barat</v>
      </c>
      <c r="Z197" s="80" t="str">
        <f>IFERROR(__xludf.DUMMYFUNCTION("""COMPUTED_VALUE"""),"JAWA BARAT")</f>
        <v>JAWA BARAT</v>
      </c>
      <c r="AA197" s="80" t="str">
        <f>IFERROR(__xludf.DUMMYFUNCTION("""COMPUTED_VALUE"""),"40722")</f>
        <v>40722</v>
      </c>
      <c r="AB197" s="80" t="str">
        <f>IFERROR(__xludf.DUMMYFUNCTION("""COMPUTED_VALUE"""),"3217082405950003")</f>
        <v>3217082405950003</v>
      </c>
      <c r="AC197" s="80" t="str">
        <f>IFERROR(__xludf.DUMMYFUNCTION("""COMPUTED_VALUE"""),"90.597.144.6-421.000")</f>
        <v>90.597.144.6-421.000</v>
      </c>
      <c r="AD197" s="80" t="str">
        <f>IFERROR(__xludf.DUMMYFUNCTION("""COMPUTED_VALUE"""),"CUM - BSB - JABAR")</f>
        <v>CUM - BSB - JABAR</v>
      </c>
      <c r="AE197" s="80" t="str">
        <f>IFERROR(__xludf.DUMMYFUNCTION("""COMPUTED_VALUE"""),"SUB YANSEN POS")</f>
        <v>SUB YANSEN POS</v>
      </c>
      <c r="AF197" s="80" t="str">
        <f>IFERROR(__xludf.DUMMYFUNCTION("""COMPUTED_VALUE"""),"081809236647")</f>
        <v>081809236647</v>
      </c>
      <c r="AG197" s="80"/>
      <c r="AH197" s="80" t="str">
        <f>IFERROR(__xludf.DUMMYFUNCTION("""COMPUTED_VALUE"""),"imamginanjar28@gmail.com")</f>
        <v>imamginanjar28@gmail.com</v>
      </c>
      <c r="AI197" s="80" t="str">
        <f>IFERROR(__xludf.DUMMYFUNCTION("""COMPUTED_VALUE"""),"40722S3")</f>
        <v>40722S3</v>
      </c>
      <c r="AJ197" s="80" t="str">
        <f>IFERROR(__xludf.DUMMYFUNCTION("""COMPUTED_VALUE"""),"665aa622ad0104f5540a363a")</f>
        <v>665aa622ad0104f5540a363a</v>
      </c>
      <c r="AK197" s="80" t="str">
        <f>IFERROR(__xludf.DUMMYFUNCTION("""COMPUTED_VALUE"""),"dm40722s3")</f>
        <v>dm40722s3</v>
      </c>
      <c r="AL197" s="80" t="str">
        <f>IFERROR(__xludf.DUMMYFUNCTION("""COMPUTED_VALUE"""),"#40722Pos")</f>
        <v>#40722Pos</v>
      </c>
      <c r="AM197" s="80" t="str">
        <f>IFERROR(__xludf.DUMMYFUNCTION("""COMPUTED_VALUE"""),"KANTOR REGIONAL III BANDUNG 40004")</f>
        <v>KANTOR REGIONAL III BANDUNG 40004</v>
      </c>
      <c r="AN197" s="80" t="str">
        <f>IFERROR(__xludf.DUMMYFUNCTION("""COMPUTED_VALUE"""),"KC CIMAHI 40500")</f>
        <v>KC CIMAHI 40500</v>
      </c>
      <c r="AO197" s="80" t="str">
        <f>IFERROR(__xludf.DUMMYFUNCTION("""COMPUTED_VALUE"""),"1305240248695")</f>
        <v>1305240248695</v>
      </c>
      <c r="AP197" s="80" t="str">
        <f>IFERROR(__xludf.DUMMYFUNCTION("""COMPUTED_VALUE"""),"13052402486950001")</f>
        <v>13052402486950001</v>
      </c>
      <c r="AQ197" s="83"/>
      <c r="AR197" s="80"/>
      <c r="AS197" s="80"/>
      <c r="AT197" s="80" t="str">
        <f>IFERROR(__xludf.DUMMYFUNCTION("""COMPUTED_VALUE"""),"-6.8637525")</f>
        <v>-6.8637525</v>
      </c>
      <c r="AU197" s="80" t="str">
        <f>IFERROR(__xludf.DUMMYFUNCTION("""COMPUTED_VALUE"""),"107.5079613")</f>
        <v>107.5079613</v>
      </c>
      <c r="AV197" s="80"/>
      <c r="AW197" s="80"/>
      <c r="AX197" s="80"/>
      <c r="AY197" s="80"/>
      <c r="AZ197" s="80"/>
      <c r="BA197" s="80"/>
      <c r="BB197" s="80"/>
      <c r="BC197" s="80"/>
      <c r="BD197" s="80"/>
      <c r="BE197" s="80"/>
      <c r="BF197" s="80"/>
      <c r="BG197" s="80"/>
      <c r="BH197" s="80"/>
      <c r="BI197" s="80"/>
      <c r="BJ197" s="80"/>
      <c r="BK197" s="80"/>
      <c r="BL197" s="80"/>
      <c r="BM197" s="80"/>
      <c r="BN197" s="80"/>
      <c r="BO197" s="80"/>
      <c r="BP197" s="80"/>
      <c r="BQ197" s="80"/>
      <c r="BR197" s="80"/>
      <c r="BS197" s="80"/>
      <c r="BT197" s="80"/>
      <c r="BU197" s="80"/>
      <c r="BV197" s="80"/>
      <c r="BW197" s="80"/>
      <c r="BX197" s="80"/>
      <c r="BY197" s="80"/>
      <c r="BZ197" s="80"/>
      <c r="CA197" s="80"/>
      <c r="CB197" s="80"/>
      <c r="CC197" s="80"/>
      <c r="CD197" s="80"/>
      <c r="CE197" s="80"/>
      <c r="CF197" s="80"/>
      <c r="CG197" s="80"/>
      <c r="CH197" s="80"/>
      <c r="CI197" s="80"/>
      <c r="CJ197" s="80"/>
      <c r="CK197" s="2"/>
    </row>
    <row r="198" ht="14.25" customHeight="1">
      <c r="A198" s="85">
        <f>IFERROR(__xludf.DUMMYFUNCTION("""COMPUTED_VALUE"""),195.0)</f>
        <v>195</v>
      </c>
      <c r="B198" s="85"/>
      <c r="C198" s="85"/>
      <c r="D198" s="86"/>
      <c r="E198" s="88"/>
      <c r="F198" s="85"/>
      <c r="G198" s="86"/>
      <c r="H198" s="85"/>
      <c r="I198" s="85"/>
      <c r="J198" s="85"/>
      <c r="K198" s="85"/>
      <c r="L198" s="85"/>
      <c r="M198" s="85"/>
      <c r="N198" s="85"/>
      <c r="O198" s="85"/>
      <c r="P198" s="85" t="str">
        <f>IFERROR(__xludf.DUMMYFUNCTION("""COMPUTED_VALUE"""),"52BSPA12761JTYNA")</f>
        <v>52BSPA12761JTYNA</v>
      </c>
      <c r="Q198" s="85" t="str">
        <f>IFERROR(__xludf.DUMMYFUNCTION("""COMPUTED_VALUE"""),"GS NET")</f>
        <v>GS NET</v>
      </c>
      <c r="R198" s="85" t="str">
        <f>IFERROR(__xludf.DUMMYFUNCTION("""COMPUTED_VALUE"""),"MUC GEMILANG SOLUSI")</f>
        <v>MUC GEMILANG SOLUSI</v>
      </c>
      <c r="S198" s="85" t="str">
        <f>IFERROR(__xludf.DUMMYFUNCTION("""COMPUTED_VALUE"""),"SLAMET")</f>
        <v>SLAMET</v>
      </c>
      <c r="T198" s="85" t="str">
        <f>IFERROR(__xludf.DUMMYFUNCTION("""COMPUTED_VALUE"""),"KETAON RT 018 RW 001 , Ketaon, Banyudono, Kab. Boyolali, JAWA TENGAH 57373")</f>
        <v>KETAON RT 018 RW 001 , Ketaon, Banyudono, Kab. Boyolali, JAWA TENGAH 57373</v>
      </c>
      <c r="U198" s="85" t="str">
        <f>IFERROR(__xludf.DUMMYFUNCTION("""COMPUTED_VALUE"""),"PASAR KETAON RT 007 RW 001")</f>
        <v>PASAR KETAON RT 007 RW 001</v>
      </c>
      <c r="V198" s="85"/>
      <c r="W198" s="85" t="str">
        <f>IFERROR(__xludf.DUMMYFUNCTION("""COMPUTED_VALUE"""),"Ketaon")</f>
        <v>Ketaon</v>
      </c>
      <c r="X198" s="85" t="str">
        <f>IFERROR(__xludf.DUMMYFUNCTION("""COMPUTED_VALUE"""),"Banyudono")</f>
        <v>Banyudono</v>
      </c>
      <c r="Y198" s="85" t="str">
        <f>IFERROR(__xludf.DUMMYFUNCTION("""COMPUTED_VALUE"""),"Kab. Boyolali")</f>
        <v>Kab. Boyolali</v>
      </c>
      <c r="Z198" s="85" t="str">
        <f>IFERROR(__xludf.DUMMYFUNCTION("""COMPUTED_VALUE"""),"JAWA TENGAH")</f>
        <v>JAWA TENGAH</v>
      </c>
      <c r="AA198" s="85" t="str">
        <f>IFERROR(__xludf.DUMMYFUNCTION("""COMPUTED_VALUE"""),"57373")</f>
        <v>57373</v>
      </c>
      <c r="AB198" s="85" t="str">
        <f>IFERROR(__xludf.DUMMYFUNCTION("""COMPUTED_VALUE"""),"3309090709790004")</f>
        <v>3309090709790004</v>
      </c>
      <c r="AC198" s="85" t="str">
        <f>IFERROR(__xludf.DUMMYFUNCTION("""COMPUTED_VALUE"""),"93.823.269.1-527.000")</f>
        <v>93.823.269.1-527.000</v>
      </c>
      <c r="AD198" s="85" t="str">
        <f>IFERROR(__xludf.DUMMYFUNCTION("""COMPUTED_VALUE"""),"CUM - YNA")</f>
        <v>CUM - YNA</v>
      </c>
      <c r="AE198" s="85" t="str">
        <f>IFERROR(__xludf.DUMMYFUNCTION("""COMPUTED_VALUE"""),"SUB YOHANNITA")</f>
        <v>SUB YOHANNITA</v>
      </c>
      <c r="AF198" s="85" t="str">
        <f>IFERROR(__xludf.DUMMYFUNCTION("""COMPUTED_VALUE"""),"08562681060")</f>
        <v>08562681060</v>
      </c>
      <c r="AG198" s="85"/>
      <c r="AH198" s="85" t="str">
        <f>IFERROR(__xludf.DUMMYFUNCTION("""COMPUTED_VALUE"""),"gstaon@gmail.com")</f>
        <v>gstaon@gmail.com</v>
      </c>
      <c r="AI198" s="85" t="str">
        <f>IFERROR(__xludf.DUMMYFUNCTION("""COMPUTED_VALUE"""),"57373S3")</f>
        <v>57373S3</v>
      </c>
      <c r="AJ198" s="85" t="str">
        <f>IFERROR(__xludf.DUMMYFUNCTION("""COMPUTED_VALUE"""),"664f3e4c9d54773009068529")</f>
        <v>664f3e4c9d54773009068529</v>
      </c>
      <c r="AK198" s="85" t="str">
        <f>IFERROR(__xludf.DUMMYFUNCTION("""COMPUTED_VALUE"""),"dm57373s3")</f>
        <v>dm57373s3</v>
      </c>
      <c r="AL198" s="85" t="str">
        <f>IFERROR(__xludf.DUMMYFUNCTION("""COMPUTED_VALUE"""),"#57373Pos")</f>
        <v>#57373Pos</v>
      </c>
      <c r="AM198" s="85" t="str">
        <f>IFERROR(__xludf.DUMMYFUNCTION("""COMPUTED_VALUE"""),"KANTOR REGIONAL IV SEMARANG 50004")</f>
        <v>KANTOR REGIONAL IV SEMARANG 50004</v>
      </c>
      <c r="AN198" s="85" t="str">
        <f>IFERROR(__xludf.DUMMYFUNCTION("""COMPUTED_VALUE"""),"KC BOYOLALI 57300")</f>
        <v>KC BOYOLALI 57300</v>
      </c>
      <c r="AO198" s="85" t="str">
        <f>IFERROR(__xludf.DUMMYFUNCTION("""COMPUTED_VALUE"""),"1705240028276")</f>
        <v>1705240028276</v>
      </c>
      <c r="AP198" s="85" t="str">
        <f>IFERROR(__xludf.DUMMYFUNCTION("""COMPUTED_VALUE"""),"17052400282760001")</f>
        <v>17052400282760001</v>
      </c>
      <c r="AQ198" s="93"/>
      <c r="AR198" s="85"/>
      <c r="AS198" s="85"/>
      <c r="AT198" s="85" t="str">
        <f>IFERROR(__xludf.DUMMYFUNCTION("""COMPUTED_VALUE"""),"-7.5279781")</f>
        <v>-7.5279781</v>
      </c>
      <c r="AU198" s="85" t="str">
        <f>IFERROR(__xludf.DUMMYFUNCTION("""COMPUTED_VALUE"""),"110.6768787")</f>
        <v>110.6768787</v>
      </c>
      <c r="AV198" s="85"/>
      <c r="AW198" s="85"/>
      <c r="AX198" s="85"/>
      <c r="AY198" s="85"/>
      <c r="AZ198" s="85"/>
      <c r="BA198" s="85"/>
      <c r="BB198" s="85"/>
      <c r="BC198" s="85"/>
      <c r="BD198" s="85"/>
      <c r="BE198" s="85"/>
      <c r="BF198" s="85"/>
      <c r="BG198" s="85"/>
      <c r="BH198" s="85"/>
      <c r="BI198" s="85"/>
      <c r="BJ198" s="85"/>
      <c r="BK198" s="85"/>
      <c r="BL198" s="85"/>
      <c r="BM198" s="85"/>
      <c r="BN198" s="85"/>
      <c r="BO198" s="85"/>
      <c r="BP198" s="85"/>
      <c r="BQ198" s="85"/>
      <c r="BR198" s="85"/>
      <c r="BS198" s="85"/>
      <c r="BT198" s="85"/>
      <c r="BU198" s="85"/>
      <c r="BV198" s="85"/>
      <c r="BW198" s="85"/>
      <c r="BX198" s="85"/>
      <c r="BY198" s="85"/>
      <c r="BZ198" s="85"/>
      <c r="CA198" s="85"/>
      <c r="CB198" s="85"/>
      <c r="CC198" s="85"/>
      <c r="CD198" s="85"/>
      <c r="CE198" s="85"/>
      <c r="CF198" s="85"/>
      <c r="CG198" s="85"/>
      <c r="CH198" s="85"/>
      <c r="CI198" s="85"/>
      <c r="CJ198" s="85"/>
      <c r="CK198" s="2"/>
    </row>
    <row r="199" ht="14.25" customHeight="1">
      <c r="A199" s="80">
        <f>IFERROR(__xludf.DUMMYFUNCTION("""COMPUTED_VALUE"""),196.0)</f>
        <v>196</v>
      </c>
      <c r="B199" s="80"/>
      <c r="C199" s="80"/>
      <c r="D199" s="81"/>
      <c r="E199" s="82"/>
      <c r="F199" s="80"/>
      <c r="G199" s="81"/>
      <c r="H199" s="80"/>
      <c r="I199" s="80"/>
      <c r="J199" s="80"/>
      <c r="K199" s="80"/>
      <c r="L199" s="80"/>
      <c r="M199" s="80"/>
      <c r="N199" s="80"/>
      <c r="O199" s="80"/>
      <c r="P199" s="80" t="str">
        <f>IFERROR(__xludf.DUMMYFUNCTION("""COMPUTED_VALUE"""),"52BSPA07607JTPKT")</f>
        <v>52BSPA07607JTPKT</v>
      </c>
      <c r="Q199" s="80" t="str">
        <f>IFERROR(__xludf.DUMMYFUNCTION("""COMPUTED_VALUE"""),"AGEN PALAGAN")</f>
        <v>AGEN PALAGAN</v>
      </c>
      <c r="R199" s="80" t="str">
        <f>IFERROR(__xludf.DUMMYFUNCTION("""COMPUTED_VALUE"""),"MUC AGEN PALAGAN")</f>
        <v>MUC AGEN PALAGAN</v>
      </c>
      <c r="S199" s="80" t="str">
        <f>IFERROR(__xludf.DUMMYFUNCTION("""COMPUTED_VALUE"""),"AGUS WIDARBA")</f>
        <v>AGUS WIDARBA</v>
      </c>
      <c r="T199" s="80" t="str">
        <f>IFERROR(__xludf.DUMMYFUNCTION("""COMPUTED_VALUE"""),"JL. PALAGAN TENTARA PELAJAR NO. 65 RT 004 RW 020 MUDAL")</f>
        <v>JL. PALAGAN TENTARA PELAJAR NO. 65 RT 004 RW 020 MUDAL</v>
      </c>
      <c r="U199" s="80" t="str">
        <f>IFERROR(__xludf.DUMMYFUNCTION("""COMPUTED_VALUE"""),"JL. PALAGAN TENTARA PELAJAR NO. 65 RT 004 RW 020 MUDAL")</f>
        <v>JL. PALAGAN TENTARA PELAJAR NO. 65 RT 004 RW 020 MUDAL</v>
      </c>
      <c r="V199" s="80"/>
      <c r="W199" s="80" t="str">
        <f>IFERROR(__xludf.DUMMYFUNCTION("""COMPUTED_VALUE"""),"SARIHARJO")</f>
        <v>SARIHARJO</v>
      </c>
      <c r="X199" s="80" t="str">
        <f>IFERROR(__xludf.DUMMYFUNCTION("""COMPUTED_VALUE"""),"NGAGLIK")</f>
        <v>NGAGLIK</v>
      </c>
      <c r="Y199" s="80" t="str">
        <f>IFERROR(__xludf.DUMMYFUNCTION("""COMPUTED_VALUE"""),"SLEMAN")</f>
        <v>SLEMAN</v>
      </c>
      <c r="Z199" s="80" t="str">
        <f>IFERROR(__xludf.DUMMYFUNCTION("""COMPUTED_VALUE"""),"D.I YOGYAKARTA")</f>
        <v>D.I YOGYAKARTA</v>
      </c>
      <c r="AA199" s="80" t="str">
        <f>IFERROR(__xludf.DUMMYFUNCTION("""COMPUTED_VALUE"""),"55581")</f>
        <v>55581</v>
      </c>
      <c r="AB199" s="80" t="str">
        <f>IFERROR(__xludf.DUMMYFUNCTION("""COMPUTED_VALUE"""),"3404121011630008")</f>
        <v>3404121011630008</v>
      </c>
      <c r="AC199" s="80" t="str">
        <f>IFERROR(__xludf.DUMMYFUNCTION("""COMPUTED_VALUE"""),"06.697.536.8-542.000 ")</f>
        <v>06.697.536.8-542.000 </v>
      </c>
      <c r="AD199" s="80" t="str">
        <f>IFERROR(__xludf.DUMMYFUNCTION("""COMPUTED_VALUE"""),"CUM - PS - BPKT")</f>
        <v>CUM - PS - BPKT</v>
      </c>
      <c r="AE199" s="80" t="str">
        <f>IFERROR(__xludf.DUMMYFUNCTION("""COMPUTED_VALUE"""),"SUB PURBO POS")</f>
        <v>SUB PURBO POS</v>
      </c>
      <c r="AF199" s="80" t="str">
        <f>IFERROR(__xludf.DUMMYFUNCTION("""COMPUTED_VALUE"""),"08122993039")</f>
        <v>08122993039</v>
      </c>
      <c r="AG199" s="80"/>
      <c r="AH199" s="80" t="str">
        <f>IFERROR(__xludf.DUMMYFUNCTION("""COMPUTED_VALUE"""),"aguswidarba@gmail.com")</f>
        <v>aguswidarba@gmail.com</v>
      </c>
      <c r="AI199" s="80" t="str">
        <f>IFERROR(__xludf.DUMMYFUNCTION("""COMPUTED_VALUE"""),"55581S8")</f>
        <v>55581S8</v>
      </c>
      <c r="AJ199" s="80" t="str">
        <f>IFERROR(__xludf.DUMMYFUNCTION("""COMPUTED_VALUE"""),"6694ef4156becb71a6083e9e")</f>
        <v>6694ef4156becb71a6083e9e</v>
      </c>
      <c r="AK199" s="80" t="str">
        <f>IFERROR(__xludf.DUMMYFUNCTION("""COMPUTED_VALUE"""),"dm55581s8")</f>
        <v>dm55581s8</v>
      </c>
      <c r="AL199" s="80" t="str">
        <f>IFERROR(__xludf.DUMMYFUNCTION("""COMPUTED_VALUE"""),"#55581Pos")</f>
        <v>#55581Pos</v>
      </c>
      <c r="AM199" s="80" t="str">
        <f>IFERROR(__xludf.DUMMYFUNCTION("""COMPUTED_VALUE"""),"KANTOR REGIONAL IV SEMARANG 50004")</f>
        <v>KANTOR REGIONAL IV SEMARANG 50004</v>
      </c>
      <c r="AN199" s="80" t="str">
        <f>IFERROR(__xludf.DUMMYFUNCTION("""COMPUTED_VALUE"""),"KCU YOGYAKARTA 55000")</f>
        <v>KCU YOGYAKARTA 55000</v>
      </c>
      <c r="AO199" s="80" t="str">
        <f>IFERROR(__xludf.DUMMYFUNCTION("""COMPUTED_VALUE"""),"2910220000189")</f>
        <v>2910220000189</v>
      </c>
      <c r="AP199" s="80" t="str">
        <f>IFERROR(__xludf.DUMMYFUNCTION("""COMPUTED_VALUE"""),"29102200001890001")</f>
        <v>29102200001890001</v>
      </c>
      <c r="AQ199" s="83"/>
      <c r="AR199" s="80"/>
      <c r="AS199" s="80"/>
      <c r="AT199" s="80" t="str">
        <f>IFERROR(__xludf.DUMMYFUNCTION("""COMPUTED_VALUE"""),"-7.7453987")</f>
        <v>-7.7453987</v>
      </c>
      <c r="AU199" s="80" t="str">
        <f>IFERROR(__xludf.DUMMYFUNCTION("""COMPUTED_VALUE"""),"110.3734506")</f>
        <v>110.3734506</v>
      </c>
      <c r="AV199" s="80"/>
      <c r="AW199" s="80"/>
      <c r="AX199" s="80"/>
      <c r="AY199" s="80"/>
      <c r="AZ199" s="80"/>
      <c r="BA199" s="80"/>
      <c r="BB199" s="80"/>
      <c r="BC199" s="80"/>
      <c r="BD199" s="80"/>
      <c r="BE199" s="80"/>
      <c r="BF199" s="80"/>
      <c r="BG199" s="80"/>
      <c r="BH199" s="80"/>
      <c r="BI199" s="80"/>
      <c r="BJ199" s="80"/>
      <c r="BK199" s="80"/>
      <c r="BL199" s="80"/>
      <c r="BM199" s="80"/>
      <c r="BN199" s="80"/>
      <c r="BO199" s="80"/>
      <c r="BP199" s="80"/>
      <c r="BQ199" s="80"/>
      <c r="BR199" s="80"/>
      <c r="BS199" s="80"/>
      <c r="BT199" s="80"/>
      <c r="BU199" s="80"/>
      <c r="BV199" s="80"/>
      <c r="BW199" s="80"/>
      <c r="BX199" s="80"/>
      <c r="BY199" s="80"/>
      <c r="BZ199" s="80"/>
      <c r="CA199" s="80"/>
      <c r="CB199" s="80"/>
      <c r="CC199" s="80"/>
      <c r="CD199" s="80"/>
      <c r="CE199" s="80"/>
      <c r="CF199" s="80"/>
      <c r="CG199" s="80"/>
      <c r="CH199" s="80"/>
      <c r="CI199" s="80"/>
      <c r="CJ199" s="80"/>
      <c r="CK199" s="2"/>
    </row>
    <row r="200" ht="14.25" customHeight="1">
      <c r="A200" s="85">
        <f>IFERROR(__xludf.DUMMYFUNCTION("""COMPUTED_VALUE"""),197.0)</f>
        <v>197</v>
      </c>
      <c r="B200" s="85"/>
      <c r="C200" s="85"/>
      <c r="D200" s="86"/>
      <c r="E200" s="88"/>
      <c r="F200" s="85"/>
      <c r="G200" s="86"/>
      <c r="H200" s="85"/>
      <c r="I200" s="85"/>
      <c r="J200" s="85"/>
      <c r="K200" s="85"/>
      <c r="L200" s="85"/>
      <c r="M200" s="85"/>
      <c r="N200" s="85"/>
      <c r="O200" s="85"/>
      <c r="P200" s="85" t="str">
        <f>IFERROR(__xludf.DUMMYFUNCTION("""COMPUTED_VALUE"""),"53BSPA04642JBEEN")</f>
        <v>53BSPA04642JBEEN</v>
      </c>
      <c r="Q200" s="85" t="str">
        <f>IFERROR(__xludf.DUMMYFUNCTION("""COMPUTED_VALUE"""),"Agen Post Aldo Tanah Merdeka")</f>
        <v>Agen Post Aldo Tanah Merdeka</v>
      </c>
      <c r="R200" s="85" t="str">
        <f>IFERROR(__xludf.DUMMYFUNCTION("""COMPUTED_VALUE"""),"MUC Agen Aldo Tanah Merdeka")</f>
        <v>MUC Agen Aldo Tanah Merdeka</v>
      </c>
      <c r="S200" s="85" t="str">
        <f>IFERROR(__xludf.DUMMYFUNCTION("""COMPUTED_VALUE"""),"Dian Rivia")</f>
        <v>Dian Rivia</v>
      </c>
      <c r="T200" s="85" t="str">
        <f>IFERROR(__xludf.DUMMYFUNCTION("""COMPUTED_VALUE"""),"Jl. Tanah Merdeka III, RT.6/RW.4, Rambutan, Kec. Ciracas, Kota Jakarta Timur, Daerah Khusus Ibukota Jakarta 13830")</f>
        <v>Jl. Tanah Merdeka III, RT.6/RW.4, Rambutan, Kec. Ciracas, Kota Jakarta Timur, Daerah Khusus Ibukota Jakarta 13830</v>
      </c>
      <c r="U200" s="85" t="str">
        <f>IFERROR(__xludf.DUMMYFUNCTION("""COMPUTED_VALUE""")," Jl. Tanah Merdeka III, RT.6/RW.4, Rambutan")</f>
        <v> Jl. Tanah Merdeka III, RT.6/RW.4, Rambutan</v>
      </c>
      <c r="V200" s="85"/>
      <c r="W200" s="85" t="str">
        <f>IFERROR(__xludf.DUMMYFUNCTION("""COMPUTED_VALUE"""),"Rambutan ")</f>
        <v>Rambutan </v>
      </c>
      <c r="X200" s="85" t="str">
        <f>IFERROR(__xludf.DUMMYFUNCTION("""COMPUTED_VALUE"""),"Ciracas")</f>
        <v>Ciracas</v>
      </c>
      <c r="Y200" s="85" t="str">
        <f>IFERROR(__xludf.DUMMYFUNCTION("""COMPUTED_VALUE"""),"Jakarta Timur")</f>
        <v>Jakarta Timur</v>
      </c>
      <c r="Z200" s="85" t="str">
        <f>IFERROR(__xludf.DUMMYFUNCTION("""COMPUTED_VALUE"""),"DKI JAKARTA")</f>
        <v>DKI JAKARTA</v>
      </c>
      <c r="AA200" s="85" t="str">
        <f>IFERROR(__xludf.DUMMYFUNCTION("""COMPUTED_VALUE"""),"13830")</f>
        <v>13830</v>
      </c>
      <c r="AB200" s="85" t="str">
        <f>IFERROR(__xludf.DUMMYFUNCTION("""COMPUTED_VALUE"""),"3175096911780008")</f>
        <v>3175096911780008</v>
      </c>
      <c r="AC200" s="85" t="str">
        <f>IFERROR(__xludf.DUMMYFUNCTION("""COMPUTED_VALUE"""),"59.443.542.2-009.000")</f>
        <v>59.443.542.2-009.000</v>
      </c>
      <c r="AD200" s="85" t="str">
        <f>IFERROR(__xludf.DUMMYFUNCTION("""COMPUTED_VALUE"""),"CUM - EEN")</f>
        <v>CUM - EEN</v>
      </c>
      <c r="AE200" s="85" t="str">
        <f>IFERROR(__xludf.DUMMYFUNCTION("""COMPUTED_VALUE"""),"SUB EEN")</f>
        <v>SUB EEN</v>
      </c>
      <c r="AF200" s="85" t="str">
        <f>IFERROR(__xludf.DUMMYFUNCTION("""COMPUTED_VALUE"""),"081318047519")</f>
        <v>081318047519</v>
      </c>
      <c r="AG200" s="85"/>
      <c r="AH200" s="85" t="str">
        <f>IFERROR(__xludf.DUMMYFUNCTION("""COMPUTED_VALUE"""),"dian.agenaldo@gmail.com")</f>
        <v>dian.agenaldo@gmail.com</v>
      </c>
      <c r="AI200" s="85" t="str">
        <f>IFERROR(__xludf.DUMMYFUNCTION("""COMPUTED_VALUE"""),"13830S1")</f>
        <v>13830S1</v>
      </c>
      <c r="AJ200" s="85" t="str">
        <f>IFERROR(__xludf.DUMMYFUNCTION("""COMPUTED_VALUE"""),"668cded2ebab336bfc098426")</f>
        <v>668cded2ebab336bfc098426</v>
      </c>
      <c r="AK200" s="85" t="str">
        <f>IFERROR(__xludf.DUMMYFUNCTION("""COMPUTED_VALUE"""),"dm13830s1")</f>
        <v>dm13830s1</v>
      </c>
      <c r="AL200" s="85" t="str">
        <f>IFERROR(__xludf.DUMMYFUNCTION("""COMPUTED_VALUE"""),"#13830Pos")</f>
        <v>#13830Pos</v>
      </c>
      <c r="AM200" s="85" t="str">
        <f>IFERROR(__xludf.DUMMYFUNCTION("""COMPUTED_VALUE"""),"KANTOR REGIONAL II JAKARTA 10004")</f>
        <v>KANTOR REGIONAL II JAKARTA 10004</v>
      </c>
      <c r="AN200" s="85" t="str">
        <f>IFERROR(__xludf.DUMMYFUNCTION("""COMPUTED_VALUE"""),"KCU JAKARTAPREMIER 13000")</f>
        <v>KCU JAKARTAPREMIER 13000</v>
      </c>
      <c r="AO200" s="85" t="str">
        <f>IFERROR(__xludf.DUMMYFUNCTION("""COMPUTED_VALUE"""),"2105240083248")</f>
        <v>2105240083248</v>
      </c>
      <c r="AP200" s="85" t="str">
        <f>IFERROR(__xludf.DUMMYFUNCTION("""COMPUTED_VALUE"""),"21052400832480001")</f>
        <v>21052400832480001</v>
      </c>
      <c r="AQ200" s="93"/>
      <c r="AR200" s="85"/>
      <c r="AS200" s="85"/>
      <c r="AT200" s="85" t="str">
        <f>IFERROR(__xludf.DUMMYFUNCTION("""COMPUTED_VALUE"""),"-6.3115633")</f>
        <v>-6.3115633</v>
      </c>
      <c r="AU200" s="85" t="str">
        <f>IFERROR(__xludf.DUMMYFUNCTION("""COMPUTED_VALUE"""),"106.8789607")</f>
        <v>106.8789607</v>
      </c>
      <c r="AV200" s="85"/>
      <c r="AW200" s="85"/>
      <c r="AX200" s="85"/>
      <c r="AY200" s="85"/>
      <c r="AZ200" s="85"/>
      <c r="BA200" s="85"/>
      <c r="BB200" s="85"/>
      <c r="BC200" s="85"/>
      <c r="BD200" s="85"/>
      <c r="BE200" s="85"/>
      <c r="BF200" s="85"/>
      <c r="BG200" s="85"/>
      <c r="BH200" s="85"/>
      <c r="BI200" s="85"/>
      <c r="BJ200" s="85"/>
      <c r="BK200" s="85"/>
      <c r="BL200" s="85"/>
      <c r="BM200" s="85"/>
      <c r="BN200" s="85"/>
      <c r="BO200" s="85"/>
      <c r="BP200" s="85"/>
      <c r="BQ200" s="85"/>
      <c r="BR200" s="85"/>
      <c r="BS200" s="85"/>
      <c r="BT200" s="85"/>
      <c r="BU200" s="85"/>
      <c r="BV200" s="85"/>
      <c r="BW200" s="85"/>
      <c r="BX200" s="85"/>
      <c r="BY200" s="85"/>
      <c r="BZ200" s="85"/>
      <c r="CA200" s="85"/>
      <c r="CB200" s="85"/>
      <c r="CC200" s="85"/>
      <c r="CD200" s="85"/>
      <c r="CE200" s="85"/>
      <c r="CF200" s="85"/>
      <c r="CG200" s="85"/>
      <c r="CH200" s="85"/>
      <c r="CI200" s="85"/>
      <c r="CJ200" s="85"/>
      <c r="CK200" s="2"/>
    </row>
    <row r="201" ht="14.25" customHeight="1">
      <c r="A201" s="80">
        <f>IFERROR(__xludf.DUMMYFUNCTION("""COMPUTED_VALUE"""),198.0)</f>
        <v>198</v>
      </c>
      <c r="B201" s="80"/>
      <c r="C201" s="80"/>
      <c r="D201" s="81"/>
      <c r="E201" s="82"/>
      <c r="F201" s="80"/>
      <c r="G201" s="81"/>
      <c r="H201" s="80"/>
      <c r="I201" s="80"/>
      <c r="J201" s="80"/>
      <c r="K201" s="80"/>
      <c r="L201" s="80"/>
      <c r="M201" s="80"/>
      <c r="N201" s="80"/>
      <c r="O201" s="80"/>
      <c r="P201" s="80" t="str">
        <f>IFERROR(__xludf.DUMMYFUNCTION("""COMPUTED_VALUE"""),"MLO5500008CUMHPR")</f>
        <v>MLO5500008CUMHPR</v>
      </c>
      <c r="Q201" s="80" t="str">
        <f>IFERROR(__xludf.DUMMYFUNCTION("""COMPUTED_VALUE"""),"DOA IBU")</f>
        <v>DOA IBU</v>
      </c>
      <c r="R201" s="80" t="str">
        <f>IFERROR(__xludf.DUMMYFUNCTION("""COMPUTED_VALUE"""),"MUC DOA IBU")</f>
        <v>MUC DOA IBU</v>
      </c>
      <c r="S201" s="80" t="str">
        <f>IFERROR(__xludf.DUMMYFUNCTION("""COMPUTED_VALUE"""),"HADI PRASETYO ")</f>
        <v>HADI PRASETYO </v>
      </c>
      <c r="T201" s="80" t="str">
        <f>IFERROR(__xludf.DUMMYFUNCTION("""COMPUTED_VALUE""")," RATU JAYA GG. MASJID BARAT RT 004 RW 004")</f>
        <v> RATU JAYA GG. MASJID BARAT RT 004 RW 004</v>
      </c>
      <c r="U201" s="80" t="str">
        <f>IFERROR(__xludf.DUMMYFUNCTION("""COMPUTED_VALUE"""),"JL. BARU DIPO KRL DEPOK NO. 46")</f>
        <v>JL. BARU DIPO KRL DEPOK NO. 46</v>
      </c>
      <c r="V201" s="80"/>
      <c r="W201" s="80" t="str">
        <f>IFERROR(__xludf.DUMMYFUNCTION("""COMPUTED_VALUE"""),"RATUJAYA")</f>
        <v>RATUJAYA</v>
      </c>
      <c r="X201" s="80" t="str">
        <f>IFERROR(__xludf.DUMMYFUNCTION("""COMPUTED_VALUE"""),"CIPAYUNG")</f>
        <v>CIPAYUNG</v>
      </c>
      <c r="Y201" s="80" t="str">
        <f>IFERROR(__xludf.DUMMYFUNCTION("""COMPUTED_VALUE"""),"DEPOK")</f>
        <v>DEPOK</v>
      </c>
      <c r="Z201" s="80" t="str">
        <f>IFERROR(__xludf.DUMMYFUNCTION("""COMPUTED_VALUE"""),"JAWA BARAT")</f>
        <v>JAWA BARAT</v>
      </c>
      <c r="AA201" s="80" t="str">
        <f>IFERROR(__xludf.DUMMYFUNCTION("""COMPUTED_VALUE"""),"16439")</f>
        <v>16439</v>
      </c>
      <c r="AB201" s="80" t="str">
        <f>IFERROR(__xludf.DUMMYFUNCTION("""COMPUTED_VALUE"""),"3276070412920001")</f>
        <v>3276070412920001</v>
      </c>
      <c r="AC201" s="80" t="str">
        <f>IFERROR(__xludf.DUMMYFUNCTION("""COMPUTED_VALUE"""),"16.954.106.7-412.000")</f>
        <v>16.954.106.7-412.000</v>
      </c>
      <c r="AD201" s="80" t="str">
        <f>IFERROR(__xludf.DUMMYFUNCTION("""COMPUTED_VALUE"""),"CUM - PS - HPR")</f>
        <v>CUM - PS - HPR</v>
      </c>
      <c r="AE201" s="80" t="str">
        <f>IFERROR(__xludf.DUMMYFUNCTION("""COMPUTED_VALUE"""),"SUB HADI POS")</f>
        <v>SUB HADI POS</v>
      </c>
      <c r="AF201" s="80" t="str">
        <f>IFERROR(__xludf.DUMMYFUNCTION("""COMPUTED_VALUE"""),"085777341370")</f>
        <v>085777341370</v>
      </c>
      <c r="AG201" s="80"/>
      <c r="AH201" s="80" t="str">
        <f>IFERROR(__xludf.DUMMYFUNCTION("""COMPUTED_VALUE"""),"hadiprasetyorusmandani@gmail.com")</f>
        <v>hadiprasetyorusmandani@gmail.com</v>
      </c>
      <c r="AI201" s="80"/>
      <c r="AJ201" s="80"/>
      <c r="AK201" s="80"/>
      <c r="AL201" s="80"/>
      <c r="AM201" s="80" t="str">
        <f>IFERROR(__xludf.DUMMYFUNCTION("""COMPUTED_VALUE"""),"KANTOR REGIONAL II JAKARTA 10004")</f>
        <v>KANTOR REGIONAL II JAKARTA 10004</v>
      </c>
      <c r="AN201" s="80" t="str">
        <f>IFERROR(__xludf.DUMMYFUNCTION("""COMPUTED_VALUE"""),"KC DEPOK 16400")</f>
        <v>KC DEPOK 16400</v>
      </c>
      <c r="AO201" s="80" t="str">
        <f>IFERROR(__xludf.DUMMYFUNCTION("""COMPUTED_VALUE"""),"2205240021961")</f>
        <v>2205240021961</v>
      </c>
      <c r="AP201" s="80" t="str">
        <f>IFERROR(__xludf.DUMMYFUNCTION("""COMPUTED_VALUE"""),"22052400219610001")</f>
        <v>22052400219610001</v>
      </c>
      <c r="AQ201" s="83"/>
      <c r="AR201" s="80"/>
      <c r="AS201" s="80"/>
      <c r="AT201" s="80" t="str">
        <f>IFERROR(__xludf.DUMMYFUNCTION("""COMPUTED_VALUE"""),"-6.415197")</f>
        <v>-6.415197</v>
      </c>
      <c r="AU201" s="80" t="str">
        <f>IFERROR(__xludf.DUMMYFUNCTION("""COMPUTED_VALUE"""),"106.8131674")</f>
        <v>106.8131674</v>
      </c>
      <c r="AV201" s="80"/>
      <c r="AW201" s="80"/>
      <c r="AX201" s="80"/>
      <c r="AY201" s="80"/>
      <c r="AZ201" s="80"/>
      <c r="BA201" s="80"/>
      <c r="BB201" s="80"/>
      <c r="BC201" s="80"/>
      <c r="BD201" s="80"/>
      <c r="BE201" s="80"/>
      <c r="BF201" s="80"/>
      <c r="BG201" s="80"/>
      <c r="BH201" s="80"/>
      <c r="BI201" s="80"/>
      <c r="BJ201" s="80"/>
      <c r="BK201" s="80"/>
      <c r="BL201" s="80"/>
      <c r="BM201" s="80"/>
      <c r="BN201" s="80"/>
      <c r="BO201" s="80"/>
      <c r="BP201" s="80"/>
      <c r="BQ201" s="80"/>
      <c r="BR201" s="80"/>
      <c r="BS201" s="80"/>
      <c r="BT201" s="80"/>
      <c r="BU201" s="80"/>
      <c r="BV201" s="80"/>
      <c r="BW201" s="80"/>
      <c r="BX201" s="80"/>
      <c r="BY201" s="80"/>
      <c r="BZ201" s="80"/>
      <c r="CA201" s="80"/>
      <c r="CB201" s="80"/>
      <c r="CC201" s="80"/>
      <c r="CD201" s="80"/>
      <c r="CE201" s="80"/>
      <c r="CF201" s="80"/>
      <c r="CG201" s="80"/>
      <c r="CH201" s="80"/>
      <c r="CI201" s="80"/>
      <c r="CJ201" s="80"/>
      <c r="CK201" s="2"/>
    </row>
    <row r="202" ht="12.75" customHeight="1">
      <c r="A202" s="85">
        <f>IFERROR(__xludf.DUMMYFUNCTION("""COMPUTED_VALUE"""),199.0)</f>
        <v>199</v>
      </c>
      <c r="B202" s="85"/>
      <c r="C202" s="85"/>
      <c r="D202" s="86"/>
      <c r="E202" s="88"/>
      <c r="F202" s="85"/>
      <c r="G202" s="86"/>
      <c r="H202" s="85"/>
      <c r="I202" s="85"/>
      <c r="J202" s="85"/>
      <c r="K202" s="85"/>
      <c r="L202" s="85"/>
      <c r="M202" s="85"/>
      <c r="N202" s="85"/>
      <c r="O202" s="85" t="str">
        <f>IFERROR(__xludf.DUMMYFUNCTION("""COMPUTED_VALUE"""),"√")</f>
        <v>√</v>
      </c>
      <c r="P202" s="85" t="str">
        <f>IFERROR(__xludf.DUMMYFUNCTION("""COMPUTED_VALUE"""),"53BSPA04641JBEEN")</f>
        <v>53BSPA04641JBEEN</v>
      </c>
      <c r="Q202" s="85" t="str">
        <f>IFERROR(__xludf.DUMMYFUNCTION("""COMPUTED_VALUE"""),"ALIPI")</f>
        <v>ALIPI</v>
      </c>
      <c r="R202" s="85"/>
      <c r="S202" s="85" t="str">
        <f>IFERROR(__xludf.DUMMYFUNCTION("""COMPUTED_VALUE"""),"Alipi")</f>
        <v>Alipi</v>
      </c>
      <c r="T202" s="85" t="str">
        <f>IFERROR(__xludf.DUMMYFUNCTION("""COMPUTED_VALUE"""),"Kp.Selang Cironggeng RT.003/RW.004 Kel.Wanajaya, Kec.Cibitung, Kab.Bekasi")</f>
        <v>Kp.Selang Cironggeng RT.003/RW.004 Kel.Wanajaya, Kec.Cibitung, Kab.Bekasi</v>
      </c>
      <c r="U202" s="85" t="str">
        <f>IFERROR(__xludf.DUMMYFUNCTION("""COMPUTED_VALUE"""),"Kp. Selang cironggeng Rt 3 Rw 4 ")</f>
        <v>Kp. Selang cironggeng Rt 3 Rw 4 </v>
      </c>
      <c r="V202" s="85"/>
      <c r="W202" s="85" t="str">
        <f>IFERROR(__xludf.DUMMYFUNCTION("""COMPUTED_VALUE"""),"Wanajaya ")</f>
        <v>Wanajaya </v>
      </c>
      <c r="X202" s="85" t="str">
        <f>IFERROR(__xludf.DUMMYFUNCTION("""COMPUTED_VALUE"""),"Cibitung ")</f>
        <v>Cibitung </v>
      </c>
      <c r="Y202" s="85" t="str">
        <f>IFERROR(__xludf.DUMMYFUNCTION("""COMPUTED_VALUE"""),"Kab. Bekasi")</f>
        <v>Kab. Bekasi</v>
      </c>
      <c r="Z202" s="85" t="str">
        <f>IFERROR(__xludf.DUMMYFUNCTION("""COMPUTED_VALUE"""),"JAWA BARAT")</f>
        <v>JAWA BARAT</v>
      </c>
      <c r="AA202" s="85" t="str">
        <f>IFERROR(__xludf.DUMMYFUNCTION("""COMPUTED_VALUE"""),"17520")</f>
        <v>17520</v>
      </c>
      <c r="AB202" s="85" t="str">
        <f>IFERROR(__xludf.DUMMYFUNCTION("""COMPUTED_VALUE"""),"3275061405900010")</f>
        <v>3275061405900010</v>
      </c>
      <c r="AC202" s="85" t="str">
        <f>IFERROR(__xludf.DUMMYFUNCTION("""COMPUTED_VALUE"""),"0")</f>
        <v>0</v>
      </c>
      <c r="AD202" s="85" t="str">
        <f>IFERROR(__xludf.DUMMYFUNCTION("""COMPUTED_VALUE"""),"CUM - EEN")</f>
        <v>CUM - EEN</v>
      </c>
      <c r="AE202" s="85" t="str">
        <f>IFERROR(__xludf.DUMMYFUNCTION("""COMPUTED_VALUE"""),"SUB EEN")</f>
        <v>SUB EEN</v>
      </c>
      <c r="AF202" s="85" t="str">
        <f>IFERROR(__xludf.DUMMYFUNCTION("""COMPUTED_VALUE"""),"085715821161")</f>
        <v>085715821161</v>
      </c>
      <c r="AG202" s="85"/>
      <c r="AH202" s="85" t="str">
        <f>IFERROR(__xludf.DUMMYFUNCTION("""COMPUTED_VALUE"""),"alipinathan@gmail.com")</f>
        <v>alipinathan@gmail.com</v>
      </c>
      <c r="AI202" s="85"/>
      <c r="AJ202" s="85"/>
      <c r="AK202" s="85"/>
      <c r="AL202" s="85"/>
      <c r="AM202" s="85"/>
      <c r="AN202" s="85"/>
      <c r="AO202" s="85"/>
      <c r="AP202" s="85"/>
      <c r="AQ202" s="93"/>
      <c r="AR202" s="85"/>
      <c r="AS202" s="85"/>
      <c r="AT202" s="85" t="str">
        <f>IFERROR(__xludf.DUMMYFUNCTION("""COMPUTED_VALUE"""),"-6.2446944")</f>
        <v>-6.2446944</v>
      </c>
      <c r="AU202" s="85" t="str">
        <f>IFERROR(__xludf.DUMMYFUNCTION("""COMPUTED_VALUE"""),"107.1027778")</f>
        <v>107.1027778</v>
      </c>
      <c r="AV202" s="85"/>
      <c r="AW202" s="85"/>
      <c r="AX202" s="85"/>
      <c r="AY202" s="85"/>
      <c r="AZ202" s="85"/>
      <c r="BA202" s="85"/>
      <c r="BB202" s="85"/>
      <c r="BC202" s="85"/>
      <c r="BD202" s="85"/>
      <c r="BE202" s="85"/>
      <c r="BF202" s="85"/>
      <c r="BG202" s="85"/>
      <c r="BH202" s="85"/>
      <c r="BI202" s="85"/>
      <c r="BJ202" s="85"/>
      <c r="BK202" s="85"/>
      <c r="BL202" s="85"/>
      <c r="BM202" s="85"/>
      <c r="BN202" s="85"/>
      <c r="BO202" s="85"/>
      <c r="BP202" s="85"/>
      <c r="BQ202" s="85"/>
      <c r="BR202" s="85"/>
      <c r="BS202" s="85"/>
      <c r="BT202" s="85"/>
      <c r="BU202" s="85"/>
      <c r="BV202" s="85"/>
      <c r="BW202" s="85"/>
      <c r="BX202" s="85"/>
      <c r="BY202" s="85"/>
      <c r="BZ202" s="85"/>
      <c r="CA202" s="85"/>
      <c r="CB202" s="85"/>
      <c r="CC202" s="85"/>
      <c r="CD202" s="85"/>
      <c r="CE202" s="85"/>
      <c r="CF202" s="85"/>
      <c r="CG202" s="85"/>
      <c r="CH202" s="85"/>
      <c r="CI202" s="85"/>
      <c r="CJ202" s="85"/>
      <c r="CK202" s="2"/>
    </row>
    <row r="203" ht="12.75" customHeight="1">
      <c r="A203" s="80">
        <f>IFERROR(__xludf.DUMMYFUNCTION("""COMPUTED_VALUE"""),200.0)</f>
        <v>200</v>
      </c>
      <c r="B203" s="80"/>
      <c r="C203" s="80"/>
      <c r="D203" s="81"/>
      <c r="E203" s="82"/>
      <c r="F203" s="80"/>
      <c r="G203" s="81"/>
      <c r="H203" s="80"/>
      <c r="I203" s="80"/>
      <c r="J203" s="80"/>
      <c r="K203" s="80"/>
      <c r="L203" s="80"/>
      <c r="M203" s="80"/>
      <c r="N203" s="80"/>
      <c r="O203" s="80"/>
      <c r="P203" s="80" t="str">
        <f>IFERROR(__xludf.DUMMYFUNCTION("""COMPUTED_VALUE"""),"52BSPA07579JTMSR")</f>
        <v>52BSPA07579JTMSR</v>
      </c>
      <c r="Q203" s="80" t="str">
        <f>IFERROR(__xludf.DUMMYFUNCTION("""COMPUTED_VALUE"""),"AL MUBAROK JAYA")</f>
        <v>AL MUBAROK JAYA</v>
      </c>
      <c r="R203" s="80" t="str">
        <f>IFERROR(__xludf.DUMMYFUNCTION("""COMPUTED_VALUE"""),"MUC AL MUBAROK JAYA")</f>
        <v>MUC AL MUBAROK JAYA</v>
      </c>
      <c r="S203" s="80" t="str">
        <f>IFERROR(__xludf.DUMMYFUNCTION("""COMPUTED_VALUE"""),"Taufiq Mubarok")</f>
        <v>Taufiq Mubarok</v>
      </c>
      <c r="T203" s="80" t="str">
        <f>IFERROR(__xludf.DUMMYFUNCTION("""COMPUTED_VALUE"""),"SOKOWANGI RT 03 RW 02 KEBONSARI TEMANGGUNG")</f>
        <v>SOKOWANGI RT 03 RW 02 KEBONSARI TEMANGGUNG</v>
      </c>
      <c r="U203" s="80" t="str">
        <f>IFERROR(__xludf.DUMMYFUNCTION("""COMPUTED_VALUE"""),"Kertosari RT 01 RW 01")</f>
        <v>Kertosari RT 01 RW 01</v>
      </c>
      <c r="V203" s="80"/>
      <c r="W203" s="80" t="str">
        <f>IFERROR(__xludf.DUMMYFUNCTION("""COMPUTED_VALUE"""),"Kertosari")</f>
        <v>Kertosari</v>
      </c>
      <c r="X203" s="80" t="str">
        <f>IFERROR(__xludf.DUMMYFUNCTION("""COMPUTED_VALUE"""),"Temanggung")</f>
        <v>Temanggung</v>
      </c>
      <c r="Y203" s="80" t="str">
        <f>IFERROR(__xludf.DUMMYFUNCTION("""COMPUTED_VALUE"""),"Temanggung")</f>
        <v>Temanggung</v>
      </c>
      <c r="Z203" s="80" t="str">
        <f>IFERROR(__xludf.DUMMYFUNCTION("""COMPUTED_VALUE"""),"JAWA TENGAH")</f>
        <v>JAWA TENGAH</v>
      </c>
      <c r="AA203" s="80" t="str">
        <f>IFERROR(__xludf.DUMMYFUNCTION("""COMPUTED_VALUE"""),"56217")</f>
        <v>56217</v>
      </c>
      <c r="AB203" s="80" t="str">
        <f>IFERROR(__xludf.DUMMYFUNCTION("""COMPUTED_VALUE"""),"3323031404890003")</f>
        <v>3323031404890003</v>
      </c>
      <c r="AC203" s="80" t="str">
        <f>IFERROR(__xludf.DUMMYFUNCTION("""COMPUTED_VALUE"""),"46.293.700.4-533.000")</f>
        <v>46.293.700.4-533.000</v>
      </c>
      <c r="AD203" s="80" t="str">
        <f>IFERROR(__xludf.DUMMYFUNCTION("""COMPUTED_VALUE"""),"CUM - MSR")</f>
        <v>CUM - MSR</v>
      </c>
      <c r="AE203" s="80" t="str">
        <f>IFERROR(__xludf.DUMMYFUNCTION("""COMPUTED_VALUE"""),"SUB MUSARIFAH POS")</f>
        <v>SUB MUSARIFAH POS</v>
      </c>
      <c r="AF203" s="80" t="str">
        <f>IFERROR(__xludf.DUMMYFUNCTION("""COMPUTED_VALUE"""),"085743186161")</f>
        <v>085743186161</v>
      </c>
      <c r="AG203" s="80"/>
      <c r="AH203" s="80" t="str">
        <f>IFERROR(__xludf.DUMMYFUNCTION("""COMPUTED_VALUE"""),"musarifah.08@gmail.com")</f>
        <v>musarifah.08@gmail.com</v>
      </c>
      <c r="AI203" s="80" t="str">
        <f>IFERROR(__xludf.DUMMYFUNCTION("""COMPUTED_VALUE"""),"56217S2")</f>
        <v>56217S2</v>
      </c>
      <c r="AJ203" s="80" t="str">
        <f>IFERROR(__xludf.DUMMYFUNCTION("""COMPUTED_VALUE"""),"6638faba2abd2bb3c7055cbf")</f>
        <v>6638faba2abd2bb3c7055cbf</v>
      </c>
      <c r="AK203" s="80" t="str">
        <f>IFERROR(__xludf.DUMMYFUNCTION("""COMPUTED_VALUE"""),"dm56217s2")</f>
        <v>dm56217s2</v>
      </c>
      <c r="AL203" s="80" t="str">
        <f>IFERROR(__xludf.DUMMYFUNCTION("""COMPUTED_VALUE"""),"#56217Pos")</f>
        <v>#56217Pos</v>
      </c>
      <c r="AM203" s="80" t="str">
        <f>IFERROR(__xludf.DUMMYFUNCTION("""COMPUTED_VALUE"""),"KANTOR REGIONAL IV SEMARANG 50004")</f>
        <v>KANTOR REGIONAL IV SEMARANG 50004</v>
      </c>
      <c r="AN203" s="80" t="str">
        <f>IFERROR(__xludf.DUMMYFUNCTION("""COMPUTED_VALUE"""),"KC TEMANGGUNG 56200")</f>
        <v>KC TEMANGGUNG 56200</v>
      </c>
      <c r="AO203" s="80" t="str">
        <f>IFERROR(__xludf.DUMMYFUNCTION("""COMPUTED_VALUE"""),"1230000462136")</f>
        <v>1230000462136</v>
      </c>
      <c r="AP203" s="80" t="str">
        <f>IFERROR(__xludf.DUMMYFUNCTION("""COMPUTED_VALUE"""),"12300004621360001")</f>
        <v>12300004621360001</v>
      </c>
      <c r="AQ203" s="83"/>
      <c r="AR203" s="80"/>
      <c r="AS203" s="80"/>
      <c r="AT203" s="80" t="str">
        <f>IFERROR(__xludf.DUMMYFUNCTION("""COMPUTED_VALUE"""),"-7.3221737")</f>
        <v>-7.3221737</v>
      </c>
      <c r="AU203" s="80" t="str">
        <f>IFERROR(__xludf.DUMMYFUNCTION("""COMPUTED_VALUE"""),"110.1805474")</f>
        <v>110.1805474</v>
      </c>
      <c r="AV203" s="80"/>
      <c r="AW203" s="80"/>
      <c r="AX203" s="80"/>
      <c r="AY203" s="80"/>
      <c r="AZ203" s="80"/>
      <c r="BA203" s="80"/>
      <c r="BB203" s="80"/>
      <c r="BC203" s="80"/>
      <c r="BD203" s="80"/>
      <c r="BE203" s="80"/>
      <c r="BF203" s="80"/>
      <c r="BG203" s="80"/>
      <c r="BH203" s="80"/>
      <c r="BI203" s="80"/>
      <c r="BJ203" s="80"/>
      <c r="BK203" s="80"/>
      <c r="BL203" s="80"/>
      <c r="BM203" s="80"/>
      <c r="BN203" s="80"/>
      <c r="BO203" s="80"/>
      <c r="BP203" s="80"/>
      <c r="BQ203" s="80"/>
      <c r="BR203" s="80"/>
      <c r="BS203" s="80"/>
      <c r="BT203" s="80"/>
      <c r="BU203" s="80"/>
      <c r="BV203" s="80"/>
      <c r="BW203" s="80"/>
      <c r="BX203" s="80"/>
      <c r="BY203" s="80"/>
      <c r="BZ203" s="80"/>
      <c r="CA203" s="80"/>
      <c r="CB203" s="80"/>
      <c r="CC203" s="80"/>
      <c r="CD203" s="80"/>
      <c r="CE203" s="80"/>
      <c r="CF203" s="80"/>
      <c r="CG203" s="80"/>
      <c r="CH203" s="80"/>
      <c r="CI203" s="80"/>
      <c r="CJ203" s="80"/>
      <c r="CK203" s="2"/>
    </row>
    <row r="204" ht="14.25" customHeight="1">
      <c r="A204" s="85">
        <f>IFERROR(__xludf.DUMMYFUNCTION("""COMPUTED_VALUE"""),201.0)</f>
        <v>201</v>
      </c>
      <c r="B204" s="85"/>
      <c r="C204" s="85"/>
      <c r="D204" s="86"/>
      <c r="E204" s="88"/>
      <c r="F204" s="85"/>
      <c r="G204" s="86"/>
      <c r="H204" s="85"/>
      <c r="I204" s="85"/>
      <c r="J204" s="85"/>
      <c r="K204" s="85"/>
      <c r="L204" s="85"/>
      <c r="M204" s="85"/>
      <c r="N204" s="85"/>
      <c r="O204" s="85"/>
      <c r="P204" s="85" t="str">
        <f>IFERROR(__xludf.DUMMYFUNCTION("""COMPUTED_VALUE"""),"53BSPA04764JBNUR")</f>
        <v>53BSPA04764JBNUR</v>
      </c>
      <c r="Q204" s="85" t="str">
        <f>IFERROR(__xludf.DUMMYFUNCTION("""COMPUTED_VALUE"""),"DEFA LOSARI")</f>
        <v>DEFA LOSARI</v>
      </c>
      <c r="R204" s="85" t="str">
        <f>IFERROR(__xludf.DUMMYFUNCTION("""COMPUTED_VALUE"""),"MUC DEFA LOSARI")</f>
        <v>MUC DEFA LOSARI</v>
      </c>
      <c r="S204" s="85" t="str">
        <f>IFERROR(__xludf.DUMMYFUNCTION("""COMPUTED_VALUE"""),"DHAIFAH ATSIR HANIF")</f>
        <v>DHAIFAH ATSIR HANIF</v>
      </c>
      <c r="T204" s="85" t="str">
        <f>IFERROR(__xludf.DUMMYFUNCTION("""COMPUTED_VALUE"""),"DUSUN PANGGANG LOR RT 001 RW 005 CIREBON")</f>
        <v>DUSUN PANGGANG LOR RT 001 RW 005 CIREBON</v>
      </c>
      <c r="U204" s="85" t="str">
        <f>IFERROR(__xludf.DUMMYFUNCTION("""COMPUTED_VALUE"""),"JL. RAYA CIREBON-BREBES KEL. LOSARI LOR KEC. CIREBON KAB. CIREBON")</f>
        <v>JL. RAYA CIREBON-BREBES KEL. LOSARI LOR KEC. CIREBON KAB. CIREBON</v>
      </c>
      <c r="V204" s="85"/>
      <c r="W204" s="85" t="str">
        <f>IFERROR(__xludf.DUMMYFUNCTION("""COMPUTED_VALUE"""),"LOSARI LOR")</f>
        <v>LOSARI LOR</v>
      </c>
      <c r="X204" s="85" t="str">
        <f>IFERROR(__xludf.DUMMYFUNCTION("""COMPUTED_VALUE"""),"LOSARI")</f>
        <v>LOSARI</v>
      </c>
      <c r="Y204" s="85" t="str">
        <f>IFERROR(__xludf.DUMMYFUNCTION("""COMPUTED_VALUE"""),"KAB. CIREBON")</f>
        <v>KAB. CIREBON</v>
      </c>
      <c r="Z204" s="85" t="str">
        <f>IFERROR(__xludf.DUMMYFUNCTION("""COMPUTED_VALUE"""),"JAWA BARAT")</f>
        <v>JAWA BARAT</v>
      </c>
      <c r="AA204" s="85" t="str">
        <f>IFERROR(__xludf.DUMMYFUNCTION("""COMPUTED_VALUE"""),"45192")</f>
        <v>45192</v>
      </c>
      <c r="AB204" s="85" t="str">
        <f>IFERROR(__xludf.DUMMYFUNCTION("""COMPUTED_VALUE"""),"3209354206960001")</f>
        <v>3209354206960001</v>
      </c>
      <c r="AC204" s="85" t="str">
        <f>IFERROR(__xludf.DUMMYFUNCTION("""COMPUTED_VALUE"""),"96.620.037.0-455.000")</f>
        <v>96.620.037.0-455.000</v>
      </c>
      <c r="AD204" s="85" t="str">
        <f>IFERROR(__xludf.DUMMYFUNCTION("""COMPUTED_VALUE"""),"CUM - PS - NUR")</f>
        <v>CUM - PS - NUR</v>
      </c>
      <c r="AE204" s="85" t="str">
        <f>IFERROR(__xludf.DUMMYFUNCTION("""COMPUTED_VALUE"""),"SUB NUR POS")</f>
        <v>SUB NUR POS</v>
      </c>
      <c r="AF204" s="85" t="str">
        <f>IFERROR(__xludf.DUMMYFUNCTION("""COMPUTED_VALUE"""),"081312916019")</f>
        <v>081312916019</v>
      </c>
      <c r="AG204" s="85"/>
      <c r="AH204" s="85" t="str">
        <f>IFERROR(__xludf.DUMMYFUNCTION("""COMPUTED_VALUE"""),"defaats@gmail.com")</f>
        <v>defaats@gmail.com</v>
      </c>
      <c r="AI204" s="85" t="str">
        <f>IFERROR(__xludf.DUMMYFUNCTION("""COMPUTED_VALUE"""),"45692S1")</f>
        <v>45692S1</v>
      </c>
      <c r="AJ204" s="85" t="str">
        <f>IFERROR(__xludf.DUMMYFUNCTION("""COMPUTED_VALUE"""),"66658319bee087f518000055")</f>
        <v>66658319bee087f518000055</v>
      </c>
      <c r="AK204" s="85" t="str">
        <f>IFERROR(__xludf.DUMMYFUNCTION("""COMPUTED_VALUE"""),"dm45692s1")</f>
        <v>dm45692s1</v>
      </c>
      <c r="AL204" s="85" t="str">
        <f>IFERROR(__xludf.DUMMYFUNCTION("""COMPUTED_VALUE"""),"#45692Pos")</f>
        <v>#45692Pos</v>
      </c>
      <c r="AM204" s="85" t="str">
        <f>IFERROR(__xludf.DUMMYFUNCTION("""COMPUTED_VALUE"""),"KANTOR REGIONAL III BANDUNG 40004")</f>
        <v>KANTOR REGIONAL III BANDUNG 40004</v>
      </c>
      <c r="AN204" s="85" t="str">
        <f>IFERROR(__xludf.DUMMYFUNCTION("""COMPUTED_VALUE"""),"KCU CIREBON 45100")</f>
        <v>KCU CIREBON 45100</v>
      </c>
      <c r="AO204" s="85" t="str">
        <f>IFERROR(__xludf.DUMMYFUNCTION("""COMPUTED_VALUE"""),"1806230006793")</f>
        <v>1806230006793</v>
      </c>
      <c r="AP204" s="85" t="str">
        <f>IFERROR(__xludf.DUMMYFUNCTION("""COMPUTED_VALUE"""),"18062300067930001")</f>
        <v>18062300067930001</v>
      </c>
      <c r="AQ204" s="93"/>
      <c r="AR204" s="85"/>
      <c r="AS204" s="85"/>
      <c r="AT204" s="85" t="str">
        <f>IFERROR(__xludf.DUMMYFUNCTION("""COMPUTED_VALUE"""),"-6.8368656")</f>
        <v>-6.8368656</v>
      </c>
      <c r="AU204" s="85" t="str">
        <f>IFERROR(__xludf.DUMMYFUNCTION("""COMPUTED_VALUE"""),"108.7972233")</f>
        <v>108.7972233</v>
      </c>
      <c r="AV204" s="85"/>
      <c r="AW204" s="85"/>
      <c r="AX204" s="85"/>
      <c r="AY204" s="85"/>
      <c r="AZ204" s="85"/>
      <c r="BA204" s="85"/>
      <c r="BB204" s="85"/>
      <c r="BC204" s="85"/>
      <c r="BD204" s="85"/>
      <c r="BE204" s="85"/>
      <c r="BF204" s="85"/>
      <c r="BG204" s="85"/>
      <c r="BH204" s="85"/>
      <c r="BI204" s="85"/>
      <c r="BJ204" s="85"/>
      <c r="BK204" s="85"/>
      <c r="BL204" s="85"/>
      <c r="BM204" s="85"/>
      <c r="BN204" s="85"/>
      <c r="BO204" s="85"/>
      <c r="BP204" s="85"/>
      <c r="BQ204" s="85"/>
      <c r="BR204" s="85"/>
      <c r="BS204" s="85"/>
      <c r="BT204" s="85"/>
      <c r="BU204" s="85"/>
      <c r="BV204" s="85"/>
      <c r="BW204" s="85"/>
      <c r="BX204" s="85"/>
      <c r="BY204" s="85"/>
      <c r="BZ204" s="85"/>
      <c r="CA204" s="85"/>
      <c r="CB204" s="85"/>
      <c r="CC204" s="85"/>
      <c r="CD204" s="85"/>
      <c r="CE204" s="85"/>
      <c r="CF204" s="85"/>
      <c r="CG204" s="85"/>
      <c r="CH204" s="85"/>
      <c r="CI204" s="85"/>
      <c r="CJ204" s="85"/>
      <c r="CK204" s="2"/>
    </row>
    <row r="205" ht="14.25" customHeight="1">
      <c r="A205" s="80">
        <f>IFERROR(__xludf.DUMMYFUNCTION("""COMPUTED_VALUE"""),202.0)</f>
        <v>202</v>
      </c>
      <c r="B205" s="80"/>
      <c r="C205" s="80"/>
      <c r="D205" s="81"/>
      <c r="E205" s="82"/>
      <c r="F205" s="80"/>
      <c r="G205" s="81"/>
      <c r="H205" s="80"/>
      <c r="I205" s="80"/>
      <c r="J205" s="80"/>
      <c r="K205" s="80"/>
      <c r="L205" s="80"/>
      <c r="M205" s="80"/>
      <c r="N205" s="80"/>
      <c r="O205" s="80"/>
      <c r="P205" s="80" t="str">
        <f>IFERROR(__xludf.DUMMYFUNCTION("""COMPUTED_VALUE"""),"52BSPA07608JTSYF")</f>
        <v>52BSPA07608JTSYF</v>
      </c>
      <c r="Q205" s="80" t="str">
        <f>IFERROR(__xludf.DUMMYFUNCTION("""COMPUTED_VALUE"""),"AHZA FC")</f>
        <v>AHZA FC</v>
      </c>
      <c r="R205" s="80" t="str">
        <f>IFERROR(__xludf.DUMMYFUNCTION("""COMPUTED_VALUE"""),"MUC AHZA FC")</f>
        <v>MUC AHZA FC</v>
      </c>
      <c r="S205" s="80" t="str">
        <f>IFERROR(__xludf.DUMMYFUNCTION("""COMPUTED_VALUE"""),"TARSONO ")</f>
        <v>TARSONO </v>
      </c>
      <c r="T205" s="80" t="str">
        <f>IFERROR(__xludf.DUMMYFUNCTION("""COMPUTED_VALUE"""),"JL. CIPTOMANGUNKUSUMO RT 001 RW 009 Margadana Tegal")</f>
        <v>JL. CIPTOMANGUNKUSUMO RT 001 RW 009 Margadana Tegal</v>
      </c>
      <c r="U205" s="80" t="str">
        <f>IFERROR(__xludf.DUMMYFUNCTION("""COMPUTED_VALUE"""),"JL. PROF. BUYA HAMKA RT 003 RW 003")</f>
        <v>JL. PROF. BUYA HAMKA RT 003 RW 003</v>
      </c>
      <c r="V205" s="80"/>
      <c r="W205" s="80" t="str">
        <f>IFERROR(__xludf.DUMMYFUNCTION("""COMPUTED_VALUE"""),"MARGADANA")</f>
        <v>MARGADANA</v>
      </c>
      <c r="X205" s="80" t="str">
        <f>IFERROR(__xludf.DUMMYFUNCTION("""COMPUTED_VALUE"""),"MARGADANA")</f>
        <v>MARGADANA</v>
      </c>
      <c r="Y205" s="80" t="str">
        <f>IFERROR(__xludf.DUMMYFUNCTION("""COMPUTED_VALUE"""),"TEGAL ")</f>
        <v>TEGAL </v>
      </c>
      <c r="Z205" s="80" t="str">
        <f>IFERROR(__xludf.DUMMYFUNCTION("""COMPUTED_VALUE"""),"JAWA TENGAH")</f>
        <v>JAWA TENGAH</v>
      </c>
      <c r="AA205" s="80" t="str">
        <f>IFERROR(__xludf.DUMMYFUNCTION("""COMPUTED_VALUE"""),"52143")</f>
        <v>52143</v>
      </c>
      <c r="AB205" s="80" t="str">
        <f>IFERROR(__xludf.DUMMYFUNCTION("""COMPUTED_VALUE"""),"3376041104790003")</f>
        <v>3376041104790003</v>
      </c>
      <c r="AC205" s="80" t="str">
        <f>IFERROR(__xludf.DUMMYFUNCTION("""COMPUTED_VALUE"""),"57.096.741.4-501.000")</f>
        <v>57.096.741.4-501.000</v>
      </c>
      <c r="AD205" s="80" t="str">
        <f>IFERROR(__xludf.DUMMYFUNCTION("""COMPUTED_VALUE"""),"CUM - PS - SYF")</f>
        <v>CUM - PS - SYF</v>
      </c>
      <c r="AE205" s="80" t="str">
        <f>IFERROR(__xludf.DUMMYFUNCTION("""COMPUTED_VALUE"""),"SUB SYAIFULLOH POS")</f>
        <v>SUB SYAIFULLOH POS</v>
      </c>
      <c r="AF205" s="80" t="str">
        <f>IFERROR(__xludf.DUMMYFUNCTION("""COMPUTED_VALUE"""),"085727436766")</f>
        <v>085727436766</v>
      </c>
      <c r="AG205" s="80"/>
      <c r="AH205" s="80" t="str">
        <f>IFERROR(__xludf.DUMMYFUNCTION("""COMPUTED_VALUE"""),"fotocopyahza@gmail.com")</f>
        <v>fotocopyahza@gmail.com</v>
      </c>
      <c r="AI205" s="80" t="str">
        <f>IFERROR(__xludf.DUMMYFUNCTION("""COMPUTED_VALUE"""),"52143S1")</f>
        <v>52143S1</v>
      </c>
      <c r="AJ205" s="80" t="str">
        <f>IFERROR(__xludf.DUMMYFUNCTION("""COMPUTED_VALUE"""),"666ef6068c4a8ae3180ce138")</f>
        <v>666ef6068c4a8ae3180ce138</v>
      </c>
      <c r="AK205" s="80" t="str">
        <f>IFERROR(__xludf.DUMMYFUNCTION("""COMPUTED_VALUE"""),"dm52143s1")</f>
        <v>dm52143s1</v>
      </c>
      <c r="AL205" s="80" t="str">
        <f>IFERROR(__xludf.DUMMYFUNCTION("""COMPUTED_VALUE"""),"#52143Pos")</f>
        <v>#52143Pos</v>
      </c>
      <c r="AM205" s="80" t="str">
        <f>IFERROR(__xludf.DUMMYFUNCTION("""COMPUTED_VALUE"""),"KANTOR REGIONAL IV SEMARANG 50004")</f>
        <v>KANTOR REGIONAL IV SEMARANG 50004</v>
      </c>
      <c r="AN205" s="80" t="str">
        <f>IFERROR(__xludf.DUMMYFUNCTION("""COMPUTED_VALUE"""),"KC TEGAL 52100")</f>
        <v>KC TEGAL 52100</v>
      </c>
      <c r="AO205" s="80" t="str">
        <f>IFERROR(__xludf.DUMMYFUNCTION("""COMPUTED_VALUE"""),"2205240082081")</f>
        <v>2205240082081</v>
      </c>
      <c r="AP205" s="80" t="str">
        <f>IFERROR(__xludf.DUMMYFUNCTION("""COMPUTED_VALUE"""),"22052400820810001")</f>
        <v>22052400820810001</v>
      </c>
      <c r="AQ205" s="83"/>
      <c r="AR205" s="80"/>
      <c r="AS205" s="80"/>
      <c r="AT205" s="80" t="str">
        <f>IFERROR(__xludf.DUMMYFUNCTION("""COMPUTED_VALUE"""),"-6.8705191")</f>
        <v>-6.8705191</v>
      </c>
      <c r="AU205" s="80" t="str">
        <f>IFERROR(__xludf.DUMMYFUNCTION("""COMPUTED_VALUE"""),"109.1003076")</f>
        <v>109.1003076</v>
      </c>
      <c r="AV205" s="80"/>
      <c r="AW205" s="80"/>
      <c r="AX205" s="80"/>
      <c r="AY205" s="80"/>
      <c r="AZ205" s="80"/>
      <c r="BA205" s="80" t="str">
        <f>IFERROR(__xludf.DUMMYFUNCTION("""COMPUTED_VALUE"""),"√")</f>
        <v>√</v>
      </c>
      <c r="BB205" s="80" t="str">
        <f>IFERROR(__xludf.DUMMYFUNCTION("""COMPUTED_VALUE"""),"√")</f>
        <v>√</v>
      </c>
      <c r="BC205" s="80" t="str">
        <f>IFERROR(__xludf.DUMMYFUNCTION("""COMPUTED_VALUE"""),"√")</f>
        <v>√</v>
      </c>
      <c r="BD205" s="80" t="str">
        <f>IFERROR(__xludf.DUMMYFUNCTION("""COMPUTED_VALUE"""),"√")</f>
        <v>√</v>
      </c>
      <c r="BE205" s="80" t="str">
        <f>IFERROR(__xludf.DUMMYFUNCTION("""COMPUTED_VALUE"""),"√")</f>
        <v>√</v>
      </c>
      <c r="BF205" s="80"/>
      <c r="BG205" s="80"/>
      <c r="BH205" s="80"/>
      <c r="BI205" s="80"/>
      <c r="BJ205" s="80"/>
      <c r="BK205" s="80"/>
      <c r="BL205" s="80"/>
      <c r="BM205" s="80"/>
      <c r="BN205" s="80"/>
      <c r="BO205" s="80"/>
      <c r="BP205" s="80"/>
      <c r="BQ205" s="80"/>
      <c r="BR205" s="80"/>
      <c r="BS205" s="80"/>
      <c r="BT205" s="80"/>
      <c r="BU205" s="80"/>
      <c r="BV205" s="80"/>
      <c r="BW205" s="80"/>
      <c r="BX205" s="80"/>
      <c r="BY205" s="80"/>
      <c r="BZ205" s="80"/>
      <c r="CA205" s="80"/>
      <c r="CB205" s="80"/>
      <c r="CC205" s="80"/>
      <c r="CD205" s="80"/>
      <c r="CE205" s="80"/>
      <c r="CF205" s="80"/>
      <c r="CG205" s="80"/>
      <c r="CH205" s="80"/>
      <c r="CI205" s="80"/>
      <c r="CJ205" s="80"/>
      <c r="CK205" s="2"/>
    </row>
    <row r="206" ht="14.25" customHeight="1">
      <c r="A206" s="85">
        <f>IFERROR(__xludf.DUMMYFUNCTION("""COMPUTED_VALUE"""),203.0)</f>
        <v>203</v>
      </c>
      <c r="B206" s="85"/>
      <c r="C206" s="85"/>
      <c r="D206" s="86"/>
      <c r="E206" s="88"/>
      <c r="F206" s="85"/>
      <c r="G206" s="86"/>
      <c r="H206" s="85"/>
      <c r="I206" s="85"/>
      <c r="J206" s="85"/>
      <c r="K206" s="85"/>
      <c r="L206" s="85"/>
      <c r="M206" s="85"/>
      <c r="N206" s="85"/>
      <c r="O206" s="85"/>
      <c r="P206" s="85" t="str">
        <f>IFERROR(__xludf.DUMMYFUNCTION("""COMPUTED_VALUE"""),"53BSPA04765JBAYS")</f>
        <v>53BSPA04765JBAYS</v>
      </c>
      <c r="Q206" s="85" t="str">
        <f>IFERROR(__xludf.DUMMYFUNCTION("""COMPUTED_VALUE"""),"AURI SURYADARMA")</f>
        <v>AURI SURYADARMA</v>
      </c>
      <c r="R206" s="85" t="str">
        <f>IFERROR(__xludf.DUMMYFUNCTION("""COMPUTED_VALUE"""),"MUC AURI SURYADARMA")</f>
        <v>MUC AURI SURYADARMA</v>
      </c>
      <c r="S206" s="85" t="str">
        <f>IFERROR(__xludf.DUMMYFUNCTION("""COMPUTED_VALUE"""),"MEIVA SURAMANDA ")</f>
        <v>MEIVA SURAMANDA </v>
      </c>
      <c r="T206" s="85" t="str">
        <f>IFERROR(__xludf.DUMMYFUNCTION("""COMPUTED_VALUE"""),"KP. CAKUNG RT 005 RW 004 JATISARI JATIASIH BEKASI")</f>
        <v>KP. CAKUNG RT 005 RW 004 JATISARI JATIASIH BEKASI</v>
      </c>
      <c r="U206" s="85" t="str">
        <f>IFERROR(__xludf.DUMMYFUNCTION("""COMPUTED_VALUE"""),"JL. SURYADARMA RT 002 RW 011")</f>
        <v>JL. SURYADARMA RT 002 RW 011</v>
      </c>
      <c r="V206" s="85"/>
      <c r="W206" s="85" t="str">
        <f>IFERROR(__xludf.DUMMYFUNCTION("""COMPUTED_VALUE"""),"JATISARI")</f>
        <v>JATISARI</v>
      </c>
      <c r="X206" s="85" t="str">
        <f>IFERROR(__xludf.DUMMYFUNCTION("""COMPUTED_VALUE"""),"JATIASIH")</f>
        <v>JATIASIH</v>
      </c>
      <c r="Y206" s="85" t="str">
        <f>IFERROR(__xludf.DUMMYFUNCTION("""COMPUTED_VALUE"""),"BEKASI")</f>
        <v>BEKASI</v>
      </c>
      <c r="Z206" s="85" t="str">
        <f>IFERROR(__xludf.DUMMYFUNCTION("""COMPUTED_VALUE"""),"JAWA BARAT")</f>
        <v>JAWA BARAT</v>
      </c>
      <c r="AA206" s="85" t="str">
        <f>IFERROR(__xludf.DUMMYFUNCTION("""COMPUTED_VALUE"""),"17426")</f>
        <v>17426</v>
      </c>
      <c r="AB206" s="85" t="str">
        <f>IFERROR(__xludf.DUMMYFUNCTION("""COMPUTED_VALUE"""),"3275096905810011")</f>
        <v>3275096905810011</v>
      </c>
      <c r="AC206" s="85" t="str">
        <f>IFERROR(__xludf.DUMMYFUNCTION("""COMPUTED_VALUE"""),"36.072.645.9-403.000")</f>
        <v>36.072.645.9-403.000</v>
      </c>
      <c r="AD206" s="85" t="str">
        <f>IFERROR(__xludf.DUMMYFUNCTION("""COMPUTED_VALUE"""),"CUM - PS - AYS")</f>
        <v>CUM - PS - AYS</v>
      </c>
      <c r="AE206" s="85" t="str">
        <f>IFERROR(__xludf.DUMMYFUNCTION("""COMPUTED_VALUE"""),"SUB YUNUS POS")</f>
        <v>SUB YUNUS POS</v>
      </c>
      <c r="AF206" s="85" t="str">
        <f>IFERROR(__xludf.DUMMYFUNCTION("""COMPUTED_VALUE"""),"085182875789")</f>
        <v>085182875789</v>
      </c>
      <c r="AG206" s="85"/>
      <c r="AH206" s="85" t="str">
        <f>IFERROR(__xludf.DUMMYFUNCTION("""COMPUTED_VALUE"""),"msuramanda@gmail.com")</f>
        <v>msuramanda@gmail.com</v>
      </c>
      <c r="AI206" s="85" t="str">
        <f>IFERROR(__xludf.DUMMYFUNCTION("""COMPUTED_VALUE"""),"17426S1")</f>
        <v>17426S1</v>
      </c>
      <c r="AJ206" s="85" t="str">
        <f>IFERROR(__xludf.DUMMYFUNCTION("""COMPUTED_VALUE"""),"666eeecdaf5bb3e93a079446")</f>
        <v>666eeecdaf5bb3e93a079446</v>
      </c>
      <c r="AK206" s="85" t="str">
        <f>IFERROR(__xludf.DUMMYFUNCTION("""COMPUTED_VALUE"""),"dm17426s1")</f>
        <v>dm17426s1</v>
      </c>
      <c r="AL206" s="85" t="str">
        <f>IFERROR(__xludf.DUMMYFUNCTION("""COMPUTED_VALUE"""),"#17426Pos")</f>
        <v>#17426Pos</v>
      </c>
      <c r="AM206" s="85" t="str">
        <f>IFERROR(__xludf.DUMMYFUNCTION("""COMPUTED_VALUE"""),"KANTOR REGIONAL II JAKARTA 10004")</f>
        <v>KANTOR REGIONAL II JAKARTA 10004</v>
      </c>
      <c r="AN206" s="85" t="str">
        <f>IFERROR(__xludf.DUMMYFUNCTION("""COMPUTED_VALUE"""),"KCU BEKASI 17000")</f>
        <v>KCU BEKASI 17000</v>
      </c>
      <c r="AO206" s="85" t="str">
        <f>IFERROR(__xludf.DUMMYFUNCTION("""COMPUTED_VALUE"""),"2705240081344")</f>
        <v>2705240081344</v>
      </c>
      <c r="AP206" s="85" t="str">
        <f>IFERROR(__xludf.DUMMYFUNCTION("""COMPUTED_VALUE"""),"27052400813440001")</f>
        <v>27052400813440001</v>
      </c>
      <c r="AQ206" s="93"/>
      <c r="AR206" s="85"/>
      <c r="AS206" s="85"/>
      <c r="AT206" s="85" t="str">
        <f>IFERROR(__xludf.DUMMYFUNCTION("""COMPUTED_VALUE"""),"-6.917")</f>
        <v>-6.917</v>
      </c>
      <c r="AU206" s="85" t="str">
        <f>IFERROR(__xludf.DUMMYFUNCTION("""COMPUTED_VALUE"""),"107.7017")</f>
        <v>107.7017</v>
      </c>
      <c r="AV206" s="85"/>
      <c r="AW206" s="85"/>
      <c r="AX206" s="85"/>
      <c r="AY206" s="85"/>
      <c r="AZ206" s="85"/>
      <c r="BA206" s="85"/>
      <c r="BB206" s="85"/>
      <c r="BC206" s="85"/>
      <c r="BD206" s="85"/>
      <c r="BE206" s="85"/>
      <c r="BF206" s="85"/>
      <c r="BG206" s="85"/>
      <c r="BH206" s="85"/>
      <c r="BI206" s="85"/>
      <c r="BJ206" s="85"/>
      <c r="BK206" s="85"/>
      <c r="BL206" s="85"/>
      <c r="BM206" s="85"/>
      <c r="BN206" s="85"/>
      <c r="BO206" s="85"/>
      <c r="BP206" s="85"/>
      <c r="BQ206" s="85"/>
      <c r="BR206" s="85"/>
      <c r="BS206" s="85"/>
      <c r="BT206" s="85"/>
      <c r="BU206" s="85"/>
      <c r="BV206" s="85"/>
      <c r="BW206" s="85"/>
      <c r="BX206" s="85"/>
      <c r="BY206" s="85"/>
      <c r="BZ206" s="85"/>
      <c r="CA206" s="85"/>
      <c r="CB206" s="85"/>
      <c r="CC206" s="85"/>
      <c r="CD206" s="85"/>
      <c r="CE206" s="85"/>
      <c r="CF206" s="85"/>
      <c r="CG206" s="85"/>
      <c r="CH206" s="85"/>
      <c r="CI206" s="85"/>
      <c r="CJ206" s="85"/>
      <c r="CK206" s="2"/>
    </row>
    <row r="207" ht="14.25" customHeight="1">
      <c r="A207" s="80">
        <f>IFERROR(__xludf.DUMMYFUNCTION("""COMPUTED_VALUE"""),204.0)</f>
        <v>204</v>
      </c>
      <c r="B207" s="80"/>
      <c r="C207" s="80"/>
      <c r="D207" s="81"/>
      <c r="E207" s="82"/>
      <c r="F207" s="80"/>
      <c r="G207" s="81"/>
      <c r="H207" s="80"/>
      <c r="I207" s="80"/>
      <c r="J207" s="80"/>
      <c r="K207" s="80"/>
      <c r="L207" s="80"/>
      <c r="M207" s="80"/>
      <c r="N207" s="80"/>
      <c r="O207" s="80"/>
      <c r="P207" s="80" t="str">
        <f>IFERROR(__xludf.DUMMYFUNCTION("""COMPUTED_VALUE"""),"53BSPA04767JBYNS")</f>
        <v>53BSPA04767JBYNS</v>
      </c>
      <c r="Q207" s="80" t="str">
        <f>IFERROR(__xludf.DUMMYFUNCTION("""COMPUTED_VALUE"""),"RUDI CELL")</f>
        <v>RUDI CELL</v>
      </c>
      <c r="R207" s="80" t="str">
        <f>IFERROR(__xludf.DUMMYFUNCTION("""COMPUTED_VALUE"""),"MUC RUDI CELL")</f>
        <v>MUC RUDI CELL</v>
      </c>
      <c r="S207" s="80" t="str">
        <f>IFERROR(__xludf.DUMMYFUNCTION("""COMPUTED_VALUE"""),"RUDI NURYASIN")</f>
        <v>RUDI NURYASIN</v>
      </c>
      <c r="T207" s="80" t="str">
        <f>IFERROR(__xludf.DUMMYFUNCTION("""COMPUTED_VALUE""")," KP. CIBUANA RT 004 RW 002 KEL. GUNUNGMASIGIT KEC. CIPATAT KBB ")</f>
        <v> KP. CIBUANA RT 004 RW 002 KEL. GUNUNGMASIGIT KEC. CIPATAT KBB </v>
      </c>
      <c r="U207" s="80" t="str">
        <f>IFERROR(__xludf.DUMMYFUNCTION("""COMPUTED_VALUE"""),"KP. CIBUANA RT 004 RW 002")</f>
        <v>KP. CIBUANA RT 004 RW 002</v>
      </c>
      <c r="V207" s="80"/>
      <c r="W207" s="80" t="str">
        <f>IFERROR(__xludf.DUMMYFUNCTION("""COMPUTED_VALUE"""),"GUNUNGMASIGIT")</f>
        <v>GUNUNGMASIGIT</v>
      </c>
      <c r="X207" s="80" t="str">
        <f>IFERROR(__xludf.DUMMYFUNCTION("""COMPUTED_VALUE"""),"CIPATAT")</f>
        <v>CIPATAT</v>
      </c>
      <c r="Y207" s="80" t="str">
        <f>IFERROR(__xludf.DUMMYFUNCTION("""COMPUTED_VALUE"""),"KBB")</f>
        <v>KBB</v>
      </c>
      <c r="Z207" s="80" t="str">
        <f>IFERROR(__xludf.DUMMYFUNCTION("""COMPUTED_VALUE"""),"JAWA BARAT")</f>
        <v>JAWA BARAT</v>
      </c>
      <c r="AA207" s="80" t="str">
        <f>IFERROR(__xludf.DUMMYFUNCTION("""COMPUTED_VALUE"""),"40554")</f>
        <v>40554</v>
      </c>
      <c r="AB207" s="80" t="str">
        <f>IFERROR(__xludf.DUMMYFUNCTION("""COMPUTED_VALUE"""),"3217081111910013")</f>
        <v>3217081111910013</v>
      </c>
      <c r="AC207" s="80" t="str">
        <f>IFERROR(__xludf.DUMMYFUNCTION("""COMPUTED_VALUE"""),"73.855.453.4421.000")</f>
        <v>73.855.453.4421.000</v>
      </c>
      <c r="AD207" s="80" t="str">
        <f>IFERROR(__xludf.DUMMYFUNCTION("""COMPUTED_VALUE"""),"CUM - BSB - JABAR")</f>
        <v>CUM - BSB - JABAR</v>
      </c>
      <c r="AE207" s="80" t="str">
        <f>IFERROR(__xludf.DUMMYFUNCTION("""COMPUTED_VALUE"""),"SUB YANSEN POS")</f>
        <v>SUB YANSEN POS</v>
      </c>
      <c r="AF207" s="80" t="str">
        <f>IFERROR(__xludf.DUMMYFUNCTION("""COMPUTED_VALUE"""),"085659185112")</f>
        <v>085659185112</v>
      </c>
      <c r="AG207" s="80"/>
      <c r="AH207" s="80" t="str">
        <f>IFERROR(__xludf.DUMMYFUNCTION("""COMPUTED_VALUE""")," rudicyangkania@gmail.com")</f>
        <v> rudicyangkania@gmail.com</v>
      </c>
      <c r="AI207" s="80" t="str">
        <f>IFERROR(__xludf.DUMMYFUNCTION("""COMPUTED_VALUE"""),"40754S5")</f>
        <v>40754S5</v>
      </c>
      <c r="AJ207" s="80" t="str">
        <f>IFERROR(__xludf.DUMMYFUNCTION("""COMPUTED_VALUE"""),"666130340032f4b7b60ba464")</f>
        <v>666130340032f4b7b60ba464</v>
      </c>
      <c r="AK207" s="80" t="str">
        <f>IFERROR(__xludf.DUMMYFUNCTION("""COMPUTED_VALUE"""),"dm40754s5")</f>
        <v>dm40754s5</v>
      </c>
      <c r="AL207" s="80" t="str">
        <f>IFERROR(__xludf.DUMMYFUNCTION("""COMPUTED_VALUE"""),"#40754Pos")</f>
        <v>#40754Pos</v>
      </c>
      <c r="AM207" s="80" t="str">
        <f>IFERROR(__xludf.DUMMYFUNCTION("""COMPUTED_VALUE"""),"KANTOR REGIONAL III BANDUNG 40004")</f>
        <v>KANTOR REGIONAL III BANDUNG 40004</v>
      </c>
      <c r="AN207" s="80" t="str">
        <f>IFERROR(__xludf.DUMMYFUNCTION("""COMPUTED_VALUE"""),"KC CIMAHI 40500")</f>
        <v>KC CIMAHI 40500</v>
      </c>
      <c r="AO207" s="80" t="str">
        <f>IFERROR(__xludf.DUMMYFUNCTION("""COMPUTED_VALUE"""),"2705240076868")</f>
        <v>2705240076868</v>
      </c>
      <c r="AP207" s="80" t="str">
        <f>IFERROR(__xludf.DUMMYFUNCTION("""COMPUTED_VALUE"""),"27052400768680001")</f>
        <v>27052400768680001</v>
      </c>
      <c r="AQ207" s="83"/>
      <c r="AR207" s="80"/>
      <c r="AS207" s="80"/>
      <c r="AT207" s="80" t="str">
        <f>IFERROR(__xludf.DUMMYFUNCTION("""COMPUTED_VALUE"""),"-6.8298636")</f>
        <v>-6.8298636</v>
      </c>
      <c r="AU207" s="80" t="str">
        <f>IFERROR(__xludf.DUMMYFUNCTION("""COMPUTED_VALUE"""),"107.4463476")</f>
        <v>107.4463476</v>
      </c>
      <c r="AV207" s="80"/>
      <c r="AW207" s="80"/>
      <c r="AX207" s="80"/>
      <c r="AY207" s="80"/>
      <c r="AZ207" s="80"/>
      <c r="BA207" s="80"/>
      <c r="BB207" s="80"/>
      <c r="BC207" s="80"/>
      <c r="BD207" s="80"/>
      <c r="BE207" s="80"/>
      <c r="BF207" s="80"/>
      <c r="BG207" s="80"/>
      <c r="BH207" s="80"/>
      <c r="BI207" s="80"/>
      <c r="BJ207" s="80"/>
      <c r="BK207" s="80"/>
      <c r="BL207" s="80"/>
      <c r="BM207" s="80"/>
      <c r="BN207" s="80"/>
      <c r="BO207" s="80"/>
      <c r="BP207" s="80"/>
      <c r="BQ207" s="80"/>
      <c r="BR207" s="80"/>
      <c r="BS207" s="80"/>
      <c r="BT207" s="80"/>
      <c r="BU207" s="80"/>
      <c r="BV207" s="80"/>
      <c r="BW207" s="80"/>
      <c r="BX207" s="80"/>
      <c r="BY207" s="80"/>
      <c r="BZ207" s="80"/>
      <c r="CA207" s="80"/>
      <c r="CB207" s="80"/>
      <c r="CC207" s="80"/>
      <c r="CD207" s="80"/>
      <c r="CE207" s="80"/>
      <c r="CF207" s="80"/>
      <c r="CG207" s="80"/>
      <c r="CH207" s="80"/>
      <c r="CI207" s="80"/>
      <c r="CJ207" s="80"/>
      <c r="CK207" s="2"/>
    </row>
    <row r="208" ht="14.25" customHeight="1">
      <c r="A208" s="85">
        <f>IFERROR(__xludf.DUMMYFUNCTION("""COMPUTED_VALUE"""),205.0)</f>
        <v>205</v>
      </c>
      <c r="B208" s="85"/>
      <c r="C208" s="85"/>
      <c r="D208" s="86"/>
      <c r="E208" s="88"/>
      <c r="F208" s="85"/>
      <c r="G208" s="86"/>
      <c r="H208" s="85"/>
      <c r="I208" s="85"/>
      <c r="J208" s="85"/>
      <c r="K208" s="85"/>
      <c r="L208" s="85"/>
      <c r="M208" s="85"/>
      <c r="N208" s="85"/>
      <c r="O208" s="85"/>
      <c r="P208" s="85" t="str">
        <f>IFERROR(__xludf.DUMMYFUNCTION("""COMPUTED_VALUE"""),"53BSPA04766JBWDY")</f>
        <v>53BSPA04766JBWDY</v>
      </c>
      <c r="Q208" s="85" t="str">
        <f>IFERROR(__xludf.DUMMYFUNCTION("""COMPUTED_VALUE"""),"INDAH CIAMIS")</f>
        <v>INDAH CIAMIS</v>
      </c>
      <c r="R208" s="85" t="str">
        <f>IFERROR(__xludf.DUMMYFUNCTION("""COMPUTED_VALUE"""),"MUC INDAH CIAMIS")</f>
        <v>MUC INDAH CIAMIS</v>
      </c>
      <c r="S208" s="85" t="str">
        <f>IFERROR(__xludf.DUMMYFUNCTION("""COMPUTED_VALUE"""),"TAUPIK ALAMIN")</f>
        <v>TAUPIK ALAMIN</v>
      </c>
      <c r="T208" s="85" t="str">
        <f>IFERROR(__xludf.DUMMYFUNCTION("""COMPUTED_VALUE"""),"DUSUN DESA RT 006 RW 009  ")</f>
        <v>DUSUN DESA RT 006 RW 009  </v>
      </c>
      <c r="U208" s="85" t="str">
        <f>IFERROR(__xludf.DUMMYFUNCTION("""COMPUTED_VALUE"""),"DUSUN DESA RT 006 RW 009")</f>
        <v>DUSUN DESA RT 006 RW 009</v>
      </c>
      <c r="V208" s="85"/>
      <c r="W208" s="85" t="str">
        <f>IFERROR(__xludf.DUMMYFUNCTION("""COMPUTED_VALUE"""),"SUKAHARJA")</f>
        <v>SUKAHARJA</v>
      </c>
      <c r="X208" s="85" t="str">
        <f>IFERROR(__xludf.DUMMYFUNCTION("""COMPUTED_VALUE"""),"RAJADESA")</f>
        <v>RAJADESA</v>
      </c>
      <c r="Y208" s="85" t="str">
        <f>IFERROR(__xludf.DUMMYFUNCTION("""COMPUTED_VALUE"""),"CIAMIS")</f>
        <v>CIAMIS</v>
      </c>
      <c r="Z208" s="85" t="str">
        <f>IFERROR(__xludf.DUMMYFUNCTION("""COMPUTED_VALUE"""),"JAWA BARAT")</f>
        <v>JAWA BARAT</v>
      </c>
      <c r="AA208" s="85" t="str">
        <f>IFERROR(__xludf.DUMMYFUNCTION("""COMPUTED_VALUE"""),"46254")</f>
        <v>46254</v>
      </c>
      <c r="AB208" s="85" t="str">
        <f>IFERROR(__xludf.DUMMYFUNCTION("""COMPUTED_VALUE"""),"3207132806760001")</f>
        <v>3207132806760001</v>
      </c>
      <c r="AC208" s="85" t="str">
        <f>IFERROR(__xludf.DUMMYFUNCTION("""COMPUTED_VALUE"""),"74.828.505.3-442.000")</f>
        <v>74.828.505.3-442.000</v>
      </c>
      <c r="AD208" s="85" t="str">
        <f>IFERROR(__xludf.DUMMYFUNCTION("""COMPUTED_VALUE"""),"CUM - PS - WIDY")</f>
        <v>CUM - PS - WIDY</v>
      </c>
      <c r="AE208" s="85" t="str">
        <f>IFERROR(__xludf.DUMMYFUNCTION("""COMPUTED_VALUE"""),"SUB WIDY POS")</f>
        <v>SUB WIDY POS</v>
      </c>
      <c r="AF208" s="85" t="str">
        <f>IFERROR(__xludf.DUMMYFUNCTION("""COMPUTED_VALUE"""),"082119255314")</f>
        <v>082119255314</v>
      </c>
      <c r="AG208" s="85"/>
      <c r="AH208" s="85" t="str">
        <f>IFERROR(__xludf.DUMMYFUNCTION("""COMPUTED_VALUE"""),"yeyet440@gmail.com")</f>
        <v>yeyet440@gmail.com</v>
      </c>
      <c r="AI208" s="85" t="str">
        <f>IFERROR(__xludf.DUMMYFUNCTION("""COMPUTED_VALUE"""),"46254S4")</f>
        <v>46254S4</v>
      </c>
      <c r="AJ208" s="85" t="str">
        <f>IFERROR(__xludf.DUMMYFUNCTION("""COMPUTED_VALUE"""),"6665ba49e00e397a8c01183f")</f>
        <v>6665ba49e00e397a8c01183f</v>
      </c>
      <c r="AK208" s="85" t="str">
        <f>IFERROR(__xludf.DUMMYFUNCTION("""COMPUTED_VALUE"""),"dm46254s4")</f>
        <v>dm46254s4</v>
      </c>
      <c r="AL208" s="85" t="str">
        <f>IFERROR(__xludf.DUMMYFUNCTION("""COMPUTED_VALUE"""),"#46254Pos")</f>
        <v>#46254Pos</v>
      </c>
      <c r="AM208" s="85" t="str">
        <f>IFERROR(__xludf.DUMMYFUNCTION("""COMPUTED_VALUE"""),"KANTOR REGIONAL III BANDUNG 40004")</f>
        <v>KANTOR REGIONAL III BANDUNG 40004</v>
      </c>
      <c r="AN208" s="85" t="str">
        <f>IFERROR(__xludf.DUMMYFUNCTION("""COMPUTED_VALUE"""),"KC CIAMIS 46200")</f>
        <v>KC CIAMIS 46200</v>
      </c>
      <c r="AO208" s="85" t="str">
        <f>IFERROR(__xludf.DUMMYFUNCTION("""COMPUTED_VALUE"""),"2705240020289")</f>
        <v>2705240020289</v>
      </c>
      <c r="AP208" s="85" t="str">
        <f>IFERROR(__xludf.DUMMYFUNCTION("""COMPUTED_VALUE"""),"27052400202890001")</f>
        <v>27052400202890001</v>
      </c>
      <c r="AQ208" s="93"/>
      <c r="AR208" s="85"/>
      <c r="AS208" s="85"/>
      <c r="AT208" s="85" t="str">
        <f>IFERROR(__xludf.DUMMYFUNCTION("""COMPUTED_VALUE"""),"-7.1507228")</f>
        <v>-7.1507228</v>
      </c>
      <c r="AU208" s="85" t="str">
        <f>IFERROR(__xludf.DUMMYFUNCTION("""COMPUTED_VALUE"""),"108.4760973")</f>
        <v>108.4760973</v>
      </c>
      <c r="AV208" s="85"/>
      <c r="AW208" s="85"/>
      <c r="AX208" s="85"/>
      <c r="AY208" s="85"/>
      <c r="AZ208" s="85"/>
      <c r="BA208" s="85"/>
      <c r="BB208" s="85"/>
      <c r="BC208" s="85"/>
      <c r="BD208" s="85"/>
      <c r="BE208" s="85"/>
      <c r="BF208" s="85"/>
      <c r="BG208" s="85"/>
      <c r="BH208" s="85"/>
      <c r="BI208" s="85"/>
      <c r="BJ208" s="85"/>
      <c r="BK208" s="85"/>
      <c r="BL208" s="85"/>
      <c r="BM208" s="85"/>
      <c r="BN208" s="85"/>
      <c r="BO208" s="85"/>
      <c r="BP208" s="85"/>
      <c r="BQ208" s="85"/>
      <c r="BR208" s="85"/>
      <c r="BS208" s="85"/>
      <c r="BT208" s="85"/>
      <c r="BU208" s="85"/>
      <c r="BV208" s="85"/>
      <c r="BW208" s="85"/>
      <c r="BX208" s="85"/>
      <c r="BY208" s="85"/>
      <c r="BZ208" s="85"/>
      <c r="CA208" s="85"/>
      <c r="CB208" s="85"/>
      <c r="CC208" s="85"/>
      <c r="CD208" s="85"/>
      <c r="CE208" s="85"/>
      <c r="CF208" s="85"/>
      <c r="CG208" s="85"/>
      <c r="CH208" s="85"/>
      <c r="CI208" s="85"/>
      <c r="CJ208" s="85"/>
      <c r="CK208" s="2"/>
    </row>
    <row r="209" ht="14.25" customHeight="1">
      <c r="A209" s="80">
        <f>IFERROR(__xludf.DUMMYFUNCTION("""COMPUTED_VALUE"""),206.0)</f>
        <v>206</v>
      </c>
      <c r="B209" s="80"/>
      <c r="C209" s="80"/>
      <c r="D209" s="81"/>
      <c r="E209" s="82"/>
      <c r="F209" s="80"/>
      <c r="G209" s="81"/>
      <c r="H209" s="80"/>
      <c r="I209" s="80"/>
      <c r="J209" s="80"/>
      <c r="K209" s="80"/>
      <c r="L209" s="80"/>
      <c r="M209" s="80"/>
      <c r="N209" s="80"/>
      <c r="O209" s="80"/>
      <c r="P209" s="80" t="str">
        <f>IFERROR(__xludf.DUMMYFUNCTION("""COMPUTED_VALUE"""),"MLO5500009CUMKSM")</f>
        <v>MLO5500009CUMKSM</v>
      </c>
      <c r="Q209" s="80" t="str">
        <f>IFERROR(__xludf.DUMMYFUNCTION("""COMPUTED_VALUE"""),"ALTHAF")</f>
        <v>ALTHAF</v>
      </c>
      <c r="R209" s="80" t="str">
        <f>IFERROR(__xludf.DUMMYFUNCTION("""COMPUTED_VALUE"""),"MUC ALTHAF")</f>
        <v>MUC ALTHAF</v>
      </c>
      <c r="S209" s="80" t="str">
        <f>IFERROR(__xludf.DUMMYFUNCTION("""COMPUTED_VALUE"""),"TAUFIK HIDAYAT")</f>
        <v>TAUFIK HIDAYAT</v>
      </c>
      <c r="T209" s="80" t="str">
        <f>IFERROR(__xludf.DUMMYFUNCTION("""COMPUTED_VALUE""")," PERUM. SUBANG GREEN CITY BLOK E8 NO. 20 RT 029 RW 010")</f>
        <v> PERUM. SUBANG GREEN CITY BLOK E8 NO. 20 RT 029 RW 010</v>
      </c>
      <c r="U209" s="80" t="str">
        <f>IFERROR(__xludf.DUMMYFUNCTION("""COMPUTED_VALUE"""),"PERUM. SUBANG GREEN CITY BLOK E8 NO. 20 RT 029 RW 010")</f>
        <v>PERUM. SUBANG GREEN CITY BLOK E8 NO. 20 RT 029 RW 010</v>
      </c>
      <c r="V209" s="80"/>
      <c r="W209" s="80" t="str">
        <f>IFERROR(__xludf.DUMMYFUNCTION("""COMPUTED_VALUE"""),"CINANGSI")</f>
        <v>CINANGSI</v>
      </c>
      <c r="X209" s="80" t="str">
        <f>IFERROR(__xludf.DUMMYFUNCTION("""COMPUTED_VALUE"""),"CIBOGO")</f>
        <v>CIBOGO</v>
      </c>
      <c r="Y209" s="80" t="str">
        <f>IFERROR(__xludf.DUMMYFUNCTION("""COMPUTED_VALUE"""),"KAB. SUBANG")</f>
        <v>KAB. SUBANG</v>
      </c>
      <c r="Z209" s="80" t="str">
        <f>IFERROR(__xludf.DUMMYFUNCTION("""COMPUTED_VALUE"""),"JAWA BARAT")</f>
        <v>JAWA BARAT</v>
      </c>
      <c r="AA209" s="80" t="str">
        <f>IFERROR(__xludf.DUMMYFUNCTION("""COMPUTED_VALUE"""),"41285")</f>
        <v>41285</v>
      </c>
      <c r="AB209" s="80" t="str">
        <f>IFERROR(__xludf.DUMMYFUNCTION("""COMPUTED_VALUE"""),"3213030506970007")</f>
        <v>3213030506970007</v>
      </c>
      <c r="AC209" s="80" t="str">
        <f>IFERROR(__xludf.DUMMYFUNCTION("""COMPUTED_VALUE"""),"73.550.024.1-439.000")</f>
        <v>73.550.024.1-439.000</v>
      </c>
      <c r="AD209" s="80" t="str">
        <f>IFERROR(__xludf.DUMMYFUNCTION("""COMPUTED_VALUE"""),"CUM - KSM")</f>
        <v>CUM - KSM</v>
      </c>
      <c r="AE209" s="80" t="str">
        <f>IFERROR(__xludf.DUMMYFUNCTION("""COMPUTED_VALUE"""),"SUB AHMAD KOSIM")</f>
        <v>SUB AHMAD KOSIM</v>
      </c>
      <c r="AF209" s="80" t="str">
        <f>IFERROR(__xludf.DUMMYFUNCTION("""COMPUTED_VALUE"""),"0895373579289")</f>
        <v>0895373579289</v>
      </c>
      <c r="AG209" s="80"/>
      <c r="AH209" s="80" t="str">
        <f>IFERROR(__xludf.DUMMYFUNCTION("""COMPUTED_VALUE"""),"mrs.sulis.ruswati@gmail.com")</f>
        <v>mrs.sulis.ruswati@gmail.com</v>
      </c>
      <c r="AI209" s="80" t="str">
        <f>IFERROR(__xludf.DUMMYFUNCTION("""COMPUTED_VALUE"""),"41285S2")</f>
        <v>41285S2</v>
      </c>
      <c r="AJ209" s="80" t="str">
        <f>IFERROR(__xludf.DUMMYFUNCTION("""COMPUTED_VALUE"""),"666e66fedfed9d201c0ee902")</f>
        <v>666e66fedfed9d201c0ee902</v>
      </c>
      <c r="AK209" s="80" t="str">
        <f>IFERROR(__xludf.DUMMYFUNCTION("""COMPUTED_VALUE"""),"dm41285s2")</f>
        <v>dm41285s2</v>
      </c>
      <c r="AL209" s="80" t="str">
        <f>IFERROR(__xludf.DUMMYFUNCTION("""COMPUTED_VALUE"""),"#41285Pos")</f>
        <v>#41285Pos</v>
      </c>
      <c r="AM209" s="80" t="str">
        <f>IFERROR(__xludf.DUMMYFUNCTION("""COMPUTED_VALUE"""),"KANTOR REGIONAL III BANDUNG 40004")</f>
        <v>KANTOR REGIONAL III BANDUNG 40004</v>
      </c>
      <c r="AN209" s="80" t="str">
        <f>IFERROR(__xludf.DUMMYFUNCTION("""COMPUTED_VALUE"""),"KC SUBANG 41200")</f>
        <v>KC SUBANG 41200</v>
      </c>
      <c r="AO209" s="80" t="str">
        <f>IFERROR(__xludf.DUMMYFUNCTION("""COMPUTED_VALUE"""),"2805240045562 ")</f>
        <v>2805240045562 </v>
      </c>
      <c r="AP209" s="80" t="str">
        <f>IFERROR(__xludf.DUMMYFUNCTION("""COMPUTED_VALUE"""),"28052400455620001")</f>
        <v>28052400455620001</v>
      </c>
      <c r="AQ209" s="83"/>
      <c r="AR209" s="80"/>
      <c r="AS209" s="80"/>
      <c r="AT209" s="80" t="str">
        <f>IFERROR(__xludf.DUMMYFUNCTION("""COMPUTED_VALUE"""),"-6.5516862")</f>
        <v>-6.5516862</v>
      </c>
      <c r="AU209" s="80" t="str">
        <f>IFERROR(__xludf.DUMMYFUNCTION("""COMPUTED_VALUE"""),"107.8009188")</f>
        <v>107.8009188</v>
      </c>
      <c r="AV209" s="80"/>
      <c r="AW209" s="80"/>
      <c r="AX209" s="80"/>
      <c r="AY209" s="80"/>
      <c r="AZ209" s="80"/>
      <c r="BA209" s="80"/>
      <c r="BB209" s="80"/>
      <c r="BC209" s="80"/>
      <c r="BD209" s="80"/>
      <c r="BE209" s="80"/>
      <c r="BF209" s="80"/>
      <c r="BG209" s="80"/>
      <c r="BH209" s="80"/>
      <c r="BI209" s="80"/>
      <c r="BJ209" s="80"/>
      <c r="BK209" s="80"/>
      <c r="BL209" s="80"/>
      <c r="BM209" s="80"/>
      <c r="BN209" s="80"/>
      <c r="BO209" s="80"/>
      <c r="BP209" s="80"/>
      <c r="BQ209" s="80"/>
      <c r="BR209" s="80"/>
      <c r="BS209" s="80"/>
      <c r="BT209" s="80"/>
      <c r="BU209" s="80"/>
      <c r="BV209" s="80"/>
      <c r="BW209" s="80"/>
      <c r="BX209" s="80"/>
      <c r="BY209" s="80"/>
      <c r="BZ209" s="80"/>
      <c r="CA209" s="80"/>
      <c r="CB209" s="80"/>
      <c r="CC209" s="80"/>
      <c r="CD209" s="80"/>
      <c r="CE209" s="80"/>
      <c r="CF209" s="80"/>
      <c r="CG209" s="80"/>
      <c r="CH209" s="80"/>
      <c r="CI209" s="80"/>
      <c r="CJ209" s="80"/>
      <c r="CK209" s="2"/>
    </row>
    <row r="210" ht="14.25" customHeight="1">
      <c r="A210" s="85">
        <f>IFERROR(__xludf.DUMMYFUNCTION("""COMPUTED_VALUE"""),207.0)</f>
        <v>207</v>
      </c>
      <c r="B210" s="85"/>
      <c r="C210" s="85"/>
      <c r="D210" s="86"/>
      <c r="E210" s="88"/>
      <c r="F210" s="85"/>
      <c r="G210" s="86"/>
      <c r="H210" s="85"/>
      <c r="I210" s="85"/>
      <c r="J210" s="85"/>
      <c r="K210" s="85"/>
      <c r="L210" s="85"/>
      <c r="M210" s="85"/>
      <c r="N210" s="85"/>
      <c r="O210" s="85"/>
      <c r="P210" s="85" t="str">
        <f>IFERROR(__xludf.DUMMYFUNCTION("""COMPUTED_VALUE"""),"53BSPA04139JBTSA")</f>
        <v>53BSPA04139JBTSA</v>
      </c>
      <c r="Q210" s="85" t="str">
        <f>IFERROR(__xludf.DUMMYFUNCTION("""COMPUTED_VALUE"""),"AGEN COPONG")</f>
        <v>AGEN COPONG</v>
      </c>
      <c r="R210" s="85" t="str">
        <f>IFERROR(__xludf.DUMMYFUNCTION("""COMPUTED_VALUE"""),"MUC COPONG")</f>
        <v>MUC COPONG</v>
      </c>
      <c r="S210" s="85" t="str">
        <f>IFERROR(__xludf.DUMMYFUNCTION("""COMPUTED_VALUE"""),"WILDAN ULUMUDIN")</f>
        <v>WILDAN ULUMUDIN</v>
      </c>
      <c r="T210" s="85" t="str">
        <f>IFERROR(__xludf.DUMMYFUNCTION("""COMPUTED_VALUE"""),"JL. JEND. SUDIRMAN KP. COPONG RT 003 RW 024")</f>
        <v>JL. JEND. SUDIRMAN KP. COPONG RT 003 RW 024</v>
      </c>
      <c r="U210" s="85" t="str">
        <f>IFERROR(__xludf.DUMMYFUNCTION("""COMPUTED_VALUE"""),"JL. JEND. SUDIRMAN KP. COPONG RT 003 RW 024")</f>
        <v>JL. JEND. SUDIRMAN KP. COPONG RT 003 RW 024</v>
      </c>
      <c r="V210" s="85"/>
      <c r="W210" s="85" t="str">
        <f>IFERROR(__xludf.DUMMYFUNCTION("""COMPUTED_VALUE"""),"SUKAMENTRI")</f>
        <v>SUKAMENTRI</v>
      </c>
      <c r="X210" s="85" t="str">
        <f>IFERROR(__xludf.DUMMYFUNCTION("""COMPUTED_VALUE"""),"GARUT KOTA")</f>
        <v>GARUT KOTA</v>
      </c>
      <c r="Y210" s="85" t="str">
        <f>IFERROR(__xludf.DUMMYFUNCTION("""COMPUTED_VALUE"""),"KAB. GARUT")</f>
        <v>KAB. GARUT</v>
      </c>
      <c r="Z210" s="85" t="str">
        <f>IFERROR(__xludf.DUMMYFUNCTION("""COMPUTED_VALUE"""),"JAWA BARAT")</f>
        <v>JAWA BARAT</v>
      </c>
      <c r="AA210" s="85" t="str">
        <f>IFERROR(__xludf.DUMMYFUNCTION("""COMPUTED_VALUE"""),"44116")</f>
        <v>44116</v>
      </c>
      <c r="AB210" s="85" t="str">
        <f>IFERROR(__xludf.DUMMYFUNCTION("""COMPUTED_VALUE"""),"3205010107900071")</f>
        <v>3205010107900071</v>
      </c>
      <c r="AC210" s="85" t="str">
        <f>IFERROR(__xludf.DUMMYFUNCTION("""COMPUTED_VALUE"""),"19.046.024.6-443.000")</f>
        <v>19.046.024.6-443.000</v>
      </c>
      <c r="AD210" s="85" t="str">
        <f>IFERROR(__xludf.DUMMYFUNCTION("""COMPUTED_VALUE"""),"CUM - TSR")</f>
        <v>CUM - TSR</v>
      </c>
      <c r="AE210" s="85" t="str">
        <f>IFERROR(__xludf.DUMMYFUNCTION("""COMPUTED_VALUE"""),"SUB TATANG POS")</f>
        <v>SUB TATANG POS</v>
      </c>
      <c r="AF210" s="85" t="str">
        <f>IFERROR(__xludf.DUMMYFUNCTION("""COMPUTED_VALUE"""),"08994840402")</f>
        <v>08994840402</v>
      </c>
      <c r="AG210" s="85"/>
      <c r="AH210" s="85" t="str">
        <f>IFERROR(__xludf.DUMMYFUNCTION("""COMPUTED_VALUE"""),"m.store1208@gmail.com")</f>
        <v>m.store1208@gmail.com</v>
      </c>
      <c r="AI210" s="85" t="str">
        <f>IFERROR(__xludf.DUMMYFUNCTION("""COMPUTED_VALUE"""),"44116S2")</f>
        <v>44116S2</v>
      </c>
      <c r="AJ210" s="85" t="str">
        <f>IFERROR(__xludf.DUMMYFUNCTION("""COMPUTED_VALUE"""),"667ce20c93b8fa581909429a")</f>
        <v>667ce20c93b8fa581909429a</v>
      </c>
      <c r="AK210" s="85" t="str">
        <f>IFERROR(__xludf.DUMMYFUNCTION("""COMPUTED_VALUE"""),"dm44116s2")</f>
        <v>dm44116s2</v>
      </c>
      <c r="AL210" s="85" t="str">
        <f>IFERROR(__xludf.DUMMYFUNCTION("""COMPUTED_VALUE"""),"#44116Pos")</f>
        <v>#44116Pos</v>
      </c>
      <c r="AM210" s="85" t="str">
        <f>IFERROR(__xludf.DUMMYFUNCTION("""COMPUTED_VALUE"""),"KANTOR REGIONAL III BANDUNG 40004")</f>
        <v>KANTOR REGIONAL III BANDUNG 40004</v>
      </c>
      <c r="AN210" s="85" t="str">
        <f>IFERROR(__xludf.DUMMYFUNCTION("""COMPUTED_VALUE"""),"KC GARUT 44100")</f>
        <v>KC GARUT 44100</v>
      </c>
      <c r="AO210" s="85" t="str">
        <f>IFERROR(__xludf.DUMMYFUNCTION("""COMPUTED_VALUE"""),"2805240098368")</f>
        <v>2805240098368</v>
      </c>
      <c r="AP210" s="85" t="str">
        <f>IFERROR(__xludf.DUMMYFUNCTION("""COMPUTED_VALUE"""),"28052400983680001")</f>
        <v>28052400983680001</v>
      </c>
      <c r="AQ210" s="93"/>
      <c r="AR210" s="85"/>
      <c r="AS210" s="85"/>
      <c r="AT210" s="85" t="str">
        <f>IFERROR(__xludf.DUMMYFUNCTION("""COMPUTED_VALUE"""),"-7.1948373")</f>
        <v>-7.1948373</v>
      </c>
      <c r="AU210" s="85" t="str">
        <f>IFERROR(__xludf.DUMMYFUNCTION("""COMPUTED_VALUE"""),"107.9118855")</f>
        <v>107.9118855</v>
      </c>
      <c r="AV210" s="85"/>
      <c r="AW210" s="85"/>
      <c r="AX210" s="85"/>
      <c r="AY210" s="85"/>
      <c r="AZ210" s="85"/>
      <c r="BA210" s="85"/>
      <c r="BB210" s="85"/>
      <c r="BC210" s="85"/>
      <c r="BD210" s="85"/>
      <c r="BE210" s="85"/>
      <c r="BF210" s="85"/>
      <c r="BG210" s="85"/>
      <c r="BH210" s="85"/>
      <c r="BI210" s="85"/>
      <c r="BJ210" s="85"/>
      <c r="BK210" s="85"/>
      <c r="BL210" s="85"/>
      <c r="BM210" s="85"/>
      <c r="BN210" s="85"/>
      <c r="BO210" s="85"/>
      <c r="BP210" s="85"/>
      <c r="BQ210" s="85"/>
      <c r="BR210" s="85"/>
      <c r="BS210" s="85"/>
      <c r="BT210" s="85"/>
      <c r="BU210" s="85"/>
      <c r="BV210" s="85"/>
      <c r="BW210" s="85"/>
      <c r="BX210" s="85"/>
      <c r="BY210" s="85"/>
      <c r="BZ210" s="85"/>
      <c r="CA210" s="85"/>
      <c r="CB210" s="85"/>
      <c r="CC210" s="85"/>
      <c r="CD210" s="85"/>
      <c r="CE210" s="85"/>
      <c r="CF210" s="85"/>
      <c r="CG210" s="85"/>
      <c r="CH210" s="85"/>
      <c r="CI210" s="85"/>
      <c r="CJ210" s="85"/>
      <c r="CK210" s="2"/>
    </row>
    <row r="211" ht="14.25" customHeight="1">
      <c r="A211" s="80">
        <f>IFERROR(__xludf.DUMMYFUNCTION("""COMPUTED_VALUE"""),208.0)</f>
        <v>208</v>
      </c>
      <c r="B211" s="80"/>
      <c r="C211" s="80"/>
      <c r="D211" s="81"/>
      <c r="E211" s="82"/>
      <c r="F211" s="80"/>
      <c r="G211" s="81"/>
      <c r="H211" s="80"/>
      <c r="I211" s="80"/>
      <c r="J211" s="80"/>
      <c r="K211" s="80"/>
      <c r="L211" s="80"/>
      <c r="M211" s="80"/>
      <c r="N211" s="80"/>
      <c r="O211" s="80"/>
      <c r="P211" s="80" t="str">
        <f>IFERROR(__xludf.DUMMYFUNCTION("""COMPUTED_VALUE"""),"53BSPA04798JBNUR")</f>
        <v>53BSPA04798JBNUR</v>
      </c>
      <c r="Q211" s="80" t="str">
        <f>IFERROR(__xludf.DUMMYFUNCTION("""COMPUTED_VALUE"""),"BMW")</f>
        <v>BMW</v>
      </c>
      <c r="R211" s="80" t="str">
        <f>IFERROR(__xludf.DUMMYFUNCTION("""COMPUTED_VALUE"""),"MUC BMW")</f>
        <v>MUC BMW</v>
      </c>
      <c r="S211" s="80" t="str">
        <f>IFERROR(__xludf.DUMMYFUNCTION("""COMPUTED_VALUE"""),"MUHAMMAD MAS'UD")</f>
        <v>MUHAMMAD MAS'UD</v>
      </c>
      <c r="T211" s="80" t="str">
        <f>IFERROR(__xludf.DUMMYFUNCTION("""COMPUTED_VALUE"""),"BLOK 04 KARANGANYAR RT 002 RW 003 KEL. TEGALGUBUG LOR KEC. ARJAWINANGUN")</f>
        <v>BLOK 04 KARANGANYAR RT 002 RW 003 KEL. TEGALGUBUG LOR KEC. ARJAWINANGUN</v>
      </c>
      <c r="U211" s="80" t="str">
        <f>IFERROR(__xludf.DUMMYFUNCTION("""COMPUTED_VALUE"""),"JL. APEL BLOK 4 KARANGANYAR")</f>
        <v>JL. APEL BLOK 4 KARANGANYAR</v>
      </c>
      <c r="V211" s="80"/>
      <c r="W211" s="80" t="str">
        <f>IFERROR(__xludf.DUMMYFUNCTION("""COMPUTED_VALUE"""),"TEGALGUBUG LOR")</f>
        <v>TEGALGUBUG LOR</v>
      </c>
      <c r="X211" s="80" t="str">
        <f>IFERROR(__xludf.DUMMYFUNCTION("""COMPUTED_VALUE"""),"ARJAWINANGUN")</f>
        <v>ARJAWINANGUN</v>
      </c>
      <c r="Y211" s="80" t="str">
        <f>IFERROR(__xludf.DUMMYFUNCTION("""COMPUTED_VALUE"""),"KAB. CIREBON")</f>
        <v>KAB. CIREBON</v>
      </c>
      <c r="Z211" s="80" t="str">
        <f>IFERROR(__xludf.DUMMYFUNCTION("""COMPUTED_VALUE"""),"JAWA BARAT")</f>
        <v>JAWA BARAT</v>
      </c>
      <c r="AA211" s="80" t="str">
        <f>IFERROR(__xludf.DUMMYFUNCTION("""COMPUTED_VALUE"""),"45162")</f>
        <v>45162</v>
      </c>
      <c r="AB211" s="80" t="str">
        <f>IFERROR(__xludf.DUMMYFUNCTION("""COMPUTED_VALUE"""),"3209260607890001")</f>
        <v>3209260607890001</v>
      </c>
      <c r="AC211" s="80" t="str">
        <f>IFERROR(__xludf.DUMMYFUNCTION("""COMPUTED_VALUE"""),"26.127.377.5-407.000 ")</f>
        <v>26.127.377.5-407.000 </v>
      </c>
      <c r="AD211" s="80" t="str">
        <f>IFERROR(__xludf.DUMMYFUNCTION("""COMPUTED_VALUE"""),"CUM - PS - NUR")</f>
        <v>CUM - PS - NUR</v>
      </c>
      <c r="AE211" s="80" t="str">
        <f>IFERROR(__xludf.DUMMYFUNCTION("""COMPUTED_VALUE"""),"SUB NUR POS")</f>
        <v>SUB NUR POS</v>
      </c>
      <c r="AF211" s="80" t="str">
        <f>IFERROR(__xludf.DUMMYFUNCTION("""COMPUTED_VALUE"""),"083824840555")</f>
        <v>083824840555</v>
      </c>
      <c r="AG211" s="80"/>
      <c r="AH211" s="80" t="str">
        <f>IFERROR(__xludf.DUMMYFUNCTION("""COMPUTED_VALUE"""),"jntmawaddah9000@gmail.com")</f>
        <v>jntmawaddah9000@gmail.com</v>
      </c>
      <c r="AI211" s="80" t="str">
        <f>IFERROR(__xludf.DUMMYFUNCTION("""COMPUTED_VALUE"""),"45662S8")</f>
        <v>45662S8</v>
      </c>
      <c r="AJ211" s="80" t="str">
        <f>IFERROR(__xludf.DUMMYFUNCTION("""COMPUTED_VALUE"""),"666eb2543575b157fb00d296")</f>
        <v>666eb2543575b157fb00d296</v>
      </c>
      <c r="AK211" s="80" t="str">
        <f>IFERROR(__xludf.DUMMYFUNCTION("""COMPUTED_VALUE"""),"dm45662s8")</f>
        <v>dm45662s8</v>
      </c>
      <c r="AL211" s="80" t="str">
        <f>IFERROR(__xludf.DUMMYFUNCTION("""COMPUTED_VALUE"""),"#45662Pos")</f>
        <v>#45662Pos</v>
      </c>
      <c r="AM211" s="80" t="str">
        <f>IFERROR(__xludf.DUMMYFUNCTION("""COMPUTED_VALUE"""),"KANTOR REGIONAL III BANDUNG 40004")</f>
        <v>KANTOR REGIONAL III BANDUNG 40004</v>
      </c>
      <c r="AN211" s="80" t="str">
        <f>IFERROR(__xludf.DUMMYFUNCTION("""COMPUTED_VALUE"""),"KCU CIREBON 45100")</f>
        <v>KCU CIREBON 45100</v>
      </c>
      <c r="AO211" s="80" t="str">
        <f>IFERROR(__xludf.DUMMYFUNCTION("""COMPUTED_VALUE"""),"1405240270384")</f>
        <v>1405240270384</v>
      </c>
      <c r="AP211" s="80" t="str">
        <f>IFERROR(__xludf.DUMMYFUNCTION("""COMPUTED_VALUE"""),"14052402703840001")</f>
        <v>14052402703840001</v>
      </c>
      <c r="AQ211" s="83"/>
      <c r="AR211" s="80"/>
      <c r="AS211" s="80"/>
      <c r="AT211" s="80" t="str">
        <f>IFERROR(__xludf.DUMMYFUNCTION("""COMPUTED_VALUE"""),"-6.618122")</f>
        <v>-6.618122</v>
      </c>
      <c r="AU211" s="80" t="str">
        <f>IFERROR(__xludf.DUMMYFUNCTION("""COMPUTED_VALUE"""),"108.3861315")</f>
        <v>108.3861315</v>
      </c>
      <c r="AV211" s="80"/>
      <c r="AW211" s="80"/>
      <c r="AX211" s="80"/>
      <c r="AY211" s="80"/>
      <c r="AZ211" s="80"/>
      <c r="BA211" s="80"/>
      <c r="BB211" s="80"/>
      <c r="BC211" s="80"/>
      <c r="BD211" s="80"/>
      <c r="BE211" s="80"/>
      <c r="BF211" s="80"/>
      <c r="BG211" s="80"/>
      <c r="BH211" s="80"/>
      <c r="BI211" s="80"/>
      <c r="BJ211" s="80"/>
      <c r="BK211" s="80"/>
      <c r="BL211" s="80"/>
      <c r="BM211" s="80"/>
      <c r="BN211" s="80"/>
      <c r="BO211" s="80"/>
      <c r="BP211" s="80"/>
      <c r="BQ211" s="80"/>
      <c r="BR211" s="80"/>
      <c r="BS211" s="80"/>
      <c r="BT211" s="80"/>
      <c r="BU211" s="80"/>
      <c r="BV211" s="80"/>
      <c r="BW211" s="80"/>
      <c r="BX211" s="80"/>
      <c r="BY211" s="80"/>
      <c r="BZ211" s="80"/>
      <c r="CA211" s="80"/>
      <c r="CB211" s="80"/>
      <c r="CC211" s="80"/>
      <c r="CD211" s="80"/>
      <c r="CE211" s="80"/>
      <c r="CF211" s="80"/>
      <c r="CG211" s="80"/>
      <c r="CH211" s="80"/>
      <c r="CI211" s="80"/>
      <c r="CJ211" s="80"/>
      <c r="CK211" s="2"/>
    </row>
    <row r="212" ht="14.25" customHeight="1">
      <c r="A212" s="85">
        <f>IFERROR(__xludf.DUMMYFUNCTION("""COMPUTED_VALUE"""),209.0)</f>
        <v>209</v>
      </c>
      <c r="B212" s="85"/>
      <c r="C212" s="85"/>
      <c r="D212" s="86"/>
      <c r="E212" s="88"/>
      <c r="F212" s="85"/>
      <c r="G212" s="86"/>
      <c r="H212" s="85"/>
      <c r="I212" s="85"/>
      <c r="J212" s="85"/>
      <c r="K212" s="85"/>
      <c r="L212" s="85"/>
      <c r="M212" s="85"/>
      <c r="N212" s="85"/>
      <c r="O212" s="85"/>
      <c r="P212" s="85" t="str">
        <f>IFERROR(__xludf.DUMMYFUNCTION("""COMPUTED_VALUE"""),"53BSPA04643JBEEN")</f>
        <v>53BSPA04643JBEEN</v>
      </c>
      <c r="Q212" s="85" t="str">
        <f>IFERROR(__xludf.DUMMYFUNCTION("""COMPUTED_VALUE"""),"Rizky Jaya Partners")</f>
        <v>Rizky Jaya Partners</v>
      </c>
      <c r="R212" s="85" t="str">
        <f>IFERROR(__xludf.DUMMYFUNCTION("""COMPUTED_VALUE"""),"MUC RIZKY JAYA PARTNERS")</f>
        <v>MUC RIZKY JAYA PARTNERS</v>
      </c>
      <c r="S212" s="85" t="str">
        <f>IFERROR(__xludf.DUMMYFUNCTION("""COMPUTED_VALUE"""),"SUDARSONO")</f>
        <v>SUDARSONO</v>
      </c>
      <c r="T212" s="85" t="str">
        <f>IFERROR(__xludf.DUMMYFUNCTION("""COMPUTED_VALUE"""),"CIBUBUR RT.006/RW 010 Cibubur, Ciracas, Kota Adm. Jakarta Timur, DKI JAKARTA 13720")</f>
        <v>CIBUBUR RT.006/RW 010 Cibubur, Ciracas, Kota Adm. Jakarta Timur, DKI JAKARTA 13720</v>
      </c>
      <c r="U212" s="85" t="str">
        <f>IFERROR(__xludf.DUMMYFUNCTION("""COMPUTED_VALUE"""),"JL. BLOK DUKU NO. 66 RT 005 RW 010")</f>
        <v>JL. BLOK DUKU NO. 66 RT 005 RW 010</v>
      </c>
      <c r="V212" s="85"/>
      <c r="W212" s="85" t="str">
        <f>IFERROR(__xludf.DUMMYFUNCTION("""COMPUTED_VALUE"""),"CIBUBUR")</f>
        <v>CIBUBUR</v>
      </c>
      <c r="X212" s="85" t="str">
        <f>IFERROR(__xludf.DUMMYFUNCTION("""COMPUTED_VALUE"""),"CIRACAS")</f>
        <v>CIRACAS</v>
      </c>
      <c r="Y212" s="85" t="str">
        <f>IFERROR(__xludf.DUMMYFUNCTION("""COMPUTED_VALUE"""),"JAKARTA TIMUR")</f>
        <v>JAKARTA TIMUR</v>
      </c>
      <c r="Z212" s="85" t="str">
        <f>IFERROR(__xludf.DUMMYFUNCTION("""COMPUTED_VALUE"""),"DKI JAKARTA")</f>
        <v>DKI JAKARTA</v>
      </c>
      <c r="AA212" s="85" t="str">
        <f>IFERROR(__xludf.DUMMYFUNCTION("""COMPUTED_VALUE"""),"13720")</f>
        <v>13720</v>
      </c>
      <c r="AB212" s="85" t="str">
        <f>IFERROR(__xludf.DUMMYFUNCTION("""COMPUTED_VALUE"""),"3175090705640004")</f>
        <v>3175090705640004</v>
      </c>
      <c r="AC212" s="85" t="str">
        <f>IFERROR(__xludf.DUMMYFUNCTION("""COMPUTED_VALUE"""),"69.691.158.5-009.000")</f>
        <v>69.691.158.5-009.000</v>
      </c>
      <c r="AD212" s="85" t="str">
        <f>IFERROR(__xludf.DUMMYFUNCTION("""COMPUTED_VALUE"""),"CUM - EEN")</f>
        <v>CUM - EEN</v>
      </c>
      <c r="AE212" s="85" t="str">
        <f>IFERROR(__xludf.DUMMYFUNCTION("""COMPUTED_VALUE"""),"SUB EEN")</f>
        <v>SUB EEN</v>
      </c>
      <c r="AF212" s="85" t="str">
        <f>IFERROR(__xludf.DUMMYFUNCTION("""COMPUTED_VALUE"""),"085803144930")</f>
        <v>085803144930</v>
      </c>
      <c r="AG212" s="85"/>
      <c r="AH212" s="85" t="str">
        <f>IFERROR(__xludf.DUMMYFUNCTION("""COMPUTED_VALUE"""),"tiparo139@gmail.com")</f>
        <v>tiparo139@gmail.com</v>
      </c>
      <c r="AI212" s="85" t="str">
        <f>IFERROR(__xludf.DUMMYFUNCTION("""COMPUTED_VALUE"""),"13720S4")</f>
        <v>13720S4</v>
      </c>
      <c r="AJ212" s="85" t="str">
        <f>IFERROR(__xludf.DUMMYFUNCTION("""COMPUTED_VALUE"""),"6687a322eae569fd8f0c6641")</f>
        <v>6687a322eae569fd8f0c6641</v>
      </c>
      <c r="AK212" s="85" t="str">
        <f>IFERROR(__xludf.DUMMYFUNCTION("""COMPUTED_VALUE"""),"dm13720s4")</f>
        <v>dm13720s4</v>
      </c>
      <c r="AL212" s="85" t="str">
        <f>IFERROR(__xludf.DUMMYFUNCTION("""COMPUTED_VALUE"""),"#13720Pos")</f>
        <v>#13720Pos</v>
      </c>
      <c r="AM212" s="85" t="str">
        <f>IFERROR(__xludf.DUMMYFUNCTION("""COMPUTED_VALUE"""),"KANTOR REGIONAL II JAKARTA 10004")</f>
        <v>KANTOR REGIONAL II JAKARTA 10004</v>
      </c>
      <c r="AN212" s="85" t="str">
        <f>IFERROR(__xludf.DUMMYFUNCTION("""COMPUTED_VALUE"""),"KCU JAKARTAPREMIER 13000")</f>
        <v>KCU JAKARTAPREMIER 13000</v>
      </c>
      <c r="AO212" s="85" t="str">
        <f>IFERROR(__xludf.DUMMYFUNCTION("""COMPUTED_VALUE"""),"3005240037192")</f>
        <v>3005240037192</v>
      </c>
      <c r="AP212" s="85" t="str">
        <f>IFERROR(__xludf.DUMMYFUNCTION("""COMPUTED_VALUE"""),"30052400371920001")</f>
        <v>30052400371920001</v>
      </c>
      <c r="AQ212" s="93"/>
      <c r="AR212" s="85"/>
      <c r="AS212" s="85"/>
      <c r="AT212" s="85" t="str">
        <f>IFERROR(__xludf.DUMMYFUNCTION("""COMPUTED_VALUE"""),"-6.3601745")</f>
        <v>-6.3601745</v>
      </c>
      <c r="AU212" s="85" t="str">
        <f>IFERROR(__xludf.DUMMYFUNCTION("""COMPUTED_VALUE"""),"106.8739152")</f>
        <v>106.8739152</v>
      </c>
      <c r="AV212" s="85"/>
      <c r="AW212" s="85"/>
      <c r="AX212" s="85"/>
      <c r="AY212" s="85"/>
      <c r="AZ212" s="85"/>
      <c r="BA212" s="85"/>
      <c r="BB212" s="85"/>
      <c r="BC212" s="85"/>
      <c r="BD212" s="85"/>
      <c r="BE212" s="85"/>
      <c r="BF212" s="85"/>
      <c r="BG212" s="85"/>
      <c r="BH212" s="85"/>
      <c r="BI212" s="85"/>
      <c r="BJ212" s="85"/>
      <c r="BK212" s="85"/>
      <c r="BL212" s="85"/>
      <c r="BM212" s="85"/>
      <c r="BN212" s="85"/>
      <c r="BO212" s="85"/>
      <c r="BP212" s="85"/>
      <c r="BQ212" s="85"/>
      <c r="BR212" s="85"/>
      <c r="BS212" s="85"/>
      <c r="BT212" s="85"/>
      <c r="BU212" s="85"/>
      <c r="BV212" s="85"/>
      <c r="BW212" s="85"/>
      <c r="BX212" s="85"/>
      <c r="BY212" s="85"/>
      <c r="BZ212" s="85"/>
      <c r="CA212" s="85"/>
      <c r="CB212" s="85"/>
      <c r="CC212" s="85"/>
      <c r="CD212" s="85"/>
      <c r="CE212" s="85"/>
      <c r="CF212" s="85"/>
      <c r="CG212" s="85"/>
      <c r="CH212" s="85"/>
      <c r="CI212" s="85"/>
      <c r="CJ212" s="85"/>
      <c r="CK212" s="2"/>
    </row>
    <row r="213" ht="12.75" customHeight="1">
      <c r="A213" s="80">
        <f>IFERROR(__xludf.DUMMYFUNCTION("""COMPUTED_VALUE"""),210.0)</f>
        <v>210</v>
      </c>
      <c r="B213" s="80"/>
      <c r="C213" s="80"/>
      <c r="D213" s="81"/>
      <c r="E213" s="82"/>
      <c r="F213" s="80"/>
      <c r="G213" s="81"/>
      <c r="H213" s="80"/>
      <c r="I213" s="80"/>
      <c r="J213" s="80"/>
      <c r="K213" s="80"/>
      <c r="L213" s="80"/>
      <c r="M213" s="80"/>
      <c r="N213" s="80"/>
      <c r="O213" s="80"/>
      <c r="P213" s="80" t="str">
        <f>IFERROR(__xludf.DUMMYFUNCTION("""COMPUTED_VALUE"""),"53BSPA04644JBEEN")</f>
        <v>53BSPA04644JBEEN</v>
      </c>
      <c r="Q213" s="80" t="str">
        <f>IFERROR(__xludf.DUMMYFUNCTION("""COMPUTED_VALUE"""),"AZKIA OLSHOP")</f>
        <v>AZKIA OLSHOP</v>
      </c>
      <c r="R213" s="80" t="str">
        <f>IFERROR(__xludf.DUMMYFUNCTION("""COMPUTED_VALUE"""),"MUC AZKIA OLSHOP")</f>
        <v>MUC AZKIA OLSHOP</v>
      </c>
      <c r="S213" s="80" t="str">
        <f>IFERROR(__xludf.DUMMYFUNCTION("""COMPUTED_VALUE"""),"ACHMAD BARORO")</f>
        <v>ACHMAD BARORO</v>
      </c>
      <c r="T213" s="80" t="str">
        <f>IFERROR(__xludf.DUMMYFUNCTION("""COMPUTED_VALUE""")," IKAN GURAMI 5/41 RT 011 RW 006, PERAK BARAT KREMBANGAN SURABAYA ")</f>
        <v> IKAN GURAMI 5/41 RT 011 RW 006, PERAK BARAT KREMBANGAN SURABAYA </v>
      </c>
      <c r="U213" s="80" t="str">
        <f>IFERROR(__xludf.DUMMYFUNCTION("""COMPUTED_VALUE"""),"JL. RAYA LOSARI TIMUR NO. 17 ")</f>
        <v>JL. RAYA LOSARI TIMUR NO. 17 </v>
      </c>
      <c r="V213" s="80"/>
      <c r="W213" s="80" t="str">
        <f>IFERROR(__xludf.DUMMYFUNCTION("""COMPUTED_VALUE"""),"SIDOHARJO")</f>
        <v>SIDOHARJO</v>
      </c>
      <c r="X213" s="80" t="str">
        <f>IFERROR(__xludf.DUMMYFUNCTION("""COMPUTED_VALUE"""),"GEDEG")</f>
        <v>GEDEG</v>
      </c>
      <c r="Y213" s="80" t="str">
        <f>IFERROR(__xludf.DUMMYFUNCTION("""COMPUTED_VALUE"""),"KAB. MOJOKERTO")</f>
        <v>KAB. MOJOKERTO</v>
      </c>
      <c r="Z213" s="80" t="str">
        <f>IFERROR(__xludf.DUMMYFUNCTION("""COMPUTED_VALUE"""),"JAWA TIMUR")</f>
        <v>JAWA TIMUR</v>
      </c>
      <c r="AA213" s="80" t="str">
        <f>IFERROR(__xludf.DUMMYFUNCTION("""COMPUTED_VALUE"""),"61351")</f>
        <v>61351</v>
      </c>
      <c r="AB213" s="80" t="str">
        <f>IFERROR(__xludf.DUMMYFUNCTION("""COMPUTED_VALUE"""),"33578152507790003")</f>
        <v>33578152507790003</v>
      </c>
      <c r="AC213" s="80" t="str">
        <f>IFERROR(__xludf.DUMMYFUNCTION("""COMPUTED_VALUE"""),"86.484.827.0-605.000")</f>
        <v>86.484.827.0-605.000</v>
      </c>
      <c r="AD213" s="80" t="str">
        <f>IFERROR(__xludf.DUMMYFUNCTION("""COMPUTED_VALUE"""),"CUM - EEN")</f>
        <v>CUM - EEN</v>
      </c>
      <c r="AE213" s="80" t="str">
        <f>IFERROR(__xludf.DUMMYFUNCTION("""COMPUTED_VALUE"""),"SUB EEN")</f>
        <v>SUB EEN</v>
      </c>
      <c r="AF213" s="80" t="str">
        <f>IFERROR(__xludf.DUMMYFUNCTION("""COMPUTED_VALUE"""),"08976955556")</f>
        <v>08976955556</v>
      </c>
      <c r="AG213" s="80"/>
      <c r="AH213" s="80" t="str">
        <f>IFERROR(__xludf.DUMMYFUNCTION("""COMPUTED_VALUE"""),"jecko1000@gmail.com")</f>
        <v>jecko1000@gmail.com</v>
      </c>
      <c r="AI213" s="80" t="str">
        <f>IFERROR(__xludf.DUMMYFUNCTION("""COMPUTED_VALUE"""),"61351S6")</f>
        <v>61351S6</v>
      </c>
      <c r="AJ213" s="80" t="str">
        <f>IFERROR(__xludf.DUMMYFUNCTION("""COMPUTED_VALUE"""),"666bf91ddf5dc7d4d50adce1")</f>
        <v>666bf91ddf5dc7d4d50adce1</v>
      </c>
      <c r="AK213" s="80" t="str">
        <f>IFERROR(__xludf.DUMMYFUNCTION("""COMPUTED_VALUE"""),"dm61351s6")</f>
        <v>dm61351s6</v>
      </c>
      <c r="AL213" s="80" t="str">
        <f>IFERROR(__xludf.DUMMYFUNCTION("""COMPUTED_VALUE"""),"#61351Pos")</f>
        <v>#61351Pos</v>
      </c>
      <c r="AM213" s="80" t="str">
        <f>IFERROR(__xludf.DUMMYFUNCTION("""COMPUTED_VALUE"""),"KANTOR REGIONAL V SURABAYA 60004")</f>
        <v>KANTOR REGIONAL V SURABAYA 60004</v>
      </c>
      <c r="AN213" s="80" t="str">
        <f>IFERROR(__xludf.DUMMYFUNCTION("""COMPUTED_VALUE"""),"KC MOJOKERTO 61300")</f>
        <v>KC MOJOKERTO 61300</v>
      </c>
      <c r="AO213" s="80" t="str">
        <f>IFERROR(__xludf.DUMMYFUNCTION("""COMPUTED_VALUE"""),"3105240048803")</f>
        <v>3105240048803</v>
      </c>
      <c r="AP213" s="80" t="str">
        <f>IFERROR(__xludf.DUMMYFUNCTION("""COMPUTED_VALUE"""),"31052400488030001")</f>
        <v>31052400488030001</v>
      </c>
      <c r="AQ213" s="83"/>
      <c r="AR213" s="80"/>
      <c r="AS213" s="80"/>
      <c r="AT213" s="80" t="str">
        <f>IFERROR(__xludf.DUMMYFUNCTION("""COMPUTED_VALUE"""),"-7.4465468")</f>
        <v>-7.4465468</v>
      </c>
      <c r="AU213" s="80" t="str">
        <f>IFERROR(__xludf.DUMMYFUNCTION("""COMPUTED_VALUE"""),"112.4307616")</f>
        <v>112.4307616</v>
      </c>
      <c r="AV213" s="80"/>
      <c r="AW213" s="80"/>
      <c r="AX213" s="80"/>
      <c r="AY213" s="80"/>
      <c r="AZ213" s="80"/>
      <c r="BA213" s="80"/>
      <c r="BB213" s="80"/>
      <c r="BC213" s="80"/>
      <c r="BD213" s="80"/>
      <c r="BE213" s="80"/>
      <c r="BF213" s="80"/>
      <c r="BG213" s="80"/>
      <c r="BH213" s="80"/>
      <c r="BI213" s="80"/>
      <c r="BJ213" s="80"/>
      <c r="BK213" s="80"/>
      <c r="BL213" s="80"/>
      <c r="BM213" s="80"/>
      <c r="BN213" s="80"/>
      <c r="BO213" s="80"/>
      <c r="BP213" s="80"/>
      <c r="BQ213" s="80"/>
      <c r="BR213" s="80"/>
      <c r="BS213" s="80"/>
      <c r="BT213" s="80"/>
      <c r="BU213" s="80"/>
      <c r="BV213" s="80"/>
      <c r="BW213" s="80"/>
      <c r="BX213" s="80"/>
      <c r="BY213" s="80"/>
      <c r="BZ213" s="80"/>
      <c r="CA213" s="80"/>
      <c r="CB213" s="80"/>
      <c r="CC213" s="80"/>
      <c r="CD213" s="80"/>
      <c r="CE213" s="80"/>
      <c r="CF213" s="80"/>
      <c r="CG213" s="80"/>
      <c r="CH213" s="80"/>
      <c r="CI213" s="80"/>
      <c r="CJ213" s="80"/>
      <c r="CK213" s="2"/>
    </row>
    <row r="214" ht="12.75" customHeight="1">
      <c r="A214" s="85">
        <f>IFERROR(__xludf.DUMMYFUNCTION("""COMPUTED_VALUE"""),211.0)</f>
        <v>211</v>
      </c>
      <c r="B214" s="85"/>
      <c r="C214" s="85"/>
      <c r="D214" s="86"/>
      <c r="E214" s="88"/>
      <c r="F214" s="85"/>
      <c r="G214" s="86"/>
      <c r="H214" s="85"/>
      <c r="I214" s="85"/>
      <c r="J214" s="85"/>
      <c r="K214" s="85"/>
      <c r="L214" s="85"/>
      <c r="M214" s="85"/>
      <c r="N214" s="85"/>
      <c r="O214" s="85"/>
      <c r="P214" s="85" t="str">
        <f>IFERROR(__xludf.DUMMYFUNCTION("""COMPUTED_VALUE"""),"53BSPA04799JBEEN")</f>
        <v>53BSPA04799JBEEN</v>
      </c>
      <c r="Q214" s="85" t="str">
        <f>IFERROR(__xludf.DUMMYFUNCTION("""COMPUTED_VALUE"""),"KALIMIN")</f>
        <v>KALIMIN</v>
      </c>
      <c r="R214" s="85" t="str">
        <f>IFERROR(__xludf.DUMMYFUNCTION("""COMPUTED_VALUE"""),"MUC KALIMIN")</f>
        <v>MUC KALIMIN</v>
      </c>
      <c r="S214" s="85" t="str">
        <f>IFERROR(__xludf.DUMMYFUNCTION("""COMPUTED_VALUE"""),"KALIMIN ")</f>
        <v>KALIMIN </v>
      </c>
      <c r="T214" s="85" t="str">
        <f>IFERROR(__xludf.DUMMYFUNCTION("""COMPUTED_VALUE""")," TLAHAB LOR RT 003 RW 004 TLAHAB LOR, KARANGREJA, KAB. PURBALINGGA")</f>
        <v> TLAHAB LOR RT 003 RW 004 TLAHAB LOR, KARANGREJA, KAB. PURBALINGGA</v>
      </c>
      <c r="U214" s="85" t="str">
        <f>IFERROR(__xludf.DUMMYFUNCTION("""COMPUTED_VALUE"""),"JL. HOS COKROAMINOTO NO. 14 RT 001 RW 006 ")</f>
        <v>JL. HOS COKROAMINOTO NO. 14 RT 001 RW 006 </v>
      </c>
      <c r="V214" s="85"/>
      <c r="W214" s="85" t="str">
        <f>IFERROR(__xludf.DUMMYFUNCTION("""COMPUTED_VALUE"""),"KREO SELATAN")</f>
        <v>KREO SELATAN</v>
      </c>
      <c r="X214" s="85" t="str">
        <f>IFERROR(__xludf.DUMMYFUNCTION("""COMPUTED_VALUE"""),"LARANGAN")</f>
        <v>LARANGAN</v>
      </c>
      <c r="Y214" s="85" t="str">
        <f>IFERROR(__xludf.DUMMYFUNCTION("""COMPUTED_VALUE"""),"TANGERANG")</f>
        <v>TANGERANG</v>
      </c>
      <c r="Z214" s="85" t="str">
        <f>IFERROR(__xludf.DUMMYFUNCTION("""COMPUTED_VALUE"""),"BANTEN")</f>
        <v>BANTEN</v>
      </c>
      <c r="AA214" s="85" t="str">
        <f>IFERROR(__xludf.DUMMYFUNCTION("""COMPUTED_VALUE"""),"15156")</f>
        <v>15156</v>
      </c>
      <c r="AB214" s="85" t="str">
        <f>IFERROR(__xludf.DUMMYFUNCTION("""COMPUTED_VALUE"""),"3303101901820001")</f>
        <v>3303101901820001</v>
      </c>
      <c r="AC214" s="85" t="str">
        <f>IFERROR(__xludf.DUMMYFUNCTION("""COMPUTED_VALUE"""),"90.400.948.7-529.000")</f>
        <v>90.400.948.7-529.000</v>
      </c>
      <c r="AD214" s="85" t="str">
        <f>IFERROR(__xludf.DUMMYFUNCTION("""COMPUTED_VALUE"""),"CUM - EEN")</f>
        <v>CUM - EEN</v>
      </c>
      <c r="AE214" s="85" t="str">
        <f>IFERROR(__xludf.DUMMYFUNCTION("""COMPUTED_VALUE"""),"SUB EEN")</f>
        <v>SUB EEN</v>
      </c>
      <c r="AF214" s="85" t="str">
        <f>IFERROR(__xludf.DUMMYFUNCTION("""COMPUTED_VALUE"""),"081281719423")</f>
        <v>081281719423</v>
      </c>
      <c r="AG214" s="85"/>
      <c r="AH214" s="85" t="str">
        <f>IFERROR(__xludf.DUMMYFUNCTION("""COMPUTED_VALUE"""),"kaliminrezorer003@gmail.com")</f>
        <v>kaliminrezorer003@gmail.com</v>
      </c>
      <c r="AI214" s="85" t="str">
        <f>IFERROR(__xludf.DUMMYFUNCTION("""COMPUTED_VALUE"""),"15156S2")</f>
        <v>15156S2</v>
      </c>
      <c r="AJ214" s="85" t="str">
        <f>IFERROR(__xludf.DUMMYFUNCTION("""COMPUTED_VALUE"""),"66724e38de7b6caaa2045a32")</f>
        <v>66724e38de7b6caaa2045a32</v>
      </c>
      <c r="AK214" s="85" t="str">
        <f>IFERROR(__xludf.DUMMYFUNCTION("""COMPUTED_VALUE"""),"dm15156s2")</f>
        <v>dm15156s2</v>
      </c>
      <c r="AL214" s="85" t="str">
        <f>IFERROR(__xludf.DUMMYFUNCTION("""COMPUTED_VALUE"""),"#15156Pos")</f>
        <v>#15156Pos</v>
      </c>
      <c r="AM214" s="85" t="str">
        <f>IFERROR(__xludf.DUMMYFUNCTION("""COMPUTED_VALUE"""),"KANTOR REGIONAL II JAKARTA 10004")</f>
        <v>KANTOR REGIONAL II JAKARTA 10004</v>
      </c>
      <c r="AN214" s="85" t="str">
        <f>IFERROR(__xludf.DUMMYFUNCTION("""COMPUTED_VALUE"""),"KCU TANGERANG 15000")</f>
        <v>KCU TANGERANG 15000</v>
      </c>
      <c r="AO214" s="85" t="str">
        <f>IFERROR(__xludf.DUMMYFUNCTION("""COMPUTED_VALUE"""),"0306240060481")</f>
        <v>0306240060481</v>
      </c>
      <c r="AP214" s="85" t="str">
        <f>IFERROR(__xludf.DUMMYFUNCTION("""COMPUTED_VALUE"""),"03062400604810001")</f>
        <v>03062400604810001</v>
      </c>
      <c r="AQ214" s="93"/>
      <c r="AR214" s="85"/>
      <c r="AS214" s="85"/>
      <c r="AT214" s="85" t="str">
        <f>IFERROR(__xludf.DUMMYFUNCTION("""COMPUTED_VALUE"""),"-6.2356398")</f>
        <v>-6.2356398</v>
      </c>
      <c r="AU214" s="85" t="str">
        <f>IFERROR(__xludf.DUMMYFUNCTION("""COMPUTED_VALUE"""),"106.7415599")</f>
        <v>106.7415599</v>
      </c>
      <c r="AV214" s="85"/>
      <c r="AW214" s="85"/>
      <c r="AX214" s="85"/>
      <c r="AY214" s="85"/>
      <c r="AZ214" s="85"/>
      <c r="BA214" s="85"/>
      <c r="BB214" s="85"/>
      <c r="BC214" s="85"/>
      <c r="BD214" s="85"/>
      <c r="BE214" s="85"/>
      <c r="BF214" s="85"/>
      <c r="BG214" s="85"/>
      <c r="BH214" s="85"/>
      <c r="BI214" s="85"/>
      <c r="BJ214" s="85"/>
      <c r="BK214" s="85"/>
      <c r="BL214" s="85"/>
      <c r="BM214" s="85"/>
      <c r="BN214" s="85"/>
      <c r="BO214" s="85"/>
      <c r="BP214" s="85"/>
      <c r="BQ214" s="85"/>
      <c r="BR214" s="85"/>
      <c r="BS214" s="85"/>
      <c r="BT214" s="85"/>
      <c r="BU214" s="85"/>
      <c r="BV214" s="85"/>
      <c r="BW214" s="85"/>
      <c r="BX214" s="85"/>
      <c r="BY214" s="85"/>
      <c r="BZ214" s="85"/>
      <c r="CA214" s="85"/>
      <c r="CB214" s="85"/>
      <c r="CC214" s="85"/>
      <c r="CD214" s="85"/>
      <c r="CE214" s="85"/>
      <c r="CF214" s="85"/>
      <c r="CG214" s="85"/>
      <c r="CH214" s="85"/>
      <c r="CI214" s="85"/>
      <c r="CJ214" s="85"/>
      <c r="CK214" s="2"/>
    </row>
    <row r="215" ht="12.75" customHeight="1">
      <c r="A215" s="80">
        <f>IFERROR(__xludf.DUMMYFUNCTION("""COMPUTED_VALUE"""),212.0)</f>
        <v>212</v>
      </c>
      <c r="B215" s="80"/>
      <c r="C215" s="80"/>
      <c r="D215" s="81"/>
      <c r="E215" s="82"/>
      <c r="F215" s="80"/>
      <c r="G215" s="81"/>
      <c r="H215" s="80"/>
      <c r="I215" s="80"/>
      <c r="J215" s="80"/>
      <c r="K215" s="80"/>
      <c r="L215" s="80"/>
      <c r="M215" s="80"/>
      <c r="N215" s="80"/>
      <c r="O215" s="80"/>
      <c r="P215" s="80" t="str">
        <f>IFERROR(__xludf.DUMMYFUNCTION("""COMPUTED_VALUE"""),"53BSPA04811JBIKF")</f>
        <v>53BSPA04811JBIKF</v>
      </c>
      <c r="Q215" s="80" t="str">
        <f>IFERROR(__xludf.DUMMYFUNCTION("""COMPUTED_VALUE"""),"QISTINA")</f>
        <v>QISTINA</v>
      </c>
      <c r="R215" s="80" t="str">
        <f>IFERROR(__xludf.DUMMYFUNCTION("""COMPUTED_VALUE"""),"MUC QISTINA")</f>
        <v>MUC QISTINA</v>
      </c>
      <c r="S215" s="80" t="str">
        <f>IFERROR(__xludf.DUMMYFUNCTION("""COMPUTED_VALUE"""),"TRIAS ESARIANA")</f>
        <v>TRIAS ESARIANA</v>
      </c>
      <c r="T215" s="80" t="str">
        <f>IFERROR(__xludf.DUMMYFUNCTION("""COMPUTED_VALUE"""),"KP. ADAWARNA RT 009 RW 004 SIRNAJAYA SUKARAJA TASIK")</f>
        <v>KP. ADAWARNA RT 009 RW 004 SIRNAJAYA SUKARAJA TASIK</v>
      </c>
      <c r="U215" s="80" t="str">
        <f>IFERROR(__xludf.DUMMYFUNCTION("""COMPUTED_VALUE"""),"KP. ADAWARNA RT 009 RW 004")</f>
        <v>KP. ADAWARNA RT 009 RW 004</v>
      </c>
      <c r="V215" s="80"/>
      <c r="W215" s="80" t="str">
        <f>IFERROR(__xludf.DUMMYFUNCTION("""COMPUTED_VALUE"""),"SIRNAJAYA")</f>
        <v>SIRNAJAYA</v>
      </c>
      <c r="X215" s="80" t="str">
        <f>IFERROR(__xludf.DUMMYFUNCTION("""COMPUTED_VALUE"""),"SUKARAJA")</f>
        <v>SUKARAJA</v>
      </c>
      <c r="Y215" s="80" t="str">
        <f>IFERROR(__xludf.DUMMYFUNCTION("""COMPUTED_VALUE"""),"TASIKMALAYA")</f>
        <v>TASIKMALAYA</v>
      </c>
      <c r="Z215" s="80" t="str">
        <f>IFERROR(__xludf.DUMMYFUNCTION("""COMPUTED_VALUE"""),"JAWA BARAT")</f>
        <v>JAWA BARAT</v>
      </c>
      <c r="AA215" s="80" t="str">
        <f>IFERROR(__xludf.DUMMYFUNCTION("""COMPUTED_VALUE"""),"46183")</f>
        <v>46183</v>
      </c>
      <c r="AB215" s="80" t="str">
        <f>IFERROR(__xludf.DUMMYFUNCTION("""COMPUTED_VALUE"""),"3206176803880004")</f>
        <v>3206176803880004</v>
      </c>
      <c r="AC215" s="80" t="str">
        <f>IFERROR(__xludf.DUMMYFUNCTION("""COMPUTED_VALUE"""),"04.328.420.7-425.000")</f>
        <v>04.328.420.7-425.000</v>
      </c>
      <c r="AD215" s="80" t="str">
        <f>IFERROR(__xludf.DUMMYFUNCTION("""COMPUTED_VALUE"""),"CUM - PS - IKF")</f>
        <v>CUM - PS - IKF</v>
      </c>
      <c r="AE215" s="80" t="str">
        <f>IFERROR(__xludf.DUMMYFUNCTION("""COMPUTED_VALUE"""),"SUB IKHFAN POS")</f>
        <v>SUB IKHFAN POS</v>
      </c>
      <c r="AF215" s="80" t="str">
        <f>IFERROR(__xludf.DUMMYFUNCTION("""COMPUTED_VALUE"""),"085321228007")</f>
        <v>085321228007</v>
      </c>
      <c r="AG215" s="80"/>
      <c r="AH215" s="80" t="str">
        <f>IFERROR(__xludf.DUMMYFUNCTION("""COMPUTED_VALUE"""),"triasesariana@gmail.com")</f>
        <v>triasesariana@gmail.com</v>
      </c>
      <c r="AI215" s="80" t="str">
        <f>IFERROR(__xludf.DUMMYFUNCTION("""COMPUTED_VALUE"""),"46483S2")</f>
        <v>46483S2</v>
      </c>
      <c r="AJ215" s="80" t="str">
        <f>IFERROR(__xludf.DUMMYFUNCTION("""COMPUTED_VALUE"""),"666bc365807d961a3b046968")</f>
        <v>666bc365807d961a3b046968</v>
      </c>
      <c r="AK215" s="80" t="str">
        <f>IFERROR(__xludf.DUMMYFUNCTION("""COMPUTED_VALUE"""),"dm46483s2")</f>
        <v>dm46483s2</v>
      </c>
      <c r="AL215" s="80" t="str">
        <f>IFERROR(__xludf.DUMMYFUNCTION("""COMPUTED_VALUE"""),"#46483Pos")</f>
        <v>#46483Pos</v>
      </c>
      <c r="AM215" s="80" t="str">
        <f>IFERROR(__xludf.DUMMYFUNCTION("""COMPUTED_VALUE"""),"KANTOR REGIONAL III BANDUNG 40004")</f>
        <v>KANTOR REGIONAL III BANDUNG 40004</v>
      </c>
      <c r="AN215" s="80" t="str">
        <f>IFERROR(__xludf.DUMMYFUNCTION("""COMPUTED_VALUE"""),"KC TASIKMALAYA 46100")</f>
        <v>KC TASIKMALAYA 46100</v>
      </c>
      <c r="AO215" s="80" t="str">
        <f>IFERROR(__xludf.DUMMYFUNCTION("""COMPUTED_VALUE"""),"0306240038429")</f>
        <v>0306240038429</v>
      </c>
      <c r="AP215" s="80" t="str">
        <f>IFERROR(__xludf.DUMMYFUNCTION("""COMPUTED_VALUE"""),"03062400384290001")</f>
        <v>03062400384290001</v>
      </c>
      <c r="AQ215" s="83"/>
      <c r="AR215" s="80"/>
      <c r="AS215" s="80"/>
      <c r="AT215" s="80" t="str">
        <f>IFERROR(__xludf.DUMMYFUNCTION("""COMPUTED_VALUE"""),"-7.4841614")</f>
        <v>-7.4841614</v>
      </c>
      <c r="AU215" s="80" t="str">
        <f>IFERROR(__xludf.DUMMYFUNCTION("""COMPUTED_VALUE"""),"108.1905608")</f>
        <v>108.1905608</v>
      </c>
      <c r="AV215" s="80"/>
      <c r="AW215" s="80"/>
      <c r="AX215" s="80"/>
      <c r="AY215" s="80"/>
      <c r="AZ215" s="80"/>
      <c r="BA215" s="80"/>
      <c r="BB215" s="80"/>
      <c r="BC215" s="80"/>
      <c r="BD215" s="80"/>
      <c r="BE215" s="80"/>
      <c r="BF215" s="80"/>
      <c r="BG215" s="80"/>
      <c r="BH215" s="80"/>
      <c r="BI215" s="80"/>
      <c r="BJ215" s="80"/>
      <c r="BK215" s="80"/>
      <c r="BL215" s="80"/>
      <c r="BM215" s="80"/>
      <c r="BN215" s="80"/>
      <c r="BO215" s="80"/>
      <c r="BP215" s="80"/>
      <c r="BQ215" s="80"/>
      <c r="BR215" s="80"/>
      <c r="BS215" s="80"/>
      <c r="BT215" s="80"/>
      <c r="BU215" s="80"/>
      <c r="BV215" s="80"/>
      <c r="BW215" s="80"/>
      <c r="BX215" s="80"/>
      <c r="BY215" s="80"/>
      <c r="BZ215" s="80"/>
      <c r="CA215" s="80"/>
      <c r="CB215" s="80"/>
      <c r="CC215" s="80"/>
      <c r="CD215" s="80"/>
      <c r="CE215" s="80"/>
      <c r="CF215" s="80"/>
      <c r="CG215" s="80"/>
      <c r="CH215" s="80"/>
      <c r="CI215" s="80"/>
      <c r="CJ215" s="80"/>
      <c r="CK215" s="2"/>
    </row>
    <row r="216" ht="12.75" customHeight="1">
      <c r="A216" s="85">
        <f>IFERROR(__xludf.DUMMYFUNCTION("""COMPUTED_VALUE"""),213.0)</f>
        <v>213</v>
      </c>
      <c r="B216" s="85"/>
      <c r="C216" s="85"/>
      <c r="D216" s="86"/>
      <c r="E216" s="88"/>
      <c r="F216" s="85"/>
      <c r="G216" s="86"/>
      <c r="H216" s="85"/>
      <c r="I216" s="85"/>
      <c r="J216" s="85"/>
      <c r="K216" s="85"/>
      <c r="L216" s="85"/>
      <c r="M216" s="85"/>
      <c r="N216" s="85"/>
      <c r="O216" s="85"/>
      <c r="P216" s="85" t="str">
        <f>IFERROR(__xludf.DUMMYFUNCTION("""COMPUTED_VALUE"""),"52BSPA07609JTSYF")</f>
        <v>52BSPA07609JTSYF</v>
      </c>
      <c r="Q216" s="85" t="str">
        <f>IFERROR(__xludf.DUMMYFUNCTION("""COMPUTED_VALUE"""),"MUC ZAFA POST")</f>
        <v>MUC ZAFA POST</v>
      </c>
      <c r="R216" s="85" t="str">
        <f>IFERROR(__xludf.DUMMYFUNCTION("""COMPUTED_VALUE"""),"MUC ZAFA POST")</f>
        <v>MUC ZAFA POST</v>
      </c>
      <c r="S216" s="85" t="str">
        <f>IFERROR(__xludf.DUMMYFUNCTION("""COMPUTED_VALUE"""),"HARIS SUTEJO")</f>
        <v>HARIS SUTEJO</v>
      </c>
      <c r="T216" s="85" t="str">
        <f>IFERROR(__xludf.DUMMYFUNCTION("""COMPUTED_VALUE"""),"SIDAPURNA RT 020 RW 003 KEL. SIDAPURNA KEC. DUKUHTURI KAB. TEGAL")</f>
        <v>SIDAPURNA RT 020 RW 003 KEL. SIDAPURNA KEC. DUKUHTURI KAB. TEGAL</v>
      </c>
      <c r="U216" s="85" t="str">
        <f>IFERROR(__xludf.DUMMYFUNCTION("""COMPUTED_VALUE"""),"JL.RAYA RAGA DIPA DS SIDAPURNA RT 25 RW 03")</f>
        <v>JL.RAYA RAGA DIPA DS SIDAPURNA RT 25 RW 03</v>
      </c>
      <c r="V216" s="85"/>
      <c r="W216" s="85" t="str">
        <f>IFERROR(__xludf.DUMMYFUNCTION("""COMPUTED_VALUE"""),"SIDAPURNA")</f>
        <v>SIDAPURNA</v>
      </c>
      <c r="X216" s="85" t="str">
        <f>IFERROR(__xludf.DUMMYFUNCTION("""COMPUTED_VALUE"""),"DUKUHTURI")</f>
        <v>DUKUHTURI</v>
      </c>
      <c r="Y216" s="85" t="str">
        <f>IFERROR(__xludf.DUMMYFUNCTION("""COMPUTED_VALUE"""),"KAB. TEGAL")</f>
        <v>KAB. TEGAL</v>
      </c>
      <c r="Z216" s="85" t="str">
        <f>IFERROR(__xludf.DUMMYFUNCTION("""COMPUTED_VALUE"""),"JAWA TENGAH")</f>
        <v>JAWA TENGAH</v>
      </c>
      <c r="AA216" s="85" t="str">
        <f>IFERROR(__xludf.DUMMYFUNCTION("""COMPUTED_VALUE"""),"52192")</f>
        <v>52192</v>
      </c>
      <c r="AB216" s="85" t="str">
        <f>IFERROR(__xludf.DUMMYFUNCTION("""COMPUTED_VALUE"""),"3328130402780003")</f>
        <v>3328130402780003</v>
      </c>
      <c r="AC216" s="85" t="str">
        <f>IFERROR(__xludf.DUMMYFUNCTION("""COMPUTED_VALUE"""),"45.037.868.2-501.000")</f>
        <v>45.037.868.2-501.000</v>
      </c>
      <c r="AD216" s="85" t="str">
        <f>IFERROR(__xludf.DUMMYFUNCTION("""COMPUTED_VALUE"""),"CUM - PS - SYF")</f>
        <v>CUM - PS - SYF</v>
      </c>
      <c r="AE216" s="85" t="str">
        <f>IFERROR(__xludf.DUMMYFUNCTION("""COMPUTED_VALUE"""),"SUB SYAIFULLOH POS")</f>
        <v>SUB SYAIFULLOH POS</v>
      </c>
      <c r="AF216" s="85" t="str">
        <f>IFERROR(__xludf.DUMMYFUNCTION("""COMPUTED_VALUE"""),"082325827773")</f>
        <v>082325827773</v>
      </c>
      <c r="AG216" s="85"/>
      <c r="AH216" s="85" t="str">
        <f>IFERROR(__xludf.DUMMYFUNCTION("""COMPUTED_VALUE"""),"bundazahra996@gmail.com")</f>
        <v>bundazahra996@gmail.com</v>
      </c>
      <c r="AI216" s="85" t="str">
        <f>IFERROR(__xludf.DUMMYFUNCTION("""COMPUTED_VALUE"""),"52492S4")</f>
        <v>52492S4</v>
      </c>
      <c r="AJ216" s="85" t="str">
        <f>IFERROR(__xludf.DUMMYFUNCTION("""COMPUTED_VALUE"""),"666e3ed4ea42123983073bda")</f>
        <v>666e3ed4ea42123983073bda</v>
      </c>
      <c r="AK216" s="85" t="str">
        <f>IFERROR(__xludf.DUMMYFUNCTION("""COMPUTED_VALUE"""),"dm52492s4")</f>
        <v>dm52492s4</v>
      </c>
      <c r="AL216" s="85" t="str">
        <f>IFERROR(__xludf.DUMMYFUNCTION("""COMPUTED_VALUE"""),"#52492Pos")</f>
        <v>#52492Pos</v>
      </c>
      <c r="AM216" s="85" t="str">
        <f>IFERROR(__xludf.DUMMYFUNCTION("""COMPUTED_VALUE"""),"KANTOR REGIONAL IV SEMARANG 50004")</f>
        <v>KANTOR REGIONAL IV SEMARANG 50004</v>
      </c>
      <c r="AN216" s="85" t="str">
        <f>IFERROR(__xludf.DUMMYFUNCTION("""COMPUTED_VALUE"""),"KC TEGAL 52100")</f>
        <v>KC TEGAL 52100</v>
      </c>
      <c r="AO216" s="85" t="str">
        <f>IFERROR(__xludf.DUMMYFUNCTION("""COMPUTED_VALUE"""),"0606240025994")</f>
        <v>0606240025994</v>
      </c>
      <c r="AP216" s="85" t="str">
        <f>IFERROR(__xludf.DUMMYFUNCTION("""COMPUTED_VALUE"""),"06062400259940001")</f>
        <v>06062400259940001</v>
      </c>
      <c r="AQ216" s="93"/>
      <c r="AR216" s="85"/>
      <c r="AS216" s="85"/>
      <c r="AT216" s="85" t="str">
        <f>IFERROR(__xludf.DUMMYFUNCTION("""COMPUTED_VALUE"""),"-6.8988918")</f>
        <v>-6.8988918</v>
      </c>
      <c r="AU216" s="85" t="str">
        <f>IFERROR(__xludf.DUMMYFUNCTION("""COMPUTED_VALUE"""),"109.0894141")</f>
        <v>109.0894141</v>
      </c>
      <c r="AV216" s="85"/>
      <c r="AW216" s="85"/>
      <c r="AX216" s="85"/>
      <c r="AY216" s="85"/>
      <c r="AZ216" s="85"/>
      <c r="BA216" s="85"/>
      <c r="BB216" s="85"/>
      <c r="BC216" s="85"/>
      <c r="BD216" s="85"/>
      <c r="BE216" s="85"/>
      <c r="BF216" s="85"/>
      <c r="BG216" s="85"/>
      <c r="BH216" s="85"/>
      <c r="BI216" s="85"/>
      <c r="BJ216" s="85"/>
      <c r="BK216" s="85"/>
      <c r="BL216" s="85"/>
      <c r="BM216" s="85"/>
      <c r="BN216" s="85"/>
      <c r="BO216" s="85"/>
      <c r="BP216" s="85"/>
      <c r="BQ216" s="85"/>
      <c r="BR216" s="85"/>
      <c r="BS216" s="85"/>
      <c r="BT216" s="85"/>
      <c r="BU216" s="85"/>
      <c r="BV216" s="85"/>
      <c r="BW216" s="85"/>
      <c r="BX216" s="85"/>
      <c r="BY216" s="85"/>
      <c r="BZ216" s="85"/>
      <c r="CA216" s="85"/>
      <c r="CB216" s="85"/>
      <c r="CC216" s="85"/>
      <c r="CD216" s="85"/>
      <c r="CE216" s="85"/>
      <c r="CF216" s="85"/>
      <c r="CG216" s="85"/>
      <c r="CH216" s="85"/>
      <c r="CI216" s="85"/>
      <c r="CJ216" s="85"/>
      <c r="CK216" s="2"/>
    </row>
    <row r="217" ht="12.75" customHeight="1">
      <c r="A217" s="80">
        <f>IFERROR(__xludf.DUMMYFUNCTION("""COMPUTED_VALUE"""),214.0)</f>
        <v>214</v>
      </c>
      <c r="B217" s="80"/>
      <c r="C217" s="80"/>
      <c r="D217" s="81"/>
      <c r="E217" s="82"/>
      <c r="F217" s="80"/>
      <c r="G217" s="81"/>
      <c r="H217" s="80"/>
      <c r="I217" s="80"/>
      <c r="J217" s="80"/>
      <c r="K217" s="80"/>
      <c r="L217" s="80"/>
      <c r="M217" s="80"/>
      <c r="N217" s="80"/>
      <c r="O217" s="80"/>
      <c r="P217" s="80" t="str">
        <f>IFERROR(__xludf.DUMMYFUNCTION("""COMPUTED_VALUE"""),"MLO5500010CUMBDI")</f>
        <v>MLO5500010CUMBDI</v>
      </c>
      <c r="Q217" s="80" t="str">
        <f>IFERROR(__xludf.DUMMYFUNCTION("""COMPUTED_VALUE"""),"BUMDES JIWANAGARA")</f>
        <v>BUMDES JIWANAGARA</v>
      </c>
      <c r="R217" s="80" t="str">
        <f>IFERROR(__xludf.DUMMYFUNCTION("""COMPUTED_VALUE"""),"MUC BUMDES JIWANAGARA")</f>
        <v>MUC BUMDES JIWANAGARA</v>
      </c>
      <c r="S217" s="80" t="str">
        <f>IFERROR(__xludf.DUMMYFUNCTION("""COMPUTED_VALUE"""),"IR. H. CUCU")</f>
        <v>IR. H. CUCU</v>
      </c>
      <c r="T217" s="80" t="str">
        <f>IFERROR(__xludf.DUMMYFUNCTION("""COMPUTED_VALUE"""),"DUSUN CIROKE RT 003 RW 001")</f>
        <v>DUSUN CIROKE RT 003 RW 001</v>
      </c>
      <c r="U217" s="80" t="str">
        <f>IFERROR(__xludf.DUMMYFUNCTION("""COMPUTED_VALUE"""),"JL. RAYA GOLAT PANUMBANGAN KAB. CIAMIS 46263 ")</f>
        <v>JL. RAYA GOLAT PANUMBANGAN KAB. CIAMIS 46263 </v>
      </c>
      <c r="V217" s="80"/>
      <c r="W217" s="80" t="str">
        <f>IFERROR(__xludf.DUMMYFUNCTION("""COMPUTED_VALUE"""),"GOLAT")</f>
        <v>GOLAT</v>
      </c>
      <c r="X217" s="80" t="str">
        <f>IFERROR(__xludf.DUMMYFUNCTION("""COMPUTED_VALUE"""),"PANUMBANGAN")</f>
        <v>PANUMBANGAN</v>
      </c>
      <c r="Y217" s="80" t="str">
        <f>IFERROR(__xludf.DUMMYFUNCTION("""COMPUTED_VALUE"""),"KAB. CIAMIS")</f>
        <v>KAB. CIAMIS</v>
      </c>
      <c r="Z217" s="80" t="str">
        <f>IFERROR(__xludf.DUMMYFUNCTION("""COMPUTED_VALUE"""),"JAWA BARAT")</f>
        <v>JAWA BARAT</v>
      </c>
      <c r="AA217" s="80" t="str">
        <f>IFERROR(__xludf.DUMMYFUNCTION("""COMPUTED_VALUE"""),"46263")</f>
        <v>46263</v>
      </c>
      <c r="AB217" s="80" t="str">
        <f>IFERROR(__xludf.DUMMYFUNCTION("""COMPUTED_VALUE"""),"3207072311630001")</f>
        <v>3207072311630001</v>
      </c>
      <c r="AC217" s="80" t="str">
        <f>IFERROR(__xludf.DUMMYFUNCTION("""COMPUTED_VALUE"""),"44.192.029.5-442.000")</f>
        <v>44.192.029.5-442.000</v>
      </c>
      <c r="AD217" s="80" t="str">
        <f>IFERROR(__xludf.DUMMYFUNCTION("""COMPUTED_VALUE"""),"CUM - PS - BADI")</f>
        <v>CUM - PS - BADI</v>
      </c>
      <c r="AE217" s="80" t="str">
        <f>IFERROR(__xludf.DUMMYFUNCTION("""COMPUTED_VALUE"""),"SUB BANDI POS")</f>
        <v>SUB BANDI POS</v>
      </c>
      <c r="AF217" s="80" t="str">
        <f>IFERROR(__xludf.DUMMYFUNCTION("""COMPUTED_VALUE"""),"08128784530")</f>
        <v>08128784530</v>
      </c>
      <c r="AG217" s="80"/>
      <c r="AH217" s="80" t="str">
        <f>IFERROR(__xludf.DUMMYFUNCTION("""COMPUTED_VALUE"""),"maquta12@gmail.com")</f>
        <v>maquta12@gmail.com</v>
      </c>
      <c r="AI217" s="80" t="str">
        <f>IFERROR(__xludf.DUMMYFUNCTION("""COMPUTED_VALUE"""),"46263S2")</f>
        <v>46263S2</v>
      </c>
      <c r="AJ217" s="80" t="str">
        <f>IFERROR(__xludf.DUMMYFUNCTION("""COMPUTED_VALUE"""),"6676720f691513e8640a8af7")</f>
        <v>6676720f691513e8640a8af7</v>
      </c>
      <c r="AK217" s="80" t="str">
        <f>IFERROR(__xludf.DUMMYFUNCTION("""COMPUTED_VALUE"""),"dm46263s2")</f>
        <v>dm46263s2</v>
      </c>
      <c r="AL217" s="80" t="str">
        <f>IFERROR(__xludf.DUMMYFUNCTION("""COMPUTED_VALUE"""),"#46263Pos")</f>
        <v>#46263Pos</v>
      </c>
      <c r="AM217" s="80" t="str">
        <f>IFERROR(__xludf.DUMMYFUNCTION("""COMPUTED_VALUE"""),"KANTOR REGIONAL III BANDUNG 40004")</f>
        <v>KANTOR REGIONAL III BANDUNG 40004</v>
      </c>
      <c r="AN217" s="80" t="str">
        <f>IFERROR(__xludf.DUMMYFUNCTION("""COMPUTED_VALUE"""),"KC CIAMIS 46200")</f>
        <v>KC CIAMIS 46200</v>
      </c>
      <c r="AO217" s="80" t="str">
        <f>IFERROR(__xludf.DUMMYFUNCTION("""COMPUTED_VALUE"""),"0204240060937")</f>
        <v>0204240060937</v>
      </c>
      <c r="AP217" s="80" t="str">
        <f>IFERROR(__xludf.DUMMYFUNCTION("""COMPUTED_VALUE"""),"02042400609370001")</f>
        <v>02042400609370001</v>
      </c>
      <c r="AQ217" s="83"/>
      <c r="AR217" s="80"/>
      <c r="AS217" s="80"/>
      <c r="AT217" s="80" t="str">
        <f>IFERROR(__xludf.DUMMYFUNCTION("""COMPUTED_VALUE"""),"-7.1401385")</f>
        <v>-7.1401385</v>
      </c>
      <c r="AU217" s="80" t="str">
        <f>IFERROR(__xludf.DUMMYFUNCTION("""COMPUTED_VALUE"""),"108.2146304")</f>
        <v>108.2146304</v>
      </c>
      <c r="AV217" s="80"/>
      <c r="AW217" s="80"/>
      <c r="AX217" s="80"/>
      <c r="AY217" s="80"/>
      <c r="AZ217" s="80"/>
      <c r="BA217" s="80"/>
      <c r="BB217" s="80"/>
      <c r="BC217" s="80"/>
      <c r="BD217" s="80"/>
      <c r="BE217" s="80"/>
      <c r="BF217" s="80"/>
      <c r="BG217" s="80"/>
      <c r="BH217" s="80"/>
      <c r="BI217" s="80"/>
      <c r="BJ217" s="80"/>
      <c r="BK217" s="80"/>
      <c r="BL217" s="80"/>
      <c r="BM217" s="80"/>
      <c r="BN217" s="80"/>
      <c r="BO217" s="80"/>
      <c r="BP217" s="80"/>
      <c r="BQ217" s="80"/>
      <c r="BR217" s="80"/>
      <c r="BS217" s="80"/>
      <c r="BT217" s="80"/>
      <c r="BU217" s="80"/>
      <c r="BV217" s="80"/>
      <c r="BW217" s="80"/>
      <c r="BX217" s="80"/>
      <c r="BY217" s="80"/>
      <c r="BZ217" s="80"/>
      <c r="CA217" s="80"/>
      <c r="CB217" s="80"/>
      <c r="CC217" s="80"/>
      <c r="CD217" s="80"/>
      <c r="CE217" s="80"/>
      <c r="CF217" s="80"/>
      <c r="CG217" s="80"/>
      <c r="CH217" s="80"/>
      <c r="CI217" s="80"/>
      <c r="CJ217" s="80"/>
      <c r="CK217" s="2"/>
    </row>
    <row r="218" ht="12.75" customHeight="1">
      <c r="A218" s="85">
        <f>IFERROR(__xludf.DUMMYFUNCTION("""COMPUTED_VALUE"""),215.0)</f>
        <v>215</v>
      </c>
      <c r="B218" s="85"/>
      <c r="C218" s="85"/>
      <c r="D218" s="86"/>
      <c r="E218" s="88"/>
      <c r="F218" s="85"/>
      <c r="G218" s="86"/>
      <c r="H218" s="85"/>
      <c r="I218" s="85"/>
      <c r="J218" s="85"/>
      <c r="K218" s="85"/>
      <c r="L218" s="85"/>
      <c r="M218" s="85"/>
      <c r="N218" s="85"/>
      <c r="O218" s="85"/>
      <c r="P218" s="85" t="str">
        <f>IFERROR(__xludf.DUMMYFUNCTION("""COMPUTED_VALUE"""),"53BSPA04812JBYNS")</f>
        <v>53BSPA04812JBYNS</v>
      </c>
      <c r="Q218" s="85" t="str">
        <f>IFERROR(__xludf.DUMMYFUNCTION("""COMPUTED_VALUE"""),"BAROS ELEKTRONIK")</f>
        <v>BAROS ELEKTRONIK</v>
      </c>
      <c r="R218" s="85" t="str">
        <f>IFERROR(__xludf.DUMMYFUNCTION("""COMPUTED_VALUE"""),"MUC BAROS ELEKTRONIK")</f>
        <v>MUC BAROS ELEKTRONIK</v>
      </c>
      <c r="S218" s="85" t="str">
        <f>IFERROR(__xludf.DUMMYFUNCTION("""COMPUTED_VALUE"""),"DENY KURNIAWAN")</f>
        <v>DENY KURNIAWAN</v>
      </c>
      <c r="T218" s="85" t="str">
        <f>IFERROR(__xludf.DUMMYFUNCTION("""COMPUTED_VALUE""")," JL. BAROS PASAR NO. 30 RT 003 RW 001 KEL. LEUWIGAJAH, CIMAHI SELATAN KOTA CIMAHI")</f>
        <v> JL. BAROS PASAR NO. 30 RT 003 RW 001 KEL. LEUWIGAJAH, CIMAHI SELATAN KOTA CIMAHI</v>
      </c>
      <c r="U218" s="85" t="str">
        <f>IFERROR(__xludf.DUMMYFUNCTION("""COMPUTED_VALUE"""),"JL. RAYA BAROS NO. 32 RT 003 RW 001")</f>
        <v>JL. RAYA BAROS NO. 32 RT 003 RW 001</v>
      </c>
      <c r="V218" s="85"/>
      <c r="W218" s="85" t="str">
        <f>IFERROR(__xludf.DUMMYFUNCTION("""COMPUTED_VALUE"""),"LEUWIGAJAH")</f>
        <v>LEUWIGAJAH</v>
      </c>
      <c r="X218" s="85" t="str">
        <f>IFERROR(__xludf.DUMMYFUNCTION("""COMPUTED_VALUE"""),"CIMAHI SELATAN")</f>
        <v>CIMAHI SELATAN</v>
      </c>
      <c r="Y218" s="85" t="str">
        <f>IFERROR(__xludf.DUMMYFUNCTION("""COMPUTED_VALUE"""),"Kota Cimahi")</f>
        <v>Kota Cimahi</v>
      </c>
      <c r="Z218" s="85" t="str">
        <f>IFERROR(__xludf.DUMMYFUNCTION("""COMPUTED_VALUE"""),"JAWA BARAT")</f>
        <v>JAWA BARAT</v>
      </c>
      <c r="AA218" s="85" t="str">
        <f>IFERROR(__xludf.DUMMYFUNCTION("""COMPUTED_VALUE"""),"40532")</f>
        <v>40532</v>
      </c>
      <c r="AB218" s="85" t="str">
        <f>IFERROR(__xludf.DUMMYFUNCTION("""COMPUTED_VALUE"""),"3277012409860002")</f>
        <v>3277012409860002</v>
      </c>
      <c r="AC218" s="85" t="str">
        <f>IFERROR(__xludf.DUMMYFUNCTION("""COMPUTED_VALUE"""),"45.878.538.3-421.000")</f>
        <v>45.878.538.3-421.000</v>
      </c>
      <c r="AD218" s="85" t="str">
        <f>IFERROR(__xludf.DUMMYFUNCTION("""COMPUTED_VALUE"""),"CUM - BSB - JABAR")</f>
        <v>CUM - BSB - JABAR</v>
      </c>
      <c r="AE218" s="85" t="str">
        <f>IFERROR(__xludf.DUMMYFUNCTION("""COMPUTED_VALUE"""),"SUB YANSEN POS")</f>
        <v>SUB YANSEN POS</v>
      </c>
      <c r="AF218" s="85" t="str">
        <f>IFERROR(__xludf.DUMMYFUNCTION("""COMPUTED_VALUE"""),"08179213002")</f>
        <v>08179213002</v>
      </c>
      <c r="AG218" s="85"/>
      <c r="AH218" s="85" t="str">
        <f>IFERROR(__xludf.DUMMYFUNCTION("""COMPUTED_VALUE"""),"denykurn2486@gmail.com")</f>
        <v>denykurn2486@gmail.com</v>
      </c>
      <c r="AI218" s="85" t="str">
        <f>IFERROR(__xludf.DUMMYFUNCTION("""COMPUTED_VALUE"""),"40532S5")</f>
        <v>40532S5</v>
      </c>
      <c r="AJ218" s="85" t="str">
        <f>IFERROR(__xludf.DUMMYFUNCTION("""COMPUTED_VALUE"""),"667d2688527362efe009cfb5")</f>
        <v>667d2688527362efe009cfb5</v>
      </c>
      <c r="AK218" s="85" t="str">
        <f>IFERROR(__xludf.DUMMYFUNCTION("""COMPUTED_VALUE"""),"dm40532s5")</f>
        <v>dm40532s5</v>
      </c>
      <c r="AL218" s="85" t="str">
        <f>IFERROR(__xludf.DUMMYFUNCTION("""COMPUTED_VALUE"""),"#40532Pos")</f>
        <v>#40532Pos</v>
      </c>
      <c r="AM218" s="85" t="str">
        <f>IFERROR(__xludf.DUMMYFUNCTION("""COMPUTED_VALUE"""),"KANTOR REGIONAL III BANDUNG 40004")</f>
        <v>KANTOR REGIONAL III BANDUNG 40004</v>
      </c>
      <c r="AN218" s="85" t="str">
        <f>IFERROR(__xludf.DUMMYFUNCTION("""COMPUTED_VALUE"""),"KC CIMAHI 40500")</f>
        <v>KC CIMAHI 40500</v>
      </c>
      <c r="AO218" s="85" t="str">
        <f>IFERROR(__xludf.DUMMYFUNCTION("""COMPUTED_VALUE"""),"0606240024214")</f>
        <v>0606240024214</v>
      </c>
      <c r="AP218" s="85" t="str">
        <f>IFERROR(__xludf.DUMMYFUNCTION("""COMPUTED_VALUE"""),"06062400242140001")</f>
        <v>06062400242140001</v>
      </c>
      <c r="AQ218" s="93"/>
      <c r="AR218" s="85"/>
      <c r="AS218" s="85"/>
      <c r="AT218" s="85" t="str">
        <f>IFERROR(__xludf.DUMMYFUNCTION("""COMPUTED_VALUE"""),"-6.8957901")</f>
        <v>-6.8957901</v>
      </c>
      <c r="AU218" s="85" t="str">
        <f>IFERROR(__xludf.DUMMYFUNCTION("""COMPUTED_VALUE"""),"107.5362999")</f>
        <v>107.5362999</v>
      </c>
      <c r="AV218" s="85"/>
      <c r="AW218" s="85"/>
      <c r="AX218" s="85"/>
      <c r="AY218" s="85"/>
      <c r="AZ218" s="85"/>
      <c r="BA218" s="85"/>
      <c r="BB218" s="85"/>
      <c r="BC218" s="85"/>
      <c r="BD218" s="85"/>
      <c r="BE218" s="85"/>
      <c r="BF218" s="85"/>
      <c r="BG218" s="85"/>
      <c r="BH218" s="85"/>
      <c r="BI218" s="85"/>
      <c r="BJ218" s="85"/>
      <c r="BK218" s="85"/>
      <c r="BL218" s="85"/>
      <c r="BM218" s="85"/>
      <c r="BN218" s="85"/>
      <c r="BO218" s="85"/>
      <c r="BP218" s="85"/>
      <c r="BQ218" s="85"/>
      <c r="BR218" s="85"/>
      <c r="BS218" s="85"/>
      <c r="BT218" s="85"/>
      <c r="BU218" s="85"/>
      <c r="BV218" s="85"/>
      <c r="BW218" s="85"/>
      <c r="BX218" s="85"/>
      <c r="BY218" s="85"/>
      <c r="BZ218" s="85"/>
      <c r="CA218" s="85"/>
      <c r="CB218" s="85"/>
      <c r="CC218" s="85"/>
      <c r="CD218" s="85"/>
      <c r="CE218" s="85"/>
      <c r="CF218" s="85"/>
      <c r="CG218" s="85"/>
      <c r="CH218" s="85"/>
      <c r="CI218" s="85"/>
      <c r="CJ218" s="85"/>
      <c r="CK218" s="2"/>
    </row>
    <row r="219" ht="12.75" customHeight="1">
      <c r="A219" s="80">
        <f>IFERROR(__xludf.DUMMYFUNCTION("""COMPUTED_VALUE"""),216.0)</f>
        <v>216</v>
      </c>
      <c r="B219" s="80"/>
      <c r="C219" s="80"/>
      <c r="D219" s="81"/>
      <c r="E219" s="82"/>
      <c r="F219" s="80"/>
      <c r="G219" s="81"/>
      <c r="H219" s="80"/>
      <c r="I219" s="80"/>
      <c r="J219" s="80"/>
      <c r="K219" s="80"/>
      <c r="L219" s="80"/>
      <c r="M219" s="80"/>
      <c r="N219" s="80"/>
      <c r="O219" s="80"/>
      <c r="P219" s="80" t="str">
        <f>IFERROR(__xludf.DUMMYFUNCTION("""COMPUTED_VALUE"""),"53BSPA04814JBWDY")</f>
        <v>53BSPA04814JBWDY</v>
      </c>
      <c r="Q219" s="80" t="str">
        <f>IFERROR(__xludf.DUMMYFUNCTION("""COMPUTED_VALUE"""),"SLAMET LAMPU")</f>
        <v>SLAMET LAMPU</v>
      </c>
      <c r="R219" s="80" t="str">
        <f>IFERROR(__xludf.DUMMYFUNCTION("""COMPUTED_VALUE"""),"MUC SLAMET LAMPU")</f>
        <v>MUC SLAMET LAMPU</v>
      </c>
      <c r="S219" s="80" t="str">
        <f>IFERROR(__xludf.DUMMYFUNCTION("""COMPUTED_VALUE"""),"SLAMET RAHAYU")</f>
        <v>SLAMET RAHAYU</v>
      </c>
      <c r="T219" s="80" t="str">
        <f>IFERROR(__xludf.DUMMYFUNCTION("""COMPUTED_VALUE"""),"KETAON RT 018 RW 001 BANYUDONO BOYOLALI")</f>
        <v>KETAON RT 018 RW 001 BANYUDONO BOYOLALI</v>
      </c>
      <c r="U219" s="80" t="str">
        <f>IFERROR(__xludf.DUMMYFUNCTION("""COMPUTED_VALUE"""),"JL. KERTAJAYA - SIDAHARJA DEPAN PASAR TANGGOGO LAKBOK")</f>
        <v>JL. KERTAJAYA - SIDAHARJA DEPAN PASAR TANGGOGO LAKBOK</v>
      </c>
      <c r="V219" s="80"/>
      <c r="W219" s="80" t="str">
        <f>IFERROR(__xludf.DUMMYFUNCTION("""COMPUTED_VALUE"""),"Kertajaya")</f>
        <v>Kertajaya</v>
      </c>
      <c r="X219" s="80" t="str">
        <f>IFERROR(__xludf.DUMMYFUNCTION("""COMPUTED_VALUE"""),"Lakbok")</f>
        <v>Lakbok</v>
      </c>
      <c r="Y219" s="80" t="str">
        <f>IFERROR(__xludf.DUMMYFUNCTION("""COMPUTED_VALUE"""),"Kab. Ciamis")</f>
        <v>Kab. Ciamis</v>
      </c>
      <c r="Z219" s="80" t="str">
        <f>IFERROR(__xludf.DUMMYFUNCTION("""COMPUTED_VALUE"""),"JAWA BARAT")</f>
        <v>JAWA BARAT</v>
      </c>
      <c r="AA219" s="80" t="str">
        <f>IFERROR(__xludf.DUMMYFUNCTION("""COMPUTED_VALUE"""),"46285")</f>
        <v>46285</v>
      </c>
      <c r="AB219" s="80" t="str">
        <f>IFERROR(__xludf.DUMMYFUNCTION("""COMPUTED_VALUE"""),"3207170411800002")</f>
        <v>3207170411800002</v>
      </c>
      <c r="AC219" s="80" t="str">
        <f>IFERROR(__xludf.DUMMYFUNCTION("""COMPUTED_VALUE"""),"80.149.271.1-442.000")</f>
        <v>80.149.271.1-442.000</v>
      </c>
      <c r="AD219" s="80" t="str">
        <f>IFERROR(__xludf.DUMMYFUNCTION("""COMPUTED_VALUE"""),"CUM - PS - WIDY")</f>
        <v>CUM - PS - WIDY</v>
      </c>
      <c r="AE219" s="80" t="str">
        <f>IFERROR(__xludf.DUMMYFUNCTION("""COMPUTED_VALUE"""),"SUB WIDY POS")</f>
        <v>SUB WIDY POS</v>
      </c>
      <c r="AF219" s="80" t="str">
        <f>IFERROR(__xludf.DUMMYFUNCTION("""COMPUTED_VALUE"""),"085324777727")</f>
        <v>085324777727</v>
      </c>
      <c r="AG219" s="80"/>
      <c r="AH219" s="80" t="str">
        <f>IFERROR(__xludf.DUMMYFUNCTION("""COMPUTED_VALUE"""),"slametlampoe@gmail.com")</f>
        <v>slametlampoe@gmail.com</v>
      </c>
      <c r="AI219" s="80" t="str">
        <f>IFERROR(__xludf.DUMMYFUNCTION("""COMPUTED_VALUE"""),"46285S2")</f>
        <v>46285S2</v>
      </c>
      <c r="AJ219" s="80" t="str">
        <f>IFERROR(__xludf.DUMMYFUNCTION("""COMPUTED_VALUE"""),"66825c6c9eeb038eb40c6148")</f>
        <v>66825c6c9eeb038eb40c6148</v>
      </c>
      <c r="AK219" s="80" t="str">
        <f>IFERROR(__xludf.DUMMYFUNCTION("""COMPUTED_VALUE"""),"dm46285s2")</f>
        <v>dm46285s2</v>
      </c>
      <c r="AL219" s="80" t="str">
        <f>IFERROR(__xludf.DUMMYFUNCTION("""COMPUTED_VALUE"""),"#46285Pos")</f>
        <v>#46285Pos</v>
      </c>
      <c r="AM219" s="80" t="str">
        <f>IFERROR(__xludf.DUMMYFUNCTION("""COMPUTED_VALUE"""),"KANTOR REGIONAL III BANDUNG 40004")</f>
        <v>KANTOR REGIONAL III BANDUNG 40004</v>
      </c>
      <c r="AN219" s="80" t="str">
        <f>IFERROR(__xludf.DUMMYFUNCTION("""COMPUTED_VALUE"""),"KC BANJAR 46300")</f>
        <v>KC BANJAR 46300</v>
      </c>
      <c r="AO219" s="80" t="str">
        <f>IFERROR(__xludf.DUMMYFUNCTION("""COMPUTED_VALUE"""),"0706240092472")</f>
        <v>0706240092472</v>
      </c>
      <c r="AP219" s="80" t="str">
        <f>IFERROR(__xludf.DUMMYFUNCTION("""COMPUTED_VALUE"""),"07062400924720001")</f>
        <v>07062400924720001</v>
      </c>
      <c r="AQ219" s="83"/>
      <c r="AR219" s="80"/>
      <c r="AS219" s="80"/>
      <c r="AT219" s="80" t="str">
        <f>IFERROR(__xludf.DUMMYFUNCTION("""COMPUTED_VALUE"""),"-7.4187012")</f>
        <v>-7.4187012</v>
      </c>
      <c r="AU219" s="80" t="str">
        <f>IFERROR(__xludf.DUMMYFUNCTION("""COMPUTED_VALUE"""),"108.6658783")</f>
        <v>108.6658783</v>
      </c>
      <c r="AV219" s="80"/>
      <c r="AW219" s="80"/>
      <c r="AX219" s="80"/>
      <c r="AY219" s="80"/>
      <c r="AZ219" s="80"/>
      <c r="BA219" s="80"/>
      <c r="BB219" s="80"/>
      <c r="BC219" s="80"/>
      <c r="BD219" s="80"/>
      <c r="BE219" s="80"/>
      <c r="BF219" s="80"/>
      <c r="BG219" s="80"/>
      <c r="BH219" s="80"/>
      <c r="BI219" s="80"/>
      <c r="BJ219" s="80"/>
      <c r="BK219" s="80"/>
      <c r="BL219" s="80"/>
      <c r="BM219" s="80"/>
      <c r="BN219" s="80"/>
      <c r="BO219" s="80"/>
      <c r="BP219" s="80"/>
      <c r="BQ219" s="80"/>
      <c r="BR219" s="80"/>
      <c r="BS219" s="80"/>
      <c r="BT219" s="80"/>
      <c r="BU219" s="80"/>
      <c r="BV219" s="80"/>
      <c r="BW219" s="80"/>
      <c r="BX219" s="80"/>
      <c r="BY219" s="80"/>
      <c r="BZ219" s="80"/>
      <c r="CA219" s="80"/>
      <c r="CB219" s="80"/>
      <c r="CC219" s="80"/>
      <c r="CD219" s="80"/>
      <c r="CE219" s="80"/>
      <c r="CF219" s="80"/>
      <c r="CG219" s="80"/>
      <c r="CH219" s="80"/>
      <c r="CI219" s="80"/>
      <c r="CJ219" s="80"/>
      <c r="CK219" s="2"/>
    </row>
    <row r="220" ht="12.75" customHeight="1">
      <c r="A220" s="85">
        <f>IFERROR(__xludf.DUMMYFUNCTION("""COMPUTED_VALUE"""),217.0)</f>
        <v>217</v>
      </c>
      <c r="B220" s="85"/>
      <c r="C220" s="85"/>
      <c r="D220" s="86"/>
      <c r="E220" s="88"/>
      <c r="F220" s="85"/>
      <c r="G220" s="86"/>
      <c r="H220" s="85"/>
      <c r="I220" s="85"/>
      <c r="J220" s="85"/>
      <c r="K220" s="85"/>
      <c r="L220" s="85"/>
      <c r="M220" s="85"/>
      <c r="N220" s="85"/>
      <c r="O220" s="85"/>
      <c r="P220" s="85" t="str">
        <f>IFERROR(__xludf.DUMMYFUNCTION("""COMPUTED_VALUE"""),"MLO5500013CUMLPN")</f>
        <v>MLO5500013CUMLPN</v>
      </c>
      <c r="Q220" s="85" t="str">
        <f>IFERROR(__xludf.DUMMYFUNCTION("""COMPUTED_VALUE"""),"CIRACAS")</f>
        <v>CIRACAS</v>
      </c>
      <c r="R220" s="85" t="str">
        <f>IFERROR(__xludf.DUMMYFUNCTION("""COMPUTED_VALUE"""),"CIRACAS")</f>
        <v>CIRACAS</v>
      </c>
      <c r="S220" s="85" t="str">
        <f>IFERROR(__xludf.DUMMYFUNCTION("""COMPUTED_VALUE"""),"AGUS KAMALUDIN")</f>
        <v>AGUS KAMALUDIN</v>
      </c>
      <c r="T220" s="85"/>
      <c r="U220" s="85" t="str">
        <f>IFERROR(__xludf.DUMMYFUNCTION("""COMPUTED_VALUE"""),"JL. RAYA CENTEX RT 004 RW 010")</f>
        <v>JL. RAYA CENTEX RT 004 RW 010</v>
      </c>
      <c r="V220" s="85"/>
      <c r="W220" s="85"/>
      <c r="X220" s="85"/>
      <c r="Y220" s="85"/>
      <c r="Z220" s="85"/>
      <c r="AA220" s="85"/>
      <c r="AB220" s="85"/>
      <c r="AC220" s="85"/>
      <c r="AD220" s="85" t="str">
        <f>IFERROR(__xludf.DUMMYFUNCTION("""COMPUTED_VALUE"""),"CUM - PS - ALFA")</f>
        <v>CUM - PS - ALFA</v>
      </c>
      <c r="AE220" s="85" t="str">
        <f>IFERROR(__xludf.DUMMYFUNCTION("""COMPUTED_VALUE"""),"SUB ALFIAN POS")</f>
        <v>SUB ALFIAN POS</v>
      </c>
      <c r="AF220" s="85"/>
      <c r="AG220" s="85"/>
      <c r="AH220" s="85"/>
      <c r="AI220" s="85"/>
      <c r="AJ220" s="85"/>
      <c r="AK220" s="85"/>
      <c r="AL220" s="85"/>
      <c r="AM220" s="85"/>
      <c r="AN220" s="85"/>
      <c r="AO220" s="85"/>
      <c r="AP220" s="85"/>
      <c r="AQ220" s="93"/>
      <c r="AR220" s="85"/>
      <c r="AS220" s="85"/>
      <c r="AT220" s="85"/>
      <c r="AU220" s="85"/>
      <c r="AV220" s="85"/>
      <c r="AW220" s="85"/>
      <c r="AX220" s="85"/>
      <c r="AY220" s="85"/>
      <c r="AZ220" s="85"/>
      <c r="BA220" s="85"/>
      <c r="BB220" s="85"/>
      <c r="BC220" s="85"/>
      <c r="BD220" s="85"/>
      <c r="BE220" s="85"/>
      <c r="BF220" s="85"/>
      <c r="BG220" s="85"/>
      <c r="BH220" s="85"/>
      <c r="BI220" s="85"/>
      <c r="BJ220" s="85"/>
      <c r="BK220" s="85"/>
      <c r="BL220" s="85"/>
      <c r="BM220" s="85"/>
      <c r="BN220" s="85"/>
      <c r="BO220" s="85"/>
      <c r="BP220" s="85"/>
      <c r="BQ220" s="85"/>
      <c r="BR220" s="85"/>
      <c r="BS220" s="85"/>
      <c r="BT220" s="85"/>
      <c r="BU220" s="85"/>
      <c r="BV220" s="85"/>
      <c r="BW220" s="85"/>
      <c r="BX220" s="85"/>
      <c r="BY220" s="85"/>
      <c r="BZ220" s="85"/>
      <c r="CA220" s="85"/>
      <c r="CB220" s="85"/>
      <c r="CC220" s="85"/>
      <c r="CD220" s="85"/>
      <c r="CE220" s="85"/>
      <c r="CF220" s="85"/>
      <c r="CG220" s="85"/>
      <c r="CH220" s="85"/>
      <c r="CI220" s="85"/>
      <c r="CJ220" s="85"/>
      <c r="CK220" s="2"/>
    </row>
    <row r="221" ht="14.25" customHeight="1">
      <c r="A221" s="80">
        <f>IFERROR(__xludf.DUMMYFUNCTION("""COMPUTED_VALUE"""),218.0)</f>
        <v>218</v>
      </c>
      <c r="B221" s="80"/>
      <c r="C221" s="80"/>
      <c r="D221" s="81"/>
      <c r="E221" s="82"/>
      <c r="F221" s="80"/>
      <c r="G221" s="81"/>
      <c r="H221" s="80"/>
      <c r="I221" s="80"/>
      <c r="J221" s="80"/>
      <c r="K221" s="80"/>
      <c r="L221" s="80"/>
      <c r="M221" s="80"/>
      <c r="N221" s="80"/>
      <c r="O221" s="80"/>
      <c r="P221" s="80" t="str">
        <f>IFERROR(__xludf.DUMMYFUNCTION("""COMPUTED_VALUE"""),"53BSPA04802JBEEN")</f>
        <v>53BSPA04802JBEEN</v>
      </c>
      <c r="Q221" s="80" t="str">
        <f>IFERROR(__xludf.DUMMYFUNCTION("""COMPUTED_VALUE"""),"DK SEJAHTERA")</f>
        <v>DK SEJAHTERA</v>
      </c>
      <c r="R221" s="80" t="str">
        <f>IFERROR(__xludf.DUMMYFUNCTION("""COMPUTED_VALUE"""),"MUC DK SEJAHTERA")</f>
        <v>MUC DK SEJAHTERA</v>
      </c>
      <c r="S221" s="80" t="str">
        <f>IFERROR(__xludf.DUMMYFUNCTION("""COMPUTED_VALUE"""),"DEDY KURNIADI")</f>
        <v>DEDY KURNIADI</v>
      </c>
      <c r="T221" s="80" t="str">
        <f>IFERROR(__xludf.DUMMYFUNCTION("""COMPUTED_VALUE""")," JL. SDN KRUKUT 01 RT 002 RW 003 KRUKUT LIMO")</f>
        <v> JL. SDN KRUKUT 01 RT 002 RW 003 KRUKUT LIMO</v>
      </c>
      <c r="U221" s="80" t="str">
        <f>IFERROR(__xludf.DUMMYFUNCTION("""COMPUTED_VALUE"""),"JL. AMPERA RAYA NO. RT 001 RW 009 ")</f>
        <v>JL. AMPERA RAYA NO. RT 001 RW 009 </v>
      </c>
      <c r="V221" s="80"/>
      <c r="W221" s="80" t="str">
        <f>IFERROR(__xludf.DUMMYFUNCTION("""COMPUTED_VALUE"""),"RAGUNAN")</f>
        <v>RAGUNAN</v>
      </c>
      <c r="X221" s="80" t="str">
        <f>IFERROR(__xludf.DUMMYFUNCTION("""COMPUTED_VALUE"""),"PASAR MINGGU")</f>
        <v>PASAR MINGGU</v>
      </c>
      <c r="Y221" s="80" t="str">
        <f>IFERROR(__xludf.DUMMYFUNCTION("""COMPUTED_VALUE"""),"JAKARTA SELATAN")</f>
        <v>JAKARTA SELATAN</v>
      </c>
      <c r="Z221" s="80" t="str">
        <f>IFERROR(__xludf.DUMMYFUNCTION("""COMPUTED_VALUE"""),"DKI JAKARTA")</f>
        <v>DKI JAKARTA</v>
      </c>
      <c r="AA221" s="80" t="str">
        <f>IFERROR(__xludf.DUMMYFUNCTION("""COMPUTED_VALUE"""),"12560")</f>
        <v>12560</v>
      </c>
      <c r="AB221" s="80" t="str">
        <f>IFERROR(__xludf.DUMMYFUNCTION("""COMPUTED_VALUE"""),"3276040106740002")</f>
        <v>3276040106740002</v>
      </c>
      <c r="AC221" s="80" t="str">
        <f>IFERROR(__xludf.DUMMYFUNCTION("""COMPUTED_VALUE"""),"44.447.680.8-412.000")</f>
        <v>44.447.680.8-412.000</v>
      </c>
      <c r="AD221" s="80" t="str">
        <f>IFERROR(__xludf.DUMMYFUNCTION("""COMPUTED_VALUE"""),"CUM - EEN")</f>
        <v>CUM - EEN</v>
      </c>
      <c r="AE221" s="80" t="str">
        <f>IFERROR(__xludf.DUMMYFUNCTION("""COMPUTED_VALUE"""),"SUB EEN")</f>
        <v>SUB EEN</v>
      </c>
      <c r="AF221" s="80" t="str">
        <f>IFERROR(__xludf.DUMMYFUNCTION("""COMPUTED_VALUE"""),"081377917415")</f>
        <v>081377917415</v>
      </c>
      <c r="AG221" s="80"/>
      <c r="AH221" s="80" t="str">
        <f>IFERROR(__xludf.DUMMYFUNCTION("""COMPUTED_VALUE"""),"dkurniadi51@gmail.com")</f>
        <v>dkurniadi51@gmail.com</v>
      </c>
      <c r="AI221" s="80" t="str">
        <f>IFERROR(__xludf.DUMMYFUNCTION("""COMPUTED_VALUE"""),"12550S5")</f>
        <v>12550S5</v>
      </c>
      <c r="AJ221" s="80" t="str">
        <f>IFERROR(__xludf.DUMMYFUNCTION("""COMPUTED_VALUE"""),"668a05744e9b88f16e0e9ccd")</f>
        <v>668a05744e9b88f16e0e9ccd</v>
      </c>
      <c r="AK221" s="80" t="str">
        <f>IFERROR(__xludf.DUMMYFUNCTION("""COMPUTED_VALUE"""),"dm12550s5")</f>
        <v>dm12550s5</v>
      </c>
      <c r="AL221" s="80" t="str">
        <f>IFERROR(__xludf.DUMMYFUNCTION("""COMPUTED_VALUE"""),"#12550Pos")</f>
        <v>#12550Pos</v>
      </c>
      <c r="AM221" s="80" t="str">
        <f>IFERROR(__xludf.DUMMYFUNCTION("""COMPUTED_VALUE"""),"KANTOR REGIONAL II JAKARTA 10004")</f>
        <v>KANTOR REGIONAL II JAKARTA 10004</v>
      </c>
      <c r="AN221" s="80" t="str">
        <f>IFERROR(__xludf.DUMMYFUNCTION("""COMPUTED_VALUE"""),"KCU JAKARTAFLORA 12000")</f>
        <v>KCU JAKARTAFLORA 12000</v>
      </c>
      <c r="AO221" s="80" t="str">
        <f>IFERROR(__xludf.DUMMYFUNCTION("""COMPUTED_VALUE"""),"1306240061527")</f>
        <v>1306240061527</v>
      </c>
      <c r="AP221" s="80" t="str">
        <f>IFERROR(__xludf.DUMMYFUNCTION("""COMPUTED_VALUE"""),"13062400615270001")</f>
        <v>13062400615270001</v>
      </c>
      <c r="AQ221" s="83"/>
      <c r="AR221" s="80"/>
      <c r="AS221" s="80"/>
      <c r="AT221" s="80" t="str">
        <f>IFERROR(__xludf.DUMMYFUNCTION("""COMPUTED_VALUE"""),"-6.2865213")</f>
        <v>-6.2865213</v>
      </c>
      <c r="AU221" s="80" t="str">
        <f>IFERROR(__xludf.DUMMYFUNCTION("""COMPUTED_VALUE"""),"106.8187346")</f>
        <v>106.8187346</v>
      </c>
      <c r="AV221" s="80"/>
      <c r="AW221" s="80"/>
      <c r="AX221" s="80"/>
      <c r="AY221" s="80"/>
      <c r="AZ221" s="80"/>
      <c r="BA221" s="80"/>
      <c r="BB221" s="80"/>
      <c r="BC221" s="80"/>
      <c r="BD221" s="80"/>
      <c r="BE221" s="80"/>
      <c r="BF221" s="80"/>
      <c r="BG221" s="80"/>
      <c r="BH221" s="80"/>
      <c r="BI221" s="80"/>
      <c r="BJ221" s="80"/>
      <c r="BK221" s="80"/>
      <c r="BL221" s="80"/>
      <c r="BM221" s="80"/>
      <c r="BN221" s="80"/>
      <c r="BO221" s="80"/>
      <c r="BP221" s="80"/>
      <c r="BQ221" s="80"/>
      <c r="BR221" s="80"/>
      <c r="BS221" s="80"/>
      <c r="BT221" s="80"/>
      <c r="BU221" s="80"/>
      <c r="BV221" s="80"/>
      <c r="BW221" s="80"/>
      <c r="BX221" s="80"/>
      <c r="BY221" s="80"/>
      <c r="BZ221" s="80"/>
      <c r="CA221" s="80"/>
      <c r="CB221" s="80"/>
      <c r="CC221" s="80"/>
      <c r="CD221" s="80"/>
      <c r="CE221" s="80"/>
      <c r="CF221" s="80"/>
      <c r="CG221" s="80"/>
      <c r="CH221" s="80"/>
      <c r="CI221" s="80"/>
      <c r="CJ221" s="80"/>
      <c r="CK221" s="2"/>
    </row>
    <row r="222" ht="14.25" customHeight="1">
      <c r="A222" s="85">
        <f>IFERROR(__xludf.DUMMYFUNCTION("""COMPUTED_VALUE"""),219.0)</f>
        <v>219</v>
      </c>
      <c r="B222" s="85"/>
      <c r="C222" s="85"/>
      <c r="D222" s="86"/>
      <c r="E222" s="88"/>
      <c r="F222" s="85"/>
      <c r="G222" s="86"/>
      <c r="H222" s="85"/>
      <c r="I222" s="85"/>
      <c r="J222" s="85"/>
      <c r="K222" s="85"/>
      <c r="L222" s="85"/>
      <c r="M222" s="85"/>
      <c r="N222" s="85"/>
      <c r="O222" s="85"/>
      <c r="P222" s="85" t="str">
        <f>IFERROR(__xludf.DUMMYFUNCTION("""COMPUTED_VALUE"""),"53BSPA04803JBEEN")</f>
        <v>53BSPA04803JBEEN</v>
      </c>
      <c r="Q222" s="85" t="str">
        <f>IFERROR(__xludf.DUMMYFUNCTION("""COMPUTED_VALUE"""),"WAN ANEKA PLASTIK 1")</f>
        <v>WAN ANEKA PLASTIK 1</v>
      </c>
      <c r="R222" s="85"/>
      <c r="S222" s="85"/>
      <c r="T222" s="85"/>
      <c r="U222" s="85"/>
      <c r="V222" s="85"/>
      <c r="W222" s="85"/>
      <c r="X222" s="85"/>
      <c r="Y222" s="85"/>
      <c r="Z222" s="85"/>
      <c r="AA222" s="85"/>
      <c r="AB222" s="85"/>
      <c r="AC222" s="85"/>
      <c r="AD222" s="85" t="str">
        <f>IFERROR(__xludf.DUMMYFUNCTION("""COMPUTED_VALUE"""),"CUM - EEN")</f>
        <v>CUM - EEN</v>
      </c>
      <c r="AE222" s="85" t="str">
        <f>IFERROR(__xludf.DUMMYFUNCTION("""COMPUTED_VALUE"""),"SUB EEN")</f>
        <v>SUB EEN</v>
      </c>
      <c r="AF222" s="85"/>
      <c r="AG222" s="85"/>
      <c r="AH222" s="85"/>
      <c r="AI222" s="85" t="str">
        <f>IFERROR(__xludf.DUMMYFUNCTION("""COMPUTED_VALUE"""),"15577S1")</f>
        <v>15577S1</v>
      </c>
      <c r="AJ222" s="85" t="str">
        <f>IFERROR(__xludf.DUMMYFUNCTION("""COMPUTED_VALUE"""),"6390381366acc15d1a56fd46")</f>
        <v>6390381366acc15d1a56fd46</v>
      </c>
      <c r="AK222" s="85" t="str">
        <f>IFERROR(__xludf.DUMMYFUNCTION("""COMPUTED_VALUE"""),"dm15577s1")</f>
        <v>dm15577s1</v>
      </c>
      <c r="AL222" s="85" t="str">
        <f>IFERROR(__xludf.DUMMYFUNCTION("""COMPUTED_VALUE"""),"password")</f>
        <v>password</v>
      </c>
      <c r="AM222" s="85"/>
      <c r="AN222" s="85"/>
      <c r="AO222" s="85"/>
      <c r="AP222" s="85"/>
      <c r="AQ222" s="93"/>
      <c r="AR222" s="85"/>
      <c r="AS222" s="85"/>
      <c r="AT222" s="85"/>
      <c r="AU222" s="85"/>
      <c r="AV222" s="85"/>
      <c r="AW222" s="85"/>
      <c r="AX222" s="85"/>
      <c r="AY222" s="85"/>
      <c r="AZ222" s="85"/>
      <c r="BA222" s="85"/>
      <c r="BB222" s="85"/>
      <c r="BC222" s="85"/>
      <c r="BD222" s="85"/>
      <c r="BE222" s="85"/>
      <c r="BF222" s="85"/>
      <c r="BG222" s="85"/>
      <c r="BH222" s="85"/>
      <c r="BI222" s="85"/>
      <c r="BJ222" s="85"/>
      <c r="BK222" s="85"/>
      <c r="BL222" s="85"/>
      <c r="BM222" s="85"/>
      <c r="BN222" s="85"/>
      <c r="BO222" s="85"/>
      <c r="BP222" s="85"/>
      <c r="BQ222" s="85"/>
      <c r="BR222" s="85"/>
      <c r="BS222" s="85"/>
      <c r="BT222" s="85"/>
      <c r="BU222" s="85"/>
      <c r="BV222" s="85"/>
      <c r="BW222" s="85"/>
      <c r="BX222" s="85"/>
      <c r="BY222" s="85"/>
      <c r="BZ222" s="85"/>
      <c r="CA222" s="85"/>
      <c r="CB222" s="85"/>
      <c r="CC222" s="85"/>
      <c r="CD222" s="85"/>
      <c r="CE222" s="85"/>
      <c r="CF222" s="85"/>
      <c r="CG222" s="85"/>
      <c r="CH222" s="85"/>
      <c r="CI222" s="85"/>
      <c r="CJ222" s="85"/>
      <c r="CK222" s="2"/>
    </row>
    <row r="223" ht="14.25" customHeight="1">
      <c r="A223" s="80">
        <f>IFERROR(__xludf.DUMMYFUNCTION("""COMPUTED_VALUE"""),220.0)</f>
        <v>220</v>
      </c>
      <c r="B223" s="80"/>
      <c r="C223" s="80"/>
      <c r="D223" s="81"/>
      <c r="E223" s="82"/>
      <c r="F223" s="80"/>
      <c r="G223" s="81"/>
      <c r="H223" s="80"/>
      <c r="I223" s="80"/>
      <c r="J223" s="80"/>
      <c r="K223" s="80"/>
      <c r="L223" s="80"/>
      <c r="M223" s="80"/>
      <c r="N223" s="80"/>
      <c r="O223" s="80"/>
      <c r="P223" s="80" t="str">
        <f>IFERROR(__xludf.DUMMYFUNCTION("""COMPUTED_VALUE"""),"52BSPA07625JTSYF")</f>
        <v>52BSPA07625JTSYF</v>
      </c>
      <c r="Q223" s="80" t="str">
        <f>IFERROR(__xludf.DUMMYFUNCTION("""COMPUTED_VALUE"""),"P.A. PUTRI AISYIYAH")</f>
        <v>P.A. PUTRI AISYIYAH</v>
      </c>
      <c r="R223" s="80" t="str">
        <f>IFERROR(__xludf.DUMMYFUNCTION("""COMPUTED_VALUE"""),"MUC PA PUTRI AISYIYAH")</f>
        <v>MUC PA PUTRI AISYIYAH</v>
      </c>
      <c r="S223" s="80" t="str">
        <f>IFERROR(__xludf.DUMMYFUNCTION("""COMPUTED_VALUE"""),"AKHMAD ISKANDAR")</f>
        <v>AKHMAD ISKANDAR</v>
      </c>
      <c r="T223" s="80" t="str">
        <f>IFERROR(__xludf.DUMMYFUNCTION("""COMPUTED_VALUE""")," JL. INDUSTRI-SURABAYAN RT 001 RW 014 PANGGUNG, TEGAL TIMUR")</f>
        <v> JL. INDUSTRI-SURABAYAN RT 001 RW 014 PANGGUNG, TEGAL TIMUR</v>
      </c>
      <c r="U223" s="80" t="str">
        <f>IFERROR(__xludf.DUMMYFUNCTION("""COMPUTED_VALUE""")," JL. RAYA KARANGANYAR NO. 19")</f>
        <v> JL. RAYA KARANGANYAR NO. 19</v>
      </c>
      <c r="V223" s="80"/>
      <c r="W223" s="80" t="str">
        <f>IFERROR(__xludf.DUMMYFUNCTION("""COMPUTED_VALUE"""),"PEKAUMAN KULON")</f>
        <v>PEKAUMAN KULON</v>
      </c>
      <c r="X223" s="80" t="str">
        <f>IFERROR(__xludf.DUMMYFUNCTION("""COMPUTED_VALUE"""),"DUKUHTURI")</f>
        <v>DUKUHTURI</v>
      </c>
      <c r="Y223" s="80" t="str">
        <f>IFERROR(__xludf.DUMMYFUNCTION("""COMPUTED_VALUE"""),"TEGAL")</f>
        <v>TEGAL</v>
      </c>
      <c r="Z223" s="80" t="str">
        <f>IFERROR(__xludf.DUMMYFUNCTION("""COMPUTED_VALUE"""),"JAWA TENGAH")</f>
        <v>JAWA TENGAH</v>
      </c>
      <c r="AA223" s="80" t="str">
        <f>IFERROR(__xludf.DUMMYFUNCTION("""COMPUTED_VALUE"""),"52192")</f>
        <v>52192</v>
      </c>
      <c r="AB223" s="80" t="str">
        <f>IFERROR(__xludf.DUMMYFUNCTION("""COMPUTED_VALUE"""),"3328130902830007")</f>
        <v>3328130902830007</v>
      </c>
      <c r="AC223" s="80" t="str">
        <f>IFERROR(__xludf.DUMMYFUNCTION("""COMPUTED_VALUE"""),"02.575.399.7-501.000")</f>
        <v>02.575.399.7-501.000</v>
      </c>
      <c r="AD223" s="80" t="str">
        <f>IFERROR(__xludf.DUMMYFUNCTION("""COMPUTED_VALUE"""),"CUM - PS - SYF")</f>
        <v>CUM - PS - SYF</v>
      </c>
      <c r="AE223" s="80" t="str">
        <f>IFERROR(__xludf.DUMMYFUNCTION("""COMPUTED_VALUE"""),"SUB SYAIFULLOH POS")</f>
        <v>SUB SYAIFULLOH POS</v>
      </c>
      <c r="AF223" s="80" t="str">
        <f>IFERROR(__xludf.DUMMYFUNCTION("""COMPUTED_VALUE"""),"085713818441")</f>
        <v>085713818441</v>
      </c>
      <c r="AG223" s="80"/>
      <c r="AH223" s="80" t="str">
        <f>IFERROR(__xludf.DUMMYFUNCTION("""COMPUTED_VALUE"""),"akhmadiskandar83@gmail.com ")</f>
        <v>akhmadiskandar83@gmail.com </v>
      </c>
      <c r="AI223" s="80"/>
      <c r="AJ223" s="80"/>
      <c r="AK223" s="80"/>
      <c r="AL223" s="80"/>
      <c r="AM223" s="80"/>
      <c r="AN223" s="80" t="str">
        <f>IFERROR(__xludf.DUMMYFUNCTION("""COMPUTED_VALUE"""),"KC TEGAL 52100")</f>
        <v>KC TEGAL 52100</v>
      </c>
      <c r="AO223" s="80" t="str">
        <f>IFERROR(__xludf.DUMMYFUNCTION("""COMPUTED_VALUE"""),"3005220002775")</f>
        <v>3005220002775</v>
      </c>
      <c r="AP223" s="80" t="str">
        <f>IFERROR(__xludf.DUMMYFUNCTION("""COMPUTED_VALUE"""),"30052200027750001")</f>
        <v>30052200027750001</v>
      </c>
      <c r="AQ223" s="83"/>
      <c r="AR223" s="80"/>
      <c r="AS223" s="80"/>
      <c r="AT223" s="80" t="str">
        <f>IFERROR(__xludf.DUMMYFUNCTION("""COMPUTED_VALUE"""),"-6,8905415 ")</f>
        <v>-6,8905415 </v>
      </c>
      <c r="AU223" s="80" t="str">
        <f>IFERROR(__xludf.DUMMYFUNCTION("""COMPUTED_VALUE"""),"109.1356050")</f>
        <v>109.1356050</v>
      </c>
      <c r="AV223" s="80"/>
      <c r="AW223" s="80"/>
      <c r="AX223" s="80"/>
      <c r="AY223" s="80"/>
      <c r="AZ223" s="80"/>
      <c r="BA223" s="80"/>
      <c r="BB223" s="80"/>
      <c r="BC223" s="80"/>
      <c r="BD223" s="80"/>
      <c r="BE223" s="80"/>
      <c r="BF223" s="80"/>
      <c r="BG223" s="80"/>
      <c r="BH223" s="80"/>
      <c r="BI223" s="80"/>
      <c r="BJ223" s="80"/>
      <c r="BK223" s="80"/>
      <c r="BL223" s="80"/>
      <c r="BM223" s="80"/>
      <c r="BN223" s="80"/>
      <c r="BO223" s="80"/>
      <c r="BP223" s="80"/>
      <c r="BQ223" s="80"/>
      <c r="BR223" s="80"/>
      <c r="BS223" s="80"/>
      <c r="BT223" s="80" t="str">
        <f>IFERROR(__xludf.DUMMYFUNCTION("""COMPUTED_VALUE"""),"CANCEL")</f>
        <v>CANCEL</v>
      </c>
      <c r="BU223" s="80"/>
      <c r="BV223" s="80"/>
      <c r="BW223" s="80"/>
      <c r="BX223" s="80"/>
      <c r="BY223" s="80"/>
      <c r="BZ223" s="80"/>
      <c r="CA223" s="80"/>
      <c r="CB223" s="80"/>
      <c r="CC223" s="80"/>
      <c r="CD223" s="80"/>
      <c r="CE223" s="80"/>
      <c r="CF223" s="80"/>
      <c r="CG223" s="80"/>
      <c r="CH223" s="80"/>
      <c r="CI223" s="80"/>
      <c r="CJ223" s="80"/>
      <c r="CK223" s="2"/>
    </row>
    <row r="224" ht="14.25" customHeight="1">
      <c r="A224" s="85">
        <f>IFERROR(__xludf.DUMMYFUNCTION("""COMPUTED_VALUE"""),221.0)</f>
        <v>221</v>
      </c>
      <c r="B224" s="85"/>
      <c r="C224" s="85"/>
      <c r="D224" s="86"/>
      <c r="E224" s="88"/>
      <c r="F224" s="85"/>
      <c r="G224" s="86"/>
      <c r="H224" s="85"/>
      <c r="I224" s="85"/>
      <c r="J224" s="85"/>
      <c r="K224" s="85"/>
      <c r="L224" s="85"/>
      <c r="M224" s="85"/>
      <c r="N224" s="85"/>
      <c r="O224" s="85"/>
      <c r="P224" s="85" t="str">
        <f>IFERROR(__xludf.DUMMYFUNCTION("""COMPUTED_VALUE"""),"MLO5500014CUMGSI")</f>
        <v>MLO5500014CUMGSI</v>
      </c>
      <c r="Q224" s="85" t="str">
        <f>IFERROR(__xludf.DUMMYFUNCTION("""COMPUTED_VALUE"""),"Rayya Aisy Agency")</f>
        <v>Rayya Aisy Agency</v>
      </c>
      <c r="R224" s="85" t="str">
        <f>IFERROR(__xludf.DUMMYFUNCTION("""COMPUTED_VALUE"""),"BM KCP GARAWANGI")</f>
        <v>BM KCP GARAWANGI</v>
      </c>
      <c r="S224" s="85" t="str">
        <f>IFERROR(__xludf.DUMMYFUNCTION("""COMPUTED_VALUE"""),"ANO WASNO")</f>
        <v>ANO WASNO</v>
      </c>
      <c r="T224" s="85" t="str">
        <f>IFERROR(__xludf.DUMMYFUNCTION("""COMPUTED_VALUE"""),"Dusun karangkamulyan Rt 3 Rw 7 Desa Ciwaru Kec.Ciwaru Kab.kuningan")</f>
        <v>Dusun karangkamulyan Rt 3 Rw 7 Desa Ciwaru Kec.Ciwaru Kab.kuningan</v>
      </c>
      <c r="U224" s="85" t="str">
        <f>IFERROR(__xludf.DUMMYFUNCTION("""COMPUTED_VALUE"""),"Jl. Balong - Garawangi")</f>
        <v>Jl. Balong - Garawangi</v>
      </c>
      <c r="V224" s="85"/>
      <c r="W224" s="85" t="str">
        <f>IFERROR(__xludf.DUMMYFUNCTION("""COMPUTED_VALUE"""),"Garawangi")</f>
        <v>Garawangi</v>
      </c>
      <c r="X224" s="85" t="str">
        <f>IFERROR(__xludf.DUMMYFUNCTION("""COMPUTED_VALUE"""),"Garawangi")</f>
        <v>Garawangi</v>
      </c>
      <c r="Y224" s="85" t="str">
        <f>IFERROR(__xludf.DUMMYFUNCTION("""COMPUTED_VALUE"""),"KUNINGAN")</f>
        <v>KUNINGAN</v>
      </c>
      <c r="Z224" s="85" t="str">
        <f>IFERROR(__xludf.DUMMYFUNCTION("""COMPUTED_VALUE"""),"JAWA BARAT")</f>
        <v>JAWA BARAT</v>
      </c>
      <c r="AA224" s="85" t="str">
        <f>IFERROR(__xludf.DUMMYFUNCTION("""COMPUTED_VALUE"""),"45571")</f>
        <v>45571</v>
      </c>
      <c r="AB224" s="85" t="str">
        <f>IFERROR(__xludf.DUMMYFUNCTION("""COMPUTED_VALUE"""),"3208096902920006")</f>
        <v>3208096902920006</v>
      </c>
      <c r="AC224" s="85" t="str">
        <f>IFERROR(__xludf.DUMMYFUNCTION("""COMPUTED_VALUE"""),"76.155.996.2-438.000")</f>
        <v>76.155.996.2-438.000</v>
      </c>
      <c r="AD224" s="85" t="str">
        <f>IFERROR(__xludf.DUMMYFUNCTION("""COMPUTED_VALUE"""),"CUM - PS - GSI")</f>
        <v>CUM - PS - GSI</v>
      </c>
      <c r="AE224" s="85" t="str">
        <f>IFERROR(__xludf.DUMMYFUNCTION("""COMPUTED_VALUE"""),"SUB GUMILAR POS")</f>
        <v>SUB GUMILAR POS</v>
      </c>
      <c r="AF224" s="85" t="str">
        <f>IFERROR(__xludf.DUMMYFUNCTION("""COMPUTED_VALUE"""),"081224301717")</f>
        <v>081224301717</v>
      </c>
      <c r="AG224" s="85"/>
      <c r="AH224" s="85" t="str">
        <f>IFERROR(__xludf.DUMMYFUNCTION("""COMPUTED_VALUE"""),"ano.wasno151188@gmail.com")</f>
        <v>ano.wasno151188@gmail.com</v>
      </c>
      <c r="AI224" s="85" t="str">
        <f>IFERROR(__xludf.DUMMYFUNCTION("""COMPUTED_VALUE"""),"45571S4")</f>
        <v>45571S4</v>
      </c>
      <c r="AJ224" s="85" t="str">
        <f>IFERROR(__xludf.DUMMYFUNCTION("""COMPUTED_VALUE"""),"668e43f52736d05b970daa8b")</f>
        <v>668e43f52736d05b970daa8b</v>
      </c>
      <c r="AK224" s="85" t="str">
        <f>IFERROR(__xludf.DUMMYFUNCTION("""COMPUTED_VALUE"""),"dm45571s4")</f>
        <v>dm45571s4</v>
      </c>
      <c r="AL224" s="85" t="str">
        <f>IFERROR(__xludf.DUMMYFUNCTION("""COMPUTED_VALUE"""),"#45571Pos")</f>
        <v>#45571Pos</v>
      </c>
      <c r="AM224" s="85" t="str">
        <f>IFERROR(__xludf.DUMMYFUNCTION("""COMPUTED_VALUE"""),"KANTOR REGIONAL III BANDUNG 40004")</f>
        <v>KANTOR REGIONAL III BANDUNG 40004</v>
      </c>
      <c r="AN224" s="85" t="str">
        <f>IFERROR(__xludf.DUMMYFUNCTION("""COMPUTED_VALUE"""),"KC KUNINGAN")</f>
        <v>KC KUNINGAN</v>
      </c>
      <c r="AO224" s="85" t="str">
        <f>IFERROR(__xludf.DUMMYFUNCTION("""COMPUTED_VALUE"""),"2209220090679")</f>
        <v>2209220090679</v>
      </c>
      <c r="AP224" s="85" t="str">
        <f>IFERROR(__xludf.DUMMYFUNCTION("""COMPUTED_VALUE"""),"22092200906790001")</f>
        <v>22092200906790001</v>
      </c>
      <c r="AQ224" s="93"/>
      <c r="AR224" s="85"/>
      <c r="AS224" s="85"/>
      <c r="AT224" s="85" t="str">
        <f>IFERROR(__xludf.DUMMYFUNCTION("""COMPUTED_VALUE"""),"-6.997061")</f>
        <v>-6.997061</v>
      </c>
      <c r="AU224" s="85" t="str">
        <f>IFERROR(__xludf.DUMMYFUNCTION("""COMPUTED_VALUE"""),"108.5406449")</f>
        <v>108.5406449</v>
      </c>
      <c r="AV224" s="85"/>
      <c r="AW224" s="85"/>
      <c r="AX224" s="85"/>
      <c r="AY224" s="85"/>
      <c r="AZ224" s="85"/>
      <c r="BA224" s="85"/>
      <c r="BB224" s="85"/>
      <c r="BC224" s="85"/>
      <c r="BD224" s="85"/>
      <c r="BE224" s="85"/>
      <c r="BF224" s="85"/>
      <c r="BG224" s="85"/>
      <c r="BH224" s="85"/>
      <c r="BI224" s="85"/>
      <c r="BJ224" s="85"/>
      <c r="BK224" s="85"/>
      <c r="BL224" s="85"/>
      <c r="BM224" s="85"/>
      <c r="BN224" s="85"/>
      <c r="BO224" s="85"/>
      <c r="BP224" s="85"/>
      <c r="BQ224" s="85"/>
      <c r="BR224" s="85"/>
      <c r="BS224" s="85"/>
      <c r="BT224" s="85"/>
      <c r="BU224" s="85"/>
      <c r="BV224" s="85"/>
      <c r="BW224" s="85"/>
      <c r="BX224" s="85"/>
      <c r="BY224" s="85"/>
      <c r="BZ224" s="85"/>
      <c r="CA224" s="85"/>
      <c r="CB224" s="85"/>
      <c r="CC224" s="85"/>
      <c r="CD224" s="85"/>
      <c r="CE224" s="85"/>
      <c r="CF224" s="85"/>
      <c r="CG224" s="85"/>
      <c r="CH224" s="85"/>
      <c r="CI224" s="85"/>
      <c r="CJ224" s="85"/>
      <c r="CK224" s="2"/>
    </row>
    <row r="225" ht="14.25" customHeight="1">
      <c r="A225" s="80">
        <f>IFERROR(__xludf.DUMMYFUNCTION("""COMPUTED_VALUE"""),222.0)</f>
        <v>222</v>
      </c>
      <c r="B225" s="80"/>
      <c r="C225" s="80"/>
      <c r="D225" s="81"/>
      <c r="E225" s="82"/>
      <c r="F225" s="80"/>
      <c r="G225" s="81"/>
      <c r="H225" s="80"/>
      <c r="I225" s="80"/>
      <c r="J225" s="80"/>
      <c r="K225" s="80"/>
      <c r="L225" s="80"/>
      <c r="M225" s="80"/>
      <c r="N225" s="80"/>
      <c r="O225" s="80"/>
      <c r="P225" s="80" t="str">
        <f>IFERROR(__xludf.DUMMYFUNCTION("""COMPUTED_VALUE"""),"53BSPA04804JBEEN")</f>
        <v>53BSPA04804JBEEN</v>
      </c>
      <c r="Q225" s="80" t="str">
        <f>IFERROR(__xludf.DUMMYFUNCTION("""COMPUTED_VALUE"""),"TOKO DELISHA")</f>
        <v>TOKO DELISHA</v>
      </c>
      <c r="R225" s="80" t="str">
        <f>IFERROR(__xludf.DUMMYFUNCTION("""COMPUTED_VALUE"""),"MUC TOKO DELISHA")</f>
        <v>MUC TOKO DELISHA</v>
      </c>
      <c r="S225" s="80" t="str">
        <f>IFERROR(__xludf.DUMMYFUNCTION("""COMPUTED_VALUE"""),"SUBEKI")</f>
        <v>SUBEKI</v>
      </c>
      <c r="T225" s="80" t="str">
        <f>IFERROR(__xludf.DUMMYFUNCTION("""COMPUTED_VALUE"""),"PACET MADE RT 007 RW 001")</f>
        <v>PACET MADE RT 007 RW 001</v>
      </c>
      <c r="U225" s="80" t="str">
        <f>IFERROR(__xludf.DUMMYFUNCTION("""COMPUTED_VALUE"""),"SAJEN PACET, GG. LAPANGAN RT 007 RW 001")</f>
        <v>SAJEN PACET, GG. LAPANGAN RT 007 RW 001</v>
      </c>
      <c r="V225" s="80"/>
      <c r="W225" s="80" t="str">
        <f>IFERROR(__xludf.DUMMYFUNCTION("""COMPUTED_VALUE"""),"SAJEN")</f>
        <v>SAJEN</v>
      </c>
      <c r="X225" s="80" t="str">
        <f>IFERROR(__xludf.DUMMYFUNCTION("""COMPUTED_VALUE"""),"PACET")</f>
        <v>PACET</v>
      </c>
      <c r="Y225" s="80" t="str">
        <f>IFERROR(__xludf.DUMMYFUNCTION("""COMPUTED_VALUE"""),"Kab. Mojokerto")</f>
        <v>Kab. Mojokerto</v>
      </c>
      <c r="Z225" s="80" t="str">
        <f>IFERROR(__xludf.DUMMYFUNCTION("""COMPUTED_VALUE"""),"JAWA TIMUR")</f>
        <v>JAWA TIMUR</v>
      </c>
      <c r="AA225" s="80" t="str">
        <f>IFERROR(__xludf.DUMMYFUNCTION("""COMPUTED_VALUE"""),"61374")</f>
        <v>61374</v>
      </c>
      <c r="AB225" s="80" t="str">
        <f>IFERROR(__xludf.DUMMYFUNCTION("""COMPUTED_VALUE"""),"3516130703840001")</f>
        <v>3516130703840001</v>
      </c>
      <c r="AC225" s="80" t="str">
        <f>IFERROR(__xludf.DUMMYFUNCTION("""COMPUTED_VALUE"""),"86.484.827.0-605.000")</f>
        <v>86.484.827.0-605.000</v>
      </c>
      <c r="AD225" s="80" t="str">
        <f>IFERROR(__xludf.DUMMYFUNCTION("""COMPUTED_VALUE"""),"CUM - EEN")</f>
        <v>CUM - EEN</v>
      </c>
      <c r="AE225" s="80" t="str">
        <f>IFERROR(__xludf.DUMMYFUNCTION("""COMPUTED_VALUE"""),"SUB EEN")</f>
        <v>SUB EEN</v>
      </c>
      <c r="AF225" s="80" t="str">
        <f>IFERROR(__xludf.DUMMYFUNCTION("""COMPUTED_VALUE"""),"085648631922")</f>
        <v>085648631922</v>
      </c>
      <c r="AG225" s="80"/>
      <c r="AH225" s="80" t="str">
        <f>IFERROR(__xludf.DUMMYFUNCTION("""COMPUTED_VALUE"""),"abshor.maulana69@gmail.com")</f>
        <v>abshor.maulana69@gmail.com</v>
      </c>
      <c r="AI225" s="80"/>
      <c r="AJ225" s="80"/>
      <c r="AK225" s="80"/>
      <c r="AL225" s="80"/>
      <c r="AM225" s="80" t="str">
        <f>IFERROR(__xludf.DUMMYFUNCTION("""COMPUTED_VALUE"""),"KANTOR REGIONAL V SURABAYA 60004")</f>
        <v>KANTOR REGIONAL V SURABAYA 60004</v>
      </c>
      <c r="AN225" s="80" t="str">
        <f>IFERROR(__xludf.DUMMYFUNCTION("""COMPUTED_VALUE"""),"KC MOJOKERTO 61300")</f>
        <v>KC MOJOKERTO 61300</v>
      </c>
      <c r="AO225" s="80" t="str">
        <f>IFERROR(__xludf.DUMMYFUNCTION("""COMPUTED_VALUE"""),"2006240080076")</f>
        <v>2006240080076</v>
      </c>
      <c r="AP225" s="80" t="str">
        <f>IFERROR(__xludf.DUMMYFUNCTION("""COMPUTED_VALUE"""),"20062400800760001")</f>
        <v>20062400800760001</v>
      </c>
      <c r="AQ225" s="83"/>
      <c r="AR225" s="80"/>
      <c r="AS225" s="80"/>
      <c r="AT225" s="80" t="str">
        <f>IFERROR(__xludf.DUMMYFUNCTION("""COMPUTED_VALUE"""),"-7.665223")</f>
        <v>-7.665223</v>
      </c>
      <c r="AU225" s="80" t="str">
        <f>IFERROR(__xludf.DUMMYFUNCTION("""COMPUTED_VALUE"""),"112.5319096")</f>
        <v>112.5319096</v>
      </c>
      <c r="AV225" s="80"/>
      <c r="AW225" s="80"/>
      <c r="AX225" s="80"/>
      <c r="AY225" s="80"/>
      <c r="AZ225" s="80"/>
      <c r="BA225" s="80"/>
      <c r="BB225" s="80"/>
      <c r="BC225" s="80"/>
      <c r="BD225" s="80"/>
      <c r="BE225" s="80"/>
      <c r="BF225" s="80"/>
      <c r="BG225" s="80"/>
      <c r="BH225" s="80"/>
      <c r="BI225" s="80"/>
      <c r="BJ225" s="80"/>
      <c r="BK225" s="80"/>
      <c r="BL225" s="80"/>
      <c r="BM225" s="80"/>
      <c r="BN225" s="80"/>
      <c r="BO225" s="80"/>
      <c r="BP225" s="80"/>
      <c r="BQ225" s="80"/>
      <c r="BR225" s="80"/>
      <c r="BS225" s="80"/>
      <c r="BT225" s="80"/>
      <c r="BU225" s="80"/>
      <c r="BV225" s="80"/>
      <c r="BW225" s="80"/>
      <c r="BX225" s="80"/>
      <c r="BY225" s="80"/>
      <c r="BZ225" s="80"/>
      <c r="CA225" s="80"/>
      <c r="CB225" s="80"/>
      <c r="CC225" s="80"/>
      <c r="CD225" s="80"/>
      <c r="CE225" s="80"/>
      <c r="CF225" s="80"/>
      <c r="CG225" s="80"/>
      <c r="CH225" s="80"/>
      <c r="CI225" s="80"/>
      <c r="CJ225" s="80"/>
      <c r="CK225" s="2"/>
    </row>
    <row r="226" ht="14.25" customHeight="1">
      <c r="A226" s="85">
        <f>IFERROR(__xludf.DUMMYFUNCTION("""COMPUTED_VALUE"""),223.0)</f>
        <v>223</v>
      </c>
      <c r="B226" s="85"/>
      <c r="C226" s="85"/>
      <c r="D226" s="86"/>
      <c r="E226" s="88"/>
      <c r="F226" s="85"/>
      <c r="G226" s="86"/>
      <c r="H226" s="85"/>
      <c r="I226" s="85"/>
      <c r="J226" s="85"/>
      <c r="K226" s="85"/>
      <c r="L226" s="85"/>
      <c r="M226" s="85"/>
      <c r="N226" s="85"/>
      <c r="O226" s="85"/>
      <c r="P226" s="85" t="str">
        <f>IFERROR(__xludf.DUMMYFUNCTION("""COMPUTED_VALUE"""),"52BSPA07626JTIAD")</f>
        <v>52BSPA07626JTIAD</v>
      </c>
      <c r="Q226" s="85" t="str">
        <f>IFERROR(__xludf.DUMMYFUNCTION("""COMPUTED_VALUE"""),"KPRI KOMPAK")</f>
        <v>KPRI KOMPAK</v>
      </c>
      <c r="R226" s="85" t="str">
        <f>IFERROR(__xludf.DUMMYFUNCTION("""COMPUTED_VALUE"""),"MUC KPRI KOMPAK")</f>
        <v>MUC KPRI KOMPAK</v>
      </c>
      <c r="S226" s="85" t="str">
        <f>IFERROR(__xludf.DUMMYFUNCTION("""COMPUTED_VALUE"""),"FITRIA DANARTI")</f>
        <v>FITRIA DANARTI</v>
      </c>
      <c r="T226" s="85" t="str">
        <f>IFERROR(__xludf.DUMMYFUNCTION("""COMPUTED_VALUE"""),"BOROKULON RT 001 RW 003 BANYUURIP, PURWOREJO")</f>
        <v>BOROKULON RT 001 RW 003 BANYUURIP, PURWOREJO</v>
      </c>
      <c r="U226" s="85" t="str">
        <f>IFERROR(__xludf.DUMMYFUNCTION("""COMPUTED_VALUE"""),"JL. KARTINI NO. 34")</f>
        <v>JL. KARTINI NO. 34</v>
      </c>
      <c r="V226" s="85"/>
      <c r="W226" s="85" t="str">
        <f>IFERROR(__xludf.DUMMYFUNCTION("""COMPUTED_VALUE"""),"SINDURJAN")</f>
        <v>SINDURJAN</v>
      </c>
      <c r="X226" s="85" t="str">
        <f>IFERROR(__xludf.DUMMYFUNCTION("""COMPUTED_VALUE"""),"PURWOREJO")</f>
        <v>PURWOREJO</v>
      </c>
      <c r="Y226" s="85" t="str">
        <f>IFERROR(__xludf.DUMMYFUNCTION("""COMPUTED_VALUE"""),"PURWOREJO")</f>
        <v>PURWOREJO</v>
      </c>
      <c r="Z226" s="85" t="str">
        <f>IFERROR(__xludf.DUMMYFUNCTION("""COMPUTED_VALUE"""),"JAWA TENGAH")</f>
        <v>JAWA TENGAH</v>
      </c>
      <c r="AA226" s="85" t="str">
        <f>IFERROR(__xludf.DUMMYFUNCTION("""COMPUTED_VALUE"""),"67114")</f>
        <v>67114</v>
      </c>
      <c r="AB226" s="85" t="str">
        <f>IFERROR(__xludf.DUMMYFUNCTION("""COMPUTED_VALUE"""),"3306075108810002")</f>
        <v>3306075108810002</v>
      </c>
      <c r="AC226" s="85" t="str">
        <f>IFERROR(__xludf.DUMMYFUNCTION("""COMPUTED_VALUE"""),"20.160.974.0-523.000")</f>
        <v>20.160.974.0-523.000</v>
      </c>
      <c r="AD226" s="85" t="str">
        <f>IFERROR(__xludf.DUMMYFUNCTION("""COMPUTED_VALUE"""),"CUM - PS - DMU")</f>
        <v>CUM - PS - DMU</v>
      </c>
      <c r="AE226" s="85" t="str">
        <f>IFERROR(__xludf.DUMMYFUNCTION("""COMPUTED_VALUE"""),"SUB DIAH POS")</f>
        <v>SUB DIAH POS</v>
      </c>
      <c r="AF226" s="85" t="str">
        <f>IFERROR(__xludf.DUMMYFUNCTION("""COMPUTED_VALUE"""),"081227073481")</f>
        <v>081227073481</v>
      </c>
      <c r="AG226" s="85"/>
      <c r="AH226" s="85" t="str">
        <f>IFERROR(__xludf.DUMMYFUNCTION("""COMPUTED_VALUE"""),"kpri_kompak@yahoo.co.id")</f>
        <v>kpri_kompak@yahoo.co.id</v>
      </c>
      <c r="AI226" s="85" t="str">
        <f>IFERROR(__xludf.DUMMYFUNCTION("""COMPUTED_VALUE"""),"54113S3")</f>
        <v>54113S3</v>
      </c>
      <c r="AJ226" s="85" t="str">
        <f>IFERROR(__xludf.DUMMYFUNCTION("""COMPUTED_VALUE"""),"669bd4ff4f9f6dd48d01b7f1")</f>
        <v>669bd4ff4f9f6dd48d01b7f1</v>
      </c>
      <c r="AK226" s="85" t="str">
        <f>IFERROR(__xludf.DUMMYFUNCTION("""COMPUTED_VALUE"""),"dm54113s3")</f>
        <v>dm54113s3</v>
      </c>
      <c r="AL226" s="85" t="str">
        <f>IFERROR(__xludf.DUMMYFUNCTION("""COMPUTED_VALUE"""),"#54113Pos")</f>
        <v>#54113Pos</v>
      </c>
      <c r="AM226" s="85" t="str">
        <f>IFERROR(__xludf.DUMMYFUNCTION("""COMPUTED_VALUE"""),"KANTOR REGIONAL IV SEMARANG 50004")</f>
        <v>KANTOR REGIONAL IV SEMARANG 50004</v>
      </c>
      <c r="AN226" s="85" t="str">
        <f>IFERROR(__xludf.DUMMYFUNCTION("""COMPUTED_VALUE"""),"KC PURWOREJO")</f>
        <v>KC PURWOREJO</v>
      </c>
      <c r="AO226" s="85" t="str">
        <f>IFERROR(__xludf.DUMMYFUNCTION("""COMPUTED_VALUE"""),"2506240040404")</f>
        <v>2506240040404</v>
      </c>
      <c r="AP226" s="85" t="str">
        <f>IFERROR(__xludf.DUMMYFUNCTION("""COMPUTED_VALUE"""),"25062400404040001")</f>
        <v>25062400404040001</v>
      </c>
      <c r="AQ226" s="93"/>
      <c r="AR226" s="85"/>
      <c r="AS226" s="85"/>
      <c r="AT226" s="85" t="str">
        <f>IFERROR(__xludf.DUMMYFUNCTION("""COMPUTED_VALUE"""),"-7.8299053")</f>
        <v>-7.8299053</v>
      </c>
      <c r="AU226" s="85" t="str">
        <f>IFERROR(__xludf.DUMMYFUNCTION("""COMPUTED_VALUE"""),"109.9041576")</f>
        <v>109.9041576</v>
      </c>
      <c r="AV226" s="85"/>
      <c r="AW226" s="85"/>
      <c r="AX226" s="85"/>
      <c r="AY226" s="85"/>
      <c r="AZ226" s="85"/>
      <c r="BA226" s="85"/>
      <c r="BB226" s="85"/>
      <c r="BC226" s="85"/>
      <c r="BD226" s="85"/>
      <c r="BE226" s="85"/>
      <c r="BF226" s="85"/>
      <c r="BG226" s="85"/>
      <c r="BH226" s="85"/>
      <c r="BI226" s="85"/>
      <c r="BJ226" s="85"/>
      <c r="BK226" s="85"/>
      <c r="BL226" s="85"/>
      <c r="BM226" s="85"/>
      <c r="BN226" s="85"/>
      <c r="BO226" s="85"/>
      <c r="BP226" s="85"/>
      <c r="BQ226" s="85"/>
      <c r="BR226" s="85"/>
      <c r="BS226" s="85"/>
      <c r="BT226" s="85"/>
      <c r="BU226" s="85"/>
      <c r="BV226" s="85"/>
      <c r="BW226" s="85"/>
      <c r="BX226" s="85"/>
      <c r="BY226" s="85"/>
      <c r="BZ226" s="85"/>
      <c r="CA226" s="85"/>
      <c r="CB226" s="85"/>
      <c r="CC226" s="85"/>
      <c r="CD226" s="85"/>
      <c r="CE226" s="85"/>
      <c r="CF226" s="85"/>
      <c r="CG226" s="85"/>
      <c r="CH226" s="85"/>
      <c r="CI226" s="85"/>
      <c r="CJ226" s="85"/>
      <c r="CK226" s="2"/>
    </row>
    <row r="227" ht="14.25" customHeight="1">
      <c r="A227" s="80">
        <f>IFERROR(__xludf.DUMMYFUNCTION("""COMPUTED_VALUE"""),224.0)</f>
        <v>224</v>
      </c>
      <c r="B227" s="80"/>
      <c r="C227" s="80"/>
      <c r="D227" s="81"/>
      <c r="E227" s="82"/>
      <c r="F227" s="80"/>
      <c r="G227" s="81"/>
      <c r="H227" s="80"/>
      <c r="I227" s="80"/>
      <c r="J227" s="80"/>
      <c r="K227" s="80"/>
      <c r="L227" s="80"/>
      <c r="M227" s="80" t="str">
        <f>IFERROR(__xludf.DUMMYFUNCTION("""COMPUTED_VALUE"""),"ü")</f>
        <v>ü</v>
      </c>
      <c r="N227" s="80"/>
      <c r="O227" s="80"/>
      <c r="P227" s="80" t="str">
        <f>IFERROR(__xludf.DUMMYFUNCTION("""COMPUTED_VALUE"""),"53BSPA04312JBTSA")</f>
        <v>53BSPA04312JBTSA</v>
      </c>
      <c r="Q227" s="80" t="str">
        <f>IFERROR(__xludf.DUMMYFUNCTION("""COMPUTED_VALUE"""),"MUC PAPANDAYAN")</f>
        <v>MUC PAPANDAYAN</v>
      </c>
      <c r="R227" s="80" t="str">
        <f>IFERROR(__xludf.DUMMYFUNCTION("""COMPUTED_VALUE"""),"MUC PAPANDAYAN")</f>
        <v>MUC PAPANDAYAN</v>
      </c>
      <c r="S227" s="80" t="str">
        <f>IFERROR(__xludf.DUMMYFUNCTION("""COMPUTED_VALUE"""),"HAMDAN RAMDANI")</f>
        <v>HAMDAN RAMDANI</v>
      </c>
      <c r="T227" s="80" t="str">
        <f>IFERROR(__xludf.DUMMYFUNCTION("""COMPUTED_VALUE""")," KP. PANAWUAN RT 001 RW 011")</f>
        <v> KP. PANAWUAN RT 001 RW 011</v>
      </c>
      <c r="U227" s="80" t="str">
        <f>IFERROR(__xludf.DUMMYFUNCTION("""COMPUTED_VALUE"""),"JL. PAPANDAYAN NO. 36")</f>
        <v>JL. PAPANDAYAN NO. 36</v>
      </c>
      <c r="V227" s="80"/>
      <c r="W227" s="80" t="str">
        <f>IFERROR(__xludf.DUMMYFUNCTION("""COMPUTED_VALUE"""),"PAMINGGIR")</f>
        <v>PAMINGGIR</v>
      </c>
      <c r="X227" s="80" t="str">
        <f>IFERROR(__xludf.DUMMYFUNCTION("""COMPUTED_VALUE"""),"GARUT KOTA")</f>
        <v>GARUT KOTA</v>
      </c>
      <c r="Y227" s="80" t="str">
        <f>IFERROR(__xludf.DUMMYFUNCTION("""COMPUTED_VALUE"""),"KAB.GARUT")</f>
        <v>KAB.GARUT</v>
      </c>
      <c r="Z227" s="80" t="str">
        <f>IFERROR(__xludf.DUMMYFUNCTION("""COMPUTED_VALUE"""),"JAWA BARAT")</f>
        <v>JAWA BARAT</v>
      </c>
      <c r="AA227" s="80" t="str">
        <f>IFERROR(__xludf.DUMMYFUNCTION("""COMPUTED_VALUE"""),"44118")</f>
        <v>44118</v>
      </c>
      <c r="AB227" s="80" t="str">
        <f>IFERROR(__xludf.DUMMYFUNCTION("""COMPUTED_VALUE"""),"3205051004910007")</f>
        <v>3205051004910007</v>
      </c>
      <c r="AC227" s="80" t="str">
        <f>IFERROR(__xludf.DUMMYFUNCTION("""COMPUTED_VALUE"""),"81.232.459.8-443.000")</f>
        <v>81.232.459.8-443.000</v>
      </c>
      <c r="AD227" s="80" t="str">
        <f>IFERROR(__xludf.DUMMYFUNCTION("""COMPUTED_VALUE"""),"CUM - TSR")</f>
        <v>CUM - TSR</v>
      </c>
      <c r="AE227" s="80" t="str">
        <f>IFERROR(__xludf.DUMMYFUNCTION("""COMPUTED_VALUE"""),"SUB TATANG POS")</f>
        <v>SUB TATANG POS</v>
      </c>
      <c r="AF227" s="80" t="str">
        <f>IFERROR(__xludf.DUMMYFUNCTION("""COMPUTED_VALUE"""),"0811212164")</f>
        <v>0811212164</v>
      </c>
      <c r="AG227" s="80"/>
      <c r="AH227" s="80" t="str">
        <f>IFERROR(__xludf.DUMMYFUNCTION("""COMPUTED_VALUE"""),"p36express@gmail.com")</f>
        <v>p36express@gmail.com</v>
      </c>
      <c r="AI227" s="80" t="str">
        <f>IFERROR(__xludf.DUMMYFUNCTION("""COMPUTED_VALUE"""),"44118S1")</f>
        <v>44118S1</v>
      </c>
      <c r="AJ227" s="80" t="str">
        <f>IFERROR(__xludf.DUMMYFUNCTION("""COMPUTED_VALUE"""),"6686702b2f061861ed0eeb6c")</f>
        <v>6686702b2f061861ed0eeb6c</v>
      </c>
      <c r="AK227" s="80" t="str">
        <f>IFERROR(__xludf.DUMMYFUNCTION("""COMPUTED_VALUE"""),"dm44118s1")</f>
        <v>dm44118s1</v>
      </c>
      <c r="AL227" s="80" t="str">
        <f>IFERROR(__xludf.DUMMYFUNCTION("""COMPUTED_VALUE"""),"#44118Pos")</f>
        <v>#44118Pos</v>
      </c>
      <c r="AM227" s="80" t="str">
        <f>IFERROR(__xludf.DUMMYFUNCTION("""COMPUTED_VALUE"""),"KANTOR REGIONAL III BANDUNG 40004")</f>
        <v>KANTOR REGIONAL III BANDUNG 40004</v>
      </c>
      <c r="AN227" s="80" t="str">
        <f>IFERROR(__xludf.DUMMYFUNCTION("""COMPUTED_VALUE"""),"KC GARUT 44100")</f>
        <v>KC GARUT 44100</v>
      </c>
      <c r="AO227" s="80" t="str">
        <f>IFERROR(__xludf.DUMMYFUNCTION("""COMPUTED_VALUE"""),"2506240075019")</f>
        <v>2506240075019</v>
      </c>
      <c r="AP227" s="80" t="str">
        <f>IFERROR(__xludf.DUMMYFUNCTION("""COMPUTED_VALUE"""),"25062400750190001")</f>
        <v>25062400750190001</v>
      </c>
      <c r="AQ227" s="83"/>
      <c r="AR227" s="80"/>
      <c r="AS227" s="80"/>
      <c r="AT227" s="80" t="str">
        <f>IFERROR(__xludf.DUMMYFUNCTION("""COMPUTED_VALUE"""),"-7.2199047")</f>
        <v>-7.2199047</v>
      </c>
      <c r="AU227" s="80" t="str">
        <f>IFERROR(__xludf.DUMMYFUNCTION("""COMPUTED_VALUE"""),"107.9015599")</f>
        <v>107.9015599</v>
      </c>
      <c r="AV227" s="80"/>
      <c r="AW227" s="80"/>
      <c r="AX227" s="80"/>
      <c r="AY227" s="80"/>
      <c r="AZ227" s="80"/>
      <c r="BA227" s="80"/>
      <c r="BB227" s="80"/>
      <c r="BC227" s="80"/>
      <c r="BD227" s="80"/>
      <c r="BE227" s="80"/>
      <c r="BF227" s="80"/>
      <c r="BG227" s="80"/>
      <c r="BH227" s="80"/>
      <c r="BI227" s="80"/>
      <c r="BJ227" s="80"/>
      <c r="BK227" s="80"/>
      <c r="BL227" s="80"/>
      <c r="BM227" s="80"/>
      <c r="BN227" s="80"/>
      <c r="BO227" s="80"/>
      <c r="BP227" s="80"/>
      <c r="BQ227" s="80"/>
      <c r="BR227" s="80"/>
      <c r="BS227" s="80"/>
      <c r="BT227" s="80"/>
      <c r="BU227" s="80"/>
      <c r="BV227" s="80"/>
      <c r="BW227" s="80"/>
      <c r="BX227" s="80"/>
      <c r="BY227" s="80"/>
      <c r="BZ227" s="80"/>
      <c r="CA227" s="80"/>
      <c r="CB227" s="80"/>
      <c r="CC227" s="80"/>
      <c r="CD227" s="80"/>
      <c r="CE227" s="80"/>
      <c r="CF227" s="80"/>
      <c r="CG227" s="80"/>
      <c r="CH227" s="80"/>
      <c r="CI227" s="80"/>
      <c r="CJ227" s="80"/>
      <c r="CK227" s="2"/>
    </row>
    <row r="228" ht="14.25" customHeight="1">
      <c r="A228" s="85">
        <f>IFERROR(__xludf.DUMMYFUNCTION("""COMPUTED_VALUE"""),225.0)</f>
        <v>225</v>
      </c>
      <c r="B228" s="85"/>
      <c r="C228" s="85"/>
      <c r="D228" s="86"/>
      <c r="E228" s="88"/>
      <c r="F228" s="85"/>
      <c r="G228" s="86"/>
      <c r="H228" s="85"/>
      <c r="I228" s="85"/>
      <c r="J228" s="85"/>
      <c r="K228" s="85"/>
      <c r="L228" s="85"/>
      <c r="M228" s="85" t="str">
        <f>IFERROR(__xludf.DUMMYFUNCTION("""COMPUTED_VALUE"""),"ü")</f>
        <v>ü</v>
      </c>
      <c r="N228" s="85"/>
      <c r="O228" s="85"/>
      <c r="P228" s="85" t="str">
        <f>IFERROR(__xludf.DUMMYFUNCTION("""COMPUTED_VALUE"""),"53BSPA04866JBHYD")</f>
        <v>53BSPA04866JBHYD</v>
      </c>
      <c r="Q228" s="85" t="str">
        <f>IFERROR(__xludf.DUMMYFUNCTION("""COMPUTED_VALUE"""),"MUC LEMBURSITU")</f>
        <v>MUC LEMBURSITU</v>
      </c>
      <c r="R228" s="85" t="str">
        <f>IFERROR(__xludf.DUMMYFUNCTION("""COMPUTED_VALUE"""),"MUC LEMBURSITU")</f>
        <v>MUC LEMBURSITU</v>
      </c>
      <c r="S228" s="85" t="str">
        <f>IFERROR(__xludf.DUMMYFUNCTION("""COMPUTED_VALUE"""),"ERLIN MARLINDA")</f>
        <v>ERLIN MARLINDA</v>
      </c>
      <c r="T228" s="85" t="str">
        <f>IFERROR(__xludf.DUMMYFUNCTION("""COMPUTED_VALUE"""),"JL. PELABUAN II KM.6 WARUNGKALAPA NO. 672 RT 001 RW 001")</f>
        <v>JL. PELABUAN II KM.6 WARUNGKALAPA NO. 672 RT 001 RW 001</v>
      </c>
      <c r="U228" s="85" t="str">
        <f>IFERROR(__xludf.DUMMYFUNCTION("""COMPUTED_VALUE"""),"JL. PELABUAN II KM.6 WARUNGKALAPA NO. 672 RT 001 RW 001")</f>
        <v>JL. PELABUAN II KM.6 WARUNGKALAPA NO. 672 RT 001 RW 001</v>
      </c>
      <c r="V228" s="85"/>
      <c r="W228" s="85" t="str">
        <f>IFERROR(__xludf.DUMMYFUNCTION("""COMPUTED_VALUE"""),"LEMBURSITU")</f>
        <v>LEMBURSITU</v>
      </c>
      <c r="X228" s="85" t="str">
        <f>IFERROR(__xludf.DUMMYFUNCTION("""COMPUTED_VALUE"""),"LEMBURSITU")</f>
        <v>LEMBURSITU</v>
      </c>
      <c r="Y228" s="85" t="str">
        <f>IFERROR(__xludf.DUMMYFUNCTION("""COMPUTED_VALUE"""),"SUKABUMI")</f>
        <v>SUKABUMI</v>
      </c>
      <c r="Z228" s="85" t="str">
        <f>IFERROR(__xludf.DUMMYFUNCTION("""COMPUTED_VALUE"""),"JAWA BARAT")</f>
        <v>JAWA BARAT</v>
      </c>
      <c r="AA228" s="85" t="str">
        <f>IFERROR(__xludf.DUMMYFUNCTION("""COMPUTED_VALUE"""),"43169")</f>
        <v>43169</v>
      </c>
      <c r="AB228" s="85" t="str">
        <f>IFERROR(__xludf.DUMMYFUNCTION("""COMPUTED_VALUE"""),"3272065003790900")</f>
        <v>3272065003790900</v>
      </c>
      <c r="AC228" s="85" t="str">
        <f>IFERROR(__xludf.DUMMYFUNCTION("""COMPUTED_VALUE"""),"66.159.565.2-405.000")</f>
        <v>66.159.565.2-405.000</v>
      </c>
      <c r="AD228" s="85" t="str">
        <f>IFERROR(__xludf.DUMMYFUNCTION("""COMPUTED_VALUE"""),"CUM - PS - DEVB")</f>
        <v>CUM - PS - DEVB</v>
      </c>
      <c r="AE228" s="85" t="str">
        <f>IFERROR(__xludf.DUMMYFUNCTION("""COMPUTED_VALUE"""),"SUB DENDHY POS")</f>
        <v>SUB DENDHY POS</v>
      </c>
      <c r="AF228" s="85" t="str">
        <f>IFERROR(__xludf.DUMMYFUNCTION("""COMPUTED_VALUE"""),"08111171711")</f>
        <v>08111171711</v>
      </c>
      <c r="AG228" s="85"/>
      <c r="AH228" s="85" t="str">
        <f>IFERROR(__xludf.DUMMYFUNCTION("""COMPUTED_VALUE"""),"erlin.marlinda03@gmail.com")</f>
        <v>erlin.marlinda03@gmail.com</v>
      </c>
      <c r="AI228" s="85" t="str">
        <f>IFERROR(__xludf.DUMMYFUNCTION("""COMPUTED_VALUE"""),"43168S2")</f>
        <v>43168S2</v>
      </c>
      <c r="AJ228" s="85" t="str">
        <f>IFERROR(__xludf.DUMMYFUNCTION("""COMPUTED_VALUE"""),"66a74ab36543ded087008b5b")</f>
        <v>66a74ab36543ded087008b5b</v>
      </c>
      <c r="AK228" s="85" t="str">
        <f>IFERROR(__xludf.DUMMYFUNCTION("""COMPUTED_VALUE"""),"dm43168s2")</f>
        <v>dm43168s2</v>
      </c>
      <c r="AL228" s="85" t="str">
        <f>IFERROR(__xludf.DUMMYFUNCTION("""COMPUTED_VALUE"""),"#43168Pos")</f>
        <v>#43168Pos</v>
      </c>
      <c r="AM228" s="85" t="str">
        <f>IFERROR(__xludf.DUMMYFUNCTION("""COMPUTED_VALUE"""),"KANTOR REGIONAL III BANDUNG 40004")</f>
        <v>KANTOR REGIONAL III BANDUNG 40004</v>
      </c>
      <c r="AN228" s="85" t="str">
        <f>IFERROR(__xludf.DUMMYFUNCTION("""COMPUTED_VALUE"""),"KC SUKABUMI 43100")</f>
        <v>KC SUKABUMI 43100</v>
      </c>
      <c r="AO228" s="85" t="str">
        <f>IFERROR(__xludf.DUMMYFUNCTION("""COMPUTED_VALUE"""),"1403230033196")</f>
        <v>1403230033196</v>
      </c>
      <c r="AP228" s="85" t="str">
        <f>IFERROR(__xludf.DUMMYFUNCTION("""COMPUTED_VALUE"""),"14032300331960003")</f>
        <v>14032300331960003</v>
      </c>
      <c r="AQ228" s="93"/>
      <c r="AR228" s="85"/>
      <c r="AS228" s="85"/>
      <c r="AT228" s="85" t="str">
        <f>IFERROR(__xludf.DUMMYFUNCTION("""COMPUTED_VALUE"""),"-6.9589408")</f>
        <v>-6.9589408</v>
      </c>
      <c r="AU228" s="85" t="str">
        <f>IFERROR(__xludf.DUMMYFUNCTION("""COMPUTED_VALUE"""),"106.8984079")</f>
        <v>106.8984079</v>
      </c>
      <c r="AV228" s="85"/>
      <c r="AW228" s="85"/>
      <c r="AX228" s="85"/>
      <c r="AY228" s="85"/>
      <c r="AZ228" s="85"/>
      <c r="BA228" s="85"/>
      <c r="BB228" s="85"/>
      <c r="BC228" s="85"/>
      <c r="BD228" s="85"/>
      <c r="BE228" s="85"/>
      <c r="BF228" s="85"/>
      <c r="BG228" s="85"/>
      <c r="BH228" s="85"/>
      <c r="BI228" s="85"/>
      <c r="BJ228" s="85"/>
      <c r="BK228" s="85"/>
      <c r="BL228" s="85"/>
      <c r="BM228" s="85"/>
      <c r="BN228" s="85"/>
      <c r="BO228" s="85"/>
      <c r="BP228" s="85"/>
      <c r="BQ228" s="85"/>
      <c r="BR228" s="85"/>
      <c r="BS228" s="85"/>
      <c r="BT228" s="85"/>
      <c r="BU228" s="85"/>
      <c r="BV228" s="85"/>
      <c r="BW228" s="85"/>
      <c r="BX228" s="85"/>
      <c r="BY228" s="85"/>
      <c r="BZ228" s="85"/>
      <c r="CA228" s="85"/>
      <c r="CB228" s="85"/>
      <c r="CC228" s="85"/>
      <c r="CD228" s="85"/>
      <c r="CE228" s="85"/>
      <c r="CF228" s="85"/>
      <c r="CG228" s="85"/>
      <c r="CH228" s="85"/>
      <c r="CI228" s="85"/>
      <c r="CJ228" s="85"/>
      <c r="CK228" s="2"/>
    </row>
    <row r="229" ht="14.25" customHeight="1">
      <c r="A229" s="80">
        <f>IFERROR(__xludf.DUMMYFUNCTION("""COMPUTED_VALUE"""),226.0)</f>
        <v>226</v>
      </c>
      <c r="B229" s="80"/>
      <c r="C229" s="80"/>
      <c r="D229" s="81"/>
      <c r="E229" s="82"/>
      <c r="F229" s="80"/>
      <c r="G229" s="81"/>
      <c r="H229" s="80"/>
      <c r="I229" s="80"/>
      <c r="J229" s="80"/>
      <c r="K229" s="80"/>
      <c r="L229" s="80"/>
      <c r="M229" s="80" t="str">
        <f>IFERROR(__xludf.DUMMYFUNCTION("""COMPUTED_VALUE"""),"ü")</f>
        <v>ü</v>
      </c>
      <c r="N229" s="80"/>
      <c r="O229" s="80"/>
      <c r="P229" s="80" t="str">
        <f>IFERROR(__xludf.DUMMYFUNCTION("""COMPUTED_VALUE"""),"53BSPA04867JBIAD")</f>
        <v>53BSPA04867JBIAD</v>
      </c>
      <c r="Q229" s="80" t="str">
        <f>IFERROR(__xludf.DUMMYFUNCTION("""COMPUTED_VALUE"""),"MUC ARMINA")</f>
        <v>MUC ARMINA</v>
      </c>
      <c r="R229" s="80" t="str">
        <f>IFERROR(__xludf.DUMMYFUNCTION("""COMPUTED_VALUE"""),"MUC ARMINA")</f>
        <v>MUC ARMINA</v>
      </c>
      <c r="S229" s="80" t="str">
        <f>IFERROR(__xludf.DUMMYFUNCTION("""COMPUTED_VALUE"""),"Arman Loebis")</f>
        <v>Arman Loebis</v>
      </c>
      <c r="T229" s="80" t="str">
        <f>IFERROR(__xludf.DUMMYFUNCTION("""COMPUTED_VALUE"""),"Villa Juanda No.14 Kampung Bojong RT.007/RW.020")</f>
        <v>Villa Juanda No.14 Kampung Bojong RT.007/RW.020</v>
      </c>
      <c r="U229" s="80" t="str">
        <f>IFERROR(__xludf.DUMMYFUNCTION("""COMPUTED_VALUE"""),"Jl. Mandor Samin")</f>
        <v>Jl. Mandor Samin</v>
      </c>
      <c r="V229" s="80"/>
      <c r="W229" s="80" t="str">
        <f>IFERROR(__xludf.DUMMYFUNCTION("""COMPUTED_VALUE"""),"KALIABARU")</f>
        <v>KALIABARU</v>
      </c>
      <c r="X229" s="80" t="str">
        <f>IFERROR(__xludf.DUMMYFUNCTION("""COMPUTED_VALUE"""),"CILODONG")</f>
        <v>CILODONG</v>
      </c>
      <c r="Y229" s="80" t="str">
        <f>IFERROR(__xludf.DUMMYFUNCTION("""COMPUTED_VALUE"""),"KOTA DEPOK")</f>
        <v>KOTA DEPOK</v>
      </c>
      <c r="Z229" s="80" t="str">
        <f>IFERROR(__xludf.DUMMYFUNCTION("""COMPUTED_VALUE"""),"JAWA BARAT")</f>
        <v>JAWA BARAT</v>
      </c>
      <c r="AA229" s="80" t="str">
        <f>IFERROR(__xludf.DUMMYFUNCTION("""COMPUTED_VALUE"""),"16414")</f>
        <v>16414</v>
      </c>
      <c r="AB229" s="80" t="str">
        <f>IFERROR(__xludf.DUMMYFUNCTION("""COMPUTED_VALUE"""),"217106041161000")</f>
        <v>217106041161000</v>
      </c>
      <c r="AC229" s="80" t="str">
        <f>IFERROR(__xludf.DUMMYFUNCTION("""COMPUTED_VALUE"""),"69.636.200.3-215.000")</f>
        <v>69.636.200.3-215.000</v>
      </c>
      <c r="AD229" s="80" t="str">
        <f>IFERROR(__xludf.DUMMYFUNCTION("""COMPUTED_VALUE"""),"CUM - PS - HPR")</f>
        <v>CUM - PS - HPR</v>
      </c>
      <c r="AE229" s="80" t="str">
        <f>IFERROR(__xludf.DUMMYFUNCTION("""COMPUTED_VALUE"""),"SUB HADI POS")</f>
        <v>SUB HADI POS</v>
      </c>
      <c r="AF229" s="80" t="str">
        <f>IFERROR(__xludf.DUMMYFUNCTION("""COMPUTED_VALUE"""),"081364810896")</f>
        <v>081364810896</v>
      </c>
      <c r="AG229" s="80"/>
      <c r="AH229" s="80" t="str">
        <f>IFERROR(__xludf.DUMMYFUNCTION("""COMPUTED_VALUE"""),"arman.loebis@gmail.com")</f>
        <v>arman.loebis@gmail.com</v>
      </c>
      <c r="AI229" s="80" t="str">
        <f>IFERROR(__xludf.DUMMYFUNCTION("""COMPUTED_VALUE"""),"16473S4")</f>
        <v>16473S4</v>
      </c>
      <c r="AJ229" s="80" t="str">
        <f>IFERROR(__xludf.DUMMYFUNCTION("""COMPUTED_VALUE"""),"669787e0efe08d76340f36fa")</f>
        <v>669787e0efe08d76340f36fa</v>
      </c>
      <c r="AK229" s="80" t="str">
        <f>IFERROR(__xludf.DUMMYFUNCTION("""COMPUTED_VALUE"""),"dm16473s4")</f>
        <v>dm16473s4</v>
      </c>
      <c r="AL229" s="80" t="str">
        <f>IFERROR(__xludf.DUMMYFUNCTION("""COMPUTED_VALUE"""),"#16473Pos")</f>
        <v>#16473Pos</v>
      </c>
      <c r="AM229" s="80" t="str">
        <f>IFERROR(__xludf.DUMMYFUNCTION("""COMPUTED_VALUE"""),"KANTOR REGIONAL II JAKARTA 10004")</f>
        <v>KANTOR REGIONAL II JAKARTA 10004</v>
      </c>
      <c r="AN229" s="80" t="str">
        <f>IFERROR(__xludf.DUMMYFUNCTION("""COMPUTED_VALUE"""),"KC DEPOK 16400")</f>
        <v>KC DEPOK 16400</v>
      </c>
      <c r="AO229" s="80" t="str">
        <f>IFERROR(__xludf.DUMMYFUNCTION("""COMPUTED_VALUE"""),"2706240099022")</f>
        <v>2706240099022</v>
      </c>
      <c r="AP229" s="80" t="str">
        <f>IFERROR(__xludf.DUMMYFUNCTION("""COMPUTED_VALUE"""),"27062400990220001")</f>
        <v>27062400990220001</v>
      </c>
      <c r="AQ229" s="83"/>
      <c r="AR229" s="80"/>
      <c r="AS229" s="80"/>
      <c r="AT229" s="80" t="str">
        <f>IFERROR(__xludf.DUMMYFUNCTION("""COMPUTED_VALUE"""),"-6.438969")</f>
        <v>-6.438969</v>
      </c>
      <c r="AU229" s="80" t="str">
        <f>IFERROR(__xludf.DUMMYFUNCTION("""COMPUTED_VALUE"""),"106.8320117")</f>
        <v>106.8320117</v>
      </c>
      <c r="AV229" s="80"/>
      <c r="AW229" s="80"/>
      <c r="AX229" s="80"/>
      <c r="AY229" s="80"/>
      <c r="AZ229" s="80"/>
      <c r="BA229" s="80"/>
      <c r="BB229" s="80"/>
      <c r="BC229" s="80"/>
      <c r="BD229" s="80"/>
      <c r="BE229" s="80"/>
      <c r="BF229" s="80"/>
      <c r="BG229" s="80"/>
      <c r="BH229" s="80"/>
      <c r="BI229" s="80"/>
      <c r="BJ229" s="80"/>
      <c r="BK229" s="80"/>
      <c r="BL229" s="80"/>
      <c r="BM229" s="80"/>
      <c r="BN229" s="80"/>
      <c r="BO229" s="80"/>
      <c r="BP229" s="80"/>
      <c r="BQ229" s="80"/>
      <c r="BR229" s="80"/>
      <c r="BS229" s="80"/>
      <c r="BT229" s="80"/>
      <c r="BU229" s="80"/>
      <c r="BV229" s="80"/>
      <c r="BW229" s="80"/>
      <c r="BX229" s="80"/>
      <c r="BY229" s="80"/>
      <c r="BZ229" s="80"/>
      <c r="CA229" s="80"/>
      <c r="CB229" s="80"/>
      <c r="CC229" s="80"/>
      <c r="CD229" s="80"/>
      <c r="CE229" s="80"/>
      <c r="CF229" s="80"/>
      <c r="CG229" s="80"/>
      <c r="CH229" s="80"/>
      <c r="CI229" s="80"/>
      <c r="CJ229" s="80"/>
      <c r="CK229" s="2"/>
    </row>
    <row r="230" ht="14.25" customHeight="1">
      <c r="A230" s="85">
        <f>IFERROR(__xludf.DUMMYFUNCTION("""COMPUTED_VALUE"""),227.0)</f>
        <v>227</v>
      </c>
      <c r="B230" s="85"/>
      <c r="C230" s="85"/>
      <c r="D230" s="86"/>
      <c r="E230" s="88"/>
      <c r="F230" s="85"/>
      <c r="G230" s="86"/>
      <c r="H230" s="85"/>
      <c r="I230" s="85"/>
      <c r="J230" s="85"/>
      <c r="K230" s="85"/>
      <c r="L230" s="85"/>
      <c r="M230" s="85" t="str">
        <f>IFERROR(__xludf.DUMMYFUNCTION("""COMPUTED_VALUE"""),"ü")</f>
        <v>ü</v>
      </c>
      <c r="N230" s="85"/>
      <c r="O230" s="85"/>
      <c r="P230" s="85" t="str">
        <f>IFERROR(__xludf.DUMMYFUNCTION("""COMPUTED_VALUE"""),"53BSPA04806JBEEN")</f>
        <v>53BSPA04806JBEEN</v>
      </c>
      <c r="Q230" s="85" t="str">
        <f>IFERROR(__xludf.DUMMYFUNCTION("""COMPUTED_VALUE"""),"MUC RAHARJA")</f>
        <v>MUC RAHARJA</v>
      </c>
      <c r="R230" s="85" t="str">
        <f>IFERROR(__xludf.DUMMYFUNCTION("""COMPUTED_VALUE"""),"MUC RAHARJA")</f>
        <v>MUC RAHARJA</v>
      </c>
      <c r="S230" s="85" t="str">
        <f>IFERROR(__xludf.DUMMYFUNCTION("""COMPUTED_VALUE"""),"Agus Salim")</f>
        <v>Agus Salim</v>
      </c>
      <c r="T230" s="85" t="str">
        <f>IFERROR(__xludf.DUMMYFUNCTION("""COMPUTED_VALUE"""),"Blok Duku RT.009/RW.010")</f>
        <v>Blok Duku RT.009/RW.010</v>
      </c>
      <c r="U230" s="85" t="str">
        <f>IFERROR(__xludf.DUMMYFUNCTION("""COMPUTED_VALUE"""),"Jl. Gongseng Raya No.31, RT.7/RW.10 ")</f>
        <v>Jl. Gongseng Raya No.31, RT.7/RW.10 </v>
      </c>
      <c r="V230" s="85"/>
      <c r="W230" s="85" t="str">
        <f>IFERROR(__xludf.DUMMYFUNCTION("""COMPUTED_VALUE"""),"CIJANTUNG")</f>
        <v>CIJANTUNG</v>
      </c>
      <c r="X230" s="85" t="str">
        <f>IFERROR(__xludf.DUMMYFUNCTION("""COMPUTED_VALUE"""),"PS. REBO")</f>
        <v>PS. REBO</v>
      </c>
      <c r="Y230" s="85" t="str">
        <f>IFERROR(__xludf.DUMMYFUNCTION("""COMPUTED_VALUE"""),"KOTA JAKARTA TIMUR")</f>
        <v>KOTA JAKARTA TIMUR</v>
      </c>
      <c r="Z230" s="85" t="str">
        <f>IFERROR(__xludf.DUMMYFUNCTION("""COMPUTED_VALUE"""),"DKI JAKARTA")</f>
        <v>DKI JAKARTA</v>
      </c>
      <c r="AA230" s="85" t="str">
        <f>IFERROR(__xludf.DUMMYFUNCTION("""COMPUTED_VALUE"""),"13770")</f>
        <v>13770</v>
      </c>
      <c r="AB230" s="85" t="str">
        <f>IFERROR(__xludf.DUMMYFUNCTION("""COMPUTED_VALUE"""),"3175090608680006")</f>
        <v>3175090608680006</v>
      </c>
      <c r="AC230" s="85" t="str">
        <f>IFERROR(__xludf.DUMMYFUNCTION("""COMPUTED_VALUE"""),"49.664.229.9-005.000")</f>
        <v>49.664.229.9-005.000</v>
      </c>
      <c r="AD230" s="85" t="str">
        <f>IFERROR(__xludf.DUMMYFUNCTION("""COMPUTED_VALUE"""),"CUM - EEN")</f>
        <v>CUM - EEN</v>
      </c>
      <c r="AE230" s="85" t="str">
        <f>IFERROR(__xludf.DUMMYFUNCTION("""COMPUTED_VALUE"""),"SUB EEN")</f>
        <v>SUB EEN</v>
      </c>
      <c r="AF230" s="85" t="str">
        <f>IFERROR(__xludf.DUMMYFUNCTION("""COMPUTED_VALUE"""),"082298300892")</f>
        <v>082298300892</v>
      </c>
      <c r="AG230" s="85"/>
      <c r="AH230" s="85" t="str">
        <f>IFERROR(__xludf.DUMMYFUNCTION("""COMPUTED_VALUE"""),"apekayon@gmail.com")</f>
        <v>apekayon@gmail.com</v>
      </c>
      <c r="AI230" s="85" t="str">
        <f>IFERROR(__xludf.DUMMYFUNCTION("""COMPUTED_VALUE"""),"13770S4")</f>
        <v>13770S4</v>
      </c>
      <c r="AJ230" s="85" t="str">
        <f>IFERROR(__xludf.DUMMYFUNCTION("""COMPUTED_VALUE"""),"669c556e991b6e6b0e0ecf26")</f>
        <v>669c556e991b6e6b0e0ecf26</v>
      </c>
      <c r="AK230" s="85" t="str">
        <f>IFERROR(__xludf.DUMMYFUNCTION("""COMPUTED_VALUE"""),"dm13770s4")</f>
        <v>dm13770s4</v>
      </c>
      <c r="AL230" s="85" t="str">
        <f>IFERROR(__xludf.DUMMYFUNCTION("""COMPUTED_VALUE"""),"#13770Pos")</f>
        <v>#13770Pos</v>
      </c>
      <c r="AM230" s="85" t="str">
        <f>IFERROR(__xludf.DUMMYFUNCTION("""COMPUTED_VALUE"""),"KANTOR REGIONAL II JAKARTA 10004")</f>
        <v>KANTOR REGIONAL II JAKARTA 10004</v>
      </c>
      <c r="AN230" s="85" t="str">
        <f>IFERROR(__xludf.DUMMYFUNCTION("""COMPUTED_VALUE"""),"KCU JAKARTAPREMIER 13000")</f>
        <v>KCU JAKARTAPREMIER 13000</v>
      </c>
      <c r="AO230" s="85" t="str">
        <f>IFERROR(__xludf.DUMMYFUNCTION("""COMPUTED_VALUE"""),"2806240031082")</f>
        <v>2806240031082</v>
      </c>
      <c r="AP230" s="85" t="str">
        <f>IFERROR(__xludf.DUMMYFUNCTION("""COMPUTED_VALUE"""),"28062400310820001")</f>
        <v>28062400310820001</v>
      </c>
      <c r="AQ230" s="93"/>
      <c r="AR230" s="85"/>
      <c r="AS230" s="85"/>
      <c r="AT230" s="85" t="str">
        <f>IFERROR(__xludf.DUMMYFUNCTION("""COMPUTED_VALUE"""),"-6.3254483")</f>
        <v>-6.3254483</v>
      </c>
      <c r="AU230" s="85" t="str">
        <f>IFERROR(__xludf.DUMMYFUNCTION("""COMPUTED_VALUE"""),"106.8586585")</f>
        <v>106.8586585</v>
      </c>
      <c r="AV230" s="85"/>
      <c r="AW230" s="85"/>
      <c r="AX230" s="85"/>
      <c r="AY230" s="85"/>
      <c r="AZ230" s="85"/>
      <c r="BA230" s="85"/>
      <c r="BB230" s="85"/>
      <c r="BC230" s="85"/>
      <c r="BD230" s="85"/>
      <c r="BE230" s="85"/>
      <c r="BF230" s="85"/>
      <c r="BG230" s="85"/>
      <c r="BH230" s="85"/>
      <c r="BI230" s="85"/>
      <c r="BJ230" s="85"/>
      <c r="BK230" s="85"/>
      <c r="BL230" s="85"/>
      <c r="BM230" s="85"/>
      <c r="BN230" s="85"/>
      <c r="BO230" s="85"/>
      <c r="BP230" s="85"/>
      <c r="BQ230" s="85"/>
      <c r="BR230" s="85"/>
      <c r="BS230" s="85"/>
      <c r="BT230" s="85"/>
      <c r="BU230" s="85"/>
      <c r="BV230" s="85"/>
      <c r="BW230" s="85"/>
      <c r="BX230" s="85"/>
      <c r="BY230" s="85"/>
      <c r="BZ230" s="85"/>
      <c r="CA230" s="85"/>
      <c r="CB230" s="85"/>
      <c r="CC230" s="85"/>
      <c r="CD230" s="85"/>
      <c r="CE230" s="85"/>
      <c r="CF230" s="85"/>
      <c r="CG230" s="85"/>
      <c r="CH230" s="85"/>
      <c r="CI230" s="85"/>
      <c r="CJ230" s="85"/>
      <c r="CK230" s="2"/>
    </row>
    <row r="231" ht="14.25" customHeight="1">
      <c r="A231" s="80">
        <f>IFERROR(__xludf.DUMMYFUNCTION("""COMPUTED_VALUE"""),228.0)</f>
        <v>228</v>
      </c>
      <c r="B231" s="80"/>
      <c r="C231" s="80"/>
      <c r="D231" s="81"/>
      <c r="E231" s="82"/>
      <c r="F231" s="80"/>
      <c r="G231" s="81"/>
      <c r="H231" s="80"/>
      <c r="I231" s="80"/>
      <c r="J231" s="80"/>
      <c r="K231" s="80"/>
      <c r="L231" s="80"/>
      <c r="M231" s="80"/>
      <c r="N231" s="80"/>
      <c r="O231" s="80"/>
      <c r="P231" s="80"/>
      <c r="Q231" s="80" t="str">
        <f>IFERROR(__xludf.DUMMYFUNCTION("""COMPUTED_VALUE"""),"MUC SETIA")</f>
        <v>MUC SETIA</v>
      </c>
      <c r="R231" s="80" t="str">
        <f>IFERROR(__xludf.DUMMYFUNCTION("""COMPUTED_VALUE"""),"MUC SETIA")</f>
        <v>MUC SETIA</v>
      </c>
      <c r="S231" s="80" t="str">
        <f>IFERROR(__xludf.DUMMYFUNCTION("""COMPUTED_VALUE"""),"MOCHAMMAD MUJIARTO")</f>
        <v>MOCHAMMAD MUJIARTO</v>
      </c>
      <c r="T231" s="80" t="str">
        <f>IFERROR(__xludf.DUMMYFUNCTION("""COMPUTED_VALUE"""),"GEMBONG KULON RT 013 RW 005 KEL. GEMBONG KULON KEC. TALANG KAB. TEGAL")</f>
        <v>GEMBONG KULON RT 013 RW 005 KEL. GEMBONG KULON KEC. TALANG KAB. TEGAL</v>
      </c>
      <c r="U231" s="80" t="str">
        <f>IFERROR(__xludf.DUMMYFUNCTION("""COMPUTED_VALUE"""),"JL. PROJOSUMARTO 1 NO. 41 RT 013 RW 004 ")</f>
        <v>JL. PROJOSUMARTO 1 NO. 41 RT 013 RW 004 </v>
      </c>
      <c r="V231" s="80"/>
      <c r="W231" s="80" t="str">
        <f>IFERROR(__xludf.DUMMYFUNCTION("""COMPUTED_VALUE"""),"KALIGAYAM")</f>
        <v>KALIGAYAM</v>
      </c>
      <c r="X231" s="80" t="str">
        <f>IFERROR(__xludf.DUMMYFUNCTION("""COMPUTED_VALUE"""),"TALANG")</f>
        <v>TALANG</v>
      </c>
      <c r="Y231" s="80" t="str">
        <f>IFERROR(__xludf.DUMMYFUNCTION("""COMPUTED_VALUE"""),"KAB. TEGAL")</f>
        <v>KAB. TEGAL</v>
      </c>
      <c r="Z231" s="80" t="str">
        <f>IFERROR(__xludf.DUMMYFUNCTION("""COMPUTED_VALUE"""),"JAWA TENGAH")</f>
        <v>JAWA TENGAH</v>
      </c>
      <c r="AA231" s="80" t="str">
        <f>IFERROR(__xludf.DUMMYFUNCTION("""COMPUTED_VALUE"""),"52192")</f>
        <v>52192</v>
      </c>
      <c r="AB231" s="80" t="str">
        <f>IFERROR(__xludf.DUMMYFUNCTION("""COMPUTED_VALUE"""),"3376022412850003")</f>
        <v>3376022412850003</v>
      </c>
      <c r="AC231" s="80" t="str">
        <f>IFERROR(__xludf.DUMMYFUNCTION("""COMPUTED_VALUE"""),"61.419.488.4-501.000")</f>
        <v>61.419.488.4-501.000</v>
      </c>
      <c r="AD231" s="80"/>
      <c r="AE231" s="80" t="str">
        <f>IFERROR(__xludf.DUMMYFUNCTION("""COMPUTED_VALUE"""),"SYAIFULLOH (KC TEGAL)")</f>
        <v>SYAIFULLOH (KC TEGAL)</v>
      </c>
      <c r="AF231" s="80" t="str">
        <f>IFERROR(__xludf.DUMMYFUNCTION("""COMPUTED_VALUE"""),"087848113377")</f>
        <v>087848113377</v>
      </c>
      <c r="AG231" s="80"/>
      <c r="AH231" s="80" t="str">
        <f>IFERROR(__xludf.DUMMYFUNCTION("""COMPUTED_VALUE"""),"setia.qta@gmail.com")</f>
        <v>setia.qta@gmail.com</v>
      </c>
      <c r="AI231" s="80"/>
      <c r="AJ231" s="80"/>
      <c r="AK231" s="80"/>
      <c r="AL231" s="80"/>
      <c r="AM231" s="80"/>
      <c r="AN231" s="80" t="str">
        <f>IFERROR(__xludf.DUMMYFUNCTION("""COMPUTED_VALUE"""),"KC TEGAL")</f>
        <v>KC TEGAL</v>
      </c>
      <c r="AO231" s="80"/>
      <c r="AP231" s="80"/>
      <c r="AQ231" s="83"/>
      <c r="AR231" s="80"/>
      <c r="AS231" s="80"/>
      <c r="AT231" s="80" t="str">
        <f>IFERROR(__xludf.DUMMYFUNCTION("""COMPUTED_VALUE""")," -6.9028853")</f>
        <v> -6.9028853</v>
      </c>
      <c r="AU231" s="80" t="str">
        <f>IFERROR(__xludf.DUMMYFUNCTION("""COMPUTED_VALUE"""),"109.1366693")</f>
        <v>109.1366693</v>
      </c>
      <c r="AV231" s="80"/>
      <c r="AW231" s="80"/>
      <c r="AX231" s="80"/>
      <c r="AY231" s="80"/>
      <c r="AZ231" s="80"/>
      <c r="BA231" s="80"/>
      <c r="BB231" s="80"/>
      <c r="BC231" s="80"/>
      <c r="BD231" s="80"/>
      <c r="BE231" s="80"/>
      <c r="BF231" s="80"/>
      <c r="BG231" s="80"/>
      <c r="BH231" s="80"/>
      <c r="BI231" s="80"/>
      <c r="BJ231" s="80"/>
      <c r="BK231" s="80"/>
      <c r="BL231" s="80"/>
      <c r="BM231" s="80"/>
      <c r="BN231" s="80"/>
      <c r="BO231" s="80"/>
      <c r="BP231" s="80"/>
      <c r="BQ231" s="80"/>
      <c r="BR231" s="80"/>
      <c r="BS231" s="80"/>
      <c r="BT231" s="80"/>
      <c r="BU231" s="80"/>
      <c r="BV231" s="80"/>
      <c r="BW231" s="80"/>
      <c r="BX231" s="80"/>
      <c r="BY231" s="80"/>
      <c r="BZ231" s="80"/>
      <c r="CA231" s="80"/>
      <c r="CB231" s="80"/>
      <c r="CC231" s="80"/>
      <c r="CD231" s="80"/>
      <c r="CE231" s="80"/>
      <c r="CF231" s="80"/>
      <c r="CG231" s="80"/>
      <c r="CH231" s="80"/>
      <c r="CI231" s="80"/>
      <c r="CJ231" s="80"/>
      <c r="CK231" s="2"/>
    </row>
    <row r="232" ht="14.25" customHeight="1">
      <c r="A232" s="85">
        <f>IFERROR(__xludf.DUMMYFUNCTION("""COMPUTED_VALUE"""),229.0)</f>
        <v>229</v>
      </c>
      <c r="B232" s="85"/>
      <c r="C232" s="85"/>
      <c r="D232" s="86"/>
      <c r="E232" s="88"/>
      <c r="F232" s="85"/>
      <c r="G232" s="86"/>
      <c r="H232" s="85"/>
      <c r="I232" s="85"/>
      <c r="J232" s="85"/>
      <c r="K232" s="85"/>
      <c r="L232" s="85"/>
      <c r="M232" s="85"/>
      <c r="N232" s="85"/>
      <c r="O232" s="85"/>
      <c r="P232" s="85"/>
      <c r="Q232" s="85" t="str">
        <f>IFERROR(__xludf.DUMMYFUNCTION("""COMPUTED_VALUE"""),"MUC SINAR JAYA")</f>
        <v>MUC SINAR JAYA</v>
      </c>
      <c r="R232" s="85" t="str">
        <f>IFERROR(__xludf.DUMMYFUNCTION("""COMPUTED_VALUE"""),"MUC SINAR JAYA")</f>
        <v>MUC SINAR JAYA</v>
      </c>
      <c r="S232" s="85" t="str">
        <f>IFERROR(__xludf.DUMMYFUNCTION("""COMPUTED_VALUE"""),"TRI YETI KUSUMAWATI")</f>
        <v>TRI YETI KUSUMAWATI</v>
      </c>
      <c r="T232" s="85" t="str">
        <f>IFERROR(__xludf.DUMMYFUNCTION("""COMPUTED_VALUE"""),"KARANGMANGU RT 006 RW 002")</f>
        <v>KARANGMANGU RT 006 RW 002</v>
      </c>
      <c r="U232" s="85" t="str">
        <f>IFERROR(__xludf.DUMMYFUNCTION("""COMPUTED_VALUE"""),"JL. LOKAJAYA, AMRI")</f>
        <v>JL. LOKAJAYA, AMRI</v>
      </c>
      <c r="V232" s="85"/>
      <c r="W232" s="85" t="str">
        <f>IFERROR(__xludf.DUMMYFUNCTION("""COMPUTED_VALUE"""),"KARANGMANGU")</f>
        <v>KARANGMANGU</v>
      </c>
      <c r="X232" s="85" t="str">
        <f>IFERROR(__xludf.DUMMYFUNCTION("""COMPUTED_VALUE"""),"TARUB")</f>
        <v>TARUB</v>
      </c>
      <c r="Y232" s="85" t="str">
        <f>IFERROR(__xludf.DUMMYFUNCTION("""COMPUTED_VALUE"""),"KAB. TEGAL")</f>
        <v>KAB. TEGAL</v>
      </c>
      <c r="Z232" s="85" t="str">
        <f>IFERROR(__xludf.DUMMYFUNCTION("""COMPUTED_VALUE"""),"JAWA TENGAH")</f>
        <v>JAWA TENGAH</v>
      </c>
      <c r="AA232" s="85" t="str">
        <f>IFERROR(__xludf.DUMMYFUNCTION("""COMPUTED_VALUE"""),"52184")</f>
        <v>52184</v>
      </c>
      <c r="AB232" s="85" t="str">
        <f>IFERROR(__xludf.DUMMYFUNCTION("""COMPUTED_VALUE"""),"3328146701710001")</f>
        <v>3328146701710001</v>
      </c>
      <c r="AC232" s="85" t="str">
        <f>IFERROR(__xludf.DUMMYFUNCTION("""COMPUTED_VALUE"""),"48.011.352.1-501.000")</f>
        <v>48.011.352.1-501.000</v>
      </c>
      <c r="AD232" s="85"/>
      <c r="AE232" s="85" t="str">
        <f>IFERROR(__xludf.DUMMYFUNCTION("""COMPUTED_VALUE"""),"SYAIFULLOH (KC TEGAL)")</f>
        <v>SYAIFULLOH (KC TEGAL)</v>
      </c>
      <c r="AF232" s="85" t="str">
        <f>IFERROR(__xludf.DUMMYFUNCTION("""COMPUTED_VALUE"""),"085328919946")</f>
        <v>085328919946</v>
      </c>
      <c r="AG232" s="85"/>
      <c r="AH232" s="85" t="str">
        <f>IFERROR(__xludf.DUMMYFUNCTION("""COMPUTED_VALUE"""),"yetiri3@gmail.com")</f>
        <v>yetiri3@gmail.com</v>
      </c>
      <c r="AI232" s="85"/>
      <c r="AJ232" s="85"/>
      <c r="AK232" s="85"/>
      <c r="AL232" s="85"/>
      <c r="AM232" s="85"/>
      <c r="AN232" s="85" t="str">
        <f>IFERROR(__xludf.DUMMYFUNCTION("""COMPUTED_VALUE"""),"KC TEGAL")</f>
        <v>KC TEGAL</v>
      </c>
      <c r="AO232" s="85"/>
      <c r="AP232" s="85"/>
      <c r="AQ232" s="93"/>
      <c r="AR232" s="85"/>
      <c r="AS232" s="85"/>
      <c r="AT232" s="85" t="str">
        <f>IFERROR(__xludf.DUMMYFUNCTION("""COMPUTED_VALUE"""),"-6.9285811")</f>
        <v>-6.9285811</v>
      </c>
      <c r="AU232" s="85" t="str">
        <f>IFERROR(__xludf.DUMMYFUNCTION("""COMPUTED_VALUE"""),"109.1681868")</f>
        <v>109.1681868</v>
      </c>
      <c r="AV232" s="85"/>
      <c r="AW232" s="85"/>
      <c r="AX232" s="85"/>
      <c r="AY232" s="85"/>
      <c r="AZ232" s="85"/>
      <c r="BA232" s="85"/>
      <c r="BB232" s="85"/>
      <c r="BC232" s="85"/>
      <c r="BD232" s="85"/>
      <c r="BE232" s="85"/>
      <c r="BF232" s="85"/>
      <c r="BG232" s="85"/>
      <c r="BH232" s="85"/>
      <c r="BI232" s="85"/>
      <c r="BJ232" s="85"/>
      <c r="BK232" s="85"/>
      <c r="BL232" s="85"/>
      <c r="BM232" s="85"/>
      <c r="BN232" s="85"/>
      <c r="BO232" s="85"/>
      <c r="BP232" s="85"/>
      <c r="BQ232" s="85"/>
      <c r="BR232" s="85"/>
      <c r="BS232" s="85"/>
      <c r="BT232" s="85"/>
      <c r="BU232" s="85"/>
      <c r="BV232" s="85"/>
      <c r="BW232" s="85"/>
      <c r="BX232" s="85"/>
      <c r="BY232" s="85"/>
      <c r="BZ232" s="85"/>
      <c r="CA232" s="85"/>
      <c r="CB232" s="85"/>
      <c r="CC232" s="85"/>
      <c r="CD232" s="85"/>
      <c r="CE232" s="85"/>
      <c r="CF232" s="85"/>
      <c r="CG232" s="85"/>
      <c r="CH232" s="85"/>
      <c r="CI232" s="85"/>
      <c r="CJ232" s="85"/>
      <c r="CK232" s="2"/>
    </row>
    <row r="233" ht="14.25" customHeight="1">
      <c r="A233" s="80">
        <f>IFERROR(__xludf.DUMMYFUNCTION("""COMPUTED_VALUE"""),230.0)</f>
        <v>230</v>
      </c>
      <c r="B233" s="80"/>
      <c r="C233" s="80"/>
      <c r="D233" s="81">
        <f>IFERROR(__xludf.DUMMYFUNCTION("""COMPUTED_VALUE"""),45483.0)</f>
        <v>45483</v>
      </c>
      <c r="E233" s="82"/>
      <c r="F233" s="80"/>
      <c r="G233" s="81"/>
      <c r="H233" s="80"/>
      <c r="I233" s="80"/>
      <c r="J233" s="80"/>
      <c r="K233" s="80"/>
      <c r="L233" s="80"/>
      <c r="M233" s="80" t="str">
        <f>IFERROR(__xludf.DUMMYFUNCTION("""COMPUTED_VALUE"""),"ü")</f>
        <v>ü</v>
      </c>
      <c r="N233" s="80"/>
      <c r="O233" s="80"/>
      <c r="P233" s="80" t="str">
        <f>IFERROR(__xludf.DUMMYFUNCTION("""COMPUTED_VALUE"""),"53BSPA04805JBEEN")</f>
        <v>53BSPA04805JBEEN</v>
      </c>
      <c r="Q233" s="80" t="str">
        <f>IFERROR(__xludf.DUMMYFUNCTION("""COMPUTED_VALUE"""),"MUC BALONGJATI")</f>
        <v>MUC BALONGJATI</v>
      </c>
      <c r="R233" s="80" t="str">
        <f>IFERROR(__xludf.DUMMYFUNCTION("""COMPUTED_VALUE"""),"MUC BALONGJATI")</f>
        <v>MUC BALONGJATI</v>
      </c>
      <c r="S233" s="80" t="str">
        <f>IFERROR(__xludf.DUMMYFUNCTION("""COMPUTED_VALUE"""),"NUR WAHIM")</f>
        <v>NUR WAHIM</v>
      </c>
      <c r="T233" s="80" t="str">
        <f>IFERROR(__xludf.DUMMYFUNCTION("""COMPUTED_VALUE"""),"DSN. BALONGJATI RT 012 RW 006")</f>
        <v>DSN. BALONGJATI RT 012 RW 006</v>
      </c>
      <c r="U233" s="80" t="str">
        <f>IFERROR(__xludf.DUMMYFUNCTION("""COMPUTED_VALUE"""),"DUSUN BALONGJATI RT 012 RW 006")</f>
        <v>DUSUN BALONGJATI RT 012 RW 006</v>
      </c>
      <c r="V233" s="80"/>
      <c r="W233" s="80" t="str">
        <f>IFERROR(__xludf.DUMMYFUNCTION("""COMPUTED_VALUE"""),"MOJOWATESREJO")</f>
        <v>MOJOWATESREJO</v>
      </c>
      <c r="X233" s="80" t="str">
        <f>IFERROR(__xludf.DUMMYFUNCTION("""COMPUTED_VALUE"""),"KEMLAGI")</f>
        <v>KEMLAGI</v>
      </c>
      <c r="Y233" s="80" t="str">
        <f>IFERROR(__xludf.DUMMYFUNCTION("""COMPUTED_VALUE"""),"KAB. MOJOKERTO")</f>
        <v>KAB. MOJOKERTO</v>
      </c>
      <c r="Z233" s="80" t="str">
        <f>IFERROR(__xludf.DUMMYFUNCTION("""COMPUTED_VALUE"""),"JAWA TIMUR")</f>
        <v>JAWA TIMUR</v>
      </c>
      <c r="AA233" s="80" t="str">
        <f>IFERROR(__xludf.DUMMYFUNCTION("""COMPUTED_VALUE"""),"61353")</f>
        <v>61353</v>
      </c>
      <c r="AB233" s="80" t="str">
        <f>IFERROR(__xludf.DUMMYFUNCTION("""COMPUTED_VALUE"""),"3578270512760008")</f>
        <v>3578270512760008</v>
      </c>
      <c r="AC233" s="80" t="str">
        <f>IFERROR(__xludf.DUMMYFUNCTION("""COMPUTED_VALUE"""),"72.001.612.0-604.000")</f>
        <v>72.001.612.0-604.000</v>
      </c>
      <c r="AD233" s="80" t="str">
        <f>IFERROR(__xludf.DUMMYFUNCTION("""COMPUTED_VALUE"""),"CUM - EEN")</f>
        <v>CUM - EEN</v>
      </c>
      <c r="AE233" s="80" t="str">
        <f>IFERROR(__xludf.DUMMYFUNCTION("""COMPUTED_VALUE"""),"SUB EEN")</f>
        <v>SUB EEN</v>
      </c>
      <c r="AF233" s="80" t="str">
        <f>IFERROR(__xludf.DUMMYFUNCTION("""COMPUTED_VALUE"""),"082231064755")</f>
        <v>082231064755</v>
      </c>
      <c r="AG233" s="80"/>
      <c r="AH233" s="80" t="str">
        <f>IFERROR(__xludf.DUMMYFUNCTION("""COMPUTED_VALUE"""),"nurfahim165@gmail.com")</f>
        <v>nurfahim165@gmail.com</v>
      </c>
      <c r="AI233" s="80" t="str">
        <f>IFERROR(__xludf.DUMMYFUNCTION("""COMPUTED_VALUE"""),"61353S5")</f>
        <v>61353S5</v>
      </c>
      <c r="AJ233" s="80" t="str">
        <f>IFERROR(__xludf.DUMMYFUNCTION("""COMPUTED_VALUE"""),"668f8d543570a6bee904f13b")</f>
        <v>668f8d543570a6bee904f13b</v>
      </c>
      <c r="AK233" s="80" t="str">
        <f>IFERROR(__xludf.DUMMYFUNCTION("""COMPUTED_VALUE"""),"dm61353s5")</f>
        <v>dm61353s5</v>
      </c>
      <c r="AL233" s="80" t="str">
        <f>IFERROR(__xludf.DUMMYFUNCTION("""COMPUTED_VALUE"""),"#61353Pos")</f>
        <v>#61353Pos</v>
      </c>
      <c r="AM233" s="80" t="str">
        <f>IFERROR(__xludf.DUMMYFUNCTION("""COMPUTED_VALUE"""),"KANTOR REGIONAL V SURABAYA 60004")</f>
        <v>KANTOR REGIONAL V SURABAYA 60004</v>
      </c>
      <c r="AN233" s="80" t="str">
        <f>IFERROR(__xludf.DUMMYFUNCTION("""COMPUTED_VALUE"""),"KC MOJOKERTO 61300")</f>
        <v>KC MOJOKERTO 61300</v>
      </c>
      <c r="AO233" s="80" t="str">
        <f>IFERROR(__xludf.DUMMYFUNCTION("""COMPUTED_VALUE"""),"0307240029443")</f>
        <v>0307240029443</v>
      </c>
      <c r="AP233" s="80" t="str">
        <f>IFERROR(__xludf.DUMMYFUNCTION("""COMPUTED_VALUE"""),"03072400294430001")</f>
        <v>03072400294430001</v>
      </c>
      <c r="AQ233" s="83"/>
      <c r="AR233" s="80"/>
      <c r="AS233" s="80"/>
      <c r="AT233" s="80" t="str">
        <f>IFERROR(__xludf.DUMMYFUNCTION("""COMPUTED_VALUE"""),"-7.4092774")</f>
        <v>-7.4092774</v>
      </c>
      <c r="AU233" s="80" t="str">
        <f>IFERROR(__xludf.DUMMYFUNCTION("""COMPUTED_VALUE"""),"112.3484773")</f>
        <v>112.3484773</v>
      </c>
      <c r="AV233" s="80"/>
      <c r="AW233" s="80"/>
      <c r="AX233" s="80"/>
      <c r="AY233" s="80"/>
      <c r="AZ233" s="80"/>
      <c r="BA233" s="80"/>
      <c r="BB233" s="80"/>
      <c r="BC233" s="80"/>
      <c r="BD233" s="80"/>
      <c r="BE233" s="80"/>
      <c r="BF233" s="80"/>
      <c r="BG233" s="80"/>
      <c r="BH233" s="80"/>
      <c r="BI233" s="80"/>
      <c r="BJ233" s="80"/>
      <c r="BK233" s="80"/>
      <c r="BL233" s="80"/>
      <c r="BM233" s="80"/>
      <c r="BN233" s="80"/>
      <c r="BO233" s="80"/>
      <c r="BP233" s="80"/>
      <c r="BQ233" s="80"/>
      <c r="BR233" s="80"/>
      <c r="BS233" s="80"/>
      <c r="BT233" s="80"/>
      <c r="BU233" s="80"/>
      <c r="BV233" s="80"/>
      <c r="BW233" s="80"/>
      <c r="BX233" s="80"/>
      <c r="BY233" s="80"/>
      <c r="BZ233" s="80"/>
      <c r="CA233" s="80"/>
      <c r="CB233" s="80"/>
      <c r="CC233" s="80"/>
      <c r="CD233" s="80"/>
      <c r="CE233" s="80"/>
      <c r="CF233" s="80"/>
      <c r="CG233" s="80"/>
      <c r="CH233" s="80"/>
      <c r="CI233" s="80"/>
      <c r="CJ233" s="80"/>
      <c r="CK233" s="2"/>
    </row>
    <row r="234" ht="12.75" customHeight="1">
      <c r="A234" s="85">
        <f>IFERROR(__xludf.DUMMYFUNCTION("""COMPUTED_VALUE"""),231.0)</f>
        <v>231</v>
      </c>
      <c r="B234" s="85"/>
      <c r="C234" s="85"/>
      <c r="D234" s="86"/>
      <c r="E234" s="88"/>
      <c r="F234" s="85"/>
      <c r="G234" s="86"/>
      <c r="H234" s="85"/>
      <c r="I234" s="85"/>
      <c r="J234" s="85"/>
      <c r="K234" s="85"/>
      <c r="L234" s="85"/>
      <c r="M234" s="85" t="str">
        <f>IFERROR(__xludf.DUMMYFUNCTION("""COMPUTED_VALUE"""),"ü")</f>
        <v>ü</v>
      </c>
      <c r="N234" s="85"/>
      <c r="O234" s="85"/>
      <c r="P234" s="85" t="str">
        <f>IFERROR(__xludf.DUMMYFUNCTION("""COMPUTED_VALUE"""),"52BSPA07627JTAUR")</f>
        <v>52BSPA07627JTAUR</v>
      </c>
      <c r="Q234" s="85" t="str">
        <f>IFERROR(__xludf.DUMMYFUNCTION("""COMPUTED_VALUE"""),"MUC AURORA")</f>
        <v>MUC AURORA</v>
      </c>
      <c r="R234" s="85" t="str">
        <f>IFERROR(__xludf.DUMMYFUNCTION("""COMPUTED_VALUE"""),"MUC AURORA")</f>
        <v>MUC AURORA</v>
      </c>
      <c r="S234" s="85" t="str">
        <f>IFERROR(__xludf.DUMMYFUNCTION("""COMPUTED_VALUE"""),"DEVI KUSUMA PUTRI")</f>
        <v>DEVI KUSUMA PUTRI</v>
      </c>
      <c r="T234" s="85" t="str">
        <f>IFERROR(__xludf.DUMMYFUNCTION("""COMPUTED_VALUE"""),"Jl. Semur RT 01 RW 13, Ds.Kalongan, Pulisen, Boyolali, Jateng")</f>
        <v>Jl. Semur RT 01 RW 13, Ds.Kalongan, Pulisen, Boyolali, Jateng</v>
      </c>
      <c r="U234" s="85" t="str">
        <f>IFERROR(__xludf.DUMMYFUNCTION("""COMPUTED_VALUE"""),"Jl.Bayem, Poncobudoyo, Pulisen, Boyolali")</f>
        <v>Jl.Bayem, Poncobudoyo, Pulisen, Boyolali</v>
      </c>
      <c r="V234" s="85"/>
      <c r="W234" s="85" t="str">
        <f>IFERROR(__xludf.DUMMYFUNCTION("""COMPUTED_VALUE"""),"PULISEN")</f>
        <v>PULISEN</v>
      </c>
      <c r="X234" s="85" t="str">
        <f>IFERROR(__xludf.DUMMYFUNCTION("""COMPUTED_VALUE"""),"BOYOLALI")</f>
        <v>BOYOLALI</v>
      </c>
      <c r="Y234" s="85" t="str">
        <f>IFERROR(__xludf.DUMMYFUNCTION("""COMPUTED_VALUE"""),"BOYOLALI")</f>
        <v>BOYOLALI</v>
      </c>
      <c r="Z234" s="85" t="str">
        <f>IFERROR(__xludf.DUMMYFUNCTION("""COMPUTED_VALUE"""),"JAWA TENGAH")</f>
        <v>JAWA TENGAH</v>
      </c>
      <c r="AA234" s="85" t="str">
        <f>IFERROR(__xludf.DUMMYFUNCTION("""COMPUTED_VALUE"""),"57316")</f>
        <v>57316</v>
      </c>
      <c r="AB234" s="85" t="str">
        <f>IFERROR(__xludf.DUMMYFUNCTION("""COMPUTED_VALUE"""),"3374074603950002")</f>
        <v>3374074603950002</v>
      </c>
      <c r="AC234" s="85" t="str">
        <f>IFERROR(__xludf.DUMMYFUNCTION("""COMPUTED_VALUE"""),"93.785.110.3-508.000")</f>
        <v>93.785.110.3-508.000</v>
      </c>
      <c r="AD234" s="85" t="str">
        <f>IFERROR(__xludf.DUMMYFUNCTION("""COMPUTED_VALUE"""),"CUM - PS - NDRU")</f>
        <v>CUM - PS - NDRU</v>
      </c>
      <c r="AE234" s="85" t="str">
        <f>IFERROR(__xludf.DUMMYFUNCTION("""COMPUTED_VALUE"""),"SUB NDARU POS")</f>
        <v>SUB NDARU POS</v>
      </c>
      <c r="AF234" s="85" t="str">
        <f>IFERROR(__xludf.DUMMYFUNCTION("""COMPUTED_VALUE"""),"081511340546")</f>
        <v>081511340546</v>
      </c>
      <c r="AG234" s="85"/>
      <c r="AH234" s="85" t="str">
        <f>IFERROR(__xludf.DUMMYFUNCTION("""COMPUTED_VALUE"""),"devikp88@gmail.com")</f>
        <v>devikp88@gmail.com</v>
      </c>
      <c r="AI234" s="85" t="str">
        <f>IFERROR(__xludf.DUMMYFUNCTION("""COMPUTED_VALUE"""),"57316S1")</f>
        <v>57316S1</v>
      </c>
      <c r="AJ234" s="85" t="str">
        <f>IFERROR(__xludf.DUMMYFUNCTION("""COMPUTED_VALUE"""),"66a22b1894a39fe6b20f1b9a")</f>
        <v>66a22b1894a39fe6b20f1b9a</v>
      </c>
      <c r="AK234" s="85" t="str">
        <f>IFERROR(__xludf.DUMMYFUNCTION("""COMPUTED_VALUE"""),"dm57316s1")</f>
        <v>dm57316s1</v>
      </c>
      <c r="AL234" s="85" t="str">
        <f>IFERROR(__xludf.DUMMYFUNCTION("""COMPUTED_VALUE"""),"#57316Pos")</f>
        <v>#57316Pos</v>
      </c>
      <c r="AM234" s="85" t="str">
        <f>IFERROR(__xludf.DUMMYFUNCTION("""COMPUTED_VALUE"""),"KANTOR REGIONAL IV SEMARANG 50004")</f>
        <v>KANTOR REGIONAL IV SEMARANG 50004</v>
      </c>
      <c r="AN234" s="85" t="str">
        <f>IFERROR(__xludf.DUMMYFUNCTION("""COMPUTED_VALUE"""),"KC BOYOLALI 57300")</f>
        <v>KC BOYOLALI 57300</v>
      </c>
      <c r="AO234" s="85" t="str">
        <f>IFERROR(__xludf.DUMMYFUNCTION("""COMPUTED_VALUE"""),"0411220005978")</f>
        <v>0411220005978</v>
      </c>
      <c r="AP234" s="85" t="str">
        <f>IFERROR(__xludf.DUMMYFUNCTION("""COMPUTED_VALUE"""),"0411220005978000")</f>
        <v>0411220005978000</v>
      </c>
      <c r="AQ234" s="93"/>
      <c r="AR234" s="85"/>
      <c r="AS234" s="85"/>
      <c r="AT234" s="85" t="str">
        <f>IFERROR(__xludf.DUMMYFUNCTION("""COMPUTED_VALUE"""),"-7.5284863")</f>
        <v>-7.5284863</v>
      </c>
      <c r="AU234" s="85" t="str">
        <f>IFERROR(__xludf.DUMMYFUNCTION("""COMPUTED_VALUE"""),"110.5934718")</f>
        <v>110.5934718</v>
      </c>
      <c r="AV234" s="85"/>
      <c r="AW234" s="85"/>
      <c r="AX234" s="85"/>
      <c r="AY234" s="85"/>
      <c r="AZ234" s="85"/>
      <c r="BA234" s="85" t="str">
        <f>IFERROR(__xludf.DUMMYFUNCTION("""COMPUTED_VALUE"""),"ü")</f>
        <v>ü</v>
      </c>
      <c r="BB234" s="85" t="str">
        <f>IFERROR(__xludf.DUMMYFUNCTION("""COMPUTED_VALUE"""),"ü")</f>
        <v>ü</v>
      </c>
      <c r="BC234" s="85" t="str">
        <f>IFERROR(__xludf.DUMMYFUNCTION("""COMPUTED_VALUE"""),"ü")</f>
        <v>ü</v>
      </c>
      <c r="BD234" s="85" t="str">
        <f>IFERROR(__xludf.DUMMYFUNCTION("""COMPUTED_VALUE"""),"ü")</f>
        <v>ü</v>
      </c>
      <c r="BE234" s="85" t="str">
        <f>IFERROR(__xludf.DUMMYFUNCTION("""COMPUTED_VALUE"""),"ü")</f>
        <v>ü</v>
      </c>
      <c r="BF234" s="85" t="str">
        <f>IFERROR(__xludf.DUMMYFUNCTION("""COMPUTED_VALUE"""),"ü")</f>
        <v>ü</v>
      </c>
      <c r="BG234" s="85" t="str">
        <f>IFERROR(__xludf.DUMMYFUNCTION("""COMPUTED_VALUE"""),"ü")</f>
        <v>ü</v>
      </c>
      <c r="BH234" s="85" t="str">
        <f>IFERROR(__xludf.DUMMYFUNCTION("""COMPUTED_VALUE"""),"ü")</f>
        <v>ü</v>
      </c>
      <c r="BI234" s="85" t="str">
        <f>IFERROR(__xludf.DUMMYFUNCTION("""COMPUTED_VALUE"""),"ü")</f>
        <v>ü</v>
      </c>
      <c r="BJ234" s="85"/>
      <c r="BK234" s="85"/>
      <c r="BL234" s="85"/>
      <c r="BM234" s="85"/>
      <c r="BN234" s="85"/>
      <c r="BO234" s="85"/>
      <c r="BP234" s="85"/>
      <c r="BQ234" s="85"/>
      <c r="BR234" s="85"/>
      <c r="BS234" s="85"/>
      <c r="BT234" s="85"/>
      <c r="BU234" s="85"/>
      <c r="BV234" s="85"/>
      <c r="BW234" s="85"/>
      <c r="BX234" s="85"/>
      <c r="BY234" s="85"/>
      <c r="BZ234" s="85"/>
      <c r="CA234" s="85"/>
      <c r="CB234" s="85"/>
      <c r="CC234" s="85"/>
      <c r="CD234" s="85"/>
      <c r="CE234" s="85"/>
      <c r="CF234" s="85"/>
      <c r="CG234" s="85"/>
      <c r="CH234" s="85"/>
      <c r="CI234" s="85"/>
      <c r="CJ234" s="85"/>
      <c r="CK234" s="2"/>
    </row>
    <row r="235" ht="12.75" customHeight="1">
      <c r="A235" s="80">
        <f>IFERROR(__xludf.DUMMYFUNCTION("""COMPUTED_VALUE"""),232.0)</f>
        <v>232</v>
      </c>
      <c r="B235" s="80"/>
      <c r="C235" s="80"/>
      <c r="D235" s="81"/>
      <c r="E235" s="82"/>
      <c r="F235" s="80"/>
      <c r="G235" s="81"/>
      <c r="H235" s="80"/>
      <c r="I235" s="80"/>
      <c r="J235" s="80"/>
      <c r="K235" s="80"/>
      <c r="L235" s="80"/>
      <c r="M235" s="80" t="str">
        <f>IFERROR(__xludf.DUMMYFUNCTION("""COMPUTED_VALUE"""),"ü")</f>
        <v>ü</v>
      </c>
      <c r="N235" s="80"/>
      <c r="O235" s="80"/>
      <c r="P235" s="80" t="str">
        <f>IFERROR(__xludf.DUMMYFUNCTION("""COMPUTED_VALUE"""),"53BSPA04808JBEEN")</f>
        <v>53BSPA04808JBEEN</v>
      </c>
      <c r="Q235" s="80" t="str">
        <f>IFERROR(__xludf.DUMMYFUNCTION("""COMPUTED_VALUE"""),"MUC PEMBURU CUAN")</f>
        <v>MUC PEMBURU CUAN</v>
      </c>
      <c r="R235" s="80" t="str">
        <f>IFERROR(__xludf.DUMMYFUNCTION("""COMPUTED_VALUE"""),"MUC PEMBURU CUAN")</f>
        <v>MUC PEMBURU CUAN</v>
      </c>
      <c r="S235" s="80" t="str">
        <f>IFERROR(__xludf.DUMMYFUNCTION("""COMPUTED_VALUE"""),"FENDY")</f>
        <v>FENDY</v>
      </c>
      <c r="T235" s="80" t="str">
        <f>IFERROR(__xludf.DUMMYFUNCTION("""COMPUTED_VALUE"""),"VIKAMAS 1 BLOK B3 NO 5 RT 07/05 KAPUK MUARA PENJARINGAN JAKUT")</f>
        <v>VIKAMAS 1 BLOK B3 NO 5 RT 07/05 KAPUK MUARA PENJARINGAN JAKUT</v>
      </c>
      <c r="U235" s="80" t="str">
        <f>IFERROR(__xludf.DUMMYFUNCTION("""COMPUTED_VALUE"""),"VIKAMAS 1 BLOK B3 NO 5 RT 07/05 KAPUK MUARA PENJARINGAN JAKUT")</f>
        <v>VIKAMAS 1 BLOK B3 NO 5 RT 07/05 KAPUK MUARA PENJARINGAN JAKUT</v>
      </c>
      <c r="V235" s="80"/>
      <c r="W235" s="80" t="str">
        <f>IFERROR(__xludf.DUMMYFUNCTION("""COMPUTED_VALUE"""),"KAPUK MUARA")</f>
        <v>KAPUK MUARA</v>
      </c>
      <c r="X235" s="80" t="str">
        <f>IFERROR(__xludf.DUMMYFUNCTION("""COMPUTED_VALUE"""),"PENJARINGAN")</f>
        <v>PENJARINGAN</v>
      </c>
      <c r="Y235" s="80" t="str">
        <f>IFERROR(__xludf.DUMMYFUNCTION("""COMPUTED_VALUE"""),"JAKARTA UTARA")</f>
        <v>JAKARTA UTARA</v>
      </c>
      <c r="Z235" s="80" t="str">
        <f>IFERROR(__xludf.DUMMYFUNCTION("""COMPUTED_VALUE"""),"DKI JAKARTA")</f>
        <v>DKI JAKARTA</v>
      </c>
      <c r="AA235" s="80" t="str">
        <f>IFERROR(__xludf.DUMMYFUNCTION("""COMPUTED_VALUE"""),"14460")</f>
        <v>14460</v>
      </c>
      <c r="AB235" s="80" t="str">
        <f>IFERROR(__xludf.DUMMYFUNCTION("""COMPUTED_VALUE"""),"3172013006810003")</f>
        <v>3172013006810003</v>
      </c>
      <c r="AC235" s="80" t="str">
        <f>IFERROR(__xludf.DUMMYFUNCTION("""COMPUTED_VALUE"""),"48.898.855.1-041.000")</f>
        <v>48.898.855.1-041.000</v>
      </c>
      <c r="AD235" s="80" t="str">
        <f>IFERROR(__xludf.DUMMYFUNCTION("""COMPUTED_VALUE"""),"CUM - EEN")</f>
        <v>CUM - EEN</v>
      </c>
      <c r="AE235" s="80" t="str">
        <f>IFERROR(__xludf.DUMMYFUNCTION("""COMPUTED_VALUE"""),"SUB EEN")</f>
        <v>SUB EEN</v>
      </c>
      <c r="AF235" s="80" t="str">
        <f>IFERROR(__xludf.DUMMYFUNCTION("""COMPUTED_VALUE"""),"081218993883")</f>
        <v>081218993883</v>
      </c>
      <c r="AG235" s="80"/>
      <c r="AH235" s="80" t="str">
        <f>IFERROR(__xludf.DUMMYFUNCTION("""COMPUTED_VALUE"""),"fendyteguh@gmail.com")</f>
        <v>fendyteguh@gmail.com</v>
      </c>
      <c r="AI235" s="80" t="str">
        <f>IFERROR(__xludf.DUMMYFUNCTION("""COMPUTED_VALUE"""),"14460S3")</f>
        <v>14460S3</v>
      </c>
      <c r="AJ235" s="80" t="str">
        <f>IFERROR(__xludf.DUMMYFUNCTION("""COMPUTED_VALUE"""),"669c61de204c4b3cd2096003")</f>
        <v>669c61de204c4b3cd2096003</v>
      </c>
      <c r="AK235" s="80" t="str">
        <f>IFERROR(__xludf.DUMMYFUNCTION("""COMPUTED_VALUE"""),"dm14460s3")</f>
        <v>dm14460s3</v>
      </c>
      <c r="AL235" s="80" t="str">
        <f>IFERROR(__xludf.DUMMYFUNCTION("""COMPUTED_VALUE"""),"#14460Pos")</f>
        <v>#14460Pos</v>
      </c>
      <c r="AM235" s="80" t="str">
        <f>IFERROR(__xludf.DUMMYFUNCTION("""COMPUTED_VALUE"""),"KANTOR REGIONAL II JAKARTA 10004")</f>
        <v>KANTOR REGIONAL II JAKARTA 10004</v>
      </c>
      <c r="AN235" s="80" t="str">
        <f>IFERROR(__xludf.DUMMYFUNCTION("""COMPUTED_VALUE"""),"KCU JAKARTAPREMIER 13000")</f>
        <v>KCU JAKARTAPREMIER 13000</v>
      </c>
      <c r="AO235" s="80" t="str">
        <f>IFERROR(__xludf.DUMMYFUNCTION("""COMPUTED_VALUE"""),"2006230088074")</f>
        <v>2006230088074</v>
      </c>
      <c r="AP235" s="80" t="str">
        <f>IFERROR(__xludf.DUMMYFUNCTION("""COMPUTED_VALUE"""),"20062300880740001")</f>
        <v>20062300880740001</v>
      </c>
      <c r="AQ235" s="83"/>
      <c r="AR235" s="80"/>
      <c r="AS235" s="80"/>
      <c r="AT235" s="80" t="str">
        <f>IFERROR(__xludf.DUMMYFUNCTION("""COMPUTED_VALUE"""),"-6.1328563")</f>
        <v>-6.1328563</v>
      </c>
      <c r="AU235" s="80" t="str">
        <f>IFERROR(__xludf.DUMMYFUNCTION("""COMPUTED_VALUE"""),"106.7716476")</f>
        <v>106.7716476</v>
      </c>
      <c r="AV235" s="80"/>
      <c r="AW235" s="80"/>
      <c r="AX235" s="80"/>
      <c r="AY235" s="80"/>
      <c r="AZ235" s="80"/>
      <c r="BA235" s="80" t="str">
        <f>IFERROR(__xludf.DUMMYFUNCTION("""COMPUTED_VALUE"""),"ü")</f>
        <v>ü</v>
      </c>
      <c r="BB235" s="80" t="str">
        <f>IFERROR(__xludf.DUMMYFUNCTION("""COMPUTED_VALUE"""),"ü")</f>
        <v>ü</v>
      </c>
      <c r="BC235" s="80" t="str">
        <f>IFERROR(__xludf.DUMMYFUNCTION("""COMPUTED_VALUE"""),"ü")</f>
        <v>ü</v>
      </c>
      <c r="BD235" s="80" t="str">
        <f>IFERROR(__xludf.DUMMYFUNCTION("""COMPUTED_VALUE"""),"ü")</f>
        <v>ü</v>
      </c>
      <c r="BE235" s="80" t="str">
        <f>IFERROR(__xludf.DUMMYFUNCTION("""COMPUTED_VALUE"""),"ü")</f>
        <v>ü</v>
      </c>
      <c r="BF235" s="80" t="str">
        <f>IFERROR(__xludf.DUMMYFUNCTION("""COMPUTED_VALUE"""),"ü")</f>
        <v>ü</v>
      </c>
      <c r="BG235" s="80" t="str">
        <f>IFERROR(__xludf.DUMMYFUNCTION("""COMPUTED_VALUE"""),"ü")</f>
        <v>ü</v>
      </c>
      <c r="BH235" s="80" t="str">
        <f>IFERROR(__xludf.DUMMYFUNCTION("""COMPUTED_VALUE"""),"ü")</f>
        <v>ü</v>
      </c>
      <c r="BI235" s="80" t="str">
        <f>IFERROR(__xludf.DUMMYFUNCTION("""COMPUTED_VALUE"""),"ü")</f>
        <v>ü</v>
      </c>
      <c r="BJ235" s="80"/>
      <c r="BK235" s="80"/>
      <c r="BL235" s="80"/>
      <c r="BM235" s="80"/>
      <c r="BN235" s="80"/>
      <c r="BO235" s="80"/>
      <c r="BP235" s="80"/>
      <c r="BQ235" s="80"/>
      <c r="BR235" s="80"/>
      <c r="BS235" s="80"/>
      <c r="BT235" s="80"/>
      <c r="BU235" s="80"/>
      <c r="BV235" s="80"/>
      <c r="BW235" s="80"/>
      <c r="BX235" s="80"/>
      <c r="BY235" s="80"/>
      <c r="BZ235" s="80"/>
      <c r="CA235" s="80"/>
      <c r="CB235" s="80"/>
      <c r="CC235" s="80"/>
      <c r="CD235" s="80"/>
      <c r="CE235" s="80"/>
      <c r="CF235" s="80"/>
      <c r="CG235" s="80"/>
      <c r="CH235" s="80"/>
      <c r="CI235" s="80"/>
      <c r="CJ235" s="80"/>
      <c r="CK235" s="2"/>
    </row>
    <row r="236" ht="12.75" customHeight="1">
      <c r="A236" s="85">
        <f>IFERROR(__xludf.DUMMYFUNCTION("""COMPUTED_VALUE"""),233.0)</f>
        <v>233</v>
      </c>
      <c r="B236" s="85"/>
      <c r="C236" s="85"/>
      <c r="D236" s="86"/>
      <c r="E236" s="88"/>
      <c r="F236" s="85"/>
      <c r="G236" s="86"/>
      <c r="H236" s="85"/>
      <c r="I236" s="85"/>
      <c r="J236" s="85"/>
      <c r="K236" s="85"/>
      <c r="L236" s="85"/>
      <c r="M236" s="85" t="str">
        <f>IFERROR(__xludf.DUMMYFUNCTION("""COMPUTED_VALUE"""),"ü")</f>
        <v>ü</v>
      </c>
      <c r="N236" s="85"/>
      <c r="O236" s="85"/>
      <c r="P236" s="85" t="str">
        <f>IFERROR(__xludf.DUMMYFUNCTION("""COMPUTED_VALUE"""),"53BSPA04889JBNRH")</f>
        <v>53BSPA04889JBNRH</v>
      </c>
      <c r="Q236" s="85" t="str">
        <f>IFERROR(__xludf.DUMMYFUNCTION("""COMPUTED_VALUE"""),"MUC BINAR")</f>
        <v>MUC BINAR</v>
      </c>
      <c r="R236" s="85" t="str">
        <f>IFERROR(__xludf.DUMMYFUNCTION("""COMPUTED_VALUE"""),"MUC BINAR")</f>
        <v>MUC BINAR</v>
      </c>
      <c r="S236" s="85" t="str">
        <f>IFERROR(__xludf.DUMMYFUNCTION("""COMPUTED_VALUE"""),"NARIAH")</f>
        <v>NARIAH</v>
      </c>
      <c r="T236" s="85" t="str">
        <f>IFERROR(__xludf.DUMMYFUNCTION("""COMPUTED_VALUE"""),"KP. IPLIK RT 04/RW 11, NO. 78 KEL. MEKARJATI, KEC. KARAWANG BARAT, KAB. KARAWANG")</f>
        <v>KP. IPLIK RT 04/RW 11, NO. 78 KEL. MEKARJATI, KEC. KARAWANG BARAT, KAB. KARAWANG</v>
      </c>
      <c r="U236" s="85" t="str">
        <f>IFERROR(__xludf.DUMMYFUNCTION("""COMPUTED_VALUE"""),"JL. PROKLAMASI KM 58, KP. TUNGGAKJATI ILIR")</f>
        <v>JL. PROKLAMASI KM 58, KP. TUNGGAKJATI ILIR</v>
      </c>
      <c r="V236" s="85"/>
      <c r="W236" s="85" t="str">
        <f>IFERROR(__xludf.DUMMYFUNCTION("""COMPUTED_VALUE"""),"TUNGGAKJATI")</f>
        <v>TUNGGAKJATI</v>
      </c>
      <c r="X236" s="85" t="str">
        <f>IFERROR(__xludf.DUMMYFUNCTION("""COMPUTED_VALUE"""),"KARAWANG BARAT")</f>
        <v>KARAWANG BARAT</v>
      </c>
      <c r="Y236" s="85" t="str">
        <f>IFERROR(__xludf.DUMMYFUNCTION("""COMPUTED_VALUE"""),"KARAWANG")</f>
        <v>KARAWANG</v>
      </c>
      <c r="Z236" s="85" t="str">
        <f>IFERROR(__xludf.DUMMYFUNCTION("""COMPUTED_VALUE"""),"JAWA BARAT")</f>
        <v>JAWA BARAT</v>
      </c>
      <c r="AA236" s="85" t="str">
        <f>IFERROR(__xludf.DUMMYFUNCTION("""COMPUTED_VALUE"""),"41311")</f>
        <v>41311</v>
      </c>
      <c r="AB236" s="85" t="str">
        <f>IFERROR(__xludf.DUMMYFUNCTION("""COMPUTED_VALUE"""),"3215014510850009")</f>
        <v>3215014510850009</v>
      </c>
      <c r="AC236" s="85" t="str">
        <f>IFERROR(__xludf.DUMMYFUNCTION("""COMPUTED_VALUE"""),"46.567.842.3-408.000")</f>
        <v>46.567.842.3-408.000</v>
      </c>
      <c r="AD236" s="85" t="str">
        <f>IFERROR(__xludf.DUMMYFUNCTION("""COMPUTED_VALUE"""),"CUM - PS - SITIH")</f>
        <v>CUM - PS - SITIH</v>
      </c>
      <c r="AE236" s="85" t="str">
        <f>IFERROR(__xludf.DUMMYFUNCTION("""COMPUTED_VALUE"""),"SUB SITI POS")</f>
        <v>SUB SITI POS</v>
      </c>
      <c r="AF236" s="85" t="str">
        <f>IFERROR(__xludf.DUMMYFUNCTION("""COMPUTED_VALUE"""),"085921095445")</f>
        <v>085921095445</v>
      </c>
      <c r="AG236" s="85"/>
      <c r="AH236" s="85" t="str">
        <f>IFERROR(__xludf.DUMMYFUNCTION("""COMPUTED_VALUE"""),"nariah.pkmtunggakjati@gmail.com")</f>
        <v>nariah.pkmtunggakjati@gmail.com</v>
      </c>
      <c r="AI236" s="85" t="str">
        <f>IFERROR(__xludf.DUMMYFUNCTION("""COMPUTED_VALUE"""),"41318S1")</f>
        <v>41318S1</v>
      </c>
      <c r="AJ236" s="85" t="str">
        <f>IFERROR(__xludf.DUMMYFUNCTION("""COMPUTED_VALUE"""),"6697776d497894b5980f96fb")</f>
        <v>6697776d497894b5980f96fb</v>
      </c>
      <c r="AK236" s="85" t="str">
        <f>IFERROR(__xludf.DUMMYFUNCTION("""COMPUTED_VALUE"""),"dm41318s1")</f>
        <v>dm41318s1</v>
      </c>
      <c r="AL236" s="85" t="str">
        <f>IFERROR(__xludf.DUMMYFUNCTION("""COMPUTED_VALUE"""),"#41318Pos")</f>
        <v>#41318Pos</v>
      </c>
      <c r="AM236" s="85" t="str">
        <f>IFERROR(__xludf.DUMMYFUNCTION("""COMPUTED_VALUE"""),"KANTOR REGIONAL III BANDUNG 40004")</f>
        <v>KANTOR REGIONAL III BANDUNG 40004</v>
      </c>
      <c r="AN236" s="85" t="str">
        <f>IFERROR(__xludf.DUMMYFUNCTION("""COMPUTED_VALUE"""),"KCU KARAWANG 41300")</f>
        <v>KCU KARAWANG 41300</v>
      </c>
      <c r="AO236" s="85" t="str">
        <f>IFERROR(__xludf.DUMMYFUNCTION("""COMPUTED_VALUE"""),"0507240040234")</f>
        <v>0507240040234</v>
      </c>
      <c r="AP236" s="85" t="str">
        <f>IFERROR(__xludf.DUMMYFUNCTION("""COMPUTED_VALUE"""),"05072400402340001")</f>
        <v>05072400402340001</v>
      </c>
      <c r="AQ236" s="93"/>
      <c r="AR236" s="85"/>
      <c r="AS236" s="85"/>
      <c r="AT236" s="85" t="str">
        <f>IFERROR(__xludf.DUMMYFUNCTION("""COMPUTED_VALUE"""),"-6.2321581")</f>
        <v>-6.2321581</v>
      </c>
      <c r="AU236" s="85" t="str">
        <f>IFERROR(__xludf.DUMMYFUNCTION("""COMPUTED_VALUE"""),"107.2831274")</f>
        <v>107.2831274</v>
      </c>
      <c r="AV236" s="85"/>
      <c r="AW236" s="85"/>
      <c r="AX236" s="85"/>
      <c r="AY236" s="85"/>
      <c r="AZ236" s="85"/>
      <c r="BA236" s="85" t="str">
        <f>IFERROR(__xludf.DUMMYFUNCTION("""COMPUTED_VALUE"""),"ü")</f>
        <v>ü</v>
      </c>
      <c r="BB236" s="85" t="str">
        <f>IFERROR(__xludf.DUMMYFUNCTION("""COMPUTED_VALUE"""),"ü")</f>
        <v>ü</v>
      </c>
      <c r="BC236" s="85" t="str">
        <f>IFERROR(__xludf.DUMMYFUNCTION("""COMPUTED_VALUE"""),"ü")</f>
        <v>ü</v>
      </c>
      <c r="BD236" s="85" t="str">
        <f>IFERROR(__xludf.DUMMYFUNCTION("""COMPUTED_VALUE"""),"ü")</f>
        <v>ü</v>
      </c>
      <c r="BE236" s="85" t="str">
        <f>IFERROR(__xludf.DUMMYFUNCTION("""COMPUTED_VALUE"""),"ü")</f>
        <v>ü</v>
      </c>
      <c r="BF236" s="85" t="str">
        <f>IFERROR(__xludf.DUMMYFUNCTION("""COMPUTED_VALUE"""),"ü")</f>
        <v>ü</v>
      </c>
      <c r="BG236" s="85"/>
      <c r="BH236" s="85"/>
      <c r="BI236" s="85"/>
      <c r="BJ236" s="85"/>
      <c r="BK236" s="85"/>
      <c r="BL236" s="85"/>
      <c r="BM236" s="85"/>
      <c r="BN236" s="85"/>
      <c r="BO236" s="85"/>
      <c r="BP236" s="85"/>
      <c r="BQ236" s="85"/>
      <c r="BR236" s="85"/>
      <c r="BS236" s="85"/>
      <c r="BT236" s="85"/>
      <c r="BU236" s="85"/>
      <c r="BV236" s="85"/>
      <c r="BW236" s="85"/>
      <c r="BX236" s="85"/>
      <c r="BY236" s="85"/>
      <c r="BZ236" s="85"/>
      <c r="CA236" s="85"/>
      <c r="CB236" s="85"/>
      <c r="CC236" s="85"/>
      <c r="CD236" s="85"/>
      <c r="CE236" s="85"/>
      <c r="CF236" s="85"/>
      <c r="CG236" s="85"/>
      <c r="CH236" s="85"/>
      <c r="CI236" s="85"/>
      <c r="CJ236" s="85"/>
      <c r="CK236" s="2"/>
    </row>
    <row r="237" ht="12.75" customHeight="1">
      <c r="A237" s="80">
        <f>IFERROR(__xludf.DUMMYFUNCTION("""COMPUTED_VALUE"""),234.0)</f>
        <v>234</v>
      </c>
      <c r="B237" s="80"/>
      <c r="C237" s="80"/>
      <c r="D237" s="81"/>
      <c r="E237" s="82"/>
      <c r="F237" s="80"/>
      <c r="G237" s="81"/>
      <c r="H237" s="80"/>
      <c r="I237" s="80"/>
      <c r="J237" s="80"/>
      <c r="K237" s="80"/>
      <c r="L237" s="80"/>
      <c r="M237" s="80" t="str">
        <f>IFERROR(__xludf.DUMMYFUNCTION("""COMPUTED_VALUE"""),"ü")</f>
        <v>ü</v>
      </c>
      <c r="N237" s="80"/>
      <c r="O237" s="80"/>
      <c r="P237" s="80" t="str">
        <f>IFERROR(__xludf.DUMMYFUNCTION("""COMPUTED_VALUE"""),"53BSPA04890JBRAN")</f>
        <v>53BSPA04890JBRAN</v>
      </c>
      <c r="Q237" s="80" t="str">
        <f>IFERROR(__xludf.DUMMYFUNCTION("""COMPUTED_VALUE"""),"MUC KOPERASI")</f>
        <v>MUC KOPERASI</v>
      </c>
      <c r="R237" s="80" t="str">
        <f>IFERROR(__xludf.DUMMYFUNCTION("""COMPUTED_VALUE"""),"MUC KOPERASI")</f>
        <v>MUC KOPERASI</v>
      </c>
      <c r="S237" s="80" t="str">
        <f>IFERROR(__xludf.DUMMYFUNCTION("""COMPUTED_VALUE"""),"AMRAN FIRDAUS")</f>
        <v>AMRAN FIRDAUS</v>
      </c>
      <c r="T237" s="80" t="str">
        <f>IFERROR(__xludf.DUMMYFUNCTION("""COMPUTED_VALUE"""),"Jl. PENGGILINGAN BARU II NO 49 RT.009 RW.03 DUKUH KRAMATJATI JAKARTA TIMUR")</f>
        <v>Jl. PENGGILINGAN BARU II NO 49 RT.009 RW.03 DUKUH KRAMATJATI JAKARTA TIMUR</v>
      </c>
      <c r="U237" s="80" t="str">
        <f>IFERROR(__xludf.DUMMYFUNCTION("""COMPUTED_VALUE"""),"JL. M.KAHFI II NO.88")</f>
        <v>JL. M.KAHFI II NO.88</v>
      </c>
      <c r="V237" s="80"/>
      <c r="W237" s="80" t="str">
        <f>IFERROR(__xludf.DUMMYFUNCTION("""COMPUTED_VALUE"""),"CIPEDAK")</f>
        <v>CIPEDAK</v>
      </c>
      <c r="X237" s="80" t="str">
        <f>IFERROR(__xludf.DUMMYFUNCTION("""COMPUTED_VALUE"""),"JAGAKARSA")</f>
        <v>JAGAKARSA</v>
      </c>
      <c r="Y237" s="80" t="str">
        <f>IFERROR(__xludf.DUMMYFUNCTION("""COMPUTED_VALUE"""),"JAKARTA SELATAN")</f>
        <v>JAKARTA SELATAN</v>
      </c>
      <c r="Z237" s="80" t="str">
        <f>IFERROR(__xludf.DUMMYFUNCTION("""COMPUTED_VALUE"""),"DKI JAKARTA")</f>
        <v>DKI JAKARTA</v>
      </c>
      <c r="AA237" s="80" t="str">
        <f>IFERROR(__xludf.DUMMYFUNCTION("""COMPUTED_VALUE"""),"12630")</f>
        <v>12630</v>
      </c>
      <c r="AB237" s="80" t="str">
        <f>IFERROR(__xludf.DUMMYFUNCTION("""COMPUTED_VALUE"""),"3175042104800007")</f>
        <v>3175042104800007</v>
      </c>
      <c r="AC237" s="80" t="str">
        <f>IFERROR(__xludf.DUMMYFUNCTION("""COMPUTED_VALUE"""),"88.247.090.9-005.000")</f>
        <v>88.247.090.9-005.000</v>
      </c>
      <c r="AD237" s="80" t="str">
        <f>IFERROR(__xludf.DUMMYFUNCTION("""COMPUTED_VALUE"""),"CUM - PS - MIRS")</f>
        <v>CUM - PS - MIRS</v>
      </c>
      <c r="AE237" s="80" t="str">
        <f>IFERROR(__xludf.DUMMYFUNCTION("""COMPUTED_VALUE"""),"SUB ANGGA POS")</f>
        <v>SUB ANGGA POS</v>
      </c>
      <c r="AF237" s="80" t="str">
        <f>IFERROR(__xludf.DUMMYFUNCTION("""COMPUTED_VALUE"""),"082169614692")</f>
        <v>082169614692</v>
      </c>
      <c r="AG237" s="80"/>
      <c r="AH237" s="80" t="str">
        <f>IFERROR(__xludf.DUMMYFUNCTION("""COMPUTED_VALUE"""),"amranfirdaus2180@gmail.com")</f>
        <v>amranfirdaus2180@gmail.com</v>
      </c>
      <c r="AI237" s="80" t="str">
        <f>IFERROR(__xludf.DUMMYFUNCTION("""COMPUTED_VALUE"""),"12630S7")</f>
        <v>12630S7</v>
      </c>
      <c r="AJ237" s="80" t="str">
        <f>IFERROR(__xludf.DUMMYFUNCTION("""COMPUTED_VALUE"""),"669c6e99381e6fd1d20185b7")</f>
        <v>669c6e99381e6fd1d20185b7</v>
      </c>
      <c r="AK237" s="80" t="str">
        <f>IFERROR(__xludf.DUMMYFUNCTION("""COMPUTED_VALUE"""),"dm12630s7")</f>
        <v>dm12630s7</v>
      </c>
      <c r="AL237" s="80" t="str">
        <f>IFERROR(__xludf.DUMMYFUNCTION("""COMPUTED_VALUE"""),"#12630Pos")</f>
        <v>#12630Pos</v>
      </c>
      <c r="AM237" s="80" t="str">
        <f>IFERROR(__xludf.DUMMYFUNCTION("""COMPUTED_VALUE"""),"KANTOR REGIONAL II JAKARTA 10004")</f>
        <v>KANTOR REGIONAL II JAKARTA 10004</v>
      </c>
      <c r="AN237" s="80" t="str">
        <f>IFERROR(__xludf.DUMMYFUNCTION("""COMPUTED_VALUE"""),"KCU JAKARTAFLORA 12000")</f>
        <v>KCU JAKARTAFLORA 12000</v>
      </c>
      <c r="AO237" s="80" t="str">
        <f>IFERROR(__xludf.DUMMYFUNCTION("""COMPUTED_VALUE"""),"0907240062413")</f>
        <v>0907240062413</v>
      </c>
      <c r="AP237" s="80" t="str">
        <f>IFERROR(__xludf.DUMMYFUNCTION("""COMPUTED_VALUE"""),"09072400624130001")</f>
        <v>09072400624130001</v>
      </c>
      <c r="AQ237" s="83"/>
      <c r="AR237" s="80"/>
      <c r="AS237" s="80"/>
      <c r="AT237" s="80" t="str">
        <f>IFERROR(__xludf.DUMMYFUNCTION("""COMPUTED_VALUE"""),"-6.351051")</f>
        <v>-6.351051</v>
      </c>
      <c r="AU237" s="80" t="str">
        <f>IFERROR(__xludf.DUMMYFUNCTION("""COMPUTED_VALUE"""),"106.811823")</f>
        <v>106.811823</v>
      </c>
      <c r="AV237" s="80"/>
      <c r="AW237" s="80"/>
      <c r="AX237" s="80"/>
      <c r="AY237" s="80"/>
      <c r="AZ237" s="80"/>
      <c r="BA237" s="80"/>
      <c r="BB237" s="80"/>
      <c r="BC237" s="80"/>
      <c r="BD237" s="80"/>
      <c r="BE237" s="80"/>
      <c r="BF237" s="80"/>
      <c r="BG237" s="80"/>
      <c r="BH237" s="80"/>
      <c r="BI237" s="80"/>
      <c r="BJ237" s="80"/>
      <c r="BK237" s="80"/>
      <c r="BL237" s="80"/>
      <c r="BM237" s="80"/>
      <c r="BN237" s="80"/>
      <c r="BO237" s="80"/>
      <c r="BP237" s="80"/>
      <c r="BQ237" s="80"/>
      <c r="BR237" s="80"/>
      <c r="BS237" s="80"/>
      <c r="BT237" s="80"/>
      <c r="BU237" s="80"/>
      <c r="BV237" s="80"/>
      <c r="BW237" s="80"/>
      <c r="BX237" s="80"/>
      <c r="BY237" s="80"/>
      <c r="BZ237" s="80"/>
      <c r="CA237" s="80"/>
      <c r="CB237" s="80"/>
      <c r="CC237" s="80"/>
      <c r="CD237" s="80"/>
      <c r="CE237" s="80"/>
      <c r="CF237" s="80"/>
      <c r="CG237" s="80"/>
      <c r="CH237" s="80"/>
      <c r="CI237" s="80"/>
      <c r="CJ237" s="80"/>
      <c r="CK237" s="2"/>
    </row>
    <row r="238" ht="12.75" customHeight="1">
      <c r="A238" s="85">
        <f>IFERROR(__xludf.DUMMYFUNCTION("""COMPUTED_VALUE"""),235.0)</f>
        <v>235</v>
      </c>
      <c r="B238" s="85"/>
      <c r="C238" s="85"/>
      <c r="D238" s="86"/>
      <c r="E238" s="88"/>
      <c r="F238" s="85"/>
      <c r="G238" s="86"/>
      <c r="H238" s="85"/>
      <c r="I238" s="85"/>
      <c r="J238" s="85"/>
      <c r="K238" s="85"/>
      <c r="L238" s="85"/>
      <c r="M238" s="85"/>
      <c r="N238" s="85" t="str">
        <f>IFERROR(__xludf.DUMMYFUNCTION("""COMPUTED_VALUE"""),"ü")</f>
        <v>ü</v>
      </c>
      <c r="O238" s="85"/>
      <c r="P238" s="85" t="str">
        <f>IFERROR(__xludf.DUMMYFUNCTION("""COMPUTED_VALUE"""),"MLO5500002CUMRBM")</f>
        <v>MLO5500002CUMRBM</v>
      </c>
      <c r="Q238" s="85" t="str">
        <f>IFERROR(__xludf.DUMMYFUNCTION("""COMPUTED_VALUE"""),"MUC SEVERNAYA")</f>
        <v>MUC SEVERNAYA</v>
      </c>
      <c r="R238" s="85" t="str">
        <f>IFERROR(__xludf.DUMMYFUNCTION("""COMPUTED_VALUE"""),"MUC SEVERNAYA")</f>
        <v>MUC SEVERNAYA</v>
      </c>
      <c r="S238" s="85" t="str">
        <f>IFERROR(__xludf.DUMMYFUNCTION("""COMPUTED_VALUE"""),"IWAN NURMAWAN")</f>
        <v>IWAN NURMAWAN</v>
      </c>
      <c r="T238" s="85" t="str">
        <f>IFERROR(__xludf.DUMMYFUNCTION("""COMPUTED_VALUE"""),"JL. SRIWIJAYA III NO. 05 RT 003 RW 010")</f>
        <v>JL. SRIWIJAYA III NO. 05 RT 003 RW 010</v>
      </c>
      <c r="U238" s="85" t="str">
        <f>IFERROR(__xludf.DUMMYFUNCTION("""COMPUTED_VALUE"""),"L. P. SUGIH KOTAKULON, SUMEDANG SELATAN")</f>
        <v>L. P. SUGIH KOTAKULON, SUMEDANG SELATAN</v>
      </c>
      <c r="V238" s="85"/>
      <c r="W238" s="85" t="str">
        <f>IFERROR(__xludf.DUMMYFUNCTION("""COMPUTED_VALUE"""),"KOTA KULON")</f>
        <v>KOTA KULON</v>
      </c>
      <c r="X238" s="85" t="str">
        <f>IFERROR(__xludf.DUMMYFUNCTION("""COMPUTED_VALUE"""),"SUMEDANG SELATAN")</f>
        <v>SUMEDANG SELATAN</v>
      </c>
      <c r="Y238" s="85" t="str">
        <f>IFERROR(__xludf.DUMMYFUNCTION("""COMPUTED_VALUE"""),"KAB. SUMEDANG")</f>
        <v>KAB. SUMEDANG</v>
      </c>
      <c r="Z238" s="85" t="str">
        <f>IFERROR(__xludf.DUMMYFUNCTION("""COMPUTED_VALUE"""),"JAWA BARAT")</f>
        <v>JAWA BARAT</v>
      </c>
      <c r="AA238" s="85" t="str">
        <f>IFERROR(__xludf.DUMMYFUNCTION("""COMPUTED_VALUE"""),"45312")</f>
        <v>45312</v>
      </c>
      <c r="AB238" s="85" t="str">
        <f>IFERROR(__xludf.DUMMYFUNCTION("""COMPUTED_VALUE"""),"3211182408790004")</f>
        <v>3211182408790004</v>
      </c>
      <c r="AC238" s="85" t="str">
        <f>IFERROR(__xludf.DUMMYFUNCTION("""COMPUTED_VALUE"""),"35.449.094.8-446.000")</f>
        <v>35.449.094.8-446.000</v>
      </c>
      <c r="AD238" s="85" t="str">
        <f>IFERROR(__xludf.DUMMYFUNCTION("""COMPUTED_VALUE"""),"CUM - PS - RBM")</f>
        <v>CUM - PS - RBM</v>
      </c>
      <c r="AE238" s="85" t="str">
        <f>IFERROR(__xludf.DUMMYFUNCTION("""COMPUTED_VALUE"""),"SUB RANGGA POS")</f>
        <v>SUB RANGGA POS</v>
      </c>
      <c r="AF238" s="85" t="str">
        <f>IFERROR(__xludf.DUMMYFUNCTION("""COMPUTED_VALUE"""),"087726179839")</f>
        <v>087726179839</v>
      </c>
      <c r="AG238" s="85"/>
      <c r="AH238" s="85" t="str">
        <f>IFERROR(__xludf.DUMMYFUNCTION("""COMPUTED_VALUE"""),"evbimaggala@gmail.com")</f>
        <v>evbimaggala@gmail.com</v>
      </c>
      <c r="AI238" s="85" t="str">
        <f>IFERROR(__xludf.DUMMYFUNCTION("""COMPUTED_VALUE"""),"45312S1")</f>
        <v>45312S1</v>
      </c>
      <c r="AJ238" s="85" t="str">
        <f>IFERROR(__xludf.DUMMYFUNCTION("""COMPUTED_VALUE"""),"66ab2092985dd109950d93eb")</f>
        <v>66ab2092985dd109950d93eb</v>
      </c>
      <c r="AK238" s="85" t="str">
        <f>IFERROR(__xludf.DUMMYFUNCTION("""COMPUTED_VALUE"""),"dm45312s1")</f>
        <v>dm45312s1</v>
      </c>
      <c r="AL238" s="85" t="str">
        <f>IFERROR(__xludf.DUMMYFUNCTION("""COMPUTED_VALUE"""),"#45312Pos")</f>
        <v>#45312Pos</v>
      </c>
      <c r="AM238" s="85" t="str">
        <f>IFERROR(__xludf.DUMMYFUNCTION("""COMPUTED_VALUE"""),"KANTOR REGIONAL III BANDUNG 40004")</f>
        <v>KANTOR REGIONAL III BANDUNG 40004</v>
      </c>
      <c r="AN238" s="85" t="str">
        <f>IFERROR(__xludf.DUMMYFUNCTION("""COMPUTED_VALUE"""),"KC SUMEDANG 45300")</f>
        <v>KC SUMEDANG 45300</v>
      </c>
      <c r="AO238" s="85" t="str">
        <f>IFERROR(__xludf.DUMMYFUNCTION("""COMPUTED_VALUE"""),"0907240078966")</f>
        <v>0907240078966</v>
      </c>
      <c r="AP238" s="85" t="str">
        <f>IFERROR(__xludf.DUMMYFUNCTION("""COMPUTED_VALUE"""),"09072400789660001")</f>
        <v>09072400789660001</v>
      </c>
      <c r="AQ238" s="93"/>
      <c r="AR238" s="85"/>
      <c r="AS238" s="85"/>
      <c r="AT238" s="85" t="str">
        <f>IFERROR(__xludf.DUMMYFUNCTION("""COMPUTED_VALUE"""),"-6.8522951")</f>
        <v>-6.8522951</v>
      </c>
      <c r="AU238" s="85" t="str">
        <f>IFERROR(__xludf.DUMMYFUNCTION("""COMPUTED_VALUE"""),"107.9150604")</f>
        <v>107.9150604</v>
      </c>
      <c r="AV238" s="85"/>
      <c r="AW238" s="85"/>
      <c r="AX238" s="85"/>
      <c r="AY238" s="85"/>
      <c r="AZ238" s="85"/>
      <c r="BA238" s="85"/>
      <c r="BB238" s="85"/>
      <c r="BC238" s="85"/>
      <c r="BD238" s="85"/>
      <c r="BE238" s="85"/>
      <c r="BF238" s="85"/>
      <c r="BG238" s="85"/>
      <c r="BH238" s="85"/>
      <c r="BI238" s="85"/>
      <c r="BJ238" s="85"/>
      <c r="BK238" s="85"/>
      <c r="BL238" s="85"/>
      <c r="BM238" s="85"/>
      <c r="BN238" s="85"/>
      <c r="BO238" s="85"/>
      <c r="BP238" s="85"/>
      <c r="BQ238" s="85"/>
      <c r="BR238" s="85"/>
      <c r="BS238" s="85"/>
      <c r="BT238" s="85"/>
      <c r="BU238" s="85"/>
      <c r="BV238" s="85"/>
      <c r="BW238" s="85"/>
      <c r="BX238" s="85"/>
      <c r="BY238" s="85"/>
      <c r="BZ238" s="85"/>
      <c r="CA238" s="85"/>
      <c r="CB238" s="85"/>
      <c r="CC238" s="85"/>
      <c r="CD238" s="85"/>
      <c r="CE238" s="85"/>
      <c r="CF238" s="85"/>
      <c r="CG238" s="85"/>
      <c r="CH238" s="85"/>
      <c r="CI238" s="85"/>
      <c r="CJ238" s="85"/>
      <c r="CK238" s="2"/>
    </row>
    <row r="239" ht="12.75" customHeight="1">
      <c r="A239" s="80">
        <f>IFERROR(__xludf.DUMMYFUNCTION("""COMPUTED_VALUE"""),236.0)</f>
        <v>236</v>
      </c>
      <c r="B239" s="80"/>
      <c r="C239" s="80"/>
      <c r="D239" s="81"/>
      <c r="E239" s="82"/>
      <c r="F239" s="80"/>
      <c r="G239" s="81"/>
      <c r="H239" s="80"/>
      <c r="I239" s="80"/>
      <c r="J239" s="80"/>
      <c r="K239" s="80"/>
      <c r="L239" s="80"/>
      <c r="M239" s="80" t="str">
        <f>IFERROR(__xludf.DUMMYFUNCTION("""COMPUTED_VALUE"""),"ü")</f>
        <v>ü</v>
      </c>
      <c r="N239" s="80"/>
      <c r="O239" s="80"/>
      <c r="P239" s="80" t="str">
        <f>IFERROR(__xludf.DUMMYFUNCTION("""COMPUTED_VALUE"""),"53BSPA04888JBIPR")</f>
        <v>53BSPA04888JBIPR</v>
      </c>
      <c r="Q239" s="80" t="str">
        <f>IFERROR(__xludf.DUMMYFUNCTION("""COMPUTED_VALUE"""),"MUC MAMPIR TIMUR")</f>
        <v>MUC MAMPIR TIMUR</v>
      </c>
      <c r="R239" s="80" t="str">
        <f>IFERROR(__xludf.DUMMYFUNCTION("""COMPUTED_VALUE"""),"MUC MAMPIR TIMUR")</f>
        <v>MUC MAMPIR TIMUR</v>
      </c>
      <c r="S239" s="80" t="str">
        <f>IFERROR(__xludf.DUMMYFUNCTION("""COMPUTED_VALUE"""),"IRWAN PERMANA")</f>
        <v>IRWAN PERMANA</v>
      </c>
      <c r="T239" s="80" t="str">
        <f>IFERROR(__xludf.DUMMYFUNCTION("""COMPUTED_VALUE"""),"JL. PESONA KALISARI RAYA NO. 335 RT 008 RW 005")</f>
        <v>JL. PESONA KALISARI RAYA NO. 335 RT 008 RW 005</v>
      </c>
      <c r="U239" s="80" t="str">
        <f>IFERROR(__xludf.DUMMYFUNCTION("""COMPUTED_VALUE""")," JL. MAMPIR RT 009 RW 005")</f>
        <v> JL. MAMPIR RT 009 RW 005</v>
      </c>
      <c r="V239" s="80"/>
      <c r="W239" s="80" t="str">
        <f>IFERROR(__xludf.DUMMYFUNCTION("""COMPUTED_VALUE"""),"MAMPIR")</f>
        <v>MAMPIR</v>
      </c>
      <c r="X239" s="80" t="str">
        <f>IFERROR(__xludf.DUMMYFUNCTION("""COMPUTED_VALUE"""),"CILEUNGSI")</f>
        <v>CILEUNGSI</v>
      </c>
      <c r="Y239" s="80" t="str">
        <f>IFERROR(__xludf.DUMMYFUNCTION("""COMPUTED_VALUE"""),"KAB. BOGOR")</f>
        <v>KAB. BOGOR</v>
      </c>
      <c r="Z239" s="80" t="str">
        <f>IFERROR(__xludf.DUMMYFUNCTION("""COMPUTED_VALUE"""),"JAWA BARAT")</f>
        <v>JAWA BARAT</v>
      </c>
      <c r="AA239" s="80" t="str">
        <f>IFERROR(__xludf.DUMMYFUNCTION("""COMPUTED_VALUE"""),"16820")</f>
        <v>16820</v>
      </c>
      <c r="AB239" s="80" t="str">
        <f>IFERROR(__xludf.DUMMYFUNCTION("""COMPUTED_VALUE"""),"3175050303690008")</f>
        <v>3175050303690008</v>
      </c>
      <c r="AC239" s="80" t="str">
        <f>IFERROR(__xludf.DUMMYFUNCTION("""COMPUTED_VALUE"""),"09.249.512.6-407.000")</f>
        <v>09.249.512.6-407.000</v>
      </c>
      <c r="AD239" s="80" t="str">
        <f>IFERROR(__xludf.DUMMYFUNCTION("""COMPUTED_VALUE"""),"CUM - PS - ALFA")</f>
        <v>CUM - PS - ALFA</v>
      </c>
      <c r="AE239" s="80" t="str">
        <f>IFERROR(__xludf.DUMMYFUNCTION("""COMPUTED_VALUE"""),"SUB ALFIAN POS")</f>
        <v>SUB ALFIAN POS</v>
      </c>
      <c r="AF239" s="80" t="str">
        <f>IFERROR(__xludf.DUMMYFUNCTION("""COMPUTED_VALUE"""),"0818670977")</f>
        <v>0818670977</v>
      </c>
      <c r="AG239" s="80"/>
      <c r="AH239" s="80" t="str">
        <f>IFERROR(__xludf.DUMMYFUNCTION("""COMPUTED_VALUE"""),"irwanpermana0369@gmail.com")</f>
        <v>irwanpermana0369@gmail.com</v>
      </c>
      <c r="AI239" s="80" t="str">
        <f>IFERROR(__xludf.DUMMYFUNCTION("""COMPUTED_VALUE"""),"16823S2")</f>
        <v>16823S2</v>
      </c>
      <c r="AJ239" s="80" t="str">
        <f>IFERROR(__xludf.DUMMYFUNCTION("""COMPUTED_VALUE"""),"669e13f9d162080bea089238")</f>
        <v>669e13f9d162080bea089238</v>
      </c>
      <c r="AK239" s="80" t="str">
        <f>IFERROR(__xludf.DUMMYFUNCTION("""COMPUTED_VALUE"""),"dm16823s2")</f>
        <v>dm16823s2</v>
      </c>
      <c r="AL239" s="80" t="str">
        <f>IFERROR(__xludf.DUMMYFUNCTION("""COMPUTED_VALUE"""),"Pos16823#")</f>
        <v>Pos16823#</v>
      </c>
      <c r="AM239" s="80" t="str">
        <f>IFERROR(__xludf.DUMMYFUNCTION("""COMPUTED_VALUE"""),"KANTOR REGIONAL II JAKARTA 10004")</f>
        <v>KANTOR REGIONAL II JAKARTA 10004</v>
      </c>
      <c r="AN239" s="80" t="str">
        <f>IFERROR(__xludf.DUMMYFUNCTION("""COMPUTED_VALUE"""),"KC CIBINONG 16900")</f>
        <v>KC CIBINONG 16900</v>
      </c>
      <c r="AO239" s="80" t="str">
        <f>IFERROR(__xludf.DUMMYFUNCTION("""COMPUTED_VALUE"""),"0907240016704")</f>
        <v>0907240016704</v>
      </c>
      <c r="AP239" s="80" t="str">
        <f>IFERROR(__xludf.DUMMYFUNCTION("""COMPUTED_VALUE"""),"09072400167040001")</f>
        <v>09072400167040001</v>
      </c>
      <c r="AQ239" s="83"/>
      <c r="AR239" s="80"/>
      <c r="AS239" s="80"/>
      <c r="AT239" s="80" t="str">
        <f>IFERROR(__xludf.DUMMYFUNCTION("""COMPUTED_VALUE"""),"-6.4273404")</f>
        <v>-6.4273404</v>
      </c>
      <c r="AU239" s="80" t="str">
        <f>IFERROR(__xludf.DUMMYFUNCTION("""COMPUTED_VALUE"""),"107.0062533")</f>
        <v>107.0062533</v>
      </c>
      <c r="AV239" s="80"/>
      <c r="AW239" s="80"/>
      <c r="AX239" s="80"/>
      <c r="AY239" s="80"/>
      <c r="AZ239" s="80"/>
      <c r="BA239" s="80"/>
      <c r="BB239" s="80"/>
      <c r="BC239" s="80"/>
      <c r="BD239" s="80"/>
      <c r="BE239" s="80"/>
      <c r="BF239" s="80"/>
      <c r="BG239" s="80"/>
      <c r="BH239" s="80"/>
      <c r="BI239" s="80"/>
      <c r="BJ239" s="80"/>
      <c r="BK239" s="80"/>
      <c r="BL239" s="80"/>
      <c r="BM239" s="80"/>
      <c r="BN239" s="80"/>
      <c r="BO239" s="80"/>
      <c r="BP239" s="80"/>
      <c r="BQ239" s="80"/>
      <c r="BR239" s="80"/>
      <c r="BS239" s="80"/>
      <c r="BT239" s="80"/>
      <c r="BU239" s="80"/>
      <c r="BV239" s="80"/>
      <c r="BW239" s="80"/>
      <c r="BX239" s="80"/>
      <c r="BY239" s="80"/>
      <c r="BZ239" s="80"/>
      <c r="CA239" s="80"/>
      <c r="CB239" s="80"/>
      <c r="CC239" s="80"/>
      <c r="CD239" s="80"/>
      <c r="CE239" s="80"/>
      <c r="CF239" s="80"/>
      <c r="CG239" s="80"/>
      <c r="CH239" s="80"/>
      <c r="CI239" s="80"/>
      <c r="CJ239" s="80"/>
      <c r="CK239" s="2"/>
    </row>
    <row r="240" ht="12.75" customHeight="1">
      <c r="A240" s="85">
        <f>IFERROR(__xludf.DUMMYFUNCTION("""COMPUTED_VALUE"""),237.0)</f>
        <v>237</v>
      </c>
      <c r="B240" s="85"/>
      <c r="C240" s="85"/>
      <c r="D240" s="86"/>
      <c r="E240" s="88"/>
      <c r="F240" s="85"/>
      <c r="G240" s="86"/>
      <c r="H240" s="85"/>
      <c r="I240" s="85"/>
      <c r="J240" s="85"/>
      <c r="K240" s="85"/>
      <c r="L240" s="85"/>
      <c r="M240" s="85" t="str">
        <f>IFERROR(__xludf.DUMMYFUNCTION("""COMPUTED_VALUE"""),"ü")</f>
        <v>ü</v>
      </c>
      <c r="N240" s="85"/>
      <c r="O240" s="85"/>
      <c r="P240" s="85" t="str">
        <f>IFERROR(__xludf.DUMMYFUNCTION("""COMPUTED_VALUE"""),"53BSPA04892JBEKS")</f>
        <v>53BSPA04892JBEKS</v>
      </c>
      <c r="Q240" s="85" t="str">
        <f>IFERROR(__xludf.DUMMYFUNCTION("""COMPUTED_VALUE"""),"MUC KIKI TIARA")</f>
        <v>MUC KIKI TIARA</v>
      </c>
      <c r="R240" s="85" t="str">
        <f>IFERROR(__xludf.DUMMYFUNCTION("""COMPUTED_VALUE"""),"MUC KIKI TIARA")</f>
        <v>MUC KIKI TIARA</v>
      </c>
      <c r="S240" s="85" t="str">
        <f>IFERROR(__xludf.DUMMYFUNCTION("""COMPUTED_VALUE"""),"ENGKUS KUSWANA")</f>
        <v>ENGKUS KUSWANA</v>
      </c>
      <c r="T240" s="85" t="str">
        <f>IFERROR(__xludf.DUMMYFUNCTION("""COMPUTED_VALUE"""),"KOMP. GADING TUTUKA 2 BLOK P12 NO. 34 RT 003 RW 012")</f>
        <v>KOMP. GADING TUTUKA 2 BLOK P12 NO. 34 RT 003 RW 012</v>
      </c>
      <c r="U240" s="85" t="str">
        <f>IFERROR(__xludf.DUMMYFUNCTION("""COMPUTED_VALUE"""),"KOMP. GADING TUTUKA 2 CLUSTER KEMALA BLOK D6 NO. 4 RT 008 RW 011")</f>
        <v>KOMP. GADING TUTUKA 2 CLUSTER KEMALA BLOK D6 NO. 4 RT 008 RW 011</v>
      </c>
      <c r="V240" s="85"/>
      <c r="W240" s="85" t="str">
        <f>IFERROR(__xludf.DUMMYFUNCTION("""COMPUTED_VALUE"""),"CILUNCAT")</f>
        <v>CILUNCAT</v>
      </c>
      <c r="X240" s="85" t="str">
        <f>IFERROR(__xludf.DUMMYFUNCTION("""COMPUTED_VALUE"""),"CANGKUANG")</f>
        <v>CANGKUANG</v>
      </c>
      <c r="Y240" s="85" t="str">
        <f>IFERROR(__xludf.DUMMYFUNCTION("""COMPUTED_VALUE"""),"KAB. BANDUNG")</f>
        <v>KAB. BANDUNG</v>
      </c>
      <c r="Z240" s="85" t="str">
        <f>IFERROR(__xludf.DUMMYFUNCTION("""COMPUTED_VALUE"""),"JAWA BARAT")</f>
        <v>JAWA BARAT</v>
      </c>
      <c r="AA240" s="85" t="str">
        <f>IFERROR(__xludf.DUMMYFUNCTION("""COMPUTED_VALUE"""),"40238")</f>
        <v>40238</v>
      </c>
      <c r="AB240" s="85" t="str">
        <f>IFERROR(__xludf.DUMMYFUNCTION("""COMPUTED_VALUE"""),"3204050105750018")</f>
        <v>3204050105750018</v>
      </c>
      <c r="AC240" s="85" t="str">
        <f>IFERROR(__xludf.DUMMYFUNCTION("""COMPUTED_VALUE"""),"57.405.075.3-444.4000")</f>
        <v>57.405.075.3-444.4000</v>
      </c>
      <c r="AD240" s="85" t="str">
        <f>IFERROR(__xludf.DUMMYFUNCTION("""COMPUTED_VALUE"""),"CUM - PS - RSS")</f>
        <v>CUM - PS - RSS</v>
      </c>
      <c r="AE240" s="85" t="str">
        <f>IFERROR(__xludf.DUMMYFUNCTION("""COMPUTED_VALUE"""),"SUB RONY POS")</f>
        <v>SUB RONY POS</v>
      </c>
      <c r="AF240" s="85" t="str">
        <f>IFERROR(__xludf.DUMMYFUNCTION("""COMPUTED_VALUE"""),"085322824419")</f>
        <v>085322824419</v>
      </c>
      <c r="AG240" s="85"/>
      <c r="AH240" s="85" t="str">
        <f>IFERROR(__xludf.DUMMYFUNCTION("""COMPUTED_VALUE"""),"kikiandtiara@gmail.com")</f>
        <v>kikiandtiara@gmail.com</v>
      </c>
      <c r="AI240" s="85" t="str">
        <f>IFERROR(__xludf.DUMMYFUNCTION("""COMPUTED_VALUE"""),"40361S8")</f>
        <v>40361S8</v>
      </c>
      <c r="AJ240" s="85" t="str">
        <f>IFERROR(__xludf.DUMMYFUNCTION("""COMPUTED_VALUE"""),"6695cea724eb1090d8021d39")</f>
        <v>6695cea724eb1090d8021d39</v>
      </c>
      <c r="AK240" s="85" t="str">
        <f>IFERROR(__xludf.DUMMYFUNCTION("""COMPUTED_VALUE"""),"dm40361s8")</f>
        <v>dm40361s8</v>
      </c>
      <c r="AL240" s="85" t="str">
        <f>IFERROR(__xludf.DUMMYFUNCTION("""COMPUTED_VALUE"""),"#40361Pos")</f>
        <v>#40361Pos</v>
      </c>
      <c r="AM240" s="85" t="str">
        <f>IFERROR(__xludf.DUMMYFUNCTION("""COMPUTED_VALUE"""),"KANTOR REGIONAL III BANDUNG 40004")</f>
        <v>KANTOR REGIONAL III BANDUNG 40004</v>
      </c>
      <c r="AN240" s="85" t="str">
        <f>IFERROR(__xludf.DUMMYFUNCTION("""COMPUTED_VALUE"""),"KC SOREANG 40900")</f>
        <v>KC SOREANG 40900</v>
      </c>
      <c r="AO240" s="85" t="str">
        <f>IFERROR(__xludf.DUMMYFUNCTION("""COMPUTED_VALUE"""),"0510220010386")</f>
        <v>0510220010386</v>
      </c>
      <c r="AP240" s="85" t="str">
        <f>IFERROR(__xludf.DUMMYFUNCTION("""COMPUTED_VALUE"""),"05102200103860001")</f>
        <v>05102200103860001</v>
      </c>
      <c r="AQ240" s="93"/>
      <c r="AR240" s="85"/>
      <c r="AS240" s="85"/>
      <c r="AT240" s="85" t="str">
        <f>IFERROR(__xludf.DUMMYFUNCTION("""COMPUTED_VALUE"""),"-7.0465849")</f>
        <v>-7.0465849</v>
      </c>
      <c r="AU240" s="85" t="str">
        <f>IFERROR(__xludf.DUMMYFUNCTION("""COMPUTED_VALUE"""),"107.5475566")</f>
        <v>107.5475566</v>
      </c>
      <c r="AV240" s="85"/>
      <c r="AW240" s="85"/>
      <c r="AX240" s="85"/>
      <c r="AY240" s="85"/>
      <c r="AZ240" s="85"/>
      <c r="BA240" s="85"/>
      <c r="BB240" s="85"/>
      <c r="BC240" s="85"/>
      <c r="BD240" s="85"/>
      <c r="BE240" s="85"/>
      <c r="BF240" s="85"/>
      <c r="BG240" s="85"/>
      <c r="BH240" s="85"/>
      <c r="BI240" s="85"/>
      <c r="BJ240" s="85"/>
      <c r="BK240" s="85"/>
      <c r="BL240" s="85"/>
      <c r="BM240" s="85"/>
      <c r="BN240" s="85"/>
      <c r="BO240" s="85"/>
      <c r="BP240" s="85"/>
      <c r="BQ240" s="85"/>
      <c r="BR240" s="85"/>
      <c r="BS240" s="85"/>
      <c r="BT240" s="85"/>
      <c r="BU240" s="85"/>
      <c r="BV240" s="85"/>
      <c r="BW240" s="85"/>
      <c r="BX240" s="85"/>
      <c r="BY240" s="85"/>
      <c r="BZ240" s="85"/>
      <c r="CA240" s="85"/>
      <c r="CB240" s="85"/>
      <c r="CC240" s="85"/>
      <c r="CD240" s="85"/>
      <c r="CE240" s="85"/>
      <c r="CF240" s="85"/>
      <c r="CG240" s="85"/>
      <c r="CH240" s="85"/>
      <c r="CI240" s="85"/>
      <c r="CJ240" s="85"/>
      <c r="CK240" s="2"/>
    </row>
    <row r="241" ht="12.75" customHeight="1">
      <c r="A241" s="80">
        <f>IFERROR(__xludf.DUMMYFUNCTION("""COMPUTED_VALUE"""),238.0)</f>
        <v>238</v>
      </c>
      <c r="B241" s="80"/>
      <c r="C241" s="80"/>
      <c r="D241" s="81"/>
      <c r="E241" s="82"/>
      <c r="F241" s="80"/>
      <c r="G241" s="81"/>
      <c r="H241" s="80"/>
      <c r="I241" s="80"/>
      <c r="J241" s="80"/>
      <c r="K241" s="80"/>
      <c r="L241" s="80"/>
      <c r="M241" s="80" t="str">
        <f>IFERROR(__xludf.DUMMYFUNCTION("""COMPUTED_VALUE"""),"ü")</f>
        <v>ü</v>
      </c>
      <c r="N241" s="80"/>
      <c r="O241" s="80"/>
      <c r="P241" s="80" t="str">
        <f>IFERROR(__xludf.DUMMYFUNCTION("""COMPUTED_VALUE"""),"53BSPA04893JBSMM")</f>
        <v>53BSPA04893JBSMM</v>
      </c>
      <c r="Q241" s="80" t="str">
        <f>IFERROR(__xludf.DUMMYFUNCTION("""COMPUTED_VALUE"""),"MUC ALNEIRA")</f>
        <v>MUC ALNEIRA</v>
      </c>
      <c r="R241" s="80" t="str">
        <f>IFERROR(__xludf.DUMMYFUNCTION("""COMPUTED_VALUE"""),"MUC ALNEIRA")</f>
        <v>MUC ALNEIRA</v>
      </c>
      <c r="S241" s="80" t="str">
        <f>IFERROR(__xludf.DUMMYFUNCTION("""COMPUTED_VALUE"""),"SALMA MUSTHAFEFI MUTTAQIEN")</f>
        <v>SALMA MUSTHAFEFI MUTTAQIEN</v>
      </c>
      <c r="T241" s="80" t="str">
        <f>IFERROR(__xludf.DUMMYFUNCTION("""COMPUTED_VALUE"""),"JL.SAFIR NO.16 A RT 006 RW 013 CISARANTEN KULON, ARCAMANIK, KOTA BANDUNG")</f>
        <v>JL.SAFIR NO.16 A RT 006 RW 013 CISARANTEN KULON, ARCAMANIK, KOTA BANDUNG</v>
      </c>
      <c r="U241" s="80" t="str">
        <f>IFERROR(__xludf.DUMMYFUNCTION("""COMPUTED_VALUE"""),"JL. TERS. CIBADUYUT NO. 158 RT 007 RW 006")</f>
        <v>JL. TERS. CIBADUYUT NO. 158 RT 007 RW 006</v>
      </c>
      <c r="V241" s="80"/>
      <c r="W241" s="80" t="str">
        <f>IFERROR(__xludf.DUMMYFUNCTION("""COMPUTED_VALUE"""),"CANGKUANG KULON")</f>
        <v>CANGKUANG KULON</v>
      </c>
      <c r="X241" s="80" t="str">
        <f>IFERROR(__xludf.DUMMYFUNCTION("""COMPUTED_VALUE"""),"DAYEUHKOLOT")</f>
        <v>DAYEUHKOLOT</v>
      </c>
      <c r="Y241" s="80" t="str">
        <f>IFERROR(__xludf.DUMMYFUNCTION("""COMPUTED_VALUE"""),"KAB. BANDUNG")</f>
        <v>KAB. BANDUNG</v>
      </c>
      <c r="Z241" s="80" t="str">
        <f>IFERROR(__xludf.DUMMYFUNCTION("""COMPUTED_VALUE"""),"JAWA BARAT")</f>
        <v>JAWA BARAT</v>
      </c>
      <c r="AA241" s="80" t="str">
        <f>IFERROR(__xludf.DUMMYFUNCTION("""COMPUTED_VALUE"""),"40239")</f>
        <v>40239</v>
      </c>
      <c r="AB241" s="80" t="str">
        <f>IFERROR(__xludf.DUMMYFUNCTION("""COMPUTED_VALUE"""),"3202116401910008")</f>
        <v>3202116401910008</v>
      </c>
      <c r="AC241" s="80" t="str">
        <f>IFERROR(__xludf.DUMMYFUNCTION("""COMPUTED_VALUE"""),"80.261.360.4-405.000")</f>
        <v>80.261.360.4-405.000</v>
      </c>
      <c r="AD241" s="80" t="str">
        <f>IFERROR(__xludf.DUMMYFUNCTION("""COMPUTED_VALUE"""),"CUM - PS - FAN")</f>
        <v>CUM - PS - FAN</v>
      </c>
      <c r="AE241" s="80" t="str">
        <f>IFERROR(__xludf.DUMMYFUNCTION("""COMPUTED_VALUE"""),"SUB FAHMA POS")</f>
        <v>SUB FAHMA POS</v>
      </c>
      <c r="AF241" s="80" t="str">
        <f>IFERROR(__xludf.DUMMYFUNCTION("""COMPUTED_VALUE"""),"0817111702")</f>
        <v>0817111702</v>
      </c>
      <c r="AG241" s="80"/>
      <c r="AH241" s="80" t="str">
        <f>IFERROR(__xludf.DUMMYFUNCTION("""COMPUTED_VALUE"""),"smusthafefi@gmail.com")</f>
        <v>smusthafefi@gmail.com</v>
      </c>
      <c r="AI241" s="80" t="str">
        <f>IFERROR(__xludf.DUMMYFUNCTION("""COMPUTED_VALUE"""),"40353S6")</f>
        <v>40353S6</v>
      </c>
      <c r="AJ241" s="80" t="str">
        <f>IFERROR(__xludf.DUMMYFUNCTION("""COMPUTED_VALUE"""),"66964a910d208c2f650864ad")</f>
        <v>66964a910d208c2f650864ad</v>
      </c>
      <c r="AK241" s="80" t="str">
        <f>IFERROR(__xludf.DUMMYFUNCTION("""COMPUTED_VALUE"""),"dm40353s6")</f>
        <v>dm40353s6</v>
      </c>
      <c r="AL241" s="80" t="str">
        <f>IFERROR(__xludf.DUMMYFUNCTION("""COMPUTED_VALUE"""),"#40353Pos")</f>
        <v>#40353Pos</v>
      </c>
      <c r="AM241" s="80" t="str">
        <f>IFERROR(__xludf.DUMMYFUNCTION("""COMPUTED_VALUE"""),"KANTOR REGIONAL III BANDUNG 40004")</f>
        <v>KANTOR REGIONAL III BANDUNG 40004</v>
      </c>
      <c r="AN241" s="80" t="str">
        <f>IFERROR(__xludf.DUMMYFUNCTION("""COMPUTED_VALUE"""),"KC SOREANG 40900")</f>
        <v>KC SOREANG 40900</v>
      </c>
      <c r="AO241" s="80" t="str">
        <f>IFERROR(__xludf.DUMMYFUNCTION("""COMPUTED_VALUE"""),"1307240016699")</f>
        <v>1307240016699</v>
      </c>
      <c r="AP241" s="80" t="str">
        <f>IFERROR(__xludf.DUMMYFUNCTION("""COMPUTED_VALUE"""),"13072400166990001")</f>
        <v>13072400166990001</v>
      </c>
      <c r="AQ241" s="83"/>
      <c r="AR241" s="80"/>
      <c r="AS241" s="80"/>
      <c r="AT241" s="80" t="str">
        <f>IFERROR(__xludf.DUMMYFUNCTION("""COMPUTED_VALUE"""),"-6.9718301")</f>
        <v>-6.9718301</v>
      </c>
      <c r="AU241" s="80" t="str">
        <f>IFERROR(__xludf.DUMMYFUNCTION("""COMPUTED_VALUE"""),"107.5899879")</f>
        <v>107.5899879</v>
      </c>
      <c r="AV241" s="80"/>
      <c r="AW241" s="80"/>
      <c r="AX241" s="80"/>
      <c r="AY241" s="80"/>
      <c r="AZ241" s="80"/>
      <c r="BA241" s="80"/>
      <c r="BB241" s="80"/>
      <c r="BC241" s="80"/>
      <c r="BD241" s="80"/>
      <c r="BE241" s="80"/>
      <c r="BF241" s="80"/>
      <c r="BG241" s="80"/>
      <c r="BH241" s="80"/>
      <c r="BI241" s="80"/>
      <c r="BJ241" s="80"/>
      <c r="BK241" s="80"/>
      <c r="BL241" s="80"/>
      <c r="BM241" s="80"/>
      <c r="BN241" s="80"/>
      <c r="BO241" s="80"/>
      <c r="BP241" s="80"/>
      <c r="BQ241" s="80"/>
      <c r="BR241" s="80"/>
      <c r="BS241" s="80"/>
      <c r="BT241" s="80"/>
      <c r="BU241" s="80"/>
      <c r="BV241" s="80"/>
      <c r="BW241" s="80"/>
      <c r="BX241" s="80"/>
      <c r="BY241" s="80"/>
      <c r="BZ241" s="80"/>
      <c r="CA241" s="80"/>
      <c r="CB241" s="80"/>
      <c r="CC241" s="80"/>
      <c r="CD241" s="80"/>
      <c r="CE241" s="80"/>
      <c r="CF241" s="80"/>
      <c r="CG241" s="80"/>
      <c r="CH241" s="80"/>
      <c r="CI241" s="80"/>
      <c r="CJ241" s="80"/>
      <c r="CK241" s="2"/>
    </row>
    <row r="242" ht="12.75" customHeight="1">
      <c r="A242" s="85">
        <f>IFERROR(__xludf.DUMMYFUNCTION("""COMPUTED_VALUE"""),239.0)</f>
        <v>239</v>
      </c>
      <c r="B242" s="85"/>
      <c r="C242" s="85"/>
      <c r="D242" s="86"/>
      <c r="E242" s="88"/>
      <c r="F242" s="85"/>
      <c r="G242" s="86"/>
      <c r="H242" s="85"/>
      <c r="I242" s="85"/>
      <c r="J242" s="85"/>
      <c r="K242" s="85"/>
      <c r="L242" s="85"/>
      <c r="M242" s="85" t="str">
        <f>IFERROR(__xludf.DUMMYFUNCTION("""COMPUTED_VALUE"""),"ü")</f>
        <v>ü</v>
      </c>
      <c r="N242" s="85"/>
      <c r="O242" s="85"/>
      <c r="P242" s="85" t="str">
        <f>IFERROR(__xludf.DUMMYFUNCTION("""COMPUTED_VALUE"""),"53BSPA04809JBEEN")</f>
        <v>53BSPA04809JBEEN</v>
      </c>
      <c r="Q242" s="85" t="str">
        <f>IFERROR(__xludf.DUMMYFUNCTION("""COMPUTED_VALUE"""),"MUC PONDOK CABE")</f>
        <v>MUC PONDOK CABE</v>
      </c>
      <c r="R242" s="85" t="str">
        <f>IFERROR(__xludf.DUMMYFUNCTION("""COMPUTED_VALUE"""),"MUC PONDOK CABE")</f>
        <v>MUC PONDOK CABE</v>
      </c>
      <c r="S242" s="85" t="str">
        <f>IFERROR(__xludf.DUMMYFUNCTION("""COMPUTED_VALUE"""),"GRAHA RIO ABI")</f>
        <v>GRAHA RIO ABI</v>
      </c>
      <c r="T242" s="85" t="str">
        <f>IFERROR(__xludf.DUMMYFUNCTION("""COMPUTED_VALUE"""),"Jl. Cabe V No. 3 Rt.005/003
15438, Pondok Cabe Ilir, Pamulang, Kota Tangerang Selatan, BANTEN")</f>
        <v>Jl. Cabe V No. 3 Rt.005/003
15438, Pondok Cabe Ilir, Pamulang, Kota Tangerang Selatan, BANTEN</v>
      </c>
      <c r="U242" s="85" t="str">
        <f>IFERROR(__xludf.DUMMYFUNCTION("""COMPUTED_VALUE"""),"Jl. Cabe V No. 3 Rt.005/003
15438, Pondok Cabe Ilir, Pamulang, Kota Tangerang Selatan, BANTEN")</f>
        <v>Jl. Cabe V No. 3 Rt.005/003
15438, Pondok Cabe Ilir, Pamulang, Kota Tangerang Selatan, BANTEN</v>
      </c>
      <c r="V242" s="85"/>
      <c r="W242" s="85" t="str">
        <f>IFERROR(__xludf.DUMMYFUNCTION("""COMPUTED_VALUE"""),"PONDOK CABE ILIR")</f>
        <v>PONDOK CABE ILIR</v>
      </c>
      <c r="X242" s="85" t="str">
        <f>IFERROR(__xludf.DUMMYFUNCTION("""COMPUTED_VALUE"""),"PAMULANG")</f>
        <v>PAMULANG</v>
      </c>
      <c r="Y242" s="85" t="str">
        <f>IFERROR(__xludf.DUMMYFUNCTION("""COMPUTED_VALUE"""),"KOTA TANGERANG SELATAN")</f>
        <v>KOTA TANGERANG SELATAN</v>
      </c>
      <c r="Z242" s="85" t="str">
        <f>IFERROR(__xludf.DUMMYFUNCTION("""COMPUTED_VALUE"""),"BANTEN")</f>
        <v>BANTEN</v>
      </c>
      <c r="AA242" s="85" t="str">
        <f>IFERROR(__xludf.DUMMYFUNCTION("""COMPUTED_VALUE"""),"15418")</f>
        <v>15418</v>
      </c>
      <c r="AB242" s="85" t="str">
        <f>IFERROR(__xludf.DUMMYFUNCTION("""COMPUTED_VALUE"""),"3674062602000002")</f>
        <v>3674062602000002</v>
      </c>
      <c r="AC242" s="85" t="str">
        <f>IFERROR(__xludf.DUMMYFUNCTION("""COMPUTED_VALUE"""),"65.079.969.5-453.000")</f>
        <v>65.079.969.5-453.000</v>
      </c>
      <c r="AD242" s="85" t="str">
        <f>IFERROR(__xludf.DUMMYFUNCTION("""COMPUTED_VALUE"""),"CUM - EEN")</f>
        <v>CUM - EEN</v>
      </c>
      <c r="AE242" s="85" t="str">
        <f>IFERROR(__xludf.DUMMYFUNCTION("""COMPUTED_VALUE"""),"SUB EEN")</f>
        <v>SUB EEN</v>
      </c>
      <c r="AF242" s="85" t="str">
        <f>IFERROR(__xludf.DUMMYFUNCTION("""COMPUTED_VALUE"""),"085155290402")</f>
        <v>085155290402</v>
      </c>
      <c r="AG242" s="85"/>
      <c r="AH242" s="85" t="str">
        <f>IFERROR(__xludf.DUMMYFUNCTION("""COMPUTED_VALUE"""),"graharioabi@gmail.com")</f>
        <v>graharioabi@gmail.com</v>
      </c>
      <c r="AI242" s="85" t="str">
        <f>IFERROR(__xludf.DUMMYFUNCTION("""COMPUTED_VALUE"""),"15438S4")</f>
        <v>15438S4</v>
      </c>
      <c r="AJ242" s="85" t="str">
        <f>IFERROR(__xludf.DUMMYFUNCTION("""COMPUTED_VALUE"""),"669dd8d75be3f6f67209dde6")</f>
        <v>669dd8d75be3f6f67209dde6</v>
      </c>
      <c r="AK242" s="85" t="str">
        <f>IFERROR(__xludf.DUMMYFUNCTION("""COMPUTED_VALUE"""),"dm15438s4")</f>
        <v>dm15438s4</v>
      </c>
      <c r="AL242" s="85" t="str">
        <f>IFERROR(__xludf.DUMMYFUNCTION("""COMPUTED_VALUE"""),"#15438Pos")</f>
        <v>#15438Pos</v>
      </c>
      <c r="AM242" s="85" t="str">
        <f>IFERROR(__xludf.DUMMYFUNCTION("""COMPUTED_VALUE"""),"KANTOR REGIONAL II JAKARTA 10004")</f>
        <v>KANTOR REGIONAL II JAKARTA 10004</v>
      </c>
      <c r="AN242" s="85" t="str">
        <f>IFERROR(__xludf.DUMMYFUNCTION("""COMPUTED_VALUE"""),"KC TANGERANG SELATAN 15400")</f>
        <v>KC TANGERANG SELATAN 15400</v>
      </c>
      <c r="AO242" s="85" t="str">
        <f>IFERROR(__xludf.DUMMYFUNCTION("""COMPUTED_VALUE"""),"2810220054719")</f>
        <v>2810220054719</v>
      </c>
      <c r="AP242" s="85" t="str">
        <f>IFERROR(__xludf.DUMMYFUNCTION("""COMPUTED_VALUE"""),"28102200547190001")</f>
        <v>28102200547190001</v>
      </c>
      <c r="AQ242" s="93"/>
      <c r="AR242" s="85"/>
      <c r="AS242" s="85"/>
      <c r="AT242" s="85" t="str">
        <f>IFERROR(__xludf.DUMMYFUNCTION("""COMPUTED_VALUE"""),"-6.3352544")</f>
        <v>-6.3352544</v>
      </c>
      <c r="AU242" s="85" t="str">
        <f>IFERROR(__xludf.DUMMYFUNCTION("""COMPUTED_VALUE"""),"106.7697205")</f>
        <v>106.7697205</v>
      </c>
      <c r="AV242" s="85"/>
      <c r="AW242" s="85"/>
      <c r="AX242" s="85"/>
      <c r="AY242" s="85"/>
      <c r="AZ242" s="85"/>
      <c r="BA242" s="85"/>
      <c r="BB242" s="85"/>
      <c r="BC242" s="85"/>
      <c r="BD242" s="85"/>
      <c r="BE242" s="85"/>
      <c r="BF242" s="85"/>
      <c r="BG242" s="85"/>
      <c r="BH242" s="85"/>
      <c r="BI242" s="85"/>
      <c r="BJ242" s="85"/>
      <c r="BK242" s="85"/>
      <c r="BL242" s="85"/>
      <c r="BM242" s="85"/>
      <c r="BN242" s="85"/>
      <c r="BO242" s="85"/>
      <c r="BP242" s="85"/>
      <c r="BQ242" s="85"/>
      <c r="BR242" s="85"/>
      <c r="BS242" s="85"/>
      <c r="BT242" s="85"/>
      <c r="BU242" s="85"/>
      <c r="BV242" s="85"/>
      <c r="BW242" s="85"/>
      <c r="BX242" s="85"/>
      <c r="BY242" s="85"/>
      <c r="BZ242" s="85"/>
      <c r="CA242" s="85"/>
      <c r="CB242" s="85"/>
      <c r="CC242" s="85"/>
      <c r="CD242" s="85"/>
      <c r="CE242" s="85"/>
      <c r="CF242" s="85"/>
      <c r="CG242" s="85"/>
      <c r="CH242" s="85"/>
      <c r="CI242" s="85"/>
      <c r="CJ242" s="85"/>
      <c r="CK242" s="2"/>
    </row>
    <row r="243" ht="12.75" customHeight="1">
      <c r="A243" s="80">
        <f>IFERROR(__xludf.DUMMYFUNCTION("""COMPUTED_VALUE"""),240.0)</f>
        <v>240</v>
      </c>
      <c r="B243" s="80"/>
      <c r="C243" s="80"/>
      <c r="D243" s="81"/>
      <c r="E243" s="82"/>
      <c r="F243" s="80"/>
      <c r="G243" s="81"/>
      <c r="H243" s="80"/>
      <c r="I243" s="80"/>
      <c r="J243" s="80"/>
      <c r="K243" s="80"/>
      <c r="L243" s="80"/>
      <c r="M243" s="80" t="str">
        <f>IFERROR(__xludf.DUMMYFUNCTION("""COMPUTED_VALUE"""),"ü")</f>
        <v>ü</v>
      </c>
      <c r="N243" s="80"/>
      <c r="O243" s="80"/>
      <c r="P243" s="80" t="str">
        <f>IFERROR(__xludf.DUMMYFUNCTION("""COMPUTED_VALUE"""),"52BSPA07648JTYNA")</f>
        <v>52BSPA07648JTYNA</v>
      </c>
      <c r="Q243" s="80" t="str">
        <f>IFERROR(__xludf.DUMMYFUNCTION("""COMPUTED_VALUE"""),"MUC KOPERASI ATMI")</f>
        <v>MUC KOPERASI ATMI</v>
      </c>
      <c r="R243" s="80" t="str">
        <f>IFERROR(__xludf.DUMMYFUNCTION("""COMPUTED_VALUE"""),"MUC KOPERASI ATMI")</f>
        <v>MUC KOPERASI ATMI</v>
      </c>
      <c r="S243" s="80" t="str">
        <f>IFERROR(__xludf.DUMMYFUNCTION("""COMPUTED_VALUE"""),"ARIEF MARJUKI")</f>
        <v>ARIEF MARJUKI</v>
      </c>
      <c r="T243" s="80" t="str">
        <f>IFERROR(__xludf.DUMMYFUNCTION("""COMPUTED_VALUE"""),"Gawanan Timur RT. 001/007, Gawanan, Colomadu, Karanganyar")</f>
        <v>Gawanan Timur RT. 001/007, Gawanan, Colomadu, Karanganyar</v>
      </c>
      <c r="U243" s="80" t="str">
        <f>IFERROR(__xludf.DUMMYFUNCTION("""COMPUTED_VALUE"""),"Jl. Mojo No. 1")</f>
        <v>Jl. Mojo No. 1</v>
      </c>
      <c r="V243" s="80"/>
      <c r="W243" s="80" t="str">
        <f>IFERROR(__xludf.DUMMYFUNCTION("""COMPUTED_VALUE"""),"KARANGASEM")</f>
        <v>KARANGASEM</v>
      </c>
      <c r="X243" s="80" t="str">
        <f>IFERROR(__xludf.DUMMYFUNCTION("""COMPUTED_VALUE"""),"LAWEYAN")</f>
        <v>LAWEYAN</v>
      </c>
      <c r="Y243" s="80" t="str">
        <f>IFERROR(__xludf.DUMMYFUNCTION("""COMPUTED_VALUE"""),"SURAKARTA")</f>
        <v>SURAKARTA</v>
      </c>
      <c r="Z243" s="80" t="str">
        <f>IFERROR(__xludf.DUMMYFUNCTION("""COMPUTED_VALUE"""),"JAWA TENGAH")</f>
        <v>JAWA TENGAH</v>
      </c>
      <c r="AA243" s="80" t="str">
        <f>IFERROR(__xludf.DUMMYFUNCTION("""COMPUTED_VALUE"""),"57145")</f>
        <v>57145</v>
      </c>
      <c r="AB243" s="80" t="str">
        <f>IFERROR(__xludf.DUMMYFUNCTION("""COMPUTED_VALUE"""),"3313122305820001")</f>
        <v>3313122305820001</v>
      </c>
      <c r="AC243" s="80" t="str">
        <f>IFERROR(__xludf.DUMMYFUNCTION("""COMPUTED_VALUE"""),"74.258.453.5-526.000")</f>
        <v>74.258.453.5-526.000</v>
      </c>
      <c r="AD243" s="80" t="str">
        <f>IFERROR(__xludf.DUMMYFUNCTION("""COMPUTED_VALUE"""),"CUM - YNA")</f>
        <v>CUM - YNA</v>
      </c>
      <c r="AE243" s="80" t="str">
        <f>IFERROR(__xludf.DUMMYFUNCTION("""COMPUTED_VALUE"""),"SUB YOHANNITA")</f>
        <v>SUB YOHANNITA</v>
      </c>
      <c r="AF243" s="80" t="str">
        <f>IFERROR(__xludf.DUMMYFUNCTION("""COMPUTED_VALUE"""),"081333222825")</f>
        <v>081333222825</v>
      </c>
      <c r="AG243" s="80"/>
      <c r="AH243" s="80" t="str">
        <f>IFERROR(__xludf.DUMMYFUNCTION("""COMPUTED_VALUE"""),"kopkarmik.desi@gmail.com")</f>
        <v>kopkarmik.desi@gmail.com</v>
      </c>
      <c r="AI243" s="80" t="str">
        <f>IFERROR(__xludf.DUMMYFUNCTION("""COMPUTED_VALUE"""),"57145S3")</f>
        <v>57145S3</v>
      </c>
      <c r="AJ243" s="80" t="str">
        <f>IFERROR(__xludf.DUMMYFUNCTION("""COMPUTED_VALUE"""),"66a259f27324b9fc120e0f35")</f>
        <v>66a259f27324b9fc120e0f35</v>
      </c>
      <c r="AK243" s="80" t="str">
        <f>IFERROR(__xludf.DUMMYFUNCTION("""COMPUTED_VALUE"""),"dm57145s3")</f>
        <v>dm57145s3</v>
      </c>
      <c r="AL243" s="80" t="str">
        <f>IFERROR(__xludf.DUMMYFUNCTION("""COMPUTED_VALUE"""),"#57145Pos")</f>
        <v>#57145Pos</v>
      </c>
      <c r="AM243" s="80" t="str">
        <f>IFERROR(__xludf.DUMMYFUNCTION("""COMPUTED_VALUE"""),"KANTOR REGIONAL IV SEMARANG 50004")</f>
        <v>KANTOR REGIONAL IV SEMARANG 50004</v>
      </c>
      <c r="AN243" s="80" t="str">
        <f>IFERROR(__xludf.DUMMYFUNCTION("""COMPUTED_VALUE"""),"KCU SOLO 57100")</f>
        <v>KCU SOLO 57100</v>
      </c>
      <c r="AO243" s="80" t="str">
        <f>IFERROR(__xludf.DUMMYFUNCTION("""COMPUTED_VALUE"""),"0248010020576")</f>
        <v>0248010020576</v>
      </c>
      <c r="AP243" s="80" t="str">
        <f>IFERROR(__xludf.DUMMYFUNCTION("""COMPUTED_VALUE"""),"02480100205760001")</f>
        <v>02480100205760001</v>
      </c>
      <c r="AQ243" s="83"/>
      <c r="AR243" s="80"/>
      <c r="AS243" s="80"/>
      <c r="AT243" s="80" t="str">
        <f>IFERROR(__xludf.DUMMYFUNCTION("""COMPUTED_VALUE"""),"-7.5526049")</f>
        <v>-7.5526049</v>
      </c>
      <c r="AU243" s="80" t="str">
        <f>IFERROR(__xludf.DUMMYFUNCTION("""COMPUTED_VALUE"""),"110.7757523")</f>
        <v>110.7757523</v>
      </c>
      <c r="AV243" s="80"/>
      <c r="AW243" s="80"/>
      <c r="AX243" s="80"/>
      <c r="AY243" s="80"/>
      <c r="AZ243" s="80"/>
      <c r="BA243" s="80"/>
      <c r="BB243" s="80"/>
      <c r="BC243" s="80"/>
      <c r="BD243" s="80"/>
      <c r="BE243" s="80"/>
      <c r="BF243" s="80"/>
      <c r="BG243" s="80"/>
      <c r="BH243" s="80"/>
      <c r="BI243" s="80"/>
      <c r="BJ243" s="80"/>
      <c r="BK243" s="80"/>
      <c r="BL243" s="80"/>
      <c r="BM243" s="80"/>
      <c r="BN243" s="80"/>
      <c r="BO243" s="80"/>
      <c r="BP243" s="80"/>
      <c r="BQ243" s="80"/>
      <c r="BR243" s="80"/>
      <c r="BS243" s="80"/>
      <c r="BT243" s="80"/>
      <c r="BU243" s="80"/>
      <c r="BV243" s="80"/>
      <c r="BW243" s="80"/>
      <c r="BX243" s="80"/>
      <c r="BY243" s="80"/>
      <c r="BZ243" s="80"/>
      <c r="CA243" s="80"/>
      <c r="CB243" s="80"/>
      <c r="CC243" s="80"/>
      <c r="CD243" s="80"/>
      <c r="CE243" s="80"/>
      <c r="CF243" s="80"/>
      <c r="CG243" s="80"/>
      <c r="CH243" s="80"/>
      <c r="CI243" s="80"/>
      <c r="CJ243" s="80"/>
      <c r="CK243" s="2"/>
    </row>
    <row r="244" ht="14.25" customHeight="1">
      <c r="A244" s="85">
        <f>IFERROR(__xludf.DUMMYFUNCTION("""COMPUTED_VALUE"""),241.0)</f>
        <v>241</v>
      </c>
      <c r="B244" s="85"/>
      <c r="C244" s="85"/>
      <c r="D244" s="86"/>
      <c r="E244" s="88"/>
      <c r="F244" s="85"/>
      <c r="G244" s="86"/>
      <c r="H244" s="85"/>
      <c r="I244" s="85"/>
      <c r="J244" s="85"/>
      <c r="K244" s="85"/>
      <c r="L244" s="85"/>
      <c r="M244" s="85" t="str">
        <f>IFERROR(__xludf.DUMMYFUNCTION("""COMPUTED_VALUE"""),"ü")</f>
        <v>ü</v>
      </c>
      <c r="N244" s="85"/>
      <c r="O244" s="85"/>
      <c r="P244" s="85" t="str">
        <f>IFERROR(__xludf.DUMMYFUNCTION("""COMPUTED_VALUE"""),"53BSPA04894JBSNI")</f>
        <v>53BSPA04894JBSNI</v>
      </c>
      <c r="Q244" s="85" t="str">
        <f>IFERROR(__xludf.DUMMYFUNCTION("""COMPUTED_VALUE"""),"MUC MANGGOSROS")</f>
        <v>MUC MANGGOSROS</v>
      </c>
      <c r="R244" s="85" t="str">
        <f>IFERROR(__xludf.DUMMYFUNCTION("""COMPUTED_VALUE"""),"MUC MANGGOSROS")</f>
        <v>MUC MANGGOSROS</v>
      </c>
      <c r="S244" s="85" t="str">
        <f>IFERROR(__xludf.DUMMYFUNCTION("""COMPUTED_VALUE"""),"SORTHA NADIA ISPRIANTY S")</f>
        <v>SORTHA NADIA ISPRIANTY S</v>
      </c>
      <c r="T244" s="85" t="str">
        <f>IFERROR(__xludf.DUMMYFUNCTION("""COMPUTED_VALUE"""),"GUNUNGPUTRI UTARA, Kel. Gunung Putri, Kec. Gunung Putri, Kab. Bogor, Prov. Jawa Barat")</f>
        <v>GUNUNGPUTRI UTARA, Kel. Gunung Putri, Kec. Gunung Putri, Kab. Bogor, Prov. Jawa Barat</v>
      </c>
      <c r="U244" s="85" t="str">
        <f>IFERROR(__xludf.DUMMYFUNCTION("""COMPUTED_VALUE"""),"Jl.Kayu Putih Selatan 6 A  No.9, Rt.003 / Rw.05")</f>
        <v>Jl.Kayu Putih Selatan 6 A  No.9, Rt.003 / Rw.05</v>
      </c>
      <c r="V244" s="85"/>
      <c r="W244" s="85" t="str">
        <f>IFERROR(__xludf.DUMMYFUNCTION("""COMPUTED_VALUE"""),"PULO GADUNG")</f>
        <v>PULO GADUNG</v>
      </c>
      <c r="X244" s="85" t="str">
        <f>IFERROR(__xludf.DUMMYFUNCTION("""COMPUTED_VALUE"""),"PULOGADUNG")</f>
        <v>PULOGADUNG</v>
      </c>
      <c r="Y244" s="85" t="str">
        <f>IFERROR(__xludf.DUMMYFUNCTION("""COMPUTED_VALUE"""),"KOTA JAKARTA TIMUR")</f>
        <v>KOTA JAKARTA TIMUR</v>
      </c>
      <c r="Z244" s="85" t="str">
        <f>IFERROR(__xludf.DUMMYFUNCTION("""COMPUTED_VALUE"""),"DKI JAKARTA")</f>
        <v>DKI JAKARTA</v>
      </c>
      <c r="AA244" s="85" t="str">
        <f>IFERROR(__xludf.DUMMYFUNCTION("""COMPUTED_VALUE"""),"13260")</f>
        <v>13260</v>
      </c>
      <c r="AB244" s="85" t="str">
        <f>IFERROR(__xludf.DUMMYFUNCTION("""COMPUTED_VALUE"""),"3201024308760011")</f>
        <v>3201024308760011</v>
      </c>
      <c r="AC244" s="85" t="str">
        <f>IFERROR(__xludf.DUMMYFUNCTION("""COMPUTED_VALUE"""),"08.779.405.3-003.000")</f>
        <v>08.779.405.3-003.000</v>
      </c>
      <c r="AD244" s="85" t="str">
        <f>IFERROR(__xludf.DUMMYFUNCTION("""COMPUTED_VALUE"""),"CUM - PS - ALFA")</f>
        <v>CUM - PS - ALFA</v>
      </c>
      <c r="AE244" s="85" t="str">
        <f>IFERROR(__xludf.DUMMYFUNCTION("""COMPUTED_VALUE"""),"SUB ALFIAN POS")</f>
        <v>SUB ALFIAN POS</v>
      </c>
      <c r="AF244" s="85" t="str">
        <f>IFERROR(__xludf.DUMMYFUNCTION("""COMPUTED_VALUE"""),"08127445968")</f>
        <v>08127445968</v>
      </c>
      <c r="AG244" s="85"/>
      <c r="AH244" s="85" t="str">
        <f>IFERROR(__xludf.DUMMYFUNCTION("""COMPUTED_VALUE"""),"manggosros@gmail.com")</f>
        <v>manggosros@gmail.com</v>
      </c>
      <c r="AI244" s="85" t="str">
        <f>IFERROR(__xludf.DUMMYFUNCTION("""COMPUTED_VALUE"""),"13260S3")</f>
        <v>13260S3</v>
      </c>
      <c r="AJ244" s="85" t="str">
        <f>IFERROR(__xludf.DUMMYFUNCTION("""COMPUTED_VALUE"""),"66a8d5df75308194db032dd2")</f>
        <v>66a8d5df75308194db032dd2</v>
      </c>
      <c r="AK244" s="85" t="str">
        <f>IFERROR(__xludf.DUMMYFUNCTION("""COMPUTED_VALUE"""),"dm13260s3")</f>
        <v>dm13260s3</v>
      </c>
      <c r="AL244" s="85" t="str">
        <f>IFERROR(__xludf.DUMMYFUNCTION("""COMPUTED_VALUE"""),"#13260Pos")</f>
        <v>#13260Pos</v>
      </c>
      <c r="AM244" s="85" t="str">
        <f>IFERROR(__xludf.DUMMYFUNCTION("""COMPUTED_VALUE"""),"KANTOR REGIONAL II JAKARTA 10004")</f>
        <v>KANTOR REGIONAL II JAKARTA 10004</v>
      </c>
      <c r="AN244" s="85" t="str">
        <f>IFERROR(__xludf.DUMMYFUNCTION("""COMPUTED_VALUE"""),"KCU JAKARTAPREMIER 13000")</f>
        <v>KCU JAKARTAPREMIER 13000</v>
      </c>
      <c r="AO244" s="85" t="str">
        <f>IFERROR(__xludf.DUMMYFUNCTION("""COMPUTED_VALUE"""),"1607240064191")</f>
        <v>1607240064191</v>
      </c>
      <c r="AP244" s="85" t="str">
        <f>IFERROR(__xludf.DUMMYFUNCTION("""COMPUTED_VALUE"""),"16072400641910001")</f>
        <v>16072400641910001</v>
      </c>
      <c r="AQ244" s="93"/>
      <c r="AR244" s="85"/>
      <c r="AS244" s="85"/>
      <c r="AT244" s="85" t="str">
        <f>IFERROR(__xludf.DUMMYFUNCTION("""COMPUTED_VALUE"""),"-6.186431")</f>
        <v>-6.186431</v>
      </c>
      <c r="AU244" s="85" t="str">
        <f>IFERROR(__xludf.DUMMYFUNCTION("""COMPUTED_VALUE"""),"106.8965205")</f>
        <v>106.8965205</v>
      </c>
      <c r="AV244" s="85"/>
      <c r="AW244" s="85"/>
      <c r="AX244" s="85"/>
      <c r="AY244" s="85"/>
      <c r="AZ244" s="85"/>
      <c r="BA244" s="85"/>
      <c r="BB244" s="85"/>
      <c r="BC244" s="85"/>
      <c r="BD244" s="85"/>
      <c r="BE244" s="85"/>
      <c r="BF244" s="85"/>
      <c r="BG244" s="85"/>
      <c r="BH244" s="85"/>
      <c r="BI244" s="85"/>
      <c r="BJ244" s="85"/>
      <c r="BK244" s="85"/>
      <c r="BL244" s="85"/>
      <c r="BM244" s="85"/>
      <c r="BN244" s="85"/>
      <c r="BO244" s="85"/>
      <c r="BP244" s="85"/>
      <c r="BQ244" s="85"/>
      <c r="BR244" s="85"/>
      <c r="BS244" s="85"/>
      <c r="BT244" s="85"/>
      <c r="BU244" s="85"/>
      <c r="BV244" s="85"/>
      <c r="BW244" s="85"/>
      <c r="BX244" s="85"/>
      <c r="BY244" s="85"/>
      <c r="BZ244" s="85"/>
      <c r="CA244" s="85"/>
      <c r="CB244" s="85"/>
      <c r="CC244" s="85"/>
      <c r="CD244" s="85"/>
      <c r="CE244" s="85"/>
      <c r="CF244" s="85"/>
      <c r="CG244" s="85"/>
      <c r="CH244" s="85"/>
      <c r="CI244" s="85"/>
      <c r="CJ244" s="85"/>
      <c r="CK244" s="2"/>
    </row>
    <row r="245" ht="12.75" customHeight="1">
      <c r="A245" s="80">
        <f>IFERROR(__xludf.DUMMYFUNCTION("""COMPUTED_VALUE"""),242.0)</f>
        <v>242</v>
      </c>
      <c r="B245" s="80"/>
      <c r="C245" s="80"/>
      <c r="D245" s="81"/>
      <c r="E245" s="82"/>
      <c r="F245" s="80"/>
      <c r="G245" s="81"/>
      <c r="H245" s="80"/>
      <c r="I245" s="80"/>
      <c r="J245" s="80"/>
      <c r="K245" s="80"/>
      <c r="L245" s="80"/>
      <c r="M245" s="80" t="str">
        <f>IFERROR(__xludf.DUMMYFUNCTION("""COMPUTED_VALUE"""),"ü")</f>
        <v>ü</v>
      </c>
      <c r="N245" s="80"/>
      <c r="O245" s="80"/>
      <c r="P245" s="80" t="str">
        <f>IFERROR(__xludf.DUMMYFUNCTION("""COMPUTED_VALUE"""),"53BSPA04895JBUZL")</f>
        <v>53BSPA04895JBUZL</v>
      </c>
      <c r="Q245" s="80" t="str">
        <f>IFERROR(__xludf.DUMMYFUNCTION("""COMPUTED_VALUE"""),"MUC UZLAH")</f>
        <v>MUC UZLAH</v>
      </c>
      <c r="R245" s="80" t="str">
        <f>IFERROR(__xludf.DUMMYFUNCTION("""COMPUTED_VALUE"""),"MUC UZLAH")</f>
        <v>MUC UZLAH</v>
      </c>
      <c r="S245" s="80" t="str">
        <f>IFERROR(__xludf.DUMMYFUNCTION("""COMPUTED_VALUE"""),"PRIYULI")</f>
        <v>PRIYULI</v>
      </c>
      <c r="T245" s="80" t="str">
        <f>IFERROR(__xludf.DUMMYFUNCTION("""COMPUTED_VALUE"""),"BSPI BLOK D NO 4 RT 4 RW 12 SINDANGPANON BANJARAN")</f>
        <v>BSPI BLOK D NO 4 RT 4 RW 12 SINDANGPANON BANJARAN</v>
      </c>
      <c r="U245" s="80" t="str">
        <f>IFERROR(__xludf.DUMMYFUNCTION("""COMPUTED_VALUE"""),"BSPI BLOK D NO 4 RT 4 RW 12")</f>
        <v>BSPI BLOK D NO 4 RT 4 RW 12</v>
      </c>
      <c r="V245" s="80"/>
      <c r="W245" s="80" t="str">
        <f>IFERROR(__xludf.DUMMYFUNCTION("""COMPUTED_VALUE"""),"SINDANG PANON")</f>
        <v>SINDANG PANON</v>
      </c>
      <c r="X245" s="80" t="str">
        <f>IFERROR(__xludf.DUMMYFUNCTION("""COMPUTED_VALUE"""),"BANJARAN")</f>
        <v>BANJARAN</v>
      </c>
      <c r="Y245" s="80" t="str">
        <f>IFERROR(__xludf.DUMMYFUNCTION("""COMPUTED_VALUE"""),"KAB. BANDUNG")</f>
        <v>KAB. BANDUNG</v>
      </c>
      <c r="Z245" s="80" t="str">
        <f>IFERROR(__xludf.DUMMYFUNCTION("""COMPUTED_VALUE"""),"JAWA BARAT")</f>
        <v>JAWA BARAT</v>
      </c>
      <c r="AA245" s="80" t="str">
        <f>IFERROR(__xludf.DUMMYFUNCTION("""COMPUTED_VALUE"""),"40377")</f>
        <v>40377</v>
      </c>
      <c r="AB245" s="80" t="str">
        <f>IFERROR(__xludf.DUMMYFUNCTION("""COMPUTED_VALUE"""),"3204095007970008")</f>
        <v>3204095007970008</v>
      </c>
      <c r="AC245" s="80" t="str">
        <f>IFERROR(__xludf.DUMMYFUNCTION("""COMPUTED_VALUE"""),"75.445.316.5-422.000")</f>
        <v>75.445.316.5-422.000</v>
      </c>
      <c r="AD245" s="80" t="str">
        <f>IFERROR(__xludf.DUMMYFUNCTION("""COMPUTED_VALUE"""),"CUM - PS - RSS")</f>
        <v>CUM - PS - RSS</v>
      </c>
      <c r="AE245" s="80" t="str">
        <f>IFERROR(__xludf.DUMMYFUNCTION("""COMPUTED_VALUE"""),"SUB RONY POS")</f>
        <v>SUB RONY POS</v>
      </c>
      <c r="AF245" s="80" t="str">
        <f>IFERROR(__xludf.DUMMYFUNCTION("""COMPUTED_VALUE"""),"0881022129000")</f>
        <v>0881022129000</v>
      </c>
      <c r="AG245" s="80"/>
      <c r="AH245" s="80" t="str">
        <f>IFERROR(__xludf.DUMMYFUNCTION("""COMPUTED_VALUE"""),"priyuliferdian2@gmail.com")</f>
        <v>priyuliferdian2@gmail.com</v>
      </c>
      <c r="AI245" s="80" t="str">
        <f>IFERROR(__xludf.DUMMYFUNCTION("""COMPUTED_VALUE"""),"40377S4")</f>
        <v>40377S4</v>
      </c>
      <c r="AJ245" s="80" t="str">
        <f>IFERROR(__xludf.DUMMYFUNCTION("""COMPUTED_VALUE"""),"669f6e06707f5fecca0151a5")</f>
        <v>669f6e06707f5fecca0151a5</v>
      </c>
      <c r="AK245" s="80" t="str">
        <f>IFERROR(__xludf.DUMMYFUNCTION("""COMPUTED_VALUE"""),"dm40377s4")</f>
        <v>dm40377s4</v>
      </c>
      <c r="AL245" s="80" t="str">
        <f>IFERROR(__xludf.DUMMYFUNCTION("""COMPUTED_VALUE"""),"#40377Pos")</f>
        <v>#40377Pos</v>
      </c>
      <c r="AM245" s="80" t="str">
        <f>IFERROR(__xludf.DUMMYFUNCTION("""COMPUTED_VALUE"""),"KANTOR REGIONAL III BANDUNG 40004")</f>
        <v>KANTOR REGIONAL III BANDUNG 40004</v>
      </c>
      <c r="AN245" s="80" t="str">
        <f>IFERROR(__xludf.DUMMYFUNCTION("""COMPUTED_VALUE"""),"KC SOREANG 40900")</f>
        <v>KC SOREANG 40900</v>
      </c>
      <c r="AO245" s="80" t="str">
        <f>IFERROR(__xludf.DUMMYFUNCTION("""COMPUTED_VALUE"""),"1707240104609")</f>
        <v>1707240104609</v>
      </c>
      <c r="AP245" s="80" t="str">
        <f>IFERROR(__xludf.DUMMYFUNCTION("""COMPUTED_VALUE"""),"17072401046090001")</f>
        <v>17072401046090001</v>
      </c>
      <c r="AQ245" s="83"/>
      <c r="AR245" s="80"/>
      <c r="AS245" s="80"/>
      <c r="AT245" s="80" t="str">
        <f>IFERROR(__xludf.DUMMYFUNCTION("""COMPUTED_VALUE"""),"-7.0656324")</f>
        <v>-7.0656324</v>
      </c>
      <c r="AU245" s="80" t="str">
        <f>IFERROR(__xludf.DUMMYFUNCTION("""COMPUTED_VALUE"""),"107.581916")</f>
        <v>107.581916</v>
      </c>
      <c r="AV245" s="80"/>
      <c r="AW245" s="80"/>
      <c r="AX245" s="80"/>
      <c r="AY245" s="80"/>
      <c r="AZ245" s="80"/>
      <c r="BA245" s="80"/>
      <c r="BB245" s="80"/>
      <c r="BC245" s="80"/>
      <c r="BD245" s="80"/>
      <c r="BE245" s="80"/>
      <c r="BF245" s="80"/>
      <c r="BG245" s="80"/>
      <c r="BH245" s="80"/>
      <c r="BI245" s="80"/>
      <c r="BJ245" s="80"/>
      <c r="BK245" s="80"/>
      <c r="BL245" s="80"/>
      <c r="BM245" s="80"/>
      <c r="BN245" s="80"/>
      <c r="BO245" s="80"/>
      <c r="BP245" s="80"/>
      <c r="BQ245" s="80"/>
      <c r="BR245" s="80"/>
      <c r="BS245" s="80"/>
      <c r="BT245" s="80"/>
      <c r="BU245" s="80"/>
      <c r="BV245" s="80"/>
      <c r="BW245" s="80"/>
      <c r="BX245" s="80"/>
      <c r="BY245" s="80"/>
      <c r="BZ245" s="80"/>
      <c r="CA245" s="80"/>
      <c r="CB245" s="80"/>
      <c r="CC245" s="80"/>
      <c r="CD245" s="80"/>
      <c r="CE245" s="80"/>
      <c r="CF245" s="80"/>
      <c r="CG245" s="80"/>
      <c r="CH245" s="80"/>
      <c r="CI245" s="80"/>
      <c r="CJ245" s="80"/>
      <c r="CK245" s="2"/>
    </row>
    <row r="246" ht="12.75" customHeight="1">
      <c r="A246" s="85">
        <f>IFERROR(__xludf.DUMMYFUNCTION("""COMPUTED_VALUE"""),243.0)</f>
        <v>243</v>
      </c>
      <c r="B246" s="85"/>
      <c r="C246" s="85"/>
      <c r="D246" s="86"/>
      <c r="E246" s="88"/>
      <c r="F246" s="85"/>
      <c r="G246" s="86"/>
      <c r="H246" s="85"/>
      <c r="I246" s="85"/>
      <c r="J246" s="85"/>
      <c r="K246" s="85"/>
      <c r="L246" s="85"/>
      <c r="M246" s="85" t="str">
        <f>IFERROR(__xludf.DUMMYFUNCTION("""COMPUTED_VALUE"""),"ü")</f>
        <v>ü</v>
      </c>
      <c r="N246" s="85"/>
      <c r="O246" s="85" t="str">
        <f>IFERROR(__xludf.DUMMYFUNCTION("""COMPUTED_VALUE"""),"ü")</f>
        <v>ü</v>
      </c>
      <c r="P246" s="85" t="str">
        <f>IFERROR(__xludf.DUMMYFUNCTION("""COMPUTED_VALUE"""),"53BSPA04878JBEEN")</f>
        <v>53BSPA04878JBEEN</v>
      </c>
      <c r="Q246" s="85" t="str">
        <f>IFERROR(__xludf.DUMMYFUNCTION("""COMPUTED_VALUE"""),"MUC KUD PERMATASARI 2")</f>
        <v>MUC KUD PERMATASARI 2</v>
      </c>
      <c r="R246" s="85" t="str">
        <f>IFERROR(__xludf.DUMMYFUNCTION("""COMPUTED_VALUE"""),"MUC KUD PERMATASARI 2")</f>
        <v>MUC KUD PERMATASARI 2</v>
      </c>
      <c r="S246" s="85" t="str">
        <f>IFERROR(__xludf.DUMMYFUNCTION("""COMPUTED_VALUE"""),"H. REMBANG SUSANTO")</f>
        <v>H. REMBANG SUSANTO</v>
      </c>
      <c r="T246" s="85" t="str">
        <f>IFERROR(__xludf.DUMMYFUNCTION("""COMPUTED_VALUE"""),"Kp. CIBUNTU BOJONG RT.01/01 GANDASARI CIKARANG BARAT")</f>
        <v>Kp. CIBUNTU BOJONG RT.01/01 GANDASARI CIKARANG BARAT</v>
      </c>
      <c r="U246" s="85" t="str">
        <f>IFERROR(__xludf.DUMMYFUNCTION("""COMPUTED_VALUE"""),"Gandasari, Kec. Cikarang Bar., Kabupaten Bekasi, Jawa Barat 17530")</f>
        <v>Gandasari, Kec. Cikarang Bar., Kabupaten Bekasi, Jawa Barat 17530</v>
      </c>
      <c r="V246" s="85"/>
      <c r="W246" s="85" t="str">
        <f>IFERROR(__xludf.DUMMYFUNCTION("""COMPUTED_VALUE"""),"GANDASARI")</f>
        <v>GANDASARI</v>
      </c>
      <c r="X246" s="85" t="str">
        <f>IFERROR(__xludf.DUMMYFUNCTION("""COMPUTED_VALUE"""),"CIKARANG BARAT")</f>
        <v>CIKARANG BARAT</v>
      </c>
      <c r="Y246" s="85" t="str">
        <f>IFERROR(__xludf.DUMMYFUNCTION("""COMPUTED_VALUE"""),"KAB. BEKASI")</f>
        <v>KAB. BEKASI</v>
      </c>
      <c r="Z246" s="85" t="str">
        <f>IFERROR(__xludf.DUMMYFUNCTION("""COMPUTED_VALUE"""),"JAWA BARAT")</f>
        <v>JAWA BARAT</v>
      </c>
      <c r="AA246" s="85" t="str">
        <f>IFERROR(__xludf.DUMMYFUNCTION("""COMPUTED_VALUE"""),"17530")</f>
        <v>17530</v>
      </c>
      <c r="AB246" s="85" t="str">
        <f>IFERROR(__xludf.DUMMYFUNCTION("""COMPUTED_VALUE"""),"3216081012800027")</f>
        <v>3216081012800027</v>
      </c>
      <c r="AC246" s="85" t="str">
        <f>IFERROR(__xludf.DUMMYFUNCTION("""COMPUTED_VALUE"""),"14.014.796.8-413.000")</f>
        <v>14.014.796.8-413.000</v>
      </c>
      <c r="AD246" s="85" t="str">
        <f>IFERROR(__xludf.DUMMYFUNCTION("""COMPUTED_VALUE"""),"CUM - EEN")</f>
        <v>CUM - EEN</v>
      </c>
      <c r="AE246" s="85" t="str">
        <f>IFERROR(__xludf.DUMMYFUNCTION("""COMPUTED_VALUE"""),"SUB EEN")</f>
        <v>SUB EEN</v>
      </c>
      <c r="AF246" s="85" t="str">
        <f>IFERROR(__xludf.DUMMYFUNCTION("""COMPUTED_VALUE"""),"081212804167")</f>
        <v>081212804167</v>
      </c>
      <c r="AG246" s="85"/>
      <c r="AH246" s="85"/>
      <c r="AI246" s="85" t="str">
        <f>IFERROR(__xludf.DUMMYFUNCTION("""COMPUTED_VALUE"""),"17842S2")</f>
        <v>17842S2</v>
      </c>
      <c r="AJ246" s="85" t="str">
        <f>IFERROR(__xludf.DUMMYFUNCTION("""COMPUTED_VALUE"""),"66a37152fd92a982f500a16b")</f>
        <v>66a37152fd92a982f500a16b</v>
      </c>
      <c r="AK246" s="85" t="str">
        <f>IFERROR(__xludf.DUMMYFUNCTION("""COMPUTED_VALUE"""),"dm17842s2")</f>
        <v>dm17842s2</v>
      </c>
      <c r="AL246" s="85" t="str">
        <f>IFERROR(__xludf.DUMMYFUNCTION("""COMPUTED_VALUE"""),"#17842Pos")</f>
        <v>#17842Pos</v>
      </c>
      <c r="AM246" s="85" t="str">
        <f>IFERROR(__xludf.DUMMYFUNCTION("""COMPUTED_VALUE"""),"KANTOR REGIONAL II JAKARTA 10004")</f>
        <v>KANTOR REGIONAL II JAKARTA 10004</v>
      </c>
      <c r="AN246" s="85" t="str">
        <f>IFERROR(__xludf.DUMMYFUNCTION("""COMPUTED_VALUE"""),"KC CIKARANG 17500")</f>
        <v>KC CIKARANG 17500</v>
      </c>
      <c r="AO246" s="85" t="str">
        <f>IFERROR(__xludf.DUMMYFUNCTION("""COMPUTED_VALUE"""),"2211230091582")</f>
        <v>2211230091582</v>
      </c>
      <c r="AP246" s="85" t="str">
        <f>IFERROR(__xludf.DUMMYFUNCTION("""COMPUTED_VALUE"""),"22112300915820002")</f>
        <v>22112300915820002</v>
      </c>
      <c r="AQ246" s="93"/>
      <c r="AR246" s="85"/>
      <c r="AS246" s="85"/>
      <c r="AT246" s="85" t="str">
        <f>IFERROR(__xludf.DUMMYFUNCTION("""COMPUTED_VALUE"""),"-6.276005")</f>
        <v>-6.276005</v>
      </c>
      <c r="AU246" s="85" t="str">
        <f>IFERROR(__xludf.DUMMYFUNCTION("""COMPUTED_VALUE"""),"107.085226")</f>
        <v>107.085226</v>
      </c>
      <c r="AV246" s="85"/>
      <c r="AW246" s="85"/>
      <c r="AX246" s="85"/>
      <c r="AY246" s="85"/>
      <c r="AZ246" s="85"/>
      <c r="BA246" s="85"/>
      <c r="BB246" s="85"/>
      <c r="BC246" s="85"/>
      <c r="BD246" s="85"/>
      <c r="BE246" s="85"/>
      <c r="BF246" s="85"/>
      <c r="BG246" s="85"/>
      <c r="BH246" s="85"/>
      <c r="BI246" s="85"/>
      <c r="BJ246" s="85"/>
      <c r="BK246" s="85"/>
      <c r="BL246" s="85"/>
      <c r="BM246" s="85"/>
      <c r="BN246" s="85"/>
      <c r="BO246" s="85"/>
      <c r="BP246" s="85"/>
      <c r="BQ246" s="85"/>
      <c r="BR246" s="85"/>
      <c r="BS246" s="85"/>
      <c r="BT246" s="85"/>
      <c r="BU246" s="85"/>
      <c r="BV246" s="85"/>
      <c r="BW246" s="85"/>
      <c r="BX246" s="85"/>
      <c r="BY246" s="85"/>
      <c r="BZ246" s="85"/>
      <c r="CA246" s="85"/>
      <c r="CB246" s="85"/>
      <c r="CC246" s="85"/>
      <c r="CD246" s="85"/>
      <c r="CE246" s="85"/>
      <c r="CF246" s="85"/>
      <c r="CG246" s="85"/>
      <c r="CH246" s="85"/>
      <c r="CI246" s="85"/>
      <c r="CJ246" s="85"/>
      <c r="CK246" s="2"/>
    </row>
    <row r="247" ht="12.75" customHeight="1">
      <c r="A247" s="80">
        <f>IFERROR(__xludf.DUMMYFUNCTION("""COMPUTED_VALUE"""),244.0)</f>
        <v>244</v>
      </c>
      <c r="B247" s="80"/>
      <c r="C247" s="80"/>
      <c r="D247" s="81"/>
      <c r="E247" s="82"/>
      <c r="F247" s="80"/>
      <c r="G247" s="81"/>
      <c r="H247" s="80"/>
      <c r="I247" s="80"/>
      <c r="J247" s="80"/>
      <c r="K247" s="80"/>
      <c r="L247" s="80"/>
      <c r="M247" s="80"/>
      <c r="N247" s="80" t="str">
        <f>IFERROR(__xludf.DUMMYFUNCTION("""COMPUTED_VALUE"""),"ü")</f>
        <v>ü</v>
      </c>
      <c r="O247" s="80"/>
      <c r="P247" s="80" t="str">
        <f>IFERROR(__xludf.DUMMYFUNCTION("""COMPUTED_VALUE"""),"MLO5500016CUMDZI")</f>
        <v>MLO5500016CUMDZI</v>
      </c>
      <c r="Q247" s="80" t="str">
        <f>IFERROR(__xludf.DUMMYFUNCTION("""COMPUTED_VALUE"""),"MUC AZ DZIKRO")</f>
        <v>MUC AZ DZIKRO</v>
      </c>
      <c r="R247" s="80" t="str">
        <f>IFERROR(__xludf.DUMMYFUNCTION("""COMPUTED_VALUE"""),"MUC AZ DZIKRO")</f>
        <v>MUC AZ DZIKRO</v>
      </c>
      <c r="S247" s="80" t="str">
        <f>IFERROR(__xludf.DUMMYFUNCTION("""COMPUTED_VALUE"""),"LIA JULIANTI")</f>
        <v>LIA JULIANTI</v>
      </c>
      <c r="T247" s="80" t="str">
        <f>IFERROR(__xludf.DUMMYFUNCTION("""COMPUTED_VALUE"""),"Jln. Salemba Tengah IX RT.003/RW.004 Paseban Senen Jakarta Pusat")</f>
        <v>Jln. Salemba Tengah IX RT.003/RW.004 Paseban Senen Jakarta Pusat</v>
      </c>
      <c r="U247" s="80" t="str">
        <f>IFERROR(__xludf.DUMMYFUNCTION("""COMPUTED_VALUE"""),"jl salemba tengah gg 9 rt 003/004 no a123c")</f>
        <v>jl salemba tengah gg 9 rt 003/004 no a123c</v>
      </c>
      <c r="V247" s="80"/>
      <c r="W247" s="80" t="str">
        <f>IFERROR(__xludf.DUMMYFUNCTION("""COMPUTED_VALUE"""),"PASEBAN")</f>
        <v>PASEBAN</v>
      </c>
      <c r="X247" s="80" t="str">
        <f>IFERROR(__xludf.DUMMYFUNCTION("""COMPUTED_VALUE"""),"SENEN")</f>
        <v>SENEN</v>
      </c>
      <c r="Y247" s="80" t="str">
        <f>IFERROR(__xludf.DUMMYFUNCTION("""COMPUTED_VALUE"""),"JAKARTA PUSAT")</f>
        <v>JAKARTA PUSAT</v>
      </c>
      <c r="Z247" s="80" t="str">
        <f>IFERROR(__xludf.DUMMYFUNCTION("""COMPUTED_VALUE"""),"DKI JAKARTA")</f>
        <v>DKI JAKARTA</v>
      </c>
      <c r="AA247" s="80" t="str">
        <f>IFERROR(__xludf.DUMMYFUNCTION("""COMPUTED_VALUE"""),"10430")</f>
        <v>10430</v>
      </c>
      <c r="AB247" s="80" t="str">
        <f>IFERROR(__xludf.DUMMYFUNCTION("""COMPUTED_VALUE"""),"3171045807760009")</f>
        <v>3171045807760009</v>
      </c>
      <c r="AC247" s="80" t="str">
        <f>IFERROR(__xludf.DUMMYFUNCTION("""COMPUTED_VALUE"""),"09.011.040.4-023.000")</f>
        <v>09.011.040.4-023.000</v>
      </c>
      <c r="AD247" s="80" t="str">
        <f>IFERROR(__xludf.DUMMYFUNCTION("""COMPUTED_VALUE"""),"CUM - BSB - JABAR")</f>
        <v>CUM - BSB - JABAR</v>
      </c>
      <c r="AE247" s="80" t="str">
        <f>IFERROR(__xludf.DUMMYFUNCTION("""COMPUTED_VALUE"""),"SUB SINBAR POS")</f>
        <v>SUB SINBAR POS</v>
      </c>
      <c r="AF247" s="80" t="str">
        <f>IFERROR(__xludf.DUMMYFUNCTION("""COMPUTED_VALUE"""),"082110621391")</f>
        <v>082110621391</v>
      </c>
      <c r="AG247" s="80"/>
      <c r="AH247" s="80" t="str">
        <f>IFERROR(__xludf.DUMMYFUNCTION("""COMPUTED_VALUE"""),"bachrisyaiful14@gmail.com")</f>
        <v>bachrisyaiful14@gmail.com</v>
      </c>
      <c r="AI247" s="80" t="str">
        <f>IFERROR(__xludf.DUMMYFUNCTION("""COMPUTED_VALUE"""),"10440S3")</f>
        <v>10440S3</v>
      </c>
      <c r="AJ247" s="80" t="str">
        <f>IFERROR(__xludf.DUMMYFUNCTION("""COMPUTED_VALUE"""),"66a2637bdd0edb2c890f319e")</f>
        <v>66a2637bdd0edb2c890f319e</v>
      </c>
      <c r="AK247" s="80" t="str">
        <f>IFERROR(__xludf.DUMMYFUNCTION("""COMPUTED_VALUE"""),"dm10440s3")</f>
        <v>dm10440s3</v>
      </c>
      <c r="AL247" s="80" t="str">
        <f>IFERROR(__xludf.DUMMYFUNCTION("""COMPUTED_VALUE"""),"#10440Pos")</f>
        <v>#10440Pos</v>
      </c>
      <c r="AM247" s="80" t="str">
        <f>IFERROR(__xludf.DUMMYFUNCTION("""COMPUTED_VALUE"""),"KANTOR REGIONAL II JAKARTA 10004")</f>
        <v>KANTOR REGIONAL II JAKARTA 10004</v>
      </c>
      <c r="AN247" s="80" t="str">
        <f>IFERROR(__xludf.DUMMYFUNCTION("""COMPUTED_VALUE"""),"KCU JAKARTACENTRUM 10000")</f>
        <v>KCU JAKARTACENTRUM 10000</v>
      </c>
      <c r="AO247" s="80" t="str">
        <f>IFERROR(__xludf.DUMMYFUNCTION("""COMPUTED_VALUE"""),"1907240075556")</f>
        <v>1907240075556</v>
      </c>
      <c r="AP247" s="80" t="str">
        <f>IFERROR(__xludf.DUMMYFUNCTION("""COMPUTED_VALUE"""),"19072400755560001")</f>
        <v>19072400755560001</v>
      </c>
      <c r="AQ247" s="83"/>
      <c r="AR247" s="80"/>
      <c r="AS247" s="80"/>
      <c r="AT247" s="80" t="str">
        <f>IFERROR(__xludf.DUMMYFUNCTION("""COMPUTED_VALUE"""),"-6.19395")</f>
        <v>-6.19395</v>
      </c>
      <c r="AU247" s="80" t="str">
        <f>IFERROR(__xludf.DUMMYFUNCTION("""COMPUTED_VALUE"""),"106.85386")</f>
        <v>106.85386</v>
      </c>
      <c r="AV247" s="80"/>
      <c r="AW247" s="80"/>
      <c r="AX247" s="80"/>
      <c r="AY247" s="80"/>
      <c r="AZ247" s="80"/>
      <c r="BA247" s="80"/>
      <c r="BB247" s="80"/>
      <c r="BC247" s="80"/>
      <c r="BD247" s="80"/>
      <c r="BE247" s="80"/>
      <c r="BF247" s="80"/>
      <c r="BG247" s="80"/>
      <c r="BH247" s="80"/>
      <c r="BI247" s="80"/>
      <c r="BJ247" s="80"/>
      <c r="BK247" s="80"/>
      <c r="BL247" s="80"/>
      <c r="BM247" s="80"/>
      <c r="BN247" s="80"/>
      <c r="BO247" s="80"/>
      <c r="BP247" s="80"/>
      <c r="BQ247" s="80"/>
      <c r="BR247" s="80"/>
      <c r="BS247" s="80"/>
      <c r="BT247" s="80"/>
      <c r="BU247" s="80"/>
      <c r="BV247" s="80"/>
      <c r="BW247" s="80"/>
      <c r="BX247" s="80"/>
      <c r="BY247" s="80"/>
      <c r="BZ247" s="80"/>
      <c r="CA247" s="80"/>
      <c r="CB247" s="80"/>
      <c r="CC247" s="80"/>
      <c r="CD247" s="80"/>
      <c r="CE247" s="80"/>
      <c r="CF247" s="80"/>
      <c r="CG247" s="80"/>
      <c r="CH247" s="80"/>
      <c r="CI247" s="80"/>
      <c r="CJ247" s="80"/>
      <c r="CK247" s="2"/>
    </row>
    <row r="248" ht="14.25" customHeight="1">
      <c r="A248" s="85">
        <f>IFERROR(__xludf.DUMMYFUNCTION("""COMPUTED_VALUE"""),245.0)</f>
        <v>245</v>
      </c>
      <c r="B248" s="85"/>
      <c r="C248" s="85"/>
      <c r="D248" s="86"/>
      <c r="E248" s="88"/>
      <c r="F248" s="85"/>
      <c r="G248" s="86"/>
      <c r="H248" s="85"/>
      <c r="I248" s="85"/>
      <c r="J248" s="85"/>
      <c r="K248" s="85"/>
      <c r="L248" s="85"/>
      <c r="M248" s="85" t="str">
        <f>IFERROR(__xludf.DUMMYFUNCTION("""COMPUTED_VALUE"""),"ü")</f>
        <v>ü</v>
      </c>
      <c r="N248" s="85"/>
      <c r="O248" s="85"/>
      <c r="P248" s="85" t="str">
        <f>IFERROR(__xludf.DUMMYFUNCTION("""COMPUTED_VALUE"""),"53BSPA04923JBSYA")</f>
        <v>53BSPA04923JBSYA</v>
      </c>
      <c r="Q248" s="85" t="str">
        <f>IFERROR(__xludf.DUMMYFUNCTION("""COMPUTED_VALUE"""),"MUC TOTO JAYA")</f>
        <v>MUC TOTO JAYA</v>
      </c>
      <c r="R248" s="85" t="str">
        <f>IFERROR(__xludf.DUMMYFUNCTION("""COMPUTED_VALUE"""),"MUC TOTO JAYA")</f>
        <v>MUC TOTO JAYA</v>
      </c>
      <c r="S248" s="85" t="str">
        <f>IFERROR(__xludf.DUMMYFUNCTION("""COMPUTED_VALUE"""),"SYAIFUL ANWAR")</f>
        <v>SYAIFUL ANWAR</v>
      </c>
      <c r="T248" s="85" t="str">
        <f>IFERROR(__xludf.DUMMYFUNCTION("""COMPUTED_VALUE"""),"JL. KENARI I BLOK C NO 559, KEL. MARGAHAYU, KEC. BEKASI TIMUR, KOTA BEKASI  ")</f>
        <v>JL. KENARI I BLOK C NO 559, KEL. MARGAHAYU, KEC. BEKASI TIMUR, KOTA BEKASI  </v>
      </c>
      <c r="U248" s="85" t="str">
        <f>IFERROR(__xludf.DUMMYFUNCTION("""COMPUTED_VALUE"""),"Jl. Chairil Anwar, RT.003/RW.012 ")</f>
        <v>Jl. Chairil Anwar, RT.003/RW.012 </v>
      </c>
      <c r="V248" s="85"/>
      <c r="W248" s="85" t="str">
        <f>IFERROR(__xludf.DUMMYFUNCTION("""COMPUTED_VALUE"""),"MARGAHAYU")</f>
        <v>MARGAHAYU</v>
      </c>
      <c r="X248" s="85" t="str">
        <f>IFERROR(__xludf.DUMMYFUNCTION("""COMPUTED_VALUE"""),"BEKASI TIMUR")</f>
        <v>BEKASI TIMUR</v>
      </c>
      <c r="Y248" s="85" t="str">
        <f>IFERROR(__xludf.DUMMYFUNCTION("""COMPUTED_VALUE"""),"KOTA BEKASI")</f>
        <v>KOTA BEKASI</v>
      </c>
      <c r="Z248" s="85" t="str">
        <f>IFERROR(__xludf.DUMMYFUNCTION("""COMPUTED_VALUE"""),"JAWA BARAT")</f>
        <v>JAWA BARAT</v>
      </c>
      <c r="AA248" s="85" t="str">
        <f>IFERROR(__xludf.DUMMYFUNCTION("""COMPUTED_VALUE"""),"17113")</f>
        <v>17113</v>
      </c>
      <c r="AB248" s="85" t="str">
        <f>IFERROR(__xludf.DUMMYFUNCTION("""COMPUTED_VALUE"""),"3275021605810033")</f>
        <v>3275021605810033</v>
      </c>
      <c r="AC248" s="85" t="str">
        <f>IFERROR(__xludf.DUMMYFUNCTION("""COMPUTED_VALUE"""),"58.556.403.2-407.000")</f>
        <v>58.556.403.2-407.000</v>
      </c>
      <c r="AD248" s="85" t="str">
        <f>IFERROR(__xludf.DUMMYFUNCTION("""COMPUTED_VALUE"""),"CUM -  PS - AYS")</f>
        <v>CUM -  PS - AYS</v>
      </c>
      <c r="AE248" s="85" t="str">
        <f>IFERROR(__xludf.DUMMYFUNCTION("""COMPUTED_VALUE"""),"SUB YUNUS POS")</f>
        <v>SUB YUNUS POS</v>
      </c>
      <c r="AF248" s="85" t="str">
        <f>IFERROR(__xludf.DUMMYFUNCTION("""COMPUTED_VALUE"""),"081311219596")</f>
        <v>081311219596</v>
      </c>
      <c r="AG248" s="85"/>
      <c r="AH248" s="85" t="str">
        <f>IFERROR(__xludf.DUMMYFUNCTION("""COMPUTED_VALUE"""),"totojaya30@gmail.com")</f>
        <v>totojaya30@gmail.com</v>
      </c>
      <c r="AI248" s="85" t="str">
        <f>IFERROR(__xludf.DUMMYFUNCTION("""COMPUTED_VALUE"""),"17113S3")</f>
        <v>17113S3</v>
      </c>
      <c r="AJ248" s="85" t="str">
        <f>IFERROR(__xludf.DUMMYFUNCTION("""COMPUTED_VALUE"""),"66a219303537482b220878e7")</f>
        <v>66a219303537482b220878e7</v>
      </c>
      <c r="AK248" s="85" t="str">
        <f>IFERROR(__xludf.DUMMYFUNCTION("""COMPUTED_VALUE"""),"dm17113s3")</f>
        <v>dm17113s3</v>
      </c>
      <c r="AL248" s="85" t="str">
        <f>IFERROR(__xludf.DUMMYFUNCTION("""COMPUTED_VALUE"""),"#17113Pos")</f>
        <v>#17113Pos</v>
      </c>
      <c r="AM248" s="85" t="str">
        <f>IFERROR(__xludf.DUMMYFUNCTION("""COMPUTED_VALUE"""),"KANTOR REGIONAL II JAKARTA 10004")</f>
        <v>KANTOR REGIONAL II JAKARTA 10004</v>
      </c>
      <c r="AN248" s="85" t="str">
        <f>IFERROR(__xludf.DUMMYFUNCTION("""COMPUTED_VALUE"""),"KCU BEKASI 17000")</f>
        <v>KCU BEKASI 17000</v>
      </c>
      <c r="AO248" s="85" t="str">
        <f>IFERROR(__xludf.DUMMYFUNCTION("""COMPUTED_VALUE"""),"2207240105808")</f>
        <v>2207240105808</v>
      </c>
      <c r="AP248" s="85" t="str">
        <f>IFERROR(__xludf.DUMMYFUNCTION("""COMPUTED_VALUE"""),"22072401058080001")</f>
        <v>22072401058080001</v>
      </c>
      <c r="AQ248" s="93"/>
      <c r="AR248" s="85"/>
      <c r="AS248" s="85"/>
      <c r="AT248" s="85" t="str">
        <f>IFERROR(__xludf.DUMMYFUNCTION("""COMPUTED_VALUE"""),"-6.25891")</f>
        <v>-6.25891</v>
      </c>
      <c r="AU248" s="85" t="str">
        <f>IFERROR(__xludf.DUMMYFUNCTION("""COMPUTED_VALUE"""),"107.01456")</f>
        <v>107.01456</v>
      </c>
      <c r="AV248" s="85"/>
      <c r="AW248" s="85"/>
      <c r="AX248" s="85"/>
      <c r="AY248" s="85"/>
      <c r="AZ248" s="85"/>
      <c r="BA248" s="85"/>
      <c r="BB248" s="85"/>
      <c r="BC248" s="85"/>
      <c r="BD248" s="85"/>
      <c r="BE248" s="85"/>
      <c r="BF248" s="85"/>
      <c r="BG248" s="85"/>
      <c r="BH248" s="85"/>
      <c r="BI248" s="85"/>
      <c r="BJ248" s="85"/>
      <c r="BK248" s="85"/>
      <c r="BL248" s="85"/>
      <c r="BM248" s="85"/>
      <c r="BN248" s="85"/>
      <c r="BO248" s="85"/>
      <c r="BP248" s="85"/>
      <c r="BQ248" s="85"/>
      <c r="BR248" s="85"/>
      <c r="BS248" s="85"/>
      <c r="BT248" s="85"/>
      <c r="BU248" s="85"/>
      <c r="BV248" s="85"/>
      <c r="BW248" s="85"/>
      <c r="BX248" s="85"/>
      <c r="BY248" s="85"/>
      <c r="BZ248" s="85"/>
      <c r="CA248" s="85"/>
      <c r="CB248" s="85"/>
      <c r="CC248" s="85"/>
      <c r="CD248" s="85"/>
      <c r="CE248" s="85"/>
      <c r="CF248" s="85"/>
      <c r="CG248" s="85"/>
      <c r="CH248" s="85"/>
      <c r="CI248" s="85"/>
      <c r="CJ248" s="85"/>
      <c r="CK248" s="2"/>
    </row>
    <row r="249" ht="14.25" customHeight="1">
      <c r="A249" s="80">
        <f>IFERROR(__xludf.DUMMYFUNCTION("""COMPUTED_VALUE"""),246.0)</f>
        <v>246</v>
      </c>
      <c r="B249" s="80"/>
      <c r="C249" s="80"/>
      <c r="D249" s="81"/>
      <c r="E249" s="82"/>
      <c r="F249" s="80"/>
      <c r="G249" s="81"/>
      <c r="H249" s="80"/>
      <c r="I249" s="80"/>
      <c r="J249" s="80"/>
      <c r="K249" s="80"/>
      <c r="L249" s="80"/>
      <c r="M249" s="80" t="str">
        <f>IFERROR(__xludf.DUMMYFUNCTION("""COMPUTED_VALUE"""),"ü")</f>
        <v>ü</v>
      </c>
      <c r="N249" s="80"/>
      <c r="O249" s="80"/>
      <c r="P249" s="80" t="str">
        <f>IFERROR(__xludf.DUMMYFUNCTION("""COMPUTED_VALUE"""),"53BSPA04924JBSMK")</f>
        <v>53BSPA04924JBSMK</v>
      </c>
      <c r="Q249" s="80" t="str">
        <f>IFERROR(__xludf.DUMMYFUNCTION("""COMPUTED_VALUE"""),"MUC SMK N 1 Cileungsi")</f>
        <v>MUC SMK N 1 Cileungsi</v>
      </c>
      <c r="R249" s="80" t="str">
        <f>IFERROR(__xludf.DUMMYFUNCTION("""COMPUTED_VALUE"""),"MUC SMK N 1 Cileungsi")</f>
        <v>MUC SMK N 1 Cileungsi</v>
      </c>
      <c r="S249" s="80" t="str">
        <f>IFERROR(__xludf.DUMMYFUNCTION("""COMPUTED_VALUE"""),"JUNAIDI ABDUL AZIS")</f>
        <v>JUNAIDI ABDUL AZIS</v>
      </c>
      <c r="T249" s="80" t="str">
        <f>IFERROR(__xludf.DUMMYFUNCTION("""COMPUTED_VALUE"""),"Dusun Watugaluh RT/RW 01/02 Desa Watugaluuh, Kec. Diwek Jombang")</f>
        <v>Dusun Watugaluh RT/RW 01/02 Desa Watugaluuh, Kec. Diwek Jombang</v>
      </c>
      <c r="U249" s="80" t="str">
        <f>IFERROR(__xludf.DUMMYFUNCTION("""COMPUTED_VALUE""")," Jl. Raya Narogong No.55")</f>
        <v> Jl. Raya Narogong No.55</v>
      </c>
      <c r="V249" s="80"/>
      <c r="W249" s="80" t="str">
        <f>IFERROR(__xludf.DUMMYFUNCTION("""COMPUTED_VALUE"""),"LIMUSNUNGGAL")</f>
        <v>LIMUSNUNGGAL</v>
      </c>
      <c r="X249" s="80" t="str">
        <f>IFERROR(__xludf.DUMMYFUNCTION("""COMPUTED_VALUE"""),"CILEUNGSI")</f>
        <v>CILEUNGSI</v>
      </c>
      <c r="Y249" s="80" t="str">
        <f>IFERROR(__xludf.DUMMYFUNCTION("""COMPUTED_VALUE"""),"BOGOR")</f>
        <v>BOGOR</v>
      </c>
      <c r="Z249" s="80" t="str">
        <f>IFERROR(__xludf.DUMMYFUNCTION("""COMPUTED_VALUE"""),"JAWA BARAT")</f>
        <v>JAWA BARAT</v>
      </c>
      <c r="AA249" s="80" t="str">
        <f>IFERROR(__xludf.DUMMYFUNCTION("""COMPUTED_VALUE"""),"16820")</f>
        <v>16820</v>
      </c>
      <c r="AB249" s="80" t="str">
        <f>IFERROR(__xludf.DUMMYFUNCTION("""COMPUTED_VALUE"""),"3517152712920003")</f>
        <v>3517152712920003</v>
      </c>
      <c r="AC249" s="80" t="str">
        <f>IFERROR(__xludf.DUMMYFUNCTION("""COMPUTED_VALUE"""),"93.168.810.5-649.000")</f>
        <v>93.168.810.5-649.000</v>
      </c>
      <c r="AD249" s="80" t="str">
        <f>IFERROR(__xludf.DUMMYFUNCTION("""COMPUTED_VALUE"""),"CUM - PS - ARPA")</f>
        <v>CUM - PS - ARPA</v>
      </c>
      <c r="AE249" s="80" t="str">
        <f>IFERROR(__xludf.DUMMYFUNCTION("""COMPUTED_VALUE"""),"SUB ARDI POS")</f>
        <v>SUB ARDI POS</v>
      </c>
      <c r="AF249" s="80" t="str">
        <f>IFERROR(__xludf.DUMMYFUNCTION("""COMPUTED_VALUE"""),"085655836609")</f>
        <v>085655836609</v>
      </c>
      <c r="AG249" s="80"/>
      <c r="AH249" s="80" t="str">
        <f>IFERROR(__xludf.DUMMYFUNCTION("""COMPUTED_VALUE"""),"abdulazisjunaidi@gmail.com")</f>
        <v>abdulazisjunaidi@gmail.com</v>
      </c>
      <c r="AI249" s="80" t="str">
        <f>IFERROR(__xludf.DUMMYFUNCTION("""COMPUTED_VALUE"""),"16829S4")</f>
        <v>16829S4</v>
      </c>
      <c r="AJ249" s="80" t="str">
        <f>IFERROR(__xludf.DUMMYFUNCTION("""COMPUTED_VALUE"""),"66b1eba2692d31da600aedf7")</f>
        <v>66b1eba2692d31da600aedf7</v>
      </c>
      <c r="AK249" s="80" t="str">
        <f>IFERROR(__xludf.DUMMYFUNCTION("""COMPUTED_VALUE"""),"dm16829s4")</f>
        <v>dm16829s4</v>
      </c>
      <c r="AL249" s="80" t="str">
        <f>IFERROR(__xludf.DUMMYFUNCTION("""COMPUTED_VALUE"""),"#16829Pos")</f>
        <v>#16829Pos</v>
      </c>
      <c r="AM249" s="80" t="str">
        <f>IFERROR(__xludf.DUMMYFUNCTION("""COMPUTED_VALUE"""),"KANTOR REGIONAL II JAKARTA 10004")</f>
        <v>KANTOR REGIONAL II JAKARTA 10004</v>
      </c>
      <c r="AN249" s="80" t="str">
        <f>IFERROR(__xludf.DUMMYFUNCTION("""COMPUTED_VALUE"""),"KC CIBINONG 16900")</f>
        <v>KC CIBINONG 16900</v>
      </c>
      <c r="AO249" s="80" t="str">
        <f>IFERROR(__xludf.DUMMYFUNCTION("""COMPUTED_VALUE"""),"1907240071133")</f>
        <v>1907240071133</v>
      </c>
      <c r="AP249" s="80" t="str">
        <f>IFERROR(__xludf.DUMMYFUNCTION("""COMPUTED_VALUE"""),"19072400711330001")</f>
        <v>19072400711330001</v>
      </c>
      <c r="AQ249" s="83"/>
      <c r="AR249" s="80"/>
      <c r="AS249" s="80"/>
      <c r="AT249" s="80" t="str">
        <f>IFERROR(__xludf.DUMMYFUNCTION("""COMPUTED_VALUE"""),"-6.403180")</f>
        <v>-6.403180</v>
      </c>
      <c r="AU249" s="80" t="str">
        <f>IFERROR(__xludf.DUMMYFUNCTION("""COMPUTED_VALUE"""),"106.967420")</f>
        <v>106.967420</v>
      </c>
      <c r="AV249" s="80"/>
      <c r="AW249" s="80"/>
      <c r="AX249" s="80"/>
      <c r="AY249" s="80"/>
      <c r="AZ249" s="80"/>
      <c r="BA249" s="80"/>
      <c r="BB249" s="80"/>
      <c r="BC249" s="80"/>
      <c r="BD249" s="80"/>
      <c r="BE249" s="80"/>
      <c r="BF249" s="80"/>
      <c r="BG249" s="80"/>
      <c r="BH249" s="80"/>
      <c r="BI249" s="80"/>
      <c r="BJ249" s="80"/>
      <c r="BK249" s="80"/>
      <c r="BL249" s="80"/>
      <c r="BM249" s="80"/>
      <c r="BN249" s="80"/>
      <c r="BO249" s="80"/>
      <c r="BP249" s="80"/>
      <c r="BQ249" s="80"/>
      <c r="BR249" s="80"/>
      <c r="BS249" s="80"/>
      <c r="BT249" s="80"/>
      <c r="BU249" s="80"/>
      <c r="BV249" s="80"/>
      <c r="BW249" s="80"/>
      <c r="BX249" s="80"/>
      <c r="BY249" s="80"/>
      <c r="BZ249" s="80"/>
      <c r="CA249" s="80"/>
      <c r="CB249" s="80"/>
      <c r="CC249" s="80"/>
      <c r="CD249" s="80"/>
      <c r="CE249" s="80"/>
      <c r="CF249" s="80"/>
      <c r="CG249" s="80"/>
      <c r="CH249" s="80"/>
      <c r="CI249" s="80"/>
      <c r="CJ249" s="80"/>
      <c r="CK249" s="2"/>
    </row>
    <row r="250" ht="14.25" customHeight="1">
      <c r="A250" s="85">
        <f>IFERROR(__xludf.DUMMYFUNCTION("""COMPUTED_VALUE"""),247.0)</f>
        <v>247</v>
      </c>
      <c r="B250" s="85"/>
      <c r="C250" s="85"/>
      <c r="D250" s="86"/>
      <c r="E250" s="88"/>
      <c r="F250" s="85"/>
      <c r="G250" s="86"/>
      <c r="H250" s="85"/>
      <c r="I250" s="85"/>
      <c r="J250" s="85"/>
      <c r="K250" s="85"/>
      <c r="L250" s="85"/>
      <c r="M250" s="85" t="str">
        <f>IFERROR(__xludf.DUMMYFUNCTION("""COMPUTED_VALUE"""),"ü")</f>
        <v>ü</v>
      </c>
      <c r="N250" s="85"/>
      <c r="O250" s="85"/>
      <c r="P250" s="85" t="str">
        <f>IFERROR(__xludf.DUMMYFUNCTION("""COMPUTED_VALUE"""),"53BSPA04925JBTMJ")</f>
        <v>53BSPA04925JBTMJ</v>
      </c>
      <c r="Q250" s="85" t="str">
        <f>IFERROR(__xludf.DUMMYFUNCTION("""COMPUTED_VALUE"""),"MUC TOKO MERLIN JAYA")</f>
        <v>MUC TOKO MERLIN JAYA</v>
      </c>
      <c r="R250" s="85" t="str">
        <f>IFERROR(__xludf.DUMMYFUNCTION("""COMPUTED_VALUE"""),"MUC TOKO MERLIN JAYA")</f>
        <v>MUC TOKO MERLIN JAYA</v>
      </c>
      <c r="S250" s="85" t="str">
        <f>IFERROR(__xludf.DUMMYFUNCTION("""COMPUTED_VALUE"""),"Endang Merlina Fatmawati Simarmata")</f>
        <v>Endang Merlina Fatmawati Simarmata</v>
      </c>
      <c r="T250" s="85" t="str">
        <f>IFERROR(__xludf.DUMMYFUNCTION("""COMPUTED_VALUE""")," Jln Pameuntasan Saneke")</f>
        <v> Jln Pameuntasan Saneke</v>
      </c>
      <c r="U250" s="85" t="str">
        <f>IFERROR(__xludf.DUMMYFUNCTION("""COMPUTED_VALUE""")," Jln Pameuntasan Saneke")</f>
        <v> Jln Pameuntasan Saneke</v>
      </c>
      <c r="V250" s="85"/>
      <c r="W250" s="85" t="str">
        <f>IFERROR(__xludf.DUMMYFUNCTION("""COMPUTED_VALUE"""),"KUTAWARINGIN")</f>
        <v>KUTAWARINGIN</v>
      </c>
      <c r="X250" s="85" t="str">
        <f>IFERROR(__xludf.DUMMYFUNCTION("""COMPUTED_VALUE"""),"KUTAWARINGIN")</f>
        <v>KUTAWARINGIN</v>
      </c>
      <c r="Y250" s="85" t="str">
        <f>IFERROR(__xludf.DUMMYFUNCTION("""COMPUTED_VALUE"""),"KAB. BANDUNG")</f>
        <v>KAB. BANDUNG</v>
      </c>
      <c r="Z250" s="85" t="str">
        <f>IFERROR(__xludf.DUMMYFUNCTION("""COMPUTED_VALUE"""),"JAWA BARAT")</f>
        <v>JAWA BARAT</v>
      </c>
      <c r="AA250" s="85" t="str">
        <f>IFERROR(__xludf.DUMMYFUNCTION("""COMPUTED_VALUE"""),"40218")</f>
        <v>40218</v>
      </c>
      <c r="AB250" s="85" t="str">
        <f>IFERROR(__xludf.DUMMYFUNCTION("""COMPUTED_VALUE"""),"3204115509000001")</f>
        <v>3204115509000001</v>
      </c>
      <c r="AC250" s="85" t="str">
        <f>IFERROR(__xludf.DUMMYFUNCTION("""COMPUTED_VALUE"""),"62.636.304.8-445.000")</f>
        <v>62.636.304.8-445.000</v>
      </c>
      <c r="AD250" s="85" t="str">
        <f>IFERROR(__xludf.DUMMYFUNCTION("""COMPUTED_VALUE"""),"CUM - PS - RSS")</f>
        <v>CUM - PS - RSS</v>
      </c>
      <c r="AE250" s="85" t="str">
        <f>IFERROR(__xludf.DUMMYFUNCTION("""COMPUTED_VALUE"""),"SUB RONY POS")</f>
        <v>SUB RONY POS</v>
      </c>
      <c r="AF250" s="85" t="str">
        <f>IFERROR(__xludf.DUMMYFUNCTION("""COMPUTED_VALUE"""),"085795228670")</f>
        <v>085795228670</v>
      </c>
      <c r="AG250" s="85"/>
      <c r="AH250" s="85" t="str">
        <f>IFERROR(__xludf.DUMMYFUNCTION("""COMPUTED_VALUE"""),"merlinfs15@gmail.com")</f>
        <v>merlinfs15@gmail.com</v>
      </c>
      <c r="AI250" s="85" t="str">
        <f>IFERROR(__xludf.DUMMYFUNCTION("""COMPUTED_VALUE"""),"40356S1")</f>
        <v>40356S1</v>
      </c>
      <c r="AJ250" s="85" t="str">
        <f>IFERROR(__xludf.DUMMYFUNCTION("""COMPUTED_VALUE"""),"66a700b5836242f5b204f849")</f>
        <v>66a700b5836242f5b204f849</v>
      </c>
      <c r="AK250" s="85" t="str">
        <f>IFERROR(__xludf.DUMMYFUNCTION("""COMPUTED_VALUE"""),"dm40356s1")</f>
        <v>dm40356s1</v>
      </c>
      <c r="AL250" s="85" t="str">
        <f>IFERROR(__xludf.DUMMYFUNCTION("""COMPUTED_VALUE"""),"#40356Pos")</f>
        <v>#40356Pos</v>
      </c>
      <c r="AM250" s="85" t="str">
        <f>IFERROR(__xludf.DUMMYFUNCTION("""COMPUTED_VALUE"""),"KANTOR REGIONAL III BANDUNG 40004")</f>
        <v>KANTOR REGIONAL III BANDUNG 40004</v>
      </c>
      <c r="AN250" s="85" t="str">
        <f>IFERROR(__xludf.DUMMYFUNCTION("""COMPUTED_VALUE"""),"KC SOREANG 40900")</f>
        <v>KC SOREANG 40900</v>
      </c>
      <c r="AO250" s="85" t="str">
        <f>IFERROR(__xludf.DUMMYFUNCTION("""COMPUTED_VALUE"""),"2307240051473")</f>
        <v>2307240051473</v>
      </c>
      <c r="AP250" s="85" t="str">
        <f>IFERROR(__xludf.DUMMYFUNCTION("""COMPUTED_VALUE"""),"23072400514730001")</f>
        <v>23072400514730001</v>
      </c>
      <c r="AQ250" s="93"/>
      <c r="AR250" s="85"/>
      <c r="AS250" s="85"/>
      <c r="AT250" s="85" t="str">
        <f>IFERROR(__xludf.DUMMYFUNCTION("""COMPUTED_VALUE"""),"-6.97752")</f>
        <v>-6.97752</v>
      </c>
      <c r="AU250" s="85" t="str">
        <f>IFERROR(__xludf.DUMMYFUNCTION("""COMPUTED_VALUE"""),"107.54928")</f>
        <v>107.54928</v>
      </c>
      <c r="AV250" s="85"/>
      <c r="AW250" s="85"/>
      <c r="AX250" s="85"/>
      <c r="AY250" s="85"/>
      <c r="AZ250" s="85"/>
      <c r="BA250" s="85"/>
      <c r="BB250" s="85"/>
      <c r="BC250" s="85"/>
      <c r="BD250" s="85"/>
      <c r="BE250" s="85"/>
      <c r="BF250" s="85"/>
      <c r="BG250" s="85"/>
      <c r="BH250" s="85"/>
      <c r="BI250" s="85"/>
      <c r="BJ250" s="85"/>
      <c r="BK250" s="85"/>
      <c r="BL250" s="85"/>
      <c r="BM250" s="85"/>
      <c r="BN250" s="85"/>
      <c r="BO250" s="85"/>
      <c r="BP250" s="85"/>
      <c r="BQ250" s="85"/>
      <c r="BR250" s="85"/>
      <c r="BS250" s="85"/>
      <c r="BT250" s="85"/>
      <c r="BU250" s="85"/>
      <c r="BV250" s="85"/>
      <c r="BW250" s="85"/>
      <c r="BX250" s="85"/>
      <c r="BY250" s="85"/>
      <c r="BZ250" s="85"/>
      <c r="CA250" s="85"/>
      <c r="CB250" s="85"/>
      <c r="CC250" s="85"/>
      <c r="CD250" s="85"/>
      <c r="CE250" s="85"/>
      <c r="CF250" s="85"/>
      <c r="CG250" s="85"/>
      <c r="CH250" s="85"/>
      <c r="CI250" s="85"/>
      <c r="CJ250" s="85"/>
      <c r="CK250" s="2"/>
    </row>
    <row r="251" ht="14.25" customHeight="1">
      <c r="A251" s="80">
        <f>IFERROR(__xludf.DUMMYFUNCTION("""COMPUTED_VALUE"""),248.0)</f>
        <v>248</v>
      </c>
      <c r="B251" s="80"/>
      <c r="C251" s="80"/>
      <c r="D251" s="81"/>
      <c r="E251" s="82"/>
      <c r="F251" s="80"/>
      <c r="G251" s="81"/>
      <c r="H251" s="80"/>
      <c r="I251" s="80"/>
      <c r="J251" s="80"/>
      <c r="K251" s="80"/>
      <c r="L251" s="80"/>
      <c r="M251" s="80" t="str">
        <f>IFERROR(__xludf.DUMMYFUNCTION("""COMPUTED_VALUE"""),"ü")</f>
        <v>ü</v>
      </c>
      <c r="N251" s="80"/>
      <c r="O251" s="80"/>
      <c r="P251" s="80" t="str">
        <f>IFERROR(__xludf.DUMMYFUNCTION("""COMPUTED_VALUE"""),"53BSPA04926JBKOS")</f>
        <v>53BSPA04926JBKOS</v>
      </c>
      <c r="Q251" s="80" t="str">
        <f>IFERROR(__xludf.DUMMYFUNCTION("""COMPUTED_VALUE"""),"MUC KOSAMBI BARU")</f>
        <v>MUC KOSAMBI BARU</v>
      </c>
      <c r="R251" s="80" t="str">
        <f>IFERROR(__xludf.DUMMYFUNCTION("""COMPUTED_VALUE"""),"MUC KOSAMBI BARU")</f>
        <v>MUC KOSAMBI BARU</v>
      </c>
      <c r="S251" s="80" t="str">
        <f>IFERROR(__xludf.DUMMYFUNCTION("""COMPUTED_VALUE"""),"Dessy Sucihadi Sulistyan")</f>
        <v>Dessy Sucihadi Sulistyan</v>
      </c>
      <c r="T251" s="80" t="str">
        <f>IFERROR(__xludf.DUMMYFUNCTION("""COMPUTED_VALUE"""),"JL. RASAMALA PERMAI IV BLOK H4 NO.6 RT.004 RW.009 KEL. DURI KOSAMBI KEC. CENGKARENG")</f>
        <v>JL. RASAMALA PERMAI IV BLOK H4 NO.6 RT.004 RW.009 KEL. DURI KOSAMBI KEC. CENGKARENG</v>
      </c>
      <c r="U251" s="80" t="str">
        <f>IFERROR(__xludf.DUMMYFUNCTION("""COMPUTED_VALUE"""),"Ruko Kosambi Baru Blok A Ext 1 / 10, Jl. Palem Raja Timur")</f>
        <v>Ruko Kosambi Baru Blok A Ext 1 / 10, Jl. Palem Raja Timur</v>
      </c>
      <c r="V251" s="80"/>
      <c r="W251" s="80" t="str">
        <f>IFERROR(__xludf.DUMMYFUNCTION("""COMPUTED_VALUE"""),"DURI KOSAMBI")</f>
        <v>DURI KOSAMBI</v>
      </c>
      <c r="X251" s="80" t="str">
        <f>IFERROR(__xludf.DUMMYFUNCTION("""COMPUTED_VALUE"""),"CENGKARENG")</f>
        <v>CENGKARENG</v>
      </c>
      <c r="Y251" s="80" t="str">
        <f>IFERROR(__xludf.DUMMYFUNCTION("""COMPUTED_VALUE"""),"JAKARTA BARAT")</f>
        <v>JAKARTA BARAT</v>
      </c>
      <c r="Z251" s="80" t="str">
        <f>IFERROR(__xludf.DUMMYFUNCTION("""COMPUTED_VALUE"""),"DKI JAKARTA")</f>
        <v>DKI JAKARTA</v>
      </c>
      <c r="AA251" s="80" t="str">
        <f>IFERROR(__xludf.DUMMYFUNCTION("""COMPUTED_VALUE"""),"11750")</f>
        <v>11750</v>
      </c>
      <c r="AB251" s="80" t="str">
        <f>IFERROR(__xludf.DUMMYFUNCTION("""COMPUTED_VALUE"""),"3173025001810007")</f>
        <v>3173025001810007</v>
      </c>
      <c r="AC251" s="80" t="str">
        <f>IFERROR(__xludf.DUMMYFUNCTION("""COMPUTED_VALUE"""),"58.440.630.0-034.000")</f>
        <v>58.440.630.0-034.000</v>
      </c>
      <c r="AD251" s="80" t="str">
        <f>IFERROR(__xludf.DUMMYFUNCTION("""COMPUTED_VALUE"""),"CUM - PS - SUSU")</f>
        <v>CUM - PS - SUSU</v>
      </c>
      <c r="AE251" s="80" t="str">
        <f>IFERROR(__xludf.DUMMYFUNCTION("""COMPUTED_VALUE"""),"SUB SUGENG POS")</f>
        <v>SUB SUGENG POS</v>
      </c>
      <c r="AF251" s="80" t="str">
        <f>IFERROR(__xludf.DUMMYFUNCTION("""COMPUTED_VALUE"""),"085287460396")</f>
        <v>085287460396</v>
      </c>
      <c r="AG251" s="80"/>
      <c r="AH251" s="80" t="str">
        <f>IFERROR(__xludf.DUMMYFUNCTION("""COMPUTED_VALUE"""),"th3sea@yahoo.co.id")</f>
        <v>th3sea@yahoo.co.id</v>
      </c>
      <c r="AI251" s="80" t="str">
        <f>IFERROR(__xludf.DUMMYFUNCTION("""COMPUTED_VALUE"""),"11750S3")</f>
        <v>11750S3</v>
      </c>
      <c r="AJ251" s="80" t="str">
        <f>IFERROR(__xludf.DUMMYFUNCTION("""COMPUTED_VALUE"""),"66a892f10d8075faac0e57df")</f>
        <v>66a892f10d8075faac0e57df</v>
      </c>
      <c r="AK251" s="80" t="str">
        <f>IFERROR(__xludf.DUMMYFUNCTION("""COMPUTED_VALUE"""),"dm11750s3")</f>
        <v>dm11750s3</v>
      </c>
      <c r="AL251" s="80" t="str">
        <f>IFERROR(__xludf.DUMMYFUNCTION("""COMPUTED_VALUE"""),"#11750Pos")</f>
        <v>#11750Pos</v>
      </c>
      <c r="AM251" s="80" t="str">
        <f>IFERROR(__xludf.DUMMYFUNCTION("""COMPUTED_VALUE"""),"KANTOR REGIONAL II JAKARTA 10004")</f>
        <v>KANTOR REGIONAL II JAKARTA 10004</v>
      </c>
      <c r="AN251" s="80" t="str">
        <f>IFERROR(__xludf.DUMMYFUNCTION("""COMPUTED_VALUE"""),"KCU OCEANIA 11000")</f>
        <v>KCU OCEANIA 11000</v>
      </c>
      <c r="AO251" s="80" t="str">
        <f>IFERROR(__xludf.DUMMYFUNCTION("""COMPUTED_VALUE"""),"2307240094686")</f>
        <v>2307240094686</v>
      </c>
      <c r="AP251" s="80" t="str">
        <f>IFERROR(__xludf.DUMMYFUNCTION("""COMPUTED_VALUE"""),"23072400946860001")</f>
        <v>23072400946860001</v>
      </c>
      <c r="AQ251" s="83"/>
      <c r="AR251" s="80"/>
      <c r="AS251" s="80"/>
      <c r="AT251" s="80" t="str">
        <f>IFERROR(__xludf.DUMMYFUNCTION("""COMPUTED_VALUE"""),"-6.17447")</f>
        <v>-6.17447</v>
      </c>
      <c r="AU251" s="80" t="str">
        <f>IFERROR(__xludf.DUMMYFUNCTION("""COMPUTED_VALUE"""),"106.71281")</f>
        <v>106.71281</v>
      </c>
      <c r="AV251" s="80"/>
      <c r="AW251" s="80"/>
      <c r="AX251" s="80"/>
      <c r="AY251" s="80"/>
      <c r="AZ251" s="80"/>
      <c r="BA251" s="80"/>
      <c r="BB251" s="80"/>
      <c r="BC251" s="80"/>
      <c r="BD251" s="80"/>
      <c r="BE251" s="80"/>
      <c r="BF251" s="80"/>
      <c r="BG251" s="80"/>
      <c r="BH251" s="80"/>
      <c r="BI251" s="80"/>
      <c r="BJ251" s="80"/>
      <c r="BK251" s="80"/>
      <c r="BL251" s="80"/>
      <c r="BM251" s="80"/>
      <c r="BN251" s="80"/>
      <c r="BO251" s="80"/>
      <c r="BP251" s="80"/>
      <c r="BQ251" s="80"/>
      <c r="BR251" s="80"/>
      <c r="BS251" s="80"/>
      <c r="BT251" s="80"/>
      <c r="BU251" s="80"/>
      <c r="BV251" s="80"/>
      <c r="BW251" s="80"/>
      <c r="BX251" s="80"/>
      <c r="BY251" s="80"/>
      <c r="BZ251" s="80"/>
      <c r="CA251" s="80"/>
      <c r="CB251" s="80"/>
      <c r="CC251" s="80"/>
      <c r="CD251" s="80"/>
      <c r="CE251" s="80"/>
      <c r="CF251" s="80"/>
      <c r="CG251" s="80"/>
      <c r="CH251" s="80"/>
      <c r="CI251" s="80"/>
      <c r="CJ251" s="80"/>
      <c r="CK251" s="2"/>
    </row>
    <row r="252" ht="12.75" customHeight="1">
      <c r="A252" s="85">
        <f>IFERROR(__xludf.DUMMYFUNCTION("""COMPUTED_VALUE"""),249.0)</f>
        <v>249</v>
      </c>
      <c r="B252" s="85"/>
      <c r="C252" s="85"/>
      <c r="D252" s="86"/>
      <c r="E252" s="88"/>
      <c r="F252" s="85"/>
      <c r="G252" s="86"/>
      <c r="H252" s="85"/>
      <c r="I252" s="85"/>
      <c r="J252" s="85"/>
      <c r="K252" s="85"/>
      <c r="L252" s="85"/>
      <c r="M252" s="85" t="str">
        <f>IFERROR(__xludf.DUMMYFUNCTION("""COMPUTED_VALUE"""),"ü")</f>
        <v>ü</v>
      </c>
      <c r="N252" s="85"/>
      <c r="O252" s="85"/>
      <c r="P252" s="85" t="str">
        <f>IFERROR(__xludf.DUMMYFUNCTION("""COMPUTED_VALUE"""),"53BSPA04927JBRNT")</f>
        <v>53BSPA04927JBRNT</v>
      </c>
      <c r="Q252" s="85" t="str">
        <f>IFERROR(__xludf.DUMMYFUNCTION("""COMPUTED_VALUE"""),"MUC RAFA NET")</f>
        <v>MUC RAFA NET</v>
      </c>
      <c r="R252" s="85" t="str">
        <f>IFERROR(__xludf.DUMMYFUNCTION("""COMPUTED_VALUE"""),"MUC RAFA NET")</f>
        <v>MUC RAFA NET</v>
      </c>
      <c r="S252" s="85" t="str">
        <f>IFERROR(__xludf.DUMMYFUNCTION("""COMPUTED_VALUE"""),"ELLY SALSABILA")</f>
        <v>ELLY SALSABILA</v>
      </c>
      <c r="T252" s="85" t="str">
        <f>IFERROR(__xludf.DUMMYFUNCTION("""COMPUTED_VALUE"""),"Cenggini RT 03/04 Desa Cenggini Kec Balapulang Kab Tegal Jawa Tengah")</f>
        <v>Cenggini RT 03/04 Desa Cenggini Kec Balapulang Kab Tegal Jawa Tengah</v>
      </c>
      <c r="U252" s="85" t="str">
        <f>IFERROR(__xludf.DUMMYFUNCTION("""COMPUTED_VALUE"""),"Desa Cenggini RT.03/04")</f>
        <v>Desa Cenggini RT.03/04</v>
      </c>
      <c r="V252" s="85"/>
      <c r="W252" s="85" t="str">
        <f>IFERROR(__xludf.DUMMYFUNCTION("""COMPUTED_VALUE"""),"CENGGINI")</f>
        <v>CENGGINI</v>
      </c>
      <c r="X252" s="85" t="str">
        <f>IFERROR(__xludf.DUMMYFUNCTION("""COMPUTED_VALUE"""),"BALAPULANG")</f>
        <v>BALAPULANG</v>
      </c>
      <c r="Y252" s="85" t="str">
        <f>IFERROR(__xludf.DUMMYFUNCTION("""COMPUTED_VALUE"""),"KAB. TEGAL")</f>
        <v>KAB. TEGAL</v>
      </c>
      <c r="Z252" s="85" t="str">
        <f>IFERROR(__xludf.DUMMYFUNCTION("""COMPUTED_VALUE"""),"JAWA TENGAH")</f>
        <v>JAWA TENGAH</v>
      </c>
      <c r="AA252" s="85" t="str">
        <f>IFERROR(__xludf.DUMMYFUNCTION("""COMPUTED_VALUE"""),"52464")</f>
        <v>52464</v>
      </c>
      <c r="AB252" s="85" t="str">
        <f>IFERROR(__xludf.DUMMYFUNCTION("""COMPUTED_VALUE"""),"3277934707670019")</f>
        <v>3277934707670019</v>
      </c>
      <c r="AC252" s="85" t="str">
        <f>IFERROR(__xludf.DUMMYFUNCTION("""COMPUTED_VALUE"""),"25.202.292.6-501.000")</f>
        <v>25.202.292.6-501.000</v>
      </c>
      <c r="AD252" s="85" t="str">
        <f>IFERROR(__xludf.DUMMYFUNCTION("""COMPUTED_VALUE"""),"CUM - PS - SYF")</f>
        <v>CUM - PS - SYF</v>
      </c>
      <c r="AE252" s="85" t="str">
        <f>IFERROR(__xludf.DUMMYFUNCTION("""COMPUTED_VALUE"""),"SUB SYAIFULLOH POS")</f>
        <v>SUB SYAIFULLOH POS</v>
      </c>
      <c r="AF252" s="85" t="str">
        <f>IFERROR(__xludf.DUMMYFUNCTION("""COMPUTED_VALUE"""),"0818219229")</f>
        <v>0818219229</v>
      </c>
      <c r="AG252" s="85"/>
      <c r="AH252" s="85" t="str">
        <f>IFERROR(__xludf.DUMMYFUNCTION("""COMPUTED_VALUE"""),"caeciliaelly67@gmail.com")</f>
        <v>caeciliaelly67@gmail.com</v>
      </c>
      <c r="AI252" s="85" t="str">
        <f>IFERROR(__xludf.DUMMYFUNCTION("""COMPUTED_VALUE"""),"52464S5")</f>
        <v>52464S5</v>
      </c>
      <c r="AJ252" s="85" t="str">
        <f>IFERROR(__xludf.DUMMYFUNCTION("""COMPUTED_VALUE"""),"66a86a2eae368c1a1307d700")</f>
        <v>66a86a2eae368c1a1307d700</v>
      </c>
      <c r="AK252" s="85" t="str">
        <f>IFERROR(__xludf.DUMMYFUNCTION("""COMPUTED_VALUE"""),"dm52464s5")</f>
        <v>dm52464s5</v>
      </c>
      <c r="AL252" s="85" t="str">
        <f>IFERROR(__xludf.DUMMYFUNCTION("""COMPUTED_VALUE"""),"#52464Pos")</f>
        <v>#52464Pos</v>
      </c>
      <c r="AM252" s="85" t="str">
        <f>IFERROR(__xludf.DUMMYFUNCTION("""COMPUTED_VALUE"""),"KANTOR REGIONAL IV SEMARANG 50004")</f>
        <v>KANTOR REGIONAL IV SEMARANG 50004</v>
      </c>
      <c r="AN252" s="85" t="str">
        <f>IFERROR(__xludf.DUMMYFUNCTION("""COMPUTED_VALUE"""),"KC TEGAL 52100")</f>
        <v>KC TEGAL 52100</v>
      </c>
      <c r="AO252" s="85" t="str">
        <f>IFERROR(__xludf.DUMMYFUNCTION("""COMPUTED_VALUE"""),"0509220039165")</f>
        <v>0509220039165</v>
      </c>
      <c r="AP252" s="85" t="str">
        <f>IFERROR(__xludf.DUMMYFUNCTION("""COMPUTED_VALUE"""),"05092200391650001")</f>
        <v>05092200391650001</v>
      </c>
      <c r="AQ252" s="93"/>
      <c r="AR252" s="85"/>
      <c r="AS252" s="85"/>
      <c r="AT252" s="85" t="str">
        <f>IFERROR(__xludf.DUMMYFUNCTION("""COMPUTED_VALUE"""),"-7.100322")</f>
        <v>-7.100322</v>
      </c>
      <c r="AU252" s="85" t="str">
        <f>IFERROR(__xludf.DUMMYFUNCTION("""COMPUTED_VALUE"""),"109.07502")</f>
        <v>109.07502</v>
      </c>
      <c r="AV252" s="85"/>
      <c r="AW252" s="85"/>
      <c r="AX252" s="85"/>
      <c r="AY252" s="85"/>
      <c r="AZ252" s="85"/>
      <c r="BA252" s="85"/>
      <c r="BB252" s="85"/>
      <c r="BC252" s="85"/>
      <c r="BD252" s="85"/>
      <c r="BE252" s="85"/>
      <c r="BF252" s="85"/>
      <c r="BG252" s="85"/>
      <c r="BH252" s="85"/>
      <c r="BI252" s="85"/>
      <c r="BJ252" s="85"/>
      <c r="BK252" s="85"/>
      <c r="BL252" s="85"/>
      <c r="BM252" s="85"/>
      <c r="BN252" s="85"/>
      <c r="BO252" s="85"/>
      <c r="BP252" s="85"/>
      <c r="BQ252" s="85"/>
      <c r="BR252" s="85"/>
      <c r="BS252" s="85"/>
      <c r="BT252" s="85"/>
      <c r="BU252" s="85"/>
      <c r="BV252" s="85"/>
      <c r="BW252" s="85"/>
      <c r="BX252" s="85"/>
      <c r="BY252" s="85"/>
      <c r="BZ252" s="85"/>
      <c r="CA252" s="85"/>
      <c r="CB252" s="85"/>
      <c r="CC252" s="85"/>
      <c r="CD252" s="85"/>
      <c r="CE252" s="85"/>
      <c r="CF252" s="85"/>
      <c r="CG252" s="85"/>
      <c r="CH252" s="85"/>
      <c r="CI252" s="85"/>
      <c r="CJ252" s="85"/>
      <c r="CK252" s="2"/>
    </row>
    <row r="253" ht="14.25" customHeight="1">
      <c r="A253" s="80">
        <f>IFERROR(__xludf.DUMMYFUNCTION("""COMPUTED_VALUE"""),250.0)</f>
        <v>250</v>
      </c>
      <c r="B253" s="80"/>
      <c r="C253" s="80"/>
      <c r="D253" s="81"/>
      <c r="E253" s="82"/>
      <c r="F253" s="80"/>
      <c r="G253" s="81"/>
      <c r="H253" s="80"/>
      <c r="I253" s="80"/>
      <c r="J253" s="80"/>
      <c r="K253" s="80"/>
      <c r="L253" s="80"/>
      <c r="M253" s="80" t="str">
        <f>IFERROR(__xludf.DUMMYFUNCTION("""COMPUTED_VALUE"""),"ü")</f>
        <v>ü</v>
      </c>
      <c r="N253" s="80"/>
      <c r="O253" s="80"/>
      <c r="P253" s="80" t="str">
        <f>IFERROR(__xludf.DUMMYFUNCTION("""COMPUTED_VALUE"""),"53BSPA04928JBNFH")</f>
        <v>53BSPA04928JBNFH</v>
      </c>
      <c r="Q253" s="80" t="str">
        <f>IFERROR(__xludf.DUMMYFUNCTION("""COMPUTED_VALUE"""),"MUC NAFTIFAH")</f>
        <v>MUC NAFTIFAH</v>
      </c>
      <c r="R253" s="80" t="str">
        <f>IFERROR(__xludf.DUMMYFUNCTION("""COMPUTED_VALUE"""),"MUC NAFTIFAH")</f>
        <v>MUC NAFTIFAH</v>
      </c>
      <c r="S253" s="80" t="str">
        <f>IFERROR(__xludf.DUMMYFUNCTION("""COMPUTED_VALUE"""),"Achmad Sanudin Affandi")</f>
        <v>Achmad Sanudin Affandi</v>
      </c>
      <c r="T253" s="80" t="str">
        <f>IFERROR(__xludf.DUMMYFUNCTION("""COMPUTED_VALUE"""),"Blok Resmi RT. 15 RW. 04")</f>
        <v>Blok Resmi RT. 15 RW. 04</v>
      </c>
      <c r="U253" s="80" t="str">
        <f>IFERROR(__xludf.DUMMYFUNCTION("""COMPUTED_VALUE"""),"Blok Resmi RT. 15 RW. 04")</f>
        <v>Blok Resmi RT. 15 RW. 04</v>
      </c>
      <c r="V253" s="80"/>
      <c r="W253" s="80" t="str">
        <f>IFERROR(__xludf.DUMMYFUNCTION("""COMPUTED_VALUE"""),"KALIRAHAYU")</f>
        <v>KALIRAHAYU</v>
      </c>
      <c r="X253" s="80" t="str">
        <f>IFERROR(__xludf.DUMMYFUNCTION("""COMPUTED_VALUE"""),"LOSARI")</f>
        <v>LOSARI</v>
      </c>
      <c r="Y253" s="80" t="str">
        <f>IFERROR(__xludf.DUMMYFUNCTION("""COMPUTED_VALUE"""),"CIREBON")</f>
        <v>CIREBON</v>
      </c>
      <c r="Z253" s="80" t="str">
        <f>IFERROR(__xludf.DUMMYFUNCTION("""COMPUTED_VALUE"""),"JAWA BARAT")</f>
        <v>JAWA BARAT</v>
      </c>
      <c r="AA253" s="80" t="str">
        <f>IFERROR(__xludf.DUMMYFUNCTION("""COMPUTED_VALUE"""),"45192")</f>
        <v>45192</v>
      </c>
      <c r="AB253" s="80" t="str">
        <f>IFERROR(__xludf.DUMMYFUNCTION("""COMPUTED_VALUE"""),"3201131710900009")</f>
        <v>3201131710900009</v>
      </c>
      <c r="AC253" s="80" t="str">
        <f>IFERROR(__xludf.DUMMYFUNCTION("""COMPUTED_VALUE"""),"71.412.148.0.403.000")</f>
        <v>71.412.148.0.403.000</v>
      </c>
      <c r="AD253" s="80" t="str">
        <f>IFERROR(__xludf.DUMMYFUNCTION("""COMPUTED_VALUE"""),"CUM - PS - NUR")</f>
        <v>CUM - PS - NUR</v>
      </c>
      <c r="AE253" s="80" t="str">
        <f>IFERROR(__xludf.DUMMYFUNCTION("""COMPUTED_VALUE"""),"SUB NUR POS")</f>
        <v>SUB NUR POS</v>
      </c>
      <c r="AF253" s="80" t="str">
        <f>IFERROR(__xludf.DUMMYFUNCTION("""COMPUTED_VALUE"""),"082111134934")</f>
        <v>082111134934</v>
      </c>
      <c r="AG253" s="80"/>
      <c r="AH253" s="80" t="str">
        <f>IFERROR(__xludf.DUMMYFUNCTION("""COMPUTED_VALUE"""),"achsanaffandi17@gmail.com")</f>
        <v>achsanaffandi17@gmail.com</v>
      </c>
      <c r="AI253" s="80" t="str">
        <f>IFERROR(__xludf.DUMMYFUNCTION("""COMPUTED_VALUE"""),"45692S2")</f>
        <v>45692S2</v>
      </c>
      <c r="AJ253" s="80" t="str">
        <f>IFERROR(__xludf.DUMMYFUNCTION("""COMPUTED_VALUE"""),"66b2e0467e0b8272ba009983")</f>
        <v>66b2e0467e0b8272ba009983</v>
      </c>
      <c r="AK253" s="80" t="str">
        <f>IFERROR(__xludf.DUMMYFUNCTION("""COMPUTED_VALUE"""),"dm45692s2")</f>
        <v>dm45692s2</v>
      </c>
      <c r="AL253" s="80" t="str">
        <f>IFERROR(__xludf.DUMMYFUNCTION("""COMPUTED_VALUE"""),"#45692Pos")</f>
        <v>#45692Pos</v>
      </c>
      <c r="AM253" s="80" t="str">
        <f>IFERROR(__xludf.DUMMYFUNCTION("""COMPUTED_VALUE"""),"KANTOR REGIONAL III BANDUNG 40004")</f>
        <v>KANTOR REGIONAL III BANDUNG 40004</v>
      </c>
      <c r="AN253" s="80" t="str">
        <f>IFERROR(__xludf.DUMMYFUNCTION("""COMPUTED_VALUE"""),"KCU CIREBON 45100")</f>
        <v>KCU CIREBON 45100</v>
      </c>
      <c r="AO253" s="80" t="str">
        <f>IFERROR(__xludf.DUMMYFUNCTION("""COMPUTED_VALUE"""),"2407240035713")</f>
        <v>2407240035713</v>
      </c>
      <c r="AP253" s="80" t="str">
        <f>IFERROR(__xludf.DUMMYFUNCTION("""COMPUTED_VALUE"""),"24072400357130001")</f>
        <v>24072400357130001</v>
      </c>
      <c r="AQ253" s="83"/>
      <c r="AR253" s="80"/>
      <c r="AS253" s="80"/>
      <c r="AT253" s="80" t="str">
        <f>IFERROR(__xludf.DUMMYFUNCTION("""COMPUTED_VALUE"""),"-6.828203")</f>
        <v>-6.828203</v>
      </c>
      <c r="AU253" s="80" t="str">
        <f>IFERROR(__xludf.DUMMYFUNCTION("""COMPUTED_VALUE"""),"108.818862")</f>
        <v>108.818862</v>
      </c>
      <c r="AV253" s="80"/>
      <c r="AW253" s="80"/>
      <c r="AX253" s="80"/>
      <c r="AY253" s="80"/>
      <c r="AZ253" s="80"/>
      <c r="BA253" s="80"/>
      <c r="BB253" s="80"/>
      <c r="BC253" s="80"/>
      <c r="BD253" s="80"/>
      <c r="BE253" s="80"/>
      <c r="BF253" s="80"/>
      <c r="BG253" s="80"/>
      <c r="BH253" s="80"/>
      <c r="BI253" s="80"/>
      <c r="BJ253" s="80"/>
      <c r="BK253" s="80"/>
      <c r="BL253" s="80"/>
      <c r="BM253" s="80"/>
      <c r="BN253" s="80"/>
      <c r="BO253" s="80"/>
      <c r="BP253" s="80"/>
      <c r="BQ253" s="80"/>
      <c r="BR253" s="80"/>
      <c r="BS253" s="80"/>
      <c r="BT253" s="80"/>
      <c r="BU253" s="80"/>
      <c r="BV253" s="80"/>
      <c r="BW253" s="80"/>
      <c r="BX253" s="80"/>
      <c r="BY253" s="80"/>
      <c r="BZ253" s="80"/>
      <c r="CA253" s="80"/>
      <c r="CB253" s="80"/>
      <c r="CC253" s="80"/>
      <c r="CD253" s="80"/>
      <c r="CE253" s="80"/>
      <c r="CF253" s="80"/>
      <c r="CG253" s="80"/>
      <c r="CH253" s="80"/>
      <c r="CI253" s="80"/>
      <c r="CJ253" s="80"/>
      <c r="CK253" s="2"/>
    </row>
    <row r="254" ht="14.25" customHeight="1">
      <c r="A254" s="85">
        <f>IFERROR(__xludf.DUMMYFUNCTION("""COMPUTED_VALUE"""),251.0)</f>
        <v>251</v>
      </c>
      <c r="B254" s="85"/>
      <c r="C254" s="85"/>
      <c r="D254" s="86"/>
      <c r="E254" s="88"/>
      <c r="F254" s="85"/>
      <c r="G254" s="86"/>
      <c r="H254" s="85"/>
      <c r="I254" s="85"/>
      <c r="J254" s="85"/>
      <c r="K254" s="85"/>
      <c r="L254" s="85"/>
      <c r="M254" s="85" t="str">
        <f>IFERROR(__xludf.DUMMYFUNCTION("""COMPUTED_VALUE"""),"ü")</f>
        <v>ü</v>
      </c>
      <c r="N254" s="85"/>
      <c r="O254" s="85"/>
      <c r="P254" s="85" t="str">
        <f>IFERROR(__xludf.DUMMYFUNCTION("""COMPUTED_VALUE"""),"53BSPA04930JBDIS")</f>
        <v>53BSPA04930JBDIS</v>
      </c>
      <c r="Q254" s="85" t="str">
        <f>IFERROR(__xludf.DUMMYFUNCTION("""COMPUTED_VALUE"""),"MUC DIISA")</f>
        <v>MUC DIISA</v>
      </c>
      <c r="R254" s="85" t="str">
        <f>IFERROR(__xludf.DUMMYFUNCTION("""COMPUTED_VALUE"""),"MUC DIISA")</f>
        <v>MUC DIISA</v>
      </c>
      <c r="S254" s="85" t="str">
        <f>IFERROR(__xludf.DUMMYFUNCTION("""COMPUTED_VALUE"""),"RAIHAN DEVITO ALKAUSAR")</f>
        <v>RAIHAN DEVITO ALKAUSAR</v>
      </c>
      <c r="T254" s="85" t="str">
        <f>IFERROR(__xludf.DUMMYFUNCTION("""COMPUTED_VALUE"""),"jln Veteran Gg H.UKAR RT 05/03 no 30")</f>
        <v>jln Veteran Gg H.UKAR RT 05/03 no 30</v>
      </c>
      <c r="U254" s="85" t="str">
        <f>IFERROR(__xludf.DUMMYFUNCTION("""COMPUTED_VALUE""")," jln Veteran Gg letda buchory RT 03/02")</f>
        <v> jln Veteran Gg letda buchory RT 03/02</v>
      </c>
      <c r="V254" s="85"/>
      <c r="W254" s="85" t="str">
        <f>IFERROR(__xludf.DUMMYFUNCTION("""COMPUTED_VALUE"""),"MARGA JAYA")</f>
        <v>MARGA JAYA</v>
      </c>
      <c r="X254" s="85" t="str">
        <f>IFERROR(__xludf.DUMMYFUNCTION("""COMPUTED_VALUE"""),"BEKASI SELATAN")</f>
        <v>BEKASI SELATAN</v>
      </c>
      <c r="Y254" s="85" t="str">
        <f>IFERROR(__xludf.DUMMYFUNCTION("""COMPUTED_VALUE"""),"BEKASI")</f>
        <v>BEKASI</v>
      </c>
      <c r="Z254" s="85" t="str">
        <f>IFERROR(__xludf.DUMMYFUNCTION("""COMPUTED_VALUE"""),"JAWA BARAT")</f>
        <v>JAWA BARAT</v>
      </c>
      <c r="AA254" s="85" t="str">
        <f>IFERROR(__xludf.DUMMYFUNCTION("""COMPUTED_VALUE"""),"17141")</f>
        <v>17141</v>
      </c>
      <c r="AB254" s="85" t="str">
        <f>IFERROR(__xludf.DUMMYFUNCTION("""COMPUTED_VALUE"""),"3275042503030009")</f>
        <v>3275042503030009</v>
      </c>
      <c r="AC254" s="85" t="str">
        <f>IFERROR(__xludf.DUMMYFUNCTION("""COMPUTED_VALUE"""),"60.915.261.6-427.000")</f>
        <v>60.915.261.6-427.000</v>
      </c>
      <c r="AD254" s="85" t="str">
        <f>IFERROR(__xludf.DUMMYFUNCTION("""COMPUTED_VALUE"""),"CUM - PS - AYS")</f>
        <v>CUM - PS - AYS</v>
      </c>
      <c r="AE254" s="85" t="str">
        <f>IFERROR(__xludf.DUMMYFUNCTION("""COMPUTED_VALUE"""),"SUB YUNUS POS")</f>
        <v>SUB YUNUS POS</v>
      </c>
      <c r="AF254" s="85" t="str">
        <f>IFERROR(__xludf.DUMMYFUNCTION("""COMPUTED_VALUE"""),"08158932290")</f>
        <v>08158932290</v>
      </c>
      <c r="AG254" s="85"/>
      <c r="AH254" s="85" t="str">
        <f>IFERROR(__xludf.DUMMYFUNCTION("""COMPUTED_VALUE"""),"suherninoneng57@gmail.com")</f>
        <v>suherninoneng57@gmail.com</v>
      </c>
      <c r="AI254" s="85" t="str">
        <f>IFERROR(__xludf.DUMMYFUNCTION("""COMPUTED_VALUE"""),"17141S2")</f>
        <v>17141S2</v>
      </c>
      <c r="AJ254" s="85" t="str">
        <f>IFERROR(__xludf.DUMMYFUNCTION("""COMPUTED_VALUE"""),"66aa49da52469f5cc70ecf8c")</f>
        <v>66aa49da52469f5cc70ecf8c</v>
      </c>
      <c r="AK254" s="85" t="str">
        <f>IFERROR(__xludf.DUMMYFUNCTION("""COMPUTED_VALUE"""),"dm52464s5")</f>
        <v>dm52464s5</v>
      </c>
      <c r="AL254" s="85" t="str">
        <f>IFERROR(__xludf.DUMMYFUNCTION("""COMPUTED_VALUE"""),"#52464Pos")</f>
        <v>#52464Pos</v>
      </c>
      <c r="AM254" s="85" t="str">
        <f>IFERROR(__xludf.DUMMYFUNCTION("""COMPUTED_VALUE"""),"KANTOR REGIONAL II JAKARTA 10004")</f>
        <v>KANTOR REGIONAL II JAKARTA 10004</v>
      </c>
      <c r="AN254" s="85" t="str">
        <f>IFERROR(__xludf.DUMMYFUNCTION("""COMPUTED_VALUE"""),"KCU BEKASI 17000")</f>
        <v>KCU BEKASI 17000</v>
      </c>
      <c r="AO254" s="85" t="str">
        <f>IFERROR(__xludf.DUMMYFUNCTION("""COMPUTED_VALUE"""),"0106240011032")</f>
        <v>0106240011032</v>
      </c>
      <c r="AP254" s="85" t="str">
        <f>IFERROR(__xludf.DUMMYFUNCTION("""COMPUTED_VALUE"""),"01062400110320001")</f>
        <v>01062400110320001</v>
      </c>
      <c r="AQ254" s="93"/>
      <c r="AR254" s="85"/>
      <c r="AS254" s="85"/>
      <c r="AT254" s="85" t="str">
        <f>IFERROR(__xludf.DUMMYFUNCTION("""COMPUTED_VALUE"""),"-6.243226")</f>
        <v>-6.243226</v>
      </c>
      <c r="AU254" s="85" t="str">
        <f>IFERROR(__xludf.DUMMYFUNCTION("""COMPUTED_VALUE"""),"106.9984347")</f>
        <v>106.9984347</v>
      </c>
      <c r="AV254" s="85"/>
      <c r="AW254" s="85"/>
      <c r="AX254" s="85"/>
      <c r="AY254" s="85"/>
      <c r="AZ254" s="85"/>
      <c r="BA254" s="85"/>
      <c r="BB254" s="85"/>
      <c r="BC254" s="85"/>
      <c r="BD254" s="85"/>
      <c r="BE254" s="85"/>
      <c r="BF254" s="85"/>
      <c r="BG254" s="85"/>
      <c r="BH254" s="85"/>
      <c r="BI254" s="85"/>
      <c r="BJ254" s="85"/>
      <c r="BK254" s="85"/>
      <c r="BL254" s="85"/>
      <c r="BM254" s="85"/>
      <c r="BN254" s="85"/>
      <c r="BO254" s="85"/>
      <c r="BP254" s="85"/>
      <c r="BQ254" s="85"/>
      <c r="BR254" s="85"/>
      <c r="BS254" s="85"/>
      <c r="BT254" s="85"/>
      <c r="BU254" s="85"/>
      <c r="BV254" s="85"/>
      <c r="BW254" s="85"/>
      <c r="BX254" s="85"/>
      <c r="BY254" s="85"/>
      <c r="BZ254" s="85"/>
      <c r="CA254" s="85"/>
      <c r="CB254" s="85"/>
      <c r="CC254" s="85"/>
      <c r="CD254" s="85"/>
      <c r="CE254" s="85"/>
      <c r="CF254" s="85"/>
      <c r="CG254" s="85"/>
      <c r="CH254" s="85"/>
      <c r="CI254" s="85"/>
      <c r="CJ254" s="85"/>
      <c r="CK254" s="2"/>
    </row>
    <row r="255" ht="12.75" customHeight="1">
      <c r="A255" s="80">
        <f>IFERROR(__xludf.DUMMYFUNCTION("""COMPUTED_VALUE"""),252.0)</f>
        <v>252</v>
      </c>
      <c r="B255" s="80"/>
      <c r="C255" s="80"/>
      <c r="D255" s="81"/>
      <c r="E255" s="82"/>
      <c r="F255" s="80"/>
      <c r="G255" s="81"/>
      <c r="H255" s="80"/>
      <c r="I255" s="80"/>
      <c r="J255" s="80"/>
      <c r="K255" s="80"/>
      <c r="L255" s="80"/>
      <c r="M255" s="80" t="str">
        <f>IFERROR(__xludf.DUMMYFUNCTION("""COMPUTED_VALUE"""),"ü")</f>
        <v>ü</v>
      </c>
      <c r="N255" s="80"/>
      <c r="O255" s="80"/>
      <c r="P255" s="80" t="str">
        <f>IFERROR(__xludf.DUMMYFUNCTION("""COMPUTED_VALUE"""),"53BSPA04872JBNDS")</f>
        <v>53BSPA04872JBNDS</v>
      </c>
      <c r="Q255" s="80" t="str">
        <f>IFERROR(__xludf.DUMMYFUNCTION("""COMPUTED_VALUE"""),"MUC R COMP CELL")</f>
        <v>MUC R COMP CELL</v>
      </c>
      <c r="R255" s="80" t="str">
        <f>IFERROR(__xludf.DUMMYFUNCTION("""COMPUTED_VALUE"""),"MUC R COMP CELL")</f>
        <v>MUC R COMP CELL</v>
      </c>
      <c r="S255" s="80" t="str">
        <f>IFERROR(__xludf.DUMMYFUNCTION("""COMPUTED_VALUE"""),"DASEP")</f>
        <v>DASEP</v>
      </c>
      <c r="T255" s="80" t="str">
        <f>IFERROR(__xludf.DUMMYFUNCTION("""COMPUTED_VALUE"""),"Blok Ahad  RT 01 RW 01 Kumbung Rajagaluh ")</f>
        <v>Blok Ahad  RT 01 RW 01 Kumbung Rajagaluh </v>
      </c>
      <c r="U255" s="80" t="str">
        <f>IFERROR(__xludf.DUMMYFUNCTION("""COMPUTED_VALUE"""),"Jl Tugu barat No 7 ")</f>
        <v>Jl Tugu barat No 7 </v>
      </c>
      <c r="V255" s="80"/>
      <c r="W255" s="80" t="str">
        <f>IFERROR(__xludf.DUMMYFUNCTION("""COMPUTED_VALUE"""),"CIPARAY")</f>
        <v>CIPARAY</v>
      </c>
      <c r="X255" s="80" t="str">
        <f>IFERROR(__xludf.DUMMYFUNCTION("""COMPUTED_VALUE"""),"LEUWIMUNDING")</f>
        <v>LEUWIMUNDING</v>
      </c>
      <c r="Y255" s="80" t="str">
        <f>IFERROR(__xludf.DUMMYFUNCTION("""COMPUTED_VALUE"""),"MAJALENGKA")</f>
        <v>MAJALENGKA</v>
      </c>
      <c r="Z255" s="80" t="str">
        <f>IFERROR(__xludf.DUMMYFUNCTION("""COMPUTED_VALUE"""),"JAWA BARAT")</f>
        <v>JAWA BARAT</v>
      </c>
      <c r="AA255" s="80" t="str">
        <f>IFERROR(__xludf.DUMMYFUNCTION("""COMPUTED_VALUE"""),"45473")</f>
        <v>45473</v>
      </c>
      <c r="AB255" s="80" t="str">
        <f>IFERROR(__xludf.DUMMYFUNCTION("""COMPUTED_VALUE"""),"3210091712740001")</f>
        <v>3210091712740001</v>
      </c>
      <c r="AC255" s="80" t="str">
        <f>IFERROR(__xludf.DUMMYFUNCTION("""COMPUTED_VALUE"""),"26.849.082.8-430.000")</f>
        <v>26.849.082.8-430.000</v>
      </c>
      <c r="AD255" s="80" t="str">
        <f>IFERROR(__xludf.DUMMYFUNCTION("""COMPUTED_VALUE"""),"CUM - NDS")</f>
        <v>CUM - NDS</v>
      </c>
      <c r="AE255" s="80" t="str">
        <f>IFERROR(__xludf.DUMMYFUNCTION("""COMPUTED_VALUE"""),"SUB NURUL DIMAS")</f>
        <v>SUB NURUL DIMAS</v>
      </c>
      <c r="AF255" s="80" t="str">
        <f>IFERROR(__xludf.DUMMYFUNCTION("""COMPUTED_VALUE"""),"081395544466")</f>
        <v>081395544466</v>
      </c>
      <c r="AG255" s="80"/>
      <c r="AH255" s="80" t="str">
        <f>IFERROR(__xludf.DUMMYFUNCTION("""COMPUTED_VALUE"""),"daseprcompcell1974@gmail.com")</f>
        <v>daseprcompcell1974@gmail.com</v>
      </c>
      <c r="AI255" s="80" t="str">
        <f>IFERROR(__xludf.DUMMYFUNCTION("""COMPUTED_VALUE"""),"45473S5")</f>
        <v>45473S5</v>
      </c>
      <c r="AJ255" s="80" t="str">
        <f>IFERROR(__xludf.DUMMYFUNCTION("""COMPUTED_VALUE"""),"66bacef01bb0f7ef1a01534c")</f>
        <v>66bacef01bb0f7ef1a01534c</v>
      </c>
      <c r="AK255" s="80" t="str">
        <f>IFERROR(__xludf.DUMMYFUNCTION("""COMPUTED_VALUE"""),"dm45473s5")</f>
        <v>dm45473s5</v>
      </c>
      <c r="AL255" s="80" t="str">
        <f>IFERROR(__xludf.DUMMYFUNCTION("""COMPUTED_VALUE"""),"#45473Pos")</f>
        <v>#45473Pos</v>
      </c>
      <c r="AM255" s="80" t="str">
        <f>IFERROR(__xludf.DUMMYFUNCTION("""COMPUTED_VALUE"""),"KANTOR REGIONAL III BANDUNG 40004")</f>
        <v>KANTOR REGIONAL III BANDUNG 40004</v>
      </c>
      <c r="AN255" s="80" t="str">
        <f>IFERROR(__xludf.DUMMYFUNCTION("""COMPUTED_VALUE"""),"KC MAJALENGKA 45400")</f>
        <v>KC MAJALENGKA 45400</v>
      </c>
      <c r="AO255" s="80" t="str">
        <f>IFERROR(__xludf.DUMMYFUNCTION("""COMPUTED_VALUE"""),"2907240077109")</f>
        <v>2907240077109</v>
      </c>
      <c r="AP255" s="80" t="str">
        <f>IFERROR(__xludf.DUMMYFUNCTION("""COMPUTED_VALUE"""),"29072400771090001")</f>
        <v>29072400771090001</v>
      </c>
      <c r="AQ255" s="83"/>
      <c r="AR255" s="80"/>
      <c r="AS255" s="80"/>
      <c r="AT255" s="80" t="str">
        <f>IFERROR(__xludf.DUMMYFUNCTION("""COMPUTED_VALUE"""),"-6.737096")</f>
        <v>-6.737096</v>
      </c>
      <c r="AU255" s="80" t="str">
        <f>IFERROR(__xludf.DUMMYFUNCTION("""COMPUTED_VALUE"""),"108.340464")</f>
        <v>108.340464</v>
      </c>
      <c r="AV255" s="80"/>
      <c r="AW255" s="80"/>
      <c r="AX255" s="80"/>
      <c r="AY255" s="80"/>
      <c r="AZ255" s="80"/>
      <c r="BA255" s="80"/>
      <c r="BB255" s="80"/>
      <c r="BC255" s="80"/>
      <c r="BD255" s="80"/>
      <c r="BE255" s="80"/>
      <c r="BF255" s="80"/>
      <c r="BG255" s="80"/>
      <c r="BH255" s="80"/>
      <c r="BI255" s="80"/>
      <c r="BJ255" s="80"/>
      <c r="BK255" s="80"/>
      <c r="BL255" s="80"/>
      <c r="BM255" s="80"/>
      <c r="BN255" s="80"/>
      <c r="BO255" s="80"/>
      <c r="BP255" s="80"/>
      <c r="BQ255" s="80"/>
      <c r="BR255" s="80"/>
      <c r="BS255" s="80"/>
      <c r="BT255" s="80"/>
      <c r="BU255" s="80"/>
      <c r="BV255" s="80"/>
      <c r="BW255" s="80"/>
      <c r="BX255" s="80"/>
      <c r="BY255" s="80"/>
      <c r="BZ255" s="80"/>
      <c r="CA255" s="80"/>
      <c r="CB255" s="80"/>
      <c r="CC255" s="80"/>
      <c r="CD255" s="80"/>
      <c r="CE255" s="80"/>
      <c r="CF255" s="80"/>
      <c r="CG255" s="80"/>
      <c r="CH255" s="80"/>
      <c r="CI255" s="80"/>
      <c r="CJ255" s="80"/>
      <c r="CK255" s="2"/>
    </row>
    <row r="256" ht="12.75" customHeight="1">
      <c r="A256" s="85">
        <f>IFERROR(__xludf.DUMMYFUNCTION("""COMPUTED_VALUE"""),253.0)</f>
        <v>253</v>
      </c>
      <c r="B256" s="85"/>
      <c r="C256" s="85"/>
      <c r="D256" s="86"/>
      <c r="E256" s="88"/>
      <c r="F256" s="85"/>
      <c r="G256" s="86"/>
      <c r="H256" s="85"/>
      <c r="I256" s="85"/>
      <c r="J256" s="85"/>
      <c r="K256" s="85"/>
      <c r="L256" s="85"/>
      <c r="M256" s="85" t="str">
        <f>IFERROR(__xludf.DUMMYFUNCTION("""COMPUTED_VALUE"""),"ü")</f>
        <v>ü</v>
      </c>
      <c r="N256" s="85"/>
      <c r="O256" s="85"/>
      <c r="P256" s="85" t="str">
        <f>IFERROR(__xludf.DUMMYFUNCTION("""COMPUTED_VALUE"""),"52BSPA07658JTBNT")</f>
        <v>52BSPA07658JTBNT</v>
      </c>
      <c r="Q256" s="85" t="str">
        <f>IFERROR(__xludf.DUMMYFUNCTION("""COMPUTED_VALUE"""),"MUC BONITA")</f>
        <v>MUC BONITA</v>
      </c>
      <c r="R256" s="85" t="str">
        <f>IFERROR(__xludf.DUMMYFUNCTION("""COMPUTED_VALUE"""),"MUC BONITA")</f>
        <v>MUC BONITA</v>
      </c>
      <c r="S256" s="85" t="str">
        <f>IFERROR(__xludf.DUMMYFUNCTION("""COMPUTED_VALUE"""),"SOPRIHA TININGSIH")</f>
        <v>SOPRIHA TININGSIH</v>
      </c>
      <c r="T256" s="85" t="str">
        <f>IFERROR(__xludf.DUMMYFUNCTION("""COMPUTED_VALUE"""),"JL. ADE IRMA SURYANI NO. 9")</f>
        <v>JL. ADE IRMA SURYANI NO. 9</v>
      </c>
      <c r="U256" s="85" t="str">
        <f>IFERROR(__xludf.DUMMYFUNCTION("""COMPUTED_VALUE"""),"Griya Mejasem Baru 2, jln. Ade Irma no 9")</f>
        <v>Griya Mejasem Baru 2, jln. Ade Irma no 9</v>
      </c>
      <c r="V256" s="85"/>
      <c r="W256" s="85" t="str">
        <f>IFERROR(__xludf.DUMMYFUNCTION("""COMPUTED_VALUE"""),"MEJASEM BARAT")</f>
        <v>MEJASEM BARAT</v>
      </c>
      <c r="X256" s="85" t="str">
        <f>IFERROR(__xludf.DUMMYFUNCTION("""COMPUTED_VALUE"""),"KRAMAT")</f>
        <v>KRAMAT</v>
      </c>
      <c r="Y256" s="85" t="str">
        <f>IFERROR(__xludf.DUMMYFUNCTION("""COMPUTED_VALUE"""),"KAB. TEGAL")</f>
        <v>KAB. TEGAL</v>
      </c>
      <c r="Z256" s="85" t="str">
        <f>IFERROR(__xludf.DUMMYFUNCTION("""COMPUTED_VALUE"""),"JAWA TENGAH")</f>
        <v>JAWA TENGAH</v>
      </c>
      <c r="AA256" s="85" t="str">
        <f>IFERROR(__xludf.DUMMYFUNCTION("""COMPUTED_VALUE"""),"52181")</f>
        <v>52181</v>
      </c>
      <c r="AB256" s="85" t="str">
        <f>IFERROR(__xludf.DUMMYFUNCTION("""COMPUTED_VALUE"""),"3328154404700002")</f>
        <v>3328154404700002</v>
      </c>
      <c r="AC256" s="85" t="str">
        <f>IFERROR(__xludf.DUMMYFUNCTION("""COMPUTED_VALUE"""),"67.027.670.8-501.000")</f>
        <v>67.027.670.8-501.000</v>
      </c>
      <c r="AD256" s="85" t="str">
        <f>IFERROR(__xludf.DUMMYFUNCTION("""COMPUTED_VALUE"""),"CUM - PS - SYF")</f>
        <v>CUM - PS - SYF</v>
      </c>
      <c r="AE256" s="85" t="str">
        <f>IFERROR(__xludf.DUMMYFUNCTION("""COMPUTED_VALUE"""),"SUB SYAIFULLOH POS")</f>
        <v>SUB SYAIFULLOH POS</v>
      </c>
      <c r="AF256" s="85" t="str">
        <f>IFERROR(__xludf.DUMMYFUNCTION("""COMPUTED_VALUE"""),"087830160700")</f>
        <v>087830160700</v>
      </c>
      <c r="AG256" s="85"/>
      <c r="AH256" s="85" t="str">
        <f>IFERROR(__xludf.DUMMYFUNCTION("""COMPUTED_VALUE"""),"nindhita28@gmail.com")</f>
        <v>nindhita28@gmail.com</v>
      </c>
      <c r="AI256" s="85" t="str">
        <f>IFERROR(__xludf.DUMMYFUNCTION("""COMPUTED_VALUE"""),"52481S6")</f>
        <v>52481S6</v>
      </c>
      <c r="AJ256" s="85" t="str">
        <f>IFERROR(__xludf.DUMMYFUNCTION("""COMPUTED_VALUE"""),"66b18b439659b02f6f0937fd")</f>
        <v>66b18b439659b02f6f0937fd</v>
      </c>
      <c r="AK256" s="85" t="str">
        <f>IFERROR(__xludf.DUMMYFUNCTION("""COMPUTED_VALUE"""),"dm52481s6")</f>
        <v>dm52481s6</v>
      </c>
      <c r="AL256" s="85" t="str">
        <f>IFERROR(__xludf.DUMMYFUNCTION("""COMPUTED_VALUE"""),"#52481Pos")</f>
        <v>#52481Pos</v>
      </c>
      <c r="AM256" s="85" t="str">
        <f>IFERROR(__xludf.DUMMYFUNCTION("""COMPUTED_VALUE"""),"KANTOR REGIONAL IV SEMARANG 50004")</f>
        <v>KANTOR REGIONAL IV SEMARANG 50004</v>
      </c>
      <c r="AN256" s="85" t="str">
        <f>IFERROR(__xludf.DUMMYFUNCTION("""COMPUTED_VALUE"""),"KC TEGAL 52100")</f>
        <v>KC TEGAL 52100</v>
      </c>
      <c r="AO256" s="85" t="str">
        <f>IFERROR(__xludf.DUMMYFUNCTION("""COMPUTED_VALUE"""),"0208240051436")</f>
        <v>0208240051436</v>
      </c>
      <c r="AP256" s="85" t="str">
        <f>IFERROR(__xludf.DUMMYFUNCTION("""COMPUTED_VALUE"""),"02082400514360001")</f>
        <v>02082400514360001</v>
      </c>
      <c r="AQ256" s="93"/>
      <c r="AR256" s="85"/>
      <c r="AS256" s="85"/>
      <c r="AT256" s="85" t="str">
        <f>IFERROR(__xludf.DUMMYFUNCTION("""COMPUTED_VALUE"""),"-6.884939")</f>
        <v>-6.884939</v>
      </c>
      <c r="AU256" s="85" t="str">
        <f>IFERROR(__xludf.DUMMYFUNCTION("""COMPUTED_VALUE"""),"109.1489444")</f>
        <v>109.1489444</v>
      </c>
      <c r="AV256" s="85"/>
      <c r="AW256" s="85"/>
      <c r="AX256" s="85"/>
      <c r="AY256" s="85"/>
      <c r="AZ256" s="85"/>
      <c r="BA256" s="85"/>
      <c r="BB256" s="85"/>
      <c r="BC256" s="85"/>
      <c r="BD256" s="85"/>
      <c r="BE256" s="85"/>
      <c r="BF256" s="85"/>
      <c r="BG256" s="85"/>
      <c r="BH256" s="85"/>
      <c r="BI256" s="85"/>
      <c r="BJ256" s="85"/>
      <c r="BK256" s="85"/>
      <c r="BL256" s="85"/>
      <c r="BM256" s="85"/>
      <c r="BN256" s="85"/>
      <c r="BO256" s="85"/>
      <c r="BP256" s="85"/>
      <c r="BQ256" s="85"/>
      <c r="BR256" s="85"/>
      <c r="BS256" s="85"/>
      <c r="BT256" s="85"/>
      <c r="BU256" s="85"/>
      <c r="BV256" s="85"/>
      <c r="BW256" s="85"/>
      <c r="BX256" s="85"/>
      <c r="BY256" s="85"/>
      <c r="BZ256" s="85"/>
      <c r="CA256" s="85"/>
      <c r="CB256" s="85"/>
      <c r="CC256" s="85"/>
      <c r="CD256" s="85"/>
      <c r="CE256" s="85"/>
      <c r="CF256" s="85"/>
      <c r="CG256" s="85"/>
      <c r="CH256" s="85"/>
      <c r="CI256" s="85"/>
      <c r="CJ256" s="85"/>
      <c r="CK256" s="2"/>
    </row>
    <row r="257" ht="14.25" customHeight="1">
      <c r="A257" s="80">
        <f>IFERROR(__xludf.DUMMYFUNCTION("""COMPUTED_VALUE"""),254.0)</f>
        <v>254</v>
      </c>
      <c r="B257" s="80"/>
      <c r="C257" s="80"/>
      <c r="D257" s="81"/>
      <c r="E257" s="82"/>
      <c r="F257" s="80"/>
      <c r="G257" s="81"/>
      <c r="H257" s="80"/>
      <c r="I257" s="80"/>
      <c r="J257" s="80"/>
      <c r="K257" s="80"/>
      <c r="L257" s="80"/>
      <c r="M257" s="80"/>
      <c r="N257" s="80" t="str">
        <f>IFERROR(__xludf.DUMMYFUNCTION("""COMPUTED_VALUE"""),"ü")</f>
        <v>ü</v>
      </c>
      <c r="O257" s="80"/>
      <c r="P257" s="80" t="str">
        <f>IFERROR(__xludf.DUMMYFUNCTION("""COMPUTED_VALUE"""),"MLO5500017CUMFAM")</f>
        <v>MLO5500017CUMFAM</v>
      </c>
      <c r="Q257" s="80" t="str">
        <f>IFERROR(__xludf.DUMMYFUNCTION("""COMPUTED_VALUE"""),"MUC 4G FAMILI")</f>
        <v>MUC 4G FAMILI</v>
      </c>
      <c r="R257" s="80" t="str">
        <f>IFERROR(__xludf.DUMMYFUNCTION("""COMPUTED_VALUE"""),"MUC 4G FAMILI")</f>
        <v>MUC 4G FAMILI</v>
      </c>
      <c r="S257" s="80" t="str">
        <f>IFERROR(__xludf.DUMMYFUNCTION("""COMPUTED_VALUE"""),"MELI PURWANINGSIH")</f>
        <v>MELI PURWANINGSIH</v>
      </c>
      <c r="T257" s="80" t="str">
        <f>IFERROR(__xludf.DUMMYFUNCTION("""COMPUTED_VALUE"""),"BLOK V RT 03 RW 07 DESA SURAKARTA KECAMATAN SURANENGGALA")</f>
        <v>BLOK V RT 03 RW 07 DESA SURAKARTA KECAMATAN SURANENGGALA</v>
      </c>
      <c r="U257" s="80" t="str">
        <f>IFERROR(__xludf.DUMMYFUNCTION("""COMPUTED_VALUE"""),"JL. CITENJO, CIBINGBIN KAB. KUNINGAN 45587")</f>
        <v>JL. CITENJO, CIBINGBIN KAB. KUNINGAN 45587</v>
      </c>
      <c r="V257" s="80"/>
      <c r="W257" s="80" t="str">
        <f>IFERROR(__xludf.DUMMYFUNCTION("""COMPUTED_VALUE"""),"CITENJO")</f>
        <v>CITENJO</v>
      </c>
      <c r="X257" s="80" t="str">
        <f>IFERROR(__xludf.DUMMYFUNCTION("""COMPUTED_VALUE"""),"CIBINGBIN")</f>
        <v>CIBINGBIN</v>
      </c>
      <c r="Y257" s="80" t="str">
        <f>IFERROR(__xludf.DUMMYFUNCTION("""COMPUTED_VALUE"""),"KAB. KUNINGAN")</f>
        <v>KAB. KUNINGAN</v>
      </c>
      <c r="Z257" s="80" t="str">
        <f>IFERROR(__xludf.DUMMYFUNCTION("""COMPUTED_VALUE"""),"JAWA BARAT")</f>
        <v>JAWA BARAT</v>
      </c>
      <c r="AA257" s="80" t="str">
        <f>IFERROR(__xludf.DUMMYFUNCTION("""COMPUTED_VALUE"""),"45587")</f>
        <v>45587</v>
      </c>
      <c r="AB257" s="80" t="str">
        <f>IFERROR(__xludf.DUMMYFUNCTION("""COMPUTED_VALUE"""),"3209225311890004")</f>
        <v>3209225311890004</v>
      </c>
      <c r="AC257" s="80" t="str">
        <f>IFERROR(__xludf.DUMMYFUNCTION("""COMPUTED_VALUE"""),"75.439.066.4-426.000")</f>
        <v>75.439.066.4-426.000</v>
      </c>
      <c r="AD257" s="80" t="str">
        <f>IFERROR(__xludf.DUMMYFUNCTION("""COMPUTED_VALUE"""),"CUM - PS - GSI")</f>
        <v>CUM - PS - GSI</v>
      </c>
      <c r="AE257" s="80" t="str">
        <f>IFERROR(__xludf.DUMMYFUNCTION("""COMPUTED_VALUE"""),"SUB GUMILAR POS")</f>
        <v>SUB GUMILAR POS</v>
      </c>
      <c r="AF257" s="80" t="str">
        <f>IFERROR(__xludf.DUMMYFUNCTION("""COMPUTED_VALUE"""),"082117846324")</f>
        <v>082117846324</v>
      </c>
      <c r="AG257" s="80"/>
      <c r="AH257" s="80" t="str">
        <f>IFERROR(__xludf.DUMMYFUNCTION("""COMPUTED_VALUE"""),"gmeila20ap@gmail.com")</f>
        <v>gmeila20ap@gmail.com</v>
      </c>
      <c r="AI257" s="80" t="str">
        <f>IFERROR(__xludf.DUMMYFUNCTION("""COMPUTED_VALUE"""),"45587S2")</f>
        <v>45587S2</v>
      </c>
      <c r="AJ257" s="80" t="str">
        <f>IFERROR(__xludf.DUMMYFUNCTION("""COMPUTED_VALUE"""),"66c6e7e8eb342af386058145")</f>
        <v>66c6e7e8eb342af386058145</v>
      </c>
      <c r="AK257" s="80" t="str">
        <f>IFERROR(__xludf.DUMMYFUNCTION("""COMPUTED_VALUE"""),"dm45587s2")</f>
        <v>dm45587s2</v>
      </c>
      <c r="AL257" s="80" t="str">
        <f>IFERROR(__xludf.DUMMYFUNCTION("""COMPUTED_VALUE""")," #45587Pos")</f>
        <v> #45587Pos</v>
      </c>
      <c r="AM257" s="80" t="str">
        <f>IFERROR(__xludf.DUMMYFUNCTION("""COMPUTED_VALUE"""),"KANTOR REGIONAL III BANDUNG 40004")</f>
        <v>KANTOR REGIONAL III BANDUNG 40004</v>
      </c>
      <c r="AN257" s="80" t="str">
        <f>IFERROR(__xludf.DUMMYFUNCTION("""COMPUTED_VALUE"""),"KC KUNINGAN 45500")</f>
        <v>KC KUNINGAN 45500</v>
      </c>
      <c r="AO257" s="80" t="str">
        <f>IFERROR(__xludf.DUMMYFUNCTION("""COMPUTED_VALUE"""),"0808240109676")</f>
        <v>0808240109676</v>
      </c>
      <c r="AP257" s="80" t="str">
        <f>IFERROR(__xludf.DUMMYFUNCTION("""COMPUTED_VALUE"""),"08082401096760001")</f>
        <v>08082401096760001</v>
      </c>
      <c r="AQ257" s="83"/>
      <c r="AR257" s="80"/>
      <c r="AS257" s="80"/>
      <c r="AT257" s="80" t="str">
        <f>IFERROR(__xludf.DUMMYFUNCTION("""COMPUTED_VALUE"""),"-7.0452777")</f>
        <v>-7.0452777</v>
      </c>
      <c r="AU257" s="80" t="str">
        <f>IFERROR(__xludf.DUMMYFUNCTION("""COMPUTED_VALUE"""),"108.758212")</f>
        <v>108.758212</v>
      </c>
      <c r="AV257" s="80"/>
      <c r="AW257" s="80"/>
      <c r="AX257" s="80"/>
      <c r="AY257" s="80"/>
      <c r="AZ257" s="80"/>
      <c r="BA257" s="80"/>
      <c r="BB257" s="80"/>
      <c r="BC257" s="80"/>
      <c r="BD257" s="80"/>
      <c r="BE257" s="80"/>
      <c r="BF257" s="80"/>
      <c r="BG257" s="80"/>
      <c r="BH257" s="80"/>
      <c r="BI257" s="80"/>
      <c r="BJ257" s="80"/>
      <c r="BK257" s="80"/>
      <c r="BL257" s="80"/>
      <c r="BM257" s="80"/>
      <c r="BN257" s="80"/>
      <c r="BO257" s="80"/>
      <c r="BP257" s="80"/>
      <c r="BQ257" s="80"/>
      <c r="BR257" s="80"/>
      <c r="BS257" s="80"/>
      <c r="BT257" s="80"/>
      <c r="BU257" s="80"/>
      <c r="BV257" s="80"/>
      <c r="BW257" s="80"/>
      <c r="BX257" s="80"/>
      <c r="BY257" s="80"/>
      <c r="BZ257" s="80"/>
      <c r="CA257" s="80"/>
      <c r="CB257" s="80"/>
      <c r="CC257" s="80"/>
      <c r="CD257" s="80"/>
      <c r="CE257" s="80"/>
      <c r="CF257" s="80"/>
      <c r="CG257" s="80"/>
      <c r="CH257" s="80"/>
      <c r="CI257" s="80"/>
      <c r="CJ257" s="80"/>
      <c r="CK257" s="2"/>
    </row>
    <row r="258" ht="12.75" customHeight="1">
      <c r="A258" s="85">
        <f>IFERROR(__xludf.DUMMYFUNCTION("""COMPUTED_VALUE"""),255.0)</f>
        <v>255</v>
      </c>
      <c r="B258" s="85"/>
      <c r="C258" s="85"/>
      <c r="D258" s="86"/>
      <c r="E258" s="88"/>
      <c r="F258" s="85"/>
      <c r="G258" s="86"/>
      <c r="H258" s="85"/>
      <c r="I258" s="85"/>
      <c r="J258" s="85"/>
      <c r="K258" s="85"/>
      <c r="L258" s="85"/>
      <c r="M258" s="85" t="str">
        <f>IFERROR(__xludf.DUMMYFUNCTION("""COMPUTED_VALUE"""),"ü")</f>
        <v>ü</v>
      </c>
      <c r="N258" s="85"/>
      <c r="O258" s="85"/>
      <c r="P258" s="85" t="str">
        <f>IFERROR(__xludf.DUMMYFUNCTION("""COMPUTED_VALUE"""),"52BSPA07659JTTMT")</f>
        <v>52BSPA07659JTTMT</v>
      </c>
      <c r="Q258" s="85" t="str">
        <f>IFERROR(__xludf.DUMMYFUNCTION("""COMPUTED_VALUE"""),"MUC TAMANTIRTA")</f>
        <v>MUC TAMANTIRTA</v>
      </c>
      <c r="R258" s="85" t="str">
        <f>IFERROR(__xludf.DUMMYFUNCTION("""COMPUTED_VALUE"""),"MUC TAMANTIRTA")</f>
        <v>MUC TAMANTIRTA</v>
      </c>
      <c r="S258" s="85" t="str">
        <f>IFERROR(__xludf.DUMMYFUNCTION("""COMPUTED_VALUE"""),"CUT RATNA")</f>
        <v>CUT RATNA</v>
      </c>
      <c r="T258" s="85" t="str">
        <f>IFERROR(__xludf.DUMMYFUNCTION("""COMPUTED_VALUE"""),"JL BIBIS DS NGENTAK RT 01 BANGUNJIWO KASIHAN BANTUL")</f>
        <v>JL BIBIS DS NGENTAK RT 01 BANGUNJIWO KASIHAN BANTUL</v>
      </c>
      <c r="U258" s="85" t="str">
        <f>IFERROR(__xludf.DUMMYFUNCTION("""COMPUTED_VALUE"""),"NGENTAK RT 01")</f>
        <v>NGENTAK RT 01</v>
      </c>
      <c r="V258" s="85"/>
      <c r="W258" s="85" t="str">
        <f>IFERROR(__xludf.DUMMYFUNCTION("""COMPUTED_VALUE"""),"BANGUNJIWO")</f>
        <v>BANGUNJIWO</v>
      </c>
      <c r="X258" s="85" t="str">
        <f>IFERROR(__xludf.DUMMYFUNCTION("""COMPUTED_VALUE"""),"KASIHAN")</f>
        <v>KASIHAN</v>
      </c>
      <c r="Y258" s="85" t="str">
        <f>IFERROR(__xludf.DUMMYFUNCTION("""COMPUTED_VALUE"""),"KAB. BANTUL")</f>
        <v>KAB. BANTUL</v>
      </c>
      <c r="Z258" s="85" t="str">
        <f>IFERROR(__xludf.DUMMYFUNCTION("""COMPUTED_VALUE"""),"YOGYAKARTA")</f>
        <v>YOGYAKARTA</v>
      </c>
      <c r="AA258" s="85" t="str">
        <f>IFERROR(__xludf.DUMMYFUNCTION("""COMPUTED_VALUE"""),"55184")</f>
        <v>55184</v>
      </c>
      <c r="AB258" s="85" t="str">
        <f>IFERROR(__xludf.DUMMYFUNCTION("""COMPUTED_VALUE"""),"3402164512800003")</f>
        <v>3402164512800003</v>
      </c>
      <c r="AC258" s="85" t="str">
        <f>IFERROR(__xludf.DUMMYFUNCTION("""COMPUTED_VALUE"""),"57.360.248.9-541.000")</f>
        <v>57.360.248.9-541.000</v>
      </c>
      <c r="AD258" s="85" t="str">
        <f>IFERROR(__xludf.DUMMYFUNCTION("""COMPUTED_VALUE"""),"CUM - PS - JLAD")</f>
        <v>CUM - PS - JLAD</v>
      </c>
      <c r="AE258" s="85" t="str">
        <f>IFERROR(__xludf.DUMMYFUNCTION("""COMPUTED_VALUE"""),"SUB YULI POS")</f>
        <v>SUB YULI POS</v>
      </c>
      <c r="AF258" s="85" t="str">
        <f>IFERROR(__xludf.DUMMYFUNCTION("""COMPUTED_VALUE"""),"082220148818")</f>
        <v>082220148818</v>
      </c>
      <c r="AG258" s="85"/>
      <c r="AH258" s="85" t="str">
        <f>IFERROR(__xludf.DUMMYFUNCTION("""COMPUTED_VALUE"""),"pegadaianbgjwbamb.1978@gmail.com")</f>
        <v>pegadaianbgjwbamb.1978@gmail.com</v>
      </c>
      <c r="AI258" s="85" t="str">
        <f>IFERROR(__xludf.DUMMYFUNCTION("""COMPUTED_VALUE"""),"55751S2")</f>
        <v>55751S2</v>
      </c>
      <c r="AJ258" s="85" t="str">
        <f>IFERROR(__xludf.DUMMYFUNCTION("""COMPUTED_VALUE"""),"66c844dc778672632002ec2f")</f>
        <v>66c844dc778672632002ec2f</v>
      </c>
      <c r="AK258" s="85" t="str">
        <f>IFERROR(__xludf.DUMMYFUNCTION("""COMPUTED_VALUE"""),"dm55751s2")</f>
        <v>dm55751s2</v>
      </c>
      <c r="AL258" s="85" t="str">
        <f>IFERROR(__xludf.DUMMYFUNCTION("""COMPUTED_VALUE""")," #55751Pos")</f>
        <v> #55751Pos</v>
      </c>
      <c r="AM258" s="85" t="str">
        <f>IFERROR(__xludf.DUMMYFUNCTION("""COMPUTED_VALUE"""),"KANTOR REGIONAL IV SEMARANG 50004")</f>
        <v>KANTOR REGIONAL IV SEMARANG 50004</v>
      </c>
      <c r="AN258" s="85" t="str">
        <f>IFERROR(__xludf.DUMMYFUNCTION("""COMPUTED_VALUE"""),"KC BANTUL 55700")</f>
        <v>KC BANTUL 55700</v>
      </c>
      <c r="AO258" s="85" t="str">
        <f>IFERROR(__xludf.DUMMYFUNCTION("""COMPUTED_VALUE"""),"2708230046755")</f>
        <v>2708230046755</v>
      </c>
      <c r="AP258" s="85" t="str">
        <f>IFERROR(__xludf.DUMMYFUNCTION("""COMPUTED_VALUE"""),"27082300467550001")</f>
        <v>27082300467550001</v>
      </c>
      <c r="AQ258" s="93"/>
      <c r="AR258" s="85"/>
      <c r="AS258" s="85"/>
      <c r="AT258" s="85" t="str">
        <f>IFERROR(__xludf.DUMMYFUNCTION("""COMPUTED_VALUE"""),"-7.831160")</f>
        <v>-7.831160</v>
      </c>
      <c r="AU258" s="85" t="str">
        <f>IFERROR(__xludf.DUMMYFUNCTION("""COMPUTED_VALUE"""),"110.315887")</f>
        <v>110.315887</v>
      </c>
      <c r="AV258" s="85"/>
      <c r="AW258" s="85"/>
      <c r="AX258" s="85"/>
      <c r="AY258" s="85"/>
      <c r="AZ258" s="85"/>
      <c r="BA258" s="85"/>
      <c r="BB258" s="85"/>
      <c r="BC258" s="85"/>
      <c r="BD258" s="85"/>
      <c r="BE258" s="85"/>
      <c r="BF258" s="85"/>
      <c r="BG258" s="85"/>
      <c r="BH258" s="85"/>
      <c r="BI258" s="85"/>
      <c r="BJ258" s="85"/>
      <c r="BK258" s="85"/>
      <c r="BL258" s="85"/>
      <c r="BM258" s="85"/>
      <c r="BN258" s="85"/>
      <c r="BO258" s="85"/>
      <c r="BP258" s="85"/>
      <c r="BQ258" s="85"/>
      <c r="BR258" s="85"/>
      <c r="BS258" s="85"/>
      <c r="BT258" s="85"/>
      <c r="BU258" s="85"/>
      <c r="BV258" s="85"/>
      <c r="BW258" s="85"/>
      <c r="BX258" s="85"/>
      <c r="BY258" s="85"/>
      <c r="BZ258" s="85"/>
      <c r="CA258" s="85"/>
      <c r="CB258" s="85"/>
      <c r="CC258" s="85"/>
      <c r="CD258" s="85"/>
      <c r="CE258" s="85"/>
      <c r="CF258" s="85"/>
      <c r="CG258" s="85"/>
      <c r="CH258" s="85"/>
      <c r="CI258" s="85"/>
      <c r="CJ258" s="85"/>
      <c r="CK258" s="2"/>
    </row>
    <row r="259" ht="14.25" customHeight="1">
      <c r="A259" s="80">
        <f>IFERROR(__xludf.DUMMYFUNCTION("""COMPUTED_VALUE"""),256.0)</f>
        <v>256</v>
      </c>
      <c r="B259" s="80"/>
      <c r="C259" s="80"/>
      <c r="D259" s="81"/>
      <c r="E259" s="82"/>
      <c r="F259" s="80"/>
      <c r="G259" s="81"/>
      <c r="H259" s="80"/>
      <c r="I259" s="80"/>
      <c r="J259" s="80"/>
      <c r="K259" s="80"/>
      <c r="L259" s="80"/>
      <c r="M259" s="80"/>
      <c r="N259" s="80" t="str">
        <f>IFERROR(__xludf.DUMMYFUNCTION("""COMPUTED_VALUE"""),"ü")</f>
        <v>ü</v>
      </c>
      <c r="O259" s="80"/>
      <c r="P259" s="80" t="str">
        <f>IFERROR(__xludf.DUMMYFUNCTION("""COMPUTED_VALUE"""),"MLO5500018CUMHBS")</f>
        <v>MLO5500018CUMHBS</v>
      </c>
      <c r="Q259" s="80" t="str">
        <f>IFERROR(__xludf.DUMMYFUNCTION("""COMPUTED_VALUE"""),"MUC Herbathos Store 7")</f>
        <v>MUC Herbathos Store 7</v>
      </c>
      <c r="R259" s="80" t="str">
        <f>IFERROR(__xludf.DUMMYFUNCTION("""COMPUTED_VALUE"""),"MUC Herbathos Store 7")</f>
        <v>MUC Herbathos Store 7</v>
      </c>
      <c r="S259" s="80" t="str">
        <f>IFERROR(__xludf.DUMMYFUNCTION("""COMPUTED_VALUE"""),"KEMAL FAUZI")</f>
        <v>KEMAL FAUZI</v>
      </c>
      <c r="T259" s="80" t="str">
        <f>IFERROR(__xludf.DUMMYFUNCTION("""COMPUTED_VALUE"""),"PERUM GRIYA CIPTA LARAS BULUSARI RT. 003/RW. 009")</f>
        <v>PERUM GRIYA CIPTA LARAS BULUSARI RT. 003/RW. 009</v>
      </c>
      <c r="U259" s="80" t="str">
        <f>IFERROR(__xludf.DUMMYFUNCTION("""COMPUTED_VALUE"""),"alan Bima dk.kradenan dsn.Serangan Rt 03 Rw 1")</f>
        <v>alan Bima dk.kradenan dsn.Serangan Rt 03 Rw 1</v>
      </c>
      <c r="V259" s="80"/>
      <c r="W259" s="80" t="str">
        <f>IFERROR(__xludf.DUMMYFUNCTION("""COMPUTED_VALUE"""),"BLULUKAN")</f>
        <v>BLULUKAN</v>
      </c>
      <c r="X259" s="80" t="str">
        <f>IFERROR(__xludf.DUMMYFUNCTION("""COMPUTED_VALUE"""),"COLOMADU")</f>
        <v>COLOMADU</v>
      </c>
      <c r="Y259" s="80" t="str">
        <f>IFERROR(__xludf.DUMMYFUNCTION("""COMPUTED_VALUE"""),"KARANGANYAR")</f>
        <v>KARANGANYAR</v>
      </c>
      <c r="Z259" s="80" t="str">
        <f>IFERROR(__xludf.DUMMYFUNCTION("""COMPUTED_VALUE"""),"JAWA TENGAH")</f>
        <v>JAWA TENGAH</v>
      </c>
      <c r="AA259" s="80" t="str">
        <f>IFERROR(__xludf.DUMMYFUNCTION("""COMPUTED_VALUE"""),"57175")</f>
        <v>57175</v>
      </c>
      <c r="AB259" s="80" t="str">
        <f>IFERROR(__xludf.DUMMYFUNCTION("""COMPUTED_VALUE"""),"3313101503900001")</f>
        <v>3313101503900001</v>
      </c>
      <c r="AC259" s="80" t="str">
        <f>IFERROR(__xludf.DUMMYFUNCTION("""COMPUTED_VALUE"""),"73.752.250.8-528.000")</f>
        <v>73.752.250.8-528.000</v>
      </c>
      <c r="AD259" s="80" t="str">
        <f>IFERROR(__xludf.DUMMYFUNCTION("""COMPUTED_VALUE"""),"CUM - PS - RFSI")</f>
        <v>CUM - PS - RFSI</v>
      </c>
      <c r="AE259" s="80" t="str">
        <f>IFERROR(__xludf.DUMMYFUNCTION("""COMPUTED_VALUE"""),"SUB RIZKI POS")</f>
        <v>SUB RIZKI POS</v>
      </c>
      <c r="AF259" s="80" t="str">
        <f>IFERROR(__xludf.DUMMYFUNCTION("""COMPUTED_VALUE"""),"085602972073")</f>
        <v>085602972073</v>
      </c>
      <c r="AG259" s="80"/>
      <c r="AH259" s="80" t="str">
        <f>IFERROR(__xludf.DUMMYFUNCTION("""COMPUTED_VALUE"""),"kirimcepat999@gmail.com")</f>
        <v>kirimcepat999@gmail.com</v>
      </c>
      <c r="AI259" s="80" t="str">
        <f>IFERROR(__xludf.DUMMYFUNCTION("""COMPUTED_VALUE"""),"57774SA")</f>
        <v>57774SA</v>
      </c>
      <c r="AJ259" s="80" t="str">
        <f>IFERROR(__xludf.DUMMYFUNCTION("""COMPUTED_VALUE"""),"66bb14bf0ab2a53dda0020be")</f>
        <v>66bb14bf0ab2a53dda0020be</v>
      </c>
      <c r="AK259" s="80" t="str">
        <f>IFERROR(__xludf.DUMMYFUNCTION("""COMPUTED_VALUE"""),"dm57774sa")</f>
        <v>dm57774sa</v>
      </c>
      <c r="AL259" s="80" t="str">
        <f>IFERROR(__xludf.DUMMYFUNCTION("""COMPUTED_VALUE"""),"#57774Pos")</f>
        <v>#57774Pos</v>
      </c>
      <c r="AM259" s="80" t="str">
        <f>IFERROR(__xludf.DUMMYFUNCTION("""COMPUTED_VALUE"""),"KANTOR REGIONAL IV SEMARANG 50004")</f>
        <v>KANTOR REGIONAL IV SEMARANG 50004</v>
      </c>
      <c r="AN259" s="80" t="str">
        <f>IFERROR(__xludf.DUMMYFUNCTION("""COMPUTED_VALUE"""),"KCU SOLO 57100")</f>
        <v>KCU SOLO 57100</v>
      </c>
      <c r="AO259" s="80" t="str">
        <f>IFERROR(__xludf.DUMMYFUNCTION("""COMPUTED_VALUE"""),"2003230097521")</f>
        <v>2003230097521</v>
      </c>
      <c r="AP259" s="80" t="str">
        <f>IFERROR(__xludf.DUMMYFUNCTION("""COMPUTED_VALUE"""),"20032300975210001")</f>
        <v>20032300975210001</v>
      </c>
      <c r="AQ259" s="83"/>
      <c r="AR259" s="80"/>
      <c r="AS259" s="80"/>
      <c r="AT259" s="80" t="str">
        <f>IFERROR(__xludf.DUMMYFUNCTION("""COMPUTED_VALUE"""),"-7.536273")</f>
        <v>-7.536273</v>
      </c>
      <c r="AU259" s="80" t="str">
        <f>IFERROR(__xludf.DUMMYFUNCTION("""COMPUTED_VALUE"""),"110.761594")</f>
        <v>110.761594</v>
      </c>
      <c r="AV259" s="80"/>
      <c r="AW259" s="80"/>
      <c r="AX259" s="80"/>
      <c r="AY259" s="80"/>
      <c r="AZ259" s="80"/>
      <c r="BA259" s="80"/>
      <c r="BB259" s="80"/>
      <c r="BC259" s="80"/>
      <c r="BD259" s="80"/>
      <c r="BE259" s="80"/>
      <c r="BF259" s="80"/>
      <c r="BG259" s="80"/>
      <c r="BH259" s="80"/>
      <c r="BI259" s="80"/>
      <c r="BJ259" s="80"/>
      <c r="BK259" s="80"/>
      <c r="BL259" s="80"/>
      <c r="BM259" s="80"/>
      <c r="BN259" s="80"/>
      <c r="BO259" s="80"/>
      <c r="BP259" s="80"/>
      <c r="BQ259" s="80"/>
      <c r="BR259" s="80"/>
      <c r="BS259" s="80"/>
      <c r="BT259" s="80"/>
      <c r="BU259" s="80"/>
      <c r="BV259" s="80"/>
      <c r="BW259" s="80"/>
      <c r="BX259" s="80"/>
      <c r="BY259" s="80"/>
      <c r="BZ259" s="80"/>
      <c r="CA259" s="80"/>
      <c r="CB259" s="80"/>
      <c r="CC259" s="80"/>
      <c r="CD259" s="80"/>
      <c r="CE259" s="80"/>
      <c r="CF259" s="80"/>
      <c r="CG259" s="80"/>
      <c r="CH259" s="80"/>
      <c r="CI259" s="80"/>
      <c r="CJ259" s="80"/>
      <c r="CK259" s="2"/>
    </row>
    <row r="260" ht="14.25" customHeight="1">
      <c r="A260" s="85">
        <f>IFERROR(__xludf.DUMMYFUNCTION("""COMPUTED_VALUE"""),257.0)</f>
        <v>257</v>
      </c>
      <c r="B260" s="85"/>
      <c r="C260" s="85"/>
      <c r="D260" s="86"/>
      <c r="E260" s="88"/>
      <c r="F260" s="85"/>
      <c r="G260" s="86"/>
      <c r="H260" s="85"/>
      <c r="I260" s="85"/>
      <c r="J260" s="85"/>
      <c r="K260" s="85"/>
      <c r="L260" s="85"/>
      <c r="M260" s="85" t="str">
        <f>IFERROR(__xludf.DUMMYFUNCTION("""COMPUTED_VALUE"""),"ü")</f>
        <v>ü</v>
      </c>
      <c r="N260" s="85"/>
      <c r="O260" s="85"/>
      <c r="P260" s="85" t="str">
        <f>IFERROR(__xludf.DUMMYFUNCTION("""COMPUTED_VALUE"""),"53BSPA04962JBMZL")</f>
        <v>53BSPA04962JBMZL</v>
      </c>
      <c r="Q260" s="85" t="str">
        <f>IFERROR(__xludf.DUMMYFUNCTION("""COMPUTED_VALUE"""),"MUC ZELDA")</f>
        <v>MUC ZELDA</v>
      </c>
      <c r="R260" s="85" t="str">
        <f>IFERROR(__xludf.DUMMYFUNCTION("""COMPUTED_VALUE"""),"MUC ZELDA")</f>
        <v>MUC ZELDA</v>
      </c>
      <c r="S260" s="85" t="str">
        <f>IFERROR(__xludf.DUMMYFUNCTION("""COMPUTED_VALUE"""),"FATHUR RAHMAN")</f>
        <v>FATHUR RAHMAN</v>
      </c>
      <c r="T260" s="85" t="str">
        <f>IFERROR(__xludf.DUMMYFUNCTION("""COMPUTED_VALUE"""),"PERUM Grand Cikarang City 2 Blok J5 No 40")</f>
        <v>PERUM Grand Cikarang City 2 Blok J5 No 40</v>
      </c>
      <c r="U260" s="85" t="str">
        <f>IFERROR(__xludf.DUMMYFUNCTION("""COMPUTED_VALUE"""),"Perumahan Grand Cikarang City 2 Blok J5 No 40")</f>
        <v>Perumahan Grand Cikarang City 2 Blok J5 No 40</v>
      </c>
      <c r="V260" s="85"/>
      <c r="W260" s="85" t="str">
        <f>IFERROR(__xludf.DUMMYFUNCTION("""COMPUTED_VALUE"""),"KEDUNGWARINGIN")</f>
        <v>KEDUNGWARINGIN</v>
      </c>
      <c r="X260" s="85" t="str">
        <f>IFERROR(__xludf.DUMMYFUNCTION("""COMPUTED_VALUE"""),"KEDUNG WARINGIN")</f>
        <v>KEDUNG WARINGIN</v>
      </c>
      <c r="Y260" s="85" t="str">
        <f>IFERROR(__xludf.DUMMYFUNCTION("""COMPUTED_VALUE"""),"BEKASI")</f>
        <v>BEKASI</v>
      </c>
      <c r="Z260" s="85" t="str">
        <f>IFERROR(__xludf.DUMMYFUNCTION("""COMPUTED_VALUE"""),"JAWA BARAT")</f>
        <v>JAWA BARAT</v>
      </c>
      <c r="AA260" s="85" t="str">
        <f>IFERROR(__xludf.DUMMYFUNCTION("""COMPUTED_VALUE"""),"17540")</f>
        <v>17540</v>
      </c>
      <c r="AB260" s="85" t="str">
        <f>IFERROR(__xludf.DUMMYFUNCTION("""COMPUTED_VALUE"""),"3172022111810015")</f>
        <v>3172022111810015</v>
      </c>
      <c r="AC260" s="85" t="str">
        <f>IFERROR(__xludf.DUMMYFUNCTION("""COMPUTED_VALUE"""),"81.413.901.0-042.000")</f>
        <v>81.413.901.0-042.000</v>
      </c>
      <c r="AD260" s="85" t="str">
        <f>IFERROR(__xludf.DUMMYFUNCTION("""COMPUTED_VALUE"""),"CUM - PS - SITIH")</f>
        <v>CUM - PS - SITIH</v>
      </c>
      <c r="AE260" s="85" t="str">
        <f>IFERROR(__xludf.DUMMYFUNCTION("""COMPUTED_VALUE"""),"SUB SITI POS")</f>
        <v>SUB SITI POS</v>
      </c>
      <c r="AF260" s="85" t="str">
        <f>IFERROR(__xludf.DUMMYFUNCTION("""COMPUTED_VALUE"""),"081311113971")</f>
        <v>081311113971</v>
      </c>
      <c r="AG260" s="85"/>
      <c r="AH260" s="85" t="str">
        <f>IFERROR(__xludf.DUMMYFUNCTION("""COMPUTED_VALUE"""),"indo.brokerforex@gmail.com")</f>
        <v>indo.brokerforex@gmail.com</v>
      </c>
      <c r="AI260" s="85" t="str">
        <f>IFERROR(__xludf.DUMMYFUNCTION("""COMPUTED_VALUE"""),"17541S1")</f>
        <v>17541S1</v>
      </c>
      <c r="AJ260" s="85" t="str">
        <f>IFERROR(__xludf.DUMMYFUNCTION("""COMPUTED_VALUE"""),"66c6acea0d6775a7070661cb")</f>
        <v>66c6acea0d6775a7070661cb</v>
      </c>
      <c r="AK260" s="85" t="str">
        <f>IFERROR(__xludf.DUMMYFUNCTION("""COMPUTED_VALUE"""),"dm17541s1")</f>
        <v>dm17541s1</v>
      </c>
      <c r="AL260" s="85" t="str">
        <f>IFERROR(__xludf.DUMMYFUNCTION("""COMPUTED_VALUE""")," #17541Pos")</f>
        <v> #17541Pos</v>
      </c>
      <c r="AM260" s="85" t="str">
        <f>IFERROR(__xludf.DUMMYFUNCTION("""COMPUTED_VALUE"""),"KANTOR REGONAL II JAKARTA 10004")</f>
        <v>KANTOR REGONAL II JAKARTA 10004</v>
      </c>
      <c r="AN260" s="85" t="str">
        <f>IFERROR(__xludf.DUMMYFUNCTION("""COMPUTED_VALUE"""),"KC CIKARANG 17500")</f>
        <v>KC CIKARANG 17500</v>
      </c>
      <c r="AO260" s="85" t="str">
        <f>IFERROR(__xludf.DUMMYFUNCTION("""COMPUTED_VALUE"""),"0201240035179")</f>
        <v>0201240035179</v>
      </c>
      <c r="AP260" s="85" t="str">
        <f>IFERROR(__xludf.DUMMYFUNCTION("""COMPUTED_VALUE"""),"02012400351790001")</f>
        <v>02012400351790001</v>
      </c>
      <c r="AQ260" s="93"/>
      <c r="AR260" s="85"/>
      <c r="AS260" s="85"/>
      <c r="AT260" s="85" t="str">
        <f>IFERROR(__xludf.DUMMYFUNCTION("""COMPUTED_VALUE"""),"-6.254781")</f>
        <v>-6.254781</v>
      </c>
      <c r="AU260" s="85" t="str">
        <f>IFERROR(__xludf.DUMMYFUNCTION("""COMPUTED_VALUE"""),"107.265564")</f>
        <v>107.265564</v>
      </c>
      <c r="AV260" s="85"/>
      <c r="AW260" s="85"/>
      <c r="AX260" s="85"/>
      <c r="AY260" s="85"/>
      <c r="AZ260" s="85"/>
      <c r="BA260" s="85"/>
      <c r="BB260" s="85"/>
      <c r="BC260" s="85"/>
      <c r="BD260" s="85"/>
      <c r="BE260" s="85"/>
      <c r="BF260" s="85"/>
      <c r="BG260" s="85"/>
      <c r="BH260" s="85"/>
      <c r="BI260" s="85"/>
      <c r="BJ260" s="85"/>
      <c r="BK260" s="85"/>
      <c r="BL260" s="85"/>
      <c r="BM260" s="85"/>
      <c r="BN260" s="85"/>
      <c r="BO260" s="85"/>
      <c r="BP260" s="85"/>
      <c r="BQ260" s="85"/>
      <c r="BR260" s="85"/>
      <c r="BS260" s="85"/>
      <c r="BT260" s="85"/>
      <c r="BU260" s="85"/>
      <c r="BV260" s="85"/>
      <c r="BW260" s="85"/>
      <c r="BX260" s="85"/>
      <c r="BY260" s="85"/>
      <c r="BZ260" s="85"/>
      <c r="CA260" s="85"/>
      <c r="CB260" s="85"/>
      <c r="CC260" s="85"/>
      <c r="CD260" s="85"/>
      <c r="CE260" s="85"/>
      <c r="CF260" s="85"/>
      <c r="CG260" s="85"/>
      <c r="CH260" s="85"/>
      <c r="CI260" s="85"/>
      <c r="CJ260" s="85"/>
      <c r="CK260" s="2"/>
    </row>
    <row r="261" ht="12.75" customHeight="1">
      <c r="A261" s="80">
        <f>IFERROR(__xludf.DUMMYFUNCTION("""COMPUTED_VALUE"""),258.0)</f>
        <v>258</v>
      </c>
      <c r="B261" s="80"/>
      <c r="C261" s="80"/>
      <c r="D261" s="81"/>
      <c r="E261" s="82"/>
      <c r="F261" s="80"/>
      <c r="G261" s="81"/>
      <c r="H261" s="80"/>
      <c r="I261" s="80"/>
      <c r="J261" s="80"/>
      <c r="K261" s="80"/>
      <c r="L261" s="80"/>
      <c r="M261" s="80" t="str">
        <f>IFERROR(__xludf.DUMMYFUNCTION("""COMPUTED_VALUE"""),"ü")</f>
        <v>ü</v>
      </c>
      <c r="N261" s="80"/>
      <c r="O261" s="80"/>
      <c r="P261" s="80" t="str">
        <f>IFERROR(__xludf.DUMMYFUNCTION("""COMPUTED_VALUE"""),"52BSPA07660JTEVA")</f>
        <v>52BSPA07660JTEVA</v>
      </c>
      <c r="Q261" s="80" t="str">
        <f>IFERROR(__xludf.DUMMYFUNCTION("""COMPUTED_VALUE"""),"MUC EVA")</f>
        <v>MUC EVA</v>
      </c>
      <c r="R261" s="80" t="str">
        <f>IFERROR(__xludf.DUMMYFUNCTION("""COMPUTED_VALUE"""),"MUC EVA")</f>
        <v>MUC EVA</v>
      </c>
      <c r="S261" s="80" t="str">
        <f>IFERROR(__xludf.DUMMYFUNCTION("""COMPUTED_VALUE"""),"EVA PRATIWI")</f>
        <v>EVA PRATIWI</v>
      </c>
      <c r="T261" s="80" t="str">
        <f>IFERROR(__xludf.DUMMYFUNCTION("""COMPUTED_VALUE"""),"JL. MATEMATIKA NO. 31 POJOK TIYASAN CONDONG CATUR SLEMAN")</f>
        <v>JL. MATEMATIKA NO. 31 POJOK TIYASAN CONDONG CATUR SLEMAN</v>
      </c>
      <c r="U261" s="80" t="str">
        <f>IFERROR(__xludf.DUMMYFUNCTION("""COMPUTED_VALUE"""),"JL. MATEMATIKA NO. 31 POJOK TIYASAN")</f>
        <v>JL. MATEMATIKA NO. 31 POJOK TIYASAN</v>
      </c>
      <c r="V261" s="80"/>
      <c r="W261" s="80" t="str">
        <f>IFERROR(__xludf.DUMMYFUNCTION("""COMPUTED_VALUE"""),"CONDONG CATUR")</f>
        <v>CONDONG CATUR</v>
      </c>
      <c r="X261" s="80" t="str">
        <f>IFERROR(__xludf.DUMMYFUNCTION("""COMPUTED_VALUE"""),"DEPOK")</f>
        <v>DEPOK</v>
      </c>
      <c r="Y261" s="80" t="str">
        <f>IFERROR(__xludf.DUMMYFUNCTION("""COMPUTED_VALUE"""),"SLEMAN")</f>
        <v>SLEMAN</v>
      </c>
      <c r="Z261" s="80" t="str">
        <f>IFERROR(__xludf.DUMMYFUNCTION("""COMPUTED_VALUE"""),"YOGYAKARTA")</f>
        <v>YOGYAKARTA</v>
      </c>
      <c r="AA261" s="80" t="str">
        <f>IFERROR(__xludf.DUMMYFUNCTION("""COMPUTED_VALUE"""),"55218")</f>
        <v>55218</v>
      </c>
      <c r="AB261" s="80" t="str">
        <f>IFERROR(__xludf.DUMMYFUNCTION("""COMPUTED_VALUE"""),"3404076203800001")</f>
        <v>3404076203800001</v>
      </c>
      <c r="AC261" s="80" t="str">
        <f>IFERROR(__xludf.DUMMYFUNCTION("""COMPUTED_VALUE"""),"14.188.695.2-542.000")</f>
        <v>14.188.695.2-542.000</v>
      </c>
      <c r="AD261" s="80" t="str">
        <f>IFERROR(__xludf.DUMMYFUNCTION("""COMPUTED_VALUE"""),"CUM - PS - BPKT")</f>
        <v>CUM - PS - BPKT</v>
      </c>
      <c r="AE261" s="80" t="str">
        <f>IFERROR(__xludf.DUMMYFUNCTION("""COMPUTED_VALUE"""),"SUB PURBO POS")</f>
        <v>SUB PURBO POS</v>
      </c>
      <c r="AF261" s="80" t="str">
        <f>IFERROR(__xludf.DUMMYFUNCTION("""COMPUTED_VALUE"""),"082322539303")</f>
        <v>082322539303</v>
      </c>
      <c r="AG261" s="80"/>
      <c r="AH261" s="80" t="str">
        <f>IFERROR(__xludf.DUMMYFUNCTION("""COMPUTED_VALUE"""),"evap2214@gmail.com ")</f>
        <v>evap2214@gmail.com </v>
      </c>
      <c r="AI261" s="80" t="str">
        <f>IFERROR(__xludf.DUMMYFUNCTION("""COMPUTED_VALUE"""),"55598SH")</f>
        <v>55598SH</v>
      </c>
      <c r="AJ261" s="80" t="str">
        <f>IFERROR(__xludf.DUMMYFUNCTION("""COMPUTED_VALUE"""),"66c6bf79f72e4536fc0533d4")</f>
        <v>66c6bf79f72e4536fc0533d4</v>
      </c>
      <c r="AK261" s="80" t="str">
        <f>IFERROR(__xludf.DUMMYFUNCTION("""COMPUTED_VALUE"""),"dm55598sh")</f>
        <v>dm55598sh</v>
      </c>
      <c r="AL261" s="80" t="str">
        <f>IFERROR(__xludf.DUMMYFUNCTION("""COMPUTED_VALUE""")," #55598Pos")</f>
        <v> #55598Pos</v>
      </c>
      <c r="AM261" s="80" t="str">
        <f>IFERROR(__xludf.DUMMYFUNCTION("""COMPUTED_VALUE"""),"KANTOR REGIONAL IV SEMARANG 50004")</f>
        <v>KANTOR REGIONAL IV SEMARANG 50004</v>
      </c>
      <c r="AN261" s="80" t="str">
        <f>IFERROR(__xludf.DUMMYFUNCTION("""COMPUTED_VALUE"""),"KCU YOGYAKARTA 55000")</f>
        <v>KCU YOGYAKARTA 55000</v>
      </c>
      <c r="AO261" s="80" t="str">
        <f>IFERROR(__xludf.DUMMYFUNCTION("""COMPUTED_VALUE"""),"1608240048203")</f>
        <v>1608240048203</v>
      </c>
      <c r="AP261" s="80" t="str">
        <f>IFERROR(__xludf.DUMMYFUNCTION("""COMPUTED_VALUE"""),"16082400482030001")</f>
        <v>16082400482030001</v>
      </c>
      <c r="AQ261" s="83"/>
      <c r="AR261" s="80"/>
      <c r="AS261" s="80"/>
      <c r="AT261" s="80" t="str">
        <f>IFERROR(__xludf.DUMMYFUNCTION("""COMPUTED_VALUE"""),"-7.737489")</f>
        <v>-7.737489</v>
      </c>
      <c r="AU261" s="80" t="str">
        <f>IFERROR(__xludf.DUMMYFUNCTION("""COMPUTED_VALUE"""),"110.3986664")</f>
        <v>110.3986664</v>
      </c>
      <c r="AV261" s="80"/>
      <c r="AW261" s="80"/>
      <c r="AX261" s="80"/>
      <c r="AY261" s="80"/>
      <c r="AZ261" s="80"/>
      <c r="BA261" s="80"/>
      <c r="BB261" s="80"/>
      <c r="BC261" s="80"/>
      <c r="BD261" s="80"/>
      <c r="BE261" s="80"/>
      <c r="BF261" s="80"/>
      <c r="BG261" s="80"/>
      <c r="BH261" s="80"/>
      <c r="BI261" s="80"/>
      <c r="BJ261" s="80"/>
      <c r="BK261" s="80"/>
      <c r="BL261" s="80"/>
      <c r="BM261" s="80"/>
      <c r="BN261" s="80"/>
      <c r="BO261" s="80"/>
      <c r="BP261" s="80"/>
      <c r="BQ261" s="80"/>
      <c r="BR261" s="80"/>
      <c r="BS261" s="80"/>
      <c r="BT261" s="80"/>
      <c r="BU261" s="80"/>
      <c r="BV261" s="80"/>
      <c r="BW261" s="80"/>
      <c r="BX261" s="80"/>
      <c r="BY261" s="80"/>
      <c r="BZ261" s="80"/>
      <c r="CA261" s="80"/>
      <c r="CB261" s="80"/>
      <c r="CC261" s="80"/>
      <c r="CD261" s="80"/>
      <c r="CE261" s="80"/>
      <c r="CF261" s="80"/>
      <c r="CG261" s="80"/>
      <c r="CH261" s="80"/>
      <c r="CI261" s="80"/>
      <c r="CJ261" s="80"/>
      <c r="CK261" s="2"/>
    </row>
    <row r="262" ht="12.75" customHeight="1">
      <c r="A262" s="85">
        <f>IFERROR(__xludf.DUMMYFUNCTION("""COMPUTED_VALUE"""),259.0)</f>
        <v>259</v>
      </c>
      <c r="B262" s="85"/>
      <c r="C262" s="85"/>
      <c r="D262" s="86"/>
      <c r="E262" s="88"/>
      <c r="F262" s="85"/>
      <c r="G262" s="86"/>
      <c r="H262" s="85"/>
      <c r="I262" s="85"/>
      <c r="J262" s="85"/>
      <c r="K262" s="85"/>
      <c r="L262" s="85"/>
      <c r="M262" s="85" t="str">
        <f>IFERROR(__xludf.DUMMYFUNCTION("""COMPUTED_VALUE"""),"ü")</f>
        <v>ü</v>
      </c>
      <c r="N262" s="85"/>
      <c r="O262" s="85"/>
      <c r="P262" s="85" t="str">
        <f>IFERROR(__xludf.DUMMYFUNCTION("""COMPUTED_VALUE"""),"52BSPA07661JTIKM")</f>
        <v>52BSPA07661JTIKM</v>
      </c>
      <c r="Q262" s="85" t="str">
        <f>IFERROR(__xludf.DUMMYFUNCTION("""COMPUTED_VALUE"""),"MUC IHSAN KARYA MANDIRI SERVICES")</f>
        <v>MUC IHSAN KARYA MANDIRI SERVICES</v>
      </c>
      <c r="R262" s="85" t="str">
        <f>IFERROR(__xludf.DUMMYFUNCTION("""COMPUTED_VALUE"""),"MUC IHSAN KARYA MANDIRI SERVICES")</f>
        <v>MUC IHSAN KARYA MANDIRI SERVICES</v>
      </c>
      <c r="S262" s="85" t="str">
        <f>IFERROR(__xludf.DUMMYFUNCTION("""COMPUTED_VALUE"""),"IWAN ROCHMULYADI")</f>
        <v>IWAN ROCHMULYADI</v>
      </c>
      <c r="T262" s="85" t="str">
        <f>IFERROR(__xludf.DUMMYFUNCTION("""COMPUTED_VALUE"""),"GRAHA INDIRA BLK K 5/29")</f>
        <v>GRAHA INDIRA BLK K 5/29</v>
      </c>
      <c r="U262" s="85" t="str">
        <f>IFERROR(__xludf.DUMMYFUNCTION("""COMPUTED_VALUE"""),"Jl. Karangmojo - Wonosari, Kayuwalang")</f>
        <v>Jl. Karangmojo - Wonosari, Kayuwalang</v>
      </c>
      <c r="V262" s="85"/>
      <c r="W262" s="85" t="str">
        <f>IFERROR(__xludf.DUMMYFUNCTION("""COMPUTED_VALUE"""),"DESA WILADEG")</f>
        <v>DESA WILADEG</v>
      </c>
      <c r="X262" s="85" t="str">
        <f>IFERROR(__xludf.DUMMYFUNCTION("""COMPUTED_VALUE"""),"KARANG MOJO")</f>
        <v>KARANG MOJO</v>
      </c>
      <c r="Y262" s="85" t="str">
        <f>IFERROR(__xludf.DUMMYFUNCTION("""COMPUTED_VALUE"""),"KAB. GUNUNGKIDUL")</f>
        <v>KAB. GUNUNGKIDUL</v>
      </c>
      <c r="Z262" s="85" t="str">
        <f>IFERROR(__xludf.DUMMYFUNCTION("""COMPUTED_VALUE"""),"YOGYAKARTA")</f>
        <v>YOGYAKARTA</v>
      </c>
      <c r="AA262" s="85" t="str">
        <f>IFERROR(__xludf.DUMMYFUNCTION("""COMPUTED_VALUE"""),"55891")</f>
        <v>55891</v>
      </c>
      <c r="AB262" s="85" t="str">
        <f>IFERROR(__xludf.DUMMYFUNCTION("""COMPUTED_VALUE"""),"3603190305680002")</f>
        <v>3603190305680002</v>
      </c>
      <c r="AC262" s="85" t="str">
        <f>IFERROR(__xludf.DUMMYFUNCTION("""COMPUTED_VALUE"""),"48.171.502.7-402.000")</f>
        <v>48.171.502.7-402.000</v>
      </c>
      <c r="AD262" s="85" t="str">
        <f>IFERROR(__xludf.DUMMYFUNCTION("""COMPUTED_VALUE"""),"CUM - PS - ARKW")</f>
        <v>CUM - PS - ARKW</v>
      </c>
      <c r="AE262" s="85" t="str">
        <f>IFERROR(__xludf.DUMMYFUNCTION("""COMPUTED_VALUE"""),"SUB ARIF POS")</f>
        <v>SUB ARIF POS</v>
      </c>
      <c r="AF262" s="85" t="str">
        <f>IFERROR(__xludf.DUMMYFUNCTION("""COMPUTED_VALUE"""),"0895339429158")</f>
        <v>0895339429158</v>
      </c>
      <c r="AG262" s="85"/>
      <c r="AH262" s="85" t="str">
        <f>IFERROR(__xludf.DUMMYFUNCTION("""COMPUTED_VALUE"""),"iwankalman@gmail.com")</f>
        <v>iwankalman@gmail.com</v>
      </c>
      <c r="AI262" s="85" t="str">
        <f>IFERROR(__xludf.DUMMYFUNCTION("""COMPUTED_VALUE"""),"55891S3")</f>
        <v>55891S3</v>
      </c>
      <c r="AJ262" s="85" t="str">
        <f>IFERROR(__xludf.DUMMYFUNCTION("""COMPUTED_VALUE"""),"66d28ae1c553b51b250a4cd7")</f>
        <v>66d28ae1c553b51b250a4cd7</v>
      </c>
      <c r="AK262" s="85" t="str">
        <f>IFERROR(__xludf.DUMMYFUNCTION("""COMPUTED_VALUE"""),"dm55891s3")</f>
        <v>dm55891s3</v>
      </c>
      <c r="AL262" s="85" t="str">
        <f>IFERROR(__xludf.DUMMYFUNCTION("""COMPUTED_VALUE""")," #55891Pos")</f>
        <v> #55891Pos</v>
      </c>
      <c r="AM262" s="85" t="str">
        <f>IFERROR(__xludf.DUMMYFUNCTION("""COMPUTED_VALUE"""),"KANTOR REGIONAL IV SEMARANG 50004")</f>
        <v>KANTOR REGIONAL IV SEMARANG 50004</v>
      </c>
      <c r="AN262" s="85" t="str">
        <f>IFERROR(__xludf.DUMMYFUNCTION("""COMPUTED_VALUE"""),"KC WONOSARIYOGYA 55800")</f>
        <v>KC WONOSARIYOGYA 55800</v>
      </c>
      <c r="AO262" s="85" t="str">
        <f>IFERROR(__xludf.DUMMYFUNCTION("""COMPUTED_VALUE"""),"1508240051949")</f>
        <v>1508240051949</v>
      </c>
      <c r="AP262" s="85" t="str">
        <f>IFERROR(__xludf.DUMMYFUNCTION("""COMPUTED_VALUE"""),"15082400519490001")</f>
        <v>15082400519490001</v>
      </c>
      <c r="AQ262" s="93"/>
      <c r="AR262" s="85"/>
      <c r="AS262" s="85"/>
      <c r="AT262" s="85" t="str">
        <f>IFERROR(__xludf.DUMMYFUNCTION("""COMPUTED_VALUE"""),"-7.9581399")</f>
        <v>-7.9581399</v>
      </c>
      <c r="AU262" s="85" t="str">
        <f>IFERROR(__xludf.DUMMYFUNCTION("""COMPUTED_VALUE"""),"110.6384013")</f>
        <v>110.6384013</v>
      </c>
      <c r="AV262" s="85"/>
      <c r="AW262" s="85"/>
      <c r="AX262" s="85" t="str">
        <f>IFERROR(__xludf.DUMMYFUNCTION("""COMPUTED_VALUE"""),"ü")</f>
        <v>ü</v>
      </c>
      <c r="AY262" s="85"/>
      <c r="AZ262" s="85"/>
      <c r="BA262" s="85"/>
      <c r="BB262" s="85"/>
      <c r="BC262" s="85"/>
      <c r="BD262" s="85"/>
      <c r="BE262" s="85"/>
      <c r="BF262" s="85"/>
      <c r="BG262" s="85"/>
      <c r="BH262" s="85"/>
      <c r="BI262" s="85"/>
      <c r="BJ262" s="85"/>
      <c r="BK262" s="85"/>
      <c r="BL262" s="85"/>
      <c r="BM262" s="85"/>
      <c r="BN262" s="85"/>
      <c r="BO262" s="85"/>
      <c r="BP262" s="85"/>
      <c r="BQ262" s="85"/>
      <c r="BR262" s="85"/>
      <c r="BS262" s="85"/>
      <c r="BT262" s="85"/>
      <c r="BU262" s="85"/>
      <c r="BV262" s="85"/>
      <c r="BW262" s="85"/>
      <c r="BX262" s="85"/>
      <c r="BY262" s="85"/>
      <c r="BZ262" s="85"/>
      <c r="CA262" s="85"/>
      <c r="CB262" s="85"/>
      <c r="CC262" s="85"/>
      <c r="CD262" s="85"/>
      <c r="CE262" s="85"/>
      <c r="CF262" s="85"/>
      <c r="CG262" s="85"/>
      <c r="CH262" s="85"/>
      <c r="CI262" s="85"/>
      <c r="CJ262" s="85"/>
      <c r="CK262" s="2"/>
    </row>
    <row r="263" ht="12.75" customHeight="1">
      <c r="A263" s="80">
        <f>IFERROR(__xludf.DUMMYFUNCTION("""COMPUTED_VALUE"""),260.0)</f>
        <v>260</v>
      </c>
      <c r="B263" s="80"/>
      <c r="C263" s="80"/>
      <c r="D263" s="81"/>
      <c r="E263" s="82"/>
      <c r="F263" s="80"/>
      <c r="G263" s="81"/>
      <c r="H263" s="80"/>
      <c r="I263" s="80"/>
      <c r="J263" s="80"/>
      <c r="K263" s="80"/>
      <c r="L263" s="80"/>
      <c r="M263" s="80" t="str">
        <f>IFERROR(__xludf.DUMMYFUNCTION("""COMPUTED_VALUE"""),"ü")</f>
        <v>ü</v>
      </c>
      <c r="N263" s="80"/>
      <c r="O263" s="80"/>
      <c r="P263" s="80" t="str">
        <f>IFERROR(__xludf.DUMMYFUNCTION("""COMPUTED_VALUE"""),"53BSPA04963JBGGN")</f>
        <v>53BSPA04963JBGGN</v>
      </c>
      <c r="Q263" s="80" t="str">
        <f>IFERROR(__xludf.DUMMYFUNCTION("""COMPUTED_VALUE"""),"MUC MASYHURI")</f>
        <v>MUC MASYHURI</v>
      </c>
      <c r="R263" s="80" t="str">
        <f>IFERROR(__xludf.DUMMYFUNCTION("""COMPUTED_VALUE"""),"MUC MASYHURI")</f>
        <v>MUC MASYHURI</v>
      </c>
      <c r="S263" s="80" t="str">
        <f>IFERROR(__xludf.DUMMYFUNCTION("""COMPUTED_VALUE"""),"MASYHURI")</f>
        <v>MASYHURI</v>
      </c>
      <c r="T263" s="80" t="str">
        <f>IFERROR(__xludf.DUMMYFUNCTION("""COMPUTED_VALUE"""),"JL. CILEDUG RAYA NO. 88 RT 003 RW 004")</f>
        <v>JL. CILEDUG RAYA NO. 88 RT 003 RW 004</v>
      </c>
      <c r="U263" s="80" t="str">
        <f>IFERROR(__xludf.DUMMYFUNCTION("""COMPUTED_VALUE""")," JL. CIPULIR I RT 003 RW 008")</f>
        <v> JL. CIPULIR I RT 003 RW 008</v>
      </c>
      <c r="V263" s="80"/>
      <c r="W263" s="80" t="str">
        <f>IFERROR(__xludf.DUMMYFUNCTION("""COMPUTED_VALUE"""),"CIPULIR")</f>
        <v>CIPULIR</v>
      </c>
      <c r="X263" s="80" t="str">
        <f>IFERROR(__xludf.DUMMYFUNCTION("""COMPUTED_VALUE"""),"KEBAYORAN LAMA")</f>
        <v>KEBAYORAN LAMA</v>
      </c>
      <c r="Y263" s="80" t="str">
        <f>IFERROR(__xludf.DUMMYFUNCTION("""COMPUTED_VALUE"""),"JAKARTA SELATAN")</f>
        <v>JAKARTA SELATAN</v>
      </c>
      <c r="Z263" s="80" t="str">
        <f>IFERROR(__xludf.DUMMYFUNCTION("""COMPUTED_VALUE"""),"DKI JAKARTA")</f>
        <v>DKI JAKARTA</v>
      </c>
      <c r="AA263" s="80" t="str">
        <f>IFERROR(__xludf.DUMMYFUNCTION("""COMPUTED_VALUE"""),"12230")</f>
        <v>12230</v>
      </c>
      <c r="AB263" s="80" t="str">
        <f>IFERROR(__xludf.DUMMYFUNCTION("""COMPUTED_VALUE"""),"3174052009760007")</f>
        <v>3174052009760007</v>
      </c>
      <c r="AC263" s="80" t="str">
        <f>IFERROR(__xludf.DUMMYFUNCTION("""COMPUTED_VALUE"""),"68.284.228.1-013.000")</f>
        <v>68.284.228.1-013.000</v>
      </c>
      <c r="AD263" s="80" t="str">
        <f>IFERROR(__xludf.DUMMYFUNCTION("""COMPUTED_VALUE"""),"CUM - PS - MIRS")</f>
        <v>CUM - PS - MIRS</v>
      </c>
      <c r="AE263" s="80" t="str">
        <f>IFERROR(__xludf.DUMMYFUNCTION("""COMPUTED_VALUE"""),"SUB ANGGA POS")</f>
        <v>SUB ANGGA POS</v>
      </c>
      <c r="AF263" s="80" t="str">
        <f>IFERROR(__xludf.DUMMYFUNCTION("""COMPUTED_VALUE"""),"081332302424")</f>
        <v>081332302424</v>
      </c>
      <c r="AG263" s="80"/>
      <c r="AH263" s="80" t="str">
        <f>IFERROR(__xludf.DUMMYFUNCTION("""COMPUTED_VALUE""")," masyhuri.husin@gmail.com")</f>
        <v> masyhuri.husin@gmail.com</v>
      </c>
      <c r="AI263" s="80" t="str">
        <f>IFERROR(__xludf.DUMMYFUNCTION("""COMPUTED_VALUE"""),"12230S1")</f>
        <v>12230S1</v>
      </c>
      <c r="AJ263" s="80" t="str">
        <f>IFERROR(__xludf.DUMMYFUNCTION("""COMPUTED_VALUE"""),"66d6ae49329edd51f20c8923")</f>
        <v>66d6ae49329edd51f20c8923</v>
      </c>
      <c r="AK263" s="80" t="str">
        <f>IFERROR(__xludf.DUMMYFUNCTION("""COMPUTED_VALUE"""),"dm12230s1")</f>
        <v>dm12230s1</v>
      </c>
      <c r="AL263" s="80" t="str">
        <f>IFERROR(__xludf.DUMMYFUNCTION("""COMPUTED_VALUE"""),"#12230Pos")</f>
        <v>#12230Pos</v>
      </c>
      <c r="AM263" s="80" t="str">
        <f>IFERROR(__xludf.DUMMYFUNCTION("""COMPUTED_VALUE"""),"KANTOR REGIONAL II JAKARTA 10004")</f>
        <v>KANTOR REGIONAL II JAKARTA 10004</v>
      </c>
      <c r="AN263" s="80" t="str">
        <f>IFERROR(__xludf.DUMMYFUNCTION("""COMPUTED_VALUE"""),"KCU JAKARTAFLORA 12000")</f>
        <v>KCU JAKARTAFLORA 12000</v>
      </c>
      <c r="AO263" s="80" t="str">
        <f>IFERROR(__xludf.DUMMYFUNCTION("""COMPUTED_VALUE"""),"1908240014469")</f>
        <v>1908240014469</v>
      </c>
      <c r="AP263" s="80" t="str">
        <f>IFERROR(__xludf.DUMMYFUNCTION("""COMPUTED_VALUE"""),"19082400144690001")</f>
        <v>19082400144690001</v>
      </c>
      <c r="AQ263" s="83"/>
      <c r="AR263" s="80"/>
      <c r="AS263" s="80"/>
      <c r="AT263" s="80" t="str">
        <f>IFERROR(__xludf.DUMMYFUNCTION("""COMPUTED_VALUE"""),"-6.2355947")</f>
        <v>-6.2355947</v>
      </c>
      <c r="AU263" s="80" t="str">
        <f>IFERROR(__xludf.DUMMYFUNCTION("""COMPUTED_VALUE"""),"106.7735965")</f>
        <v>106.7735965</v>
      </c>
      <c r="AV263" s="80"/>
      <c r="AW263" s="80"/>
      <c r="AX263" s="80" t="str">
        <f>IFERROR(__xludf.DUMMYFUNCTION("""COMPUTED_VALUE"""),"ü")</f>
        <v>ü</v>
      </c>
      <c r="AY263" s="80"/>
      <c r="AZ263" s="80"/>
      <c r="BA263" s="80"/>
      <c r="BB263" s="80"/>
      <c r="BC263" s="80"/>
      <c r="BD263" s="80"/>
      <c r="BE263" s="80"/>
      <c r="BF263" s="80"/>
      <c r="BG263" s="80"/>
      <c r="BH263" s="80"/>
      <c r="BI263" s="80"/>
      <c r="BJ263" s="80"/>
      <c r="BK263" s="80"/>
      <c r="BL263" s="80"/>
      <c r="BM263" s="80"/>
      <c r="BN263" s="80"/>
      <c r="BO263" s="80"/>
      <c r="BP263" s="80"/>
      <c r="BQ263" s="80"/>
      <c r="BR263" s="80"/>
      <c r="BS263" s="80"/>
      <c r="BT263" s="80"/>
      <c r="BU263" s="80"/>
      <c r="BV263" s="80"/>
      <c r="BW263" s="80"/>
      <c r="BX263" s="80"/>
      <c r="BY263" s="80"/>
      <c r="BZ263" s="80"/>
      <c r="CA263" s="80"/>
      <c r="CB263" s="80"/>
      <c r="CC263" s="80"/>
      <c r="CD263" s="80"/>
      <c r="CE263" s="80"/>
      <c r="CF263" s="80"/>
      <c r="CG263" s="80"/>
      <c r="CH263" s="80"/>
      <c r="CI263" s="80"/>
      <c r="CJ263" s="80"/>
      <c r="CK263" s="2"/>
    </row>
    <row r="264" ht="12.75" customHeight="1">
      <c r="A264" s="85">
        <f>IFERROR(__xludf.DUMMYFUNCTION("""COMPUTED_VALUE"""),261.0)</f>
        <v>261</v>
      </c>
      <c r="B264" s="85"/>
      <c r="C264" s="85"/>
      <c r="D264" s="86"/>
      <c r="E264" s="88"/>
      <c r="F264" s="85"/>
      <c r="G264" s="86"/>
      <c r="H264" s="85"/>
      <c r="I264" s="85"/>
      <c r="J264" s="85"/>
      <c r="K264" s="85"/>
      <c r="L264" s="85"/>
      <c r="M264" s="85" t="str">
        <f>IFERROR(__xludf.DUMMYFUNCTION("""COMPUTED_VALUE"""),"ü")</f>
        <v>ü</v>
      </c>
      <c r="N264" s="85"/>
      <c r="O264" s="85"/>
      <c r="P264" s="85" t="str">
        <f>IFERROR(__xludf.DUMMYFUNCTION("""COMPUTED_VALUE"""),"53BSPA04964JBDMI")</f>
        <v>53BSPA04964JBDMI</v>
      </c>
      <c r="Q264" s="85" t="str">
        <f>IFERROR(__xludf.DUMMYFUNCTION("""COMPUTED_VALUE"""),"MUC DOP Damai")</f>
        <v>MUC DOP Damai</v>
      </c>
      <c r="R264" s="85" t="str">
        <f>IFERROR(__xludf.DUMMYFUNCTION("""COMPUTED_VALUE"""),"MUC DOP Damai")</f>
        <v>MUC DOP Damai</v>
      </c>
      <c r="S264" s="85" t="str">
        <f>IFERROR(__xludf.DUMMYFUNCTION("""COMPUTED_VALUE"""),"Rakhmat Bahtiar")</f>
        <v>Rakhmat Bahtiar</v>
      </c>
      <c r="T264" s="85" t="str">
        <f>IFERROR(__xludf.DUMMYFUNCTION("""COMPUTED_VALUE""")," jl damai no 22A rt 2 rw 5 petukangan selatan, pesanggrahan, jaksel")</f>
        <v> jl damai no 22A rt 2 rw 5 petukangan selatan, pesanggrahan, jaksel</v>
      </c>
      <c r="U264" s="85" t="str">
        <f>IFERROR(__xludf.DUMMYFUNCTION("""COMPUTED_VALUE""")," jl damai no 22A rt 2 rw 5 petukangan selatan, pesanggrahan, jaksel")</f>
        <v> jl damai no 22A rt 2 rw 5 petukangan selatan, pesanggrahan, jaksel</v>
      </c>
      <c r="V264" s="85"/>
      <c r="W264" s="85" t="str">
        <f>IFERROR(__xludf.DUMMYFUNCTION("""COMPUTED_VALUE"""),"PETUKANGAN SELATAN")</f>
        <v>PETUKANGAN SELATAN</v>
      </c>
      <c r="X264" s="85" t="str">
        <f>IFERROR(__xludf.DUMMYFUNCTION("""COMPUTED_VALUE"""),"PESANGGRAHAN")</f>
        <v>PESANGGRAHAN</v>
      </c>
      <c r="Y264" s="85" t="str">
        <f>IFERROR(__xludf.DUMMYFUNCTION("""COMPUTED_VALUE"""),"JAKARTA SELATAN")</f>
        <v>JAKARTA SELATAN</v>
      </c>
      <c r="Z264" s="85" t="str">
        <f>IFERROR(__xludf.DUMMYFUNCTION("""COMPUTED_VALUE"""),"DKI JAKARTA")</f>
        <v>DKI JAKARTA</v>
      </c>
      <c r="AA264" s="85" t="str">
        <f>IFERROR(__xludf.DUMMYFUNCTION("""COMPUTED_VALUE"""),"12270")</f>
        <v>12270</v>
      </c>
      <c r="AB264" s="85" t="str">
        <f>IFERROR(__xludf.DUMMYFUNCTION("""COMPUTED_VALUE"""),"3174102904900007")</f>
        <v>3174102904900007</v>
      </c>
      <c r="AC264" s="85" t="str">
        <f>IFERROR(__xludf.DUMMYFUNCTION("""COMPUTED_VALUE"""),"45.722.510.0-013.000")</f>
        <v>45.722.510.0-013.000</v>
      </c>
      <c r="AD264" s="85" t="str">
        <f>IFERROR(__xludf.DUMMYFUNCTION("""COMPUTED_VALUE"""),"CUM - PS - MIRS")</f>
        <v>CUM - PS - MIRS</v>
      </c>
      <c r="AE264" s="85" t="str">
        <f>IFERROR(__xludf.DUMMYFUNCTION("""COMPUTED_VALUE"""),"SUB ANGGA POS")</f>
        <v>SUB ANGGA POS</v>
      </c>
      <c r="AF264" s="85" t="str">
        <f>IFERROR(__xludf.DUMMYFUNCTION("""COMPUTED_VALUE"""),"081228304400")</f>
        <v>081228304400</v>
      </c>
      <c r="AG264" s="85"/>
      <c r="AH264" s="85" t="str">
        <f>IFERROR(__xludf.DUMMYFUNCTION("""COMPUTED_VALUE"""),"multiandalanbersama@gmail.com")</f>
        <v>multiandalanbersama@gmail.com</v>
      </c>
      <c r="AI264" s="85" t="str">
        <f>IFERROR(__xludf.DUMMYFUNCTION("""COMPUTED_VALUE"""),"12270S4")</f>
        <v>12270S4</v>
      </c>
      <c r="AJ264" s="85" t="str">
        <f>IFERROR(__xludf.DUMMYFUNCTION("""COMPUTED_VALUE"""),"66d91ef74ec49bdadb0a0421")</f>
        <v>66d91ef74ec49bdadb0a0421</v>
      </c>
      <c r="AK264" s="85" t="str">
        <f>IFERROR(__xludf.DUMMYFUNCTION("""COMPUTED_VALUE"""),"dm12270s4")</f>
        <v>dm12270s4</v>
      </c>
      <c r="AL264" s="85" t="str">
        <f>IFERROR(__xludf.DUMMYFUNCTION("""COMPUTED_VALUE"""),"#12270Pos")</f>
        <v>#12270Pos</v>
      </c>
      <c r="AM264" s="85" t="str">
        <f>IFERROR(__xludf.DUMMYFUNCTION("""COMPUTED_VALUE"""),"KANTOR REGIONAL II JAKARTA 10004")</f>
        <v>KANTOR REGIONAL II JAKARTA 10004</v>
      </c>
      <c r="AN264" s="85" t="str">
        <f>IFERROR(__xludf.DUMMYFUNCTION("""COMPUTED_VALUE"""),"KCU JAKARTAFLORA 12000")</f>
        <v>KCU JAKARTAFLORA 12000</v>
      </c>
      <c r="AO264" s="85" t="str">
        <f>IFERROR(__xludf.DUMMYFUNCTION("""COMPUTED_VALUE"""),"1612220022476")</f>
        <v>1612220022476</v>
      </c>
      <c r="AP264" s="85" t="str">
        <f>IFERROR(__xludf.DUMMYFUNCTION("""COMPUTED_VALUE"""),"16122200224760001")</f>
        <v>16122200224760001</v>
      </c>
      <c r="AQ264" s="93"/>
      <c r="AR264" s="85"/>
      <c r="AS264" s="85"/>
      <c r="AT264" s="85" t="str">
        <f>IFERROR(__xludf.DUMMYFUNCTION("""COMPUTED_VALUE""")," -6.248066")</f>
        <v> -6.248066</v>
      </c>
      <c r="AU264" s="85" t="str">
        <f>IFERROR(__xludf.DUMMYFUNCTION("""COMPUTED_VALUE"""),"106.752645")</f>
        <v>106.752645</v>
      </c>
      <c r="AV264" s="85"/>
      <c r="AW264" s="85"/>
      <c r="AX264" s="85" t="str">
        <f>IFERROR(__xludf.DUMMYFUNCTION("""COMPUTED_VALUE"""),"ü")</f>
        <v>ü</v>
      </c>
      <c r="AY264" s="85"/>
      <c r="AZ264" s="85"/>
      <c r="BA264" s="85"/>
      <c r="BB264" s="85"/>
      <c r="BC264" s="85"/>
      <c r="BD264" s="85"/>
      <c r="BE264" s="85"/>
      <c r="BF264" s="85"/>
      <c r="BG264" s="85"/>
      <c r="BH264" s="85"/>
      <c r="BI264" s="85"/>
      <c r="BJ264" s="85"/>
      <c r="BK264" s="85"/>
      <c r="BL264" s="85"/>
      <c r="BM264" s="85"/>
      <c r="BN264" s="85"/>
      <c r="BO264" s="85"/>
      <c r="BP264" s="85"/>
      <c r="BQ264" s="85"/>
      <c r="BR264" s="85"/>
      <c r="BS264" s="85"/>
      <c r="BT264" s="85"/>
      <c r="BU264" s="85"/>
      <c r="BV264" s="85"/>
      <c r="BW264" s="85"/>
      <c r="BX264" s="85"/>
      <c r="BY264" s="85"/>
      <c r="BZ264" s="85"/>
      <c r="CA264" s="85"/>
      <c r="CB264" s="85"/>
      <c r="CC264" s="85"/>
      <c r="CD264" s="85"/>
      <c r="CE264" s="85"/>
      <c r="CF264" s="85"/>
      <c r="CG264" s="85"/>
      <c r="CH264" s="85"/>
      <c r="CI264" s="85"/>
      <c r="CJ264" s="85"/>
      <c r="CK264" s="2"/>
    </row>
    <row r="265" ht="12.75" customHeight="1">
      <c r="A265" s="80">
        <f>IFERROR(__xludf.DUMMYFUNCTION("""COMPUTED_VALUE"""),262.0)</f>
        <v>262</v>
      </c>
      <c r="B265" s="80"/>
      <c r="C265" s="80"/>
      <c r="D265" s="81"/>
      <c r="E265" s="82"/>
      <c r="F265" s="80"/>
      <c r="G265" s="81"/>
      <c r="H265" s="80"/>
      <c r="I265" s="80"/>
      <c r="J265" s="80"/>
      <c r="K265" s="80"/>
      <c r="L265" s="80"/>
      <c r="M265" s="80"/>
      <c r="N265" s="80" t="str">
        <f>IFERROR(__xludf.DUMMYFUNCTION("""COMPUTED_VALUE"""),"ü")</f>
        <v>ü</v>
      </c>
      <c r="O265" s="80"/>
      <c r="P265" s="80" t="str">
        <f>IFERROR(__xludf.DUMMYFUNCTION("""COMPUTED_VALUE"""),"53BSPA04965JBGGN")</f>
        <v>53BSPA04965JBGGN</v>
      </c>
      <c r="Q265" s="80" t="str">
        <f>IFERROR(__xludf.DUMMYFUNCTION("""COMPUTED_VALUE"""),"MUC WIN")</f>
        <v>MUC WIN</v>
      </c>
      <c r="R265" s="80" t="str">
        <f>IFERROR(__xludf.DUMMYFUNCTION("""COMPUTED_VALUE"""),"MUC WIN")</f>
        <v>MUC WIN</v>
      </c>
      <c r="S265" s="80" t="str">
        <f>IFERROR(__xludf.DUMMYFUNCTION("""COMPUTED_VALUE"""),"DONSIUS SETIAWAN ULYREKE")</f>
        <v>DONSIUS SETIAWAN ULYREKE</v>
      </c>
      <c r="T265" s="80" t="str">
        <f>IFERROR(__xludf.DUMMYFUNCTION("""COMPUTED_VALUE"""),"RSM Bidara Cina Blok IC No 444 Rt03/Rw 16 Bidara Cina Jatinegara ,Jakarta Timur")</f>
        <v>RSM Bidara Cina Blok IC No 444 Rt03/Rw 16 Bidara Cina Jatinegara ,Jakarta Timur</v>
      </c>
      <c r="U265" s="80" t="str">
        <f>IFERROR(__xludf.DUMMYFUNCTION("""COMPUTED_VALUE"""),"Cluster Griya Purwa,Jl.Purwa Raya I No 151")</f>
        <v>Cluster Griya Purwa,Jl.Purwa Raya I No 151</v>
      </c>
      <c r="V265" s="80"/>
      <c r="W265" s="80" t="str">
        <f>IFERROR(__xludf.DUMMYFUNCTION("""COMPUTED_VALUE"""),"CIPEDAK")</f>
        <v>CIPEDAK</v>
      </c>
      <c r="X265" s="80" t="str">
        <f>IFERROR(__xludf.DUMMYFUNCTION("""COMPUTED_VALUE"""),"JAGAKARSA")</f>
        <v>JAGAKARSA</v>
      </c>
      <c r="Y265" s="80" t="str">
        <f>IFERROR(__xludf.DUMMYFUNCTION("""COMPUTED_VALUE"""),"JAKARTA SELATAN")</f>
        <v>JAKARTA SELATAN</v>
      </c>
      <c r="Z265" s="80" t="str">
        <f>IFERROR(__xludf.DUMMYFUNCTION("""COMPUTED_VALUE"""),"DKI JAKARTA")</f>
        <v>DKI JAKARTA</v>
      </c>
      <c r="AA265" s="80" t="str">
        <f>IFERROR(__xludf.DUMMYFUNCTION("""COMPUTED_VALUE"""),"12630")</f>
        <v>12630</v>
      </c>
      <c r="AB265" s="80" t="str">
        <f>IFERROR(__xludf.DUMMYFUNCTION("""COMPUTED_VALUE"""),"3175032611800007")</f>
        <v>3175032611800007</v>
      </c>
      <c r="AC265" s="80" t="str">
        <f>IFERROR(__xludf.DUMMYFUNCTION("""COMPUTED_VALUE"""),"88.807.467.1-014.000")</f>
        <v>88.807.467.1-014.000</v>
      </c>
      <c r="AD265" s="80" t="str">
        <f>IFERROR(__xludf.DUMMYFUNCTION("""COMPUTED_VALUE"""),"CUM - PS - MIRS")</f>
        <v>CUM - PS - MIRS</v>
      </c>
      <c r="AE265" s="80" t="str">
        <f>IFERROR(__xludf.DUMMYFUNCTION("""COMPUTED_VALUE"""),"SUB ANGGA POS")</f>
        <v>SUB ANGGA POS</v>
      </c>
      <c r="AF265" s="80" t="str">
        <f>IFERROR(__xludf.DUMMYFUNCTION("""COMPUTED_VALUE"""),"08111341143")</f>
        <v>08111341143</v>
      </c>
      <c r="AG265" s="80"/>
      <c r="AH265" s="80" t="str">
        <f>IFERROR(__xludf.DUMMYFUNCTION("""COMPUTED_VALUE"""),"donsius@gmail.com")</f>
        <v>donsius@gmail.com</v>
      </c>
      <c r="AI265" s="80" t="str">
        <f>IFERROR(__xludf.DUMMYFUNCTION("""COMPUTED_VALUE"""),"12630S8")</f>
        <v>12630S8</v>
      </c>
      <c r="AJ265" s="80" t="str">
        <f>IFERROR(__xludf.DUMMYFUNCTION("""COMPUTED_VALUE"""),"66dab187942f6718410ce86f")</f>
        <v>66dab187942f6718410ce86f</v>
      </c>
      <c r="AK265" s="80" t="str">
        <f>IFERROR(__xludf.DUMMYFUNCTION("""COMPUTED_VALUE"""),"dm12630s8")</f>
        <v>dm12630s8</v>
      </c>
      <c r="AL265" s="80" t="str">
        <f>IFERROR(__xludf.DUMMYFUNCTION("""COMPUTED_VALUE"""),"#12630Pos")</f>
        <v>#12630Pos</v>
      </c>
      <c r="AM265" s="80" t="str">
        <f>IFERROR(__xludf.DUMMYFUNCTION("""COMPUTED_VALUE"""),"KANTOR REGIONAL II JAKARTA 10004")</f>
        <v>KANTOR REGIONAL II JAKARTA 10004</v>
      </c>
      <c r="AN265" s="80" t="str">
        <f>IFERROR(__xludf.DUMMYFUNCTION("""COMPUTED_VALUE"""),"KCU JAKARTAFLORA 12000")</f>
        <v>KCU JAKARTAFLORA 12000</v>
      </c>
      <c r="AO265" s="80" t="str">
        <f>IFERROR(__xludf.DUMMYFUNCTION("""COMPUTED_VALUE"""),"2008240010914")</f>
        <v>2008240010914</v>
      </c>
      <c r="AP265" s="80" t="str">
        <f>IFERROR(__xludf.DUMMYFUNCTION("""COMPUTED_VALUE"""),"20082400109140001")</f>
        <v>20082400109140001</v>
      </c>
      <c r="AQ265" s="83"/>
      <c r="AR265" s="80"/>
      <c r="AS265" s="80"/>
      <c r="AT265" s="80" t="str">
        <f>IFERROR(__xludf.DUMMYFUNCTION("""COMPUTED_VALUE"""),"-6.3556428")</f>
        <v>-6.3556428</v>
      </c>
      <c r="AU265" s="80" t="str">
        <f>IFERROR(__xludf.DUMMYFUNCTION("""COMPUTED_VALUE"""),"106.8078924")</f>
        <v>106.8078924</v>
      </c>
      <c r="AV265" s="80"/>
      <c r="AW265" s="80"/>
      <c r="AX265" s="80" t="str">
        <f>IFERROR(__xludf.DUMMYFUNCTION("""COMPUTED_VALUE"""),"ü")</f>
        <v>ü</v>
      </c>
      <c r="AY265" s="80"/>
      <c r="AZ265" s="80"/>
      <c r="BA265" s="80"/>
      <c r="BB265" s="80"/>
      <c r="BC265" s="80"/>
      <c r="BD265" s="80"/>
      <c r="BE265" s="80"/>
      <c r="BF265" s="80"/>
      <c r="BG265" s="80"/>
      <c r="BH265" s="80"/>
      <c r="BI265" s="80"/>
      <c r="BJ265" s="80"/>
      <c r="BK265" s="80"/>
      <c r="BL265" s="80"/>
      <c r="BM265" s="80"/>
      <c r="BN265" s="80"/>
      <c r="BO265" s="80"/>
      <c r="BP265" s="80"/>
      <c r="BQ265" s="80"/>
      <c r="BR265" s="80"/>
      <c r="BS265" s="80"/>
      <c r="BT265" s="80"/>
      <c r="BU265" s="80"/>
      <c r="BV265" s="80"/>
      <c r="BW265" s="80"/>
      <c r="BX265" s="80"/>
      <c r="BY265" s="80"/>
      <c r="BZ265" s="80"/>
      <c r="CA265" s="80"/>
      <c r="CB265" s="80"/>
      <c r="CC265" s="80"/>
      <c r="CD265" s="80"/>
      <c r="CE265" s="80"/>
      <c r="CF265" s="80"/>
      <c r="CG265" s="80"/>
      <c r="CH265" s="80"/>
      <c r="CI265" s="80"/>
      <c r="CJ265" s="80"/>
      <c r="CK265" s="2"/>
    </row>
    <row r="266" ht="12.75" customHeight="1">
      <c r="A266" s="85">
        <f>IFERROR(__xludf.DUMMYFUNCTION("""COMPUTED_VALUE"""),263.0)</f>
        <v>263</v>
      </c>
      <c r="B266" s="85"/>
      <c r="C266" s="85"/>
      <c r="D266" s="86"/>
      <c r="E266" s="88"/>
      <c r="F266" s="85"/>
      <c r="G266" s="86"/>
      <c r="H266" s="85"/>
      <c r="I266" s="85"/>
      <c r="J266" s="85"/>
      <c r="K266" s="85"/>
      <c r="L266" s="85"/>
      <c r="M266" s="85" t="str">
        <f>IFERROR(__xludf.DUMMYFUNCTION("""COMPUTED_VALUE"""),"ü")</f>
        <v>ü</v>
      </c>
      <c r="N266" s="85"/>
      <c r="O266" s="85"/>
      <c r="P266" s="85" t="str">
        <f>IFERROR(__xludf.DUMMYFUNCTION("""COMPUTED_VALUE"""),"53BSPA04966JBJHR")</f>
        <v>53BSPA04966JBJHR</v>
      </c>
      <c r="Q266" s="85" t="str">
        <f>IFERROR(__xludf.DUMMYFUNCTION("""COMPUTED_VALUE"""),"MUC JOHAR")</f>
        <v>MUC JOHAR</v>
      </c>
      <c r="R266" s="85" t="str">
        <f>IFERROR(__xludf.DUMMYFUNCTION("""COMPUTED_VALUE"""),"MUC JOHAR")</f>
        <v>MUC JOHAR</v>
      </c>
      <c r="S266" s="85" t="str">
        <f>IFERROR(__xludf.DUMMYFUNCTION("""COMPUTED_VALUE"""),"LEVINA")</f>
        <v>LEVINA</v>
      </c>
      <c r="T266" s="85" t="str">
        <f>IFERROR(__xludf.DUMMYFUNCTION("""COMPUTED_VALUE"""),"bumi telukjambe blok B 21")</f>
        <v>bumi telukjambe blok B 21</v>
      </c>
      <c r="U266" s="85" t="str">
        <f>IFERROR(__xludf.DUMMYFUNCTION("""COMPUTED_VALUE"""),"jln.Bedeng adiarsa Johar timur no.7 Rt 01/09")</f>
        <v>jln.Bedeng adiarsa Johar timur no.7 Rt 01/09</v>
      </c>
      <c r="V266" s="85"/>
      <c r="W266" s="85" t="str">
        <f>IFERROR(__xludf.DUMMYFUNCTION("""COMPUTED_VALUE"""),"ADIARSA TIMUR")</f>
        <v>ADIARSA TIMUR</v>
      </c>
      <c r="X266" s="85" t="str">
        <f>IFERROR(__xludf.DUMMYFUNCTION("""COMPUTED_VALUE"""),"KARAWANG TIMUR")</f>
        <v>KARAWANG TIMUR</v>
      </c>
      <c r="Y266" s="85" t="str">
        <f>IFERROR(__xludf.DUMMYFUNCTION("""COMPUTED_VALUE"""),"KARAWANG")</f>
        <v>KARAWANG</v>
      </c>
      <c r="Z266" s="85" t="str">
        <f>IFERROR(__xludf.DUMMYFUNCTION("""COMPUTED_VALUE"""),"JAWA BARAT")</f>
        <v>JAWA BARAT</v>
      </c>
      <c r="AA266" s="85" t="str">
        <f>IFERROR(__xludf.DUMMYFUNCTION("""COMPUTED_VALUE"""),"41336")</f>
        <v>41336</v>
      </c>
      <c r="AB266" s="85" t="str">
        <f>IFERROR(__xludf.DUMMYFUNCTION("""COMPUTED_VALUE"""),"3215036103820005")</f>
        <v>3215036103820005</v>
      </c>
      <c r="AC266" s="85" t="str">
        <f>IFERROR(__xludf.DUMMYFUNCTION("""COMPUTED_VALUE"""),"13.818.798.4-408.000")</f>
        <v>13.818.798.4-408.000</v>
      </c>
      <c r="AD266" s="85" t="str">
        <f>IFERROR(__xludf.DUMMYFUNCTION("""COMPUTED_VALUE"""),"CUM - PS - SITIH")</f>
        <v>CUM - PS - SITIH</v>
      </c>
      <c r="AE266" s="85" t="str">
        <f>IFERROR(__xludf.DUMMYFUNCTION("""COMPUTED_VALUE"""),"SUB SITI POS")</f>
        <v>SUB SITI POS</v>
      </c>
      <c r="AF266" s="85" t="str">
        <f>IFERROR(__xludf.DUMMYFUNCTION("""COMPUTED_VALUE"""),"085693839470")</f>
        <v>085693839470</v>
      </c>
      <c r="AG266" s="85"/>
      <c r="AH266" s="85" t="str">
        <f>IFERROR(__xludf.DUMMYFUNCTION("""COMPUTED_VALUE"""),"levina.wijoyanto@gmail.com")</f>
        <v>levina.wijoyanto@gmail.com</v>
      </c>
      <c r="AI266" s="85" t="str">
        <f>IFERROR(__xludf.DUMMYFUNCTION("""COMPUTED_VALUE"""),"41322S1")</f>
        <v>41322S1</v>
      </c>
      <c r="AJ266" s="85" t="str">
        <f>IFERROR(__xludf.DUMMYFUNCTION("""COMPUTED_VALUE"""),"66d13479651ed7e23302405b")</f>
        <v>66d13479651ed7e23302405b</v>
      </c>
      <c r="AK266" s="85" t="str">
        <f>IFERROR(__xludf.DUMMYFUNCTION("""COMPUTED_VALUE"""),"dm41322s1")</f>
        <v>dm41322s1</v>
      </c>
      <c r="AL266" s="85" t="str">
        <f>IFERROR(__xludf.DUMMYFUNCTION("""COMPUTED_VALUE""")," #41322Pos")</f>
        <v> #41322Pos</v>
      </c>
      <c r="AM266" s="85" t="str">
        <f>IFERROR(__xludf.DUMMYFUNCTION("""COMPUTED_VALUE"""),"KANTOR REGIONAL III BANDUNG 40004")</f>
        <v>KANTOR REGIONAL III BANDUNG 40004</v>
      </c>
      <c r="AN266" s="85" t="str">
        <f>IFERROR(__xludf.DUMMYFUNCTION("""COMPUTED_VALUE"""),"KCU KARAWANG 41300")</f>
        <v>KCU KARAWANG 41300</v>
      </c>
      <c r="AO266" s="85" t="str">
        <f>IFERROR(__xludf.DUMMYFUNCTION("""COMPUTED_VALUE"""),"2008240103568")</f>
        <v>2008240103568</v>
      </c>
      <c r="AP266" s="85" t="str">
        <f>IFERROR(__xludf.DUMMYFUNCTION("""COMPUTED_VALUE"""),"20082401035680002")</f>
        <v>20082401035680002</v>
      </c>
      <c r="AQ266" s="93"/>
      <c r="AR266" s="85"/>
      <c r="AS266" s="85"/>
      <c r="AT266" s="85" t="str">
        <f>IFERROR(__xludf.DUMMYFUNCTION("""COMPUTED_VALUE"""),"-6.311701")</f>
        <v>-6.311701</v>
      </c>
      <c r="AU266" s="85" t="str">
        <f>IFERROR(__xludf.DUMMYFUNCTION("""COMPUTED_VALUE"""),"107.3199714")</f>
        <v>107.3199714</v>
      </c>
      <c r="AV266" s="85"/>
      <c r="AW266" s="85"/>
      <c r="AX266" s="85"/>
      <c r="AY266" s="85"/>
      <c r="AZ266" s="85" t="str">
        <f>IFERROR(__xludf.DUMMYFUNCTION("""COMPUTED_VALUE"""),"ü")</f>
        <v>ü</v>
      </c>
      <c r="BA266" s="85"/>
      <c r="BB266" s="85"/>
      <c r="BC266" s="85"/>
      <c r="BD266" s="85"/>
      <c r="BE266" s="85"/>
      <c r="BF266" s="85"/>
      <c r="BG266" s="85"/>
      <c r="BH266" s="85"/>
      <c r="BI266" s="85"/>
      <c r="BJ266" s="85"/>
      <c r="BK266" s="85"/>
      <c r="BL266" s="85"/>
      <c r="BM266" s="85"/>
      <c r="BN266" s="85"/>
      <c r="BO266" s="85"/>
      <c r="BP266" s="85"/>
      <c r="BQ266" s="85"/>
      <c r="BR266" s="85"/>
      <c r="BS266" s="85"/>
      <c r="BT266" s="85"/>
      <c r="BU266" s="85"/>
      <c r="BV266" s="85"/>
      <c r="BW266" s="85"/>
      <c r="BX266" s="85"/>
      <c r="BY266" s="85"/>
      <c r="BZ266" s="85"/>
      <c r="CA266" s="85"/>
      <c r="CB266" s="85"/>
      <c r="CC266" s="85"/>
      <c r="CD266" s="85"/>
      <c r="CE266" s="85"/>
      <c r="CF266" s="85"/>
      <c r="CG266" s="85"/>
      <c r="CH266" s="85"/>
      <c r="CI266" s="85"/>
      <c r="CJ266" s="85"/>
      <c r="CK266" s="2"/>
    </row>
    <row r="267" ht="12.75" customHeight="1">
      <c r="A267" s="80">
        <f>IFERROR(__xludf.DUMMYFUNCTION("""COMPUTED_VALUE"""),264.0)</f>
        <v>264</v>
      </c>
      <c r="B267" s="80"/>
      <c r="C267" s="80"/>
      <c r="D267" s="81"/>
      <c r="E267" s="82"/>
      <c r="F267" s="80"/>
      <c r="G267" s="81"/>
      <c r="H267" s="80"/>
      <c r="I267" s="80"/>
      <c r="J267" s="80"/>
      <c r="K267" s="80"/>
      <c r="L267" s="80"/>
      <c r="M267" s="80" t="str">
        <f>IFERROR(__xludf.DUMMYFUNCTION("""COMPUTED_VALUE"""),"ü")</f>
        <v>ü</v>
      </c>
      <c r="N267" s="80"/>
      <c r="O267" s="80"/>
      <c r="P267" s="80" t="str">
        <f>IFERROR(__xludf.DUMMYFUNCTION("""COMPUTED_VALUE"""),"53BSPA04967JBGGS")</f>
        <v>53BSPA04967JBGGS</v>
      </c>
      <c r="Q267" s="80" t="str">
        <f>IFERROR(__xludf.DUMMYFUNCTION("""COMPUTED_VALUE"""),"MUC MANDES")</f>
        <v>MUC MANDES</v>
      </c>
      <c r="R267" s="80" t="str">
        <f>IFERROR(__xludf.DUMMYFUNCTION("""COMPUTED_VALUE"""),"MUC MANDES")</f>
        <v>MUC MANDES</v>
      </c>
      <c r="S267" s="80" t="str">
        <f>IFERROR(__xludf.DUMMYFUNCTION("""COMPUTED_VALUE"""),"BERMANDES")</f>
        <v>BERMANDES</v>
      </c>
      <c r="T267" s="80" t="str">
        <f>IFERROR(__xludf.DUMMYFUNCTION("""COMPUTED_VALUE"""),"JL. PULO HARAPAN INDAH RT 12 RW 10  ")</f>
        <v>JL. PULO HARAPAN INDAH RT 12 RW 10  </v>
      </c>
      <c r="U267" s="80" t="str">
        <f>IFERROR(__xludf.DUMMYFUNCTION("""COMPUTED_VALUE"""),"JL. PULO HARAPAN INDAH RT 12 RW 10")</f>
        <v>JL. PULO HARAPAN INDAH RT 12 RW 10</v>
      </c>
      <c r="V267" s="80"/>
      <c r="W267" s="80" t="str">
        <f>IFERROR(__xludf.DUMMYFUNCTION("""COMPUTED_VALUE"""),"CENGKARENG BARAT")</f>
        <v>CENGKARENG BARAT</v>
      </c>
      <c r="X267" s="80" t="str">
        <f>IFERROR(__xludf.DUMMYFUNCTION("""COMPUTED_VALUE"""),"CENGKARENG")</f>
        <v>CENGKARENG</v>
      </c>
      <c r="Y267" s="80" t="str">
        <f>IFERROR(__xludf.DUMMYFUNCTION("""COMPUTED_VALUE"""),"JAKARTA BARAT")</f>
        <v>JAKARTA BARAT</v>
      </c>
      <c r="Z267" s="80" t="str">
        <f>IFERROR(__xludf.DUMMYFUNCTION("""COMPUTED_VALUE"""),"DKI JAKARTA")</f>
        <v>DKI JAKARTA</v>
      </c>
      <c r="AA267" s="80" t="str">
        <f>IFERROR(__xludf.DUMMYFUNCTION("""COMPUTED_VALUE"""),"11730")</f>
        <v>11730</v>
      </c>
      <c r="AB267" s="80" t="str">
        <f>IFERROR(__xludf.DUMMYFUNCTION("""COMPUTED_VALUE"""),"3173010212910004")</f>
        <v>3173010212910004</v>
      </c>
      <c r="AC267" s="80" t="str">
        <f>IFERROR(__xludf.DUMMYFUNCTION("""COMPUTED_VALUE"""),"91.852.239.2-034.000")</f>
        <v>91.852.239.2-034.000</v>
      </c>
      <c r="AD267" s="80" t="str">
        <f>IFERROR(__xludf.DUMMYFUNCTION("""COMPUTED_VALUE"""),"CUM - PS - SUSU")</f>
        <v>CUM - PS - SUSU</v>
      </c>
      <c r="AE267" s="80" t="str">
        <f>IFERROR(__xludf.DUMMYFUNCTION("""COMPUTED_VALUE"""),"SUB SUGENG POS")</f>
        <v>SUB SUGENG POS</v>
      </c>
      <c r="AF267" s="80" t="str">
        <f>IFERROR(__xludf.DUMMYFUNCTION("""COMPUTED_VALUE"""),"089652102840")</f>
        <v>089652102840</v>
      </c>
      <c r="AG267" s="80"/>
      <c r="AH267" s="80" t="str">
        <f>IFERROR(__xludf.DUMMYFUNCTION("""COMPUTED_VALUE"""),"bermandes_berani@yahoo.com")</f>
        <v>bermandes_berani@yahoo.com</v>
      </c>
      <c r="AI267" s="80" t="str">
        <f>IFERROR(__xludf.DUMMYFUNCTION("""COMPUTED_VALUE"""),"11730S9")</f>
        <v>11730S9</v>
      </c>
      <c r="AJ267" s="80" t="str">
        <f>IFERROR(__xludf.DUMMYFUNCTION("""COMPUTED_VALUE"""),"66d6b7fc6748aeebc406bffd")</f>
        <v>66d6b7fc6748aeebc406bffd</v>
      </c>
      <c r="AK267" s="80" t="str">
        <f>IFERROR(__xludf.DUMMYFUNCTION("""COMPUTED_VALUE"""),"dm11730s9")</f>
        <v>dm11730s9</v>
      </c>
      <c r="AL267" s="80" t="str">
        <f>IFERROR(__xludf.DUMMYFUNCTION("""COMPUTED_VALUE""")," #11730Pos")</f>
        <v> #11730Pos</v>
      </c>
      <c r="AM267" s="80" t="str">
        <f>IFERROR(__xludf.DUMMYFUNCTION("""COMPUTED_VALUE"""),"KANTOR REGIONAL II JAKARTA 10004")</f>
        <v>KANTOR REGIONAL II JAKARTA 10004</v>
      </c>
      <c r="AN267" s="80" t="str">
        <f>IFERROR(__xludf.DUMMYFUNCTION("""COMPUTED_VALUE"""),"KCU OCEANIA 11000")</f>
        <v>KCU OCEANIA 11000</v>
      </c>
      <c r="AO267" s="80" t="str">
        <f>IFERROR(__xludf.DUMMYFUNCTION("""COMPUTED_VALUE"""),"2108240093976")</f>
        <v>2108240093976</v>
      </c>
      <c r="AP267" s="80" t="str">
        <f>IFERROR(__xludf.DUMMYFUNCTION("""COMPUTED_VALUE"""),"21082400939760001")</f>
        <v>21082400939760001</v>
      </c>
      <c r="AQ267" s="83"/>
      <c r="AR267" s="80"/>
      <c r="AS267" s="80"/>
      <c r="AT267" s="80" t="str">
        <f>IFERROR(__xludf.DUMMYFUNCTION("""COMPUTED_VALUE"""),"-6.132350")</f>
        <v>-6.132350</v>
      </c>
      <c r="AU267" s="80" t="str">
        <f>IFERROR(__xludf.DUMMYFUNCTION("""COMPUTED_VALUE"""),"106.724964")</f>
        <v>106.724964</v>
      </c>
      <c r="AV267" s="80"/>
      <c r="AW267" s="80"/>
      <c r="AX267" s="80" t="str">
        <f>IFERROR(__xludf.DUMMYFUNCTION("""COMPUTED_VALUE"""),"ü")</f>
        <v>ü</v>
      </c>
      <c r="AY267" s="80"/>
      <c r="AZ267" s="80"/>
      <c r="BA267" s="80"/>
      <c r="BB267" s="80"/>
      <c r="BC267" s="80"/>
      <c r="BD267" s="80"/>
      <c r="BE267" s="80"/>
      <c r="BF267" s="80"/>
      <c r="BG267" s="80"/>
      <c r="BH267" s="80"/>
      <c r="BI267" s="80"/>
      <c r="BJ267" s="80"/>
      <c r="BK267" s="80"/>
      <c r="BL267" s="80"/>
      <c r="BM267" s="80"/>
      <c r="BN267" s="80"/>
      <c r="BO267" s="80"/>
      <c r="BP267" s="80"/>
      <c r="BQ267" s="80"/>
      <c r="BR267" s="80"/>
      <c r="BS267" s="80"/>
      <c r="BT267" s="80"/>
      <c r="BU267" s="80"/>
      <c r="BV267" s="80"/>
      <c r="BW267" s="80"/>
      <c r="BX267" s="80"/>
      <c r="BY267" s="80"/>
      <c r="BZ267" s="80"/>
      <c r="CA267" s="80"/>
      <c r="CB267" s="80"/>
      <c r="CC267" s="80"/>
      <c r="CD267" s="80"/>
      <c r="CE267" s="80"/>
      <c r="CF267" s="80"/>
      <c r="CG267" s="80"/>
      <c r="CH267" s="80"/>
      <c r="CI267" s="80"/>
      <c r="CJ267" s="80"/>
      <c r="CK267" s="2"/>
    </row>
    <row r="268" ht="12.75" customHeight="1">
      <c r="A268" s="85">
        <f>IFERROR(__xludf.DUMMYFUNCTION("""COMPUTED_VALUE"""),265.0)</f>
        <v>265</v>
      </c>
      <c r="B268" s="85"/>
      <c r="C268" s="85"/>
      <c r="D268" s="86"/>
      <c r="E268" s="88"/>
      <c r="F268" s="85"/>
      <c r="G268" s="86"/>
      <c r="H268" s="85"/>
      <c r="I268" s="85"/>
      <c r="J268" s="85"/>
      <c r="K268" s="85"/>
      <c r="L268" s="85"/>
      <c r="M268" s="85"/>
      <c r="N268" s="85" t="str">
        <f>IFERROR(__xludf.DUMMYFUNCTION("""COMPUTED_VALUE"""),"ü")</f>
        <v>ü</v>
      </c>
      <c r="O268" s="85"/>
      <c r="P268" s="85" t="str">
        <f>IFERROR(__xludf.DUMMYFUNCTION("""COMPUTED_VALUE"""),"53BSPA04978JBULY")</f>
        <v>53BSPA04978JBULY</v>
      </c>
      <c r="Q268" s="85" t="str">
        <f>IFERROR(__xludf.DUMMYFUNCTION("""COMPUTED_VALUE"""),"HEPI POS")</f>
        <v>HEPI POS</v>
      </c>
      <c r="R268" s="85" t="str">
        <f>IFERROR(__xludf.DUMMYFUNCTION("""COMPUTED_VALUE"""),"MUC HEPI")</f>
        <v>MUC HEPI</v>
      </c>
      <c r="S268" s="85" t="str">
        <f>IFERROR(__xludf.DUMMYFUNCTION("""COMPUTED_VALUE"""),"TRI SUPARWANTI")</f>
        <v>TRI SUPARWANTI</v>
      </c>
      <c r="T268" s="85" t="str">
        <f>IFERROR(__xludf.DUMMYFUNCTION("""COMPUTED_VALUE"""),"JETAK DK.SOROPATEN RT.02")</f>
        <v>JETAK DK.SOROPATEN RT.02</v>
      </c>
      <c r="U268" s="85" t="str">
        <f>IFERROR(__xludf.DUMMYFUNCTION("""COMPUTED_VALUE"""),"Jalan Deresan Kios Utara Lapangan Ringinahrjo")</f>
        <v>Jalan Deresan Kios Utara Lapangan Ringinahrjo</v>
      </c>
      <c r="V268" s="85"/>
      <c r="W268" s="85" t="str">
        <f>IFERROR(__xludf.DUMMYFUNCTION("""COMPUTED_VALUE"""),"RINGINHARJO")</f>
        <v>RINGINHARJO</v>
      </c>
      <c r="X268" s="85" t="str">
        <f>IFERROR(__xludf.DUMMYFUNCTION("""COMPUTED_VALUE"""),"BANTUL")</f>
        <v>BANTUL</v>
      </c>
      <c r="Y268" s="85" t="str">
        <f>IFERROR(__xludf.DUMMYFUNCTION("""COMPUTED_VALUE"""),"BANTUL")</f>
        <v>BANTUL</v>
      </c>
      <c r="Z268" s="85" t="str">
        <f>IFERROR(__xludf.DUMMYFUNCTION("""COMPUTED_VALUE"""),"YOGYAKARTA")</f>
        <v>YOGYAKARTA</v>
      </c>
      <c r="AA268" s="85" t="str">
        <f>IFERROR(__xludf.DUMMYFUNCTION("""COMPUTED_VALUE"""),"55712")</f>
        <v>55712</v>
      </c>
      <c r="AB268" s="85" t="str">
        <f>IFERROR(__xludf.DUMMYFUNCTION("""COMPUTED_VALUE"""),"3402085303730001")</f>
        <v>3402085303730001</v>
      </c>
      <c r="AC268" s="85" t="str">
        <f>IFERROR(__xludf.DUMMYFUNCTION("""COMPUTED_VALUE"""),"75.019.812.9543.000")</f>
        <v>75.019.812.9543.000</v>
      </c>
      <c r="AD268" s="85" t="str">
        <f>IFERROR(__xludf.DUMMYFUNCTION("""COMPUTED_VALUE"""),"CUM - PS - JLAD")</f>
        <v>CUM - PS - JLAD</v>
      </c>
      <c r="AE268" s="85" t="str">
        <f>IFERROR(__xludf.DUMMYFUNCTION("""COMPUTED_VALUE"""),"SUB YULI POS")</f>
        <v>SUB YULI POS</v>
      </c>
      <c r="AF268" s="85" t="str">
        <f>IFERROR(__xludf.DUMMYFUNCTION("""COMPUTED_VALUE"""),"089665001833")</f>
        <v>089665001833</v>
      </c>
      <c r="AG268" s="85"/>
      <c r="AH268" s="85" t="str">
        <f>IFERROR(__xludf.DUMMYFUNCTION("""COMPUTED_VALUE"""),"hepiposind@gmail.com")</f>
        <v>hepiposind@gmail.com</v>
      </c>
      <c r="AI268" s="85" t="str">
        <f>IFERROR(__xludf.DUMMYFUNCTION("""COMPUTED_VALUE"""),"55712S1")</f>
        <v>55712S1</v>
      </c>
      <c r="AJ268" s="85" t="str">
        <f>IFERROR(__xludf.DUMMYFUNCTION("""COMPUTED_VALUE"""),"66d570d88a2cccc6df06ad84")</f>
        <v>66d570d88a2cccc6df06ad84</v>
      </c>
      <c r="AK268" s="85" t="str">
        <f>IFERROR(__xludf.DUMMYFUNCTION("""COMPUTED_VALUE"""),"dm55712s1")</f>
        <v>dm55712s1</v>
      </c>
      <c r="AL268" s="85" t="str">
        <f>IFERROR(__xludf.DUMMYFUNCTION("""COMPUTED_VALUE"""),"#55712Pos")</f>
        <v>#55712Pos</v>
      </c>
      <c r="AM268" s="85" t="str">
        <f>IFERROR(__xludf.DUMMYFUNCTION("""COMPUTED_VALUE"""),"KANTOR REGIONAL IV SEMARANG 50004")</f>
        <v>KANTOR REGIONAL IV SEMARANG 50004</v>
      </c>
      <c r="AN268" s="85" t="str">
        <f>IFERROR(__xludf.DUMMYFUNCTION("""COMPUTED_VALUE"""),"KC BANTUL 55700")</f>
        <v>KC BANTUL 55700</v>
      </c>
      <c r="AO268" s="85" t="str">
        <f>IFERROR(__xludf.DUMMYFUNCTION("""COMPUTED_VALUE"""),"0220402823108")</f>
        <v>0220402823108</v>
      </c>
      <c r="AP268" s="85" t="str">
        <f>IFERROR(__xludf.DUMMYFUNCTION("""COMPUTED_VALUE"""),"02204028231080001")</f>
        <v>02204028231080001</v>
      </c>
      <c r="AQ268" s="93"/>
      <c r="AR268" s="85"/>
      <c r="AS268" s="85"/>
      <c r="AT268" s="85" t="str">
        <f>IFERROR(__xludf.DUMMYFUNCTION("""COMPUTED_VALUE"""),"-7.885209")</f>
        <v>-7.885209</v>
      </c>
      <c r="AU268" s="85" t="str">
        <f>IFERROR(__xludf.DUMMYFUNCTION("""COMPUTED_VALUE"""),"110.318064")</f>
        <v>110.318064</v>
      </c>
      <c r="AV268" s="85"/>
      <c r="AW268" s="85"/>
      <c r="AX268" s="85" t="str">
        <f>IFERROR(__xludf.DUMMYFUNCTION("""COMPUTED_VALUE"""),"ü")</f>
        <v>ü</v>
      </c>
      <c r="AY268" s="85"/>
      <c r="AZ268" s="85"/>
      <c r="BA268" s="85"/>
      <c r="BB268" s="85"/>
      <c r="BC268" s="85"/>
      <c r="BD268" s="85"/>
      <c r="BE268" s="85"/>
      <c r="BF268" s="85"/>
      <c r="BG268" s="85"/>
      <c r="BH268" s="85"/>
      <c r="BI268" s="85"/>
      <c r="BJ268" s="85"/>
      <c r="BK268" s="85"/>
      <c r="BL268" s="85"/>
      <c r="BM268" s="85"/>
      <c r="BN268" s="85"/>
      <c r="BO268" s="85"/>
      <c r="BP268" s="85"/>
      <c r="BQ268" s="85"/>
      <c r="BR268" s="85"/>
      <c r="BS268" s="85"/>
      <c r="BT268" s="85"/>
      <c r="BU268" s="85"/>
      <c r="BV268" s="85"/>
      <c r="BW268" s="85"/>
      <c r="BX268" s="85"/>
      <c r="BY268" s="85"/>
      <c r="BZ268" s="85"/>
      <c r="CA268" s="85"/>
      <c r="CB268" s="85"/>
      <c r="CC268" s="85"/>
      <c r="CD268" s="85"/>
      <c r="CE268" s="85"/>
      <c r="CF268" s="85"/>
      <c r="CG268" s="85"/>
      <c r="CH268" s="85"/>
      <c r="CI268" s="85"/>
      <c r="CJ268" s="85"/>
      <c r="CK268" s="2"/>
    </row>
    <row r="269" ht="12.75" customHeight="1">
      <c r="A269" s="80">
        <f>IFERROR(__xludf.DUMMYFUNCTION("""COMPUTED_VALUE"""),266.0)</f>
        <v>266</v>
      </c>
      <c r="B269" s="80"/>
      <c r="C269" s="80"/>
      <c r="D269" s="81"/>
      <c r="E269" s="82"/>
      <c r="F269" s="80"/>
      <c r="G269" s="81"/>
      <c r="H269" s="80"/>
      <c r="I269" s="80"/>
      <c r="J269" s="80"/>
      <c r="K269" s="80"/>
      <c r="L269" s="80"/>
      <c r="M269" s="80" t="str">
        <f>IFERROR(__xludf.DUMMYFUNCTION("""COMPUTED_VALUE"""),"ü")</f>
        <v>ü</v>
      </c>
      <c r="N269" s="80"/>
      <c r="O269" s="80"/>
      <c r="P269" s="80" t="str">
        <f>IFERROR(__xludf.DUMMYFUNCTION("""COMPUTED_VALUE"""),"53BSPA04989JBYNR")</f>
        <v>53BSPA04989JBYNR</v>
      </c>
      <c r="Q269" s="80" t="str">
        <f>IFERROR(__xludf.DUMMYFUNCTION("""COMPUTED_VALUE"""),"MUC TOKO CCA")</f>
        <v>MUC TOKO CCA</v>
      </c>
      <c r="R269" s="80" t="str">
        <f>IFERROR(__xludf.DUMMYFUNCTION("""COMPUTED_VALUE"""),"MUC TOKO CCA")</f>
        <v>MUC TOKO CCA</v>
      </c>
      <c r="S269" s="80" t="str">
        <f>IFERROR(__xludf.DUMMYFUNCTION("""COMPUTED_VALUE"""),"HASAN KURNIAWAN")</f>
        <v>HASAN KURNIAWAN</v>
      </c>
      <c r="T269" s="80" t="str">
        <f>IFERROR(__xludf.DUMMYFUNCTION("""COMPUTED_VALUE"""),"Jl. Gerlong Tonggoh VI, PAPIRUS GARDEN NO. 2 BDG")</f>
        <v>Jl. Gerlong Tonggoh VI, PAPIRUS GARDEN NO. 2 BDG</v>
      </c>
      <c r="U269" s="80" t="str">
        <f>IFERROR(__xludf.DUMMYFUNCTION("""COMPUTED_VALUE"""),"KP. Pasirjati RT. 01 RW. 04")</f>
        <v>KP. Pasirjati RT. 01 RW. 04</v>
      </c>
      <c r="V269" s="80"/>
      <c r="W269" s="80" t="str">
        <f>IFERROR(__xludf.DUMMYFUNCTION("""COMPUTED_VALUE"""),"LEBAKWANGI")</f>
        <v>LEBAKWANGI</v>
      </c>
      <c r="X269" s="80" t="str">
        <f>IFERROR(__xludf.DUMMYFUNCTION("""COMPUTED_VALUE"""),"ARJASARI")</f>
        <v>ARJASARI</v>
      </c>
      <c r="Y269" s="80" t="str">
        <f>IFERROR(__xludf.DUMMYFUNCTION("""COMPUTED_VALUE"""),"KAB. BANDUNG")</f>
        <v>KAB. BANDUNG</v>
      </c>
      <c r="Z269" s="80" t="str">
        <f>IFERROR(__xludf.DUMMYFUNCTION("""COMPUTED_VALUE"""),"JAWA BARAT")</f>
        <v>JAWA BARAT</v>
      </c>
      <c r="AA269" s="80" t="str">
        <f>IFERROR(__xludf.DUMMYFUNCTION("""COMPUTED_VALUE"""),"40223")</f>
        <v>40223</v>
      </c>
      <c r="AB269" s="80" t="str">
        <f>IFERROR(__xludf.DUMMYFUNCTION("""COMPUTED_VALUE"""),"3173021509650002")</f>
        <v>3173021509650002</v>
      </c>
      <c r="AC269" s="80" t="str">
        <f>IFERROR(__xludf.DUMMYFUNCTION("""COMPUTED_VALUE"""),"06.909.297.1.445.001")</f>
        <v>06.909.297.1.445.001</v>
      </c>
      <c r="AD269" s="80" t="str">
        <f>IFERROR(__xludf.DUMMYFUNCTION("""COMPUTED_VALUE"""),"CUM - PS - RSS")</f>
        <v>CUM - PS - RSS</v>
      </c>
      <c r="AE269" s="80" t="str">
        <f>IFERROR(__xludf.DUMMYFUNCTION("""COMPUTED_VALUE"""),"SUB RONY POS")</f>
        <v>SUB RONY POS</v>
      </c>
      <c r="AF269" s="80" t="str">
        <f>IFERROR(__xludf.DUMMYFUNCTION("""COMPUTED_VALUE"""),"0811209490")</f>
        <v>0811209490</v>
      </c>
      <c r="AG269" s="80"/>
      <c r="AH269" s="80" t="str">
        <f>IFERROR(__xludf.DUMMYFUNCTION("""COMPUTED_VALUE"""),"hasankurniawan777@gmail.com")</f>
        <v>hasankurniawan777@gmail.com</v>
      </c>
      <c r="AI269" s="80" t="str">
        <f>IFERROR(__xludf.DUMMYFUNCTION("""COMPUTED_VALUE"""),"40379S5")</f>
        <v>40379S5</v>
      </c>
      <c r="AJ269" s="80" t="str">
        <f>IFERROR(__xludf.DUMMYFUNCTION("""COMPUTED_VALUE"""),"66d17e17ce80c3dad104fdc0")</f>
        <v>66d17e17ce80c3dad104fdc0</v>
      </c>
      <c r="AK269" s="80" t="str">
        <f>IFERROR(__xludf.DUMMYFUNCTION("""COMPUTED_VALUE"""),"dm40379s5")</f>
        <v>dm40379s5</v>
      </c>
      <c r="AL269" s="80" t="str">
        <f>IFERROR(__xludf.DUMMYFUNCTION("""COMPUTED_VALUE""")," #40379Pos")</f>
        <v> #40379Pos</v>
      </c>
      <c r="AM269" s="80" t="str">
        <f>IFERROR(__xludf.DUMMYFUNCTION("""COMPUTED_VALUE"""),"KANTOR REGIONAL III BANDUNG 40004")</f>
        <v>KANTOR REGIONAL III BANDUNG 40004</v>
      </c>
      <c r="AN269" s="80" t="str">
        <f>IFERROR(__xludf.DUMMYFUNCTION("""COMPUTED_VALUE"""),"KC SOREANG 40900")</f>
        <v>KC SOREANG 40900</v>
      </c>
      <c r="AO269" s="80" t="str">
        <f>IFERROR(__xludf.DUMMYFUNCTION("""COMPUTED_VALUE"""),"9120008940936")</f>
        <v>9120008940936</v>
      </c>
      <c r="AP269" s="80" t="str">
        <f>IFERROR(__xludf.DUMMYFUNCTION("""COMPUTED_VALUE"""),"91200089409360001")</f>
        <v>91200089409360001</v>
      </c>
      <c r="AQ269" s="83"/>
      <c r="AR269" s="80"/>
      <c r="AS269" s="80"/>
      <c r="AT269" s="80" t="str">
        <f>IFERROR(__xludf.DUMMYFUNCTION("""COMPUTED_VALUE"""),"-7.046640")</f>
        <v>-7.046640</v>
      </c>
      <c r="AU269" s="80" t="str">
        <f>IFERROR(__xludf.DUMMYFUNCTION("""COMPUTED_VALUE"""),"107.611439")</f>
        <v>107.611439</v>
      </c>
      <c r="AV269" s="80"/>
      <c r="AW269" s="80"/>
      <c r="AX269" s="80" t="str">
        <f>IFERROR(__xludf.DUMMYFUNCTION("""COMPUTED_VALUE"""),"ü")</f>
        <v>ü</v>
      </c>
      <c r="AY269" s="80"/>
      <c r="AZ269" s="80"/>
      <c r="BA269" s="80"/>
      <c r="BB269" s="80"/>
      <c r="BC269" s="80"/>
      <c r="BD269" s="80"/>
      <c r="BE269" s="80"/>
      <c r="BF269" s="80"/>
      <c r="BG269" s="80"/>
      <c r="BH269" s="80"/>
      <c r="BI269" s="80"/>
      <c r="BJ269" s="80"/>
      <c r="BK269" s="80"/>
      <c r="BL269" s="80"/>
      <c r="BM269" s="80"/>
      <c r="BN269" s="80"/>
      <c r="BO269" s="80"/>
      <c r="BP269" s="80"/>
      <c r="BQ269" s="80"/>
      <c r="BR269" s="80"/>
      <c r="BS269" s="80"/>
      <c r="BT269" s="80"/>
      <c r="BU269" s="80"/>
      <c r="BV269" s="80"/>
      <c r="BW269" s="80"/>
      <c r="BX269" s="80"/>
      <c r="BY269" s="80"/>
      <c r="BZ269" s="80"/>
      <c r="CA269" s="80"/>
      <c r="CB269" s="80"/>
      <c r="CC269" s="80"/>
      <c r="CD269" s="80"/>
      <c r="CE269" s="80"/>
      <c r="CF269" s="80"/>
      <c r="CG269" s="80"/>
      <c r="CH269" s="80"/>
      <c r="CI269" s="80"/>
      <c r="CJ269" s="80"/>
      <c r="CK269" s="2"/>
    </row>
    <row r="270" ht="12.75" customHeight="1">
      <c r="A270" s="85">
        <f>IFERROR(__xludf.DUMMYFUNCTION("""COMPUTED_VALUE"""),267.0)</f>
        <v>267</v>
      </c>
      <c r="B270" s="85"/>
      <c r="C270" s="85"/>
      <c r="D270" s="86"/>
      <c r="E270" s="88"/>
      <c r="F270" s="85"/>
      <c r="G270" s="86"/>
      <c r="H270" s="85"/>
      <c r="I270" s="85"/>
      <c r="J270" s="85"/>
      <c r="K270" s="85"/>
      <c r="L270" s="85"/>
      <c r="M270" s="85" t="str">
        <f>IFERROR(__xludf.DUMMYFUNCTION("""COMPUTED_VALUE"""),"ü")</f>
        <v>ü</v>
      </c>
      <c r="N270" s="85"/>
      <c r="O270" s="85"/>
      <c r="P270" s="85" t="str">
        <f>IFERROR(__xludf.DUMMYFUNCTION("""COMPUTED_VALUE"""),"53BSPA04990JBAER")</f>
        <v>53BSPA04990JBAER</v>
      </c>
      <c r="Q270" s="85" t="str">
        <f>IFERROR(__xludf.DUMMYFUNCTION("""COMPUTED_VALUE"""),"MUC BGU.CORP")</f>
        <v>MUC BGU.CORP</v>
      </c>
      <c r="R270" s="85" t="str">
        <f>IFERROR(__xludf.DUMMYFUNCTION("""COMPUTED_VALUE"""),"MUC BGU.CORP")</f>
        <v>MUC BGU.CORP</v>
      </c>
      <c r="S270" s="85" t="str">
        <f>IFERROR(__xludf.DUMMYFUNCTION("""COMPUTED_VALUE"""),"HILAL KARYONO")</f>
        <v>HILAL KARYONO</v>
      </c>
      <c r="T270" s="85" t="str">
        <f>IFERROR(__xludf.DUMMYFUNCTION("""COMPUTED_VALUE"""),"JL. TEGAL PARANG UTARA VI NO 12A RT.006/004")</f>
        <v>JL. TEGAL PARANG UTARA VI NO 12A RT.006/004</v>
      </c>
      <c r="U270" s="85" t="str">
        <f>IFERROR(__xludf.DUMMYFUNCTION("""COMPUTED_VALUE"""),"Jl. Raya Banjarkerta No. 5")</f>
        <v>Jl. Raya Banjarkerta No. 5</v>
      </c>
      <c r="V270" s="85"/>
      <c r="W270" s="85" t="str">
        <f>IFERROR(__xludf.DUMMYFUNCTION("""COMPUTED_VALUE"""),"BANJARKERTA")</f>
        <v>BANJARKERTA</v>
      </c>
      <c r="X270" s="85" t="str">
        <f>IFERROR(__xludf.DUMMYFUNCTION("""COMPUTED_VALUE"""),"KARANGANYAR")</f>
        <v>KARANGANYAR</v>
      </c>
      <c r="Y270" s="85" t="str">
        <f>IFERROR(__xludf.DUMMYFUNCTION("""COMPUTED_VALUE"""),"KAB. PURBALINGGA")</f>
        <v>KAB. PURBALINGGA</v>
      </c>
      <c r="Z270" s="85" t="str">
        <f>IFERROR(__xludf.DUMMYFUNCTION("""COMPUTED_VALUE"""),"JAWA TENGAH")</f>
        <v>JAWA TENGAH</v>
      </c>
      <c r="AA270" s="85" t="str">
        <f>IFERROR(__xludf.DUMMYFUNCTION("""COMPUTED_VALUE"""),"53354")</f>
        <v>53354</v>
      </c>
      <c r="AB270" s="85" t="str">
        <f>IFERROR(__xludf.DUMMYFUNCTION("""COMPUTED_VALUE"""),"3174032109710010")</f>
        <v>3174032109710010</v>
      </c>
      <c r="AC270" s="85" t="str">
        <f>IFERROR(__xludf.DUMMYFUNCTION("""COMPUTED_VALUE"""),"63.655.352.1-529.000")</f>
        <v>63.655.352.1-529.000</v>
      </c>
      <c r="AD270" s="85" t="str">
        <f>IFERROR(__xludf.DUMMYFUNCTION("""COMPUTED_VALUE"""),"CUM - PS - RYKY")</f>
        <v>CUM - PS - RYKY</v>
      </c>
      <c r="AE270" s="85" t="str">
        <f>IFERROR(__xludf.DUMMYFUNCTION("""COMPUTED_VALUE"""),"SUB ERTHA POS")</f>
        <v>SUB ERTHA POS</v>
      </c>
      <c r="AF270" s="85" t="str">
        <f>IFERROR(__xludf.DUMMYFUNCTION("""COMPUTED_VALUE"""),"081295726699")</f>
        <v>081295726699</v>
      </c>
      <c r="AG270" s="85"/>
      <c r="AH270" s="85" t="str">
        <f>IFERROR(__xludf.DUMMYFUNCTION("""COMPUTED_VALUE"""),"FAS_Hhasan@yahoo.co.id")</f>
        <v>FAS_Hhasan@yahoo.co.id</v>
      </c>
      <c r="AI270" s="85" t="str">
        <f>IFERROR(__xludf.DUMMYFUNCTION("""COMPUTED_VALUE"""),"53354S1")</f>
        <v>53354S1</v>
      </c>
      <c r="AJ270" s="85" t="str">
        <f>IFERROR(__xludf.DUMMYFUNCTION("""COMPUTED_VALUE"""),"66debac05c29bb069407cb5c")</f>
        <v>66debac05c29bb069407cb5c</v>
      </c>
      <c r="AK270" s="85" t="str">
        <f>IFERROR(__xludf.DUMMYFUNCTION("""COMPUTED_VALUE"""),"dm53354s1")</f>
        <v>dm53354s1</v>
      </c>
      <c r="AL270" s="85" t="str">
        <f>IFERROR(__xludf.DUMMYFUNCTION("""COMPUTED_VALUE"""),"#53354Pos")</f>
        <v>#53354Pos</v>
      </c>
      <c r="AM270" s="85" t="str">
        <f>IFERROR(__xludf.DUMMYFUNCTION("""COMPUTED_VALUE"""),"KANTOR REGIONAL IV SEMARANG 50004")</f>
        <v>KANTOR REGIONAL IV SEMARANG 50004</v>
      </c>
      <c r="AN270" s="85" t="str">
        <f>IFERROR(__xludf.DUMMYFUNCTION("""COMPUTED_VALUE"""),"KC PURBALINGGA")</f>
        <v>KC PURBALINGGA</v>
      </c>
      <c r="AO270" s="85" t="str">
        <f>IFERROR(__xludf.DUMMYFUNCTION("""COMPUTED_VALUE"""),"2303220038979")</f>
        <v>2303220038979</v>
      </c>
      <c r="AP270" s="85" t="str">
        <f>IFERROR(__xludf.DUMMYFUNCTION("""COMPUTED_VALUE"""),"23032200389790001")</f>
        <v>23032200389790001</v>
      </c>
      <c r="AQ270" s="93"/>
      <c r="AR270" s="85"/>
      <c r="AS270" s="85"/>
      <c r="AT270" s="85" t="str">
        <f>IFERROR(__xludf.DUMMYFUNCTION("""COMPUTED_VALUE"""),"-7.303872")</f>
        <v>-7.303872</v>
      </c>
      <c r="AU270" s="85" t="str">
        <f>IFERROR(__xludf.DUMMYFUNCTION("""COMPUTED_VALUE"""),"109.397207")</f>
        <v>109.397207</v>
      </c>
      <c r="AV270" s="85"/>
      <c r="AW270" s="85"/>
      <c r="AX270" s="85" t="str">
        <f>IFERROR(__xludf.DUMMYFUNCTION("""COMPUTED_VALUE"""),"ü")</f>
        <v>ü</v>
      </c>
      <c r="AY270" s="85"/>
      <c r="AZ270" s="85"/>
      <c r="BA270" s="85"/>
      <c r="BB270" s="85"/>
      <c r="BC270" s="85"/>
      <c r="BD270" s="85"/>
      <c r="BE270" s="85"/>
      <c r="BF270" s="85"/>
      <c r="BG270" s="85"/>
      <c r="BH270" s="85"/>
      <c r="BI270" s="85"/>
      <c r="BJ270" s="85"/>
      <c r="BK270" s="85"/>
      <c r="BL270" s="85"/>
      <c r="BM270" s="85"/>
      <c r="BN270" s="85"/>
      <c r="BO270" s="85"/>
      <c r="BP270" s="85"/>
      <c r="BQ270" s="85"/>
      <c r="BR270" s="85"/>
      <c r="BS270" s="85"/>
      <c r="BT270" s="85"/>
      <c r="BU270" s="85"/>
      <c r="BV270" s="85"/>
      <c r="BW270" s="85"/>
      <c r="BX270" s="85"/>
      <c r="BY270" s="85"/>
      <c r="BZ270" s="85"/>
      <c r="CA270" s="85"/>
      <c r="CB270" s="85"/>
      <c r="CC270" s="85"/>
      <c r="CD270" s="85"/>
      <c r="CE270" s="85"/>
      <c r="CF270" s="85"/>
      <c r="CG270" s="85"/>
      <c r="CH270" s="85"/>
      <c r="CI270" s="85"/>
      <c r="CJ270" s="85"/>
      <c r="CK270" s="2"/>
    </row>
    <row r="271" ht="12.75" customHeight="1">
      <c r="A271" s="80">
        <f>IFERROR(__xludf.DUMMYFUNCTION("""COMPUTED_VALUE"""),268.0)</f>
        <v>268</v>
      </c>
      <c r="B271" s="80"/>
      <c r="C271" s="80"/>
      <c r="D271" s="81"/>
      <c r="E271" s="82"/>
      <c r="F271" s="80"/>
      <c r="G271" s="81"/>
      <c r="H271" s="80"/>
      <c r="I271" s="80"/>
      <c r="J271" s="80"/>
      <c r="K271" s="80"/>
      <c r="L271" s="80"/>
      <c r="M271" s="80" t="str">
        <f>IFERROR(__xludf.DUMMYFUNCTION("""COMPUTED_VALUE"""),"ü")</f>
        <v>ü</v>
      </c>
      <c r="N271" s="80"/>
      <c r="O271" s="80"/>
      <c r="P271" s="80" t="str">
        <f>IFERROR(__xludf.DUMMYFUNCTION("""COMPUTED_VALUE"""),"53BSPA04991JBSAR")</f>
        <v>53BSPA04991JBSAR</v>
      </c>
      <c r="Q271" s="80" t="str">
        <f>IFERROR(__xludf.DUMMYFUNCTION("""COMPUTED_VALUE"""),"MUC MERONA EXPRESS")</f>
        <v>MUC MERONA EXPRESS</v>
      </c>
      <c r="R271" s="80" t="str">
        <f>IFERROR(__xludf.DUMMYFUNCTION("""COMPUTED_VALUE"""),"MUC MERONA EXPRESS")</f>
        <v>MUC MERONA EXPRESS</v>
      </c>
      <c r="S271" s="80" t="str">
        <f>IFERROR(__xludf.DUMMYFUNCTION("""COMPUTED_VALUE"""),"RONA ULI NOPIYANTI")</f>
        <v>RONA ULI NOPIYANTI</v>
      </c>
      <c r="T271" s="80" t="str">
        <f>IFERROR(__xludf.DUMMYFUNCTION("""COMPUTED_VALUE"""),"JL. ERLANGGA V NO.138 RT.008 RW 007")</f>
        <v>JL. ERLANGGA V NO.138 RT.008 RW 007</v>
      </c>
      <c r="U271" s="80" t="str">
        <f>IFERROR(__xludf.DUMMYFUNCTION("""COMPUTED_VALUE"""),"Jl. Raya Narogong KM. 6 RT. 007 RW. 003")</f>
        <v>Jl. Raya Narogong KM. 6 RT. 007 RW. 003</v>
      </c>
      <c r="V271" s="80"/>
      <c r="W271" s="80" t="str">
        <f>IFERROR(__xludf.DUMMYFUNCTION("""COMPUTED_VALUE"""),"BOJONG RAWALUMBU")</f>
        <v>BOJONG RAWALUMBU</v>
      </c>
      <c r="X271" s="80" t="str">
        <f>IFERROR(__xludf.DUMMYFUNCTION("""COMPUTED_VALUE"""),"RAWALUMBU")</f>
        <v>RAWALUMBU</v>
      </c>
      <c r="Y271" s="80" t="str">
        <f>IFERROR(__xludf.DUMMYFUNCTION("""COMPUTED_VALUE"""),"BEKASI")</f>
        <v>BEKASI</v>
      </c>
      <c r="Z271" s="80" t="str">
        <f>IFERROR(__xludf.DUMMYFUNCTION("""COMPUTED_VALUE"""),"JAWA BARAT")</f>
        <v>JAWA BARAT</v>
      </c>
      <c r="AA271" s="80" t="str">
        <f>IFERROR(__xludf.DUMMYFUNCTION("""COMPUTED_VALUE"""),"17116")</f>
        <v>17116</v>
      </c>
      <c r="AB271" s="80" t="str">
        <f>IFERROR(__xludf.DUMMYFUNCTION("""COMPUTED_VALUE"""),"3275056011910013")</f>
        <v>3275056011910013</v>
      </c>
      <c r="AC271" s="80" t="str">
        <f>IFERROR(__xludf.DUMMYFUNCTION("""COMPUTED_VALUE"""),"79.369.216.1-432.000")</f>
        <v>79.369.216.1-432.000</v>
      </c>
      <c r="AD271" s="80" t="str">
        <f>IFERROR(__xludf.DUMMYFUNCTION("""COMPUTED_VALUE"""),"CUM - PS - ARKT")</f>
        <v>CUM - PS - ARKT</v>
      </c>
      <c r="AE271" s="80" t="str">
        <f>IFERROR(__xludf.DUMMYFUNCTION("""COMPUTED_VALUE"""),"SUB ARIS POS")</f>
        <v>SUB ARIS POS</v>
      </c>
      <c r="AF271" s="80" t="str">
        <f>IFERROR(__xludf.DUMMYFUNCTION("""COMPUTED_VALUE"""),"082110092223")</f>
        <v>082110092223</v>
      </c>
      <c r="AG271" s="80"/>
      <c r="AH271" s="80" t="str">
        <f>IFERROR(__xludf.DUMMYFUNCTION("""COMPUTED_VALUE"""),"meronaexpress@gmail.com")</f>
        <v>meronaexpress@gmail.com</v>
      </c>
      <c r="AI271" s="80" t="str">
        <f>IFERROR(__xludf.DUMMYFUNCTION("""COMPUTED_VALUE"""),"17176S4")</f>
        <v>17176S4</v>
      </c>
      <c r="AJ271" s="80" t="str">
        <f>IFERROR(__xludf.DUMMYFUNCTION("""COMPUTED_VALUE"""),"66d53a4aa8fae4fe3100451e")</f>
        <v>66d53a4aa8fae4fe3100451e</v>
      </c>
      <c r="AK271" s="80" t="str">
        <f>IFERROR(__xludf.DUMMYFUNCTION("""COMPUTED_VALUE"""),"dm17176s4")</f>
        <v>dm17176s4</v>
      </c>
      <c r="AL271" s="80" t="str">
        <f>IFERROR(__xludf.DUMMYFUNCTION("""COMPUTED_VALUE"""),"#17176Pos")</f>
        <v>#17176Pos</v>
      </c>
      <c r="AM271" s="80" t="str">
        <f>IFERROR(__xludf.DUMMYFUNCTION("""COMPUTED_VALUE"""),"KANTOR REGIONAL II JAKARTA 10004")</f>
        <v>KANTOR REGIONAL II JAKARTA 10004</v>
      </c>
      <c r="AN271" s="80" t="str">
        <f>IFERROR(__xludf.DUMMYFUNCTION("""COMPUTED_VALUE"""),"KCU JAKARTAPREMIER 13000")</f>
        <v>KCU JAKARTAPREMIER 13000</v>
      </c>
      <c r="AO271" s="80" t="str">
        <f>IFERROR(__xludf.DUMMYFUNCTION("""COMPUTED_VALUE"""),"0308220059684")</f>
        <v>0308220059684</v>
      </c>
      <c r="AP271" s="80" t="str">
        <f>IFERROR(__xludf.DUMMYFUNCTION("""COMPUTED_VALUE"""),"03082200596840001")</f>
        <v>03082200596840001</v>
      </c>
      <c r="AQ271" s="83"/>
      <c r="AR271" s="80"/>
      <c r="AS271" s="80"/>
      <c r="AT271" s="80" t="str">
        <f>IFERROR(__xludf.DUMMYFUNCTION("""COMPUTED_VALUE"""),"-6.287323")</f>
        <v>-6.287323</v>
      </c>
      <c r="AU271" s="80" t="str">
        <f>IFERROR(__xludf.DUMMYFUNCTION("""COMPUTED_VALUE"""),"106.985952")</f>
        <v>106.985952</v>
      </c>
      <c r="AV271" s="80"/>
      <c r="AW271" s="80"/>
      <c r="AX271" s="80" t="str">
        <f>IFERROR(__xludf.DUMMYFUNCTION("""COMPUTED_VALUE"""),"ü")</f>
        <v>ü</v>
      </c>
      <c r="AY271" s="80"/>
      <c r="AZ271" s="80"/>
      <c r="BA271" s="80"/>
      <c r="BB271" s="80"/>
      <c r="BC271" s="80"/>
      <c r="BD271" s="80"/>
      <c r="BE271" s="80"/>
      <c r="BF271" s="80"/>
      <c r="BG271" s="80"/>
      <c r="BH271" s="80"/>
      <c r="BI271" s="80"/>
      <c r="BJ271" s="80"/>
      <c r="BK271" s="80"/>
      <c r="BL271" s="80"/>
      <c r="BM271" s="80"/>
      <c r="BN271" s="80"/>
      <c r="BO271" s="80"/>
      <c r="BP271" s="80"/>
      <c r="BQ271" s="80"/>
      <c r="BR271" s="80"/>
      <c r="BS271" s="80"/>
      <c r="BT271" s="80"/>
      <c r="BU271" s="80"/>
      <c r="BV271" s="80"/>
      <c r="BW271" s="80"/>
      <c r="BX271" s="80"/>
      <c r="BY271" s="80"/>
      <c r="BZ271" s="80"/>
      <c r="CA271" s="80"/>
      <c r="CB271" s="80"/>
      <c r="CC271" s="80"/>
      <c r="CD271" s="80"/>
      <c r="CE271" s="80"/>
      <c r="CF271" s="80"/>
      <c r="CG271" s="80"/>
      <c r="CH271" s="80"/>
      <c r="CI271" s="80"/>
      <c r="CJ271" s="80"/>
      <c r="CK271" s="2"/>
    </row>
    <row r="272" ht="12.75" customHeight="1">
      <c r="A272" s="85">
        <f>IFERROR(__xludf.DUMMYFUNCTION("""COMPUTED_VALUE"""),269.0)</f>
        <v>269</v>
      </c>
      <c r="B272" s="85"/>
      <c r="C272" s="85"/>
      <c r="D272" s="86"/>
      <c r="E272" s="88"/>
      <c r="F272" s="85"/>
      <c r="G272" s="86"/>
      <c r="H272" s="85"/>
      <c r="I272" s="85"/>
      <c r="J272" s="85"/>
      <c r="K272" s="85"/>
      <c r="L272" s="85"/>
      <c r="M272" s="85" t="str">
        <f>IFERROR(__xludf.DUMMYFUNCTION("""COMPUTED_VALUE"""),"ü")</f>
        <v>ü</v>
      </c>
      <c r="N272" s="85"/>
      <c r="O272" s="85"/>
      <c r="P272" s="85" t="str">
        <f>IFERROR(__xludf.DUMMYFUNCTION("""COMPUTED_VALUE"""),"53BSPA04992JTMJO")</f>
        <v>53BSPA04992JTMJO</v>
      </c>
      <c r="Q272" s="85" t="str">
        <f>IFERROR(__xludf.DUMMYFUNCTION("""COMPUTED_VALUE"""),"MUC APOTEK SEHAT MOJOSONGO")</f>
        <v>MUC APOTEK SEHAT MOJOSONGO</v>
      </c>
      <c r="R272" s="85" t="str">
        <f>IFERROR(__xludf.DUMMYFUNCTION("""COMPUTED_VALUE"""),"MUC APOTEK SEHAT MOJOSONGO")</f>
        <v>MUC APOTEK SEHAT MOJOSONGO</v>
      </c>
      <c r="S272" s="85" t="str">
        <f>IFERROR(__xludf.DUMMYFUNCTION("""COMPUTED_VALUE"""),"SINTAWATI HARTONO")</f>
        <v>SINTAWATI HARTONO</v>
      </c>
      <c r="T272" s="85" t="str">
        <f>IFERROR(__xludf.DUMMYFUNCTION("""COMPUTED_VALUE"""),"Jl. Malabar Utara IV No.18 RT.001 RW.015")</f>
        <v>Jl. Malabar Utara IV No.18 RT.001 RW.015</v>
      </c>
      <c r="U272" s="85" t="str">
        <f>IFERROR(__xludf.DUMMYFUNCTION("""COMPUTED_VALUE"""),"Jl. Malabar Utara IV No.18")</f>
        <v>Jl. Malabar Utara IV No.18</v>
      </c>
      <c r="V272" s="85"/>
      <c r="W272" s="85" t="str">
        <f>IFERROR(__xludf.DUMMYFUNCTION("""COMPUTED_VALUE"""),"MOJOSONGO")</f>
        <v>MOJOSONGO</v>
      </c>
      <c r="X272" s="85" t="str">
        <f>IFERROR(__xludf.DUMMYFUNCTION("""COMPUTED_VALUE"""),"JEBRES")</f>
        <v>JEBRES</v>
      </c>
      <c r="Y272" s="85" t="str">
        <f>IFERROR(__xludf.DUMMYFUNCTION("""COMPUTED_VALUE"""),"SURAKARTA")</f>
        <v>SURAKARTA</v>
      </c>
      <c r="Z272" s="85" t="str">
        <f>IFERROR(__xludf.DUMMYFUNCTION("""COMPUTED_VALUE"""),"JAWA TENGAH")</f>
        <v>JAWA TENGAH</v>
      </c>
      <c r="AA272" s="85" t="str">
        <f>IFERROR(__xludf.DUMMYFUNCTION("""COMPUTED_VALUE"""),"57127")</f>
        <v>57127</v>
      </c>
      <c r="AB272" s="85" t="str">
        <f>IFERROR(__xludf.DUMMYFUNCTION("""COMPUTED_VALUE"""),"3372046305680046")</f>
        <v>3372046305680046</v>
      </c>
      <c r="AC272" s="85" t="str">
        <f>IFERROR(__xludf.DUMMYFUNCTION("""COMPUTED_VALUE"""),"77.626.163.8-526.000")</f>
        <v>77.626.163.8-526.000</v>
      </c>
      <c r="AD272" s="85" t="str">
        <f>IFERROR(__xludf.DUMMYFUNCTION("""COMPUTED_VALUE"""),"CUM - PS - RFSI")</f>
        <v>CUM - PS - RFSI</v>
      </c>
      <c r="AE272" s="85" t="str">
        <f>IFERROR(__xludf.DUMMYFUNCTION("""COMPUTED_VALUE"""),"SUB RIZKI POS")</f>
        <v>SUB RIZKI POS</v>
      </c>
      <c r="AF272" s="85" t="str">
        <f>IFERROR(__xludf.DUMMYFUNCTION("""COMPUTED_VALUE"""),"082137314299")</f>
        <v>082137314299</v>
      </c>
      <c r="AG272" s="85"/>
      <c r="AH272" s="85" t="str">
        <f>IFERROR(__xludf.DUMMYFUNCTION("""COMPUTED_VALUE"""),"hartonosintawati@gmail.com")</f>
        <v>hartonosintawati@gmail.com</v>
      </c>
      <c r="AI272" s="85" t="str">
        <f>IFERROR(__xludf.DUMMYFUNCTION("""COMPUTED_VALUE"""),"57127S6")</f>
        <v>57127S6</v>
      </c>
      <c r="AJ272" s="85" t="str">
        <f>IFERROR(__xludf.DUMMYFUNCTION("""COMPUTED_VALUE"""),"66e551fb1c43824a850b8bf4")</f>
        <v>66e551fb1c43824a850b8bf4</v>
      </c>
      <c r="AK272" s="85" t="str">
        <f>IFERROR(__xludf.DUMMYFUNCTION("""COMPUTED_VALUE"""),"dm57127s6")</f>
        <v>dm57127s6</v>
      </c>
      <c r="AL272" s="85" t="str">
        <f>IFERROR(__xludf.DUMMYFUNCTION("""COMPUTED_VALUE"""),"#57127Pos")</f>
        <v>#57127Pos</v>
      </c>
      <c r="AM272" s="85" t="str">
        <f>IFERROR(__xludf.DUMMYFUNCTION("""COMPUTED_VALUE"""),"KANTOR REGIONAL IV SEMARANG 50004")</f>
        <v>KANTOR REGIONAL IV SEMARANG 50004</v>
      </c>
      <c r="AN272" s="85" t="str">
        <f>IFERROR(__xludf.DUMMYFUNCTION("""COMPUTED_VALUE"""),"KCU SOLO 57100")</f>
        <v>KCU SOLO 57100</v>
      </c>
      <c r="AO272" s="85" t="str">
        <f>IFERROR(__xludf.DUMMYFUNCTION("""COMPUTED_VALUE"""),"9120008272032")</f>
        <v>9120008272032</v>
      </c>
      <c r="AP272" s="85" t="str">
        <f>IFERROR(__xludf.DUMMYFUNCTION("""COMPUTED_VALUE"""),"91200082720320001")</f>
        <v>91200082720320001</v>
      </c>
      <c r="AQ272" s="93"/>
      <c r="AR272" s="85"/>
      <c r="AS272" s="85"/>
      <c r="AT272" s="85" t="str">
        <f>IFERROR(__xludf.DUMMYFUNCTION("""COMPUTED_VALUE"""),"-7.536326")</f>
        <v>-7.536326</v>
      </c>
      <c r="AU272" s="85" t="str">
        <f>IFERROR(__xludf.DUMMYFUNCTION("""COMPUTED_VALUE"""),"110.838923")</f>
        <v>110.838923</v>
      </c>
      <c r="AV272" s="85"/>
      <c r="AW272" s="85"/>
      <c r="AX272" s="85" t="str">
        <f>IFERROR(__xludf.DUMMYFUNCTION("""COMPUTED_VALUE"""),"ü")</f>
        <v>ü</v>
      </c>
      <c r="AY272" s="85"/>
      <c r="AZ272" s="85"/>
      <c r="BA272" s="85"/>
      <c r="BB272" s="85"/>
      <c r="BC272" s="85"/>
      <c r="BD272" s="85"/>
      <c r="BE272" s="85"/>
      <c r="BF272" s="85"/>
      <c r="BG272" s="85"/>
      <c r="BH272" s="85"/>
      <c r="BI272" s="85"/>
      <c r="BJ272" s="85"/>
      <c r="BK272" s="85"/>
      <c r="BL272" s="85"/>
      <c r="BM272" s="85"/>
      <c r="BN272" s="85"/>
      <c r="BO272" s="85"/>
      <c r="BP272" s="85"/>
      <c r="BQ272" s="85"/>
      <c r="BR272" s="85"/>
      <c r="BS272" s="85"/>
      <c r="BT272" s="85"/>
      <c r="BU272" s="85"/>
      <c r="BV272" s="85"/>
      <c r="BW272" s="85"/>
      <c r="BX272" s="85"/>
      <c r="BY272" s="85"/>
      <c r="BZ272" s="85"/>
      <c r="CA272" s="85"/>
      <c r="CB272" s="85"/>
      <c r="CC272" s="85"/>
      <c r="CD272" s="85"/>
      <c r="CE272" s="85"/>
      <c r="CF272" s="85"/>
      <c r="CG272" s="85"/>
      <c r="CH272" s="85"/>
      <c r="CI272" s="85"/>
      <c r="CJ272" s="85"/>
      <c r="CK272" s="2"/>
    </row>
    <row r="273" ht="12.75" customHeight="1">
      <c r="A273" s="80">
        <f>IFERROR(__xludf.DUMMYFUNCTION("""COMPUTED_VALUE"""),270.0)</f>
        <v>270</v>
      </c>
      <c r="B273" s="80"/>
      <c r="C273" s="80"/>
      <c r="D273" s="81"/>
      <c r="E273" s="82"/>
      <c r="F273" s="80"/>
      <c r="G273" s="81"/>
      <c r="H273" s="80"/>
      <c r="I273" s="80"/>
      <c r="J273" s="80"/>
      <c r="K273" s="80"/>
      <c r="L273" s="80"/>
      <c r="M273" s="80" t="str">
        <f>IFERROR(__xludf.DUMMYFUNCTION("""COMPUTED_VALUE"""),"ü")</f>
        <v>ü</v>
      </c>
      <c r="N273" s="80"/>
      <c r="O273" s="80"/>
      <c r="P273" s="80" t="str">
        <f>IFERROR(__xludf.DUMMYFUNCTION("""COMPUTED_VALUE"""),"52BSPA07677JTUBO")</f>
        <v>52BSPA07677JTUBO</v>
      </c>
      <c r="Q273" s="80" t="str">
        <f>IFERROR(__xludf.DUMMYFUNCTION("""COMPUTED_VALUE"""),"MUC JOMBOR")</f>
        <v>MUC JOMBOR</v>
      </c>
      <c r="R273" s="80" t="str">
        <f>IFERROR(__xludf.DUMMYFUNCTION("""COMPUTED_VALUE"""),"MUC JOMBOR")</f>
        <v>MUC JOMBOR</v>
      </c>
      <c r="S273" s="80" t="str">
        <f>IFERROR(__xludf.DUMMYFUNCTION("""COMPUTED_VALUE"""),"JALU SANJAYA")</f>
        <v>JALU SANJAYA</v>
      </c>
      <c r="T273" s="80" t="str">
        <f>IFERROR(__xludf.DUMMYFUNCTION("""COMPUTED_VALUE"""),"NGLARANG RT.004 RW.029")</f>
        <v>NGLARANG RT.004 RW.029</v>
      </c>
      <c r="U273" s="80" t="str">
        <f>IFERROR(__xludf.DUMMYFUNCTION("""COMPUTED_VALUE"""),"JL RINGROAD UTARA JOMBOR LOR")</f>
        <v>JL RINGROAD UTARA JOMBOR LOR</v>
      </c>
      <c r="V273" s="80"/>
      <c r="W273" s="80" t="str">
        <f>IFERROR(__xludf.DUMMYFUNCTION("""COMPUTED_VALUE"""),"SINDUADI")</f>
        <v>SINDUADI</v>
      </c>
      <c r="X273" s="80" t="str">
        <f>IFERROR(__xludf.DUMMYFUNCTION("""COMPUTED_VALUE"""),"MLATI")</f>
        <v>MLATI</v>
      </c>
      <c r="Y273" s="80" t="str">
        <f>IFERROR(__xludf.DUMMYFUNCTION("""COMPUTED_VALUE"""),"SLEMAN")</f>
        <v>SLEMAN</v>
      </c>
      <c r="Z273" s="80" t="str">
        <f>IFERROR(__xludf.DUMMYFUNCTION("""COMPUTED_VALUE"""),"YOGYAKARTA")</f>
        <v>YOGYAKARTA</v>
      </c>
      <c r="AA273" s="80" t="str">
        <f>IFERROR(__xludf.DUMMYFUNCTION("""COMPUTED_VALUE"""),"55581")</f>
        <v>55581</v>
      </c>
      <c r="AB273" s="80" t="str">
        <f>IFERROR(__xludf.DUMMYFUNCTION("""COMPUTED_VALUE"""),"3404060709880004")</f>
        <v>3404060709880004</v>
      </c>
      <c r="AC273" s="80" t="str">
        <f>IFERROR(__xludf.DUMMYFUNCTION("""COMPUTED_VALUE"""),"74.990.170.8-542.000")</f>
        <v>74.990.170.8-542.000</v>
      </c>
      <c r="AD273" s="80" t="str">
        <f>IFERROR(__xludf.DUMMYFUNCTION("""COMPUTED_VALUE"""),"CUM - PS - BPKT")</f>
        <v>CUM - PS - BPKT</v>
      </c>
      <c r="AE273" s="80" t="str">
        <f>IFERROR(__xludf.DUMMYFUNCTION("""COMPUTED_VALUE"""),"SUB PURBO POS")</f>
        <v>SUB PURBO POS</v>
      </c>
      <c r="AF273" s="80" t="str">
        <f>IFERROR(__xludf.DUMMYFUNCTION("""COMPUTED_VALUE"""),"082322707988")</f>
        <v>082322707988</v>
      </c>
      <c r="AG273" s="80"/>
      <c r="AH273" s="80" t="str">
        <f>IFERROR(__xludf.DUMMYFUNCTION("""COMPUTED_VALUE"""),"djaloehanjhayha@gmail.com")</f>
        <v>djaloehanjhayha@gmail.com</v>
      </c>
      <c r="AI273" s="80" t="str">
        <f>IFERROR(__xludf.DUMMYFUNCTION("""COMPUTED_VALUE"""),"55597S3")</f>
        <v>55597S3</v>
      </c>
      <c r="AJ273" s="80" t="str">
        <f>IFERROR(__xludf.DUMMYFUNCTION("""COMPUTED_VALUE"""),"66daccb06963d9a1fc0b90f3")</f>
        <v>66daccb06963d9a1fc0b90f3</v>
      </c>
      <c r="AK273" s="80" t="str">
        <f>IFERROR(__xludf.DUMMYFUNCTION("""COMPUTED_VALUE"""),"dm55597s3")</f>
        <v>dm55597s3</v>
      </c>
      <c r="AL273" s="80" t="str">
        <f>IFERROR(__xludf.DUMMYFUNCTION("""COMPUTED_VALUE"""),"#55597Pos")</f>
        <v>#55597Pos</v>
      </c>
      <c r="AM273" s="80" t="str">
        <f>IFERROR(__xludf.DUMMYFUNCTION("""COMPUTED_VALUE"""),"KANTOR REGIONAL IV SEMARANG 50004")</f>
        <v>KANTOR REGIONAL IV SEMARANG 50004</v>
      </c>
      <c r="AN273" s="80" t="str">
        <f>IFERROR(__xludf.DUMMYFUNCTION("""COMPUTED_VALUE"""),"KCU YOGYAKARTA 55000")</f>
        <v>KCU YOGYAKARTA 55000</v>
      </c>
      <c r="AO273" s="80" t="str">
        <f>IFERROR(__xludf.DUMMYFUNCTION("""COMPUTED_VALUE"""),"2908240081599")</f>
        <v>2908240081599</v>
      </c>
      <c r="AP273" s="80" t="str">
        <f>IFERROR(__xludf.DUMMYFUNCTION("""COMPUTED_VALUE"""),"29082400815990001")</f>
        <v>29082400815990001</v>
      </c>
      <c r="AQ273" s="83"/>
      <c r="AR273" s="80"/>
      <c r="AS273" s="80"/>
      <c r="AT273" s="80" t="str">
        <f>IFERROR(__xludf.DUMMYFUNCTION("""COMPUTED_VALUE"""),"-7.749669 ")</f>
        <v>-7.749669 </v>
      </c>
      <c r="AU273" s="80" t="str">
        <f>IFERROR(__xludf.DUMMYFUNCTION("""COMPUTED_VALUE"""),"110.365446")</f>
        <v>110.365446</v>
      </c>
      <c r="AV273" s="80"/>
      <c r="AW273" s="80"/>
      <c r="AX273" s="80" t="str">
        <f>IFERROR(__xludf.DUMMYFUNCTION("""COMPUTED_VALUE"""),"ü")</f>
        <v>ü</v>
      </c>
      <c r="AY273" s="80"/>
      <c r="AZ273" s="80"/>
      <c r="BA273" s="80"/>
      <c r="BB273" s="80"/>
      <c r="BC273" s="80"/>
      <c r="BD273" s="80"/>
      <c r="BE273" s="80"/>
      <c r="BF273" s="80"/>
      <c r="BG273" s="80"/>
      <c r="BH273" s="80"/>
      <c r="BI273" s="80"/>
      <c r="BJ273" s="80"/>
      <c r="BK273" s="80"/>
      <c r="BL273" s="80"/>
      <c r="BM273" s="80"/>
      <c r="BN273" s="80"/>
      <c r="BO273" s="80"/>
      <c r="BP273" s="80"/>
      <c r="BQ273" s="80"/>
      <c r="BR273" s="80"/>
      <c r="BS273" s="80"/>
      <c r="BT273" s="80"/>
      <c r="BU273" s="80"/>
      <c r="BV273" s="80"/>
      <c r="BW273" s="80"/>
      <c r="BX273" s="80"/>
      <c r="BY273" s="80"/>
      <c r="BZ273" s="80"/>
      <c r="CA273" s="80"/>
      <c r="CB273" s="80"/>
      <c r="CC273" s="80"/>
      <c r="CD273" s="80"/>
      <c r="CE273" s="80"/>
      <c r="CF273" s="80"/>
      <c r="CG273" s="80"/>
      <c r="CH273" s="80"/>
      <c r="CI273" s="80"/>
      <c r="CJ273" s="80"/>
      <c r="CK273" s="2"/>
    </row>
    <row r="274" ht="12.75" customHeight="1">
      <c r="A274" s="85">
        <f>IFERROR(__xludf.DUMMYFUNCTION("""COMPUTED_VALUE"""),271.0)</f>
        <v>271</v>
      </c>
      <c r="B274" s="85"/>
      <c r="C274" s="85"/>
      <c r="D274" s="86"/>
      <c r="E274" s="88"/>
      <c r="F274" s="85"/>
      <c r="G274" s="86"/>
      <c r="H274" s="85"/>
      <c r="I274" s="85"/>
      <c r="J274" s="85"/>
      <c r="K274" s="85"/>
      <c r="L274" s="85"/>
      <c r="M274" s="85" t="str">
        <f>IFERROR(__xludf.DUMMYFUNCTION("""COMPUTED_VALUE"""),"ü")</f>
        <v>ü</v>
      </c>
      <c r="N274" s="85"/>
      <c r="O274" s="85"/>
      <c r="P274" s="85" t="str">
        <f>IFERROR(__xludf.DUMMYFUNCTION("""COMPUTED_VALUE"""),"MUCSPA63001PSIND")</f>
        <v>MUCSPA63001PSIND</v>
      </c>
      <c r="Q274" s="85" t="str">
        <f>IFERROR(__xludf.DUMMYFUNCTION("""COMPUTED_VALUE"""),"MUC EXPEDISI BERSAMA")</f>
        <v>MUC EXPEDISI BERSAMA</v>
      </c>
      <c r="R274" s="85" t="str">
        <f>IFERROR(__xludf.DUMMYFUNCTION("""COMPUTED_VALUE"""),"MUC EXPEDISI BERSAMA")</f>
        <v>MUC EXPEDISI BERSAMA</v>
      </c>
      <c r="S274" s="85" t="str">
        <f>IFERROR(__xludf.DUMMYFUNCTION("""COMPUTED_VALUE"""),"GUNAWAN SAPUTRA")</f>
        <v>GUNAWAN SAPUTRA</v>
      </c>
      <c r="T274" s="85" t="str">
        <f>IFERROR(__xludf.DUMMYFUNCTION("""COMPUTED_VALUE"""),"Perumahan Villa Rizki Ilhami Blok A7 No. 52")</f>
        <v>Perumahan Villa Rizki Ilhami Blok A7 No. 52</v>
      </c>
      <c r="U274" s="85" t="str">
        <f>IFERROR(__xludf.DUMMYFUNCTION("""COMPUTED_VALUE"""),"Perumahan Villa Rizki Ilhami Blok A7 No. 52")</f>
        <v>Perumahan Villa Rizki Ilhami Blok A7 No. 52</v>
      </c>
      <c r="V274" s="85"/>
      <c r="W274" s="85" t="str">
        <f>IFERROR(__xludf.DUMMYFUNCTION("""COMPUTED_VALUE"""),"BOJONG NANGKA")</f>
        <v>BOJONG NANGKA</v>
      </c>
      <c r="X274" s="85" t="str">
        <f>IFERROR(__xludf.DUMMYFUNCTION("""COMPUTED_VALUE"""),"KELAPA DUA")</f>
        <v>KELAPA DUA</v>
      </c>
      <c r="Y274" s="85" t="str">
        <f>IFERROR(__xludf.DUMMYFUNCTION("""COMPUTED_VALUE"""),"KAB. TANGERANG")</f>
        <v>KAB. TANGERANG</v>
      </c>
      <c r="Z274" s="85" t="str">
        <f>IFERROR(__xludf.DUMMYFUNCTION("""COMPUTED_VALUE"""),"BANTEN")</f>
        <v>BANTEN</v>
      </c>
      <c r="AA274" s="85" t="str">
        <f>IFERROR(__xludf.DUMMYFUNCTION("""COMPUTED_VALUE"""),"15810")</f>
        <v>15810</v>
      </c>
      <c r="AB274" s="85" t="str">
        <f>IFERROR(__xludf.DUMMYFUNCTION("""COMPUTED_VALUE"""),"1207250407910001")</f>
        <v>1207250407910001</v>
      </c>
      <c r="AC274" s="85" t="str">
        <f>IFERROR(__xludf.DUMMYFUNCTION("""COMPUTED_VALUE"""),"80.957.075.7-124.000")</f>
        <v>80.957.075.7-124.000</v>
      </c>
      <c r="AD274" s="85" t="str">
        <f>IFERROR(__xludf.DUMMYFUNCTION("""COMPUTED_VALUE"""),"CUM - PS -ARKT")</f>
        <v>CUM - PS -ARKT</v>
      </c>
      <c r="AE274" s="85" t="str">
        <f>IFERROR(__xludf.DUMMYFUNCTION("""COMPUTED_VALUE"""),"SUB ARIS POS")</f>
        <v>SUB ARIS POS</v>
      </c>
      <c r="AF274" s="85" t="str">
        <f>IFERROR(__xludf.DUMMYFUNCTION("""COMPUTED_VALUE"""),"082164610270")</f>
        <v>082164610270</v>
      </c>
      <c r="AG274" s="85"/>
      <c r="AH274" s="85" t="str">
        <f>IFERROR(__xludf.DUMMYFUNCTION("""COMPUTED_VALUE"""),"igunsyah13@gmail.com")</f>
        <v>igunsyah13@gmail.com</v>
      </c>
      <c r="AI274" s="85" t="str">
        <f>IFERROR(__xludf.DUMMYFUNCTION("""COMPUTED_VALUE"""),"15833S3")</f>
        <v>15833S3</v>
      </c>
      <c r="AJ274" s="85" t="str">
        <f>IFERROR(__xludf.DUMMYFUNCTION("""COMPUTED_VALUE"""),"66ed7ffbbf0d9adea504274d")</f>
        <v>66ed7ffbbf0d9adea504274d</v>
      </c>
      <c r="AK274" s="85" t="str">
        <f>IFERROR(__xludf.DUMMYFUNCTION("""COMPUTED_VALUE"""),"dm15833s3")</f>
        <v>dm15833s3</v>
      </c>
      <c r="AL274" s="85" t="str">
        <f>IFERROR(__xludf.DUMMYFUNCTION("""COMPUTED_VALUE"""),"#15833Pos")</f>
        <v>#15833Pos</v>
      </c>
      <c r="AM274" s="85" t="str">
        <f>IFERROR(__xludf.DUMMYFUNCTION("""COMPUTED_VALUE"""),"KANTOR REGIONAL II JAKARTA 10004")</f>
        <v>KANTOR REGIONAL II JAKARTA 10004</v>
      </c>
      <c r="AN274" s="85" t="str">
        <f>IFERROR(__xludf.DUMMYFUNCTION("""COMPUTED_VALUE"""),"KCU TANGERANG 15000")</f>
        <v>KCU TANGERANG 15000</v>
      </c>
      <c r="AO274" s="85" t="str">
        <f>IFERROR(__xludf.DUMMYFUNCTION("""COMPUTED_VALUE"""),"0209240010709")</f>
        <v>0209240010709</v>
      </c>
      <c r="AP274" s="85" t="str">
        <f>IFERROR(__xludf.DUMMYFUNCTION("""COMPUTED_VALUE"""),"02092400107090001")</f>
        <v>02092400107090001</v>
      </c>
      <c r="AQ274" s="93"/>
      <c r="AR274" s="85"/>
      <c r="AS274" s="85"/>
      <c r="AT274" s="85" t="str">
        <f>IFERROR(__xludf.DUMMYFUNCTION("""COMPUTED_VALUE"""),"-6.248930")</f>
        <v>-6.248930</v>
      </c>
      <c r="AU274" s="85" t="str">
        <f>IFERROR(__xludf.DUMMYFUNCTION("""COMPUTED_VALUE"""),"106.605128")</f>
        <v>106.605128</v>
      </c>
      <c r="AV274" s="85"/>
      <c r="AW274" s="85"/>
      <c r="AX274" s="85" t="str">
        <f>IFERROR(__xludf.DUMMYFUNCTION("""COMPUTED_VALUE"""),"ü")</f>
        <v>ü</v>
      </c>
      <c r="AY274" s="85"/>
      <c r="AZ274" s="85"/>
      <c r="BA274" s="85"/>
      <c r="BB274" s="85"/>
      <c r="BC274" s="85"/>
      <c r="BD274" s="85"/>
      <c r="BE274" s="85"/>
      <c r="BF274" s="85"/>
      <c r="BG274" s="85"/>
      <c r="BH274" s="85"/>
      <c r="BI274" s="85"/>
      <c r="BJ274" s="85"/>
      <c r="BK274" s="85"/>
      <c r="BL274" s="85"/>
      <c r="BM274" s="85"/>
      <c r="BN274" s="85"/>
      <c r="BO274" s="85"/>
      <c r="BP274" s="85"/>
      <c r="BQ274" s="85"/>
      <c r="BR274" s="85"/>
      <c r="BS274" s="85"/>
      <c r="BT274" s="85"/>
      <c r="BU274" s="85"/>
      <c r="BV274" s="85"/>
      <c r="BW274" s="85"/>
      <c r="BX274" s="85"/>
      <c r="BY274" s="85"/>
      <c r="BZ274" s="85"/>
      <c r="CA274" s="85"/>
      <c r="CB274" s="85"/>
      <c r="CC274" s="85"/>
      <c r="CD274" s="85"/>
      <c r="CE274" s="85"/>
      <c r="CF274" s="85"/>
      <c r="CG274" s="85"/>
      <c r="CH274" s="85"/>
      <c r="CI274" s="85"/>
      <c r="CJ274" s="85"/>
      <c r="CK274" s="2"/>
    </row>
    <row r="275" ht="12.75" customHeight="1">
      <c r="A275" s="80">
        <f>IFERROR(__xludf.DUMMYFUNCTION("""COMPUTED_VALUE"""),272.0)</f>
        <v>272</v>
      </c>
      <c r="B275" s="80"/>
      <c r="C275" s="80"/>
      <c r="D275" s="81"/>
      <c r="E275" s="82"/>
      <c r="F275" s="80"/>
      <c r="G275" s="81"/>
      <c r="H275" s="80"/>
      <c r="I275" s="80"/>
      <c r="J275" s="80"/>
      <c r="K275" s="80"/>
      <c r="L275" s="80"/>
      <c r="M275" s="80"/>
      <c r="N275" s="80" t="str">
        <f>IFERROR(__xludf.DUMMYFUNCTION("""COMPUTED_VALUE"""),"ü")</f>
        <v>ü</v>
      </c>
      <c r="O275" s="80"/>
      <c r="P275" s="80" t="str">
        <f>IFERROR(__xludf.DUMMYFUNCTION("""COMPUTED_VALUE"""),"MUCSPA63002PSIND")</f>
        <v>MUCSPA63002PSIND</v>
      </c>
      <c r="Q275" s="80" t="str">
        <f>IFERROR(__xludf.DUMMYFUNCTION("""COMPUTED_VALUE"""),"MUC BUMDes Raharja Banjaranyar")</f>
        <v>MUC BUMDes Raharja Banjaranyar</v>
      </c>
      <c r="R275" s="80" t="str">
        <f>IFERROR(__xludf.DUMMYFUNCTION("""COMPUTED_VALUE"""),"MUC BUMDes Raharja Banjaranyar")</f>
        <v>MUC BUMDes Raharja Banjaranyar</v>
      </c>
      <c r="S275" s="80" t="str">
        <f>IFERROR(__xludf.DUMMYFUNCTION("""COMPUTED_VALUE"""),"NANANG SOBANA")</f>
        <v>NANANG SOBANA</v>
      </c>
      <c r="T275" s="80" t="str">
        <f>IFERROR(__xludf.DUMMYFUNCTION("""COMPUTED_VALUE"""),"Dusun Sindangasih RT/RW. 002/004 Desa Banjaranyar")</f>
        <v>Dusun Sindangasih RT/RW. 002/004 Desa Banjaranyar</v>
      </c>
      <c r="U275" s="80" t="str">
        <f>IFERROR(__xludf.DUMMYFUNCTION("""COMPUTED_VALUE"""),"Dusun Banjaranyar RT/RW. 003/001")</f>
        <v>Dusun Banjaranyar RT/RW. 003/001</v>
      </c>
      <c r="V275" s="80"/>
      <c r="W275" s="80" t="str">
        <f>IFERROR(__xludf.DUMMYFUNCTION("""COMPUTED_VALUE"""),"BANJARANYAR")</f>
        <v>BANJARANYAR</v>
      </c>
      <c r="X275" s="80" t="str">
        <f>IFERROR(__xludf.DUMMYFUNCTION("""COMPUTED_VALUE"""),"BANJARANYAR")</f>
        <v>BANJARANYAR</v>
      </c>
      <c r="Y275" s="80" t="str">
        <f>IFERROR(__xludf.DUMMYFUNCTION("""COMPUTED_VALUE"""),"CIAMIS")</f>
        <v>CIAMIS</v>
      </c>
      <c r="Z275" s="80" t="str">
        <f>IFERROR(__xludf.DUMMYFUNCTION("""COMPUTED_VALUE"""),"JAWA BARAT ")</f>
        <v>JAWA BARAT </v>
      </c>
      <c r="AA275" s="80" t="str">
        <f>IFERROR(__xludf.DUMMYFUNCTION("""COMPUTED_VALUE"""),"46383")</f>
        <v>46383</v>
      </c>
      <c r="AB275" s="80" t="str">
        <f>IFERROR(__xludf.DUMMYFUNCTION("""COMPUTED_VALUE"""),"3207181703850005")</f>
        <v>3207181703850005</v>
      </c>
      <c r="AC275" s="80" t="str">
        <f>IFERROR(__xludf.DUMMYFUNCTION("""COMPUTED_VALUE"""),"80.895.489.1-442.000")</f>
        <v>80.895.489.1-442.000</v>
      </c>
      <c r="AD275" s="80" t="str">
        <f>IFERROR(__xludf.DUMMYFUNCTION("""COMPUTED_VALUE"""),"CUM - PS - BADI")</f>
        <v>CUM - PS - BADI</v>
      </c>
      <c r="AE275" s="80" t="str">
        <f>IFERROR(__xludf.DUMMYFUNCTION("""COMPUTED_VALUE"""),"KC BANJAR")</f>
        <v>KC BANJAR</v>
      </c>
      <c r="AF275" s="80" t="str">
        <f>IFERROR(__xludf.DUMMYFUNCTION("""COMPUTED_VALUE"""),"082317749128")</f>
        <v>082317749128</v>
      </c>
      <c r="AG275" s="80"/>
      <c r="AH275" s="80" t="str">
        <f>IFERROR(__xludf.DUMMYFUNCTION("""COMPUTED_VALUE"""),"bumdesraharja17@gmail.com")</f>
        <v>bumdesraharja17@gmail.com</v>
      </c>
      <c r="AI275" s="80" t="str">
        <f>IFERROR(__xludf.DUMMYFUNCTION("""COMPUTED_VALUE"""),"46283S4")</f>
        <v>46283S4</v>
      </c>
      <c r="AJ275" s="80" t="str">
        <f>IFERROR(__xludf.DUMMYFUNCTION("""COMPUTED_VALUE"""),"66dfff9a0df7205b8a022e37")</f>
        <v>66dfff9a0df7205b8a022e37</v>
      </c>
      <c r="AK275" s="80" t="str">
        <f>IFERROR(__xludf.DUMMYFUNCTION("""COMPUTED_VALUE"""),"dm46283s4 ")</f>
        <v>dm46283s4 </v>
      </c>
      <c r="AL275" s="80" t="str">
        <f>IFERROR(__xludf.DUMMYFUNCTION("""COMPUTED_VALUE"""),"#46283Pos")</f>
        <v>#46283Pos</v>
      </c>
      <c r="AM275" s="80" t="str">
        <f>IFERROR(__xludf.DUMMYFUNCTION("""COMPUTED_VALUE"""),"KANTOR REGIONAL III BANDUNG 40004")</f>
        <v>KANTOR REGIONAL III BANDUNG 40004</v>
      </c>
      <c r="AN275" s="80" t="str">
        <f>IFERROR(__xludf.DUMMYFUNCTION("""COMPUTED_VALUE"""),"KC BANJAR 46300")</f>
        <v>KC BANJAR 46300</v>
      </c>
      <c r="AO275" s="80" t="str">
        <f>IFERROR(__xludf.DUMMYFUNCTION("""COMPUTED_VALUE"""),"1610230034164")</f>
        <v>1610230034164</v>
      </c>
      <c r="AP275" s="80" t="str">
        <f>IFERROR(__xludf.DUMMYFUNCTION("""COMPUTED_VALUE"""),"16102300341640004")</f>
        <v>16102300341640004</v>
      </c>
      <c r="AQ275" s="83"/>
      <c r="AR275" s="80"/>
      <c r="AS275" s="80"/>
      <c r="AT275" s="80" t="str">
        <f>IFERROR(__xludf.DUMMYFUNCTION("""COMPUTED_VALUE"""),"-7.509986")</f>
        <v>-7.509986</v>
      </c>
      <c r="AU275" s="80" t="str">
        <f>IFERROR(__xludf.DUMMYFUNCTION("""COMPUTED_VALUE"""),"108.548299")</f>
        <v>108.548299</v>
      </c>
      <c r="AV275" s="80"/>
      <c r="AW275" s="80"/>
      <c r="AX275" s="80" t="str">
        <f>IFERROR(__xludf.DUMMYFUNCTION("""COMPUTED_VALUE"""),"ü")</f>
        <v>ü</v>
      </c>
      <c r="AY275" s="80"/>
      <c r="AZ275" s="80"/>
      <c r="BA275" s="80"/>
      <c r="BB275" s="80"/>
      <c r="BC275" s="80"/>
      <c r="BD275" s="80"/>
      <c r="BE275" s="80"/>
      <c r="BF275" s="80"/>
      <c r="BG275" s="80"/>
      <c r="BH275" s="80"/>
      <c r="BI275" s="80"/>
      <c r="BJ275" s="80"/>
      <c r="BK275" s="80"/>
      <c r="BL275" s="80"/>
      <c r="BM275" s="80"/>
      <c r="BN275" s="80"/>
      <c r="BO275" s="80"/>
      <c r="BP275" s="80"/>
      <c r="BQ275" s="80"/>
      <c r="BR275" s="80"/>
      <c r="BS275" s="80"/>
      <c r="BT275" s="80"/>
      <c r="BU275" s="80"/>
      <c r="BV275" s="80"/>
      <c r="BW275" s="80"/>
      <c r="BX275" s="80"/>
      <c r="BY275" s="80"/>
      <c r="BZ275" s="80"/>
      <c r="CA275" s="80"/>
      <c r="CB275" s="80"/>
      <c r="CC275" s="80"/>
      <c r="CD275" s="80"/>
      <c r="CE275" s="80"/>
      <c r="CF275" s="80"/>
      <c r="CG275" s="80"/>
      <c r="CH275" s="80"/>
      <c r="CI275" s="80"/>
      <c r="CJ275" s="80"/>
      <c r="CK275" s="2"/>
    </row>
    <row r="276" ht="12.75" customHeight="1">
      <c r="A276" s="85">
        <f>IFERROR(__xludf.DUMMYFUNCTION("""COMPUTED_VALUE"""),273.0)</f>
        <v>273</v>
      </c>
      <c r="B276" s="85"/>
      <c r="C276" s="85"/>
      <c r="D276" s="86"/>
      <c r="E276" s="88"/>
      <c r="F276" s="85"/>
      <c r="G276" s="86"/>
      <c r="H276" s="85"/>
      <c r="I276" s="85"/>
      <c r="J276" s="85"/>
      <c r="K276" s="85"/>
      <c r="L276" s="85"/>
      <c r="M276" s="85"/>
      <c r="N276" s="85" t="str">
        <f>IFERROR(__xludf.DUMMYFUNCTION("""COMPUTED_VALUE"""),"ü")</f>
        <v>ü</v>
      </c>
      <c r="O276" s="85"/>
      <c r="P276" s="85" t="str">
        <f>IFERROR(__xludf.DUMMYFUNCTION("""COMPUTED_VALUE"""),"MUCSPA63003PSIND")</f>
        <v>MUCSPA63003PSIND</v>
      </c>
      <c r="Q276" s="85" t="str">
        <f>IFERROR(__xludf.DUMMYFUNCTION("""COMPUTED_VALUE"""),"MUC MORITZ STONE")</f>
        <v>MUC MORITZ STONE</v>
      </c>
      <c r="R276" s="85" t="str">
        <f>IFERROR(__xludf.DUMMYFUNCTION("""COMPUTED_VALUE"""),"MUC MORITZ STONE")</f>
        <v>MUC MORITZ STONE</v>
      </c>
      <c r="S276" s="85" t="str">
        <f>IFERROR(__xludf.DUMMYFUNCTION("""COMPUTED_VALUE"""),"ARIS GUSTAMAN")</f>
        <v>ARIS GUSTAMAN</v>
      </c>
      <c r="T276" s="85" t="str">
        <f>IFERROR(__xludf.DUMMYFUNCTION("""COMPUTED_VALUE"""),"JL LEUWIGAJAH KP. HUJUNG KALER CIMAHI SELATAN")</f>
        <v>JL LEUWIGAJAH KP. HUJUNG KALER CIMAHI SELATAN</v>
      </c>
      <c r="U276" s="85" t="str">
        <f>IFERROR(__xludf.DUMMYFUNCTION("""COMPUTED_VALUE"""),"JL. KOLONEL MASTURI NO. 85 ")</f>
        <v>JL. KOLONEL MASTURI NO. 85 </v>
      </c>
      <c r="V276" s="85"/>
      <c r="W276" s="85" t="str">
        <f>IFERROR(__xludf.DUMMYFUNCTION("""COMPUTED_VALUE"""),"CIMAHI")</f>
        <v>CIMAHI</v>
      </c>
      <c r="X276" s="85" t="str">
        <f>IFERROR(__xludf.DUMMYFUNCTION("""COMPUTED_VALUE"""),"Cimahi Tengah")</f>
        <v>Cimahi Tengah</v>
      </c>
      <c r="Y276" s="85" t="str">
        <f>IFERROR(__xludf.DUMMYFUNCTION("""COMPUTED_VALUE"""),"CIMAHI")</f>
        <v>CIMAHI</v>
      </c>
      <c r="Z276" s="85" t="str">
        <f>IFERROR(__xludf.DUMMYFUNCTION("""COMPUTED_VALUE"""),"JAWA BARAT")</f>
        <v>JAWA BARAT</v>
      </c>
      <c r="AA276" s="85" t="str">
        <f>IFERROR(__xludf.DUMMYFUNCTION("""COMPUTED_VALUE"""),"40511")</f>
        <v>40511</v>
      </c>
      <c r="AB276" s="85" t="str">
        <f>IFERROR(__xludf.DUMMYFUNCTION("""COMPUTED_VALUE"""),"320509270886003")</f>
        <v>320509270886003</v>
      </c>
      <c r="AC276" s="85" t="str">
        <f>IFERROR(__xludf.DUMMYFUNCTION("""COMPUTED_VALUE"""),"85.440.714.5-421.000")</f>
        <v>85.440.714.5-421.000</v>
      </c>
      <c r="AD276" s="85" t="str">
        <f>IFERROR(__xludf.DUMMYFUNCTION("""COMPUTED_VALUE"""),"CUM - BSB - JABAR")</f>
        <v>CUM - BSB - JABAR</v>
      </c>
      <c r="AE276" s="85" t="str">
        <f>IFERROR(__xludf.DUMMYFUNCTION("""COMPUTED_VALUE"""),"SUB YANSEN POS")</f>
        <v>SUB YANSEN POS</v>
      </c>
      <c r="AF276" s="85" t="str">
        <f>IFERROR(__xludf.DUMMYFUNCTION("""COMPUTED_VALUE"""),"0895619398295")</f>
        <v>0895619398295</v>
      </c>
      <c r="AG276" s="85"/>
      <c r="AH276" s="85" t="str">
        <f>IFERROR(__xludf.DUMMYFUNCTION("""COMPUTED_VALUE"""),"stonemoritz722@gmail.com ")</f>
        <v>stonemoritz722@gmail.com </v>
      </c>
      <c r="AI276" s="85" t="str">
        <f>IFERROR(__xludf.DUMMYFUNCTION("""COMPUTED_VALUE"""),"40525S2")</f>
        <v>40525S2</v>
      </c>
      <c r="AJ276" s="85" t="str">
        <f>IFERROR(__xludf.DUMMYFUNCTION("""COMPUTED_VALUE"""),"66e2888ba2cd13750a0efe00")</f>
        <v>66e2888ba2cd13750a0efe00</v>
      </c>
      <c r="AK276" s="85" t="str">
        <f>IFERROR(__xludf.DUMMYFUNCTION("""COMPUTED_VALUE"""),"dm40525s2")</f>
        <v>dm40525s2</v>
      </c>
      <c r="AL276" s="85" t="str">
        <f>IFERROR(__xludf.DUMMYFUNCTION("""COMPUTED_VALUE"""),"#40525Pos")</f>
        <v>#40525Pos</v>
      </c>
      <c r="AM276" s="85" t="str">
        <f>IFERROR(__xludf.DUMMYFUNCTION("""COMPUTED_VALUE"""),"KANTOR REGIONAL III BANDUNG 40004")</f>
        <v>KANTOR REGIONAL III BANDUNG 40004</v>
      </c>
      <c r="AN276" s="85" t="str">
        <f>IFERROR(__xludf.DUMMYFUNCTION("""COMPUTED_VALUE"""),"KC CIMAHI 40500")</f>
        <v>KC CIMAHI 40500</v>
      </c>
      <c r="AO276" s="85" t="str">
        <f>IFERROR(__xludf.DUMMYFUNCTION("""COMPUTED_VALUE"""),"1512230070038")</f>
        <v>1512230070038</v>
      </c>
      <c r="AP276" s="85" t="str">
        <f>IFERROR(__xludf.DUMMYFUNCTION("""COMPUTED_VALUE"""),"15122300700380001")</f>
        <v>15122300700380001</v>
      </c>
      <c r="AQ276" s="93"/>
      <c r="AR276" s="85"/>
      <c r="AS276" s="85"/>
      <c r="AT276" s="85" t="str">
        <f>IFERROR(__xludf.DUMMYFUNCTION("""COMPUTED_VALUE"""),"-6.8676252")</f>
        <v>-6.8676252</v>
      </c>
      <c r="AU276" s="85" t="str">
        <f>IFERROR(__xludf.DUMMYFUNCTION("""COMPUTED_VALUE"""),"107.5428077")</f>
        <v>107.5428077</v>
      </c>
      <c r="AV276" s="85"/>
      <c r="AW276" s="85"/>
      <c r="AX276" s="85" t="str">
        <f>IFERROR(__xludf.DUMMYFUNCTION("""COMPUTED_VALUE"""),"ü")</f>
        <v>ü</v>
      </c>
      <c r="AY276" s="85"/>
      <c r="AZ276" s="85"/>
      <c r="BA276" s="85"/>
      <c r="BB276" s="85"/>
      <c r="BC276" s="85"/>
      <c r="BD276" s="85"/>
      <c r="BE276" s="85"/>
      <c r="BF276" s="85"/>
      <c r="BG276" s="85"/>
      <c r="BH276" s="85"/>
      <c r="BI276" s="85"/>
      <c r="BJ276" s="85"/>
      <c r="BK276" s="85"/>
      <c r="BL276" s="85"/>
      <c r="BM276" s="85"/>
      <c r="BN276" s="85"/>
      <c r="BO276" s="85"/>
      <c r="BP276" s="85"/>
      <c r="BQ276" s="85"/>
      <c r="BR276" s="85"/>
      <c r="BS276" s="85"/>
      <c r="BT276" s="85"/>
      <c r="BU276" s="85"/>
      <c r="BV276" s="85"/>
      <c r="BW276" s="85"/>
      <c r="BX276" s="85"/>
      <c r="BY276" s="85"/>
      <c r="BZ276" s="85"/>
      <c r="CA276" s="85"/>
      <c r="CB276" s="85"/>
      <c r="CC276" s="85"/>
      <c r="CD276" s="85"/>
      <c r="CE276" s="85"/>
      <c r="CF276" s="85"/>
      <c r="CG276" s="85"/>
      <c r="CH276" s="85"/>
      <c r="CI276" s="85"/>
      <c r="CJ276" s="85"/>
      <c r="CK276" s="2"/>
    </row>
    <row r="277" ht="12.75" customHeight="1">
      <c r="A277" s="80">
        <f>IFERROR(__xludf.DUMMYFUNCTION("""COMPUTED_VALUE"""),274.0)</f>
        <v>274</v>
      </c>
      <c r="B277" s="80"/>
      <c r="C277" s="80"/>
      <c r="D277" s="81"/>
      <c r="E277" s="82"/>
      <c r="F277" s="80"/>
      <c r="G277" s="81"/>
      <c r="H277" s="80"/>
      <c r="I277" s="80"/>
      <c r="J277" s="80"/>
      <c r="K277" s="80"/>
      <c r="L277" s="80"/>
      <c r="M277" s="80" t="str">
        <f>IFERROR(__xludf.DUMMYFUNCTION("""COMPUTED_VALUE"""),"ü")</f>
        <v>ü</v>
      </c>
      <c r="N277" s="80"/>
      <c r="O277" s="80"/>
      <c r="P277" s="80" t="str">
        <f>IFERROR(__xludf.DUMMYFUNCTION("""COMPUTED_VALUE"""),"MUCSPA63004PSIND")</f>
        <v>MUCSPA63004PSIND</v>
      </c>
      <c r="Q277" s="80" t="str">
        <f>IFERROR(__xludf.DUMMYFUNCTION("""COMPUTED_VALUE"""),"MUC MURAKABI MART")</f>
        <v>MUC MURAKABI MART</v>
      </c>
      <c r="R277" s="80" t="str">
        <f>IFERROR(__xludf.DUMMYFUNCTION("""COMPUTED_VALUE"""),"MUC MURAKABI MART")</f>
        <v>MUC MURAKABI MART</v>
      </c>
      <c r="S277" s="80" t="str">
        <f>IFERROR(__xludf.DUMMYFUNCTION("""COMPUTED_VALUE"""),"PUJIYANTO")</f>
        <v>PUJIYANTO</v>
      </c>
      <c r="T277" s="80" t="str">
        <f>IFERROR(__xludf.DUMMYFUNCTION("""COMPUTED_VALUE"""),"KEDUNGPOH KULON RT.002 RW.002")</f>
        <v>KEDUNGPOH KULON RT.002 RW.002</v>
      </c>
      <c r="U277" s="80" t="str">
        <f>IFERROR(__xludf.DUMMYFUNCTION("""COMPUTED_VALUE"""),"JL. NGLIPAR-NGAWEN KM 01 ")</f>
        <v>JL. NGLIPAR-NGAWEN KM 01 </v>
      </c>
      <c r="V277" s="80"/>
      <c r="W277" s="80" t="str">
        <f>IFERROR(__xludf.DUMMYFUNCTION("""COMPUTED_VALUE"""),"KEDUNGPOH")</f>
        <v>KEDUNGPOH</v>
      </c>
      <c r="X277" s="80" t="str">
        <f>IFERROR(__xludf.DUMMYFUNCTION("""COMPUTED_VALUE"""),"NGLIPAR")</f>
        <v>NGLIPAR</v>
      </c>
      <c r="Y277" s="80" t="str">
        <f>IFERROR(__xludf.DUMMYFUNCTION("""COMPUTED_VALUE"""),"KAB. GUNUNGKIDUL")</f>
        <v>KAB. GUNUNGKIDUL</v>
      </c>
      <c r="Z277" s="80" t="str">
        <f>IFERROR(__xludf.DUMMYFUNCTION("""COMPUTED_VALUE"""),"YOGYAKARTA")</f>
        <v>YOGYAKARTA</v>
      </c>
      <c r="AA277" s="80" t="str">
        <f>IFERROR(__xludf.DUMMYFUNCTION("""COMPUTED_VALUE"""),"55852")</f>
        <v>55852</v>
      </c>
      <c r="AB277" s="80" t="str">
        <f>IFERROR(__xludf.DUMMYFUNCTION("""COMPUTED_VALUE"""),"3403021910850001")</f>
        <v>3403021910850001</v>
      </c>
      <c r="AC277" s="80" t="str">
        <f>IFERROR(__xludf.DUMMYFUNCTION("""COMPUTED_VALUE"""),"86.844.862.2-545.000")</f>
        <v>86.844.862.2-545.000</v>
      </c>
      <c r="AD277" s="80" t="str">
        <f>IFERROR(__xludf.DUMMYFUNCTION("""COMPUTED_VALUE"""),"CUM - PS - ARKW")</f>
        <v>CUM - PS - ARKW</v>
      </c>
      <c r="AE277" s="80" t="str">
        <f>IFERROR(__xludf.DUMMYFUNCTION("""COMPUTED_VALUE"""),"SUB ARIF POS")</f>
        <v>SUB ARIF POS</v>
      </c>
      <c r="AF277" s="80" t="str">
        <f>IFERROR(__xludf.DUMMYFUNCTION("""COMPUTED_VALUE"""),"081326816706")</f>
        <v>081326816706</v>
      </c>
      <c r="AG277" s="80"/>
      <c r="AH277" s="80" t="str">
        <f>IFERROR(__xludf.DUMMYFUNCTION("""COMPUTED_VALUE"""),"bumdeskedungpoh@gmail.com")</f>
        <v>bumdeskedungpoh@gmail.com</v>
      </c>
      <c r="AI277" s="80" t="str">
        <f>IFERROR(__xludf.DUMMYFUNCTION("""COMPUTED_VALUE"""),"55852S1")</f>
        <v>55852S1</v>
      </c>
      <c r="AJ277" s="80" t="str">
        <f>IFERROR(__xludf.DUMMYFUNCTION("""COMPUTED_VALUE"""),"66e13a4cf773e4d88b0a6eb0")</f>
        <v>66e13a4cf773e4d88b0a6eb0</v>
      </c>
      <c r="AK277" s="80" t="str">
        <f>IFERROR(__xludf.DUMMYFUNCTION("""COMPUTED_VALUE"""),"dm55852s1")</f>
        <v>dm55852s1</v>
      </c>
      <c r="AL277" s="80" t="str">
        <f>IFERROR(__xludf.DUMMYFUNCTION("""COMPUTED_VALUE"""),"#55852Pos")</f>
        <v>#55852Pos</v>
      </c>
      <c r="AM277" s="80" t="str">
        <f>IFERROR(__xludf.DUMMYFUNCTION("""COMPUTED_VALUE"""),"KANTOR REGIONAL IV SEMARANG 50004")</f>
        <v>KANTOR REGIONAL IV SEMARANG 50004</v>
      </c>
      <c r="AN277" s="80" t="str">
        <f>IFERROR(__xludf.DUMMYFUNCTION("""COMPUTED_VALUE"""),"KC WONOSARIYOGYA 55800")</f>
        <v>KC WONOSARIYOGYA 55800</v>
      </c>
      <c r="AO277" s="80" t="str">
        <f>IFERROR(__xludf.DUMMYFUNCTION("""COMPUTED_VALUE"""),"1008230021528")</f>
        <v>1008230021528</v>
      </c>
      <c r="AP277" s="80" t="str">
        <f>IFERROR(__xludf.DUMMYFUNCTION("""COMPUTED_VALUE"""),"10082300215280002")</f>
        <v>10082300215280002</v>
      </c>
      <c r="AQ277" s="83"/>
      <c r="AR277" s="80"/>
      <c r="AS277" s="80"/>
      <c r="AT277" s="80" t="str">
        <f>IFERROR(__xludf.DUMMYFUNCTION("""COMPUTED_VALUE"""),"-7.869837")</f>
        <v>-7.869837</v>
      </c>
      <c r="AU277" s="80" t="str">
        <f>IFERROR(__xludf.DUMMYFUNCTION("""COMPUTED_VALUE"""),"110.622564")</f>
        <v>110.622564</v>
      </c>
      <c r="AV277" s="80"/>
      <c r="AW277" s="80"/>
      <c r="AX277" s="80" t="str">
        <f>IFERROR(__xludf.DUMMYFUNCTION("""COMPUTED_VALUE"""),"ü")</f>
        <v>ü</v>
      </c>
      <c r="AY277" s="80"/>
      <c r="AZ277" s="80"/>
      <c r="BA277" s="80"/>
      <c r="BB277" s="80"/>
      <c r="BC277" s="80"/>
      <c r="BD277" s="80"/>
      <c r="BE277" s="80"/>
      <c r="BF277" s="80"/>
      <c r="BG277" s="80"/>
      <c r="BH277" s="80"/>
      <c r="BI277" s="80"/>
      <c r="BJ277" s="80"/>
      <c r="BK277" s="80"/>
      <c r="BL277" s="80"/>
      <c r="BM277" s="80"/>
      <c r="BN277" s="80"/>
      <c r="BO277" s="80"/>
      <c r="BP277" s="80"/>
      <c r="BQ277" s="80"/>
      <c r="BR277" s="80"/>
      <c r="BS277" s="80"/>
      <c r="BT277" s="80"/>
      <c r="BU277" s="80"/>
      <c r="BV277" s="80"/>
      <c r="BW277" s="80"/>
      <c r="BX277" s="80"/>
      <c r="BY277" s="80"/>
      <c r="BZ277" s="80"/>
      <c r="CA277" s="80"/>
      <c r="CB277" s="80"/>
      <c r="CC277" s="80"/>
      <c r="CD277" s="80"/>
      <c r="CE277" s="80"/>
      <c r="CF277" s="80"/>
      <c r="CG277" s="80"/>
      <c r="CH277" s="80"/>
      <c r="CI277" s="80"/>
      <c r="CJ277" s="80"/>
      <c r="CK277" s="2"/>
    </row>
    <row r="278" ht="12.75" customHeight="1">
      <c r="A278" s="85">
        <f>IFERROR(__xludf.DUMMYFUNCTION("""COMPUTED_VALUE"""),275.0)</f>
        <v>275</v>
      </c>
      <c r="B278" s="85"/>
      <c r="C278" s="85"/>
      <c r="D278" s="86"/>
      <c r="E278" s="88"/>
      <c r="F278" s="85"/>
      <c r="G278" s="86"/>
      <c r="H278" s="85"/>
      <c r="I278" s="85"/>
      <c r="J278" s="85"/>
      <c r="K278" s="85"/>
      <c r="L278" s="85"/>
      <c r="M278" s="85" t="str">
        <f>IFERROR(__xludf.DUMMYFUNCTION("""COMPUTED_VALUE"""),"ü")</f>
        <v>ü</v>
      </c>
      <c r="N278" s="85"/>
      <c r="O278" s="85"/>
      <c r="P278" s="85" t="str">
        <f>IFERROR(__xludf.DUMMYFUNCTION("""COMPUTED_VALUE"""),"53BSPA04979JBEEN")</f>
        <v>53BSPA04979JBEEN</v>
      </c>
      <c r="Q278" s="85" t="str">
        <f>IFERROR(__xludf.DUMMYFUNCTION("""COMPUTED_VALUE"""),"MUC IDA SUPRIATI ")</f>
        <v>MUC IDA SUPRIATI </v>
      </c>
      <c r="R278" s="85" t="str">
        <f>IFERROR(__xludf.DUMMYFUNCTION("""COMPUTED_VALUE"""),"MUC IDA SUPRIATI ")</f>
        <v>MUC IDA SUPRIATI </v>
      </c>
      <c r="S278" s="85" t="str">
        <f>IFERROR(__xludf.DUMMYFUNCTION("""COMPUTED_VALUE"""),"IDA SUPRIATI")</f>
        <v>IDA SUPRIATI</v>
      </c>
      <c r="T278" s="85" t="str">
        <f>IFERROR(__xludf.DUMMYFUNCTION("""COMPUTED_VALUE"""),"JL. TEUKU UMAR GG DIPO NO. 30 LK 1 RT. 002 ")</f>
        <v>JL. TEUKU UMAR GG DIPO NO. 30 LK 1 RT. 002 </v>
      </c>
      <c r="U278" s="85" t="str">
        <f>IFERROR(__xludf.DUMMYFUNCTION("""COMPUTED_VALUE"""),"JL. TEUKU UMAR GG DIPO NO. 30 LK 1 RT. 002 ")</f>
        <v>JL. TEUKU UMAR GG DIPO NO. 30 LK 1 RT. 002 </v>
      </c>
      <c r="V278" s="85"/>
      <c r="W278" s="85" t="str">
        <f>IFERROR(__xludf.DUMMYFUNCTION("""COMPUTED_VALUE"""),"SAWAH BREBES")</f>
        <v>SAWAH BREBES</v>
      </c>
      <c r="X278" s="85" t="str">
        <f>IFERROR(__xludf.DUMMYFUNCTION("""COMPUTED_VALUE"""),"TANJUNGKARANG TIMUR")</f>
        <v>TANJUNGKARANG TIMUR</v>
      </c>
      <c r="Y278" s="85" t="str">
        <f>IFERROR(__xludf.DUMMYFUNCTION("""COMPUTED_VALUE"""),"BANDAR LAMPUR")</f>
        <v>BANDAR LAMPUR</v>
      </c>
      <c r="Z278" s="85" t="str">
        <f>IFERROR(__xludf.DUMMYFUNCTION("""COMPUTED_VALUE"""),"LAMPUNG")</f>
        <v>LAMPUNG</v>
      </c>
      <c r="AA278" s="85" t="str">
        <f>IFERROR(__xludf.DUMMYFUNCTION("""COMPUTED_VALUE"""),"35125")</f>
        <v>35125</v>
      </c>
      <c r="AB278" s="85" t="str">
        <f>IFERROR(__xludf.DUMMYFUNCTION("""COMPUTED_VALUE"""),"1871135104780002")</f>
        <v>1871135104780002</v>
      </c>
      <c r="AC278" s="85" t="str">
        <f>IFERROR(__xludf.DUMMYFUNCTION("""COMPUTED_VALUE"""),"79.288.624.4-322.000")</f>
        <v>79.288.624.4-322.000</v>
      </c>
      <c r="AD278" s="85" t="str">
        <f>IFERROR(__xludf.DUMMYFUNCTION("""COMPUTED_VALUE"""),"CUM - EEN")</f>
        <v>CUM - EEN</v>
      </c>
      <c r="AE278" s="85" t="str">
        <f>IFERROR(__xludf.DUMMYFUNCTION("""COMPUTED_VALUE"""),"SUB EEN")</f>
        <v>SUB EEN</v>
      </c>
      <c r="AF278" s="85" t="str">
        <f>IFERROR(__xludf.DUMMYFUNCTION("""COMPUTED_VALUE"""),"082178115848")</f>
        <v>082178115848</v>
      </c>
      <c r="AG278" s="85"/>
      <c r="AH278" s="85" t="str">
        <f>IFERROR(__xludf.DUMMYFUNCTION("""COMPUTED_VALUE"""),"ardhian.bagaskara2018@gmail.com")</f>
        <v>ardhian.bagaskara2018@gmail.com</v>
      </c>
      <c r="AI278" s="85"/>
      <c r="AJ278" s="85"/>
      <c r="AK278" s="85"/>
      <c r="AL278" s="85"/>
      <c r="AM278" s="85" t="str">
        <f>IFERROR(__xludf.DUMMYFUNCTION("""COMPUTED_VALUE"""),"KANTOR REGIONAL I MEDAN 20004")</f>
        <v>KANTOR REGIONAL I MEDAN 20004</v>
      </c>
      <c r="AN278" s="85" t="str">
        <f>IFERROR(__xludf.DUMMYFUNCTION("""COMPUTED_VALUE"""),"KCU BANDARLAMPUNG 35000")</f>
        <v>KCU BANDARLAMPUNG 35000</v>
      </c>
      <c r="AO278" s="85" t="str">
        <f>IFERROR(__xludf.DUMMYFUNCTION("""COMPUTED_VALUE"""),"3012210035708")</f>
        <v>3012210035708</v>
      </c>
      <c r="AP278" s="85" t="str">
        <f>IFERROR(__xludf.DUMMYFUNCTION("""COMPUTED_VALUE"""),"30122100357080001")</f>
        <v>30122100357080001</v>
      </c>
      <c r="AQ278" s="93"/>
      <c r="AR278" s="85"/>
      <c r="AS278" s="85"/>
      <c r="AT278" s="85" t="str">
        <f>IFERROR(__xludf.DUMMYFUNCTION("""COMPUTED_VALUE"""),"-5.405507")</f>
        <v>-5.405507</v>
      </c>
      <c r="AU278" s="85" t="str">
        <f>IFERROR(__xludf.DUMMYFUNCTION("""COMPUTED_VALUE"""),"105.260145")</f>
        <v>105.260145</v>
      </c>
      <c r="AV278" s="85"/>
      <c r="AW278" s="85"/>
      <c r="AX278" s="85" t="str">
        <f>IFERROR(__xludf.DUMMYFUNCTION("""COMPUTED_VALUE"""),"ü")</f>
        <v>ü</v>
      </c>
      <c r="AY278" s="85"/>
      <c r="AZ278" s="85"/>
      <c r="BA278" s="85"/>
      <c r="BB278" s="85"/>
      <c r="BC278" s="85"/>
      <c r="BD278" s="85"/>
      <c r="BE278" s="85"/>
      <c r="BF278" s="85"/>
      <c r="BG278" s="85"/>
      <c r="BH278" s="85"/>
      <c r="BI278" s="85"/>
      <c r="BJ278" s="85"/>
      <c r="BK278" s="85"/>
      <c r="BL278" s="85"/>
      <c r="BM278" s="85"/>
      <c r="BN278" s="85"/>
      <c r="BO278" s="85"/>
      <c r="BP278" s="85"/>
      <c r="BQ278" s="85"/>
      <c r="BR278" s="85"/>
      <c r="BS278" s="85"/>
      <c r="BT278" s="85"/>
      <c r="BU278" s="85"/>
      <c r="BV278" s="85"/>
      <c r="BW278" s="85"/>
      <c r="BX278" s="85"/>
      <c r="BY278" s="85"/>
      <c r="BZ278" s="85"/>
      <c r="CA278" s="85"/>
      <c r="CB278" s="85"/>
      <c r="CC278" s="85"/>
      <c r="CD278" s="85"/>
      <c r="CE278" s="85"/>
      <c r="CF278" s="85"/>
      <c r="CG278" s="85"/>
      <c r="CH278" s="85"/>
      <c r="CI278" s="85"/>
      <c r="CJ278" s="85"/>
      <c r="CK278" s="2"/>
    </row>
    <row r="279" ht="12.75" customHeight="1">
      <c r="A279" s="80">
        <f>IFERROR(__xludf.DUMMYFUNCTION("""COMPUTED_VALUE"""),276.0)</f>
        <v>276</v>
      </c>
      <c r="B279" s="80"/>
      <c r="C279" s="80"/>
      <c r="D279" s="81"/>
      <c r="E279" s="82"/>
      <c r="F279" s="80"/>
      <c r="G279" s="81"/>
      <c r="H279" s="80"/>
      <c r="I279" s="80"/>
      <c r="J279" s="80"/>
      <c r="K279" s="80"/>
      <c r="L279" s="80"/>
      <c r="M279" s="80" t="str">
        <f>IFERROR(__xludf.DUMMYFUNCTION("""COMPUTED_VALUE"""),"ü")</f>
        <v>ü</v>
      </c>
      <c r="N279" s="80"/>
      <c r="O279" s="80"/>
      <c r="P279" s="80" t="str">
        <f>IFERROR(__xludf.DUMMYFUNCTION("""COMPUTED_VALUE"""),"MUCSPA63005PSIND")</f>
        <v>MUCSPA63005PSIND</v>
      </c>
      <c r="Q279" s="80" t="str">
        <f>IFERROR(__xludf.DUMMYFUNCTION("""COMPUTED_VALUE"""),"MUC SPRINT EXPRESS")</f>
        <v>MUC SPRINT EXPRESS</v>
      </c>
      <c r="R279" s="80" t="str">
        <f>IFERROR(__xludf.DUMMYFUNCTION("""COMPUTED_VALUE"""),"MUC SPRINT EXPRESS")</f>
        <v>MUC SPRINT EXPRESS</v>
      </c>
      <c r="S279" s="80" t="str">
        <f>IFERROR(__xludf.DUMMYFUNCTION("""COMPUTED_VALUE"""),"PETRUS SUTANTO")</f>
        <v>PETRUS SUTANTO</v>
      </c>
      <c r="T279" s="80" t="str">
        <f>IFERROR(__xludf.DUMMYFUNCTION("""COMPUTED_VALUE"""),"Perum Alinda Kencana blok J3 no 19 -20 RT.09 RW.21 ")</f>
        <v>Perum Alinda Kencana blok J3 no 19 -20 RT.09 RW.21 </v>
      </c>
      <c r="U279" s="80" t="str">
        <f>IFERROR(__xludf.DUMMYFUNCTION("""COMPUTED_VALUE"""),"Perum Alinda Kencana blok J3 no 19 -20")</f>
        <v>Perum Alinda Kencana blok J3 no 19 -20</v>
      </c>
      <c r="V279" s="80"/>
      <c r="W279" s="80" t="str">
        <f>IFERROR(__xludf.DUMMYFUNCTION("""COMPUTED_VALUE"""),"KALIABANG TENGAH")</f>
        <v>KALIABANG TENGAH</v>
      </c>
      <c r="X279" s="80" t="str">
        <f>IFERROR(__xludf.DUMMYFUNCTION("""COMPUTED_VALUE"""),"BEKASI UTARA")</f>
        <v>BEKASI UTARA</v>
      </c>
      <c r="Y279" s="80" t="str">
        <f>IFERROR(__xludf.DUMMYFUNCTION("""COMPUTED_VALUE"""),"KOTA BEKASI")</f>
        <v>KOTA BEKASI</v>
      </c>
      <c r="Z279" s="80" t="str">
        <f>IFERROR(__xludf.DUMMYFUNCTION("""COMPUTED_VALUE"""),"JAWA BARAT")</f>
        <v>JAWA BARAT</v>
      </c>
      <c r="AA279" s="80" t="str">
        <f>IFERROR(__xludf.DUMMYFUNCTION("""COMPUTED_VALUE"""),"17125")</f>
        <v>17125</v>
      </c>
      <c r="AB279" s="80" t="str">
        <f>IFERROR(__xludf.DUMMYFUNCTION("""COMPUTED_VALUE"""),"3275032706920017")</f>
        <v>3275032706920017</v>
      </c>
      <c r="AC279" s="80" t="str">
        <f>IFERROR(__xludf.DUMMYFUNCTION("""COMPUTED_VALUE"""),"74.045.162.0-407.000")</f>
        <v>74.045.162.0-407.000</v>
      </c>
      <c r="AD279" s="80" t="str">
        <f>IFERROR(__xludf.DUMMYFUNCTION("""COMPUTED_VALUE"""),"CUM - PS -ARKT")</f>
        <v>CUM - PS -ARKT</v>
      </c>
      <c r="AE279" s="80" t="str">
        <f>IFERROR(__xludf.DUMMYFUNCTION("""COMPUTED_VALUE"""),"SUB ARIS POS")</f>
        <v>SUB ARIS POS</v>
      </c>
      <c r="AF279" s="80" t="str">
        <f>IFERROR(__xludf.DUMMYFUNCTION("""COMPUTED_VALUE"""),"081288256427")</f>
        <v>081288256427</v>
      </c>
      <c r="AG279" s="80"/>
      <c r="AH279" s="80" t="str">
        <f>IFERROR(__xludf.DUMMYFUNCTION("""COMPUTED_VALUE"""),"sprintexpressindonesia@gmail.com")</f>
        <v>sprintexpressindonesia@gmail.com</v>
      </c>
      <c r="AI279" s="80" t="str">
        <f>IFERROR(__xludf.DUMMYFUNCTION("""COMPUTED_VALUE"""),"17125S5")</f>
        <v>17125S5</v>
      </c>
      <c r="AJ279" s="80" t="str">
        <f>IFERROR(__xludf.DUMMYFUNCTION("""COMPUTED_VALUE"""),"66e53b8224118971f200401c")</f>
        <v>66e53b8224118971f200401c</v>
      </c>
      <c r="AK279" s="80" t="str">
        <f>IFERROR(__xludf.DUMMYFUNCTION("""COMPUTED_VALUE"""),"dm17125s5")</f>
        <v>dm17125s5</v>
      </c>
      <c r="AL279" s="80" t="str">
        <f>IFERROR(__xludf.DUMMYFUNCTION("""COMPUTED_VALUE"""),"#17125Pos")</f>
        <v>#17125Pos</v>
      </c>
      <c r="AM279" s="80" t="str">
        <f>IFERROR(__xludf.DUMMYFUNCTION("""COMPUTED_VALUE"""),"KANTOR REGIONAL II JAKARTA 10004")</f>
        <v>KANTOR REGIONAL II JAKARTA 10004</v>
      </c>
      <c r="AN279" s="80" t="str">
        <f>IFERROR(__xludf.DUMMYFUNCTION("""COMPUTED_VALUE"""),"KCU BEKASI 17000")</f>
        <v>KCU BEKASI 17000</v>
      </c>
      <c r="AO279" s="80" t="str">
        <f>IFERROR(__xludf.DUMMYFUNCTION("""COMPUTED_VALUE"""),"0909240014651")</f>
        <v>0909240014651</v>
      </c>
      <c r="AP279" s="80" t="str">
        <f>IFERROR(__xludf.DUMMYFUNCTION("""COMPUTED_VALUE"""),"09092400146510001")</f>
        <v>09092400146510001</v>
      </c>
      <c r="AQ279" s="83"/>
      <c r="AR279" s="80"/>
      <c r="AS279" s="80"/>
      <c r="AT279" s="80" t="str">
        <f>IFERROR(__xludf.DUMMYFUNCTION("""COMPUTED_VALUE"""),"-6.199277")</f>
        <v>-6.199277</v>
      </c>
      <c r="AU279" s="80" t="str">
        <f>IFERROR(__xludf.DUMMYFUNCTION("""COMPUTED_VALUE"""),"107.009157")</f>
        <v>107.009157</v>
      </c>
      <c r="AV279" s="80"/>
      <c r="AW279" s="80"/>
      <c r="AX279" s="80" t="str">
        <f>IFERROR(__xludf.DUMMYFUNCTION("""COMPUTED_VALUE"""),"ü")</f>
        <v>ü</v>
      </c>
      <c r="AY279" s="80"/>
      <c r="AZ279" s="80"/>
      <c r="BA279" s="80"/>
      <c r="BB279" s="80"/>
      <c r="BC279" s="80"/>
      <c r="BD279" s="80"/>
      <c r="BE279" s="80"/>
      <c r="BF279" s="80"/>
      <c r="BG279" s="80"/>
      <c r="BH279" s="80"/>
      <c r="BI279" s="80"/>
      <c r="BJ279" s="80"/>
      <c r="BK279" s="80"/>
      <c r="BL279" s="80"/>
      <c r="BM279" s="80"/>
      <c r="BN279" s="80"/>
      <c r="BO279" s="80"/>
      <c r="BP279" s="80"/>
      <c r="BQ279" s="80"/>
      <c r="BR279" s="80"/>
      <c r="BS279" s="80"/>
      <c r="BT279" s="80"/>
      <c r="BU279" s="80"/>
      <c r="BV279" s="80"/>
      <c r="BW279" s="80"/>
      <c r="BX279" s="80"/>
      <c r="BY279" s="80"/>
      <c r="BZ279" s="80"/>
      <c r="CA279" s="80"/>
      <c r="CB279" s="80"/>
      <c r="CC279" s="80"/>
      <c r="CD279" s="80"/>
      <c r="CE279" s="80"/>
      <c r="CF279" s="80"/>
      <c r="CG279" s="80"/>
      <c r="CH279" s="80"/>
      <c r="CI279" s="80"/>
      <c r="CJ279" s="80"/>
      <c r="CK279" s="2"/>
    </row>
    <row r="280" ht="12.75" customHeight="1">
      <c r="A280" s="85">
        <f>IFERROR(__xludf.DUMMYFUNCTION("""COMPUTED_VALUE"""),277.0)</f>
        <v>277</v>
      </c>
      <c r="B280" s="85"/>
      <c r="C280" s="85"/>
      <c r="D280" s="86"/>
      <c r="E280" s="88"/>
      <c r="F280" s="85"/>
      <c r="G280" s="86"/>
      <c r="H280" s="85"/>
      <c r="I280" s="85"/>
      <c r="J280" s="85"/>
      <c r="K280" s="85"/>
      <c r="L280" s="85"/>
      <c r="M280" s="85" t="str">
        <f>IFERROR(__xludf.DUMMYFUNCTION("""COMPUTED_VALUE"""),"ü")</f>
        <v>ü</v>
      </c>
      <c r="N280" s="85"/>
      <c r="O280" s="85"/>
      <c r="P280" s="85" t="str">
        <f>IFERROR(__xludf.DUMMYFUNCTION("""COMPUTED_VALUE"""),"MUCSPA63007PSIND")</f>
        <v>MUCSPA63007PSIND</v>
      </c>
      <c r="Q280" s="85" t="str">
        <f>IFERROR(__xludf.DUMMYFUNCTION("""COMPUTED_VALUE"""),"MUC BnB")</f>
        <v>MUC BnB</v>
      </c>
      <c r="R280" s="85" t="str">
        <f>IFERROR(__xludf.DUMMYFUNCTION("""COMPUTED_VALUE"""),"MUC BnB")</f>
        <v>MUC BnB</v>
      </c>
      <c r="S280" s="85" t="str">
        <f>IFERROR(__xludf.DUMMYFUNCTION("""COMPUTED_VALUE"""),"SUSMIATI")</f>
        <v>SUSMIATI</v>
      </c>
      <c r="T280" s="85" t="str">
        <f>IFERROR(__xludf.DUMMYFUNCTION("""COMPUTED_VALUE"""),"GRIYA KLIPANG PERMAI BLOK N-9 NO.1")</f>
        <v>GRIYA KLIPANG PERMAI BLOK N-9 NO.1</v>
      </c>
      <c r="U280" s="85" t="str">
        <f>IFERROR(__xludf.DUMMYFUNCTION("""COMPUTED_VALUE"""),"Di Jalan Raya Manyaran Gunungpati Desa Kuwasen Rejo RT 01 RW 04")</f>
        <v>Di Jalan Raya Manyaran Gunungpati Desa Kuwasen Rejo RT 01 RW 04</v>
      </c>
      <c r="V280" s="85"/>
      <c r="W280" s="85" t="str">
        <f>IFERROR(__xludf.DUMMYFUNCTION("""COMPUTED_VALUE"""),"PONGANGAN")</f>
        <v>PONGANGAN</v>
      </c>
      <c r="X280" s="85" t="str">
        <f>IFERROR(__xludf.DUMMYFUNCTION("""COMPUTED_VALUE"""),"GUNUNGPATI")</f>
        <v>GUNUNGPATI</v>
      </c>
      <c r="Y280" s="85" t="str">
        <f>IFERROR(__xludf.DUMMYFUNCTION("""COMPUTED_VALUE"""),"KOTA SEMARANG")</f>
        <v>KOTA SEMARANG</v>
      </c>
      <c r="Z280" s="85" t="str">
        <f>IFERROR(__xludf.DUMMYFUNCTION("""COMPUTED_VALUE"""),"JAWA TENGAH")</f>
        <v>JAWA TENGAH</v>
      </c>
      <c r="AA280" s="85" t="str">
        <f>IFERROR(__xludf.DUMMYFUNCTION("""COMPUTED_VALUE"""),"50222")</f>
        <v>50222</v>
      </c>
      <c r="AB280" s="85" t="str">
        <f>IFERROR(__xludf.DUMMYFUNCTION("""COMPUTED_VALUE"""),"3374104906690005 ")</f>
        <v>3374104906690005 </v>
      </c>
      <c r="AC280" s="85" t="str">
        <f>IFERROR(__xludf.DUMMYFUNCTION("""COMPUTED_VALUE"""),"47.492.805.8-517.000")</f>
        <v>47.492.805.8-517.000</v>
      </c>
      <c r="AD280" s="85" t="str">
        <f>IFERROR(__xludf.DUMMYFUNCTION("""COMPUTED_VALUE"""),"CUM - PS - PDW")</f>
        <v>CUM - PS - PDW</v>
      </c>
      <c r="AE280" s="85" t="str">
        <f>IFERROR(__xludf.DUMMYFUNCTION("""COMPUTED_VALUE"""),"SUB BOWO POS")</f>
        <v>SUB BOWO POS</v>
      </c>
      <c r="AF280" s="85" t="str">
        <f>IFERROR(__xludf.DUMMYFUNCTION("""COMPUTED_VALUE"""),"08170714532")</f>
        <v>08170714532</v>
      </c>
      <c r="AG280" s="85"/>
      <c r="AH280" s="85" t="str">
        <f>IFERROR(__xludf.DUMMYFUNCTION("""COMPUTED_VALUE"""),"susiebnb&amp;gmail.com")</f>
        <v>susiebnb&amp;gmail.com</v>
      </c>
      <c r="AI280" s="85" t="str">
        <f>IFERROR(__xludf.DUMMYFUNCTION("""COMPUTED_VALUE"""),"50224S1")</f>
        <v>50224S1</v>
      </c>
      <c r="AJ280" s="85" t="str">
        <f>IFERROR(__xludf.DUMMYFUNCTION("""COMPUTED_VALUE"""),"66f5ff4e86007a5554081749")</f>
        <v>66f5ff4e86007a5554081749</v>
      </c>
      <c r="AK280" s="85" t="str">
        <f>IFERROR(__xludf.DUMMYFUNCTION("""COMPUTED_VALUE"""),"dm50224s1")</f>
        <v>dm50224s1</v>
      </c>
      <c r="AL280" s="85" t="str">
        <f>IFERROR(__xludf.DUMMYFUNCTION("""COMPUTED_VALUE"""),"#50224Pos")</f>
        <v>#50224Pos</v>
      </c>
      <c r="AM280" s="85" t="str">
        <f>IFERROR(__xludf.DUMMYFUNCTION("""COMPUTED_VALUE"""),"KANTOR REGIONAL IV SEMARANG 50004")</f>
        <v>KANTOR REGIONAL IV SEMARANG 50004</v>
      </c>
      <c r="AN280" s="85" t="str">
        <f>IFERROR(__xludf.DUMMYFUNCTION("""COMPUTED_VALUE"""),"KCU SEMARANG 50000")</f>
        <v>KCU SEMARANG 50000</v>
      </c>
      <c r="AO280" s="85" t="str">
        <f>IFERROR(__xludf.DUMMYFUNCTION("""COMPUTED_VALUE"""),"0909240086313")</f>
        <v>0909240086313</v>
      </c>
      <c r="AP280" s="85" t="str">
        <f>IFERROR(__xludf.DUMMYFUNCTION("""COMPUTED_VALUE"""),"09092400863130001")</f>
        <v>09092400863130001</v>
      </c>
      <c r="AQ280" s="93"/>
      <c r="AR280" s="85"/>
      <c r="AS280" s="85"/>
      <c r="AT280" s="85" t="str">
        <f>IFERROR(__xludf.DUMMYFUNCTION("""COMPUTED_VALUE"""),"-7.047065 ")</f>
        <v>-7.047065 </v>
      </c>
      <c r="AU280" s="85" t="str">
        <f>IFERROR(__xludf.DUMMYFUNCTION("""COMPUTED_VALUE"""),"110.360202")</f>
        <v>110.360202</v>
      </c>
      <c r="AV280" s="85"/>
      <c r="AW280" s="85"/>
      <c r="AX280" s="85" t="str">
        <f>IFERROR(__xludf.DUMMYFUNCTION("""COMPUTED_VALUE"""),"ü")</f>
        <v>ü</v>
      </c>
      <c r="AY280" s="85"/>
      <c r="AZ280" s="85"/>
      <c r="BA280" s="85"/>
      <c r="BB280" s="85"/>
      <c r="BC280" s="85"/>
      <c r="BD280" s="85"/>
      <c r="BE280" s="85"/>
      <c r="BF280" s="85"/>
      <c r="BG280" s="85"/>
      <c r="BH280" s="85"/>
      <c r="BI280" s="85"/>
      <c r="BJ280" s="85"/>
      <c r="BK280" s="85"/>
      <c r="BL280" s="85"/>
      <c r="BM280" s="85"/>
      <c r="BN280" s="85"/>
      <c r="BO280" s="85"/>
      <c r="BP280" s="85"/>
      <c r="BQ280" s="85"/>
      <c r="BR280" s="85"/>
      <c r="BS280" s="85"/>
      <c r="BT280" s="85"/>
      <c r="BU280" s="85"/>
      <c r="BV280" s="85"/>
      <c r="BW280" s="85"/>
      <c r="BX280" s="85"/>
      <c r="BY280" s="85"/>
      <c r="BZ280" s="85"/>
      <c r="CA280" s="85"/>
      <c r="CB280" s="85"/>
      <c r="CC280" s="85"/>
      <c r="CD280" s="85"/>
      <c r="CE280" s="85"/>
      <c r="CF280" s="85"/>
      <c r="CG280" s="85"/>
      <c r="CH280" s="85"/>
      <c r="CI280" s="85"/>
      <c r="CJ280" s="85"/>
      <c r="CK280" s="2"/>
    </row>
    <row r="281" ht="12.75" customHeight="1">
      <c r="A281" s="80">
        <f>IFERROR(__xludf.DUMMYFUNCTION("""COMPUTED_VALUE"""),278.0)</f>
        <v>278</v>
      </c>
      <c r="B281" s="80"/>
      <c r="C281" s="80"/>
      <c r="D281" s="81"/>
      <c r="E281" s="82"/>
      <c r="F281" s="80"/>
      <c r="G281" s="81"/>
      <c r="H281" s="80"/>
      <c r="I281" s="80"/>
      <c r="J281" s="80"/>
      <c r="K281" s="80"/>
      <c r="L281" s="80"/>
      <c r="M281" s="80" t="str">
        <f>IFERROR(__xludf.DUMMYFUNCTION("""COMPUTED_VALUE"""),"ü")</f>
        <v>ü</v>
      </c>
      <c r="N281" s="80"/>
      <c r="O281" s="80"/>
      <c r="P281" s="80" t="str">
        <f>IFERROR(__xludf.DUMMYFUNCTION("""COMPUTED_VALUE"""),"52BSPA22835JTAMT")</f>
        <v>52BSPA22835JTAMT</v>
      </c>
      <c r="Q281" s="80" t="str">
        <f>IFERROR(__xludf.DUMMYFUNCTION("""COMPUTED_VALUE"""),"MUC AZKA")</f>
        <v>MUC AZKA</v>
      </c>
      <c r="R281" s="80" t="str">
        <f>IFERROR(__xludf.DUMMYFUNCTION("""COMPUTED_VALUE"""),"MUC AZKA")</f>
        <v>MUC AZKA</v>
      </c>
      <c r="S281" s="80" t="str">
        <f>IFERROR(__xludf.DUMMYFUNCTION("""COMPUTED_VALUE"""),"KHOIRU")</f>
        <v>KHOIRU</v>
      </c>
      <c r="T281" s="80" t="str">
        <f>IFERROR(__xludf.DUMMYFUNCTION("""COMPUTED_VALUE"""),"DUKUH KRAJAN RT.003 RW.004  ")</f>
        <v>DUKUH KRAJAN RT.003 RW.004  </v>
      </c>
      <c r="U281" s="80" t="str">
        <f>IFERROR(__xludf.DUMMYFUNCTION("""COMPUTED_VALUE"""),"DUKUH KRAJAN RT.003 RW.004")</f>
        <v>DUKUH KRAJAN RT.003 RW.004</v>
      </c>
      <c r="V281" s="80"/>
      <c r="W281" s="80" t="str">
        <f>IFERROR(__xludf.DUMMYFUNCTION("""COMPUTED_VALUE"""),"MIJEN")</f>
        <v>MIJEN</v>
      </c>
      <c r="X281" s="80" t="str">
        <f>IFERROR(__xludf.DUMMYFUNCTION("""COMPUTED_VALUE"""),"KALIWUNGU")</f>
        <v>KALIWUNGU</v>
      </c>
      <c r="Y281" s="80" t="str">
        <f>IFERROR(__xludf.DUMMYFUNCTION("""COMPUTED_VALUE"""),"KAB. KUDUS")</f>
        <v>KAB. KUDUS</v>
      </c>
      <c r="Z281" s="80" t="str">
        <f>IFERROR(__xludf.DUMMYFUNCTION("""COMPUTED_VALUE"""),"JAWA TENGAH")</f>
        <v>JAWA TENGAH</v>
      </c>
      <c r="AA281" s="80" t="str">
        <f>IFERROR(__xludf.DUMMYFUNCTION("""COMPUTED_VALUE"""),"59332")</f>
        <v>59332</v>
      </c>
      <c r="AB281" s="80" t="str">
        <f>IFERROR(__xludf.DUMMYFUNCTION("""COMPUTED_VALUE"""),"3319011505880001")</f>
        <v>3319011505880001</v>
      </c>
      <c r="AC281" s="80" t="str">
        <f>IFERROR(__xludf.DUMMYFUNCTION("""COMPUTED_VALUE"""),"98.015.641.8-506.000")</f>
        <v>98.015.641.8-506.000</v>
      </c>
      <c r="AD281" s="80" t="str">
        <f>IFERROR(__xludf.DUMMYFUNCTION("""COMPUTED_VALUE"""),"CUM - AMT")</f>
        <v>CUM - AMT</v>
      </c>
      <c r="AE281" s="80" t="str">
        <f>IFERROR(__xludf.DUMMYFUNCTION("""COMPUTED_VALUE"""),"SUB AMINARTI")</f>
        <v>SUB AMINARTI</v>
      </c>
      <c r="AF281" s="80" t="str">
        <f>IFERROR(__xludf.DUMMYFUNCTION("""COMPUTED_VALUE"""),"085237013818")</f>
        <v>085237013818</v>
      </c>
      <c r="AG281" s="80"/>
      <c r="AH281" s="80" t="str">
        <f>IFERROR(__xludf.DUMMYFUNCTION("""COMPUTED_VALUE"""),"aminartijaya@gmail.com")</f>
        <v>aminartijaya@gmail.com</v>
      </c>
      <c r="AI281" s="80" t="str">
        <f>IFERROR(__xludf.DUMMYFUNCTION("""COMPUTED_VALUE"""),"59361S4")</f>
        <v>59361S4</v>
      </c>
      <c r="AJ281" s="80" t="str">
        <f>IFERROR(__xludf.DUMMYFUNCTION("""COMPUTED_VALUE"""),"67077a5c102385bb090576cb")</f>
        <v>67077a5c102385bb090576cb</v>
      </c>
      <c r="AK281" s="80" t="str">
        <f>IFERROR(__xludf.DUMMYFUNCTION("""COMPUTED_VALUE"""),"dm59361s4")</f>
        <v>dm59361s4</v>
      </c>
      <c r="AL281" s="80" t="str">
        <f>IFERROR(__xludf.DUMMYFUNCTION("""COMPUTED_VALUE"""),"#59361Pos")</f>
        <v>#59361Pos</v>
      </c>
      <c r="AM281" s="80" t="str">
        <f>IFERROR(__xludf.DUMMYFUNCTION("""COMPUTED_VALUE"""),"KANTOR REGIONAL IV SEMARANG 50004")</f>
        <v>KANTOR REGIONAL IV SEMARANG 50004</v>
      </c>
      <c r="AN281" s="80" t="str">
        <f>IFERROR(__xludf.DUMMYFUNCTION("""COMPUTED_VALUE"""),"KC KUDUS 59300")</f>
        <v>KC KUDUS 59300</v>
      </c>
      <c r="AO281" s="80" t="str">
        <f>IFERROR(__xludf.DUMMYFUNCTION("""COMPUTED_VALUE"""),"0909240055498")</f>
        <v>0909240055498</v>
      </c>
      <c r="AP281" s="80" t="str">
        <f>IFERROR(__xludf.DUMMYFUNCTION("""COMPUTED_VALUE"""),"09092400554980001")</f>
        <v>09092400554980001</v>
      </c>
      <c r="AQ281" s="83"/>
      <c r="AR281" s="80"/>
      <c r="AS281" s="80"/>
      <c r="AT281" s="80" t="str">
        <f>IFERROR(__xludf.DUMMYFUNCTION("""COMPUTED_VALUE"""),"-6.790173")</f>
        <v>-6.790173</v>
      </c>
      <c r="AU281" s="80" t="str">
        <f>IFERROR(__xludf.DUMMYFUNCTION("""COMPUTED_VALUE"""),"110.799897")</f>
        <v>110.799897</v>
      </c>
      <c r="AV281" s="80"/>
      <c r="AW281" s="80"/>
      <c r="AX281" s="80" t="str">
        <f>IFERROR(__xludf.DUMMYFUNCTION("""COMPUTED_VALUE"""),"ü")</f>
        <v>ü</v>
      </c>
      <c r="AY281" s="80"/>
      <c r="AZ281" s="80"/>
      <c r="BA281" s="80"/>
      <c r="BB281" s="80"/>
      <c r="BC281" s="80"/>
      <c r="BD281" s="80"/>
      <c r="BE281" s="80"/>
      <c r="BF281" s="80"/>
      <c r="BG281" s="80"/>
      <c r="BH281" s="80"/>
      <c r="BI281" s="80"/>
      <c r="BJ281" s="80"/>
      <c r="BK281" s="80"/>
      <c r="BL281" s="80"/>
      <c r="BM281" s="80"/>
      <c r="BN281" s="80"/>
      <c r="BO281" s="80"/>
      <c r="BP281" s="80"/>
      <c r="BQ281" s="80"/>
      <c r="BR281" s="80"/>
      <c r="BS281" s="80"/>
      <c r="BT281" s="80"/>
      <c r="BU281" s="80"/>
      <c r="BV281" s="80"/>
      <c r="BW281" s="80"/>
      <c r="BX281" s="80"/>
      <c r="BY281" s="80"/>
      <c r="BZ281" s="80"/>
      <c r="CA281" s="80"/>
      <c r="CB281" s="80"/>
      <c r="CC281" s="80"/>
      <c r="CD281" s="80"/>
      <c r="CE281" s="80"/>
      <c r="CF281" s="80"/>
      <c r="CG281" s="80"/>
      <c r="CH281" s="80"/>
      <c r="CI281" s="80"/>
      <c r="CJ281" s="80"/>
      <c r="CK281" s="2"/>
    </row>
    <row r="282" ht="12.75" customHeight="1">
      <c r="A282" s="85">
        <f>IFERROR(__xludf.DUMMYFUNCTION("""COMPUTED_VALUE"""),279.0)</f>
        <v>279</v>
      </c>
      <c r="B282" s="85"/>
      <c r="C282" s="85"/>
      <c r="D282" s="86"/>
      <c r="E282" s="88"/>
      <c r="F282" s="85"/>
      <c r="G282" s="86"/>
      <c r="H282" s="85"/>
      <c r="I282" s="85"/>
      <c r="J282" s="85"/>
      <c r="K282" s="85"/>
      <c r="L282" s="85"/>
      <c r="M282" s="85" t="str">
        <f>IFERROR(__xludf.DUMMYFUNCTION("""COMPUTED_VALUE"""),"ü")</f>
        <v>ü</v>
      </c>
      <c r="N282" s="85"/>
      <c r="O282" s="85"/>
      <c r="P282" s="85" t="str">
        <f>IFERROR(__xludf.DUMMYFUNCTION("""COMPUTED_VALUE"""),"MUCSPA63008PSIND")</f>
        <v>MUCSPA63008PSIND</v>
      </c>
      <c r="Q282" s="85" t="str">
        <f>IFERROR(__xludf.DUMMYFUNCTION("""COMPUTED_VALUE"""),"MUC EKA")</f>
        <v>MUC EKA</v>
      </c>
      <c r="R282" s="85" t="str">
        <f>IFERROR(__xludf.DUMMYFUNCTION("""COMPUTED_VALUE"""),"MUC EKA")</f>
        <v>MUC EKA</v>
      </c>
      <c r="S282" s="85" t="str">
        <f>IFERROR(__xludf.DUMMYFUNCTION("""COMPUTED_VALUE"""),"EKA YUNILISTIANINGSIH")</f>
        <v>EKA YUNILISTIANINGSIH</v>
      </c>
      <c r="T282" s="85" t="str">
        <f>IFERROR(__xludf.DUMMYFUNCTION("""COMPUTED_VALUE"""),"PANYAWANGAN 4 NO. 12 RT.007 RW.007")</f>
        <v>PANYAWANGAN 4 NO. 12 RT.007 RW.007</v>
      </c>
      <c r="U282" s="85" t="str">
        <f>IFERROR(__xludf.DUMMYFUNCTION("""COMPUTED_VALUE"""),"PANYAWANGAN 4 NO. 12 RT.007 RW.007")</f>
        <v>PANYAWANGAN 4 NO. 12 RT.007 RW.007</v>
      </c>
      <c r="V282" s="85"/>
      <c r="W282" s="85" t="str">
        <f>IFERROR(__xludf.DUMMYFUNCTION("""COMPUTED_VALUE"""),"TUKMUDAL")</f>
        <v>TUKMUDAL</v>
      </c>
      <c r="X282" s="85" t="str">
        <f>IFERROR(__xludf.DUMMYFUNCTION("""COMPUTED_VALUE"""),"SUMBER")</f>
        <v>SUMBER</v>
      </c>
      <c r="Y282" s="85" t="str">
        <f>IFERROR(__xludf.DUMMYFUNCTION("""COMPUTED_VALUE"""),"KAB. CIREBON")</f>
        <v>KAB. CIREBON</v>
      </c>
      <c r="Z282" s="85" t="str">
        <f>IFERROR(__xludf.DUMMYFUNCTION("""COMPUTED_VALUE"""),"JAWA BARAT")</f>
        <v>JAWA BARAT</v>
      </c>
      <c r="AA282" s="85" t="str">
        <f>IFERROR(__xludf.DUMMYFUNCTION("""COMPUTED_VALUE"""),"45611")</f>
        <v>45611</v>
      </c>
      <c r="AB282" s="85" t="str">
        <f>IFERROR(__xludf.DUMMYFUNCTION("""COMPUTED_VALUE"""),"3209246306800001")</f>
        <v>3209246306800001</v>
      </c>
      <c r="AC282" s="85" t="str">
        <f>IFERROR(__xludf.DUMMYFUNCTION("""COMPUTED_VALUE"""),"78.771.020.1-426.000")</f>
        <v>78.771.020.1-426.000</v>
      </c>
      <c r="AD282" s="85" t="str">
        <f>IFERROR(__xludf.DUMMYFUNCTION("""COMPUTED_VALUE"""),"CUM - PS - NUR")</f>
        <v>CUM - PS - NUR</v>
      </c>
      <c r="AE282" s="85" t="str">
        <f>IFERROR(__xludf.DUMMYFUNCTION("""COMPUTED_VALUE"""),"SUB NUR POS")</f>
        <v>SUB NUR POS</v>
      </c>
      <c r="AF282" s="85" t="str">
        <f>IFERROR(__xludf.DUMMYFUNCTION("""COMPUTED_VALUE"""),"081324836723")</f>
        <v>081324836723</v>
      </c>
      <c r="AG282" s="85"/>
      <c r="AH282" s="85" t="str">
        <f>IFERROR(__xludf.DUMMYFUNCTION("""COMPUTED_VALUE"""),"bunda.cimel46@gmail.com")</f>
        <v>bunda.cimel46@gmail.com</v>
      </c>
      <c r="AI282" s="85" t="str">
        <f>IFERROR(__xludf.DUMMYFUNCTION("""COMPUTED_VALUE"""),"45617S2")</f>
        <v>45617S2</v>
      </c>
      <c r="AJ282" s="85" t="str">
        <f>IFERROR(__xludf.DUMMYFUNCTION("""COMPUTED_VALUE"""),"66f77699206c8278b40547a7")</f>
        <v>66f77699206c8278b40547a7</v>
      </c>
      <c r="AK282" s="85" t="str">
        <f>IFERROR(__xludf.DUMMYFUNCTION("""COMPUTED_VALUE"""),"dm45617s2")</f>
        <v>dm45617s2</v>
      </c>
      <c r="AL282" s="85" t="str">
        <f>IFERROR(__xludf.DUMMYFUNCTION("""COMPUTED_VALUE"""),"#45617Pos")</f>
        <v>#45617Pos</v>
      </c>
      <c r="AM282" s="85" t="str">
        <f>IFERROR(__xludf.DUMMYFUNCTION("""COMPUTED_VALUE"""),"KANTOR REGIONAL III BANDUNG 40004")</f>
        <v>KANTOR REGIONAL III BANDUNG 40004</v>
      </c>
      <c r="AN282" s="85" t="str">
        <f>IFERROR(__xludf.DUMMYFUNCTION("""COMPUTED_VALUE"""),"KCU CIREBON 45100")</f>
        <v>KCU CIREBON 45100</v>
      </c>
      <c r="AO282" s="85" t="str">
        <f>IFERROR(__xludf.DUMMYFUNCTION("""COMPUTED_VALUE"""),"1910230016979")</f>
        <v>1910230016979</v>
      </c>
      <c r="AP282" s="85" t="str">
        <f>IFERROR(__xludf.DUMMYFUNCTION("""COMPUTED_VALUE"""),"19102300169790001")</f>
        <v>19102300169790001</v>
      </c>
      <c r="AQ282" s="93"/>
      <c r="AR282" s="85"/>
      <c r="AS282" s="85"/>
      <c r="AT282" s="85" t="str">
        <f>IFERROR(__xludf.DUMMYFUNCTION("""COMPUTED_VALUE"""),"-6.749926")</f>
        <v>-6.749926</v>
      </c>
      <c r="AU282" s="85" t="str">
        <f>IFERROR(__xludf.DUMMYFUNCTION("""COMPUTED_VALUE"""),"108.472500")</f>
        <v>108.472500</v>
      </c>
      <c r="AV282" s="85"/>
      <c r="AW282" s="85"/>
      <c r="AX282" s="85" t="str">
        <f>IFERROR(__xludf.DUMMYFUNCTION("""COMPUTED_VALUE"""),"ü")</f>
        <v>ü</v>
      </c>
      <c r="AY282" s="85"/>
      <c r="AZ282" s="85"/>
      <c r="BA282" s="85"/>
      <c r="BB282" s="85"/>
      <c r="BC282" s="85"/>
      <c r="BD282" s="85"/>
      <c r="BE282" s="85"/>
      <c r="BF282" s="85"/>
      <c r="BG282" s="85"/>
      <c r="BH282" s="85"/>
      <c r="BI282" s="85"/>
      <c r="BJ282" s="85"/>
      <c r="BK282" s="85"/>
      <c r="BL282" s="85"/>
      <c r="BM282" s="85"/>
      <c r="BN282" s="85"/>
      <c r="BO282" s="85"/>
      <c r="BP282" s="85"/>
      <c r="BQ282" s="85"/>
      <c r="BR282" s="85"/>
      <c r="BS282" s="85"/>
      <c r="BT282" s="85"/>
      <c r="BU282" s="85"/>
      <c r="BV282" s="85"/>
      <c r="BW282" s="85"/>
      <c r="BX282" s="85"/>
      <c r="BY282" s="85"/>
      <c r="BZ282" s="85"/>
      <c r="CA282" s="85"/>
      <c r="CB282" s="85"/>
      <c r="CC282" s="85"/>
      <c r="CD282" s="85"/>
      <c r="CE282" s="85"/>
      <c r="CF282" s="85"/>
      <c r="CG282" s="85"/>
      <c r="CH282" s="85"/>
      <c r="CI282" s="85"/>
      <c r="CJ282" s="85"/>
      <c r="CK282" s="2"/>
    </row>
    <row r="283" ht="12.75" customHeight="1">
      <c r="A283" s="80">
        <f>IFERROR(__xludf.DUMMYFUNCTION("""COMPUTED_VALUE"""),280.0)</f>
        <v>280</v>
      </c>
      <c r="B283" s="80"/>
      <c r="C283" s="80"/>
      <c r="D283" s="81"/>
      <c r="E283" s="82"/>
      <c r="F283" s="80"/>
      <c r="G283" s="81"/>
      <c r="H283" s="80"/>
      <c r="I283" s="80"/>
      <c r="J283" s="80"/>
      <c r="K283" s="80"/>
      <c r="L283" s="80"/>
      <c r="M283" s="80" t="str">
        <f>IFERROR(__xludf.DUMMYFUNCTION("""COMPUTED_VALUE"""),"ü")</f>
        <v>ü</v>
      </c>
      <c r="N283" s="80"/>
      <c r="O283" s="80"/>
      <c r="P283" s="80" t="str">
        <f>IFERROR(__xludf.DUMMYFUNCTION("""COMPUTED_VALUE"""),"MUCSPA63009PSIND")</f>
        <v>MUCSPA63009PSIND</v>
      </c>
      <c r="Q283" s="80" t="str">
        <f>IFERROR(__xludf.DUMMYFUNCTION("""COMPUTED_VALUE"""),"MUC PRIMA EXPRESS")</f>
        <v>MUC PRIMA EXPRESS</v>
      </c>
      <c r="R283" s="80" t="str">
        <f>IFERROR(__xludf.DUMMYFUNCTION("""COMPUTED_VALUE"""),"MUC PRIMA EXPRESS")</f>
        <v>MUC PRIMA EXPRESS</v>
      </c>
      <c r="S283" s="80" t="str">
        <f>IFERROR(__xludf.DUMMYFUNCTION("""COMPUTED_VALUE"""),"ENDANG SUSIJANTI SUSANTO")</f>
        <v>ENDANG SUSIJANTI SUSANTO</v>
      </c>
      <c r="T283" s="80" t="str">
        <f>IFERROR(__xludf.DUMMYFUNCTION("""COMPUTED_VALUE"""),"JL. JENDRAL GATOT SUBROTO 41 RT.004 RW. 008")</f>
        <v>JL. JENDRAL GATOT SUBROTO 41 RT.004 RW. 008</v>
      </c>
      <c r="U283" s="80" t="str">
        <f>IFERROR(__xludf.DUMMYFUNCTION("""COMPUTED_VALUE"""),"GATOT SUBROTO 604 ")</f>
        <v>GATOT SUBROTO 604 </v>
      </c>
      <c r="V283" s="80"/>
      <c r="W283" s="80" t="str">
        <f>IFERROR(__xludf.DUMMYFUNCTION("""COMPUTED_VALUE"""),"SOKARAJA KIDUL")</f>
        <v>SOKARAJA KIDUL</v>
      </c>
      <c r="X283" s="80" t="str">
        <f>IFERROR(__xludf.DUMMYFUNCTION("""COMPUTED_VALUE"""),"SOKARAJA")</f>
        <v>SOKARAJA</v>
      </c>
      <c r="Y283" s="80" t="str">
        <f>IFERROR(__xludf.DUMMYFUNCTION("""COMPUTED_VALUE"""),"SOKARAJA BANYUMAS")</f>
        <v>SOKARAJA BANYUMAS</v>
      </c>
      <c r="Z283" s="80" t="str">
        <f>IFERROR(__xludf.DUMMYFUNCTION("""COMPUTED_VALUE"""),"JAWA TENGAH")</f>
        <v>JAWA TENGAH</v>
      </c>
      <c r="AA283" s="80" t="str">
        <f>IFERROR(__xludf.DUMMYFUNCTION("""COMPUTED_VALUE"""),"53181")</f>
        <v>53181</v>
      </c>
      <c r="AB283" s="80" t="str">
        <f>IFERROR(__xludf.DUMMYFUNCTION("""COMPUTED_VALUE"""),"3302266703670002")</f>
        <v>3302266703670002</v>
      </c>
      <c r="AC283" s="80" t="str">
        <f>IFERROR(__xludf.DUMMYFUNCTION("""COMPUTED_VALUE"""),"01.706.141.7-521.000")</f>
        <v>01.706.141.7-521.000</v>
      </c>
      <c r="AD283" s="80" t="str">
        <f>IFERROR(__xludf.DUMMYFUNCTION("""COMPUTED_VALUE"""),"CUM - PS - DMWK")</f>
        <v>CUM - PS - DMWK</v>
      </c>
      <c r="AE283" s="80" t="str">
        <f>IFERROR(__xludf.DUMMYFUNCTION("""COMPUTED_VALUE"""),"SUB DWI MOKHAMMAD POS")</f>
        <v>SUB DWI MOKHAMMAD POS</v>
      </c>
      <c r="AF283" s="80" t="str">
        <f>IFERROR(__xludf.DUMMYFUNCTION("""COMPUTED_VALUE"""),"087822667788")</f>
        <v>087822667788</v>
      </c>
      <c r="AG283" s="80"/>
      <c r="AH283" s="80" t="str">
        <f>IFERROR(__xludf.DUMMYFUNCTION("""COMPUTED_VALUE"""),"endangsusijanti67@gmail.com")</f>
        <v>endangsusijanti67@gmail.com</v>
      </c>
      <c r="AI283" s="80" t="str">
        <f>IFERROR(__xludf.DUMMYFUNCTION("""COMPUTED_VALUE"""),"53181S6")</f>
        <v>53181S6</v>
      </c>
      <c r="AJ283" s="80" t="str">
        <f>IFERROR(__xludf.DUMMYFUNCTION("""COMPUTED_VALUE"""),"66f89e2e709172b80e0b466a")</f>
        <v>66f89e2e709172b80e0b466a</v>
      </c>
      <c r="AK283" s="80" t="str">
        <f>IFERROR(__xludf.DUMMYFUNCTION("""COMPUTED_VALUE"""),"dm53181s6")</f>
        <v>dm53181s6</v>
      </c>
      <c r="AL283" s="80" t="str">
        <f>IFERROR(__xludf.DUMMYFUNCTION("""COMPUTED_VALUE"""),"#53181Pos")</f>
        <v>#53181Pos</v>
      </c>
      <c r="AM283" s="80" t="str">
        <f>IFERROR(__xludf.DUMMYFUNCTION("""COMPUTED_VALUE"""),"KANTOR REGIONAL IV SEMARANG 50004")</f>
        <v>KANTOR REGIONAL IV SEMARANG 50004</v>
      </c>
      <c r="AN283" s="80" t="str">
        <f>IFERROR(__xludf.DUMMYFUNCTION("""COMPUTED_VALUE"""),"KCU PURWOKERTO")</f>
        <v>KCU PURWOKERTO</v>
      </c>
      <c r="AO283" s="80" t="str">
        <f>IFERROR(__xludf.DUMMYFUNCTION("""COMPUTED_VALUE"""),"0220107173303")</f>
        <v>0220107173303</v>
      </c>
      <c r="AP283" s="80" t="str">
        <f>IFERROR(__xludf.DUMMYFUNCTION("""COMPUTED_VALUE"""),"02201071733030001")</f>
        <v>02201071733030001</v>
      </c>
      <c r="AQ283" s="83"/>
      <c r="AR283" s="80"/>
      <c r="AS283" s="80"/>
      <c r="AT283" s="80"/>
      <c r="AU283" s="80"/>
      <c r="AV283" s="80"/>
      <c r="AW283" s="80"/>
      <c r="AX283" s="80" t="str">
        <f>IFERROR(__xludf.DUMMYFUNCTION("""COMPUTED_VALUE"""),"ü")</f>
        <v>ü</v>
      </c>
      <c r="AY283" s="80"/>
      <c r="AZ283" s="80"/>
      <c r="BA283" s="80"/>
      <c r="BB283" s="80"/>
      <c r="BC283" s="80"/>
      <c r="BD283" s="80"/>
      <c r="BE283" s="80"/>
      <c r="BF283" s="80"/>
      <c r="BG283" s="80"/>
      <c r="BH283" s="80"/>
      <c r="BI283" s="80"/>
      <c r="BJ283" s="80"/>
      <c r="BK283" s="80"/>
      <c r="BL283" s="80"/>
      <c r="BM283" s="80"/>
      <c r="BN283" s="80"/>
      <c r="BO283" s="80"/>
      <c r="BP283" s="80"/>
      <c r="BQ283" s="80"/>
      <c r="BR283" s="80"/>
      <c r="BS283" s="80"/>
      <c r="BT283" s="80"/>
      <c r="BU283" s="80"/>
      <c r="BV283" s="80"/>
      <c r="BW283" s="80"/>
      <c r="BX283" s="80"/>
      <c r="BY283" s="80"/>
      <c r="BZ283" s="80"/>
      <c r="CA283" s="80"/>
      <c r="CB283" s="80"/>
      <c r="CC283" s="80"/>
      <c r="CD283" s="80"/>
      <c r="CE283" s="80"/>
      <c r="CF283" s="80"/>
      <c r="CG283" s="80"/>
      <c r="CH283" s="80"/>
      <c r="CI283" s="80"/>
      <c r="CJ283" s="80"/>
      <c r="CK283" s="2"/>
    </row>
    <row r="284" ht="12.75" customHeight="1">
      <c r="A284" s="85">
        <f>IFERROR(__xludf.DUMMYFUNCTION("""COMPUTED_VALUE"""),281.0)</f>
        <v>281</v>
      </c>
      <c r="B284" s="85"/>
      <c r="C284" s="85"/>
      <c r="D284" s="86"/>
      <c r="E284" s="88"/>
      <c r="F284" s="85"/>
      <c r="G284" s="86"/>
      <c r="H284" s="85"/>
      <c r="I284" s="85"/>
      <c r="J284" s="85"/>
      <c r="K284" s="85"/>
      <c r="L284" s="85"/>
      <c r="M284" s="85" t="str">
        <f>IFERROR(__xludf.DUMMYFUNCTION("""COMPUTED_VALUE"""),"ü")</f>
        <v>ü</v>
      </c>
      <c r="N284" s="85"/>
      <c r="O284" s="85"/>
      <c r="P284" s="85" t="str">
        <f>IFERROR(__xludf.DUMMYFUNCTION("""COMPUTED_VALUE"""),"MUCSPA63010PSIND")</f>
        <v>MUCSPA63010PSIND</v>
      </c>
      <c r="Q284" s="85" t="str">
        <f>IFERROR(__xludf.DUMMYFUNCTION("""COMPUTED_VALUE"""),"MUC NARANAWFAL")</f>
        <v>MUC NARANAWFAL</v>
      </c>
      <c r="R284" s="85" t="str">
        <f>IFERROR(__xludf.DUMMYFUNCTION("""COMPUTED_VALUE"""),"MUC NARANAWFAL")</f>
        <v>MUC NARANAWFAL</v>
      </c>
      <c r="S284" s="85" t="str">
        <f>IFERROR(__xludf.DUMMYFUNCTION("""COMPUTED_VALUE"""),"ETY SUHARYATI ")</f>
        <v>ETY SUHARYATI </v>
      </c>
      <c r="T284" s="85" t="str">
        <f>IFERROR(__xludf.DUMMYFUNCTION("""COMPUTED_VALUE"""),"JL MT HARYONO NO 36 DUSUN 01 RT 07 RW 02 DESA LEMAHABANG KEC LEMAHABANG KAB CIREBON")</f>
        <v>JL MT HARYONO NO 36 DUSUN 01 RT 07 RW 02 DESA LEMAHABANG KEC LEMAHABANG KAB CIREBON</v>
      </c>
      <c r="U284" s="85" t="str">
        <f>IFERROR(__xludf.DUMMYFUNCTION("""COMPUTED_VALUE"""),"JL MT HARYONO NO 36 DUSUN 01 RT 07 RW 02 ")</f>
        <v>JL MT HARYONO NO 36 DUSUN 01 RT 07 RW 02 </v>
      </c>
      <c r="V284" s="85"/>
      <c r="W284" s="85" t="str">
        <f>IFERROR(__xludf.DUMMYFUNCTION("""COMPUTED_VALUE"""),"LEMAHABANG")</f>
        <v>LEMAHABANG</v>
      </c>
      <c r="X284" s="85" t="str">
        <f>IFERROR(__xludf.DUMMYFUNCTION("""COMPUTED_VALUE"""),"LEMAHABANG")</f>
        <v>LEMAHABANG</v>
      </c>
      <c r="Y284" s="85" t="str">
        <f>IFERROR(__xludf.DUMMYFUNCTION("""COMPUTED_VALUE"""),"KAB. CIREBON")</f>
        <v>KAB. CIREBON</v>
      </c>
      <c r="Z284" s="85" t="str">
        <f>IFERROR(__xludf.DUMMYFUNCTION("""COMPUTED_VALUE"""),"JAWA BARAT")</f>
        <v>JAWA BARAT</v>
      </c>
      <c r="AA284" s="85" t="str">
        <f>IFERROR(__xludf.DUMMYFUNCTION("""COMPUTED_VALUE"""),"45183")</f>
        <v>45183</v>
      </c>
      <c r="AB284" s="85" t="str">
        <f>IFERROR(__xludf.DUMMYFUNCTION("""COMPUTED_VALUE"""),"3507234411770002")</f>
        <v>3507234411770002</v>
      </c>
      <c r="AC284" s="85" t="str">
        <f>IFERROR(__xludf.DUMMYFUNCTION("""COMPUTED_VALUE"""),"83.708.626.3-426.000")</f>
        <v>83.708.626.3-426.000</v>
      </c>
      <c r="AD284" s="85" t="str">
        <f>IFERROR(__xludf.DUMMYFUNCTION("""COMPUTED_VALUE"""),"CUM - PS - NUR")</f>
        <v>CUM - PS - NUR</v>
      </c>
      <c r="AE284" s="85" t="str">
        <f>IFERROR(__xludf.DUMMYFUNCTION("""COMPUTED_VALUE"""),"SUB NUR POS")</f>
        <v>SUB NUR POS</v>
      </c>
      <c r="AF284" s="85" t="str">
        <f>IFERROR(__xludf.DUMMYFUNCTION("""COMPUTED_VALUE"""),"082219506178")</f>
        <v>082219506178</v>
      </c>
      <c r="AG284" s="85"/>
      <c r="AH284" s="85" t="str">
        <f>IFERROR(__xludf.DUMMYFUNCTION("""COMPUTED_VALUE"""),"suharyatiety6@gmail.com")</f>
        <v>suharyatiety6@gmail.com</v>
      </c>
      <c r="AI284" s="85" t="str">
        <f>IFERROR(__xludf.DUMMYFUNCTION("""COMPUTED_VALUE"""),"45683S1")</f>
        <v>45683S1</v>
      </c>
      <c r="AJ284" s="85" t="str">
        <f>IFERROR(__xludf.DUMMYFUNCTION("""COMPUTED_VALUE"""),"66efbc672ba4a81ceb0a5a51")</f>
        <v>66efbc672ba4a81ceb0a5a51</v>
      </c>
      <c r="AK284" s="85" t="str">
        <f>IFERROR(__xludf.DUMMYFUNCTION("""COMPUTED_VALUE"""),"dm45683s1")</f>
        <v>dm45683s1</v>
      </c>
      <c r="AL284" s="85" t="str">
        <f>IFERROR(__xludf.DUMMYFUNCTION("""COMPUTED_VALUE"""),"#45683Pos")</f>
        <v>#45683Pos</v>
      </c>
      <c r="AM284" s="85" t="str">
        <f>IFERROR(__xludf.DUMMYFUNCTION("""COMPUTED_VALUE"""),"KANTOR REGIONAL III BANDUNG 40004")</f>
        <v>KANTOR REGIONAL III BANDUNG 40004</v>
      </c>
      <c r="AN284" s="85" t="str">
        <f>IFERROR(__xludf.DUMMYFUNCTION("""COMPUTED_VALUE"""),"KCU CIREBON 45100")</f>
        <v>KCU CIREBON 45100</v>
      </c>
      <c r="AO284" s="85" t="str">
        <f>IFERROR(__xludf.DUMMYFUNCTION("""COMPUTED_VALUE"""),"1209240095202")</f>
        <v>1209240095202</v>
      </c>
      <c r="AP284" s="85" t="str">
        <f>IFERROR(__xludf.DUMMYFUNCTION("""COMPUTED_VALUE"""),"12092400952020001")</f>
        <v>12092400952020001</v>
      </c>
      <c r="AQ284" s="93"/>
      <c r="AR284" s="85"/>
      <c r="AS284" s="85"/>
      <c r="AT284" s="85" t="str">
        <f>IFERROR(__xludf.DUMMYFUNCTION("""COMPUTED_VALUE"""),"-6.829576 ")</f>
        <v>-6.829576 </v>
      </c>
      <c r="AU284" s="85" t="str">
        <f>IFERROR(__xludf.DUMMYFUNCTION("""COMPUTED_VALUE"""),"108.629811")</f>
        <v>108.629811</v>
      </c>
      <c r="AV284" s="85"/>
      <c r="AW284" s="85"/>
      <c r="AX284" s="85" t="str">
        <f>IFERROR(__xludf.DUMMYFUNCTION("""COMPUTED_VALUE"""),"ü")</f>
        <v>ü</v>
      </c>
      <c r="AY284" s="85"/>
      <c r="AZ284" s="85"/>
      <c r="BA284" s="85"/>
      <c r="BB284" s="85"/>
      <c r="BC284" s="85"/>
      <c r="BD284" s="85"/>
      <c r="BE284" s="85"/>
      <c r="BF284" s="85"/>
      <c r="BG284" s="85"/>
      <c r="BH284" s="85"/>
      <c r="BI284" s="85"/>
      <c r="BJ284" s="85"/>
      <c r="BK284" s="85"/>
      <c r="BL284" s="85"/>
      <c r="BM284" s="85"/>
      <c r="BN284" s="85"/>
      <c r="BO284" s="85"/>
      <c r="BP284" s="85"/>
      <c r="BQ284" s="85"/>
      <c r="BR284" s="85"/>
      <c r="BS284" s="85"/>
      <c r="BT284" s="85"/>
      <c r="BU284" s="85"/>
      <c r="BV284" s="85"/>
      <c r="BW284" s="85"/>
      <c r="BX284" s="85"/>
      <c r="BY284" s="85"/>
      <c r="BZ284" s="85"/>
      <c r="CA284" s="85"/>
      <c r="CB284" s="85"/>
      <c r="CC284" s="85"/>
      <c r="CD284" s="85"/>
      <c r="CE284" s="85"/>
      <c r="CF284" s="85"/>
      <c r="CG284" s="85"/>
      <c r="CH284" s="85"/>
      <c r="CI284" s="85"/>
      <c r="CJ284" s="85"/>
      <c r="CK284" s="2"/>
    </row>
    <row r="285" ht="12.75" customHeight="1">
      <c r="A285" s="80">
        <f>IFERROR(__xludf.DUMMYFUNCTION("""COMPUTED_VALUE"""),282.0)</f>
        <v>282</v>
      </c>
      <c r="B285" s="80"/>
      <c r="C285" s="80"/>
      <c r="D285" s="81"/>
      <c r="E285" s="82"/>
      <c r="F285" s="80"/>
      <c r="G285" s="81"/>
      <c r="H285" s="80"/>
      <c r="I285" s="80"/>
      <c r="J285" s="80"/>
      <c r="K285" s="80"/>
      <c r="L285" s="80"/>
      <c r="M285" s="80" t="str">
        <f>IFERROR(__xludf.DUMMYFUNCTION("""COMPUTED_VALUE"""),"ü")</f>
        <v>ü</v>
      </c>
      <c r="N285" s="80"/>
      <c r="O285" s="80"/>
      <c r="P285" s="80" t="str">
        <f>IFERROR(__xludf.DUMMYFUNCTION("""COMPUTED_VALUE"""),"52BSPA07621JTAMT")</f>
        <v>52BSPA07621JTAMT</v>
      </c>
      <c r="Q285" s="80" t="str">
        <f>IFERROR(__xludf.DUMMYFUNCTION("""COMPUTED_VALUE"""),"MUC APIN")</f>
        <v>MUC APIN</v>
      </c>
      <c r="R285" s="80" t="str">
        <f>IFERROR(__xludf.DUMMYFUNCTION("""COMPUTED_VALUE"""),"MUC APIN")</f>
        <v>MUC APIN</v>
      </c>
      <c r="S285" s="80" t="str">
        <f>IFERROR(__xludf.DUMMYFUNCTION("""COMPUTED_VALUE"""),"IMAM BUDIONO")</f>
        <v>IMAM BUDIONO</v>
      </c>
      <c r="T285" s="80" t="str">
        <f>IFERROR(__xludf.DUMMYFUNCTION("""COMPUTED_VALUE"""),"DUKUH KUNDEN RT. 005 RW. 001")</f>
        <v>DUKUH KUNDEN RT. 005 RW. 001</v>
      </c>
      <c r="U285" s="80" t="str">
        <f>IFERROR(__xludf.DUMMYFUNCTION("""COMPUTED_VALUE"""),"Desa Sidokerto RT. 05 RW. 01")</f>
        <v>Desa Sidokerto RT. 05 RW. 01</v>
      </c>
      <c r="V285" s="80"/>
      <c r="W285" s="80" t="str">
        <f>IFERROR(__xludf.DUMMYFUNCTION("""COMPUTED_VALUE"""),"SIDOKERTO")</f>
        <v>SIDOKERTO</v>
      </c>
      <c r="X285" s="80" t="str">
        <f>IFERROR(__xludf.DUMMYFUNCTION("""COMPUTED_VALUE"""),"PATI")</f>
        <v>PATI</v>
      </c>
      <c r="Y285" s="80" t="str">
        <f>IFERROR(__xludf.DUMMYFUNCTION("""COMPUTED_VALUE"""),"KAB. PATI")</f>
        <v>KAB. PATI</v>
      </c>
      <c r="Z285" s="80" t="str">
        <f>IFERROR(__xludf.DUMMYFUNCTION("""COMPUTED_VALUE"""),"JAWA TENGAH")</f>
        <v>JAWA TENGAH</v>
      </c>
      <c r="AA285" s="80" t="str">
        <f>IFERROR(__xludf.DUMMYFUNCTION("""COMPUTED_VALUE"""),"59111")</f>
        <v>59111</v>
      </c>
      <c r="AB285" s="80" t="str">
        <f>IFERROR(__xludf.DUMMYFUNCTION("""COMPUTED_VALUE"""),"3318102712860003")</f>
        <v>3318102712860003</v>
      </c>
      <c r="AC285" s="80" t="str">
        <f>IFERROR(__xludf.DUMMYFUNCTION("""COMPUTED_VALUE"""),"82.011.228.2-507.000")</f>
        <v>82.011.228.2-507.000</v>
      </c>
      <c r="AD285" s="80" t="str">
        <f>IFERROR(__xludf.DUMMYFUNCTION("""COMPUTED_VALUE"""),"CUM - AMT")</f>
        <v>CUM - AMT</v>
      </c>
      <c r="AE285" s="80" t="str">
        <f>IFERROR(__xludf.DUMMYFUNCTION("""COMPUTED_VALUE"""),"SUB AMINARTI")</f>
        <v>SUB AMINARTI</v>
      </c>
      <c r="AF285" s="80" t="str">
        <f>IFERROR(__xludf.DUMMYFUNCTION("""COMPUTED_VALUE"""),"089668741115")</f>
        <v>089668741115</v>
      </c>
      <c r="AG285" s="80"/>
      <c r="AH285" s="80" t="str">
        <f>IFERROR(__xludf.DUMMYFUNCTION("""COMPUTED_VALUE"""),"imambudion@gmail.com")</f>
        <v>imambudion@gmail.com</v>
      </c>
      <c r="AI285" s="80" t="str">
        <f>IFERROR(__xludf.DUMMYFUNCTION("""COMPUTED_VALUE"""),"59111S1")</f>
        <v>59111S1</v>
      </c>
      <c r="AJ285" s="80" t="str">
        <f>IFERROR(__xludf.DUMMYFUNCTION("""COMPUTED_VALUE"""),"670144ee84caa237170f53dd")</f>
        <v>670144ee84caa237170f53dd</v>
      </c>
      <c r="AK285" s="80" t="str">
        <f>IFERROR(__xludf.DUMMYFUNCTION("""COMPUTED_VALUE"""),"dm59111s1")</f>
        <v>dm59111s1</v>
      </c>
      <c r="AL285" s="80" t="str">
        <f>IFERROR(__xludf.DUMMYFUNCTION("""COMPUTED_VALUE"""),"#59111Pos")</f>
        <v>#59111Pos</v>
      </c>
      <c r="AM285" s="80" t="str">
        <f>IFERROR(__xludf.DUMMYFUNCTION("""COMPUTED_VALUE"""),"KANTOR REGIONAL IV SEMARANG 50004")</f>
        <v>KANTOR REGIONAL IV SEMARANG 50004</v>
      </c>
      <c r="AN285" s="80" t="str">
        <f>IFERROR(__xludf.DUMMYFUNCTION("""COMPUTED_VALUE"""),"KC PATI 59100")</f>
        <v>KC PATI 59100</v>
      </c>
      <c r="AO285" s="80" t="str">
        <f>IFERROR(__xludf.DUMMYFUNCTION("""COMPUTED_VALUE"""),"1291000680432")</f>
        <v>1291000680432</v>
      </c>
      <c r="AP285" s="80" t="str">
        <f>IFERROR(__xludf.DUMMYFUNCTION("""COMPUTED_VALUE"""),"12910006804320002")</f>
        <v>12910006804320002</v>
      </c>
      <c r="AQ285" s="83"/>
      <c r="AR285" s="80"/>
      <c r="AS285" s="80"/>
      <c r="AT285" s="80" t="str">
        <f>IFERROR(__xludf.DUMMYFUNCTION("""COMPUTED_VALUE"""),"-6.737028 ")</f>
        <v>-6.737028 </v>
      </c>
      <c r="AU285" s="80" t="str">
        <f>IFERROR(__xludf.DUMMYFUNCTION("""COMPUTED_VALUE"""),"111.035235")</f>
        <v>111.035235</v>
      </c>
      <c r="AV285" s="80"/>
      <c r="AW285" s="80"/>
      <c r="AX285" s="80" t="str">
        <f>IFERROR(__xludf.DUMMYFUNCTION("""COMPUTED_VALUE"""),"ü")</f>
        <v>ü</v>
      </c>
      <c r="AY285" s="80"/>
      <c r="AZ285" s="80"/>
      <c r="BA285" s="80"/>
      <c r="BB285" s="80"/>
      <c r="BC285" s="80"/>
      <c r="BD285" s="80"/>
      <c r="BE285" s="80"/>
      <c r="BF285" s="80"/>
      <c r="BG285" s="80"/>
      <c r="BH285" s="80"/>
      <c r="BI285" s="80"/>
      <c r="BJ285" s="80"/>
      <c r="BK285" s="80"/>
      <c r="BL285" s="80"/>
      <c r="BM285" s="80"/>
      <c r="BN285" s="80"/>
      <c r="BO285" s="80"/>
      <c r="BP285" s="80"/>
      <c r="BQ285" s="80"/>
      <c r="BR285" s="80"/>
      <c r="BS285" s="80"/>
      <c r="BT285" s="80"/>
      <c r="BU285" s="80"/>
      <c r="BV285" s="80"/>
      <c r="BW285" s="80"/>
      <c r="BX285" s="80"/>
      <c r="BY285" s="80"/>
      <c r="BZ285" s="80"/>
      <c r="CA285" s="80"/>
      <c r="CB285" s="80"/>
      <c r="CC285" s="80"/>
      <c r="CD285" s="80"/>
      <c r="CE285" s="80"/>
      <c r="CF285" s="80"/>
      <c r="CG285" s="80"/>
      <c r="CH285" s="80"/>
      <c r="CI285" s="80"/>
      <c r="CJ285" s="80"/>
      <c r="CK285" s="2"/>
    </row>
    <row r="286" ht="12.75" customHeight="1">
      <c r="A286" s="85">
        <f>IFERROR(__xludf.DUMMYFUNCTION("""COMPUTED_VALUE"""),283.0)</f>
        <v>283</v>
      </c>
      <c r="B286" s="85"/>
      <c r="C286" s="85"/>
      <c r="D286" s="86"/>
      <c r="E286" s="88"/>
      <c r="F286" s="85"/>
      <c r="G286" s="86"/>
      <c r="H286" s="85"/>
      <c r="I286" s="85"/>
      <c r="J286" s="85"/>
      <c r="K286" s="85"/>
      <c r="L286" s="85"/>
      <c r="M286" s="85" t="str">
        <f>IFERROR(__xludf.DUMMYFUNCTION("""COMPUTED_VALUE"""),"ü")</f>
        <v>ü</v>
      </c>
      <c r="N286" s="85"/>
      <c r="O286" s="85"/>
      <c r="P286" s="85" t="str">
        <f>IFERROR(__xludf.DUMMYFUNCTION("""COMPUTED_VALUE"""),"MUCSPA63011PSIND")</f>
        <v>MUCSPA63011PSIND</v>
      </c>
      <c r="Q286" s="85" t="str">
        <f>IFERROR(__xludf.DUMMYFUNCTION("""COMPUTED_VALUE"""),"MUC Helma cell")</f>
        <v>MUC Helma cell</v>
      </c>
      <c r="R286" s="85" t="str">
        <f>IFERROR(__xludf.DUMMYFUNCTION("""COMPUTED_VALUE"""),"MUC Helma cell")</f>
        <v>MUC Helma cell</v>
      </c>
      <c r="S286" s="85" t="str">
        <f>IFERROR(__xludf.DUMMYFUNCTION("""COMPUTED_VALUE"""),"RIYAN HARYONO")</f>
        <v>RIYAN HARYONO</v>
      </c>
      <c r="T286" s="85" t="str">
        <f>IFERROR(__xludf.DUMMYFUNCTION("""COMPUTED_VALUE"""),"DUSUN SUMEDANGAN RT.003 RW.002")</f>
        <v>DUSUN SUMEDANGAN RT.003 RW.002</v>
      </c>
      <c r="U286" s="85" t="str">
        <f>IFERROR(__xludf.DUMMYFUNCTION("""COMPUTED_VALUE"""),"Jl. Gempol Tengah 95")</f>
        <v>Jl. Gempol Tengah 95</v>
      </c>
      <c r="V286" s="85"/>
      <c r="W286" s="85" t="str">
        <f>IFERROR(__xludf.DUMMYFUNCTION("""COMPUTED_VALUE"""),"SUKAMAKMUR")</f>
        <v>SUKAMAKMUR</v>
      </c>
      <c r="X286" s="85" t="str">
        <f>IFERROR(__xludf.DUMMYFUNCTION("""COMPUTED_VALUE"""),"TELUKJAMBE TIMUR")</f>
        <v>TELUKJAMBE TIMUR</v>
      </c>
      <c r="Y286" s="85" t="str">
        <f>IFERROR(__xludf.DUMMYFUNCTION("""COMPUTED_VALUE"""),"KARAWANG")</f>
        <v>KARAWANG</v>
      </c>
      <c r="Z286" s="85" t="str">
        <f>IFERROR(__xludf.DUMMYFUNCTION("""COMPUTED_VALUE"""),"JAWA BARAT")</f>
        <v>JAWA BARAT</v>
      </c>
      <c r="AA286" s="85" t="str">
        <f>IFERROR(__xludf.DUMMYFUNCTION("""COMPUTED_VALUE"""),"41361")</f>
        <v>41361</v>
      </c>
      <c r="AB286" s="85" t="str">
        <f>IFERROR(__xludf.DUMMYFUNCTION("""COMPUTED_VALUE"""),"3212011008990002")</f>
        <v>3212011008990002</v>
      </c>
      <c r="AC286" s="85" t="str">
        <f>IFERROR(__xludf.DUMMYFUNCTION("""COMPUTED_VALUE"""),"07.674.474.7-408.000")</f>
        <v>07.674.474.7-408.000</v>
      </c>
      <c r="AD286" s="85" t="str">
        <f>IFERROR(__xludf.DUMMYFUNCTION("""COMPUTED_VALUE"""),"CUM - PS - SITIH")</f>
        <v>CUM - PS - SITIH</v>
      </c>
      <c r="AE286" s="85" t="str">
        <f>IFERROR(__xludf.DUMMYFUNCTION("""COMPUTED_VALUE"""),"SUB SITI POS")</f>
        <v>SUB SITI POS</v>
      </c>
      <c r="AF286" s="85" t="str">
        <f>IFERROR(__xludf.DUMMYFUNCTION("""COMPUTED_VALUE"""),"085692881815")</f>
        <v>085692881815</v>
      </c>
      <c r="AG286" s="85"/>
      <c r="AH286" s="85" t="str">
        <f>IFERROR(__xludf.DUMMYFUNCTION("""COMPUTED_VALUE"""),"helmanoviyani@gmail.com")</f>
        <v>helmanoviyani@gmail.com</v>
      </c>
      <c r="AI286" s="85" t="str">
        <f>IFERROR(__xludf.DUMMYFUNCTION("""COMPUTED_VALUE"""),"41339S1")</f>
        <v>41339S1</v>
      </c>
      <c r="AJ286" s="85" t="str">
        <f>IFERROR(__xludf.DUMMYFUNCTION("""COMPUTED_VALUE"""),"66f8a8796765a84d840d0477")</f>
        <v>66f8a8796765a84d840d0477</v>
      </c>
      <c r="AK286" s="85" t="str">
        <f>IFERROR(__xludf.DUMMYFUNCTION("""COMPUTED_VALUE"""),"dm41339s1")</f>
        <v>dm41339s1</v>
      </c>
      <c r="AL286" s="85" t="str">
        <f>IFERROR(__xludf.DUMMYFUNCTION("""COMPUTED_VALUE"""),"#41339Pos")</f>
        <v>#41339Pos</v>
      </c>
      <c r="AM286" s="85" t="str">
        <f>IFERROR(__xludf.DUMMYFUNCTION("""COMPUTED_VALUE"""),"KANTOR REGIONAL III BANDUNG 40004")</f>
        <v>KANTOR REGIONAL III BANDUNG 40004</v>
      </c>
      <c r="AN286" s="85" t="str">
        <f>IFERROR(__xludf.DUMMYFUNCTION("""COMPUTED_VALUE"""),"KCU KARAWANG 41300")</f>
        <v>KCU KARAWANG 41300</v>
      </c>
      <c r="AO286" s="85" t="str">
        <f>IFERROR(__xludf.DUMMYFUNCTION("""COMPUTED_VALUE"""),"1809240097846")</f>
        <v>1809240097846</v>
      </c>
      <c r="AP286" s="85" t="str">
        <f>IFERROR(__xludf.DUMMYFUNCTION("""COMPUTED_VALUE"""),"18092400978460001")</f>
        <v>18092400978460001</v>
      </c>
      <c r="AQ286" s="93"/>
      <c r="AR286" s="85"/>
      <c r="AS286" s="85"/>
      <c r="AT286" s="85" t="str">
        <f>IFERROR(__xludf.DUMMYFUNCTION("""COMPUTED_VALUE"""),"-6.304923")</f>
        <v>-6.304923</v>
      </c>
      <c r="AU286" s="85" t="str">
        <f>IFERROR(__xludf.DUMMYFUNCTION("""COMPUTED_VALUE"""),"107.287720")</f>
        <v>107.287720</v>
      </c>
      <c r="AV286" s="85"/>
      <c r="AW286" s="85"/>
      <c r="AX286" s="85" t="str">
        <f>IFERROR(__xludf.DUMMYFUNCTION("""COMPUTED_VALUE"""),"ü")</f>
        <v>ü</v>
      </c>
      <c r="AY286" s="85"/>
      <c r="AZ286" s="85"/>
      <c r="BA286" s="85"/>
      <c r="BB286" s="85"/>
      <c r="BC286" s="85"/>
      <c r="BD286" s="85"/>
      <c r="BE286" s="85"/>
      <c r="BF286" s="85"/>
      <c r="BG286" s="85"/>
      <c r="BH286" s="85"/>
      <c r="BI286" s="85"/>
      <c r="BJ286" s="85"/>
      <c r="BK286" s="85"/>
      <c r="BL286" s="85"/>
      <c r="BM286" s="85"/>
      <c r="BN286" s="85"/>
      <c r="BO286" s="85"/>
      <c r="BP286" s="85"/>
      <c r="BQ286" s="85"/>
      <c r="BR286" s="85"/>
      <c r="BS286" s="85"/>
      <c r="BT286" s="85"/>
      <c r="BU286" s="85"/>
      <c r="BV286" s="85"/>
      <c r="BW286" s="85"/>
      <c r="BX286" s="85"/>
      <c r="BY286" s="85"/>
      <c r="BZ286" s="85"/>
      <c r="CA286" s="85"/>
      <c r="CB286" s="85"/>
      <c r="CC286" s="85"/>
      <c r="CD286" s="85"/>
      <c r="CE286" s="85"/>
      <c r="CF286" s="85"/>
      <c r="CG286" s="85"/>
      <c r="CH286" s="85"/>
      <c r="CI286" s="85"/>
      <c r="CJ286" s="85"/>
      <c r="CK286" s="2"/>
    </row>
    <row r="287" ht="12.75" customHeight="1">
      <c r="A287" s="80">
        <f>IFERROR(__xludf.DUMMYFUNCTION("""COMPUTED_VALUE"""),284.0)</f>
        <v>284</v>
      </c>
      <c r="B287" s="80"/>
      <c r="C287" s="80"/>
      <c r="D287" s="81"/>
      <c r="E287" s="82"/>
      <c r="F287" s="80"/>
      <c r="G287" s="81"/>
      <c r="H287" s="80"/>
      <c r="I287" s="80"/>
      <c r="J287" s="80"/>
      <c r="K287" s="80"/>
      <c r="L287" s="80"/>
      <c r="M287" s="80" t="str">
        <f>IFERROR(__xludf.DUMMYFUNCTION("""COMPUTED_VALUE"""),"ü")</f>
        <v>ü</v>
      </c>
      <c r="N287" s="80"/>
      <c r="O287" s="80"/>
      <c r="P287" s="80" t="str">
        <f>IFERROR(__xludf.DUMMYFUNCTION("""COMPUTED_VALUE"""),"MUCSPA63012PSIND")</f>
        <v>MUCSPA63012PSIND</v>
      </c>
      <c r="Q287" s="80" t="str">
        <f>IFERROR(__xludf.DUMMYFUNCTION("""COMPUTED_VALUE"""),"MUC SEKAR SURYA")</f>
        <v>MUC SEKAR SURYA</v>
      </c>
      <c r="R287" s="80" t="str">
        <f>IFERROR(__xludf.DUMMYFUNCTION("""COMPUTED_VALUE"""),"MUC SEKAR SURYA")</f>
        <v>MUC SEKAR SURYA</v>
      </c>
      <c r="S287" s="80" t="str">
        <f>IFERROR(__xludf.DUMMYFUNCTION("""COMPUTED_VALUE"""),"MUHAMMAD IQBAL ASH SHIDDIQY")</f>
        <v>MUHAMMAD IQBAL ASH SHIDDIQY</v>
      </c>
      <c r="T287" s="80" t="str">
        <f>IFERROR(__xludf.DUMMYFUNCTION("""COMPUTED_VALUE"""),"JL. GEDONG SONGO RAYA NO.5")</f>
        <v>JL. GEDONG SONGO RAYA NO.5</v>
      </c>
      <c r="U287" s="80" t="str">
        <f>IFERROR(__xludf.DUMMYFUNCTION("""COMPUTED_VALUE"""),"JL. GEDONG SONGO RAYA NO.5")</f>
        <v>JL. GEDONG SONGO RAYA NO.5</v>
      </c>
      <c r="V287" s="80"/>
      <c r="W287" s="80" t="str">
        <f>IFERROR(__xludf.DUMMYFUNCTION("""COMPUTED_VALUE"""),"MANYARAN")</f>
        <v>MANYARAN</v>
      </c>
      <c r="X287" s="80" t="str">
        <f>IFERROR(__xludf.DUMMYFUNCTION("""COMPUTED_VALUE"""),"SEMARANG BARAT")</f>
        <v>SEMARANG BARAT</v>
      </c>
      <c r="Y287" s="80" t="str">
        <f>IFERROR(__xludf.DUMMYFUNCTION("""COMPUTED_VALUE"""),"SEMARANG")</f>
        <v>SEMARANG</v>
      </c>
      <c r="Z287" s="80" t="str">
        <f>IFERROR(__xludf.DUMMYFUNCTION("""COMPUTED_VALUE"""),"JAWA TENGAH")</f>
        <v>JAWA TENGAH</v>
      </c>
      <c r="AA287" s="80" t="str">
        <f>IFERROR(__xludf.DUMMYFUNCTION("""COMPUTED_VALUE"""),"50147")</f>
        <v>50147</v>
      </c>
      <c r="AB287" s="80" t="str">
        <f>IFERROR(__xludf.DUMMYFUNCTION("""COMPUTED_VALUE"""),"3374130409000001")</f>
        <v>3374130409000001</v>
      </c>
      <c r="AC287" s="80" t="str">
        <f>IFERROR(__xludf.DUMMYFUNCTION("""COMPUTED_VALUE"""),"61.751.936.8-503.000")</f>
        <v>61.751.936.8-503.000</v>
      </c>
      <c r="AD287" s="80" t="str">
        <f>IFERROR(__xludf.DUMMYFUNCTION("""COMPUTED_VALUE"""),"CUM - AHRD")</f>
        <v>CUM - AHRD</v>
      </c>
      <c r="AE287" s="80" t="str">
        <f>IFERROR(__xludf.DUMMYFUNCTION("""COMPUTED_VALUE"""),"SUB AHRD")</f>
        <v>SUB AHRD</v>
      </c>
      <c r="AF287" s="80" t="str">
        <f>IFERROR(__xludf.DUMMYFUNCTION("""COMPUTED_VALUE"""),"0882006279925")</f>
        <v>0882006279925</v>
      </c>
      <c r="AG287" s="80"/>
      <c r="AH287" s="80" t="str">
        <f>IFERROR(__xludf.DUMMYFUNCTION("""COMPUTED_VALUE"""),"iqbalasiddiq45@gmail.com")</f>
        <v>iqbalasiddiq45@gmail.com</v>
      </c>
      <c r="AI287" s="80" t="str">
        <f>IFERROR(__xludf.DUMMYFUNCTION("""COMPUTED_VALUE"""),"50147S3")</f>
        <v>50147S3</v>
      </c>
      <c r="AJ287" s="80" t="str">
        <f>IFERROR(__xludf.DUMMYFUNCTION("""COMPUTED_VALUE"""),"67068deb2ed7ea9e6c0fff88")</f>
        <v>67068deb2ed7ea9e6c0fff88</v>
      </c>
      <c r="AK287" s="80" t="str">
        <f>IFERROR(__xludf.DUMMYFUNCTION("""COMPUTED_VALUE"""),"dm50147s3")</f>
        <v>dm50147s3</v>
      </c>
      <c r="AL287" s="80" t="str">
        <f>IFERROR(__xludf.DUMMYFUNCTION("""COMPUTED_VALUE"""),"#50147Pos")</f>
        <v>#50147Pos</v>
      </c>
      <c r="AM287" s="80" t="str">
        <f>IFERROR(__xludf.DUMMYFUNCTION("""COMPUTED_VALUE"""),"KANTOR REGIONAL IV SEMARANG 50004")</f>
        <v>KANTOR REGIONAL IV SEMARANG 50004</v>
      </c>
      <c r="AN287" s="80" t="str">
        <f>IFERROR(__xludf.DUMMYFUNCTION("""COMPUTED_VALUE"""),"KCU SEMARANG 50000")</f>
        <v>KCU SEMARANG 50000</v>
      </c>
      <c r="AO287" s="80" t="str">
        <f>IFERROR(__xludf.DUMMYFUNCTION("""COMPUTED_VALUE"""),"2509240054346")</f>
        <v>2509240054346</v>
      </c>
      <c r="AP287" s="80" t="str">
        <f>IFERROR(__xludf.DUMMYFUNCTION("""COMPUTED_VALUE"""),"25092400543460001")</f>
        <v>25092400543460001</v>
      </c>
      <c r="AQ287" s="83"/>
      <c r="AR287" s="80"/>
      <c r="AS287" s="80"/>
      <c r="AT287" s="80" t="str">
        <f>IFERROR(__xludf.DUMMYFUNCTION("""COMPUTED_VALUE"""),"-7.0001236")</f>
        <v>-7.0001236</v>
      </c>
      <c r="AU287" s="80" t="str">
        <f>IFERROR(__xludf.DUMMYFUNCTION("""COMPUTED_VALUE"""),"110.3889073")</f>
        <v>110.3889073</v>
      </c>
      <c r="AV287" s="80"/>
      <c r="AW287" s="80"/>
      <c r="AX287" s="80" t="str">
        <f>IFERROR(__xludf.DUMMYFUNCTION("""COMPUTED_VALUE"""),"ü")</f>
        <v>ü</v>
      </c>
      <c r="AY287" s="80"/>
      <c r="AZ287" s="80"/>
      <c r="BA287" s="80"/>
      <c r="BB287" s="80"/>
      <c r="BC287" s="80"/>
      <c r="BD287" s="80"/>
      <c r="BE287" s="80"/>
      <c r="BF287" s="80"/>
      <c r="BG287" s="80"/>
      <c r="BH287" s="80"/>
      <c r="BI287" s="80"/>
      <c r="BJ287" s="80"/>
      <c r="BK287" s="80"/>
      <c r="BL287" s="80"/>
      <c r="BM287" s="80"/>
      <c r="BN287" s="80"/>
      <c r="BO287" s="80"/>
      <c r="BP287" s="80"/>
      <c r="BQ287" s="80"/>
      <c r="BR287" s="80"/>
      <c r="BS287" s="80"/>
      <c r="BT287" s="80"/>
      <c r="BU287" s="80"/>
      <c r="BV287" s="80"/>
      <c r="BW287" s="80"/>
      <c r="BX287" s="80"/>
      <c r="BY287" s="80"/>
      <c r="BZ287" s="80"/>
      <c r="CA287" s="80"/>
      <c r="CB287" s="80"/>
      <c r="CC287" s="80"/>
      <c r="CD287" s="80"/>
      <c r="CE287" s="80"/>
      <c r="CF287" s="80"/>
      <c r="CG287" s="80"/>
      <c r="CH287" s="80"/>
      <c r="CI287" s="80"/>
      <c r="CJ287" s="80"/>
      <c r="CK287" s="2"/>
    </row>
    <row r="288" ht="12.75" customHeight="1">
      <c r="A288" s="85">
        <f>IFERROR(__xludf.DUMMYFUNCTION("""COMPUTED_VALUE"""),285.0)</f>
        <v>285</v>
      </c>
      <c r="B288" s="85"/>
      <c r="C288" s="85"/>
      <c r="D288" s="86"/>
      <c r="E288" s="88"/>
      <c r="F288" s="85"/>
      <c r="G288" s="86"/>
      <c r="H288" s="85"/>
      <c r="I288" s="85"/>
      <c r="J288" s="85"/>
      <c r="K288" s="85"/>
      <c r="L288" s="85"/>
      <c r="M288" s="85" t="str">
        <f>IFERROR(__xludf.DUMMYFUNCTION("""COMPUTED_VALUE"""),"ü")</f>
        <v>ü</v>
      </c>
      <c r="N288" s="85"/>
      <c r="O288" s="85"/>
      <c r="P288" s="85" t="str">
        <f>IFERROR(__xludf.DUMMYFUNCTION("""COMPUTED_VALUE"""),"MUCSPA63013PSIND")</f>
        <v>MUCSPA63013PSIND</v>
      </c>
      <c r="Q288" s="85" t="str">
        <f>IFERROR(__xludf.DUMMYFUNCTION("""COMPUTED_VALUE"""),"MUC FAJAR BAHARI")</f>
        <v>MUC FAJAR BAHARI</v>
      </c>
      <c r="R288" s="85" t="str">
        <f>IFERROR(__xludf.DUMMYFUNCTION("""COMPUTED_VALUE"""),"MUC FAJAR BAHARI")</f>
        <v>MUC FAJAR BAHARI</v>
      </c>
      <c r="S288" s="85" t="str">
        <f>IFERROR(__xludf.DUMMYFUNCTION("""COMPUTED_VALUE"""),"ERWANDA PRAJA YUSUP")</f>
        <v>ERWANDA PRAJA YUSUP</v>
      </c>
      <c r="T288" s="85" t="str">
        <f>IFERROR(__xludf.DUMMYFUNCTION("""COMPUTED_VALUE"""),"KP. BOJONG RT 003 RW 003 DESA PEUTEUYCONDONG KEC. CIBEBER KAB. CIANJUR")</f>
        <v>KP. BOJONG RT 003 RW 003 DESA PEUTEUYCONDONG KEC. CIBEBER KAB. CIANJUR</v>
      </c>
      <c r="U288" s="85" t="str">
        <f>IFERROR(__xludf.DUMMYFUNCTION("""COMPUTED_VALUE"""),"Jalan Lintas Jabar Selatan")</f>
        <v>Jalan Lintas Jabar Selatan</v>
      </c>
      <c r="V288" s="85"/>
      <c r="W288" s="85" t="str">
        <f>IFERROR(__xludf.DUMMYFUNCTION("""COMPUTED_VALUE"""),"KERTAJADI")</f>
        <v>KERTAJADI</v>
      </c>
      <c r="X288" s="85" t="str">
        <f>IFERROR(__xludf.DUMMYFUNCTION("""COMPUTED_VALUE"""),"CIDAUN")</f>
        <v>CIDAUN</v>
      </c>
      <c r="Y288" s="85" t="str">
        <f>IFERROR(__xludf.DUMMYFUNCTION("""COMPUTED_VALUE"""),"KAB. CIANJUR")</f>
        <v>KAB. CIANJUR</v>
      </c>
      <c r="Z288" s="85" t="str">
        <f>IFERROR(__xludf.DUMMYFUNCTION("""COMPUTED_VALUE"""),"JAWA BARAT")</f>
        <v>JAWA BARAT</v>
      </c>
      <c r="AA288" s="85" t="str">
        <f>IFERROR(__xludf.DUMMYFUNCTION("""COMPUTED_VALUE"""),"43275")</f>
        <v>43275</v>
      </c>
      <c r="AB288" s="85" t="str">
        <f>IFERROR(__xludf.DUMMYFUNCTION("""COMPUTED_VALUE"""),"3203030106000031")</f>
        <v>3203030106000031</v>
      </c>
      <c r="AC288" s="85" t="str">
        <f>IFERROR(__xludf.DUMMYFUNCTION("""COMPUTED_VALUE"""),"60.476.197.3-406.000")</f>
        <v>60.476.197.3-406.000</v>
      </c>
      <c r="AD288" s="85" t="str">
        <f>IFERROR(__xludf.DUMMYFUNCTION("""COMPUTED_VALUE"""),"CUM - FTN")</f>
        <v>CUM - FTN</v>
      </c>
      <c r="AE288" s="85" t="str">
        <f>IFERROR(__xludf.DUMMYFUNCTION("""COMPUTED_VALUE"""),"SUB FATHONI")</f>
        <v>SUB FATHONI</v>
      </c>
      <c r="AF288" s="85" t="str">
        <f>IFERROR(__xludf.DUMMYFUNCTION("""COMPUTED_VALUE"""),"082130690213")</f>
        <v>082130690213</v>
      </c>
      <c r="AG288" s="85"/>
      <c r="AH288" s="85" t="str">
        <f>IFERROR(__xludf.DUMMYFUNCTION("""COMPUTED_VALUE"""),"erwandaprajayusup@gmail.com")</f>
        <v>erwandaprajayusup@gmail.com</v>
      </c>
      <c r="AI288" s="85" t="str">
        <f>IFERROR(__xludf.DUMMYFUNCTION("""COMPUTED_VALUE"""),"43275S2")</f>
        <v>43275S2</v>
      </c>
      <c r="AJ288" s="85" t="str">
        <f>IFERROR(__xludf.DUMMYFUNCTION("""COMPUTED_VALUE"""),"67063feadcd0f1129d0620bc")</f>
        <v>67063feadcd0f1129d0620bc</v>
      </c>
      <c r="AK288" s="85" t="str">
        <f>IFERROR(__xludf.DUMMYFUNCTION("""COMPUTED_VALUE"""),"dm43275s2")</f>
        <v>dm43275s2</v>
      </c>
      <c r="AL288" s="85" t="str">
        <f>IFERROR(__xludf.DUMMYFUNCTION("""COMPUTED_VALUE"""),"#43275Pos")</f>
        <v>#43275Pos</v>
      </c>
      <c r="AM288" s="85" t="str">
        <f>IFERROR(__xludf.DUMMYFUNCTION("""COMPUTED_VALUE"""),"KANTOR REGIONAL III BANDUNG 40004")</f>
        <v>KANTOR REGIONAL III BANDUNG 40004</v>
      </c>
      <c r="AN288" s="85" t="str">
        <f>IFERROR(__xludf.DUMMYFUNCTION("""COMPUTED_VALUE"""),"KC CIANJUR 43200")</f>
        <v>KC CIANJUR 43200</v>
      </c>
      <c r="AO288" s="85" t="str">
        <f>IFERROR(__xludf.DUMMYFUNCTION("""COMPUTED_VALUE"""),"2409240137621")</f>
        <v>2409240137621</v>
      </c>
      <c r="AP288" s="85" t="str">
        <f>IFERROR(__xludf.DUMMYFUNCTION("""COMPUTED_VALUE"""),"24092401376210001")</f>
        <v>24092401376210001</v>
      </c>
      <c r="AQ288" s="93"/>
      <c r="AR288" s="85"/>
      <c r="AS288" s="85"/>
      <c r="AT288" s="85" t="str">
        <f>IFERROR(__xludf.DUMMYFUNCTION("""COMPUTED_VALUE"""),"-7.4906652")</f>
        <v>-7.4906652</v>
      </c>
      <c r="AU288" s="85" t="str">
        <f>IFERROR(__xludf.DUMMYFUNCTION("""COMPUTED_VALUE"""),"107.3451016")</f>
        <v>107.3451016</v>
      </c>
      <c r="AV288" s="85"/>
      <c r="AW288" s="85"/>
      <c r="AX288" s="85" t="str">
        <f>IFERROR(__xludf.DUMMYFUNCTION("""COMPUTED_VALUE"""),"ü")</f>
        <v>ü</v>
      </c>
      <c r="AY288" s="85"/>
      <c r="AZ288" s="85"/>
      <c r="BA288" s="85"/>
      <c r="BB288" s="85"/>
      <c r="BC288" s="85"/>
      <c r="BD288" s="85"/>
      <c r="BE288" s="85"/>
      <c r="BF288" s="85"/>
      <c r="BG288" s="85"/>
      <c r="BH288" s="85"/>
      <c r="BI288" s="85"/>
      <c r="BJ288" s="85"/>
      <c r="BK288" s="85"/>
      <c r="BL288" s="85"/>
      <c r="BM288" s="85"/>
      <c r="BN288" s="85"/>
      <c r="BO288" s="85"/>
      <c r="BP288" s="85"/>
      <c r="BQ288" s="85"/>
      <c r="BR288" s="85"/>
      <c r="BS288" s="85"/>
      <c r="BT288" s="85"/>
      <c r="BU288" s="85"/>
      <c r="BV288" s="85"/>
      <c r="BW288" s="85"/>
      <c r="BX288" s="85"/>
      <c r="BY288" s="85"/>
      <c r="BZ288" s="85"/>
      <c r="CA288" s="85"/>
      <c r="CB288" s="85"/>
      <c r="CC288" s="85"/>
      <c r="CD288" s="85"/>
      <c r="CE288" s="85"/>
      <c r="CF288" s="85"/>
      <c r="CG288" s="85"/>
      <c r="CH288" s="85"/>
      <c r="CI288" s="85"/>
      <c r="CJ288" s="85"/>
      <c r="CK288" s="2"/>
    </row>
    <row r="289" ht="12.75" customHeight="1">
      <c r="A289" s="80">
        <f>IFERROR(__xludf.DUMMYFUNCTION("""COMPUTED_VALUE"""),286.0)</f>
        <v>286</v>
      </c>
      <c r="B289" s="80"/>
      <c r="C289" s="80"/>
      <c r="D289" s="81"/>
      <c r="E289" s="82"/>
      <c r="F289" s="80"/>
      <c r="G289" s="81"/>
      <c r="H289" s="80"/>
      <c r="I289" s="80"/>
      <c r="J289" s="80"/>
      <c r="K289" s="80"/>
      <c r="L289" s="80"/>
      <c r="M289" s="80" t="str">
        <f>IFERROR(__xludf.DUMMYFUNCTION("""COMPUTED_VALUE"""),"ü")</f>
        <v>ü</v>
      </c>
      <c r="N289" s="80"/>
      <c r="O289" s="80"/>
      <c r="P289" s="80" t="str">
        <f>IFERROR(__xludf.DUMMYFUNCTION("""COMPUTED_VALUE"""),"MUCSPA63014PSIND")</f>
        <v>MUCSPA63014PSIND</v>
      </c>
      <c r="Q289" s="80" t="str">
        <f>IFERROR(__xludf.DUMMYFUNCTION("""COMPUTED_VALUE"""),"MUC SATSA")</f>
        <v>MUC SATSA</v>
      </c>
      <c r="R289" s="80" t="str">
        <f>IFERROR(__xludf.DUMMYFUNCTION("""COMPUTED_VALUE"""),"MUC SATSA")</f>
        <v>MUC SATSA</v>
      </c>
      <c r="S289" s="80" t="str">
        <f>IFERROR(__xludf.DUMMYFUNCTION("""COMPUTED_VALUE"""),"IMAM YAHYA")</f>
        <v>IMAM YAHYA</v>
      </c>
      <c r="T289" s="80" t="str">
        <f>IFERROR(__xludf.DUMMYFUNCTION("""COMPUTED_VALUE"""),"GRIYA KONDANG ASRI D. 1/6 RT.20 RW.07")</f>
        <v>GRIYA KONDANG ASRI D. 1/6 RT.20 RW.07</v>
      </c>
      <c r="U289" s="80" t="str">
        <f>IFERROR(__xludf.DUMMYFUNCTION("""COMPUTED_VALUE"""),"GRIYA KONDANG ASRI D.1/6 RT.20 RW.07")</f>
        <v>GRIYA KONDANG ASRI D.1/6 RT.20 RW.07</v>
      </c>
      <c r="V289" s="80"/>
      <c r="W289" s="80" t="str">
        <f>IFERROR(__xludf.DUMMYFUNCTION("""COMPUTED_VALUE"""),"KONDANG JAYA")</f>
        <v>KONDANG JAYA</v>
      </c>
      <c r="X289" s="80" t="str">
        <f>IFERROR(__xludf.DUMMYFUNCTION("""COMPUTED_VALUE"""),"KARAWANG TIMUR")</f>
        <v>KARAWANG TIMUR</v>
      </c>
      <c r="Y289" s="80" t="str">
        <f>IFERROR(__xludf.DUMMYFUNCTION("""COMPUTED_VALUE"""),"KARAWANG")</f>
        <v>KARAWANG</v>
      </c>
      <c r="Z289" s="80" t="str">
        <f>IFERROR(__xludf.DUMMYFUNCTION("""COMPUTED_VALUE"""),"JAWA BARAT")</f>
        <v>JAWA BARAT</v>
      </c>
      <c r="AA289" s="80" t="str">
        <f>IFERROR(__xludf.DUMMYFUNCTION("""COMPUTED_VALUE"""),"41371")</f>
        <v>41371</v>
      </c>
      <c r="AB289" s="80" t="str">
        <f>IFERROR(__xludf.DUMMYFUNCTION("""COMPUTED_VALUE"""),"3215261906770001")</f>
        <v>3215261906770001</v>
      </c>
      <c r="AC289" s="80" t="str">
        <f>IFERROR(__xludf.DUMMYFUNCTION("""COMPUTED_VALUE"""),"09.265.291.6-408.000")</f>
        <v>09.265.291.6-408.000</v>
      </c>
      <c r="AD289" s="80" t="str">
        <f>IFERROR(__xludf.DUMMYFUNCTION("""COMPUTED_VALUE"""),"CUM - PS - SITIH")</f>
        <v>CUM - PS - SITIH</v>
      </c>
      <c r="AE289" s="80" t="str">
        <f>IFERROR(__xludf.DUMMYFUNCTION("""COMPUTED_VALUE"""),"SUB SITI POS")</f>
        <v>SUB SITI POS</v>
      </c>
      <c r="AF289" s="80" t="str">
        <f>IFERROR(__xludf.DUMMYFUNCTION("""COMPUTED_VALUE"""),"08815803234")</f>
        <v>08815803234</v>
      </c>
      <c r="AG289" s="80"/>
      <c r="AH289" s="80" t="str">
        <f>IFERROR(__xludf.DUMMYFUNCTION("""COMPUTED_VALUE"""),"imamyahya656@gmail.com")</f>
        <v>imamyahya656@gmail.com</v>
      </c>
      <c r="AI289" s="80" t="str">
        <f>IFERROR(__xludf.DUMMYFUNCTION("""COMPUTED_VALUE"""),"41324S1")</f>
        <v>41324S1</v>
      </c>
      <c r="AJ289" s="80" t="str">
        <f>IFERROR(__xludf.DUMMYFUNCTION("""COMPUTED_VALUE"""),"6707efefefb1acdc1c0f3436")</f>
        <v>6707efefefb1acdc1c0f3436</v>
      </c>
      <c r="AK289" s="80" t="str">
        <f>IFERROR(__xludf.DUMMYFUNCTION("""COMPUTED_VALUE"""),"dm41324s1")</f>
        <v>dm41324s1</v>
      </c>
      <c r="AL289" s="80" t="str">
        <f>IFERROR(__xludf.DUMMYFUNCTION("""COMPUTED_VALUE"""),"#41324Pos")</f>
        <v>#41324Pos</v>
      </c>
      <c r="AM289" s="80" t="str">
        <f>IFERROR(__xludf.DUMMYFUNCTION("""COMPUTED_VALUE"""),"KANTOR REGIONAL III BANDUNG 40004")</f>
        <v>KANTOR REGIONAL III BANDUNG 40004</v>
      </c>
      <c r="AN289" s="80" t="str">
        <f>IFERROR(__xludf.DUMMYFUNCTION("""COMPUTED_VALUE"""),"KCU KARAWANG 41300")</f>
        <v>KCU KARAWANG 41300</v>
      </c>
      <c r="AO289" s="80" t="str">
        <f>IFERROR(__xludf.DUMMYFUNCTION("""COMPUTED_VALUE"""),"2709240082316")</f>
        <v>2709240082316</v>
      </c>
      <c r="AP289" s="80" t="str">
        <f>IFERROR(__xludf.DUMMYFUNCTION("""COMPUTED_VALUE"""),"27092400823160001")</f>
        <v>27092400823160001</v>
      </c>
      <c r="AQ289" s="83"/>
      <c r="AR289" s="80"/>
      <c r="AS289" s="80"/>
      <c r="AT289" s="80" t="str">
        <f>IFERROR(__xludf.DUMMYFUNCTION("""COMPUTED_VALUE"""),"-6.337871")</f>
        <v>-6.337871</v>
      </c>
      <c r="AU289" s="80" t="str">
        <f>IFERROR(__xludf.DUMMYFUNCTION("""COMPUTED_VALUE"""),"107.347158")</f>
        <v>107.347158</v>
      </c>
      <c r="AV289" s="80"/>
      <c r="AW289" s="80"/>
      <c r="AX289" s="80" t="str">
        <f>IFERROR(__xludf.DUMMYFUNCTION("""COMPUTED_VALUE"""),"ü")</f>
        <v>ü</v>
      </c>
      <c r="AY289" s="80"/>
      <c r="AZ289" s="80"/>
      <c r="BA289" s="80"/>
      <c r="BB289" s="80"/>
      <c r="BC289" s="80"/>
      <c r="BD289" s="80"/>
      <c r="BE289" s="80"/>
      <c r="BF289" s="80"/>
      <c r="BG289" s="80"/>
      <c r="BH289" s="80"/>
      <c r="BI289" s="80"/>
      <c r="BJ289" s="80"/>
      <c r="BK289" s="80"/>
      <c r="BL289" s="80"/>
      <c r="BM289" s="80"/>
      <c r="BN289" s="80"/>
      <c r="BO289" s="80"/>
      <c r="BP289" s="80"/>
      <c r="BQ289" s="80"/>
      <c r="BR289" s="80"/>
      <c r="BS289" s="80"/>
      <c r="BT289" s="80"/>
      <c r="BU289" s="80"/>
      <c r="BV289" s="80"/>
      <c r="BW289" s="80"/>
      <c r="BX289" s="80"/>
      <c r="BY289" s="80"/>
      <c r="BZ289" s="80"/>
      <c r="CA289" s="80"/>
      <c r="CB289" s="80"/>
      <c r="CC289" s="80"/>
      <c r="CD289" s="80"/>
      <c r="CE289" s="80"/>
      <c r="CF289" s="80"/>
      <c r="CG289" s="80"/>
      <c r="CH289" s="80"/>
      <c r="CI289" s="80"/>
      <c r="CJ289" s="80"/>
      <c r="CK289" s="2"/>
    </row>
    <row r="290" ht="12.75" customHeight="1">
      <c r="A290" s="85">
        <f>IFERROR(__xludf.DUMMYFUNCTION("""COMPUTED_VALUE"""),287.0)</f>
        <v>287</v>
      </c>
      <c r="B290" s="85"/>
      <c r="C290" s="85"/>
      <c r="D290" s="86"/>
      <c r="E290" s="88"/>
      <c r="F290" s="85"/>
      <c r="G290" s="86"/>
      <c r="H290" s="85"/>
      <c r="I290" s="85"/>
      <c r="J290" s="85"/>
      <c r="K290" s="85"/>
      <c r="L290" s="85"/>
      <c r="M290" s="85"/>
      <c r="N290" s="85" t="str">
        <f>IFERROR(__xludf.DUMMYFUNCTION("""COMPUTED_VALUE"""),"ü")</f>
        <v>ü</v>
      </c>
      <c r="O290" s="85"/>
      <c r="P290" s="85" t="str">
        <f>IFERROR(__xludf.DUMMYFUNCTION("""COMPUTED_VALUE"""),"MUCSPA63015PSIND")</f>
        <v>MUCSPA63015PSIND</v>
      </c>
      <c r="Q290" s="85" t="str">
        <f>IFERROR(__xludf.DUMMYFUNCTION("""COMPUTED_VALUE"""),"MUC TAMAN KARYA")</f>
        <v>MUC TAMAN KARYA</v>
      </c>
      <c r="R290" s="85" t="str">
        <f>IFERROR(__xludf.DUMMYFUNCTION("""COMPUTED_VALUE"""),"MUC TAMAN KARYA")</f>
        <v>MUC TAMAN KARYA</v>
      </c>
      <c r="S290" s="85" t="str">
        <f>IFERROR(__xludf.DUMMYFUNCTION("""COMPUTED_VALUE"""),"YUWANTI")</f>
        <v>YUWANTI</v>
      </c>
      <c r="T290" s="85" t="str">
        <f>IFERROR(__xludf.DUMMYFUNCTION("""COMPUTED_VALUE"""),"JETIS 26")</f>
        <v>JETIS 26</v>
      </c>
      <c r="U290" s="85" t="str">
        <f>IFERROR(__xludf.DUMMYFUNCTION("""COMPUTED_VALUE"""),"Jalan Grujugan Tegaldowo RT 04")</f>
        <v>Jalan Grujugan Tegaldowo RT 04</v>
      </c>
      <c r="V290" s="85"/>
      <c r="W290" s="85" t="str">
        <f>IFERROR(__xludf.DUMMYFUNCTION("""COMPUTED_VALUE"""),"BANTUL")</f>
        <v>BANTUL</v>
      </c>
      <c r="X290" s="85" t="str">
        <f>IFERROR(__xludf.DUMMYFUNCTION("""COMPUTED_VALUE"""),"BANTUL")</f>
        <v>BANTUL</v>
      </c>
      <c r="Y290" s="85" t="str">
        <f>IFERROR(__xludf.DUMMYFUNCTION("""COMPUTED_VALUE"""),"KAB. BANTUL")</f>
        <v>KAB. BANTUL</v>
      </c>
      <c r="Z290" s="85" t="str">
        <f>IFERROR(__xludf.DUMMYFUNCTION("""COMPUTED_VALUE"""),"YOGYAKARTA")</f>
        <v>YOGYAKARTA</v>
      </c>
      <c r="AA290" s="85" t="str">
        <f>IFERROR(__xludf.DUMMYFUNCTION("""COMPUTED_VALUE"""),"55711")</f>
        <v>55711</v>
      </c>
      <c r="AB290" s="85" t="str">
        <f>IFERROR(__xludf.DUMMYFUNCTION("""COMPUTED_VALUE"""),"3402165504840002")</f>
        <v>3402165504840002</v>
      </c>
      <c r="AC290" s="85" t="str">
        <f>IFERROR(__xludf.DUMMYFUNCTION("""COMPUTED_VALUE"""),"41.946.237.9-543.000")</f>
        <v>41.946.237.9-543.000</v>
      </c>
      <c r="AD290" s="85" t="str">
        <f>IFERROR(__xludf.DUMMYFUNCTION("""COMPUTED_VALUE"""),"CUM - PS - JLAD")</f>
        <v>CUM - PS - JLAD</v>
      </c>
      <c r="AE290" s="85" t="str">
        <f>IFERROR(__xludf.DUMMYFUNCTION("""COMPUTED_VALUE"""),"SUB YULI POS")</f>
        <v>SUB YULI POS</v>
      </c>
      <c r="AF290" s="85" t="str">
        <f>IFERROR(__xludf.DUMMYFUNCTION("""COMPUTED_VALUE"""),"089506886901")</f>
        <v>089506886901</v>
      </c>
      <c r="AG290" s="85"/>
      <c r="AH290" s="85" t="str">
        <f>IFERROR(__xludf.DUMMYFUNCTION("""COMPUTED_VALUE"""),"t2widyawati@gmail.con")</f>
        <v>t2widyawati@gmail.con</v>
      </c>
      <c r="AI290" s="85" t="str">
        <f>IFERROR(__xludf.DUMMYFUNCTION("""COMPUTED_VALUE"""),"55711S2")</f>
        <v>55711S2</v>
      </c>
      <c r="AJ290" s="85" t="str">
        <f>IFERROR(__xludf.DUMMYFUNCTION("""COMPUTED_VALUE"""),"670773050721698937018fe8")</f>
        <v>670773050721698937018fe8</v>
      </c>
      <c r="AK290" s="85" t="str">
        <f>IFERROR(__xludf.DUMMYFUNCTION("""COMPUTED_VALUE"""),"dm55711s2")</f>
        <v>dm55711s2</v>
      </c>
      <c r="AL290" s="85" t="str">
        <f>IFERROR(__xludf.DUMMYFUNCTION("""COMPUTED_VALUE"""),"#55711Pos")</f>
        <v>#55711Pos</v>
      </c>
      <c r="AM290" s="85" t="str">
        <f>IFERROR(__xludf.DUMMYFUNCTION("""COMPUTED_VALUE"""),"KANTOR REGIONAL IV SEMARANG 50004")</f>
        <v>KANTOR REGIONAL IV SEMARANG 50004</v>
      </c>
      <c r="AN290" s="85" t="str">
        <f>IFERROR(__xludf.DUMMYFUNCTION("""COMPUTED_VALUE"""),"KC BANTUL 55700")</f>
        <v>KC BANTUL 55700</v>
      </c>
      <c r="AO290" s="85" t="str">
        <f>IFERROR(__xludf.DUMMYFUNCTION("""COMPUTED_VALUE"""),"2709240064432")</f>
        <v>2709240064432</v>
      </c>
      <c r="AP290" s="85" t="str">
        <f>IFERROR(__xludf.DUMMYFUNCTION("""COMPUTED_VALUE"""),"27092400644320001")</f>
        <v>27092400644320001</v>
      </c>
      <c r="AQ290" s="93"/>
      <c r="AR290" s="85"/>
      <c r="AS290" s="85"/>
      <c r="AT290" s="85" t="str">
        <f>IFERROR(__xludf.DUMMYFUNCTION("""COMPUTED_VALUE"""),"-7.863974")</f>
        <v>-7.863974</v>
      </c>
      <c r="AU290" s="85" t="str">
        <f>IFERROR(__xludf.DUMMYFUNCTION("""COMPUTED_VALUE"""),"110.323855")</f>
        <v>110.323855</v>
      </c>
      <c r="AV290" s="85"/>
      <c r="AW290" s="85"/>
      <c r="AX290" s="85" t="str">
        <f>IFERROR(__xludf.DUMMYFUNCTION("""COMPUTED_VALUE"""),"ü")</f>
        <v>ü</v>
      </c>
      <c r="AY290" s="85"/>
      <c r="AZ290" s="85"/>
      <c r="BA290" s="85"/>
      <c r="BB290" s="85"/>
      <c r="BC290" s="85"/>
      <c r="BD290" s="85"/>
      <c r="BE290" s="85"/>
      <c r="BF290" s="85"/>
      <c r="BG290" s="85"/>
      <c r="BH290" s="85"/>
      <c r="BI290" s="85"/>
      <c r="BJ290" s="85"/>
      <c r="BK290" s="85"/>
      <c r="BL290" s="85"/>
      <c r="BM290" s="85"/>
      <c r="BN290" s="85"/>
      <c r="BO290" s="85"/>
      <c r="BP290" s="85"/>
      <c r="BQ290" s="85"/>
      <c r="BR290" s="85"/>
      <c r="BS290" s="85"/>
      <c r="BT290" s="85"/>
      <c r="BU290" s="85"/>
      <c r="BV290" s="85"/>
      <c r="BW290" s="85"/>
      <c r="BX290" s="85"/>
      <c r="BY290" s="85"/>
      <c r="BZ290" s="85"/>
      <c r="CA290" s="85"/>
      <c r="CB290" s="85"/>
      <c r="CC290" s="85"/>
      <c r="CD290" s="85"/>
      <c r="CE290" s="85"/>
      <c r="CF290" s="85"/>
      <c r="CG290" s="85"/>
      <c r="CH290" s="85"/>
      <c r="CI290" s="85"/>
      <c r="CJ290" s="85"/>
      <c r="CK290" s="2"/>
    </row>
    <row r="291" ht="12.75" customHeight="1">
      <c r="A291" s="80">
        <f>IFERROR(__xludf.DUMMYFUNCTION("""COMPUTED_VALUE"""),288.0)</f>
        <v>288</v>
      </c>
      <c r="B291" s="80"/>
      <c r="C291" s="80"/>
      <c r="D291" s="81"/>
      <c r="E291" s="82"/>
      <c r="F291" s="80"/>
      <c r="G291" s="81"/>
      <c r="H291" s="80"/>
      <c r="I291" s="80"/>
      <c r="J291" s="80"/>
      <c r="K291" s="80"/>
      <c r="L291" s="80"/>
      <c r="M291" s="80" t="str">
        <f>IFERROR(__xludf.DUMMYFUNCTION("""COMPUTED_VALUE"""),"ü")</f>
        <v>ü</v>
      </c>
      <c r="N291" s="80"/>
      <c r="O291" s="80"/>
      <c r="P291" s="80" t="str">
        <f>IFERROR(__xludf.DUMMYFUNCTION("""COMPUTED_VALUE"""),"MUCSPA63016PSIND")</f>
        <v>MUCSPA63016PSIND</v>
      </c>
      <c r="Q291" s="80" t="str">
        <f>IFERROR(__xludf.DUMMYFUNCTION("""COMPUTED_VALUE"""),"MUC KASIH ABADI")</f>
        <v>MUC KASIH ABADI</v>
      </c>
      <c r="R291" s="80" t="str">
        <f>IFERROR(__xludf.DUMMYFUNCTION("""COMPUTED_VALUE"""),"MUC KASIH ABADI")</f>
        <v>MUC KASIH ABADI</v>
      </c>
      <c r="S291" s="80" t="str">
        <f>IFERROR(__xludf.DUMMYFUNCTION("""COMPUTED_VALUE"""),"LAMARIA REGINA SIHALOHO")</f>
        <v>LAMARIA REGINA SIHALOHO</v>
      </c>
      <c r="T291" s="80" t="str">
        <f>IFERROR(__xludf.DUMMYFUNCTION("""COMPUTED_VALUE"""),"JL. BANGKA V NO.40")</f>
        <v>JL. BANGKA V NO.40</v>
      </c>
      <c r="U291" s="80" t="str">
        <f>IFERROR(__xludf.DUMMYFUNCTION("""COMPUTED_VALUE"""),"JL. BANGKA V NO.40")</f>
        <v>JL. BANGKA V NO.40</v>
      </c>
      <c r="V291" s="80"/>
      <c r="W291" s="80" t="str">
        <f>IFERROR(__xludf.DUMMYFUNCTION("""COMPUTED_VALUE"""),"PELA MAMPANG")</f>
        <v>PELA MAMPANG</v>
      </c>
      <c r="X291" s="80" t="str">
        <f>IFERROR(__xludf.DUMMYFUNCTION("""COMPUTED_VALUE"""),"MAMPANG PRAPATAN")</f>
        <v>MAMPANG PRAPATAN</v>
      </c>
      <c r="Y291" s="80" t="str">
        <f>IFERROR(__xludf.DUMMYFUNCTION("""COMPUTED_VALUE"""),"JAKARTA SELATAN")</f>
        <v>JAKARTA SELATAN</v>
      </c>
      <c r="Z291" s="80" t="str">
        <f>IFERROR(__xludf.DUMMYFUNCTION("""COMPUTED_VALUE"""),"DKI JAKARTA")</f>
        <v>DKI JAKARTA</v>
      </c>
      <c r="AA291" s="80" t="str">
        <f>IFERROR(__xludf.DUMMYFUNCTION("""COMPUTED_VALUE"""),"12720")</f>
        <v>12720</v>
      </c>
      <c r="AB291" s="80" t="str">
        <f>IFERROR(__xludf.DUMMYFUNCTION("""COMPUTED_VALUE"""),"3174036812760010")</f>
        <v>3174036812760010</v>
      </c>
      <c r="AC291" s="80" t="str">
        <f>IFERROR(__xludf.DUMMYFUNCTION("""COMPUTED_VALUE"""),"49.738.588.0-416.000")</f>
        <v>49.738.588.0-416.000</v>
      </c>
      <c r="AD291" s="80" t="str">
        <f>IFERROR(__xludf.DUMMYFUNCTION("""COMPUTED_VALUE"""),"CUM - PS - MIRS")</f>
        <v>CUM - PS - MIRS</v>
      </c>
      <c r="AE291" s="80" t="str">
        <f>IFERROR(__xludf.DUMMYFUNCTION("""COMPUTED_VALUE"""),"SUB ANGGA POS")</f>
        <v>SUB ANGGA POS</v>
      </c>
      <c r="AF291" s="80" t="str">
        <f>IFERROR(__xludf.DUMMYFUNCTION("""COMPUTED_VALUE"""),"08111986789")</f>
        <v>08111986789</v>
      </c>
      <c r="AG291" s="80"/>
      <c r="AH291" s="80" t="str">
        <f>IFERROR(__xludf.DUMMYFUNCTION("""COMPUTED_VALUE"""),"patrickdaposar@gmail.com")</f>
        <v>patrickdaposar@gmail.com</v>
      </c>
      <c r="AI291" s="80" t="str">
        <f>IFERROR(__xludf.DUMMYFUNCTION("""COMPUTED_VALUE"""),"12720S2")</f>
        <v>12720S2</v>
      </c>
      <c r="AJ291" s="80" t="str">
        <f>IFERROR(__xludf.DUMMYFUNCTION("""COMPUTED_VALUE"""),"670f6521044a7d83f1044b0a")</f>
        <v>670f6521044a7d83f1044b0a</v>
      </c>
      <c r="AK291" s="80" t="str">
        <f>IFERROR(__xludf.DUMMYFUNCTION("""COMPUTED_VALUE"""),"dm12720s2")</f>
        <v>dm12720s2</v>
      </c>
      <c r="AL291" s="80" t="str">
        <f>IFERROR(__xludf.DUMMYFUNCTION("""COMPUTED_VALUE"""),"#12720Pos")</f>
        <v>#12720Pos</v>
      </c>
      <c r="AM291" s="80" t="str">
        <f>IFERROR(__xludf.DUMMYFUNCTION("""COMPUTED_VALUE"""),"KANTOR REGIONAL II JAKARTA 10004")</f>
        <v>KANTOR REGIONAL II JAKARTA 10004</v>
      </c>
      <c r="AN291" s="80" t="str">
        <f>IFERROR(__xludf.DUMMYFUNCTION("""COMPUTED_VALUE"""),"KCU JAKARTAFLORA 12000")</f>
        <v>KCU JAKARTAFLORA 12000</v>
      </c>
      <c r="AO291" s="80" t="str">
        <f>IFERROR(__xludf.DUMMYFUNCTION("""COMPUTED_VALUE"""),"3009240071872")</f>
        <v>3009240071872</v>
      </c>
      <c r="AP291" s="80" t="str">
        <f>IFERROR(__xludf.DUMMYFUNCTION("""COMPUTED_VALUE"""),"30092400718720001")</f>
        <v>30092400718720001</v>
      </c>
      <c r="AQ291" s="83"/>
      <c r="AR291" s="80"/>
      <c r="AS291" s="80"/>
      <c r="AT291" s="80" t="str">
        <f>IFERROR(__xludf.DUMMYFUNCTION("""COMPUTED_VALUE"""),"-6.247621")</f>
        <v>-6.247621</v>
      </c>
      <c r="AU291" s="80" t="str">
        <f>IFERROR(__xludf.DUMMYFUNCTION("""COMPUTED_VALUE"""),"106.816210")</f>
        <v>106.816210</v>
      </c>
      <c r="AV291" s="80"/>
      <c r="AW291" s="80"/>
      <c r="AX291" s="80" t="str">
        <f>IFERROR(__xludf.DUMMYFUNCTION("""COMPUTED_VALUE"""),"ü")</f>
        <v>ü</v>
      </c>
      <c r="AY291" s="80"/>
      <c r="AZ291" s="80"/>
      <c r="BA291" s="80"/>
      <c r="BB291" s="80"/>
      <c r="BC291" s="80"/>
      <c r="BD291" s="80"/>
      <c r="BE291" s="80"/>
      <c r="BF291" s="80"/>
      <c r="BG291" s="80"/>
      <c r="BH291" s="80"/>
      <c r="BI291" s="80"/>
      <c r="BJ291" s="80"/>
      <c r="BK291" s="80"/>
      <c r="BL291" s="80"/>
      <c r="BM291" s="80"/>
      <c r="BN291" s="80"/>
      <c r="BO291" s="80"/>
      <c r="BP291" s="80"/>
      <c r="BQ291" s="80"/>
      <c r="BR291" s="80"/>
      <c r="BS291" s="80"/>
      <c r="BT291" s="80"/>
      <c r="BU291" s="80"/>
      <c r="BV291" s="80"/>
      <c r="BW291" s="80"/>
      <c r="BX291" s="80"/>
      <c r="BY291" s="80"/>
      <c r="BZ291" s="80"/>
      <c r="CA291" s="80"/>
      <c r="CB291" s="80"/>
      <c r="CC291" s="80"/>
      <c r="CD291" s="80"/>
      <c r="CE291" s="80"/>
      <c r="CF291" s="80"/>
      <c r="CG291" s="80"/>
      <c r="CH291" s="80"/>
      <c r="CI291" s="80"/>
      <c r="CJ291" s="80"/>
      <c r="CK291" s="2"/>
    </row>
    <row r="292" ht="12.75" customHeight="1">
      <c r="A292" s="85">
        <f>IFERROR(__xludf.DUMMYFUNCTION("""COMPUTED_VALUE"""),289.0)</f>
        <v>289</v>
      </c>
      <c r="B292" s="85"/>
      <c r="C292" s="85"/>
      <c r="D292" s="86"/>
      <c r="E292" s="88"/>
      <c r="F292" s="85"/>
      <c r="G292" s="86"/>
      <c r="H292" s="85"/>
      <c r="I292" s="85"/>
      <c r="J292" s="85"/>
      <c r="K292" s="85"/>
      <c r="L292" s="85"/>
      <c r="M292" s="85"/>
      <c r="N292" s="85" t="str">
        <f>IFERROR(__xludf.DUMMYFUNCTION("""COMPUTED_VALUE"""),"ü")</f>
        <v>ü</v>
      </c>
      <c r="O292" s="85"/>
      <c r="P292" s="85" t="str">
        <f>IFERROR(__xludf.DUMMYFUNCTION("""COMPUTED_VALUE"""),"MUCSPA63017PSIND")</f>
        <v>MUCSPA63017PSIND</v>
      </c>
      <c r="Q292" s="85" t="str">
        <f>IFERROR(__xludf.DUMMYFUNCTION("""COMPUTED_VALUE"""),"MUC FAWWAZ")</f>
        <v>MUC FAWWAZ</v>
      </c>
      <c r="R292" s="85" t="str">
        <f>IFERROR(__xludf.DUMMYFUNCTION("""COMPUTED_VALUE"""),"MUC FAWWAZ")</f>
        <v>MUC FAWWAZ</v>
      </c>
      <c r="S292" s="85" t="str">
        <f>IFERROR(__xludf.DUMMYFUNCTION("""COMPUTED_VALUE"""),"MARIA FEBRY SETYA WARDANI")</f>
        <v>MARIA FEBRY SETYA WARDANI</v>
      </c>
      <c r="T292" s="85" t="str">
        <f>IFERROR(__xludf.DUMMYFUNCTION("""COMPUTED_VALUE"""),"DS. KANDANGAN RT.03 RW.04")</f>
        <v>DS. KANDANGAN RT.03 RW.04</v>
      </c>
      <c r="U292" s="85" t="str">
        <f>IFERROR(__xludf.DUMMYFUNCTION("""COMPUTED_VALUE"""),"JL.  KEBONDALEM RT.08 RW.14")</f>
        <v>JL.  KEBONDALEM RT.08 RW.14</v>
      </c>
      <c r="V292" s="85"/>
      <c r="W292" s="85" t="str">
        <f>IFERROR(__xludf.DUMMYFUNCTION("""COMPUTED_VALUE"""),"PURWODADI")</f>
        <v>PURWODADI</v>
      </c>
      <c r="X292" s="85" t="str">
        <f>IFERROR(__xludf.DUMMYFUNCTION("""COMPUTED_VALUE"""),"PURWODADI")</f>
        <v>PURWODADI</v>
      </c>
      <c r="Y292" s="85" t="str">
        <f>IFERROR(__xludf.DUMMYFUNCTION("""COMPUTED_VALUE"""),"KAB. GROBOGAN")</f>
        <v>KAB. GROBOGAN</v>
      </c>
      <c r="Z292" s="85" t="str">
        <f>IFERROR(__xludf.DUMMYFUNCTION("""COMPUTED_VALUE"""),"JAWA TENGAH")</f>
        <v>JAWA TENGAH</v>
      </c>
      <c r="AA292" s="85" t="str">
        <f>IFERROR(__xludf.DUMMYFUNCTION("""COMPUTED_VALUE"""),"58111")</f>
        <v>58111</v>
      </c>
      <c r="AB292" s="85" t="str">
        <f>IFERROR(__xludf.DUMMYFUNCTION("""COMPUTED_VALUE"""),"3315135502910005")</f>
        <v>3315135502910005</v>
      </c>
      <c r="AC292" s="85" t="str">
        <f>IFERROR(__xludf.DUMMYFUNCTION("""COMPUTED_VALUE"""),"64.114.973.1-514.000")</f>
        <v>64.114.973.1-514.000</v>
      </c>
      <c r="AD292" s="85" t="str">
        <f>IFERROR(__xludf.DUMMYFUNCTION("""COMPUTED_VALUE"""),"CUM - PS - ARPM")</f>
        <v>CUM - PS - ARPM</v>
      </c>
      <c r="AE292" s="85" t="str">
        <f>IFERROR(__xludf.DUMMYFUNCTION("""COMPUTED_VALUE"""),"SUB ARI POS")</f>
        <v>SUB ARI POS</v>
      </c>
      <c r="AF292" s="85" t="str">
        <f>IFERROR(__xludf.DUMMYFUNCTION("""COMPUTED_VALUE"""),"0895372294600")</f>
        <v>0895372294600</v>
      </c>
      <c r="AG292" s="85"/>
      <c r="AH292" s="85" t="str">
        <f>IFERROR(__xludf.DUMMYFUNCTION("""COMPUTED_VALUE"""),"viebrywardani215@gmail.com")</f>
        <v>viebrywardani215@gmail.com</v>
      </c>
      <c r="AI292" s="85" t="str">
        <f>IFERROR(__xludf.DUMMYFUNCTION("""COMPUTED_VALUE"""),"58111S4")</f>
        <v>58111S4</v>
      </c>
      <c r="AJ292" s="85" t="str">
        <f>IFERROR(__xludf.DUMMYFUNCTION("""COMPUTED_VALUE"""),"670f3f526cebfb95d20d6796")</f>
        <v>670f3f526cebfb95d20d6796</v>
      </c>
      <c r="AK292" s="85" t="str">
        <f>IFERROR(__xludf.DUMMYFUNCTION("""COMPUTED_VALUE"""),"dm58111s4")</f>
        <v>dm58111s4</v>
      </c>
      <c r="AL292" s="85" t="str">
        <f>IFERROR(__xludf.DUMMYFUNCTION("""COMPUTED_VALUE"""),"#58111Pos")</f>
        <v>#58111Pos</v>
      </c>
      <c r="AM292" s="85" t="str">
        <f>IFERROR(__xludf.DUMMYFUNCTION("""COMPUTED_VALUE"""),"KANTOR REGIONAL IV SEMARANG 50004")</f>
        <v>KANTOR REGIONAL IV SEMARANG 50004</v>
      </c>
      <c r="AN292" s="85" t="str">
        <f>IFERROR(__xludf.DUMMYFUNCTION("""COMPUTED_VALUE"""),"KC PURWODADIGROBOGAN")</f>
        <v>KC PURWODADIGROBOGAN</v>
      </c>
      <c r="AO292" s="85" t="str">
        <f>IFERROR(__xludf.DUMMYFUNCTION("""COMPUTED_VALUE"""),"0608220016676")</f>
        <v>0608220016676</v>
      </c>
      <c r="AP292" s="85" t="str">
        <f>IFERROR(__xludf.DUMMYFUNCTION("""COMPUTED_VALUE"""),"06082200166760001")</f>
        <v>06082200166760001</v>
      </c>
      <c r="AQ292" s="93"/>
      <c r="AR292" s="85"/>
      <c r="AS292" s="85"/>
      <c r="AT292" s="85" t="str">
        <f>IFERROR(__xludf.DUMMYFUNCTION("""COMPUTED_VALUE"""),"-7.086905 ")</f>
        <v>-7.086905 </v>
      </c>
      <c r="AU292" s="85" t="str">
        <f>IFERROR(__xludf.DUMMYFUNCTION("""COMPUTED_VALUE"""),"110.921018")</f>
        <v>110.921018</v>
      </c>
      <c r="AV292" s="85"/>
      <c r="AW292" s="85"/>
      <c r="AX292" s="85" t="str">
        <f>IFERROR(__xludf.DUMMYFUNCTION("""COMPUTED_VALUE"""),"ü")</f>
        <v>ü</v>
      </c>
      <c r="AY292" s="85"/>
      <c r="AZ292" s="85"/>
      <c r="BA292" s="85"/>
      <c r="BB292" s="85"/>
      <c r="BC292" s="85"/>
      <c r="BD292" s="85"/>
      <c r="BE292" s="85"/>
      <c r="BF292" s="85"/>
      <c r="BG292" s="85"/>
      <c r="BH292" s="85"/>
      <c r="BI292" s="85"/>
      <c r="BJ292" s="85"/>
      <c r="BK292" s="85"/>
      <c r="BL292" s="85"/>
      <c r="BM292" s="85"/>
      <c r="BN292" s="85"/>
      <c r="BO292" s="85"/>
      <c r="BP292" s="85"/>
      <c r="BQ292" s="85"/>
      <c r="BR292" s="85"/>
      <c r="BS292" s="85"/>
      <c r="BT292" s="85"/>
      <c r="BU292" s="85"/>
      <c r="BV292" s="85"/>
      <c r="BW292" s="85"/>
      <c r="BX292" s="85"/>
      <c r="BY292" s="85"/>
      <c r="BZ292" s="85"/>
      <c r="CA292" s="85"/>
      <c r="CB292" s="85"/>
      <c r="CC292" s="85"/>
      <c r="CD292" s="85"/>
      <c r="CE292" s="85"/>
      <c r="CF292" s="85"/>
      <c r="CG292" s="85"/>
      <c r="CH292" s="85"/>
      <c r="CI292" s="85"/>
      <c r="CJ292" s="85"/>
      <c r="CK292" s="2"/>
    </row>
    <row r="293" ht="12.75" customHeight="1">
      <c r="A293" s="80">
        <f>IFERROR(__xludf.DUMMYFUNCTION("""COMPUTED_VALUE"""),290.0)</f>
        <v>290</v>
      </c>
      <c r="B293" s="80"/>
      <c r="C293" s="80"/>
      <c r="D293" s="81"/>
      <c r="E293" s="82"/>
      <c r="F293" s="80"/>
      <c r="G293" s="81"/>
      <c r="H293" s="80"/>
      <c r="I293" s="80"/>
      <c r="J293" s="80"/>
      <c r="K293" s="80"/>
      <c r="L293" s="80"/>
      <c r="M293" s="80" t="str">
        <f>IFERROR(__xludf.DUMMYFUNCTION("""COMPUTED_VALUE"""),"ü")</f>
        <v>ü</v>
      </c>
      <c r="N293" s="80"/>
      <c r="O293" s="80"/>
      <c r="P293" s="80" t="str">
        <f>IFERROR(__xludf.DUMMYFUNCTION("""COMPUTED_VALUE"""),"MUCSPA63018PSIND")</f>
        <v>MUCSPA63018PSIND</v>
      </c>
      <c r="Q293" s="80" t="str">
        <f>IFERROR(__xludf.DUMMYFUNCTION("""COMPUTED_VALUE"""),"MUC DROPER CENDRAWASIH")</f>
        <v>MUC DROPER CENDRAWASIH</v>
      </c>
      <c r="R293" s="80" t="str">
        <f>IFERROR(__xludf.DUMMYFUNCTION("""COMPUTED_VALUE"""),"MUC DROPER CENDRAWASIH")</f>
        <v>MUC DROPER CENDRAWASIH</v>
      </c>
      <c r="S293" s="80" t="str">
        <f>IFERROR(__xludf.DUMMYFUNCTION("""COMPUTED_VALUE"""),"ARIS MARTINUS")</f>
        <v>ARIS MARTINUS</v>
      </c>
      <c r="T293" s="80" t="str">
        <f>IFERROR(__xludf.DUMMYFUNCTION("""COMPUTED_VALUE"""),"JL. CENDRAWASIH II No.82 ")</f>
        <v>JL. CENDRAWASIH II No.82 </v>
      </c>
      <c r="U293" s="80" t="str">
        <f>IFERROR(__xludf.DUMMYFUNCTION("""COMPUTED_VALUE"""),"JL. CENDRAWASIH II No.82 ")</f>
        <v>JL. CENDRAWASIH II No.82 </v>
      </c>
      <c r="V293" s="80"/>
      <c r="W293" s="80" t="str">
        <f>IFERROR(__xludf.DUMMYFUNCTION("""COMPUTED_VALUE"""),"CENGKARENG BARAT")</f>
        <v>CENGKARENG BARAT</v>
      </c>
      <c r="X293" s="80" t="str">
        <f>IFERROR(__xludf.DUMMYFUNCTION("""COMPUTED_VALUE"""),"CENGKARENG")</f>
        <v>CENGKARENG</v>
      </c>
      <c r="Y293" s="80" t="str">
        <f>IFERROR(__xludf.DUMMYFUNCTION("""COMPUTED_VALUE"""),"JAKARTA BARAT")</f>
        <v>JAKARTA BARAT</v>
      </c>
      <c r="Z293" s="80" t="str">
        <f>IFERROR(__xludf.DUMMYFUNCTION("""COMPUTED_VALUE"""),"DKI JAKARTA")</f>
        <v>DKI JAKARTA</v>
      </c>
      <c r="AA293" s="80" t="str">
        <f>IFERROR(__xludf.DUMMYFUNCTION("""COMPUTED_VALUE"""),"11730")</f>
        <v>11730</v>
      </c>
      <c r="AB293" s="80" t="str">
        <f>IFERROR(__xludf.DUMMYFUNCTION("""COMPUTED_VALUE"""),"3173011609830011")</f>
        <v>3173011609830011</v>
      </c>
      <c r="AC293" s="80" t="str">
        <f>IFERROR(__xludf.DUMMYFUNCTION("""COMPUTED_VALUE"""),"25.052.345.3-034.000")</f>
        <v>25.052.345.3-034.000</v>
      </c>
      <c r="AD293" s="80" t="str">
        <f>IFERROR(__xludf.DUMMYFUNCTION("""COMPUTED_VALUE"""),"CUM - PS - SUSU")</f>
        <v>CUM - PS - SUSU</v>
      </c>
      <c r="AE293" s="80" t="str">
        <f>IFERROR(__xludf.DUMMYFUNCTION("""COMPUTED_VALUE"""),"SUB SUGENG POS")</f>
        <v>SUB SUGENG POS</v>
      </c>
      <c r="AF293" s="80" t="str">
        <f>IFERROR(__xludf.DUMMYFUNCTION("""COMPUTED_VALUE"""),"08129467707")</f>
        <v>08129467707</v>
      </c>
      <c r="AG293" s="80"/>
      <c r="AH293" s="80" t="str">
        <f>IFERROR(__xludf.DUMMYFUNCTION("""COMPUTED_VALUE"""),"ekspedisiwahanacendrawasih@gmail.com")</f>
        <v>ekspedisiwahanacendrawasih@gmail.com</v>
      </c>
      <c r="AI293" s="80" t="str">
        <f>IFERROR(__xludf.DUMMYFUNCTION("""COMPUTED_VALUE"""),"11730SA")</f>
        <v>11730SA</v>
      </c>
      <c r="AJ293" s="80" t="str">
        <f>IFERROR(__xludf.DUMMYFUNCTION("""COMPUTED_VALUE"""),"670e7e96e13e233092095119")</f>
        <v>670e7e96e13e233092095119</v>
      </c>
      <c r="AK293" s="80" t="str">
        <f>IFERROR(__xludf.DUMMYFUNCTION("""COMPUTED_VALUE"""),"dm11730sa")</f>
        <v>dm11730sa</v>
      </c>
      <c r="AL293" s="80" t="str">
        <f>IFERROR(__xludf.DUMMYFUNCTION("""COMPUTED_VALUE"""),"#11730Pos")</f>
        <v>#11730Pos</v>
      </c>
      <c r="AM293" s="80" t="str">
        <f>IFERROR(__xludf.DUMMYFUNCTION("""COMPUTED_VALUE"""),"KANTOR REGIONAL II JAKARTA 10004")</f>
        <v>KANTOR REGIONAL II JAKARTA 10004</v>
      </c>
      <c r="AN293" s="80" t="str">
        <f>IFERROR(__xludf.DUMMYFUNCTION("""COMPUTED_VALUE"""),"KCU OCEANIA 11000")</f>
        <v>KCU OCEANIA 11000</v>
      </c>
      <c r="AO293" s="80" t="str">
        <f>IFERROR(__xludf.DUMMYFUNCTION("""COMPUTED_VALUE"""),"1204220045917")</f>
        <v>1204220045917</v>
      </c>
      <c r="AP293" s="80" t="str">
        <f>IFERROR(__xludf.DUMMYFUNCTION("""COMPUTED_VALUE"""),"12042200459170001")</f>
        <v>12042200459170001</v>
      </c>
      <c r="AQ293" s="83"/>
      <c r="AR293" s="80"/>
      <c r="AS293" s="80"/>
      <c r="AT293" s="80" t="str">
        <f>IFERROR(__xludf.DUMMYFUNCTION("""COMPUTED_VALUE"""),"-6.143274")</f>
        <v>-6.143274</v>
      </c>
      <c r="AU293" s="80" t="str">
        <f>IFERROR(__xludf.DUMMYFUNCTION("""COMPUTED_VALUE"""),"106.725069")</f>
        <v>106.725069</v>
      </c>
      <c r="AV293" s="80"/>
      <c r="AW293" s="80"/>
      <c r="AX293" s="80" t="str">
        <f>IFERROR(__xludf.DUMMYFUNCTION("""COMPUTED_VALUE"""),"ü")</f>
        <v>ü</v>
      </c>
      <c r="AY293" s="80"/>
      <c r="AZ293" s="80"/>
      <c r="BA293" s="80"/>
      <c r="BB293" s="80"/>
      <c r="BC293" s="80"/>
      <c r="BD293" s="80"/>
      <c r="BE293" s="80"/>
      <c r="BF293" s="80"/>
      <c r="BG293" s="80"/>
      <c r="BH293" s="80"/>
      <c r="BI293" s="80"/>
      <c r="BJ293" s="80"/>
      <c r="BK293" s="80"/>
      <c r="BL293" s="80"/>
      <c r="BM293" s="80"/>
      <c r="BN293" s="80"/>
      <c r="BO293" s="80"/>
      <c r="BP293" s="80"/>
      <c r="BQ293" s="80"/>
      <c r="BR293" s="80"/>
      <c r="BS293" s="80"/>
      <c r="BT293" s="80"/>
      <c r="BU293" s="80"/>
      <c r="BV293" s="80"/>
      <c r="BW293" s="80"/>
      <c r="BX293" s="80"/>
      <c r="BY293" s="80"/>
      <c r="BZ293" s="80"/>
      <c r="CA293" s="80"/>
      <c r="CB293" s="80"/>
      <c r="CC293" s="80"/>
      <c r="CD293" s="80"/>
      <c r="CE293" s="80"/>
      <c r="CF293" s="80"/>
      <c r="CG293" s="80"/>
      <c r="CH293" s="80"/>
      <c r="CI293" s="80"/>
      <c r="CJ293" s="80"/>
      <c r="CK293" s="2"/>
    </row>
    <row r="294" ht="12.75" customHeight="1">
      <c r="A294" s="85">
        <f>IFERROR(__xludf.DUMMYFUNCTION("""COMPUTED_VALUE"""),291.0)</f>
        <v>291</v>
      </c>
      <c r="B294" s="85"/>
      <c r="C294" s="85"/>
      <c r="D294" s="86"/>
      <c r="E294" s="88"/>
      <c r="F294" s="85"/>
      <c r="G294" s="86"/>
      <c r="H294" s="85"/>
      <c r="I294" s="85"/>
      <c r="J294" s="85"/>
      <c r="K294" s="85"/>
      <c r="L294" s="85"/>
      <c r="M294" s="85"/>
      <c r="N294" s="85" t="str">
        <f>IFERROR(__xludf.DUMMYFUNCTION("""COMPUTED_VALUE"""),"ü")</f>
        <v>ü</v>
      </c>
      <c r="O294" s="85"/>
      <c r="P294" s="85" t="str">
        <f>IFERROR(__xludf.DUMMYFUNCTION("""COMPUTED_VALUE"""),"MLO5500021CUMKRW")</f>
        <v>MLO5500021CUMKRW</v>
      </c>
      <c r="Q294" s="85" t="str">
        <f>IFERROR(__xludf.DUMMYFUNCTION("""COMPUTED_VALUE"""),"POS KRW")</f>
        <v>POS KRW</v>
      </c>
      <c r="R294" s="85"/>
      <c r="S294" s="85"/>
      <c r="T294" s="85"/>
      <c r="U294" s="85"/>
      <c r="V294" s="85"/>
      <c r="W294" s="85"/>
      <c r="X294" s="85"/>
      <c r="Y294" s="85"/>
      <c r="Z294" s="85"/>
      <c r="AA294" s="85"/>
      <c r="AB294" s="85"/>
      <c r="AC294" s="85"/>
      <c r="AD294" s="85"/>
      <c r="AE294" s="85"/>
      <c r="AF294" s="85"/>
      <c r="AG294" s="85"/>
      <c r="AH294" s="85"/>
      <c r="AI294" s="85"/>
      <c r="AJ294" s="85"/>
      <c r="AK294" s="85"/>
      <c r="AL294" s="85"/>
      <c r="AM294" s="85"/>
      <c r="AN294" s="85"/>
      <c r="AO294" s="85"/>
      <c r="AP294" s="85"/>
      <c r="AQ294" s="93"/>
      <c r="AR294" s="85"/>
      <c r="AS294" s="85"/>
      <c r="AT294" s="85"/>
      <c r="AU294" s="85"/>
      <c r="AV294" s="85"/>
      <c r="AW294" s="85"/>
      <c r="AX294" s="85" t="str">
        <f>IFERROR(__xludf.DUMMYFUNCTION("""COMPUTED_VALUE"""),"ü")</f>
        <v>ü</v>
      </c>
      <c r="AY294" s="85"/>
      <c r="AZ294" s="85"/>
      <c r="BA294" s="85"/>
      <c r="BB294" s="85"/>
      <c r="BC294" s="85"/>
      <c r="BD294" s="85"/>
      <c r="BE294" s="85"/>
      <c r="BF294" s="85"/>
      <c r="BG294" s="85"/>
      <c r="BH294" s="85"/>
      <c r="BI294" s="85"/>
      <c r="BJ294" s="85"/>
      <c r="BK294" s="85"/>
      <c r="BL294" s="85"/>
      <c r="BM294" s="85"/>
      <c r="BN294" s="85"/>
      <c r="BO294" s="85"/>
      <c r="BP294" s="85"/>
      <c r="BQ294" s="85"/>
      <c r="BR294" s="85"/>
      <c r="BS294" s="85"/>
      <c r="BT294" s="85"/>
      <c r="BU294" s="85"/>
      <c r="BV294" s="85"/>
      <c r="BW294" s="85"/>
      <c r="BX294" s="85"/>
      <c r="BY294" s="85"/>
      <c r="BZ294" s="85"/>
      <c r="CA294" s="85"/>
      <c r="CB294" s="85"/>
      <c r="CC294" s="85"/>
      <c r="CD294" s="85"/>
      <c r="CE294" s="85"/>
      <c r="CF294" s="85"/>
      <c r="CG294" s="85"/>
      <c r="CH294" s="85"/>
      <c r="CI294" s="85"/>
      <c r="CJ294" s="85"/>
      <c r="CK294" s="2"/>
    </row>
    <row r="295" ht="12.75" customHeight="1">
      <c r="A295" s="80">
        <f>IFERROR(__xludf.DUMMYFUNCTION("""COMPUTED_VALUE"""),292.0)</f>
        <v>292</v>
      </c>
      <c r="B295" s="80"/>
      <c r="C295" s="80"/>
      <c r="D295" s="81"/>
      <c r="E295" s="82"/>
      <c r="F295" s="80"/>
      <c r="G295" s="81"/>
      <c r="H295" s="80"/>
      <c r="I295" s="80"/>
      <c r="J295" s="80"/>
      <c r="K295" s="80"/>
      <c r="L295" s="80"/>
      <c r="M295" s="80" t="str">
        <f>IFERROR(__xludf.DUMMYFUNCTION("""COMPUTED_VALUE"""),"ü")</f>
        <v>ü</v>
      </c>
      <c r="N295" s="80"/>
      <c r="O295" s="80"/>
      <c r="P295" s="80" t="str">
        <f>IFERROR(__xludf.DUMMYFUNCTION("""COMPUTED_VALUE"""),"MUCSPA63019PSIND")</f>
        <v>MUCSPA63019PSIND</v>
      </c>
      <c r="Q295" s="80" t="str">
        <f>IFERROR(__xludf.DUMMYFUNCTION("""COMPUTED_VALUE"""),"MUC DIDI")</f>
        <v>MUC DIDI</v>
      </c>
      <c r="R295" s="80" t="str">
        <f>IFERROR(__xludf.DUMMYFUNCTION("""COMPUTED_VALUE"""),"MUC DIDI")</f>
        <v>MUC DIDI</v>
      </c>
      <c r="S295" s="80" t="str">
        <f>IFERROR(__xludf.DUMMYFUNCTION("""COMPUTED_VALUE"""),"AHMAD ROSYIDI")</f>
        <v>AHMAD ROSYIDI</v>
      </c>
      <c r="T295" s="80" t="str">
        <f>IFERROR(__xludf.DUMMYFUNCTION("""COMPUTED_VALUE"""),"WIDORO RT 013 RW 007 GENTAN GANTIWARNO KLATEN")</f>
        <v>WIDORO RT 013 RW 007 GENTAN GANTIWARNO KLATEN</v>
      </c>
      <c r="U295" s="80" t="str">
        <f>IFERROR(__xludf.DUMMYFUNCTION("""COMPUTED_VALUE"""),"SUMBER KRAJAN NO. 39 RT 004 RW 001 ")</f>
        <v>SUMBER KRAJAN NO. 39 RT 004 RW 001 </v>
      </c>
      <c r="V295" s="80"/>
      <c r="W295" s="80" t="str">
        <f>IFERROR(__xludf.DUMMYFUNCTION("""COMPUTED_VALUE"""),"SUMBER")</f>
        <v>SUMBER</v>
      </c>
      <c r="X295" s="80" t="str">
        <f>IFERROR(__xludf.DUMMYFUNCTION("""COMPUTED_VALUE"""),"BANJARSARI")</f>
        <v>BANJARSARI</v>
      </c>
      <c r="Y295" s="80" t="str">
        <f>IFERROR(__xludf.DUMMYFUNCTION("""COMPUTED_VALUE"""),"SURAKARTA")</f>
        <v>SURAKARTA</v>
      </c>
      <c r="Z295" s="80" t="str">
        <f>IFERROR(__xludf.DUMMYFUNCTION("""COMPUTED_VALUE"""),"JAWA TENGAH")</f>
        <v>JAWA TENGAH</v>
      </c>
      <c r="AA295" s="80" t="str">
        <f>IFERROR(__xludf.DUMMYFUNCTION("""COMPUTED_VALUE"""),"57138")</f>
        <v>57138</v>
      </c>
      <c r="AB295" s="80" t="str">
        <f>IFERROR(__xludf.DUMMYFUNCTION("""COMPUTED_VALUE"""),"1671070503830010")</f>
        <v>1671070503830010</v>
      </c>
      <c r="AC295" s="80" t="str">
        <f>IFERROR(__xludf.DUMMYFUNCTION("""COMPUTED_VALUE"""),"89.318.951.4-307.000")</f>
        <v>89.318.951.4-307.000</v>
      </c>
      <c r="AD295" s="80" t="str">
        <f>IFERROR(__xludf.DUMMYFUNCTION("""COMPUTED_VALUE"""),"CUM - AHRD")</f>
        <v>CUM - AHRD</v>
      </c>
      <c r="AE295" s="80" t="str">
        <f>IFERROR(__xludf.DUMMYFUNCTION("""COMPUTED_VALUE"""),"SUB AHRD")</f>
        <v>SUB AHRD</v>
      </c>
      <c r="AF295" s="80" t="str">
        <f>IFERROR(__xludf.DUMMYFUNCTION("""COMPUTED_VALUE"""),"08197896994 ")</f>
        <v>08197896994 </v>
      </c>
      <c r="AG295" s="80"/>
      <c r="AH295" s="80" t="str">
        <f>IFERROR(__xludf.DUMMYFUNCTION("""COMPUTED_VALUE"""),"Ahmad.rosyidi53@gmail.com")</f>
        <v>Ahmad.rosyidi53@gmail.com</v>
      </c>
      <c r="AI295" s="80" t="str">
        <f>IFERROR(__xludf.DUMMYFUNCTION("""COMPUTED_VALUE"""),"57138S2")</f>
        <v>57138S2</v>
      </c>
      <c r="AJ295" s="80" t="str">
        <f>IFERROR(__xludf.DUMMYFUNCTION("""COMPUTED_VALUE"""),"670dc4e4d27d3fed6d0616b6")</f>
        <v>670dc4e4d27d3fed6d0616b6</v>
      </c>
      <c r="AK295" s="80" t="str">
        <f>IFERROR(__xludf.DUMMYFUNCTION("""COMPUTED_VALUE"""),"dm57138s2")</f>
        <v>dm57138s2</v>
      </c>
      <c r="AL295" s="80" t="str">
        <f>IFERROR(__xludf.DUMMYFUNCTION("""COMPUTED_VALUE"""),"#57138Pos")</f>
        <v>#57138Pos</v>
      </c>
      <c r="AM295" s="80" t="str">
        <f>IFERROR(__xludf.DUMMYFUNCTION("""COMPUTED_VALUE"""),"KANTOR REGIONAL IV SEMARANG 50004")</f>
        <v>KANTOR REGIONAL IV SEMARANG 50004</v>
      </c>
      <c r="AN295" s="80" t="str">
        <f>IFERROR(__xludf.DUMMYFUNCTION("""COMPUTED_VALUE"""),"KCU SOLO 57100")</f>
        <v>KCU SOLO 57100</v>
      </c>
      <c r="AO295" s="80" t="str">
        <f>IFERROR(__xludf.DUMMYFUNCTION("""COMPUTED_VALUE"""),"0310240089803")</f>
        <v>0310240089803</v>
      </c>
      <c r="AP295" s="80" t="str">
        <f>IFERROR(__xludf.DUMMYFUNCTION("""COMPUTED_VALUE"""),"03102400898030001")</f>
        <v>03102400898030001</v>
      </c>
      <c r="AQ295" s="83"/>
      <c r="AR295" s="80"/>
      <c r="AS295" s="80"/>
      <c r="AT295" s="80" t="str">
        <f>IFERROR(__xludf.DUMMYFUNCTION("""COMPUTED_VALUE"""),"-7.5454716")</f>
        <v>-7.5454716</v>
      </c>
      <c r="AU295" s="80" t="str">
        <f>IFERROR(__xludf.DUMMYFUNCTION("""COMPUTED_VALUE"""),"110.8101428")</f>
        <v>110.8101428</v>
      </c>
      <c r="AV295" s="80"/>
      <c r="AW295" s="80"/>
      <c r="AX295" s="80" t="str">
        <f>IFERROR(__xludf.DUMMYFUNCTION("""COMPUTED_VALUE"""),"ü")</f>
        <v>ü</v>
      </c>
      <c r="AY295" s="80"/>
      <c r="AZ295" s="80"/>
      <c r="BA295" s="80"/>
      <c r="BB295" s="80"/>
      <c r="BC295" s="80"/>
      <c r="BD295" s="80"/>
      <c r="BE295" s="80"/>
      <c r="BF295" s="80"/>
      <c r="BG295" s="80"/>
      <c r="BH295" s="80"/>
      <c r="BI295" s="80"/>
      <c r="BJ295" s="80"/>
      <c r="BK295" s="80"/>
      <c r="BL295" s="80"/>
      <c r="BM295" s="80"/>
      <c r="BN295" s="80"/>
      <c r="BO295" s="80"/>
      <c r="BP295" s="80"/>
      <c r="BQ295" s="80"/>
      <c r="BR295" s="80"/>
      <c r="BS295" s="80"/>
      <c r="BT295" s="80"/>
      <c r="BU295" s="80"/>
      <c r="BV295" s="80"/>
      <c r="BW295" s="80"/>
      <c r="BX295" s="80"/>
      <c r="BY295" s="80"/>
      <c r="BZ295" s="80"/>
      <c r="CA295" s="80"/>
      <c r="CB295" s="80"/>
      <c r="CC295" s="80"/>
      <c r="CD295" s="80"/>
      <c r="CE295" s="80"/>
      <c r="CF295" s="80"/>
      <c r="CG295" s="80"/>
      <c r="CH295" s="80"/>
      <c r="CI295" s="80"/>
      <c r="CJ295" s="80"/>
      <c r="CK295" s="2"/>
    </row>
    <row r="296" ht="12.75" customHeight="1">
      <c r="A296" s="85">
        <f>IFERROR(__xludf.DUMMYFUNCTION("""COMPUTED_VALUE"""),293.0)</f>
        <v>293</v>
      </c>
      <c r="B296" s="85"/>
      <c r="C296" s="85"/>
      <c r="D296" s="86"/>
      <c r="E296" s="88"/>
      <c r="F296" s="85"/>
      <c r="G296" s="86"/>
      <c r="H296" s="85"/>
      <c r="I296" s="85"/>
      <c r="J296" s="85"/>
      <c r="K296" s="85"/>
      <c r="L296" s="85"/>
      <c r="M296" s="85" t="str">
        <f>IFERROR(__xludf.DUMMYFUNCTION("""COMPUTED_VALUE"""),"ü")</f>
        <v>ü</v>
      </c>
      <c r="N296" s="85"/>
      <c r="O296" s="85"/>
      <c r="P296" s="85" t="str">
        <f>IFERROR(__xludf.DUMMYFUNCTION("""COMPUTED_VALUE"""),"MUCSPA63020PSIND")</f>
        <v>MUCSPA63020PSIND</v>
      </c>
      <c r="Q296" s="85" t="str">
        <f>IFERROR(__xludf.DUMMYFUNCTION("""COMPUTED_VALUE"""),"MUC WACUNG PENJARINGAN JAKUT")</f>
        <v>MUC WACUNG PENJARINGAN JAKUT</v>
      </c>
      <c r="R296" s="85" t="str">
        <f>IFERROR(__xludf.DUMMYFUNCTION("""COMPUTED_VALUE"""),"MUC WACUNG PENJARINGAN JAKUT")</f>
        <v>MUC WACUNG PENJARINGAN JAKUT</v>
      </c>
      <c r="S296" s="85" t="str">
        <f>IFERROR(__xludf.DUMMYFUNCTION("""COMPUTED_VALUE"""),"FERRY RACHMAT H")</f>
        <v>FERRY RACHMAT H</v>
      </c>
      <c r="T296" s="85" t="str">
        <f>IFERROR(__xludf.DUMMYFUNCTION("""COMPUTED_VALUE"""),"Duta Bintaro blok e7/15 rt. 6 rw.09")</f>
        <v>Duta Bintaro blok e7/15 rt. 6 rw.09</v>
      </c>
      <c r="U296" s="85" t="str">
        <f>IFERROR(__xludf.DUMMYFUNCTION("""COMPUTED_VALUE"""),"jl. Wacung no.35 rt. 6/16")</f>
        <v>jl. Wacung no.35 rt. 6/16</v>
      </c>
      <c r="V296" s="85"/>
      <c r="W296" s="85" t="str">
        <f>IFERROR(__xludf.DUMMYFUNCTION("""COMPUTED_VALUE"""),"PENJARINGAN")</f>
        <v>PENJARINGAN</v>
      </c>
      <c r="X296" s="85" t="str">
        <f>IFERROR(__xludf.DUMMYFUNCTION("""COMPUTED_VALUE"""),"PENJARINGAN")</f>
        <v>PENJARINGAN</v>
      </c>
      <c r="Y296" s="85" t="str">
        <f>IFERROR(__xludf.DUMMYFUNCTION("""COMPUTED_VALUE"""),"JAKARTA UTARA")</f>
        <v>JAKARTA UTARA</v>
      </c>
      <c r="Z296" s="85" t="str">
        <f>IFERROR(__xludf.DUMMYFUNCTION("""COMPUTED_VALUE"""),"DKI JAKARTA")</f>
        <v>DKI JAKARTA</v>
      </c>
      <c r="AA296" s="85" t="str">
        <f>IFERROR(__xludf.DUMMYFUNCTION("""COMPUTED_VALUE"""),"14440")</f>
        <v>14440</v>
      </c>
      <c r="AB296" s="85" t="str">
        <f>IFERROR(__xludf.DUMMYFUNCTION("""COMPUTED_VALUE"""),"3671111102720009")</f>
        <v>3671111102720009</v>
      </c>
      <c r="AC296" s="85" t="str">
        <f>IFERROR(__xludf.DUMMYFUNCTION("""COMPUTED_VALUE"""),"55.309.347.7-416.00")</f>
        <v>55.309.347.7-416.00</v>
      </c>
      <c r="AD296" s="85" t="str">
        <f>IFERROR(__xludf.DUMMYFUNCTION("""COMPUTED_VALUE"""),"CUM - PS - ALFA")</f>
        <v>CUM - PS - ALFA</v>
      </c>
      <c r="AE296" s="85" t="str">
        <f>IFERROR(__xludf.DUMMYFUNCTION("""COMPUTED_VALUE"""),"SUB ALFIAN POS")</f>
        <v>SUB ALFIAN POS</v>
      </c>
      <c r="AF296" s="85" t="str">
        <f>IFERROR(__xludf.DUMMYFUNCTION("""COMPUTED_VALUE"""),"089652576395")</f>
        <v>089652576395</v>
      </c>
      <c r="AG296" s="85"/>
      <c r="AH296" s="85" t="str">
        <f>IFERROR(__xludf.DUMMYFUNCTION("""COMPUTED_VALUE"""),"janenawi185@gmail.com")</f>
        <v>janenawi185@gmail.com</v>
      </c>
      <c r="AI296" s="85" t="str">
        <f>IFERROR(__xludf.DUMMYFUNCTION("""COMPUTED_VALUE"""),"14440S5")</f>
        <v>14440S5</v>
      </c>
      <c r="AJ296" s="85" t="str">
        <f>IFERROR(__xludf.DUMMYFUNCTION("""COMPUTED_VALUE"""),"671b996ae4c07a297f0a4a66")</f>
        <v>671b996ae4c07a297f0a4a66</v>
      </c>
      <c r="AK296" s="85" t="str">
        <f>IFERROR(__xludf.DUMMYFUNCTION("""COMPUTED_VALUE"""),"dm14440s5")</f>
        <v>dm14440s5</v>
      </c>
      <c r="AL296" s="85" t="str">
        <f>IFERROR(__xludf.DUMMYFUNCTION("""COMPUTED_VALUE"""),"#14440Pos")</f>
        <v>#14440Pos</v>
      </c>
      <c r="AM296" s="85" t="str">
        <f>IFERROR(__xludf.DUMMYFUNCTION("""COMPUTED_VALUE"""),"KANTOR REGIONAL II JAKARTA 10004")</f>
        <v>KANTOR REGIONAL II JAKARTA 10004</v>
      </c>
      <c r="AN296" s="85" t="str">
        <f>IFERROR(__xludf.DUMMYFUNCTION("""COMPUTED_VALUE"""),"KCU JAKARTAPREMIER 13000")</f>
        <v>KCU JAKARTAPREMIER 13000</v>
      </c>
      <c r="AO296" s="85" t="str">
        <f>IFERROR(__xludf.DUMMYFUNCTION("""COMPUTED_VALUE"""),"0410240163604")</f>
        <v>0410240163604</v>
      </c>
      <c r="AP296" s="85" t="str">
        <f>IFERROR(__xludf.DUMMYFUNCTION("""COMPUTED_VALUE"""),"04102401636040001")</f>
        <v>04102401636040001</v>
      </c>
      <c r="AQ296" s="93"/>
      <c r="AR296" s="85"/>
      <c r="AS296" s="85"/>
      <c r="AT296" s="85" t="str">
        <f>IFERROR(__xludf.DUMMYFUNCTION("""COMPUTED_VALUE"""),"-6.134189")</f>
        <v>-6.134189</v>
      </c>
      <c r="AU296" s="85" t="str">
        <f>IFERROR(__xludf.DUMMYFUNCTION("""COMPUTED_VALUE"""),"106.796494")</f>
        <v>106.796494</v>
      </c>
      <c r="AV296" s="85"/>
      <c r="AW296" s="85"/>
      <c r="AX296" s="85" t="str">
        <f>IFERROR(__xludf.DUMMYFUNCTION("""COMPUTED_VALUE"""),"ü")</f>
        <v>ü</v>
      </c>
      <c r="AY296" s="85"/>
      <c r="AZ296" s="85"/>
      <c r="BA296" s="85"/>
      <c r="BB296" s="85"/>
      <c r="BC296" s="85"/>
      <c r="BD296" s="85"/>
      <c r="BE296" s="85"/>
      <c r="BF296" s="85"/>
      <c r="BG296" s="85"/>
      <c r="BH296" s="85"/>
      <c r="BI296" s="85"/>
      <c r="BJ296" s="85"/>
      <c r="BK296" s="85"/>
      <c r="BL296" s="85"/>
      <c r="BM296" s="85"/>
      <c r="BN296" s="85"/>
      <c r="BO296" s="85"/>
      <c r="BP296" s="85"/>
      <c r="BQ296" s="85"/>
      <c r="BR296" s="85"/>
      <c r="BS296" s="85"/>
      <c r="BT296" s="85"/>
      <c r="BU296" s="85"/>
      <c r="BV296" s="85"/>
      <c r="BW296" s="85"/>
      <c r="BX296" s="85"/>
      <c r="BY296" s="85"/>
      <c r="BZ296" s="85"/>
      <c r="CA296" s="85"/>
      <c r="CB296" s="85"/>
      <c r="CC296" s="85"/>
      <c r="CD296" s="85"/>
      <c r="CE296" s="85"/>
      <c r="CF296" s="85"/>
      <c r="CG296" s="85"/>
      <c r="CH296" s="85"/>
      <c r="CI296" s="85"/>
      <c r="CJ296" s="85"/>
      <c r="CK296" s="2"/>
    </row>
    <row r="297" ht="12.75" customHeight="1">
      <c r="A297" s="80">
        <f>IFERROR(__xludf.DUMMYFUNCTION("""COMPUTED_VALUE"""),294.0)</f>
        <v>294</v>
      </c>
      <c r="B297" s="80"/>
      <c r="C297" s="80"/>
      <c r="D297" s="81"/>
      <c r="E297" s="82"/>
      <c r="F297" s="80"/>
      <c r="G297" s="81"/>
      <c r="H297" s="80"/>
      <c r="I297" s="80"/>
      <c r="J297" s="80"/>
      <c r="K297" s="80"/>
      <c r="L297" s="80"/>
      <c r="M297" s="80" t="str">
        <f>IFERROR(__xludf.DUMMYFUNCTION("""COMPUTED_VALUE"""),"ü")</f>
        <v>ü</v>
      </c>
      <c r="N297" s="80"/>
      <c r="O297" s="80"/>
      <c r="P297" s="80" t="str">
        <f>IFERROR(__xludf.DUMMYFUNCTION("""COMPUTED_VALUE"""),"MUCSPA63021PSIND")</f>
        <v>MUCSPA63021PSIND</v>
      </c>
      <c r="Q297" s="80" t="str">
        <f>IFERROR(__xludf.DUMMYFUNCTION("""COMPUTED_VALUE"""),"MUC THE FUN 3")</f>
        <v>MUC THE FUN 3</v>
      </c>
      <c r="R297" s="80" t="str">
        <f>IFERROR(__xludf.DUMMYFUNCTION("""COMPUTED_VALUE"""),"MUC THE FUN 3")</f>
        <v>MUC THE FUN 3</v>
      </c>
      <c r="S297" s="80" t="str">
        <f>IFERROR(__xludf.DUMMYFUNCTION("""COMPUTED_VALUE"""),"TUTY SURYANTI")</f>
        <v>TUTY SURYANTI</v>
      </c>
      <c r="T297" s="80" t="str">
        <f>IFERROR(__xludf.DUMMYFUNCTION("""COMPUTED_VALUE"""),"Jl swadaya VII no 227 RT. 003 RW. 006")</f>
        <v>Jl swadaya VII no 227 RT. 003 RW. 006</v>
      </c>
      <c r="U297" s="80" t="str">
        <f>IFERROR(__xludf.DUMMYFUNCTION("""COMPUTED_VALUE"""),"Jl Mayor Madmuin Hasibuan RT 004 RW 004")</f>
        <v>Jl Mayor Madmuin Hasibuan RT 004 RW 004</v>
      </c>
      <c r="V297" s="80"/>
      <c r="W297" s="80" t="str">
        <f>IFERROR(__xludf.DUMMYFUNCTION("""COMPUTED_VALUE"""),"MARGAHAYU")</f>
        <v>MARGAHAYU</v>
      </c>
      <c r="X297" s="80" t="str">
        <f>IFERROR(__xludf.DUMMYFUNCTION("""COMPUTED_VALUE"""),"BEKASI TIMUR")</f>
        <v>BEKASI TIMUR</v>
      </c>
      <c r="Y297" s="80" t="str">
        <f>IFERROR(__xludf.DUMMYFUNCTION("""COMPUTED_VALUE"""),"BEKASI")</f>
        <v>BEKASI</v>
      </c>
      <c r="Z297" s="80" t="str">
        <f>IFERROR(__xludf.DUMMYFUNCTION("""COMPUTED_VALUE"""),"JAWA BARAT")</f>
        <v>JAWA BARAT</v>
      </c>
      <c r="AA297" s="80" t="str">
        <f>IFERROR(__xludf.DUMMYFUNCTION("""COMPUTED_VALUE"""),"17113")</f>
        <v>17113</v>
      </c>
      <c r="AB297" s="80" t="str">
        <f>IFERROR(__xludf.DUMMYFUNCTION("""COMPUTED_VALUE"""),"3216065309850025")</f>
        <v>3216065309850025</v>
      </c>
      <c r="AC297" s="80" t="str">
        <f>IFERROR(__xludf.DUMMYFUNCTION("""COMPUTED_VALUE"""),"79.171.274.8-435.000")</f>
        <v>79.171.274.8-435.000</v>
      </c>
      <c r="AD297" s="80" t="str">
        <f>IFERROR(__xludf.DUMMYFUNCTION("""COMPUTED_VALUE"""),"CUM - PS - MIRS")</f>
        <v>CUM - PS - MIRS</v>
      </c>
      <c r="AE297" s="80" t="str">
        <f>IFERROR(__xludf.DUMMYFUNCTION("""COMPUTED_VALUE"""),"SUB ANGGA POS")</f>
        <v>SUB ANGGA POS</v>
      </c>
      <c r="AF297" s="80" t="str">
        <f>IFERROR(__xludf.DUMMYFUNCTION("""COMPUTED_VALUE"""),"081295747785")</f>
        <v>081295747785</v>
      </c>
      <c r="AG297" s="80"/>
      <c r="AH297" s="80" t="str">
        <f>IFERROR(__xludf.DUMMYFUNCTION("""COMPUTED_VALUE"""),"jade.northcliff@gmail.com")</f>
        <v>jade.northcliff@gmail.com</v>
      </c>
      <c r="AI297" s="80" t="str">
        <f>IFERROR(__xludf.DUMMYFUNCTION("""COMPUTED_VALUE"""),"17113S4")</f>
        <v>17113S4</v>
      </c>
      <c r="AJ297" s="80" t="str">
        <f>IFERROR(__xludf.DUMMYFUNCTION("""COMPUTED_VALUE"""),"6708e8015b97bd5106076972")</f>
        <v>6708e8015b97bd5106076972</v>
      </c>
      <c r="AK297" s="80" t="str">
        <f>IFERROR(__xludf.DUMMYFUNCTION("""COMPUTED_VALUE"""),"dm17113s4")</f>
        <v>dm17113s4</v>
      </c>
      <c r="AL297" s="80" t="str">
        <f>IFERROR(__xludf.DUMMYFUNCTION("""COMPUTED_VALUE"""),"#17113Pos")</f>
        <v>#17113Pos</v>
      </c>
      <c r="AM297" s="80" t="str">
        <f>IFERROR(__xludf.DUMMYFUNCTION("""COMPUTED_VALUE"""),"KANTOR REGIONAL II JAKARTA 10004")</f>
        <v>KANTOR REGIONAL II JAKARTA 10004</v>
      </c>
      <c r="AN297" s="80" t="str">
        <f>IFERROR(__xludf.DUMMYFUNCTION("""COMPUTED_VALUE"""),"KCU BEKASI 17000")</f>
        <v>KCU BEKASI 17000</v>
      </c>
      <c r="AO297" s="80" t="str">
        <f>IFERROR(__xludf.DUMMYFUNCTION("""COMPUTED_VALUE"""),"0710240109258")</f>
        <v>0710240109258</v>
      </c>
      <c r="AP297" s="80" t="str">
        <f>IFERROR(__xludf.DUMMYFUNCTION("""COMPUTED_VALUE"""),"07102401092580001")</f>
        <v>07102401092580001</v>
      </c>
      <c r="AQ297" s="83"/>
      <c r="AR297" s="80"/>
      <c r="AS297" s="80"/>
      <c r="AT297" s="80" t="str">
        <f>IFERROR(__xludf.DUMMYFUNCTION("""COMPUTED_VALUE"""),"-6.251553")</f>
        <v>-6.251553</v>
      </c>
      <c r="AU297" s="80" t="str">
        <f>IFERROR(__xludf.DUMMYFUNCTION("""COMPUTED_VALUE"""),"107.002072")</f>
        <v>107.002072</v>
      </c>
      <c r="AV297" s="80"/>
      <c r="AW297" s="80"/>
      <c r="AX297" s="80" t="str">
        <f>IFERROR(__xludf.DUMMYFUNCTION("""COMPUTED_VALUE"""),"ü")</f>
        <v>ü</v>
      </c>
      <c r="AY297" s="80"/>
      <c r="AZ297" s="80"/>
      <c r="BA297" s="80"/>
      <c r="BB297" s="80"/>
      <c r="BC297" s="80"/>
      <c r="BD297" s="80"/>
      <c r="BE297" s="80"/>
      <c r="BF297" s="80"/>
      <c r="BG297" s="80"/>
      <c r="BH297" s="80"/>
      <c r="BI297" s="80"/>
      <c r="BJ297" s="80"/>
      <c r="BK297" s="80"/>
      <c r="BL297" s="80"/>
      <c r="BM297" s="80"/>
      <c r="BN297" s="80"/>
      <c r="BO297" s="80"/>
      <c r="BP297" s="80"/>
      <c r="BQ297" s="80"/>
      <c r="BR297" s="80"/>
      <c r="BS297" s="80"/>
      <c r="BT297" s="80"/>
      <c r="BU297" s="80"/>
      <c r="BV297" s="80"/>
      <c r="BW297" s="80"/>
      <c r="BX297" s="80"/>
      <c r="BY297" s="80"/>
      <c r="BZ297" s="80"/>
      <c r="CA297" s="80"/>
      <c r="CB297" s="80"/>
      <c r="CC297" s="80"/>
      <c r="CD297" s="80"/>
      <c r="CE297" s="80"/>
      <c r="CF297" s="80"/>
      <c r="CG297" s="80"/>
      <c r="CH297" s="80"/>
      <c r="CI297" s="80"/>
      <c r="CJ297" s="80"/>
      <c r="CK297" s="2"/>
    </row>
    <row r="298" ht="12.75" customHeight="1">
      <c r="A298" s="85">
        <f>IFERROR(__xludf.DUMMYFUNCTION("""COMPUTED_VALUE"""),295.0)</f>
        <v>295</v>
      </c>
      <c r="B298" s="85"/>
      <c r="C298" s="85"/>
      <c r="D298" s="86"/>
      <c r="E298" s="88"/>
      <c r="F298" s="85"/>
      <c r="G298" s="86"/>
      <c r="H298" s="85"/>
      <c r="I298" s="85"/>
      <c r="J298" s="85"/>
      <c r="K298" s="85"/>
      <c r="L298" s="85"/>
      <c r="M298" s="85" t="str">
        <f>IFERROR(__xludf.DUMMYFUNCTION("""COMPUTED_VALUE"""),"ü")</f>
        <v>ü</v>
      </c>
      <c r="N298" s="85"/>
      <c r="O298" s="85"/>
      <c r="P298" s="85" t="str">
        <f>IFERROR(__xludf.DUMMYFUNCTION("""COMPUTED_VALUE"""),"53BSPA04986JBEEN")</f>
        <v>53BSPA04986JBEEN</v>
      </c>
      <c r="Q298" s="85" t="str">
        <f>IFERROR(__xludf.DUMMYFUNCTION("""COMPUTED_VALUE"""),"MUC PENGIRIMAN KRISNA RAYA")</f>
        <v>MUC PENGIRIMAN KRISNA RAYA</v>
      </c>
      <c r="R298" s="85" t="str">
        <f>IFERROR(__xludf.DUMMYFUNCTION("""COMPUTED_VALUE"""),"MUC PENGIRIMAN KRISNA RAYA")</f>
        <v>MUC PENGIRIMAN KRISNA RAYA</v>
      </c>
      <c r="S298" s="85" t="str">
        <f>IFERROR(__xludf.DUMMYFUNCTION("""COMPUTED_VALUE"""),"ANDRI SIANIPAR")</f>
        <v>ANDRI SIANIPAR</v>
      </c>
      <c r="T298" s="85" t="str">
        <f>IFERROR(__xludf.DUMMYFUNCTION("""COMPUTED_VALUE"""),"JL. KAYU MAS SELATAN BLOK B. 23 RT001 RW.009 ")</f>
        <v>JL. KAYU MAS SELATAN BLOK B. 23 RT001 RW.009 </v>
      </c>
      <c r="U298" s="85" t="str">
        <f>IFERROR(__xludf.DUMMYFUNCTION("""COMPUTED_VALUE"""),"JL. KRISNA RAYA NO.2 RT/RW 03/11")</f>
        <v>JL. KRISNA RAYA NO.2 RT/RW 03/11</v>
      </c>
      <c r="V298" s="85"/>
      <c r="W298" s="85" t="str">
        <f>IFERROR(__xludf.DUMMYFUNCTION("""COMPUTED_VALUE"""),"JATIASIH")</f>
        <v>JATIASIH</v>
      </c>
      <c r="X298" s="85" t="str">
        <f>IFERROR(__xludf.DUMMYFUNCTION("""COMPUTED_VALUE"""),"JATIASIH")</f>
        <v>JATIASIH</v>
      </c>
      <c r="Y298" s="85" t="str">
        <f>IFERROR(__xludf.DUMMYFUNCTION("""COMPUTED_VALUE"""),"KOTA BEKASI")</f>
        <v>KOTA BEKASI</v>
      </c>
      <c r="Z298" s="85" t="str">
        <f>IFERROR(__xludf.DUMMYFUNCTION("""COMPUTED_VALUE"""),"JAWA BARAT")</f>
        <v>JAWA BARAT</v>
      </c>
      <c r="AA298" s="85" t="str">
        <f>IFERROR(__xludf.DUMMYFUNCTION("""COMPUTED_VALUE"""),"17423")</f>
        <v>17423</v>
      </c>
      <c r="AB298" s="85" t="str">
        <f>IFERROR(__xludf.DUMMYFUNCTION("""COMPUTED_VALUE"""),"3175022309780009")</f>
        <v>3175022309780009</v>
      </c>
      <c r="AC298" s="85" t="str">
        <f>IFERROR(__xludf.DUMMYFUNCTION("""COMPUTED_VALUE"""),"49.408.748.9-003.000")</f>
        <v>49.408.748.9-003.000</v>
      </c>
      <c r="AD298" s="85" t="str">
        <f>IFERROR(__xludf.DUMMYFUNCTION("""COMPUTED_VALUE"""),"CUM - EEN")</f>
        <v>CUM - EEN</v>
      </c>
      <c r="AE298" s="85" t="str">
        <f>IFERROR(__xludf.DUMMYFUNCTION("""COMPUTED_VALUE"""),"SUB EEN")</f>
        <v>SUB EEN</v>
      </c>
      <c r="AF298" s="85" t="str">
        <f>IFERROR(__xludf.DUMMYFUNCTION("""COMPUTED_VALUE"""),"0811931282")</f>
        <v>0811931282</v>
      </c>
      <c r="AG298" s="85"/>
      <c r="AH298" s="85" t="str">
        <f>IFERROR(__xludf.DUMMYFUNCTION("""COMPUTED_VALUE"""),"andri.hanahean.sianipar@gmail.com")</f>
        <v>andri.hanahean.sianipar@gmail.com</v>
      </c>
      <c r="AI298" s="85" t="str">
        <f>IFERROR(__xludf.DUMMYFUNCTION("""COMPUTED_VALUE"""),"17423S5")</f>
        <v>17423S5</v>
      </c>
      <c r="AJ298" s="85" t="str">
        <f>IFERROR(__xludf.DUMMYFUNCTION("""COMPUTED_VALUE"""),"670dd780e45602d495058dda")</f>
        <v>670dd780e45602d495058dda</v>
      </c>
      <c r="AK298" s="85" t="str">
        <f>IFERROR(__xludf.DUMMYFUNCTION("""COMPUTED_VALUE"""),"dm17423s5")</f>
        <v>dm17423s5</v>
      </c>
      <c r="AL298" s="85" t="str">
        <f>IFERROR(__xludf.DUMMYFUNCTION("""COMPUTED_VALUE"""),"#17423Pos")</f>
        <v>#17423Pos</v>
      </c>
      <c r="AM298" s="85" t="str">
        <f>IFERROR(__xludf.DUMMYFUNCTION("""COMPUTED_VALUE"""),"KANTOR REGIONAL II JAKARTA 10004")</f>
        <v>KANTOR REGIONAL II JAKARTA 10004</v>
      </c>
      <c r="AN298" s="85" t="str">
        <f>IFERROR(__xludf.DUMMYFUNCTION("""COMPUTED_VALUE"""),"KCU BEKASI 17000")</f>
        <v>KCU BEKASI 17000</v>
      </c>
      <c r="AO298" s="85" t="str">
        <f>IFERROR(__xludf.DUMMYFUNCTION("""COMPUTED_VALUE"""),"0810240052548")</f>
        <v>0810240052548</v>
      </c>
      <c r="AP298" s="85" t="str">
        <f>IFERROR(__xludf.DUMMYFUNCTION("""COMPUTED_VALUE"""),"08102400525480001")</f>
        <v>08102400525480001</v>
      </c>
      <c r="AQ298" s="93"/>
      <c r="AR298" s="85"/>
      <c r="AS298" s="85"/>
      <c r="AT298" s="85" t="str">
        <f>IFERROR(__xludf.DUMMYFUNCTION("""COMPUTED_VALUE"""),"-6.289658")</f>
        <v>-6.289658</v>
      </c>
      <c r="AU298" s="85" t="str">
        <f>IFERROR(__xludf.DUMMYFUNCTION("""COMPUTED_VALUE"""),"106.964378")</f>
        <v>106.964378</v>
      </c>
      <c r="AV298" s="85"/>
      <c r="AW298" s="85"/>
      <c r="AX298" s="85" t="str">
        <f>IFERROR(__xludf.DUMMYFUNCTION("""COMPUTED_VALUE"""),"ü")</f>
        <v>ü</v>
      </c>
      <c r="AY298" s="85"/>
      <c r="AZ298" s="85"/>
      <c r="BA298" s="85"/>
      <c r="BB298" s="85"/>
      <c r="BC298" s="85"/>
      <c r="BD298" s="85"/>
      <c r="BE298" s="85"/>
      <c r="BF298" s="85"/>
      <c r="BG298" s="85"/>
      <c r="BH298" s="85"/>
      <c r="BI298" s="85"/>
      <c r="BJ298" s="85"/>
      <c r="BK298" s="85"/>
      <c r="BL298" s="85"/>
      <c r="BM298" s="85"/>
      <c r="BN298" s="85"/>
      <c r="BO298" s="85"/>
      <c r="BP298" s="85"/>
      <c r="BQ298" s="85"/>
      <c r="BR298" s="85"/>
      <c r="BS298" s="85"/>
      <c r="BT298" s="85"/>
      <c r="BU298" s="85"/>
      <c r="BV298" s="85"/>
      <c r="BW298" s="85"/>
      <c r="BX298" s="85"/>
      <c r="BY298" s="85"/>
      <c r="BZ298" s="85"/>
      <c r="CA298" s="85"/>
      <c r="CB298" s="85"/>
      <c r="CC298" s="85"/>
      <c r="CD298" s="85"/>
      <c r="CE298" s="85"/>
      <c r="CF298" s="85"/>
      <c r="CG298" s="85"/>
      <c r="CH298" s="85"/>
      <c r="CI298" s="85"/>
      <c r="CJ298" s="85"/>
      <c r="CK298" s="2"/>
    </row>
    <row r="299" ht="12.75" customHeight="1">
      <c r="A299" s="80">
        <f>IFERROR(__xludf.DUMMYFUNCTION("""COMPUTED_VALUE"""),296.0)</f>
        <v>296</v>
      </c>
      <c r="B299" s="80"/>
      <c r="C299" s="80"/>
      <c r="D299" s="81"/>
      <c r="E299" s="82"/>
      <c r="F299" s="80"/>
      <c r="G299" s="81"/>
      <c r="H299" s="80"/>
      <c r="I299" s="80"/>
      <c r="J299" s="80"/>
      <c r="K299" s="80"/>
      <c r="L299" s="80"/>
      <c r="M299" s="80" t="str">
        <f>IFERROR(__xludf.DUMMYFUNCTION("""COMPUTED_VALUE"""),"ü")</f>
        <v>ü</v>
      </c>
      <c r="N299" s="80"/>
      <c r="O299" s="80"/>
      <c r="P299" s="80" t="str">
        <f>IFERROR(__xludf.DUMMYFUNCTION("""COMPUTED_VALUE"""),"53BSPA04987JBEEN")</f>
        <v>53BSPA04987JBEEN</v>
      </c>
      <c r="Q299" s="80" t="str">
        <f>IFERROR(__xludf.DUMMYFUNCTION("""COMPUTED_VALUE"""),"MUC RAWA BUNTU")</f>
        <v>MUC RAWA BUNTU</v>
      </c>
      <c r="R299" s="80" t="str">
        <f>IFERROR(__xludf.DUMMYFUNCTION("""COMPUTED_VALUE"""),"MUC RAWA BUNTU")</f>
        <v>MUC RAWA BUNTU</v>
      </c>
      <c r="S299" s="80" t="str">
        <f>IFERROR(__xludf.DUMMYFUNCTION("""COMPUTED_VALUE"""),"ACHMAD SATRIO")</f>
        <v>ACHMAD SATRIO</v>
      </c>
      <c r="T299" s="80" t="str">
        <f>IFERROR(__xludf.DUMMYFUNCTION("""COMPUTED_VALUE"""),"CEMPAKA PUTIH TIMUR 24/20 RT.005 RW.003")</f>
        <v>CEMPAKA PUTIH TIMUR 24/20 RT.005 RW.003</v>
      </c>
      <c r="U299" s="80" t="str">
        <f>IFERROR(__xludf.DUMMYFUNCTION("""COMPUTED_VALUE"""),"Jl. Swadaya Rawa Buntu RT 006/14 No 300")</f>
        <v>Jl. Swadaya Rawa Buntu RT 006/14 No 300</v>
      </c>
      <c r="V299" s="80"/>
      <c r="W299" s="80" t="str">
        <f>IFERROR(__xludf.DUMMYFUNCTION("""COMPUTED_VALUE"""),"JATINEGARA")</f>
        <v>JATINEGARA</v>
      </c>
      <c r="X299" s="80" t="str">
        <f>IFERROR(__xludf.DUMMYFUNCTION("""COMPUTED_VALUE"""),"CAKUNG ")</f>
        <v>CAKUNG </v>
      </c>
      <c r="Y299" s="80" t="str">
        <f>IFERROR(__xludf.DUMMYFUNCTION("""COMPUTED_VALUE"""),"JAKARTA TIMUR")</f>
        <v>JAKARTA TIMUR</v>
      </c>
      <c r="Z299" s="80" t="str">
        <f>IFERROR(__xludf.DUMMYFUNCTION("""COMPUTED_VALUE"""),"DKI JAKARTA")</f>
        <v>DKI JAKARTA</v>
      </c>
      <c r="AA299" s="80" t="str">
        <f>IFERROR(__xludf.DUMMYFUNCTION("""COMPUTED_VALUE"""),"13930")</f>
        <v>13930</v>
      </c>
      <c r="AB299" s="80" t="str">
        <f>IFERROR(__xludf.DUMMYFUNCTION("""COMPUTED_VALUE"""),"3171052306850006")</f>
        <v>3171052306850006</v>
      </c>
      <c r="AC299" s="80" t="str">
        <f>IFERROR(__xludf.DUMMYFUNCTION("""COMPUTED_VALUE"""),"24.884.391.4-024.000")</f>
        <v>24.884.391.4-024.000</v>
      </c>
      <c r="AD299" s="80" t="str">
        <f>IFERROR(__xludf.DUMMYFUNCTION("""COMPUTED_VALUE"""),"CUM - EEN")</f>
        <v>CUM - EEN</v>
      </c>
      <c r="AE299" s="80" t="str">
        <f>IFERROR(__xludf.DUMMYFUNCTION("""COMPUTED_VALUE"""),"SUB EEN")</f>
        <v>SUB EEN</v>
      </c>
      <c r="AF299" s="80" t="str">
        <f>IFERROR(__xludf.DUMMYFUNCTION("""COMPUTED_VALUE"""),"08158944978")</f>
        <v>08158944978</v>
      </c>
      <c r="AG299" s="80"/>
      <c r="AH299" s="80" t="str">
        <f>IFERROR(__xludf.DUMMYFUNCTION("""COMPUTED_VALUE"""),"achmadsatrio@yahoo.com")</f>
        <v>achmadsatrio@yahoo.com</v>
      </c>
      <c r="AI299" s="80" t="str">
        <f>IFERROR(__xludf.DUMMYFUNCTION("""COMPUTED_VALUE"""),"13930S2")</f>
        <v>13930S2</v>
      </c>
      <c r="AJ299" s="80" t="str">
        <f>IFERROR(__xludf.DUMMYFUNCTION("""COMPUTED_VALUE"""),"671c5749fa8e7afba70d5fe5")</f>
        <v>671c5749fa8e7afba70d5fe5</v>
      </c>
      <c r="AK299" s="80" t="str">
        <f>IFERROR(__xludf.DUMMYFUNCTION("""COMPUTED_VALUE"""),"dm13930s2")</f>
        <v>dm13930s2</v>
      </c>
      <c r="AL299" s="80" t="str">
        <f>IFERROR(__xludf.DUMMYFUNCTION("""COMPUTED_VALUE"""),"#13930Pos")</f>
        <v>#13930Pos</v>
      </c>
      <c r="AM299" s="80" t="str">
        <f>IFERROR(__xludf.DUMMYFUNCTION("""COMPUTED_VALUE"""),"KANTOR REGIONAL II JAKARTA 10004")</f>
        <v>KANTOR REGIONAL II JAKARTA 10004</v>
      </c>
      <c r="AN299" s="80" t="str">
        <f>IFERROR(__xludf.DUMMYFUNCTION("""COMPUTED_VALUE"""),"KCU JAKARTAPREMIER 13000")</f>
        <v>KCU JAKARTAPREMIER 13000</v>
      </c>
      <c r="AO299" s="80" t="str">
        <f>IFERROR(__xludf.DUMMYFUNCTION("""COMPUTED_VALUE"""),"0810240108372")</f>
        <v>0810240108372</v>
      </c>
      <c r="AP299" s="80" t="str">
        <f>IFERROR(__xludf.DUMMYFUNCTION("""COMPUTED_VALUE"""),"08102401083720001")</f>
        <v>08102401083720001</v>
      </c>
      <c r="AQ299" s="83"/>
      <c r="AR299" s="80"/>
      <c r="AS299" s="80"/>
      <c r="AT299" s="80" t="str">
        <f>IFERROR(__xludf.DUMMYFUNCTION("""COMPUTED_VALUE"""),"-6.199416 ")</f>
        <v>-6.199416 </v>
      </c>
      <c r="AU299" s="80" t="str">
        <f>IFERROR(__xludf.DUMMYFUNCTION("""COMPUTED_VALUE"""),"106.923284")</f>
        <v>106.923284</v>
      </c>
      <c r="AV299" s="80"/>
      <c r="AW299" s="80"/>
      <c r="AX299" s="80" t="str">
        <f>IFERROR(__xludf.DUMMYFUNCTION("""COMPUTED_VALUE"""),"ü")</f>
        <v>ü</v>
      </c>
      <c r="AY299" s="80"/>
      <c r="AZ299" s="80"/>
      <c r="BA299" s="80"/>
      <c r="BB299" s="80"/>
      <c r="BC299" s="80"/>
      <c r="BD299" s="80"/>
      <c r="BE299" s="80"/>
      <c r="BF299" s="80"/>
      <c r="BG299" s="80"/>
      <c r="BH299" s="80"/>
      <c r="BI299" s="80"/>
      <c r="BJ299" s="80"/>
      <c r="BK299" s="80"/>
      <c r="BL299" s="80"/>
      <c r="BM299" s="80"/>
      <c r="BN299" s="80"/>
      <c r="BO299" s="80"/>
      <c r="BP299" s="80"/>
      <c r="BQ299" s="80"/>
      <c r="BR299" s="80"/>
      <c r="BS299" s="80"/>
      <c r="BT299" s="80"/>
      <c r="BU299" s="80"/>
      <c r="BV299" s="80"/>
      <c r="BW299" s="80"/>
      <c r="BX299" s="80"/>
      <c r="BY299" s="80"/>
      <c r="BZ299" s="80"/>
      <c r="CA299" s="80"/>
      <c r="CB299" s="80"/>
      <c r="CC299" s="80"/>
      <c r="CD299" s="80"/>
      <c r="CE299" s="80"/>
      <c r="CF299" s="80"/>
      <c r="CG299" s="80"/>
      <c r="CH299" s="80"/>
      <c r="CI299" s="80"/>
      <c r="CJ299" s="80"/>
      <c r="CK299" s="2"/>
    </row>
    <row r="300" ht="12.75" customHeight="1">
      <c r="A300" s="85">
        <f>IFERROR(__xludf.DUMMYFUNCTION("""COMPUTED_VALUE"""),297.0)</f>
        <v>297</v>
      </c>
      <c r="B300" s="85"/>
      <c r="C300" s="85"/>
      <c r="D300" s="86"/>
      <c r="E300" s="88"/>
      <c r="F300" s="85"/>
      <c r="G300" s="86"/>
      <c r="H300" s="85"/>
      <c r="I300" s="85"/>
      <c r="J300" s="85"/>
      <c r="K300" s="85"/>
      <c r="L300" s="85"/>
      <c r="M300" s="85" t="str">
        <f>IFERROR(__xludf.DUMMYFUNCTION("""COMPUTED_VALUE"""),"ü")</f>
        <v>ü</v>
      </c>
      <c r="N300" s="85"/>
      <c r="O300" s="85"/>
      <c r="P300" s="85" t="str">
        <f>IFERROR(__xludf.DUMMYFUNCTION("""COMPUTED_VALUE"""),"MUCSPA63022PSIND")</f>
        <v>MUCSPA63022PSIND</v>
      </c>
      <c r="Q300" s="85" t="str">
        <f>IFERROR(__xludf.DUMMYFUNCTION("""COMPUTED_VALUE"""),"MUC DADYA MULYA")</f>
        <v>MUC DADYA MULYA</v>
      </c>
      <c r="R300" s="85" t="str">
        <f>IFERROR(__xludf.DUMMYFUNCTION("""COMPUTED_VALUE"""),"MUC DADYA MULYA")</f>
        <v>MUC DADYA MULYA</v>
      </c>
      <c r="S300" s="85" t="str">
        <f>IFERROR(__xludf.DUMMYFUNCTION("""COMPUTED_VALUE"""),"DARMOKO")</f>
        <v>DARMOKO</v>
      </c>
      <c r="T300" s="85" t="str">
        <f>IFERROR(__xludf.DUMMYFUNCTION("""COMPUTED_VALUE"""),"RT 001 RW 001 KLUMPRIT SUROJOYO CANDIMULYO KAB. MAGELANG")</f>
        <v>RT 001 RW 001 KLUMPRIT SUROJOYO CANDIMULYO KAB. MAGELANG</v>
      </c>
      <c r="U300" s="85" t="str">
        <f>IFERROR(__xludf.DUMMYFUNCTION("""COMPUTED_VALUE"""),"RT 001 RW 001 KLUMPRIT")</f>
        <v>RT 001 RW 001 KLUMPRIT</v>
      </c>
      <c r="V300" s="85"/>
      <c r="W300" s="85" t="str">
        <f>IFERROR(__xludf.DUMMYFUNCTION("""COMPUTED_VALUE"""),"SUROJOYO")</f>
        <v>SUROJOYO</v>
      </c>
      <c r="X300" s="85" t="str">
        <f>IFERROR(__xludf.DUMMYFUNCTION("""COMPUTED_VALUE"""),"CANDIMULYO")</f>
        <v>CANDIMULYO</v>
      </c>
      <c r="Y300" s="85" t="str">
        <f>IFERROR(__xludf.DUMMYFUNCTION("""COMPUTED_VALUE"""),"KAB MAGELANG")</f>
        <v>KAB MAGELANG</v>
      </c>
      <c r="Z300" s="85" t="str">
        <f>IFERROR(__xludf.DUMMYFUNCTION("""COMPUTED_VALUE"""),"JAWA TENGAH")</f>
        <v>JAWA TENGAH</v>
      </c>
      <c r="AA300" s="85" t="str">
        <f>IFERROR(__xludf.DUMMYFUNCTION("""COMPUTED_VALUE"""),"56191")</f>
        <v>56191</v>
      </c>
      <c r="AB300" s="85" t="str">
        <f>IFERROR(__xludf.DUMMYFUNCTION("""COMPUTED_VALUE"""),"3308152007640002")</f>
        <v>3308152007640002</v>
      </c>
      <c r="AC300" s="85" t="str">
        <f>IFERROR(__xludf.DUMMYFUNCTION("""COMPUTED_VALUE"""),"47.808.478.3-524.000")</f>
        <v>47.808.478.3-524.000</v>
      </c>
      <c r="AD300" s="85" t="str">
        <f>IFERROR(__xludf.DUMMYFUNCTION("""COMPUTED_VALUE"""),"CUM - PS -AMIA")</f>
        <v>CUM - PS -AMIA</v>
      </c>
      <c r="AE300" s="85" t="str">
        <f>IFERROR(__xludf.DUMMYFUNCTION("""COMPUTED_VALUE"""),"SUB AMILDA POS")</f>
        <v>SUB AMILDA POS</v>
      </c>
      <c r="AF300" s="85" t="str">
        <f>IFERROR(__xludf.DUMMYFUNCTION("""COMPUTED_VALUE"""),"085743813422")</f>
        <v>085743813422</v>
      </c>
      <c r="AG300" s="85"/>
      <c r="AH300" s="85" t="str">
        <f>IFERROR(__xludf.DUMMYFUNCTION("""COMPUTED_VALUE"""),"mbahdarmoko@gmail.com")</f>
        <v>mbahdarmoko@gmail.com</v>
      </c>
      <c r="AI300" s="85" t="str">
        <f>IFERROR(__xludf.DUMMYFUNCTION("""COMPUTED_VALUE"""),"56591S1")</f>
        <v>56591S1</v>
      </c>
      <c r="AJ300" s="85" t="str">
        <f>IFERROR(__xludf.DUMMYFUNCTION("""COMPUTED_VALUE"""),"67190bff409471a8a90041cc")</f>
        <v>67190bff409471a8a90041cc</v>
      </c>
      <c r="AK300" s="85" t="str">
        <f>IFERROR(__xludf.DUMMYFUNCTION("""COMPUTED_VALUE"""),"dm56591s1")</f>
        <v>dm56591s1</v>
      </c>
      <c r="AL300" s="85" t="str">
        <f>IFERROR(__xludf.DUMMYFUNCTION("""COMPUTED_VALUE"""),"#56591Pos")</f>
        <v>#56591Pos</v>
      </c>
      <c r="AM300" s="85" t="str">
        <f>IFERROR(__xludf.DUMMYFUNCTION("""COMPUTED_VALUE"""),"KANTOR REGIONAL IV SEMARANG 50004")</f>
        <v>KANTOR REGIONAL IV SEMARANG 50004</v>
      </c>
      <c r="AN300" s="85" t="str">
        <f>IFERROR(__xludf.DUMMYFUNCTION("""COMPUTED_VALUE"""),"KC MAGELANG 56100")</f>
        <v>KC MAGELANG 56100</v>
      </c>
      <c r="AO300" s="85" t="str">
        <f>IFERROR(__xludf.DUMMYFUNCTION("""COMPUTED_VALUE"""),"0810240105683")</f>
        <v>0810240105683</v>
      </c>
      <c r="AP300" s="85" t="str">
        <f>IFERROR(__xludf.DUMMYFUNCTION("""COMPUTED_VALUE"""),"08102401056830001")</f>
        <v>08102401056830001</v>
      </c>
      <c r="AQ300" s="93"/>
      <c r="AR300" s="85"/>
      <c r="AS300" s="85"/>
      <c r="AT300" s="85" t="str">
        <f>IFERROR(__xludf.DUMMYFUNCTION("""COMPUTED_VALUE"""),"-7.493420")</f>
        <v>-7.493420</v>
      </c>
      <c r="AU300" s="85" t="str">
        <f>IFERROR(__xludf.DUMMYFUNCTION("""COMPUTED_VALUE"""),"110.272772")</f>
        <v>110.272772</v>
      </c>
      <c r="AV300" s="85"/>
      <c r="AW300" s="85"/>
      <c r="AX300" s="85" t="str">
        <f>IFERROR(__xludf.DUMMYFUNCTION("""COMPUTED_VALUE"""),"ü")</f>
        <v>ü</v>
      </c>
      <c r="AY300" s="85"/>
      <c r="AZ300" s="85"/>
      <c r="BA300" s="85"/>
      <c r="BB300" s="85"/>
      <c r="BC300" s="85"/>
      <c r="BD300" s="85"/>
      <c r="BE300" s="85"/>
      <c r="BF300" s="85"/>
      <c r="BG300" s="85"/>
      <c r="BH300" s="85"/>
      <c r="BI300" s="85"/>
      <c r="BJ300" s="85"/>
      <c r="BK300" s="85"/>
      <c r="BL300" s="85"/>
      <c r="BM300" s="85"/>
      <c r="BN300" s="85"/>
      <c r="BO300" s="85"/>
      <c r="BP300" s="85"/>
      <c r="BQ300" s="85"/>
      <c r="BR300" s="85"/>
      <c r="BS300" s="85"/>
      <c r="BT300" s="85"/>
      <c r="BU300" s="85"/>
      <c r="BV300" s="85"/>
      <c r="BW300" s="85"/>
      <c r="BX300" s="85"/>
      <c r="BY300" s="85"/>
      <c r="BZ300" s="85"/>
      <c r="CA300" s="85"/>
      <c r="CB300" s="85"/>
      <c r="CC300" s="85"/>
      <c r="CD300" s="85"/>
      <c r="CE300" s="85"/>
      <c r="CF300" s="85"/>
      <c r="CG300" s="85"/>
      <c r="CH300" s="85"/>
      <c r="CI300" s="85"/>
      <c r="CJ300" s="85"/>
      <c r="CK300" s="2"/>
    </row>
    <row r="301" ht="12.75" customHeight="1">
      <c r="A301" s="80">
        <f>IFERROR(__xludf.DUMMYFUNCTION("""COMPUTED_VALUE"""),298.0)</f>
        <v>298</v>
      </c>
      <c r="B301" s="80"/>
      <c r="C301" s="80"/>
      <c r="D301" s="81"/>
      <c r="E301" s="82"/>
      <c r="F301" s="80"/>
      <c r="G301" s="81"/>
      <c r="H301" s="80"/>
      <c r="I301" s="80"/>
      <c r="J301" s="80"/>
      <c r="K301" s="80"/>
      <c r="L301" s="80"/>
      <c r="M301" s="80" t="str">
        <f>IFERROR(__xludf.DUMMYFUNCTION("""COMPUTED_VALUE"""),"ü")</f>
        <v>ü</v>
      </c>
      <c r="N301" s="80"/>
      <c r="O301" s="80"/>
      <c r="P301" s="80" t="str">
        <f>IFERROR(__xludf.DUMMYFUNCTION("""COMPUTED_VALUE"""),"MUCSPA63023PSIND")</f>
        <v>MUCSPA63023PSIND</v>
      </c>
      <c r="Q301" s="80" t="str">
        <f>IFERROR(__xludf.DUMMYFUNCTION("""COMPUTED_VALUE"""),"MUC ATA")</f>
        <v>MUC ATA</v>
      </c>
      <c r="R301" s="80" t="str">
        <f>IFERROR(__xludf.DUMMYFUNCTION("""COMPUTED_VALUE"""),"MUC ATA")</f>
        <v>MUC ATA</v>
      </c>
      <c r="S301" s="80" t="str">
        <f>IFERROR(__xludf.DUMMYFUNCTION("""COMPUTED_VALUE"""),"SUCIATI")</f>
        <v>SUCIATI</v>
      </c>
      <c r="T301" s="80" t="str">
        <f>IFERROR(__xludf.DUMMYFUNCTION("""COMPUTED_VALUE"""),"DEBONG WETAN RT.02 RW.02")</f>
        <v>DEBONG WETAN RT.02 RW.02</v>
      </c>
      <c r="U301" s="80" t="str">
        <f>IFERROR(__xludf.DUMMYFUNCTION("""COMPUTED_VALUE"""),"JL. CANDI ONGKEK RT.02 RW.02")</f>
        <v>JL. CANDI ONGKEK RT.02 RW.02</v>
      </c>
      <c r="V301" s="80"/>
      <c r="W301" s="80" t="str">
        <f>IFERROR(__xludf.DUMMYFUNCTION("""COMPUTED_VALUE"""),"DEBONG WETAN")</f>
        <v>DEBONG WETAN</v>
      </c>
      <c r="X301" s="80" t="str">
        <f>IFERROR(__xludf.DUMMYFUNCTION("""COMPUTED_VALUE"""),"DUKUHTURI")</f>
        <v>DUKUHTURI</v>
      </c>
      <c r="Y301" s="80" t="str">
        <f>IFERROR(__xludf.DUMMYFUNCTION("""COMPUTED_VALUE"""),"KAB TEGAL")</f>
        <v>KAB TEGAL</v>
      </c>
      <c r="Z301" s="80" t="str">
        <f>IFERROR(__xludf.DUMMYFUNCTION("""COMPUTED_VALUE"""),"JAWA TENGAH")</f>
        <v>JAWA TENGAH</v>
      </c>
      <c r="AA301" s="80" t="str">
        <f>IFERROR(__xludf.DUMMYFUNCTION("""COMPUTED_VALUE"""),"52192")</f>
        <v>52192</v>
      </c>
      <c r="AB301" s="80" t="str">
        <f>IFERROR(__xludf.DUMMYFUNCTION("""COMPUTED_VALUE"""),"3328135512750001")</f>
        <v>3328135512750001</v>
      </c>
      <c r="AC301" s="80" t="str">
        <f>IFERROR(__xludf.DUMMYFUNCTION("""COMPUTED_VALUE"""),"07.686.092.3-501.000")</f>
        <v>07.686.092.3-501.000</v>
      </c>
      <c r="AD301" s="80" t="str">
        <f>IFERROR(__xludf.DUMMYFUNCTION("""COMPUTED_VALUE"""),"CUM - PS - SYF")</f>
        <v>CUM - PS - SYF</v>
      </c>
      <c r="AE301" s="80" t="str">
        <f>IFERROR(__xludf.DUMMYFUNCTION("""COMPUTED_VALUE"""),"SUB SYAIFULLOH POS")</f>
        <v>SUB SYAIFULLOH POS</v>
      </c>
      <c r="AF301" s="80" t="str">
        <f>IFERROR(__xludf.DUMMYFUNCTION("""COMPUTED_VALUE"""),"0895383134826")</f>
        <v>0895383134826</v>
      </c>
      <c r="AG301" s="80"/>
      <c r="AH301" s="80" t="str">
        <f>IFERROR(__xludf.DUMMYFUNCTION("""COMPUTED_VALUE"""),"balindasucitaarisanti@gmail.com")</f>
        <v>balindasucitaarisanti@gmail.com</v>
      </c>
      <c r="AI301" s="80" t="str">
        <f>IFERROR(__xludf.DUMMYFUNCTION("""COMPUTED_VALUE"""),"52492S6")</f>
        <v>52492S6</v>
      </c>
      <c r="AJ301" s="80" t="str">
        <f>IFERROR(__xludf.DUMMYFUNCTION("""COMPUTED_VALUE"""),"670dd71ba0ce1e92bc003f8a")</f>
        <v>670dd71ba0ce1e92bc003f8a</v>
      </c>
      <c r="AK301" s="80" t="str">
        <f>IFERROR(__xludf.DUMMYFUNCTION("""COMPUTED_VALUE"""),"dm52492s6")</f>
        <v>dm52492s6</v>
      </c>
      <c r="AL301" s="80" t="str">
        <f>IFERROR(__xludf.DUMMYFUNCTION("""COMPUTED_VALUE"""),"#52492Pos")</f>
        <v>#52492Pos</v>
      </c>
      <c r="AM301" s="80" t="str">
        <f>IFERROR(__xludf.DUMMYFUNCTION("""COMPUTED_VALUE"""),"KANTOR REGIONAL IV SEMARANG 50004")</f>
        <v>KANTOR REGIONAL IV SEMARANG 50004</v>
      </c>
      <c r="AN301" s="80" t="str">
        <f>IFERROR(__xludf.DUMMYFUNCTION("""COMPUTED_VALUE"""),"KC TEGAL 52100")</f>
        <v>KC TEGAL 52100</v>
      </c>
      <c r="AO301" s="80" t="str">
        <f>IFERROR(__xludf.DUMMYFUNCTION("""COMPUTED_VALUE"""),"1010240023039")</f>
        <v>1010240023039</v>
      </c>
      <c r="AP301" s="80" t="str">
        <f>IFERROR(__xludf.DUMMYFUNCTION("""COMPUTED_VALUE"""),"10102400230390001")</f>
        <v>10102400230390001</v>
      </c>
      <c r="AQ301" s="83"/>
      <c r="AR301" s="80"/>
      <c r="AS301" s="80"/>
      <c r="AT301" s="80" t="str">
        <f>IFERROR(__xludf.DUMMYFUNCTION("""COMPUTED_VALUE"""),"-6.898514 ")</f>
        <v>-6.898514 </v>
      </c>
      <c r="AU301" s="80" t="str">
        <f>IFERROR(__xludf.DUMMYFUNCTION("""COMPUTED_VALUE"""),"109.128882")</f>
        <v>109.128882</v>
      </c>
      <c r="AV301" s="80"/>
      <c r="AW301" s="80"/>
      <c r="AX301" s="80" t="str">
        <f>IFERROR(__xludf.DUMMYFUNCTION("""COMPUTED_VALUE"""),"ü")</f>
        <v>ü</v>
      </c>
      <c r="AY301" s="80"/>
      <c r="AZ301" s="80"/>
      <c r="BA301" s="80"/>
      <c r="BB301" s="80"/>
      <c r="BC301" s="80"/>
      <c r="BD301" s="80"/>
      <c r="BE301" s="80"/>
      <c r="BF301" s="80"/>
      <c r="BG301" s="80"/>
      <c r="BH301" s="80"/>
      <c r="BI301" s="80"/>
      <c r="BJ301" s="80"/>
      <c r="BK301" s="80"/>
      <c r="BL301" s="80"/>
      <c r="BM301" s="80"/>
      <c r="BN301" s="80"/>
      <c r="BO301" s="80"/>
      <c r="BP301" s="80"/>
      <c r="BQ301" s="80"/>
      <c r="BR301" s="80"/>
      <c r="BS301" s="80"/>
      <c r="BT301" s="80"/>
      <c r="BU301" s="80"/>
      <c r="BV301" s="80"/>
      <c r="BW301" s="80"/>
      <c r="BX301" s="80"/>
      <c r="BY301" s="80"/>
      <c r="BZ301" s="80"/>
      <c r="CA301" s="80"/>
      <c r="CB301" s="80"/>
      <c r="CC301" s="80"/>
      <c r="CD301" s="80"/>
      <c r="CE301" s="80"/>
      <c r="CF301" s="80"/>
      <c r="CG301" s="80"/>
      <c r="CH301" s="80"/>
      <c r="CI301" s="80"/>
      <c r="CJ301" s="80"/>
      <c r="CK301" s="2"/>
    </row>
    <row r="302" ht="12.75" customHeight="1">
      <c r="A302" s="85">
        <f>IFERROR(__xludf.DUMMYFUNCTION("""COMPUTED_VALUE"""),299.0)</f>
        <v>299</v>
      </c>
      <c r="B302" s="85"/>
      <c r="C302" s="85"/>
      <c r="D302" s="86"/>
      <c r="E302" s="88"/>
      <c r="F302" s="85"/>
      <c r="G302" s="86"/>
      <c r="H302" s="85"/>
      <c r="I302" s="85"/>
      <c r="J302" s="85"/>
      <c r="K302" s="85"/>
      <c r="L302" s="85"/>
      <c r="M302" s="85" t="str">
        <f>IFERROR(__xludf.DUMMYFUNCTION("""COMPUTED_VALUE"""),"ü")</f>
        <v>ü</v>
      </c>
      <c r="N302" s="85"/>
      <c r="O302" s="85"/>
      <c r="P302" s="85" t="str">
        <f>IFERROR(__xludf.DUMMYFUNCTION("""COMPUTED_VALUE"""),"53BSPA09050JBEEN")</f>
        <v>53BSPA09050JBEEN</v>
      </c>
      <c r="Q302" s="85" t="str">
        <f>IFERROR(__xludf.DUMMYFUNCTION("""COMPUTED_VALUE"""),"MUC Warung Sila Ekspedisi")</f>
        <v>MUC Warung Sila Ekspedisi</v>
      </c>
      <c r="R302" s="85" t="str">
        <f>IFERROR(__xludf.DUMMYFUNCTION("""COMPUTED_VALUE"""),"MUC Warung Sila Ekspedisi")</f>
        <v>MUC Warung Sila Ekspedisi</v>
      </c>
      <c r="S302" s="85" t="str">
        <f>IFERROR(__xludf.DUMMYFUNCTION("""COMPUTED_VALUE"""),"INZRA BENYAMIN")</f>
        <v>INZRA BENYAMIN</v>
      </c>
      <c r="T302" s="85" t="str">
        <f>IFERROR(__xludf.DUMMYFUNCTION("""COMPUTED_VALUE"""),"JL. TEBET BARAT VII E/14")</f>
        <v>JL. TEBET BARAT VII E/14</v>
      </c>
      <c r="U302" s="85" t="str">
        <f>IFERROR(__xludf.DUMMYFUNCTION("""COMPUTED_VALUE"""),"Jl. Warung Sila No.111, RT.11 RW.04")</f>
        <v>Jl. Warung Sila No.111, RT.11 RW.04</v>
      </c>
      <c r="V302" s="85"/>
      <c r="W302" s="85" t="str">
        <f>IFERROR(__xludf.DUMMYFUNCTION("""COMPUTED_VALUE"""),"CIGANJUR")</f>
        <v>CIGANJUR</v>
      </c>
      <c r="X302" s="85" t="str">
        <f>IFERROR(__xludf.DUMMYFUNCTION("""COMPUTED_VALUE"""),"JAGAKARSA")</f>
        <v>JAGAKARSA</v>
      </c>
      <c r="Y302" s="85" t="str">
        <f>IFERROR(__xludf.DUMMYFUNCTION("""COMPUTED_VALUE"""),"JAKARTA SELATAN")</f>
        <v>JAKARTA SELATAN</v>
      </c>
      <c r="Z302" s="85" t="str">
        <f>IFERROR(__xludf.DUMMYFUNCTION("""COMPUTED_VALUE"""),"DKI JAKARTA")</f>
        <v>DKI JAKARTA</v>
      </c>
      <c r="AA302" s="85" t="str">
        <f>IFERROR(__xludf.DUMMYFUNCTION("""COMPUTED_VALUE"""),"12630")</f>
        <v>12630</v>
      </c>
      <c r="AB302" s="85" t="str">
        <f>IFERROR(__xludf.DUMMYFUNCTION("""COMPUTED_VALUE"""),"3174011202690009")</f>
        <v>3174011202690009</v>
      </c>
      <c r="AC302" s="85" t="str">
        <f>IFERROR(__xludf.DUMMYFUNCTION("""COMPUTED_VALUE"""),"07.931.331.8-015.000")</f>
        <v>07.931.331.8-015.000</v>
      </c>
      <c r="AD302" s="85" t="str">
        <f>IFERROR(__xludf.DUMMYFUNCTION("""COMPUTED_VALUE"""),"CUM - EEN")</f>
        <v>CUM - EEN</v>
      </c>
      <c r="AE302" s="85" t="str">
        <f>IFERROR(__xludf.DUMMYFUNCTION("""COMPUTED_VALUE"""),"SUB EEN")</f>
        <v>SUB EEN</v>
      </c>
      <c r="AF302" s="85" t="str">
        <f>IFERROR(__xludf.DUMMYFUNCTION("""COMPUTED_VALUE"""),"085693915852")</f>
        <v>085693915852</v>
      </c>
      <c r="AG302" s="85"/>
      <c r="AH302" s="85" t="str">
        <f>IFERROR(__xludf.DUMMYFUNCTION("""COMPUTED_VALUE"""),"inzra@yahoo.com")</f>
        <v>inzra@yahoo.com</v>
      </c>
      <c r="AI302" s="85"/>
      <c r="AJ302" s="85"/>
      <c r="AK302" s="85"/>
      <c r="AL302" s="85"/>
      <c r="AM302" s="85" t="str">
        <f>IFERROR(__xludf.DUMMYFUNCTION("""COMPUTED_VALUE"""),"KANTOR REGIONAL II JAKARTA 10004")</f>
        <v>KANTOR REGIONAL II JAKARTA 10004</v>
      </c>
      <c r="AN302" s="85" t="str">
        <f>IFERROR(__xludf.DUMMYFUNCTION("""COMPUTED_VALUE"""),"KCU JAKARTAFLORA 12000")</f>
        <v>KCU JAKARTAFLORA 12000</v>
      </c>
      <c r="AO302" s="85" t="str">
        <f>IFERROR(__xludf.DUMMYFUNCTION("""COMPUTED_VALUE"""),"0220001412815")</f>
        <v>0220001412815</v>
      </c>
      <c r="AP302" s="85" t="str">
        <f>IFERROR(__xludf.DUMMYFUNCTION("""COMPUTED_VALUE"""),"02200014128150001")</f>
        <v>02200014128150001</v>
      </c>
      <c r="AQ302" s="93"/>
      <c r="AR302" s="85"/>
      <c r="AS302" s="85"/>
      <c r="AT302" s="85" t="str">
        <f>IFERROR(__xludf.DUMMYFUNCTION("""COMPUTED_VALUE"""),"-6.346037")</f>
        <v>-6.346037</v>
      </c>
      <c r="AU302" s="85" t="str">
        <f>IFERROR(__xludf.DUMMYFUNCTION("""COMPUTED_VALUE"""),"106.8113157")</f>
        <v>106.8113157</v>
      </c>
      <c r="AV302" s="85"/>
      <c r="AW302" s="85"/>
      <c r="AX302" s="85" t="str">
        <f>IFERROR(__xludf.DUMMYFUNCTION("""COMPUTED_VALUE"""),"ü")</f>
        <v>ü</v>
      </c>
      <c r="AY302" s="85"/>
      <c r="AZ302" s="85"/>
      <c r="BA302" s="85"/>
      <c r="BB302" s="85"/>
      <c r="BC302" s="85"/>
      <c r="BD302" s="85"/>
      <c r="BE302" s="85"/>
      <c r="BF302" s="85"/>
      <c r="BG302" s="85"/>
      <c r="BH302" s="85"/>
      <c r="BI302" s="85"/>
      <c r="BJ302" s="85"/>
      <c r="BK302" s="85"/>
      <c r="BL302" s="85"/>
      <c r="BM302" s="85"/>
      <c r="BN302" s="85"/>
      <c r="BO302" s="85"/>
      <c r="BP302" s="85"/>
      <c r="BQ302" s="85"/>
      <c r="BR302" s="85"/>
      <c r="BS302" s="85"/>
      <c r="BT302" s="85"/>
      <c r="BU302" s="85"/>
      <c r="BV302" s="85"/>
      <c r="BW302" s="85"/>
      <c r="BX302" s="85"/>
      <c r="BY302" s="85"/>
      <c r="BZ302" s="85"/>
      <c r="CA302" s="85"/>
      <c r="CB302" s="85"/>
      <c r="CC302" s="85"/>
      <c r="CD302" s="85"/>
      <c r="CE302" s="85"/>
      <c r="CF302" s="85"/>
      <c r="CG302" s="85"/>
      <c r="CH302" s="85"/>
      <c r="CI302" s="85"/>
      <c r="CJ302" s="85"/>
      <c r="CK302" s="2"/>
    </row>
    <row r="303" ht="12.75" customHeight="1">
      <c r="A303" s="80">
        <f>IFERROR(__xludf.DUMMYFUNCTION("""COMPUTED_VALUE"""),300.0)</f>
        <v>300</v>
      </c>
      <c r="B303" s="80"/>
      <c r="C303" s="80"/>
      <c r="D303" s="81"/>
      <c r="E303" s="82"/>
      <c r="F303" s="80"/>
      <c r="G303" s="81"/>
      <c r="H303" s="80"/>
      <c r="I303" s="80"/>
      <c r="J303" s="80"/>
      <c r="K303" s="80"/>
      <c r="L303" s="80"/>
      <c r="M303" s="80" t="str">
        <f>IFERROR(__xludf.DUMMYFUNCTION("""COMPUTED_VALUE"""),"ü")</f>
        <v>ü</v>
      </c>
      <c r="N303" s="80"/>
      <c r="O303" s="80"/>
      <c r="P303" s="80" t="str">
        <f>IFERROR(__xludf.DUMMYFUNCTION("""COMPUTED_VALUE"""),"MUCSPA63024PSIND")</f>
        <v>MUCSPA63024PSIND</v>
      </c>
      <c r="Q303" s="80" t="str">
        <f>IFERROR(__xludf.DUMMYFUNCTION("""COMPUTED_VALUE"""),"MUC DOP PANGERAN JAYAKARTA")</f>
        <v>MUC DOP PANGERAN JAYAKARTA</v>
      </c>
      <c r="R303" s="80" t="str">
        <f>IFERROR(__xludf.DUMMYFUNCTION("""COMPUTED_VALUE"""),"MUC DOP PANGERAN JAYAKARTA")</f>
        <v>MUC DOP PANGERAN JAYAKARTA</v>
      </c>
      <c r="S303" s="80" t="str">
        <f>IFERROR(__xludf.DUMMYFUNCTION("""COMPUTED_VALUE"""),"NOVITA RANI DJUNAEDI")</f>
        <v>NOVITA RANI DJUNAEDI</v>
      </c>
      <c r="T303" s="80" t="str">
        <f>IFERROR(__xludf.DUMMYFUNCTION("""COMPUTED_VALUE"""),"IMPERIAL GADING CLUSTER NEW ST. PIETER E3/17")</f>
        <v>IMPERIAL GADING CLUSTER NEW ST. PIETER E3/17</v>
      </c>
      <c r="U303" s="80" t="str">
        <f>IFERROR(__xludf.DUMMYFUNCTION("""COMPUTED_VALUE"""),"PANGERAN JAYAKARTA 63E")</f>
        <v>PANGERAN JAYAKARTA 63E</v>
      </c>
      <c r="V303" s="80"/>
      <c r="W303" s="80" t="str">
        <f>IFERROR(__xludf.DUMMYFUNCTION("""COMPUTED_VALUE"""),"PINANGSIA")</f>
        <v>PINANGSIA</v>
      </c>
      <c r="X303" s="80" t="str">
        <f>IFERROR(__xludf.DUMMYFUNCTION("""COMPUTED_VALUE"""),"TAMAN SARI")</f>
        <v>TAMAN SARI</v>
      </c>
      <c r="Y303" s="80" t="str">
        <f>IFERROR(__xludf.DUMMYFUNCTION("""COMPUTED_VALUE"""),"JAKARTA BARAT")</f>
        <v>JAKARTA BARAT</v>
      </c>
      <c r="Z303" s="80" t="str">
        <f>IFERROR(__xludf.DUMMYFUNCTION("""COMPUTED_VALUE"""),"DKI JAKARTA")</f>
        <v>DKI JAKARTA</v>
      </c>
      <c r="AA303" s="80" t="str">
        <f>IFERROR(__xludf.DUMMYFUNCTION("""COMPUTED_VALUE"""),"11110")</f>
        <v>11110</v>
      </c>
      <c r="AB303" s="80" t="str">
        <f>IFERROR(__xludf.DUMMYFUNCTION("""COMPUTED_VALUE"""),"3173044305880001")</f>
        <v>3173044305880001</v>
      </c>
      <c r="AC303" s="80" t="str">
        <f>IFERROR(__xludf.DUMMYFUNCTION("""COMPUTED_VALUE"""),"34.553.852.4-033.000")</f>
        <v>34.553.852.4-033.000</v>
      </c>
      <c r="AD303" s="80" t="str">
        <f>IFERROR(__xludf.DUMMYFUNCTION("""COMPUTED_VALUE"""),"CUM - PS - SUSU")</f>
        <v>CUM - PS - SUSU</v>
      </c>
      <c r="AE303" s="80" t="str">
        <f>IFERROR(__xludf.DUMMYFUNCTION("""COMPUTED_VALUE"""),"SUB SUGENG POS")</f>
        <v>SUB SUGENG POS</v>
      </c>
      <c r="AF303" s="80" t="str">
        <f>IFERROR(__xludf.DUMMYFUNCTION("""COMPUTED_VALUE"""),"081804011166")</f>
        <v>081804011166</v>
      </c>
      <c r="AG303" s="80"/>
      <c r="AH303" s="80" t="str">
        <f>IFERROR(__xludf.DUMMYFUNCTION("""COMPUTED_VALUE"""),"xoxovivirani@gmail.com")</f>
        <v>xoxovivirani@gmail.com</v>
      </c>
      <c r="AI303" s="80"/>
      <c r="AJ303" s="80"/>
      <c r="AK303" s="80"/>
      <c r="AL303" s="80"/>
      <c r="AM303" s="80" t="str">
        <f>IFERROR(__xludf.DUMMYFUNCTION("""COMPUTED_VALUE"""),"KANTOR REGIONAL II JAKARTA 10004")</f>
        <v>KANTOR REGIONAL II JAKARTA 10004</v>
      </c>
      <c r="AN303" s="80" t="str">
        <f>IFERROR(__xludf.DUMMYFUNCTION("""COMPUTED_VALUE"""),"KCU OCEANIA 11000")</f>
        <v>KCU OCEANIA 11000</v>
      </c>
      <c r="AO303" s="80" t="str">
        <f>IFERROR(__xludf.DUMMYFUNCTION("""COMPUTED_VALUE"""),"1809220033512")</f>
        <v>1809220033512</v>
      </c>
      <c r="AP303" s="80" t="str">
        <f>IFERROR(__xludf.DUMMYFUNCTION("""COMPUTED_VALUE"""),"18092200335120001")</f>
        <v>18092200335120001</v>
      </c>
      <c r="AQ303" s="83"/>
      <c r="AR303" s="80"/>
      <c r="AS303" s="80"/>
      <c r="AT303" s="80" t="str">
        <f>IFERROR(__xludf.DUMMYFUNCTION("""COMPUTED_VALUE"""),"-6.139950")</f>
        <v>-6.139950</v>
      </c>
      <c r="AU303" s="80" t="str">
        <f>IFERROR(__xludf.DUMMYFUNCTION("""COMPUTED_VALUE"""),"106.821586")</f>
        <v>106.821586</v>
      </c>
      <c r="AV303" s="80"/>
      <c r="AW303" s="80"/>
      <c r="AX303" s="80" t="str">
        <f>IFERROR(__xludf.DUMMYFUNCTION("""COMPUTED_VALUE"""),"ü")</f>
        <v>ü</v>
      </c>
      <c r="AY303" s="80"/>
      <c r="AZ303" s="80"/>
      <c r="BA303" s="80"/>
      <c r="BB303" s="80"/>
      <c r="BC303" s="80"/>
      <c r="BD303" s="80"/>
      <c r="BE303" s="80"/>
      <c r="BF303" s="80"/>
      <c r="BG303" s="80"/>
      <c r="BH303" s="80"/>
      <c r="BI303" s="80"/>
      <c r="BJ303" s="80"/>
      <c r="BK303" s="80"/>
      <c r="BL303" s="80"/>
      <c r="BM303" s="80"/>
      <c r="BN303" s="80"/>
      <c r="BO303" s="80"/>
      <c r="BP303" s="80"/>
      <c r="BQ303" s="80"/>
      <c r="BR303" s="80"/>
      <c r="BS303" s="80"/>
      <c r="BT303" s="80"/>
      <c r="BU303" s="80"/>
      <c r="BV303" s="80"/>
      <c r="BW303" s="80"/>
      <c r="BX303" s="80"/>
      <c r="BY303" s="80"/>
      <c r="BZ303" s="80"/>
      <c r="CA303" s="80"/>
      <c r="CB303" s="80"/>
      <c r="CC303" s="80"/>
      <c r="CD303" s="80"/>
      <c r="CE303" s="80"/>
      <c r="CF303" s="80"/>
      <c r="CG303" s="80"/>
      <c r="CH303" s="80"/>
      <c r="CI303" s="80"/>
      <c r="CJ303" s="80"/>
      <c r="CK303" s="2"/>
    </row>
    <row r="304" ht="14.25" customHeight="1">
      <c r="A304" s="85">
        <f>IFERROR(__xludf.DUMMYFUNCTION("""COMPUTED_VALUE"""),301.0)</f>
        <v>301</v>
      </c>
      <c r="B304" s="85"/>
      <c r="C304" s="85"/>
      <c r="D304" s="86"/>
      <c r="E304" s="88"/>
      <c r="F304" s="85"/>
      <c r="G304" s="86"/>
      <c r="H304" s="85"/>
      <c r="I304" s="85"/>
      <c r="J304" s="85"/>
      <c r="K304" s="85"/>
      <c r="L304" s="85"/>
      <c r="M304" s="85" t="str">
        <f>IFERROR(__xludf.DUMMYFUNCTION("""COMPUTED_VALUE"""),"ü")</f>
        <v>ü</v>
      </c>
      <c r="N304" s="85"/>
      <c r="O304" s="85"/>
      <c r="P304" s="85" t="str">
        <f>IFERROR(__xludf.DUMMYFUNCTION("""COMPUTED_VALUE"""),"53BSPA09051JBEEN")</f>
        <v>53BSPA09051JBEEN</v>
      </c>
      <c r="Q304" s="85" t="str">
        <f>IFERROR(__xludf.DUMMYFUNCTION("""COMPUTED_VALUE"""),"MUC Mielva Express")</f>
        <v>MUC Mielva Express</v>
      </c>
      <c r="R304" s="85" t="str">
        <f>IFERROR(__xludf.DUMMYFUNCTION("""COMPUTED_VALUE"""),"MUC Mielva Express")</f>
        <v>MUC Mielva Express</v>
      </c>
      <c r="S304" s="85" t="str">
        <f>IFERROR(__xludf.DUMMYFUNCTION("""COMPUTED_VALUE"""),"HELFANI ")</f>
        <v>HELFANI </v>
      </c>
      <c r="T304" s="85" t="str">
        <f>IFERROR(__xludf.DUMMYFUNCTION("""COMPUTED_VALUE"""),"PERUM VILLA PELANGI BLOK F-II RT.05 RW.02")</f>
        <v>PERUM VILLA PELANGI BLOK F-II RT.05 RW.02</v>
      </c>
      <c r="U304" s="85" t="str">
        <f>IFERROR(__xludf.DUMMYFUNCTION("""COMPUTED_VALUE"""),"Jl Penegak Raya blok IV no 24A")</f>
        <v>Jl Penegak Raya blok IV no 24A</v>
      </c>
      <c r="V304" s="85"/>
      <c r="W304" s="85" t="str">
        <f>IFERROR(__xludf.DUMMYFUNCTION("""COMPUTED_VALUE"""),"PENGASINAN")</f>
        <v>PENGASINAN</v>
      </c>
      <c r="X304" s="85" t="str">
        <f>IFERROR(__xludf.DUMMYFUNCTION("""COMPUTED_VALUE"""),"RAWA LUMBU")</f>
        <v>RAWA LUMBU</v>
      </c>
      <c r="Y304" s="85" t="str">
        <f>IFERROR(__xludf.DUMMYFUNCTION("""COMPUTED_VALUE"""),"BEKASI")</f>
        <v>BEKASI</v>
      </c>
      <c r="Z304" s="85" t="str">
        <f>IFERROR(__xludf.DUMMYFUNCTION("""COMPUTED_VALUE"""),"JAWA BARAT")</f>
        <v>JAWA BARAT</v>
      </c>
      <c r="AA304" s="85" t="str">
        <f>IFERROR(__xludf.DUMMYFUNCTION("""COMPUTED_VALUE"""),"17115")</f>
        <v>17115</v>
      </c>
      <c r="AB304" s="85" t="str">
        <f>IFERROR(__xludf.DUMMYFUNCTION("""COMPUTED_VALUE"""),"3175040410651001")</f>
        <v>3175040410651001</v>
      </c>
      <c r="AC304" s="85" t="str">
        <f>IFERROR(__xludf.DUMMYFUNCTION("""COMPUTED_VALUE"""),"26.446.396.9-432.000")</f>
        <v>26.446.396.9-432.000</v>
      </c>
      <c r="AD304" s="85" t="str">
        <f>IFERROR(__xludf.DUMMYFUNCTION("""COMPUTED_VALUE"""),"CUM - EEN")</f>
        <v>CUM - EEN</v>
      </c>
      <c r="AE304" s="85" t="str">
        <f>IFERROR(__xludf.DUMMYFUNCTION("""COMPUTED_VALUE"""),"SUB EEN")</f>
        <v>SUB EEN</v>
      </c>
      <c r="AF304" s="85" t="str">
        <f>IFERROR(__xludf.DUMMYFUNCTION("""COMPUTED_VALUE"""),"08817422549")</f>
        <v>08817422549</v>
      </c>
      <c r="AG304" s="85"/>
      <c r="AH304" s="85" t="str">
        <f>IFERROR(__xludf.DUMMYFUNCTION("""COMPUTED_VALUE"""),"ippro.kam11@gmail.com")</f>
        <v>ippro.kam11@gmail.com</v>
      </c>
      <c r="AI304" s="85" t="str">
        <f>IFERROR(__xludf.DUMMYFUNCTION("""COMPUTED_VALUE"""),"17175S2")</f>
        <v>17175S2</v>
      </c>
      <c r="AJ304" s="85" t="str">
        <f>IFERROR(__xludf.DUMMYFUNCTION("""COMPUTED_VALUE"""),"670e15b797c6f7f8bb025918")</f>
        <v>670e15b797c6f7f8bb025918</v>
      </c>
      <c r="AK304" s="85" t="str">
        <f>IFERROR(__xludf.DUMMYFUNCTION("""COMPUTED_VALUE"""),"dm17175s2")</f>
        <v>dm17175s2</v>
      </c>
      <c r="AL304" s="85" t="str">
        <f>IFERROR(__xludf.DUMMYFUNCTION("""COMPUTED_VALUE"""),"#17175Pos")</f>
        <v>#17175Pos</v>
      </c>
      <c r="AM304" s="85" t="str">
        <f>IFERROR(__xludf.DUMMYFUNCTION("""COMPUTED_VALUE"""),"KANTOR REGIONAL II JAKARTA 10004")</f>
        <v>KANTOR REGIONAL II JAKARTA 10004</v>
      </c>
      <c r="AN304" s="85" t="str">
        <f>IFERROR(__xludf.DUMMYFUNCTION("""COMPUTED_VALUE"""),"KCU BEKASI 17000")</f>
        <v>KCU BEKASI 17000</v>
      </c>
      <c r="AO304" s="85" t="str">
        <f>IFERROR(__xludf.DUMMYFUNCTION("""COMPUTED_VALUE"""),"1110240091859")</f>
        <v>1110240091859</v>
      </c>
      <c r="AP304" s="85" t="str">
        <f>IFERROR(__xludf.DUMMYFUNCTION("""COMPUTED_VALUE"""),"11102400918590001")</f>
        <v>11102400918590001</v>
      </c>
      <c r="AQ304" s="93"/>
      <c r="AR304" s="85"/>
      <c r="AS304" s="85"/>
      <c r="AT304" s="85" t="str">
        <f>IFERROR(__xludf.DUMMYFUNCTION("""COMPUTED_VALUE"""),"-6.273711")</f>
        <v>-6.273711</v>
      </c>
      <c r="AU304" s="85" t="str">
        <f>IFERROR(__xludf.DUMMYFUNCTION("""COMPUTED_VALUE"""),"107.001501")</f>
        <v>107.001501</v>
      </c>
      <c r="AV304" s="85"/>
      <c r="AW304" s="85"/>
      <c r="AX304" s="85" t="str">
        <f>IFERROR(__xludf.DUMMYFUNCTION("""COMPUTED_VALUE"""),"ü")</f>
        <v>ü</v>
      </c>
      <c r="AY304" s="85"/>
      <c r="AZ304" s="85"/>
      <c r="BA304" s="85"/>
      <c r="BB304" s="85"/>
      <c r="BC304" s="85"/>
      <c r="BD304" s="85"/>
      <c r="BE304" s="85"/>
      <c r="BF304" s="85"/>
      <c r="BG304" s="85"/>
      <c r="BH304" s="85"/>
      <c r="BI304" s="85"/>
      <c r="BJ304" s="85"/>
      <c r="BK304" s="85"/>
      <c r="BL304" s="85"/>
      <c r="BM304" s="85"/>
      <c r="BN304" s="85"/>
      <c r="BO304" s="85"/>
      <c r="BP304" s="85"/>
      <c r="BQ304" s="85"/>
      <c r="BR304" s="85"/>
      <c r="BS304" s="85"/>
      <c r="BT304" s="85"/>
      <c r="BU304" s="85"/>
      <c r="BV304" s="85"/>
      <c r="BW304" s="85"/>
      <c r="BX304" s="85"/>
      <c r="BY304" s="85"/>
      <c r="BZ304" s="85"/>
      <c r="CA304" s="85"/>
      <c r="CB304" s="85"/>
      <c r="CC304" s="85"/>
      <c r="CD304" s="85"/>
      <c r="CE304" s="85"/>
      <c r="CF304" s="85"/>
      <c r="CG304" s="85"/>
      <c r="CH304" s="85"/>
      <c r="CI304" s="85"/>
      <c r="CJ304" s="85"/>
      <c r="CK304" s="2"/>
    </row>
    <row r="305" ht="12.75" customHeight="1">
      <c r="A305" s="80">
        <f>IFERROR(__xludf.DUMMYFUNCTION("""COMPUTED_VALUE"""),302.0)</f>
        <v>302</v>
      </c>
      <c r="B305" s="80"/>
      <c r="C305" s="80"/>
      <c r="D305" s="81"/>
      <c r="E305" s="82"/>
      <c r="F305" s="80"/>
      <c r="G305" s="81"/>
      <c r="H305" s="80"/>
      <c r="I305" s="80"/>
      <c r="J305" s="80"/>
      <c r="K305" s="80"/>
      <c r="L305" s="80"/>
      <c r="M305" s="80" t="str">
        <f>IFERROR(__xludf.DUMMYFUNCTION("""COMPUTED_VALUE"""),"ü")</f>
        <v>ü</v>
      </c>
      <c r="N305" s="80"/>
      <c r="O305" s="80"/>
      <c r="P305" s="80" t="str">
        <f>IFERROR(__xludf.DUMMYFUNCTION("""COMPUTED_VALUE"""),"MUCSPA63025PSIND")</f>
        <v>MUCSPA63025PSIND</v>
      </c>
      <c r="Q305" s="80" t="str">
        <f>IFERROR(__xludf.DUMMYFUNCTION("""COMPUTED_VALUE"""),"MUC Blossom Citra")</f>
        <v>MUC Blossom Citra</v>
      </c>
      <c r="R305" s="80" t="str">
        <f>IFERROR(__xludf.DUMMYFUNCTION("""COMPUTED_VALUE"""),"MUC Blossom Citra")</f>
        <v>MUC Blossom Citra</v>
      </c>
      <c r="S305" s="80" t="str">
        <f>IFERROR(__xludf.DUMMYFUNCTION("""COMPUTED_VALUE"""),"SLAMET SUGIHARTO")</f>
        <v>SLAMET SUGIHARTO</v>
      </c>
      <c r="T305" s="80" t="str">
        <f>IFERROR(__xludf.DUMMYFUNCTION("""COMPUTED_VALUE"""),"Graha Gardenia I XG 01/07 ")</f>
        <v>Graha Gardenia I XG 01/07 </v>
      </c>
      <c r="U305" s="80" t="str">
        <f>IFERROR(__xludf.DUMMYFUNCTION("""COMPUTED_VALUE"""),"Ruko Blossom ville blok W 01/1 R, Citra Raya Tangerang")</f>
        <v>Ruko Blossom ville blok W 01/1 R, Citra Raya Tangerang</v>
      </c>
      <c r="V305" s="80"/>
      <c r="W305" s="80" t="str">
        <f>IFERROR(__xludf.DUMMYFUNCTION("""COMPUTED_VALUE"""),"MEKAR BAKTI")</f>
        <v>MEKAR BAKTI</v>
      </c>
      <c r="X305" s="80" t="str">
        <f>IFERROR(__xludf.DUMMYFUNCTION("""COMPUTED_VALUE"""),"PANONGAN")</f>
        <v>PANONGAN</v>
      </c>
      <c r="Y305" s="80" t="str">
        <f>IFERROR(__xludf.DUMMYFUNCTION("""COMPUTED_VALUE"""),"TANGERANG")</f>
        <v>TANGERANG</v>
      </c>
      <c r="Z305" s="80" t="str">
        <f>IFERROR(__xludf.DUMMYFUNCTION("""COMPUTED_VALUE"""),"BANTEN")</f>
        <v>BANTEN</v>
      </c>
      <c r="AA305" s="80" t="str">
        <f>IFERROR(__xludf.DUMMYFUNCTION("""COMPUTED_VALUE"""),"15710")</f>
        <v>15710</v>
      </c>
      <c r="AB305" s="80" t="str">
        <f>IFERROR(__xludf.DUMMYFUNCTION("""COMPUTED_VALUE"""),"3603191007680003")</f>
        <v>3603191007680003</v>
      </c>
      <c r="AC305" s="80" t="str">
        <f>IFERROR(__xludf.DUMMYFUNCTION("""COMPUTED_VALUE"""),"25.874.978.7-451.000")</f>
        <v>25.874.978.7-451.000</v>
      </c>
      <c r="AD305" s="80" t="str">
        <f>IFERROR(__xludf.DUMMYFUNCTION("""COMPUTED_VALUE"""),"CUM - PS - SUSU")</f>
        <v>CUM - PS - SUSU</v>
      </c>
      <c r="AE305" s="80" t="str">
        <f>IFERROR(__xludf.DUMMYFUNCTION("""COMPUTED_VALUE"""),"SUB SUGENG POS")</f>
        <v>SUB SUGENG POS</v>
      </c>
      <c r="AF305" s="80" t="str">
        <f>IFERROR(__xludf.DUMMYFUNCTION("""COMPUTED_VALUE"""),"081210881099")</f>
        <v>081210881099</v>
      </c>
      <c r="AG305" s="80"/>
      <c r="AH305" s="80" t="str">
        <f>IFERROR(__xludf.DUMMYFUNCTION("""COMPUTED_VALUE"""),"slametsugiharto88@gmail.com")</f>
        <v>slametsugiharto88@gmail.com</v>
      </c>
      <c r="AI305" s="80" t="str">
        <f>IFERROR(__xludf.DUMMYFUNCTION("""COMPUTED_VALUE"""),"15710S9")</f>
        <v>15710S9</v>
      </c>
      <c r="AJ305" s="80" t="str">
        <f>IFERROR(__xludf.DUMMYFUNCTION("""COMPUTED_VALUE"""),"671c9dd6355e71d34a010a5f")</f>
        <v>671c9dd6355e71d34a010a5f</v>
      </c>
      <c r="AK305" s="80" t="str">
        <f>IFERROR(__xludf.DUMMYFUNCTION("""COMPUTED_VALUE"""),"dm15710s9")</f>
        <v>dm15710s9</v>
      </c>
      <c r="AL305" s="80" t="str">
        <f>IFERROR(__xludf.DUMMYFUNCTION("""COMPUTED_VALUE"""),"#15710Pos")</f>
        <v>#15710Pos</v>
      </c>
      <c r="AM305" s="80" t="str">
        <f>IFERROR(__xludf.DUMMYFUNCTION("""COMPUTED_VALUE"""),"KANTOR REGIONAL II JAKARTA 10004")</f>
        <v>KANTOR REGIONAL II JAKARTA 10004</v>
      </c>
      <c r="AN305" s="80" t="str">
        <f>IFERROR(__xludf.DUMMYFUNCTION("""COMPUTED_VALUE"""),"KCU TANGERANG 15000")</f>
        <v>KCU TANGERANG 15000</v>
      </c>
      <c r="AO305" s="80" t="str">
        <f>IFERROR(__xludf.DUMMYFUNCTION("""COMPUTED_VALUE"""),"2001220018485 ")</f>
        <v>2001220018485 </v>
      </c>
      <c r="AP305" s="80" t="str">
        <f>IFERROR(__xludf.DUMMYFUNCTION("""COMPUTED_VALUE"""),"20012200184850001")</f>
        <v>20012200184850001</v>
      </c>
      <c r="AQ305" s="83"/>
      <c r="AR305" s="80"/>
      <c r="AS305" s="80"/>
      <c r="AT305" s="80" t="str">
        <f>IFERROR(__xludf.DUMMYFUNCTION("""COMPUTED_VALUE"""),"-6.251722")</f>
        <v>-6.251722</v>
      </c>
      <c r="AU305" s="80" t="str">
        <f>IFERROR(__xludf.DUMMYFUNCTION("""COMPUTED_VALUE"""),"106.519703")</f>
        <v>106.519703</v>
      </c>
      <c r="AV305" s="80"/>
      <c r="AW305" s="80"/>
      <c r="AX305" s="80" t="str">
        <f>IFERROR(__xludf.DUMMYFUNCTION("""COMPUTED_VALUE"""),"ü")</f>
        <v>ü</v>
      </c>
      <c r="AY305" s="80"/>
      <c r="AZ305" s="80"/>
      <c r="BA305" s="80"/>
      <c r="BB305" s="80"/>
      <c r="BC305" s="80"/>
      <c r="BD305" s="80"/>
      <c r="BE305" s="80"/>
      <c r="BF305" s="80"/>
      <c r="BG305" s="80"/>
      <c r="BH305" s="80"/>
      <c r="BI305" s="80"/>
      <c r="BJ305" s="80"/>
      <c r="BK305" s="80"/>
      <c r="BL305" s="80"/>
      <c r="BM305" s="80"/>
      <c r="BN305" s="80"/>
      <c r="BO305" s="80"/>
      <c r="BP305" s="80"/>
      <c r="BQ305" s="80"/>
      <c r="BR305" s="80"/>
      <c r="BS305" s="80"/>
      <c r="BT305" s="80"/>
      <c r="BU305" s="80"/>
      <c r="BV305" s="80"/>
      <c r="BW305" s="80"/>
      <c r="BX305" s="80"/>
      <c r="BY305" s="80"/>
      <c r="BZ305" s="80"/>
      <c r="CA305" s="80"/>
      <c r="CB305" s="80"/>
      <c r="CC305" s="80"/>
      <c r="CD305" s="80"/>
      <c r="CE305" s="80"/>
      <c r="CF305" s="80"/>
      <c r="CG305" s="80"/>
      <c r="CH305" s="80"/>
      <c r="CI305" s="80"/>
      <c r="CJ305" s="80"/>
      <c r="CK305" s="2"/>
    </row>
    <row r="306" ht="12.75" customHeight="1">
      <c r="A306" s="85">
        <f>IFERROR(__xludf.DUMMYFUNCTION("""COMPUTED_VALUE"""),303.0)</f>
        <v>303</v>
      </c>
      <c r="B306" s="85"/>
      <c r="C306" s="85"/>
      <c r="D306" s="86"/>
      <c r="E306" s="88"/>
      <c r="F306" s="85"/>
      <c r="G306" s="86"/>
      <c r="H306" s="85"/>
      <c r="I306" s="85"/>
      <c r="J306" s="85"/>
      <c r="K306" s="85"/>
      <c r="L306" s="85"/>
      <c r="M306" s="85" t="str">
        <f>IFERROR(__xludf.DUMMYFUNCTION("""COMPUTED_VALUE"""),"ü")</f>
        <v>ü</v>
      </c>
      <c r="N306" s="85"/>
      <c r="O306" s="85"/>
      <c r="P306" s="85" t="str">
        <f>IFERROR(__xludf.DUMMYFUNCTION("""COMPUTED_VALUE"""),"MUCSPA63026PSIND")</f>
        <v>MUCSPA63026PSIND</v>
      </c>
      <c r="Q306" s="85" t="str">
        <f>IFERROR(__xludf.DUMMYFUNCTION("""COMPUTED_VALUE"""),"MUC GERAI SARI BAHAGIA")</f>
        <v>MUC GERAI SARI BAHAGIA</v>
      </c>
      <c r="R306" s="85" t="str">
        <f>IFERROR(__xludf.DUMMYFUNCTION("""COMPUTED_VALUE"""),"MUC GERAI SARI BAHAGIA")</f>
        <v>MUC GERAI SARI BAHAGIA</v>
      </c>
      <c r="S306" s="85" t="str">
        <f>IFERROR(__xludf.DUMMYFUNCTION("""COMPUTED_VALUE"""),"SARI RABIATUL ADAWIYAH")</f>
        <v>SARI RABIATUL ADAWIYAH</v>
      </c>
      <c r="T306" s="85" t="str">
        <f>IFERROR(__xludf.DUMMYFUNCTION("""COMPUTED_VALUE"""),"JL. JEND. SUDIRMAN NO 56 RT.005 RW. 001")</f>
        <v>JL. JEND. SUDIRMAN NO 56 RT.005 RW. 001</v>
      </c>
      <c r="U306" s="85" t="str">
        <f>IFERROR(__xludf.DUMMYFUNCTION("""COMPUTED_VALUE"""),"JL. JEND. SUDIRMAN NO.41")</f>
        <v>JL. JEND. SUDIRMAN NO.41</v>
      </c>
      <c r="V306" s="85"/>
      <c r="W306" s="85" t="str">
        <f>IFERROR(__xludf.DUMMYFUNCTION("""COMPUTED_VALUE"""),"SLAWI KULON")</f>
        <v>SLAWI KULON</v>
      </c>
      <c r="X306" s="85" t="str">
        <f>IFERROR(__xludf.DUMMYFUNCTION("""COMPUTED_VALUE"""),"SLAWI")</f>
        <v>SLAWI</v>
      </c>
      <c r="Y306" s="85" t="str">
        <f>IFERROR(__xludf.DUMMYFUNCTION("""COMPUTED_VALUE"""),"KAB. TEGAL")</f>
        <v>KAB. TEGAL</v>
      </c>
      <c r="Z306" s="85" t="str">
        <f>IFERROR(__xludf.DUMMYFUNCTION("""COMPUTED_VALUE"""),"JAWA TENGAH")</f>
        <v>JAWA TENGAH</v>
      </c>
      <c r="AA306" s="85" t="str">
        <f>IFERROR(__xludf.DUMMYFUNCTION("""COMPUTED_VALUE"""),"52411")</f>
        <v>52411</v>
      </c>
      <c r="AB306" s="85" t="str">
        <f>IFERROR(__xludf.DUMMYFUNCTION("""COMPUTED_VALUE"""),"2171105304989007")</f>
        <v>2171105304989007</v>
      </c>
      <c r="AC306" s="85" t="str">
        <f>IFERROR(__xludf.DUMMYFUNCTION("""COMPUTED_VALUE"""),"75.485.770.4-215.000")</f>
        <v>75.485.770.4-215.000</v>
      </c>
      <c r="AD306" s="85" t="str">
        <f>IFERROR(__xludf.DUMMYFUNCTION("""COMPUTED_VALUE"""),"CUM - PS - SYF")</f>
        <v>CUM - PS - SYF</v>
      </c>
      <c r="AE306" s="85" t="str">
        <f>IFERROR(__xludf.DUMMYFUNCTION("""COMPUTED_VALUE"""),"SUB SYAIFULLOH POS")</f>
        <v>SUB SYAIFULLOH POS</v>
      </c>
      <c r="AF306" s="85" t="str">
        <f>IFERROR(__xludf.DUMMYFUNCTION("""COMPUTED_VALUE"""),"08159963636")</f>
        <v>08159963636</v>
      </c>
      <c r="AG306" s="85"/>
      <c r="AH306" s="85" t="str">
        <f>IFERROR(__xludf.DUMMYFUNCTION("""COMPUTED_VALUE"""),"ggwp.slawi@gmail.com")</f>
        <v>ggwp.slawi@gmail.com</v>
      </c>
      <c r="AI306" s="85" t="str">
        <f>IFERROR(__xludf.DUMMYFUNCTION("""COMPUTED_VALUE"""),"52419S2")</f>
        <v>52419S2</v>
      </c>
      <c r="AJ306" s="85" t="str">
        <f>IFERROR(__xludf.DUMMYFUNCTION("""COMPUTED_VALUE"""),"670fd0fafc7b8c52020c7f7b")</f>
        <v>670fd0fafc7b8c52020c7f7b</v>
      </c>
      <c r="AK306" s="85" t="str">
        <f>IFERROR(__xludf.DUMMYFUNCTION("""COMPUTED_VALUE"""),"dm52419s2")</f>
        <v>dm52419s2</v>
      </c>
      <c r="AL306" s="85" t="str">
        <f>IFERROR(__xludf.DUMMYFUNCTION("""COMPUTED_VALUE"""),"#52419Pos")</f>
        <v>#52419Pos</v>
      </c>
      <c r="AM306" s="85" t="str">
        <f>IFERROR(__xludf.DUMMYFUNCTION("""COMPUTED_VALUE"""),"KANTOR REGIONAL IV SEMARANG 50004")</f>
        <v>KANTOR REGIONAL IV SEMARANG 50004</v>
      </c>
      <c r="AN306" s="85" t="str">
        <f>IFERROR(__xludf.DUMMYFUNCTION("""COMPUTED_VALUE"""),"KC TEGAL 52100")</f>
        <v>KC TEGAL 52100</v>
      </c>
      <c r="AO306" s="85" t="str">
        <f>IFERROR(__xludf.DUMMYFUNCTION("""COMPUTED_VALUE"""),"0309240072217")</f>
        <v>0309240072217</v>
      </c>
      <c r="AP306" s="85" t="str">
        <f>IFERROR(__xludf.DUMMYFUNCTION("""COMPUTED_VALUE"""),"03092400722170002")</f>
        <v>03092400722170002</v>
      </c>
      <c r="AQ306" s="93"/>
      <c r="AR306" s="85"/>
      <c r="AS306" s="85"/>
      <c r="AT306" s="85" t="str">
        <f>IFERROR(__xludf.DUMMYFUNCTION("""COMPUTED_VALUE"""),"-6.986651")</f>
        <v>-6.986651</v>
      </c>
      <c r="AU306" s="85" t="str">
        <f>IFERROR(__xludf.DUMMYFUNCTION("""COMPUTED_VALUE"""),"109.140446")</f>
        <v>109.140446</v>
      </c>
      <c r="AV306" s="85"/>
      <c r="AW306" s="85"/>
      <c r="AX306" s="85" t="str">
        <f>IFERROR(__xludf.DUMMYFUNCTION("""COMPUTED_VALUE"""),"ü")</f>
        <v>ü</v>
      </c>
      <c r="AY306" s="85"/>
      <c r="AZ306" s="85"/>
      <c r="BA306" s="85"/>
      <c r="BB306" s="85"/>
      <c r="BC306" s="85"/>
      <c r="BD306" s="85"/>
      <c r="BE306" s="85"/>
      <c r="BF306" s="85"/>
      <c r="BG306" s="85"/>
      <c r="BH306" s="85"/>
      <c r="BI306" s="85"/>
      <c r="BJ306" s="85"/>
      <c r="BK306" s="85"/>
      <c r="BL306" s="85"/>
      <c r="BM306" s="85"/>
      <c r="BN306" s="85"/>
      <c r="BO306" s="85"/>
      <c r="BP306" s="85"/>
      <c r="BQ306" s="85"/>
      <c r="BR306" s="85"/>
      <c r="BS306" s="85"/>
      <c r="BT306" s="85"/>
      <c r="BU306" s="85"/>
      <c r="BV306" s="85"/>
      <c r="BW306" s="85"/>
      <c r="BX306" s="85"/>
      <c r="BY306" s="85"/>
      <c r="BZ306" s="85"/>
      <c r="CA306" s="85"/>
      <c r="CB306" s="85"/>
      <c r="CC306" s="85"/>
      <c r="CD306" s="85"/>
      <c r="CE306" s="85"/>
      <c r="CF306" s="85"/>
      <c r="CG306" s="85"/>
      <c r="CH306" s="85"/>
      <c r="CI306" s="85"/>
      <c r="CJ306" s="85"/>
      <c r="CK306" s="2"/>
    </row>
    <row r="307" ht="12.75" customHeight="1">
      <c r="A307" s="80">
        <f>IFERROR(__xludf.DUMMYFUNCTION("""COMPUTED_VALUE"""),304.0)</f>
        <v>304</v>
      </c>
      <c r="B307" s="80"/>
      <c r="C307" s="80"/>
      <c r="D307" s="81"/>
      <c r="E307" s="82"/>
      <c r="F307" s="80"/>
      <c r="G307" s="81"/>
      <c r="H307" s="80"/>
      <c r="I307" s="80"/>
      <c r="J307" s="80"/>
      <c r="K307" s="80"/>
      <c r="L307" s="80"/>
      <c r="M307" s="80" t="str">
        <f>IFERROR(__xludf.DUMMYFUNCTION("""COMPUTED_VALUE"""),"ü")</f>
        <v>ü</v>
      </c>
      <c r="N307" s="80"/>
      <c r="O307" s="80"/>
      <c r="P307" s="80" t="str">
        <f>IFERROR(__xludf.DUMMYFUNCTION("""COMPUTED_VALUE"""),"53BSPA09053JBEEN")</f>
        <v>53BSPA09053JBEEN</v>
      </c>
      <c r="Q307" s="80" t="str">
        <f>IFERROR(__xludf.DUMMYFUNCTION("""COMPUTED_VALUE"""),"MUC Zegen Express")</f>
        <v>MUC Zegen Express</v>
      </c>
      <c r="R307" s="80" t="str">
        <f>IFERROR(__xludf.DUMMYFUNCTION("""COMPUTED_VALUE"""),"MUC Zegen Express")</f>
        <v>MUC Zegen Express</v>
      </c>
      <c r="S307" s="80" t="str">
        <f>IFERROR(__xludf.DUMMYFUNCTION("""COMPUTED_VALUE"""),"ROBBY SUCIPTO")</f>
        <v>ROBBY SUCIPTO</v>
      </c>
      <c r="T307" s="80" t="str">
        <f>IFERROR(__xludf.DUMMYFUNCTION("""COMPUTED_VALUE"""),"KOPO MAS REGENCY BLOK G-31 RT.002 RW.001")</f>
        <v>KOPO MAS REGENCY BLOK G-31 RT.002 RW.001</v>
      </c>
      <c r="U307" s="80" t="str">
        <f>IFERROR(__xludf.DUMMYFUNCTION("""COMPUTED_VALUE"""),"Jalan Raya Sayuran No.11")</f>
        <v>Jalan Raya Sayuran No.11</v>
      </c>
      <c r="V307" s="80"/>
      <c r="W307" s="80" t="str">
        <f>IFERROR(__xludf.DUMMYFUNCTION("""COMPUTED_VALUE"""),"CANGKUANG KULON")</f>
        <v>CANGKUANG KULON</v>
      </c>
      <c r="X307" s="80" t="str">
        <f>IFERROR(__xludf.DUMMYFUNCTION("""COMPUTED_VALUE"""),"DAYEUHKOLOT")</f>
        <v>DAYEUHKOLOT</v>
      </c>
      <c r="Y307" s="80" t="str">
        <f>IFERROR(__xludf.DUMMYFUNCTION("""COMPUTED_VALUE"""),"KAB. BANDUNG")</f>
        <v>KAB. BANDUNG</v>
      </c>
      <c r="Z307" s="80" t="str">
        <f>IFERROR(__xludf.DUMMYFUNCTION("""COMPUTED_VALUE"""),"JAWA BARAT")</f>
        <v>JAWA BARAT</v>
      </c>
      <c r="AA307" s="80" t="str">
        <f>IFERROR(__xludf.DUMMYFUNCTION("""COMPUTED_VALUE"""),"40239")</f>
        <v>40239</v>
      </c>
      <c r="AB307" s="80" t="str">
        <f>IFERROR(__xludf.DUMMYFUNCTION("""COMPUTED_VALUE"""),"3374073107810002")</f>
        <v>3374073107810002</v>
      </c>
      <c r="AC307" s="80" t="str">
        <f>IFERROR(__xludf.DUMMYFUNCTION("""COMPUTED_VALUE"""),"88.780.812.9-504.000")</f>
        <v>88.780.812.9-504.000</v>
      </c>
      <c r="AD307" s="80" t="str">
        <f>IFERROR(__xludf.DUMMYFUNCTION("""COMPUTED_VALUE"""),"CUM - EEN")</f>
        <v>CUM - EEN</v>
      </c>
      <c r="AE307" s="80" t="str">
        <f>IFERROR(__xludf.DUMMYFUNCTION("""COMPUTED_VALUE"""),"SUB EEN")</f>
        <v>SUB EEN</v>
      </c>
      <c r="AF307" s="80" t="str">
        <f>IFERROR(__xludf.DUMMYFUNCTION("""COMPUTED_VALUE"""),"0811908055")</f>
        <v>0811908055</v>
      </c>
      <c r="AG307" s="80"/>
      <c r="AH307" s="80" t="str">
        <f>IFERROR(__xludf.DUMMYFUNCTION("""COMPUTED_VALUE"""),"robbi_moing@yahoo.com")</f>
        <v>robbi_moing@yahoo.com</v>
      </c>
      <c r="AI307" s="80" t="str">
        <f>IFERROR(__xludf.DUMMYFUNCTION("""COMPUTED_VALUE"""),"40353S7")</f>
        <v>40353S7</v>
      </c>
      <c r="AJ307" s="80" t="str">
        <f>IFERROR(__xludf.DUMMYFUNCTION("""COMPUTED_VALUE"""),"67131c07d77a29955a06e23e")</f>
        <v>67131c07d77a29955a06e23e</v>
      </c>
      <c r="AK307" s="80" t="str">
        <f>IFERROR(__xludf.DUMMYFUNCTION("""COMPUTED_VALUE"""),"dm30353s7")</f>
        <v>dm30353s7</v>
      </c>
      <c r="AL307" s="80" t="str">
        <f>IFERROR(__xludf.DUMMYFUNCTION("""COMPUTED_VALUE"""),"#40353Pos")</f>
        <v>#40353Pos</v>
      </c>
      <c r="AM307" s="80" t="str">
        <f>IFERROR(__xludf.DUMMYFUNCTION("""COMPUTED_VALUE"""),"KANTOR REGIONAL III BANDUNG 40004")</f>
        <v>KANTOR REGIONAL III BANDUNG 40004</v>
      </c>
      <c r="AN307" s="80" t="str">
        <f>IFERROR(__xludf.DUMMYFUNCTION("""COMPUTED_VALUE"""),"KC SOREANG 40900")</f>
        <v>KC SOREANG 40900</v>
      </c>
      <c r="AO307" s="80" t="str">
        <f>IFERROR(__xludf.DUMMYFUNCTION("""COMPUTED_VALUE"""),"1510240113948")</f>
        <v>1510240113948</v>
      </c>
      <c r="AP307" s="80" t="str">
        <f>IFERROR(__xludf.DUMMYFUNCTION("""COMPUTED_VALUE"""),"15102401139480001")</f>
        <v>15102401139480001</v>
      </c>
      <c r="AQ307" s="83"/>
      <c r="AR307" s="80"/>
      <c r="AS307" s="80"/>
      <c r="AT307" s="80" t="str">
        <f>IFERROR(__xludf.DUMMYFUNCTION("""COMPUTED_VALUE"""),"-6.973959")</f>
        <v>-6.973959</v>
      </c>
      <c r="AU307" s="80" t="str">
        <f>IFERROR(__xludf.DUMMYFUNCTION("""COMPUTED_VALUE"""),"107.590583")</f>
        <v>107.590583</v>
      </c>
      <c r="AV307" s="80"/>
      <c r="AW307" s="80"/>
      <c r="AX307" s="80" t="str">
        <f>IFERROR(__xludf.DUMMYFUNCTION("""COMPUTED_VALUE"""),"ü")</f>
        <v>ü</v>
      </c>
      <c r="AY307" s="80"/>
      <c r="AZ307" s="80"/>
      <c r="BA307" s="80"/>
      <c r="BB307" s="80"/>
      <c r="BC307" s="80"/>
      <c r="BD307" s="80"/>
      <c r="BE307" s="80"/>
      <c r="BF307" s="80"/>
      <c r="BG307" s="80"/>
      <c r="BH307" s="80"/>
      <c r="BI307" s="80"/>
      <c r="BJ307" s="80"/>
      <c r="BK307" s="80"/>
      <c r="BL307" s="80"/>
      <c r="BM307" s="80"/>
      <c r="BN307" s="80"/>
      <c r="BO307" s="80"/>
      <c r="BP307" s="80"/>
      <c r="BQ307" s="80"/>
      <c r="BR307" s="80"/>
      <c r="BS307" s="80"/>
      <c r="BT307" s="80"/>
      <c r="BU307" s="80"/>
      <c r="BV307" s="80"/>
      <c r="BW307" s="80"/>
      <c r="BX307" s="80"/>
      <c r="BY307" s="80"/>
      <c r="BZ307" s="80"/>
      <c r="CA307" s="80"/>
      <c r="CB307" s="80"/>
      <c r="CC307" s="80"/>
      <c r="CD307" s="80"/>
      <c r="CE307" s="80"/>
      <c r="CF307" s="80"/>
      <c r="CG307" s="80"/>
      <c r="CH307" s="80"/>
      <c r="CI307" s="80"/>
      <c r="CJ307" s="80"/>
      <c r="CK307" s="2"/>
    </row>
    <row r="308" ht="12.75" customHeight="1">
      <c r="A308" s="85">
        <f>IFERROR(__xludf.DUMMYFUNCTION("""COMPUTED_VALUE"""),305.0)</f>
        <v>305</v>
      </c>
      <c r="B308" s="85"/>
      <c r="C308" s="85"/>
      <c r="D308" s="86"/>
      <c r="E308" s="88"/>
      <c r="F308" s="85"/>
      <c r="G308" s="86"/>
      <c r="H308" s="85"/>
      <c r="I308" s="85"/>
      <c r="J308" s="85"/>
      <c r="K308" s="85"/>
      <c r="L308" s="85"/>
      <c r="M308" s="85" t="str">
        <f>IFERROR(__xludf.DUMMYFUNCTION("""COMPUTED_VALUE"""),"ü")</f>
        <v>ü</v>
      </c>
      <c r="N308" s="85"/>
      <c r="O308" s="85"/>
      <c r="P308" s="85" t="str">
        <f>IFERROR(__xludf.DUMMYFUNCTION("""COMPUTED_VALUE"""),"52BCUM02224BMSPR")</f>
        <v>52BCUM02224BMSPR</v>
      </c>
      <c r="Q308" s="85" t="str">
        <f>IFERROR(__xludf.DUMMYFUNCTION("""COMPUTED_VALUE"""),"MUC MAESTRO ")</f>
        <v>MUC MAESTRO </v>
      </c>
      <c r="R308" s="85" t="str">
        <f>IFERROR(__xludf.DUMMYFUNCTION("""COMPUTED_VALUE"""),"MUC MAESTRO")</f>
        <v>MUC MAESTRO</v>
      </c>
      <c r="S308" s="85" t="str">
        <f>IFERROR(__xludf.DUMMYFUNCTION("""COMPUTED_VALUE"""),"PARNO")</f>
        <v>PARNO</v>
      </c>
      <c r="T308" s="85" t="str">
        <f>IFERROR(__xludf.DUMMYFUNCTION("""COMPUTED_VALUE"""),"KEMUTUG KIDUL RT 003 RW 002")</f>
        <v>KEMUTUG KIDUL RT 003 RW 002</v>
      </c>
      <c r="U308" s="85" t="str">
        <f>IFERROR(__xludf.DUMMYFUNCTION("""COMPUTED_VALUE"""),"JL. LAKSDA YOS SUDARSO GANG SMK MUHAMMADIYAH 1 PURWOKERTO NO. 29 RT 002 RW 001")</f>
        <v>JL. LAKSDA YOS SUDARSO GANG SMK MUHAMMADIYAH 1 PURWOKERTO NO. 29 RT 002 RW 001</v>
      </c>
      <c r="V308" s="85"/>
      <c r="W308" s="85" t="str">
        <f>IFERROR(__xludf.DUMMYFUNCTION("""COMPUTED_VALUE"""),"KEBANARAN")</f>
        <v>KEBANARAN</v>
      </c>
      <c r="X308" s="85" t="str">
        <f>IFERROR(__xludf.DUMMYFUNCTION("""COMPUTED_VALUE"""),"PURWOKERTO BARAT ")</f>
        <v>PURWOKERTO BARAT </v>
      </c>
      <c r="Y308" s="85" t="str">
        <f>IFERROR(__xludf.DUMMYFUNCTION("""COMPUTED_VALUE"""),"PURWOKERTO ")</f>
        <v>PURWOKERTO </v>
      </c>
      <c r="Z308" s="85" t="str">
        <f>IFERROR(__xludf.DUMMYFUNCTION("""COMPUTED_VALUE"""),"JAWA TENGAH")</f>
        <v>JAWA TENGAH</v>
      </c>
      <c r="AA308" s="85" t="str">
        <f>IFERROR(__xludf.DUMMYFUNCTION("""COMPUTED_VALUE"""),"53132")</f>
        <v>53132</v>
      </c>
      <c r="AB308" s="85" t="str">
        <f>IFERROR(__xludf.DUMMYFUNCTION("""COMPUTED_VALUE"""),"3302222710840002")</f>
        <v>3302222710840002</v>
      </c>
      <c r="AC308" s="85" t="str">
        <f>IFERROR(__xludf.DUMMYFUNCTION("""COMPUTED_VALUE"""),"68.835.407.5-521.000")</f>
        <v>68.835.407.5-521.000</v>
      </c>
      <c r="AD308" s="85" t="str">
        <f>IFERROR(__xludf.DUMMYFUNCTION("""COMPUTED_VALUE"""),"CUM - KRS")</f>
        <v>CUM - KRS</v>
      </c>
      <c r="AE308" s="85" t="str">
        <f>IFERROR(__xludf.DUMMYFUNCTION("""COMPUTED_VALUE"""),"SUB KARSINI")</f>
        <v>SUB KARSINI</v>
      </c>
      <c r="AF308" s="85" t="str">
        <f>IFERROR(__xludf.DUMMYFUNCTION("""COMPUTED_VALUE"""),"087737024555")</f>
        <v>087737024555</v>
      </c>
      <c r="AG308" s="85"/>
      <c r="AH308" s="85" t="str">
        <f>IFERROR(__xludf.DUMMYFUNCTION("""COMPUTED_VALUE"""),"zackcom805@gmail.com")</f>
        <v>zackcom805@gmail.com</v>
      </c>
      <c r="AI308" s="85" t="str">
        <f>IFERROR(__xludf.DUMMYFUNCTION("""COMPUTED_VALUE"""),"53136S4")</f>
        <v>53136S4</v>
      </c>
      <c r="AJ308" s="85" t="str">
        <f>IFERROR(__xludf.DUMMYFUNCTION("""COMPUTED_VALUE"""),"6718ff166f290b23a805f95e")</f>
        <v>6718ff166f290b23a805f95e</v>
      </c>
      <c r="AK308" s="85" t="str">
        <f>IFERROR(__xludf.DUMMYFUNCTION("""COMPUTED_VALUE"""),"dm53136s4")</f>
        <v>dm53136s4</v>
      </c>
      <c r="AL308" s="85" t="str">
        <f>IFERROR(__xludf.DUMMYFUNCTION("""COMPUTED_VALUE"""),"#53136Pos")</f>
        <v>#53136Pos</v>
      </c>
      <c r="AM308" s="85" t="str">
        <f>IFERROR(__xludf.DUMMYFUNCTION("""COMPUTED_VALUE"""),"KANTOR REGIONAL IV SEMARANG 50004")</f>
        <v>KANTOR REGIONAL IV SEMARANG 50004</v>
      </c>
      <c r="AN308" s="85" t="str">
        <f>IFERROR(__xludf.DUMMYFUNCTION("""COMPUTED_VALUE"""),"KCU PURWOKERTO 53100")</f>
        <v>KCU PURWOKERTO 53100</v>
      </c>
      <c r="AO308" s="85" t="str">
        <f>IFERROR(__xludf.DUMMYFUNCTION("""COMPUTED_VALUE"""),"1287000230099")</f>
        <v>1287000230099</v>
      </c>
      <c r="AP308" s="85" t="str">
        <f>IFERROR(__xludf.DUMMYFUNCTION("""COMPUTED_VALUE"""),"12870002300990001")</f>
        <v>12870002300990001</v>
      </c>
      <c r="AQ308" s="93"/>
      <c r="AR308" s="85"/>
      <c r="AS308" s="85"/>
      <c r="AT308" s="85" t="str">
        <f>IFERROR(__xludf.DUMMYFUNCTION("""COMPUTED_VALUE"""),"-7.4206634")</f>
        <v>-7.4206634</v>
      </c>
      <c r="AU308" s="85" t="str">
        <f>IFERROR(__xludf.DUMMYFUNCTION("""COMPUTED_VALUE"""),"109.2030711")</f>
        <v>109.2030711</v>
      </c>
      <c r="AV308" s="85"/>
      <c r="AW308" s="85"/>
      <c r="AX308" s="85" t="str">
        <f>IFERROR(__xludf.DUMMYFUNCTION("""COMPUTED_VALUE"""),"ü")</f>
        <v>ü</v>
      </c>
      <c r="AY308" s="85"/>
      <c r="AZ308" s="85"/>
      <c r="BA308" s="85"/>
      <c r="BB308" s="85"/>
      <c r="BC308" s="85"/>
      <c r="BD308" s="85"/>
      <c r="BE308" s="85"/>
      <c r="BF308" s="85"/>
      <c r="BG308" s="85"/>
      <c r="BH308" s="85"/>
      <c r="BI308" s="85"/>
      <c r="BJ308" s="85"/>
      <c r="BK308" s="85"/>
      <c r="BL308" s="85"/>
      <c r="BM308" s="85"/>
      <c r="BN308" s="85"/>
      <c r="BO308" s="85"/>
      <c r="BP308" s="85"/>
      <c r="BQ308" s="85"/>
      <c r="BR308" s="85"/>
      <c r="BS308" s="85"/>
      <c r="BT308" s="85"/>
      <c r="BU308" s="85"/>
      <c r="BV308" s="85"/>
      <c r="BW308" s="85"/>
      <c r="BX308" s="85"/>
      <c r="BY308" s="85"/>
      <c r="BZ308" s="85"/>
      <c r="CA308" s="85"/>
      <c r="CB308" s="85"/>
      <c r="CC308" s="85"/>
      <c r="CD308" s="85"/>
      <c r="CE308" s="85"/>
      <c r="CF308" s="85"/>
      <c r="CG308" s="85"/>
      <c r="CH308" s="85"/>
      <c r="CI308" s="85"/>
      <c r="CJ308" s="85"/>
      <c r="CK308" s="2"/>
    </row>
    <row r="309" ht="12.75" customHeight="1">
      <c r="A309" s="80">
        <f>IFERROR(__xludf.DUMMYFUNCTION("""COMPUTED_VALUE"""),306.0)</f>
        <v>306</v>
      </c>
      <c r="B309" s="80"/>
      <c r="C309" s="80"/>
      <c r="D309" s="81"/>
      <c r="E309" s="82"/>
      <c r="F309" s="80"/>
      <c r="G309" s="81"/>
      <c r="H309" s="80"/>
      <c r="I309" s="80"/>
      <c r="J309" s="80"/>
      <c r="K309" s="80"/>
      <c r="L309" s="80"/>
      <c r="M309" s="80" t="str">
        <f>IFERROR(__xludf.DUMMYFUNCTION("""COMPUTED_VALUE"""),"ü")</f>
        <v>ü</v>
      </c>
      <c r="N309" s="80"/>
      <c r="O309" s="80"/>
      <c r="P309" s="80" t="str">
        <f>IFERROR(__xludf.DUMMYFUNCTION("""COMPUTED_VALUE"""),"53BSPA04777JBKTK")</f>
        <v>53BSPA04777JBKTK</v>
      </c>
      <c r="Q309" s="80" t="str">
        <f>IFERROR(__xludf.DUMMYFUNCTION("""COMPUTED_VALUE"""),"MUC DS Infinite Express")</f>
        <v>MUC DS Infinite Express</v>
      </c>
      <c r="R309" s="80" t="str">
        <f>IFERROR(__xludf.DUMMYFUNCTION("""COMPUTED_VALUE"""),"MUC DS Infinite Express")</f>
        <v>MUC DS Infinite Express</v>
      </c>
      <c r="S309" s="80" t="str">
        <f>IFERROR(__xludf.DUMMYFUNCTION("""COMPUTED_VALUE"""),"MUHAMMAD DAFFA DASILVA MARDHIANA")</f>
        <v>MUHAMMAD DAFFA DASILVA MARDHIANA</v>
      </c>
      <c r="T309" s="80" t="str">
        <f>IFERROR(__xludf.DUMMYFUNCTION("""COMPUTED_VALUE"""),"JL. SUKAASIH RAYA NO.50 RT.003 RW.007")</f>
        <v>JL. SUKAASIH RAYA NO.50 RT.003 RW.007</v>
      </c>
      <c r="U309" s="80" t="str">
        <f>IFERROR(__xludf.DUMMYFUNCTION("""COMPUTED_VALUE"""),"JL. SUKAASIH RAYA NO.50 RT.003 RW.007")</f>
        <v>JL. SUKAASIH RAYA NO.50 RT.003 RW.007</v>
      </c>
      <c r="V309" s="80"/>
      <c r="W309" s="80" t="str">
        <f>IFERROR(__xludf.DUMMYFUNCTION("""COMPUTED_VALUE"""),"SINDANG JAYA")</f>
        <v>SINDANG JAYA</v>
      </c>
      <c r="X309" s="80" t="str">
        <f>IFERROR(__xludf.DUMMYFUNCTION("""COMPUTED_VALUE"""),"MANDALAJATI")</f>
        <v>MANDALAJATI</v>
      </c>
      <c r="Y309" s="80" t="str">
        <f>IFERROR(__xludf.DUMMYFUNCTION("""COMPUTED_VALUE"""),"KOTA BANDUNG")</f>
        <v>KOTA BANDUNG</v>
      </c>
      <c r="Z309" s="80" t="str">
        <f>IFERROR(__xludf.DUMMYFUNCTION("""COMPUTED_VALUE"""),"JAWA BARAT")</f>
        <v>JAWA BARAT</v>
      </c>
      <c r="AA309" s="80" t="str">
        <f>IFERROR(__xludf.DUMMYFUNCTION("""COMPUTED_VALUE"""),"40293")</f>
        <v>40293</v>
      </c>
      <c r="AB309" s="80" t="str">
        <f>IFERROR(__xludf.DUMMYFUNCTION("""COMPUTED_VALUE"""),"3273300103010002")</f>
        <v>3273300103010002</v>
      </c>
      <c r="AC309" s="80" t="str">
        <f>IFERROR(__xludf.DUMMYFUNCTION("""COMPUTED_VALUE"""),"62.474.425.6-429.000")</f>
        <v>62.474.425.6-429.000</v>
      </c>
      <c r="AD309" s="80" t="str">
        <f>IFERROR(__xludf.DUMMYFUNCTION("""COMPUTED_VALUE"""),"CUM - KTK")</f>
        <v>CUM - KTK</v>
      </c>
      <c r="AE309" s="80" t="str">
        <f>IFERROR(__xludf.DUMMYFUNCTION("""COMPUTED_VALUE"""),"SUB KARTIKA")</f>
        <v>SUB KARTIKA</v>
      </c>
      <c r="AF309" s="80" t="str">
        <f>IFERROR(__xludf.DUMMYFUNCTION("""COMPUTED_VALUE"""),"08986114351")</f>
        <v>08986114351</v>
      </c>
      <c r="AG309" s="80"/>
      <c r="AH309" s="80" t="str">
        <f>IFERROR(__xludf.DUMMYFUNCTION("""COMPUTED_VALUE"""),"daffadasilva01@gmail.com")</f>
        <v>daffadasilva01@gmail.com</v>
      </c>
      <c r="AI309" s="80" t="str">
        <f>IFERROR(__xludf.DUMMYFUNCTION("""COMPUTED_VALUE"""),"40193S3")</f>
        <v>40193S3</v>
      </c>
      <c r="AJ309" s="80" t="str">
        <f>IFERROR(__xludf.DUMMYFUNCTION("""COMPUTED_VALUE"""),"671c83ff8b3a82474a05fd65")</f>
        <v>671c83ff8b3a82474a05fd65</v>
      </c>
      <c r="AK309" s="80" t="str">
        <f>IFERROR(__xludf.DUMMYFUNCTION("""COMPUTED_VALUE"""),"dm40193s3")</f>
        <v>dm40193s3</v>
      </c>
      <c r="AL309" s="80" t="str">
        <f>IFERROR(__xludf.DUMMYFUNCTION("""COMPUTED_VALUE"""),"#40193Pos")</f>
        <v>#40193Pos</v>
      </c>
      <c r="AM309" s="80" t="str">
        <f>IFERROR(__xludf.DUMMYFUNCTION("""COMPUTED_VALUE"""),"KANTOR REGIONAL III BANDUNG 40004")</f>
        <v>KANTOR REGIONAL III BANDUNG 40004</v>
      </c>
      <c r="AN309" s="80" t="str">
        <f>IFERROR(__xludf.DUMMYFUNCTION("""COMPUTED_VALUE"""),"KCU BANDUNG 40000")</f>
        <v>KCU BANDUNG 40000</v>
      </c>
      <c r="AO309" s="80" t="str">
        <f>IFERROR(__xludf.DUMMYFUNCTION("""COMPUTED_VALUE"""),"1710240067725")</f>
        <v>1710240067725</v>
      </c>
      <c r="AP309" s="80" t="str">
        <f>IFERROR(__xludf.DUMMYFUNCTION("""COMPUTED_VALUE"""),"17102400677250001")</f>
        <v>17102400677250001</v>
      </c>
      <c r="AQ309" s="83"/>
      <c r="AR309" s="80"/>
      <c r="AS309" s="80"/>
      <c r="AT309" s="80" t="str">
        <f>IFERROR(__xludf.DUMMYFUNCTION("""COMPUTED_VALUE"""),"-6.903051")</f>
        <v>-6.903051</v>
      </c>
      <c r="AU309" s="80" t="str">
        <f>IFERROR(__xludf.DUMMYFUNCTION("""COMPUTED_VALUE"""),"107.686832")</f>
        <v>107.686832</v>
      </c>
      <c r="AV309" s="80"/>
      <c r="AW309" s="80"/>
      <c r="AX309" s="80" t="str">
        <f>IFERROR(__xludf.DUMMYFUNCTION("""COMPUTED_VALUE"""),"ü")</f>
        <v>ü</v>
      </c>
      <c r="AY309" s="80"/>
      <c r="AZ309" s="80"/>
      <c r="BA309" s="80"/>
      <c r="BB309" s="80"/>
      <c r="BC309" s="80"/>
      <c r="BD309" s="80"/>
      <c r="BE309" s="80"/>
      <c r="BF309" s="80"/>
      <c r="BG309" s="80"/>
      <c r="BH309" s="80"/>
      <c r="BI309" s="80"/>
      <c r="BJ309" s="80"/>
      <c r="BK309" s="80"/>
      <c r="BL309" s="80"/>
      <c r="BM309" s="80"/>
      <c r="BN309" s="80"/>
      <c r="BO309" s="80"/>
      <c r="BP309" s="80"/>
      <c r="BQ309" s="80"/>
      <c r="BR309" s="80"/>
      <c r="BS309" s="80"/>
      <c r="BT309" s="80"/>
      <c r="BU309" s="80"/>
      <c r="BV309" s="80"/>
      <c r="BW309" s="80"/>
      <c r="BX309" s="80"/>
      <c r="BY309" s="80"/>
      <c r="BZ309" s="80"/>
      <c r="CA309" s="80"/>
      <c r="CB309" s="80"/>
      <c r="CC309" s="80"/>
      <c r="CD309" s="80"/>
      <c r="CE309" s="80"/>
      <c r="CF309" s="80"/>
      <c r="CG309" s="80"/>
      <c r="CH309" s="80"/>
      <c r="CI309" s="80"/>
      <c r="CJ309" s="80"/>
      <c r="CK309" s="2"/>
    </row>
    <row r="310" ht="12.75" customHeight="1">
      <c r="A310" s="85">
        <f>IFERROR(__xludf.DUMMYFUNCTION("""COMPUTED_VALUE"""),307.0)</f>
        <v>307</v>
      </c>
      <c r="B310" s="85"/>
      <c r="C310" s="85"/>
      <c r="D310" s="86"/>
      <c r="E310" s="88"/>
      <c r="F310" s="85"/>
      <c r="G310" s="86">
        <f>IFERROR(__xludf.DUMMYFUNCTION("""COMPUTED_VALUE"""),45607.0)</f>
        <v>45607</v>
      </c>
      <c r="H310" s="85"/>
      <c r="I310" s="85"/>
      <c r="J310" s="85"/>
      <c r="K310" s="85"/>
      <c r="L310" s="85"/>
      <c r="M310" s="85" t="str">
        <f>IFERROR(__xludf.DUMMYFUNCTION("""COMPUTED_VALUE"""),"ü")</f>
        <v>ü</v>
      </c>
      <c r="N310" s="85"/>
      <c r="O310" s="85"/>
      <c r="P310" s="85" t="str">
        <f>IFERROR(__xludf.DUMMYFUNCTION("""COMPUTED_VALUE"""),"MUCSPA63027PSIND")</f>
        <v>MUCSPA63027PSIND</v>
      </c>
      <c r="Q310" s="85" t="str">
        <f>IFERROR(__xludf.DUMMYFUNCTION("""COMPUTED_VALUE"""),"MUC Arena Jaya")</f>
        <v>MUC Arena Jaya</v>
      </c>
      <c r="R310" s="85" t="str">
        <f>IFERROR(__xludf.DUMMYFUNCTION("""COMPUTED_VALUE"""),"MUC Arena Jaya")</f>
        <v>MUC Arena Jaya</v>
      </c>
      <c r="S310" s="85" t="str">
        <f>IFERROR(__xludf.DUMMYFUNCTION("""COMPUTED_VALUE"""),"MUHAMMAD ABDU RAFI ARIF")</f>
        <v>MUHAMMAD ABDU RAFI ARIF</v>
      </c>
      <c r="T310" s="85" t="str">
        <f>IFERROR(__xludf.DUMMYFUNCTION("""COMPUTED_VALUE"""),"Villa Japos Blok L.1-22 RT/RW 01/09 Kel.Jurangmangu Barat, Kec.Pondok Aren, Kota Tangerang Selatan")</f>
        <v>Villa Japos Blok L.1-22 RT/RW 01/09 Kel.Jurangmangu Barat, Kec.Pondok Aren, Kota Tangerang Selatan</v>
      </c>
      <c r="U310" s="85" t="str">
        <f>IFERROR(__xludf.DUMMYFUNCTION("""COMPUTED_VALUE"""),"JL.Ciledug Raya No.5 RT/RW 02/03")</f>
        <v>JL.Ciledug Raya No.5 RT/RW 02/03</v>
      </c>
      <c r="V310" s="85"/>
      <c r="W310" s="85" t="str">
        <f>IFERROR(__xludf.DUMMYFUNCTION("""COMPUTED_VALUE"""),"Petukangan Utara")</f>
        <v>Petukangan Utara</v>
      </c>
      <c r="X310" s="85" t="str">
        <f>IFERROR(__xludf.DUMMYFUNCTION("""COMPUTED_VALUE"""),"Pesanggrahan")</f>
        <v>Pesanggrahan</v>
      </c>
      <c r="Y310" s="85" t="str">
        <f>IFERROR(__xludf.DUMMYFUNCTION("""COMPUTED_VALUE"""),"Jakarta Selatan")</f>
        <v>Jakarta Selatan</v>
      </c>
      <c r="Z310" s="85" t="str">
        <f>IFERROR(__xludf.DUMMYFUNCTION("""COMPUTED_VALUE"""),"DKI Jakarta")</f>
        <v>DKI Jakarta</v>
      </c>
      <c r="AA310" s="85" t="str">
        <f>IFERROR(__xludf.DUMMYFUNCTION("""COMPUTED_VALUE"""),"12260")</f>
        <v>12260</v>
      </c>
      <c r="AB310" s="85" t="str">
        <f>IFERROR(__xludf.DUMMYFUNCTION("""COMPUTED_VALUE"""),"3276111102990001")</f>
        <v>3276111102990001</v>
      </c>
      <c r="AC310" s="85" t="str">
        <f>IFERROR(__xludf.DUMMYFUNCTION("""COMPUTED_VALUE"""),"60.843.903.0-453.000")</f>
        <v>60.843.903.0-453.000</v>
      </c>
      <c r="AD310" s="85" t="str">
        <f>IFERROR(__xludf.DUMMYFUNCTION("""COMPUTED_VALUE"""),"CUM - PS - MIRS")</f>
        <v>CUM - PS - MIRS</v>
      </c>
      <c r="AE310" s="85" t="str">
        <f>IFERROR(__xludf.DUMMYFUNCTION("""COMPUTED_VALUE"""),"SUB ANGGA POS")</f>
        <v>SUB ANGGA POS</v>
      </c>
      <c r="AF310" s="85" t="str">
        <f>IFERROR(__xludf.DUMMYFUNCTION("""COMPUTED_VALUE"""),"081519411183")</f>
        <v>081519411183</v>
      </c>
      <c r="AG310" s="85"/>
      <c r="AH310" s="85" t="str">
        <f>IFERROR(__xludf.DUMMYFUNCTION("""COMPUTED_VALUE"""),"fmuhammadabdu@gmail.com")</f>
        <v>fmuhammadabdu@gmail.com</v>
      </c>
      <c r="AI310" s="85" t="str">
        <f>IFERROR(__xludf.DUMMYFUNCTION("""COMPUTED_VALUE"""),"12260S5")</f>
        <v>12260S5</v>
      </c>
      <c r="AJ310" s="85" t="str">
        <f>IFERROR(__xludf.DUMMYFUNCTION("""COMPUTED_VALUE"""),"672586a1024c3028620d8bb1")</f>
        <v>672586a1024c3028620d8bb1</v>
      </c>
      <c r="AK310" s="85" t="str">
        <f>IFERROR(__xludf.DUMMYFUNCTION("""COMPUTED_VALUE"""),"dm12260s5")</f>
        <v>dm12260s5</v>
      </c>
      <c r="AL310" s="85" t="str">
        <f>IFERROR(__xludf.DUMMYFUNCTION("""COMPUTED_VALUE"""),"#12260Pos")</f>
        <v>#12260Pos</v>
      </c>
      <c r="AM310" s="85" t="str">
        <f>IFERROR(__xludf.DUMMYFUNCTION("""COMPUTED_VALUE"""),"KANTOR REGIONAL II JAKARTA 10004")</f>
        <v>KANTOR REGIONAL II JAKARTA 10004</v>
      </c>
      <c r="AN310" s="85" t="str">
        <f>IFERROR(__xludf.DUMMYFUNCTION("""COMPUTED_VALUE"""),"KCU JAKARTAFLORA 12000")</f>
        <v>KCU JAKARTAFLORA 12000</v>
      </c>
      <c r="AO310" s="85" t="str">
        <f>IFERROR(__xludf.DUMMYFUNCTION("""COMPUTED_VALUE"""),"1710240126618")</f>
        <v>1710240126618</v>
      </c>
      <c r="AP310" s="85" t="str">
        <f>IFERROR(__xludf.DUMMYFUNCTION("""COMPUTED_VALUE"""),"17102401266180001")</f>
        <v>17102401266180001</v>
      </c>
      <c r="AQ310" s="93"/>
      <c r="AR310" s="85"/>
      <c r="AS310" s="85"/>
      <c r="AT310" s="85" t="str">
        <f>IFERROR(__xludf.DUMMYFUNCTION("""COMPUTED_VALUE"""),"-6.236522")</f>
        <v>-6.236522</v>
      </c>
      <c r="AU310" s="85" t="str">
        <f>IFERROR(__xludf.DUMMYFUNCTION("""COMPUTED_VALUE"""),"106.7531533")</f>
        <v>106.7531533</v>
      </c>
      <c r="AV310" s="85"/>
      <c r="AW310" s="85"/>
      <c r="AX310" s="85" t="str">
        <f>IFERROR(__xludf.DUMMYFUNCTION("""COMPUTED_VALUE"""),"ü")</f>
        <v>ü</v>
      </c>
      <c r="AY310" s="85"/>
      <c r="AZ310" s="85"/>
      <c r="BA310" s="85"/>
      <c r="BB310" s="85"/>
      <c r="BC310" s="85"/>
      <c r="BD310" s="85"/>
      <c r="BE310" s="85"/>
      <c r="BF310" s="85"/>
      <c r="BG310" s="85"/>
      <c r="BH310" s="85"/>
      <c r="BI310" s="85"/>
      <c r="BJ310" s="85"/>
      <c r="BK310" s="85"/>
      <c r="BL310" s="85"/>
      <c r="BM310" s="85"/>
      <c r="BN310" s="85"/>
      <c r="BO310" s="85"/>
      <c r="BP310" s="85"/>
      <c r="BQ310" s="85"/>
      <c r="BR310" s="85"/>
      <c r="BS310" s="85"/>
      <c r="BT310" s="85"/>
      <c r="BU310" s="85"/>
      <c r="BV310" s="85"/>
      <c r="BW310" s="85"/>
      <c r="BX310" s="85"/>
      <c r="BY310" s="85"/>
      <c r="BZ310" s="85"/>
      <c r="CA310" s="85"/>
      <c r="CB310" s="85"/>
      <c r="CC310" s="85"/>
      <c r="CD310" s="85"/>
      <c r="CE310" s="85"/>
      <c r="CF310" s="85"/>
      <c r="CG310" s="85"/>
      <c r="CH310" s="85"/>
      <c r="CI310" s="85"/>
      <c r="CJ310" s="85"/>
      <c r="CK310" s="2"/>
    </row>
    <row r="311" ht="12.75" customHeight="1">
      <c r="A311" s="80">
        <f>IFERROR(__xludf.DUMMYFUNCTION("""COMPUTED_VALUE"""),308.0)</f>
        <v>308</v>
      </c>
      <c r="B311" s="80"/>
      <c r="C311" s="80"/>
      <c r="D311" s="81"/>
      <c r="E311" s="82"/>
      <c r="F311" s="80"/>
      <c r="G311" s="81"/>
      <c r="H311" s="80"/>
      <c r="I311" s="80"/>
      <c r="J311" s="80"/>
      <c r="K311" s="80"/>
      <c r="L311" s="80"/>
      <c r="M311" s="80" t="str">
        <f>IFERROR(__xludf.DUMMYFUNCTION("""COMPUTED_VALUE"""),"ü")</f>
        <v>ü</v>
      </c>
      <c r="N311" s="80"/>
      <c r="O311" s="80"/>
      <c r="P311" s="80" t="str">
        <f>IFERROR(__xludf.DUMMYFUNCTION("""COMPUTED_VALUE"""),"MUCSPA63028PSIND")</f>
        <v>MUCSPA63028PSIND</v>
      </c>
      <c r="Q311" s="80" t="str">
        <f>IFERROR(__xludf.DUMMYFUNCTION("""COMPUTED_VALUE"""),"MUC TAMAN PERMATA INDAH")</f>
        <v>MUC TAMAN PERMATA INDAH</v>
      </c>
      <c r="R311" s="80" t="str">
        <f>IFERROR(__xludf.DUMMYFUNCTION("""COMPUTED_VALUE"""),"MUC TAMAN PERMATA INDAH")</f>
        <v>MUC TAMAN PERMATA INDAH</v>
      </c>
      <c r="S311" s="80" t="str">
        <f>IFERROR(__xludf.DUMMYFUNCTION("""COMPUTED_VALUE"""),"LEVINA")</f>
        <v>LEVINA</v>
      </c>
      <c r="T311" s="80" t="str">
        <f>IFERROR(__xludf.DUMMYFUNCTION("""COMPUTED_VALUE"""),"BUMI TELUKJAMBE BLOK B 21")</f>
        <v>BUMI TELUKJAMBE BLOK B 21</v>
      </c>
      <c r="U311" s="80" t="str">
        <f>IFERROR(__xludf.DUMMYFUNCTION("""COMPUTED_VALUE"""),"PERUMAHAN TAMAN PERMATA INDAH, JALAN PERUMAHAN PERMATA INDAH (RUKO BLOK B)")</f>
        <v>PERUMAHAN TAMAN PERMATA INDAH, JALAN PERUMAHAN PERMATA INDAH (RUKO BLOK B)</v>
      </c>
      <c r="V311" s="80"/>
      <c r="W311" s="80" t="str">
        <f>IFERROR(__xludf.DUMMYFUNCTION("""COMPUTED_VALUE"""),"WARINGINJAYA")</f>
        <v>WARINGINJAYA</v>
      </c>
      <c r="X311" s="80" t="str">
        <f>IFERROR(__xludf.DUMMYFUNCTION("""COMPUTED_VALUE"""),"KEDUNG WARINGIN")</f>
        <v>KEDUNG WARINGIN</v>
      </c>
      <c r="Y311" s="80" t="str">
        <f>IFERROR(__xludf.DUMMYFUNCTION("""COMPUTED_VALUE"""),"KAB. BEKASI")</f>
        <v>KAB. BEKASI</v>
      </c>
      <c r="Z311" s="80" t="str">
        <f>IFERROR(__xludf.DUMMYFUNCTION("""COMPUTED_VALUE"""),"JAWA BARAT")</f>
        <v>JAWA BARAT</v>
      </c>
      <c r="AA311" s="80" t="str">
        <f>IFERROR(__xludf.DUMMYFUNCTION("""COMPUTED_VALUE"""),"17540")</f>
        <v>17540</v>
      </c>
      <c r="AB311" s="80" t="str">
        <f>IFERROR(__xludf.DUMMYFUNCTION("""COMPUTED_VALUE"""),"3215036103820005")</f>
        <v>3215036103820005</v>
      </c>
      <c r="AC311" s="80" t="str">
        <f>IFERROR(__xludf.DUMMYFUNCTION("""COMPUTED_VALUE"""),"13.818.798.4-408.000")</f>
        <v>13.818.798.4-408.000</v>
      </c>
      <c r="AD311" s="80" t="str">
        <f>IFERROR(__xludf.DUMMYFUNCTION("""COMPUTED_VALUE"""),"CUM - PS - SITIH")</f>
        <v>CUM - PS - SITIH</v>
      </c>
      <c r="AE311" s="80" t="str">
        <f>IFERROR(__xludf.DUMMYFUNCTION("""COMPUTED_VALUE"""),"SUB SITI POS")</f>
        <v>SUB SITI POS</v>
      </c>
      <c r="AF311" s="80" t="str">
        <f>IFERROR(__xludf.DUMMYFUNCTION("""COMPUTED_VALUE"""),"085693839470")</f>
        <v>085693839470</v>
      </c>
      <c r="AG311" s="80"/>
      <c r="AH311" s="80" t="str">
        <f>IFERROR(__xludf.DUMMYFUNCTION("""COMPUTED_VALUE"""),"levina.wijoyanto@gmail.com")</f>
        <v>levina.wijoyanto@gmail.com</v>
      </c>
      <c r="AI311" s="80" t="str">
        <f>IFERROR(__xludf.DUMMYFUNCTION("""COMPUTED_VALUE"""),"17546S4")</f>
        <v>17546S4</v>
      </c>
      <c r="AJ311" s="80" t="str">
        <f>IFERROR(__xludf.DUMMYFUNCTION("""COMPUTED_VALUE"""),"673ea06da6aabe52b001273a")</f>
        <v>673ea06da6aabe52b001273a</v>
      </c>
      <c r="AK311" s="80" t="str">
        <f>IFERROR(__xludf.DUMMYFUNCTION("""COMPUTED_VALUE"""),"dm17546s4")</f>
        <v>dm17546s4</v>
      </c>
      <c r="AL311" s="80" t="str">
        <f>IFERROR(__xludf.DUMMYFUNCTION("""COMPUTED_VALUE"""),"#17546Pos")</f>
        <v>#17546Pos</v>
      </c>
      <c r="AM311" s="80" t="str">
        <f>IFERROR(__xludf.DUMMYFUNCTION("""COMPUTED_VALUE"""),"KANTOR REGIONAL II JAKARTA 10004")</f>
        <v>KANTOR REGIONAL II JAKARTA 10004</v>
      </c>
      <c r="AN311" s="80" t="str">
        <f>IFERROR(__xludf.DUMMYFUNCTION("""COMPUTED_VALUE"""),"KC CIKARANG 17500")</f>
        <v>KC CIKARANG 17500</v>
      </c>
      <c r="AO311" s="80" t="str">
        <f>IFERROR(__xludf.DUMMYFUNCTION("""COMPUTED_VALUE"""),"2008240103568")</f>
        <v>2008240103568</v>
      </c>
      <c r="AP311" s="80" t="str">
        <f>IFERROR(__xludf.DUMMYFUNCTION("""COMPUTED_VALUE"""),"20082401035680003")</f>
        <v>20082401035680003</v>
      </c>
      <c r="AQ311" s="83"/>
      <c r="AR311" s="80"/>
      <c r="AS311" s="80"/>
      <c r="AT311" s="80" t="str">
        <f>IFERROR(__xludf.DUMMYFUNCTION("""COMPUTED_VALUE"""),"-6.256455")</f>
        <v>-6.256455</v>
      </c>
      <c r="AU311" s="80" t="str">
        <f>IFERROR(__xludf.DUMMYFUNCTION("""COMPUTED_VALUE"""),"107.234080")</f>
        <v>107.234080</v>
      </c>
      <c r="AV311" s="80"/>
      <c r="AW311" s="80"/>
      <c r="AX311" s="80" t="str">
        <f>IFERROR(__xludf.DUMMYFUNCTION("""COMPUTED_VALUE"""),"ü")</f>
        <v>ü</v>
      </c>
      <c r="AY311" s="80"/>
      <c r="AZ311" s="80"/>
      <c r="BA311" s="80"/>
      <c r="BB311" s="80"/>
      <c r="BC311" s="80"/>
      <c r="BD311" s="80"/>
      <c r="BE311" s="80"/>
      <c r="BF311" s="80"/>
      <c r="BG311" s="80"/>
      <c r="BH311" s="80"/>
      <c r="BI311" s="80"/>
      <c r="BJ311" s="80"/>
      <c r="BK311" s="80"/>
      <c r="BL311" s="80"/>
      <c r="BM311" s="80"/>
      <c r="BN311" s="80"/>
      <c r="BO311" s="80"/>
      <c r="BP311" s="80"/>
      <c r="BQ311" s="80"/>
      <c r="BR311" s="80"/>
      <c r="BS311" s="80"/>
      <c r="BT311" s="80"/>
      <c r="BU311" s="80"/>
      <c r="BV311" s="80"/>
      <c r="BW311" s="80"/>
      <c r="BX311" s="80"/>
      <c r="BY311" s="80"/>
      <c r="BZ311" s="80"/>
      <c r="CA311" s="80"/>
      <c r="CB311" s="80"/>
      <c r="CC311" s="80"/>
      <c r="CD311" s="80"/>
      <c r="CE311" s="80"/>
      <c r="CF311" s="80"/>
      <c r="CG311" s="80"/>
      <c r="CH311" s="80"/>
      <c r="CI311" s="80"/>
      <c r="CJ311" s="80"/>
      <c r="CK311" s="2"/>
    </row>
    <row r="312" ht="12.75" customHeight="1">
      <c r="A312" s="85">
        <f>IFERROR(__xludf.DUMMYFUNCTION("""COMPUTED_VALUE"""),309.0)</f>
        <v>309</v>
      </c>
      <c r="B312" s="85"/>
      <c r="C312" s="85"/>
      <c r="D312" s="86"/>
      <c r="E312" s="88"/>
      <c r="F312" s="85"/>
      <c r="G312" s="86"/>
      <c r="H312" s="85"/>
      <c r="I312" s="85"/>
      <c r="J312" s="85"/>
      <c r="K312" s="85"/>
      <c r="L312" s="85"/>
      <c r="M312" s="85" t="str">
        <f>IFERROR(__xludf.DUMMYFUNCTION("""COMPUTED_VALUE"""),"ü")</f>
        <v>ü</v>
      </c>
      <c r="N312" s="85"/>
      <c r="O312" s="85"/>
      <c r="P312" s="85" t="str">
        <f>IFERROR(__xludf.DUMMYFUNCTION("""COMPUTED_VALUE"""),"MUCSPA63029PSIND")</f>
        <v>MUCSPA63029PSIND</v>
      </c>
      <c r="Q312" s="85" t="str">
        <f>IFERROR(__xludf.DUMMYFUNCTION("""COMPUTED_VALUE"""),"MUC BINTORO HASTA SAMUDERA")</f>
        <v>MUC BINTORO HASTA SAMUDERA</v>
      </c>
      <c r="R312" s="85" t="str">
        <f>IFERROR(__xludf.DUMMYFUNCTION("""COMPUTED_VALUE"""),"MUC BINTORO HASTA SAMUDERA")</f>
        <v>MUC BINTORO HASTA SAMUDERA</v>
      </c>
      <c r="S312" s="85" t="str">
        <f>IFERROR(__xludf.DUMMYFUNCTION("""COMPUTED_VALUE"""),"SUGENG MULYONO S.")</f>
        <v>SUGENG MULYONO S.</v>
      </c>
      <c r="T312" s="85" t="str">
        <f>IFERROR(__xludf.DUMMYFUNCTION("""COMPUTED_VALUE"""),"LEMBAH GRIYA INDAH BLOK G-5/27, CIPAYUNG JAYA, CIPAYUNG, DEPOK")</f>
        <v>LEMBAH GRIYA INDAH BLOK G-5/27, CIPAYUNG JAYA, CIPAYUNG, DEPOK</v>
      </c>
      <c r="U312" s="85" t="str">
        <f>IFERROR(__xludf.DUMMYFUNCTION("""COMPUTED_VALUE"""),"JALAN LENTENG AGUNG RAYA RW 05")</f>
        <v>JALAN LENTENG AGUNG RAYA RW 05</v>
      </c>
      <c r="V312" s="85"/>
      <c r="W312" s="85" t="str">
        <f>IFERROR(__xludf.DUMMYFUNCTION("""COMPUTED_VALUE"""),"LENTENG AGUNG")</f>
        <v>LENTENG AGUNG</v>
      </c>
      <c r="X312" s="85" t="str">
        <f>IFERROR(__xludf.DUMMYFUNCTION("""COMPUTED_VALUE"""),"JAGAKARSA")</f>
        <v>JAGAKARSA</v>
      </c>
      <c r="Y312" s="85" t="str">
        <f>IFERROR(__xludf.DUMMYFUNCTION("""COMPUTED_VALUE"""),"JAKARTA SELATAN")</f>
        <v>JAKARTA SELATAN</v>
      </c>
      <c r="Z312" s="85" t="str">
        <f>IFERROR(__xludf.DUMMYFUNCTION("""COMPUTED_VALUE"""),"DKI JAKARTA")</f>
        <v>DKI JAKARTA</v>
      </c>
      <c r="AA312" s="85" t="str">
        <f>IFERROR(__xludf.DUMMYFUNCTION("""COMPUTED_VALUE"""),"12620")</f>
        <v>12620</v>
      </c>
      <c r="AB312" s="85" t="str">
        <f>IFERROR(__xludf.DUMMYFUNCTION("""COMPUTED_VALUE"""),"3276010407710005")</f>
        <v>3276010407710005</v>
      </c>
      <c r="AC312" s="85" t="str">
        <f>IFERROR(__xludf.DUMMYFUNCTION("""COMPUTED_VALUE"""),"46.104.574.2-412.000")</f>
        <v>46.104.574.2-412.000</v>
      </c>
      <c r="AD312" s="85" t="str">
        <f>IFERROR(__xludf.DUMMYFUNCTION("""COMPUTED_VALUE"""),"CUM - PS - MIRS")</f>
        <v>CUM - PS - MIRS</v>
      </c>
      <c r="AE312" s="85" t="str">
        <f>IFERROR(__xludf.DUMMYFUNCTION("""COMPUTED_VALUE"""),"SUB ANGGA POS")</f>
        <v>SUB ANGGA POS</v>
      </c>
      <c r="AF312" s="85" t="str">
        <f>IFERROR(__xludf.DUMMYFUNCTION("""COMPUTED_VALUE"""),"081212950197")</f>
        <v>081212950197</v>
      </c>
      <c r="AG312" s="85"/>
      <c r="AH312" s="85" t="str">
        <f>IFERROR(__xludf.DUMMYFUNCTION("""COMPUTED_VALUE"""),"ptbintorohastasamudera@gmail.com")</f>
        <v>ptbintorohastasamudera@gmail.com</v>
      </c>
      <c r="AI312" s="85" t="str">
        <f>IFERROR(__xludf.DUMMYFUNCTION("""COMPUTED_VALUE"""),"12610S4")</f>
        <v>12610S4</v>
      </c>
      <c r="AJ312" s="85" t="str">
        <f>IFERROR(__xludf.DUMMYFUNCTION("""COMPUTED_VALUE"""),"6725924c7f272e75e804fe40")</f>
        <v>6725924c7f272e75e804fe40</v>
      </c>
      <c r="AK312" s="85" t="str">
        <f>IFERROR(__xludf.DUMMYFUNCTION("""COMPUTED_VALUE"""),"dm12610s4")</f>
        <v>dm12610s4</v>
      </c>
      <c r="AL312" s="85" t="str">
        <f>IFERROR(__xludf.DUMMYFUNCTION("""COMPUTED_VALUE"""),"#12610Pos")</f>
        <v>#12610Pos</v>
      </c>
      <c r="AM312" s="85" t="str">
        <f>IFERROR(__xludf.DUMMYFUNCTION("""COMPUTED_VALUE"""),"KANTOR REGIONAL II JAKARTA 10004")</f>
        <v>KANTOR REGIONAL II JAKARTA 10004</v>
      </c>
      <c r="AN312" s="85" t="str">
        <f>IFERROR(__xludf.DUMMYFUNCTION("""COMPUTED_VALUE"""),"KCU JAKARTAFLORA 12000")</f>
        <v>KCU JAKARTAFLORA 12000</v>
      </c>
      <c r="AO312" s="85" t="str">
        <f>IFERROR(__xludf.DUMMYFUNCTION("""COMPUTED_VALUE"""),"1508240010117")</f>
        <v>1508240010117</v>
      </c>
      <c r="AP312" s="85" t="str">
        <f>IFERROR(__xludf.DUMMYFUNCTION("""COMPUTED_VALUE"""),"15082400101170001")</f>
        <v>15082400101170001</v>
      </c>
      <c r="AQ312" s="93"/>
      <c r="AR312" s="85"/>
      <c r="AS312" s="85"/>
      <c r="AT312" s="85" t="str">
        <f>IFERROR(__xludf.DUMMYFUNCTION("""COMPUTED_VALUE"""),"-6.333581 ")</f>
        <v>-6.333581 </v>
      </c>
      <c r="AU312" s="85" t="str">
        <f>IFERROR(__xludf.DUMMYFUNCTION("""COMPUTED_VALUE"""),"106.835220")</f>
        <v>106.835220</v>
      </c>
      <c r="AV312" s="85"/>
      <c r="AW312" s="85"/>
      <c r="AX312" s="85" t="str">
        <f>IFERROR(__xludf.DUMMYFUNCTION("""COMPUTED_VALUE"""),"ü")</f>
        <v>ü</v>
      </c>
      <c r="AY312" s="85"/>
      <c r="AZ312" s="85"/>
      <c r="BA312" s="85"/>
      <c r="BB312" s="85"/>
      <c r="BC312" s="85"/>
      <c r="BD312" s="85"/>
      <c r="BE312" s="85"/>
      <c r="BF312" s="85"/>
      <c r="BG312" s="85"/>
      <c r="BH312" s="85"/>
      <c r="BI312" s="85"/>
      <c r="BJ312" s="85"/>
      <c r="BK312" s="85"/>
      <c r="BL312" s="85"/>
      <c r="BM312" s="85"/>
      <c r="BN312" s="85"/>
      <c r="BO312" s="85"/>
      <c r="BP312" s="85"/>
      <c r="BQ312" s="85"/>
      <c r="BR312" s="85"/>
      <c r="BS312" s="85"/>
      <c r="BT312" s="85"/>
      <c r="BU312" s="85"/>
      <c r="BV312" s="85"/>
      <c r="BW312" s="85"/>
      <c r="BX312" s="85"/>
      <c r="BY312" s="85"/>
      <c r="BZ312" s="85"/>
      <c r="CA312" s="85"/>
      <c r="CB312" s="85"/>
      <c r="CC312" s="85"/>
      <c r="CD312" s="85"/>
      <c r="CE312" s="85"/>
      <c r="CF312" s="85"/>
      <c r="CG312" s="85"/>
      <c r="CH312" s="85"/>
      <c r="CI312" s="85"/>
      <c r="CJ312" s="85"/>
      <c r="CK312" s="2"/>
    </row>
    <row r="313" ht="12.75" customHeight="1">
      <c r="A313" s="80">
        <f>IFERROR(__xludf.DUMMYFUNCTION("""COMPUTED_VALUE"""),310.0)</f>
        <v>310</v>
      </c>
      <c r="B313" s="80"/>
      <c r="C313" s="80"/>
      <c r="D313" s="81"/>
      <c r="E313" s="82"/>
      <c r="F313" s="80"/>
      <c r="G313" s="81"/>
      <c r="H313" s="80"/>
      <c r="I313" s="80"/>
      <c r="J313" s="80"/>
      <c r="K313" s="80"/>
      <c r="L313" s="80"/>
      <c r="M313" s="80" t="str">
        <f>IFERROR(__xludf.DUMMYFUNCTION("""COMPUTED_VALUE"""),"ü")</f>
        <v>ü</v>
      </c>
      <c r="N313" s="80"/>
      <c r="O313" s="80"/>
      <c r="P313" s="80" t="str">
        <f>IFERROR(__xludf.DUMMYFUNCTION("""COMPUTED_VALUE"""),"MUCSPA63030PSIND")</f>
        <v>MUCSPA63030PSIND</v>
      </c>
      <c r="Q313" s="80" t="str">
        <f>IFERROR(__xludf.DUMMYFUNCTION("""COMPUTED_VALUE"""),"MUC RIZKI CILACAP")</f>
        <v>MUC RIZKI CILACAP</v>
      </c>
      <c r="R313" s="80" t="str">
        <f>IFERROR(__xludf.DUMMYFUNCTION("""COMPUTED_VALUE"""),"MUC RIZKI CILACAP")</f>
        <v>MUC RIZKI CILACAP</v>
      </c>
      <c r="S313" s="80" t="str">
        <f>IFERROR(__xludf.DUMMYFUNCTION("""COMPUTED_VALUE"""),"RIZKI FAJAR PRIYANGGI ")</f>
        <v>RIZKI FAJAR PRIYANGGI </v>
      </c>
      <c r="T313" s="80" t="str">
        <f>IFERROR(__xludf.DUMMYFUNCTION("""COMPUTED_VALUE"""),"ASRAMA POLISI NO.5A, JL.PENYU")</f>
        <v>ASRAMA POLISI NO.5A, JL.PENYU</v>
      </c>
      <c r="U313" s="80" t="str">
        <f>IFERROR(__xludf.DUMMYFUNCTION("""COMPUTED_VALUE"""),"JL. KARANGSUCI NO.64A RT.04 RW.06")</f>
        <v>JL. KARANGSUCI NO.64A RT.04 RW.06</v>
      </c>
      <c r="V313" s="80"/>
      <c r="W313" s="80" t="str">
        <f>IFERROR(__xludf.DUMMYFUNCTION("""COMPUTED_VALUE"""),"DONAN")</f>
        <v>DONAN</v>
      </c>
      <c r="X313" s="80" t="str">
        <f>IFERROR(__xludf.DUMMYFUNCTION("""COMPUTED_VALUE"""),"CILACAP TENGAH")</f>
        <v>CILACAP TENGAH</v>
      </c>
      <c r="Y313" s="80" t="str">
        <f>IFERROR(__xludf.DUMMYFUNCTION("""COMPUTED_VALUE"""),"KAB. CILACAP")</f>
        <v>KAB. CILACAP</v>
      </c>
      <c r="Z313" s="80" t="str">
        <f>IFERROR(__xludf.DUMMYFUNCTION("""COMPUTED_VALUE"""),"JAWA TENGAH")</f>
        <v>JAWA TENGAH</v>
      </c>
      <c r="AA313" s="80" t="str">
        <f>IFERROR(__xludf.DUMMYFUNCTION("""COMPUTED_VALUE"""),"53222")</f>
        <v>53222</v>
      </c>
      <c r="AB313" s="80" t="str">
        <f>IFERROR(__xludf.DUMMYFUNCTION("""COMPUTED_VALUE"""),"3301061908980002")</f>
        <v>3301061908980002</v>
      </c>
      <c r="AC313" s="80" t="str">
        <f>IFERROR(__xludf.DUMMYFUNCTION("""COMPUTED_VALUE"""),"50.588.020.3-522.000")</f>
        <v>50.588.020.3-522.000</v>
      </c>
      <c r="AD313" s="80" t="str">
        <f>IFERROR(__xludf.DUMMYFUNCTION("""COMPUTED_VALUE"""),"CUM - PS - NVWT")</f>
        <v>CUM - PS - NVWT</v>
      </c>
      <c r="AE313" s="80" t="str">
        <f>IFERROR(__xludf.DUMMYFUNCTION("""COMPUTED_VALUE"""),"SUB NOVY POS")</f>
        <v>SUB NOVY POS</v>
      </c>
      <c r="AF313" s="80" t="str">
        <f>IFERROR(__xludf.DUMMYFUNCTION("""COMPUTED_VALUE"""),"08987544437")</f>
        <v>08987544437</v>
      </c>
      <c r="AG313" s="80"/>
      <c r="AH313" s="80" t="str">
        <f>IFERROR(__xludf.DUMMYFUNCTION("""COMPUTED_VALUE"""),"Rhizky.permana@gmail.com")</f>
        <v>Rhizky.permana@gmail.com</v>
      </c>
      <c r="AI313" s="80" t="str">
        <f>IFERROR(__xludf.DUMMYFUNCTION("""COMPUTED_VALUE"""),"53222S2")</f>
        <v>53222S2</v>
      </c>
      <c r="AJ313" s="80" t="str">
        <f>IFERROR(__xludf.DUMMYFUNCTION("""COMPUTED_VALUE"""),"671bae0a4b2fdba0220c242f")</f>
        <v>671bae0a4b2fdba0220c242f</v>
      </c>
      <c r="AK313" s="80" t="str">
        <f>IFERROR(__xludf.DUMMYFUNCTION("""COMPUTED_VALUE"""),"dm53222s2")</f>
        <v>dm53222s2</v>
      </c>
      <c r="AL313" s="80" t="str">
        <f>IFERROR(__xludf.DUMMYFUNCTION("""COMPUTED_VALUE"""),"#53222Pos")</f>
        <v>#53222Pos</v>
      </c>
      <c r="AM313" s="80" t="str">
        <f>IFERROR(__xludf.DUMMYFUNCTION("""COMPUTED_VALUE"""),"KANTOR REGIONAL IV SEMARANG 50004")</f>
        <v>KANTOR REGIONAL IV SEMARANG 50004</v>
      </c>
      <c r="AN313" s="80" t="str">
        <f>IFERROR(__xludf.DUMMYFUNCTION("""COMPUTED_VALUE"""),"KC CILACAP ")</f>
        <v>KC CILACAP </v>
      </c>
      <c r="AO313" s="80" t="str">
        <f>IFERROR(__xludf.DUMMYFUNCTION("""COMPUTED_VALUE"""),"0510230056605")</f>
        <v>0510230056605</v>
      </c>
      <c r="AP313" s="80" t="str">
        <f>IFERROR(__xludf.DUMMYFUNCTION("""COMPUTED_VALUE"""),"05102300566050001")</f>
        <v>05102300566050001</v>
      </c>
      <c r="AQ313" s="83"/>
      <c r="AR313" s="80"/>
      <c r="AS313" s="80"/>
      <c r="AT313" s="80" t="str">
        <f>IFERROR(__xludf.DUMMYFUNCTION("""COMPUTED_VALUE"""),"-7.720698")</f>
        <v>-7.720698</v>
      </c>
      <c r="AU313" s="80" t="str">
        <f>IFERROR(__xludf.DUMMYFUNCTION("""COMPUTED_VALUE"""),"109.00559541")</f>
        <v>109.00559541</v>
      </c>
      <c r="AV313" s="80"/>
      <c r="AW313" s="80"/>
      <c r="AX313" s="80" t="str">
        <f>IFERROR(__xludf.DUMMYFUNCTION("""COMPUTED_VALUE"""),"ü")</f>
        <v>ü</v>
      </c>
      <c r="AY313" s="80"/>
      <c r="AZ313" s="80"/>
      <c r="BA313" s="80"/>
      <c r="BB313" s="80"/>
      <c r="BC313" s="80"/>
      <c r="BD313" s="80"/>
      <c r="BE313" s="80"/>
      <c r="BF313" s="80"/>
      <c r="BG313" s="80"/>
      <c r="BH313" s="80"/>
      <c r="BI313" s="80"/>
      <c r="BJ313" s="80"/>
      <c r="BK313" s="80"/>
      <c r="BL313" s="80"/>
      <c r="BM313" s="80"/>
      <c r="BN313" s="80"/>
      <c r="BO313" s="80"/>
      <c r="BP313" s="80"/>
      <c r="BQ313" s="80"/>
      <c r="BR313" s="80"/>
      <c r="BS313" s="80"/>
      <c r="BT313" s="80"/>
      <c r="BU313" s="80"/>
      <c r="BV313" s="80"/>
      <c r="BW313" s="80"/>
      <c r="BX313" s="80"/>
      <c r="BY313" s="80"/>
      <c r="BZ313" s="80"/>
      <c r="CA313" s="80"/>
      <c r="CB313" s="80"/>
      <c r="CC313" s="80"/>
      <c r="CD313" s="80"/>
      <c r="CE313" s="80"/>
      <c r="CF313" s="80"/>
      <c r="CG313" s="80"/>
      <c r="CH313" s="80"/>
      <c r="CI313" s="80"/>
      <c r="CJ313" s="80"/>
      <c r="CK313" s="2"/>
    </row>
    <row r="314" ht="12.75" customHeight="1">
      <c r="A314" s="85">
        <f>IFERROR(__xludf.DUMMYFUNCTION("""COMPUTED_VALUE"""),311.0)</f>
        <v>311</v>
      </c>
      <c r="B314" s="85"/>
      <c r="C314" s="85"/>
      <c r="D314" s="86"/>
      <c r="E314" s="88"/>
      <c r="F314" s="85"/>
      <c r="G314" s="86"/>
      <c r="H314" s="85"/>
      <c r="I314" s="85"/>
      <c r="J314" s="85"/>
      <c r="K314" s="85"/>
      <c r="L314" s="85"/>
      <c r="M314" s="85" t="str">
        <f>IFERROR(__xludf.DUMMYFUNCTION("""COMPUTED_VALUE"""),"ü")</f>
        <v>ü</v>
      </c>
      <c r="N314" s="85"/>
      <c r="O314" s="85"/>
      <c r="P314" s="85" t="str">
        <f>IFERROR(__xludf.DUMMYFUNCTION("""COMPUTED_VALUE"""),"53BSPA09052JBEEN")</f>
        <v>53BSPA09052JBEEN</v>
      </c>
      <c r="Q314" s="85" t="str">
        <f>IFERROR(__xludf.DUMMYFUNCTION("""COMPUTED_VALUE"""),"MUC KADU")</f>
        <v>MUC KADU</v>
      </c>
      <c r="R314" s="85" t="str">
        <f>IFERROR(__xludf.DUMMYFUNCTION("""COMPUTED_VALUE"""),"MUC KADU")</f>
        <v>MUC KADU</v>
      </c>
      <c r="S314" s="85" t="str">
        <f>IFERROR(__xludf.DUMMYFUNCTION("""COMPUTED_VALUE"""),"HERIES JAKARIA")</f>
        <v>HERIES JAKARIA</v>
      </c>
      <c r="T314" s="85" t="str">
        <f>IFERROR(__xludf.DUMMYFUNCTION("""COMPUTED_VALUE"""),"KP. POS BITUNG")</f>
        <v>KP. POS BITUNG</v>
      </c>
      <c r="U314" s="85" t="str">
        <f>IFERROR(__xludf.DUMMYFUNCTION("""COMPUTED_VALUE"""),"KP POS BITUNG RT.01 RW.04 ")</f>
        <v>KP POS BITUNG RT.01 RW.04 </v>
      </c>
      <c r="V314" s="85"/>
      <c r="W314" s="85" t="str">
        <f>IFERROR(__xludf.DUMMYFUNCTION("""COMPUTED_VALUE"""),"KADU")</f>
        <v>KADU</v>
      </c>
      <c r="X314" s="85" t="str">
        <f>IFERROR(__xludf.DUMMYFUNCTION("""COMPUTED_VALUE"""),"CURUG")</f>
        <v>CURUG</v>
      </c>
      <c r="Y314" s="85" t="str">
        <f>IFERROR(__xludf.DUMMYFUNCTION("""COMPUTED_VALUE"""),"KAB. TANGERANG")</f>
        <v>KAB. TANGERANG</v>
      </c>
      <c r="Z314" s="85" t="str">
        <f>IFERROR(__xludf.DUMMYFUNCTION("""COMPUTED_VALUE"""),"BANTEN")</f>
        <v>BANTEN</v>
      </c>
      <c r="AA314" s="85" t="str">
        <f>IFERROR(__xludf.DUMMYFUNCTION("""COMPUTED_VALUE"""),"15810")</f>
        <v>15810</v>
      </c>
      <c r="AB314" s="85" t="str">
        <f>IFERROR(__xludf.DUMMYFUNCTION("""COMPUTED_VALUE"""),"3603172501850003")</f>
        <v>3603172501850003</v>
      </c>
      <c r="AC314" s="85" t="str">
        <f>IFERROR(__xludf.DUMMYFUNCTION("""COMPUTED_VALUE"""),"89.670.474.9-451.000")</f>
        <v>89.670.474.9-451.000</v>
      </c>
      <c r="AD314" s="85" t="str">
        <f>IFERROR(__xludf.DUMMYFUNCTION("""COMPUTED_VALUE"""),"CUM - EEN")</f>
        <v>CUM - EEN</v>
      </c>
      <c r="AE314" s="85" t="str">
        <f>IFERROR(__xludf.DUMMYFUNCTION("""COMPUTED_VALUE"""),"SUB EEN")</f>
        <v>SUB EEN</v>
      </c>
      <c r="AF314" s="85" t="str">
        <f>IFERROR(__xludf.DUMMYFUNCTION("""COMPUTED_VALUE"""),"081282671143")</f>
        <v>081282671143</v>
      </c>
      <c r="AG314" s="85"/>
      <c r="AH314" s="85" t="str">
        <f>IFERROR(__xludf.DUMMYFUNCTION("""COMPUTED_VALUE"""),"heries007jack@gmail.com")</f>
        <v>heries007jack@gmail.com</v>
      </c>
      <c r="AI314" s="85" t="str">
        <f>IFERROR(__xludf.DUMMYFUNCTION("""COMPUTED_VALUE"""),"15810S6")</f>
        <v>15810S6</v>
      </c>
      <c r="AJ314" s="85" t="str">
        <f>IFERROR(__xludf.DUMMYFUNCTION("""COMPUTED_VALUE"""),"674539f563a419c8d70aa08a")</f>
        <v>674539f563a419c8d70aa08a</v>
      </c>
      <c r="AK314" s="85" t="str">
        <f>IFERROR(__xludf.DUMMYFUNCTION("""COMPUTED_VALUE"""),"dm15810s6")</f>
        <v>dm15810s6</v>
      </c>
      <c r="AL314" s="85" t="str">
        <f>IFERROR(__xludf.DUMMYFUNCTION("""COMPUTED_VALUE"""),"#15810Pos")</f>
        <v>#15810Pos</v>
      </c>
      <c r="AM314" s="85" t="str">
        <f>IFERROR(__xludf.DUMMYFUNCTION("""COMPUTED_VALUE"""),"KANTOR REGIONAL II JAKARTA 10004")</f>
        <v>KANTOR REGIONAL II JAKARTA 10004</v>
      </c>
      <c r="AN314" s="85" t="str">
        <f>IFERROR(__xludf.DUMMYFUNCTION("""COMPUTED_VALUE"""),"KCU TANGERANG 15000")</f>
        <v>KCU TANGERANG 15000</v>
      </c>
      <c r="AO314" s="85" t="str">
        <f>IFERROR(__xludf.DUMMYFUNCTION("""COMPUTED_VALUE"""),"2210240298731")</f>
        <v>2210240298731</v>
      </c>
      <c r="AP314" s="85" t="str">
        <f>IFERROR(__xludf.DUMMYFUNCTION("""COMPUTED_VALUE"""),"22102402987310001")</f>
        <v>22102402987310001</v>
      </c>
      <c r="AQ314" s="93"/>
      <c r="AR314" s="85"/>
      <c r="AS314" s="85"/>
      <c r="AT314" s="85" t="str">
        <f>IFERROR(__xludf.DUMMYFUNCTION("""COMPUTED_VALUE"""),"-6.222089 ")</f>
        <v>-6.222089 </v>
      </c>
      <c r="AU314" s="85" t="str">
        <f>IFERROR(__xludf.DUMMYFUNCTION("""COMPUTED_VALUE"""),"106.563054")</f>
        <v>106.563054</v>
      </c>
      <c r="AV314" s="85"/>
      <c r="AW314" s="85"/>
      <c r="AX314" s="85" t="str">
        <f>IFERROR(__xludf.DUMMYFUNCTION("""COMPUTED_VALUE"""),"ü")</f>
        <v>ü</v>
      </c>
      <c r="AY314" s="85"/>
      <c r="AZ314" s="85"/>
      <c r="BA314" s="85"/>
      <c r="BB314" s="85"/>
      <c r="BC314" s="85"/>
      <c r="BD314" s="85"/>
      <c r="BE314" s="85"/>
      <c r="BF314" s="85"/>
      <c r="BG314" s="85"/>
      <c r="BH314" s="85"/>
      <c r="BI314" s="85"/>
      <c r="BJ314" s="85"/>
      <c r="BK314" s="85"/>
      <c r="BL314" s="85"/>
      <c r="BM314" s="85"/>
      <c r="BN314" s="85"/>
      <c r="BO314" s="85"/>
      <c r="BP314" s="85"/>
      <c r="BQ314" s="85"/>
      <c r="BR314" s="85"/>
      <c r="BS314" s="85"/>
      <c r="BT314" s="85"/>
      <c r="BU314" s="85"/>
      <c r="BV314" s="85"/>
      <c r="BW314" s="85"/>
      <c r="BX314" s="85"/>
      <c r="BY314" s="85"/>
      <c r="BZ314" s="85"/>
      <c r="CA314" s="85"/>
      <c r="CB314" s="85"/>
      <c r="CC314" s="85"/>
      <c r="CD314" s="85"/>
      <c r="CE314" s="85"/>
      <c r="CF314" s="85"/>
      <c r="CG314" s="85"/>
      <c r="CH314" s="85"/>
      <c r="CI314" s="85"/>
      <c r="CJ314" s="85"/>
      <c r="CK314" s="2"/>
    </row>
    <row r="315" ht="12.75" customHeight="1">
      <c r="A315" s="80">
        <f>IFERROR(__xludf.DUMMYFUNCTION("""COMPUTED_VALUE"""),312.0)</f>
        <v>312</v>
      </c>
      <c r="B315" s="80"/>
      <c r="C315" s="80"/>
      <c r="D315" s="81"/>
      <c r="E315" s="82"/>
      <c r="F315" s="80"/>
      <c r="G315" s="81"/>
      <c r="H315" s="80"/>
      <c r="I315" s="80"/>
      <c r="J315" s="80"/>
      <c r="K315" s="80"/>
      <c r="L315" s="80"/>
      <c r="M315" s="80" t="str">
        <f>IFERROR(__xludf.DUMMYFUNCTION("""COMPUTED_VALUE"""),"ü")</f>
        <v>ü</v>
      </c>
      <c r="N315" s="80"/>
      <c r="O315" s="80"/>
      <c r="P315" s="80" t="str">
        <f>IFERROR(__xludf.DUMMYFUNCTION("""COMPUTED_VALUE"""),"MUCSPA63031PSIND")</f>
        <v>MUCSPA63031PSIND</v>
      </c>
      <c r="Q315" s="80" t="str">
        <f>IFERROR(__xludf.DUMMYFUNCTION("""COMPUTED_VALUE"""),"MUC AERIQA")</f>
        <v>MUC AERIQA</v>
      </c>
      <c r="R315" s="80" t="str">
        <f>IFERROR(__xludf.DUMMYFUNCTION("""COMPUTED_VALUE"""),"MUC AERIQA")</f>
        <v>MUC AERIQA</v>
      </c>
      <c r="S315" s="80" t="str">
        <f>IFERROR(__xludf.DUMMYFUNCTION("""COMPUTED_VALUE"""),"ANIK KUSWATI")</f>
        <v>ANIK KUSWATI</v>
      </c>
      <c r="T315" s="80" t="str">
        <f>IFERROR(__xludf.DUMMYFUNCTION("""COMPUTED_VALUE"""),"Jl. Salam Raya gg Zakaria 10c 005/003 sukabumi utara kebon jeruk jakarta barat")</f>
        <v>Jl. Salam Raya gg Zakaria 10c 005/003 sukabumi utara kebon jeruk jakarta barat</v>
      </c>
      <c r="U315" s="80" t="str">
        <f>IFERROR(__xludf.DUMMYFUNCTION("""COMPUTED_VALUE"""),"Jl. Tanah Baru 1 No.8 RT.08 RW.13")</f>
        <v>Jl. Tanah Baru 1 No.8 RT.08 RW.13</v>
      </c>
      <c r="V315" s="80"/>
      <c r="W315" s="80" t="str">
        <f>IFERROR(__xludf.DUMMYFUNCTION("""COMPUTED_VALUE"""),"GROGOL UTARA")</f>
        <v>GROGOL UTARA</v>
      </c>
      <c r="X315" s="80" t="str">
        <f>IFERROR(__xludf.DUMMYFUNCTION("""COMPUTED_VALUE"""),"KEBAYORAN LAMA")</f>
        <v>KEBAYORAN LAMA</v>
      </c>
      <c r="Y315" s="80" t="str">
        <f>IFERROR(__xludf.DUMMYFUNCTION("""COMPUTED_VALUE"""),"JAKARTA SELATAN")</f>
        <v>JAKARTA SELATAN</v>
      </c>
      <c r="Z315" s="80" t="str">
        <f>IFERROR(__xludf.DUMMYFUNCTION("""COMPUTED_VALUE"""),"DKI JAKARTA")</f>
        <v>DKI JAKARTA</v>
      </c>
      <c r="AA315" s="80" t="str">
        <f>IFERROR(__xludf.DUMMYFUNCTION("""COMPUTED_VALUE"""),"12210")</f>
        <v>12210</v>
      </c>
      <c r="AB315" s="80" t="str">
        <f>IFERROR(__xludf.DUMMYFUNCTION("""COMPUTED_VALUE"""),"3578286707830001")</f>
        <v>3578286707830001</v>
      </c>
      <c r="AC315" s="80" t="str">
        <f>IFERROR(__xludf.DUMMYFUNCTION("""COMPUTED_VALUE"""),"41.143.371.7-035.000")</f>
        <v>41.143.371.7-035.000</v>
      </c>
      <c r="AD315" s="80" t="str">
        <f>IFERROR(__xludf.DUMMYFUNCTION("""COMPUTED_VALUE"""),"CUM - PS - SUSU")</f>
        <v>CUM - PS - SUSU</v>
      </c>
      <c r="AE315" s="80" t="str">
        <f>IFERROR(__xludf.DUMMYFUNCTION("""COMPUTED_VALUE"""),"SUB SUGENG POS")</f>
        <v>SUB SUGENG POS</v>
      </c>
      <c r="AF315" s="80" t="str">
        <f>IFERROR(__xludf.DUMMYFUNCTION("""COMPUTED_VALUE"""),"085648519662")</f>
        <v>085648519662</v>
      </c>
      <c r="AG315" s="80"/>
      <c r="AH315" s="80" t="str">
        <f>IFERROR(__xludf.DUMMYFUNCTION("""COMPUTED_VALUE"""),"rat_patootie@yahoo.com")</f>
        <v>rat_patootie@yahoo.com</v>
      </c>
      <c r="AI315" s="80" t="str">
        <f>IFERROR(__xludf.DUMMYFUNCTION("""COMPUTED_VALUE"""),"12210S2")</f>
        <v>12210S2</v>
      </c>
      <c r="AJ315" s="80" t="str">
        <f>IFERROR(__xludf.DUMMYFUNCTION("""COMPUTED_VALUE"""),"67248022ebe7c8411a0def28")</f>
        <v>67248022ebe7c8411a0def28</v>
      </c>
      <c r="AK315" s="80" t="str">
        <f>IFERROR(__xludf.DUMMYFUNCTION("""COMPUTED_VALUE"""),"dm12210s2")</f>
        <v>dm12210s2</v>
      </c>
      <c r="AL315" s="80" t="str">
        <f>IFERROR(__xludf.DUMMYFUNCTION("""COMPUTED_VALUE"""),"#12210Pos")</f>
        <v>#12210Pos</v>
      </c>
      <c r="AM315" s="80" t="str">
        <f>IFERROR(__xludf.DUMMYFUNCTION("""COMPUTED_VALUE"""),"KANTOR REGIONAL II JAKARTA 10004")</f>
        <v>KANTOR REGIONAL II JAKARTA 10004</v>
      </c>
      <c r="AN315" s="80" t="str">
        <f>IFERROR(__xludf.DUMMYFUNCTION("""COMPUTED_VALUE"""),"KCU JAKARTAFLORA 12000")</f>
        <v>KCU JAKARTAFLORA 12000</v>
      </c>
      <c r="AO315" s="80" t="str">
        <f>IFERROR(__xludf.DUMMYFUNCTION("""COMPUTED_VALUE"""),"2310240090874")</f>
        <v>2310240090874</v>
      </c>
      <c r="AP315" s="80" t="str">
        <f>IFERROR(__xludf.DUMMYFUNCTION("""COMPUTED_VALUE"""),"23102400908740001")</f>
        <v>23102400908740001</v>
      </c>
      <c r="AQ315" s="83"/>
      <c r="AR315" s="80"/>
      <c r="AS315" s="80"/>
      <c r="AT315" s="80" t="str">
        <f>IFERROR(__xludf.DUMMYFUNCTION("""COMPUTED_VALUE"""),"-6,2134310")</f>
        <v>-6,2134310</v>
      </c>
      <c r="AU315" s="80" t="str">
        <f>IFERROR(__xludf.DUMMYFUNCTION("""COMPUTED_VALUE"""),"106,7861639")</f>
        <v>106,7861639</v>
      </c>
      <c r="AV315" s="80"/>
      <c r="AW315" s="80"/>
      <c r="AX315" s="80" t="str">
        <f>IFERROR(__xludf.DUMMYFUNCTION("""COMPUTED_VALUE"""),"ü")</f>
        <v>ü</v>
      </c>
      <c r="AY315" s="80"/>
      <c r="AZ315" s="80"/>
      <c r="BA315" s="80"/>
      <c r="BB315" s="80"/>
      <c r="BC315" s="80"/>
      <c r="BD315" s="80"/>
      <c r="BE315" s="80"/>
      <c r="BF315" s="80"/>
      <c r="BG315" s="80"/>
      <c r="BH315" s="80"/>
      <c r="BI315" s="80"/>
      <c r="BJ315" s="80"/>
      <c r="BK315" s="80"/>
      <c r="BL315" s="80"/>
      <c r="BM315" s="80"/>
      <c r="BN315" s="80"/>
      <c r="BO315" s="80"/>
      <c r="BP315" s="80"/>
      <c r="BQ315" s="80"/>
      <c r="BR315" s="80"/>
      <c r="BS315" s="80"/>
      <c r="BT315" s="80"/>
      <c r="BU315" s="80"/>
      <c r="BV315" s="80"/>
      <c r="BW315" s="80"/>
      <c r="BX315" s="80"/>
      <c r="BY315" s="80"/>
      <c r="BZ315" s="80"/>
      <c r="CA315" s="80"/>
      <c r="CB315" s="80"/>
      <c r="CC315" s="80"/>
      <c r="CD315" s="80"/>
      <c r="CE315" s="80"/>
      <c r="CF315" s="80"/>
      <c r="CG315" s="80"/>
      <c r="CH315" s="80"/>
      <c r="CI315" s="80"/>
      <c r="CJ315" s="80"/>
      <c r="CK315" s="2"/>
    </row>
    <row r="316" ht="12.75" customHeight="1">
      <c r="A316" s="85">
        <f>IFERROR(__xludf.DUMMYFUNCTION("""COMPUTED_VALUE"""),313.0)</f>
        <v>313</v>
      </c>
      <c r="B316" s="85"/>
      <c r="C316" s="85"/>
      <c r="D316" s="86"/>
      <c r="E316" s="88"/>
      <c r="F316" s="85"/>
      <c r="G316" s="86"/>
      <c r="H316" s="85"/>
      <c r="I316" s="85"/>
      <c r="J316" s="85"/>
      <c r="K316" s="85"/>
      <c r="L316" s="85"/>
      <c r="M316" s="85" t="str">
        <f>IFERROR(__xludf.DUMMYFUNCTION("""COMPUTED_VALUE"""),"ü")</f>
        <v>ü</v>
      </c>
      <c r="N316" s="85"/>
      <c r="O316" s="85"/>
      <c r="P316" s="85" t="str">
        <f>IFERROR(__xludf.DUMMYFUNCTION("""COMPUTED_VALUE"""),"MUCSPA63032PSIND")</f>
        <v>MUCSPA63032PSIND</v>
      </c>
      <c r="Q316" s="85" t="str">
        <f>IFERROR(__xludf.DUMMYFUNCTION("""COMPUTED_VALUE"""),"MUC DORDER EXPEDISI POST")</f>
        <v>MUC DORDER EXPEDISI POST</v>
      </c>
      <c r="R316" s="85" t="str">
        <f>IFERROR(__xludf.DUMMYFUNCTION("""COMPUTED_VALUE"""),"MUC DORDER EXPEDISI POST")</f>
        <v>MUC DORDER EXPEDISI POST</v>
      </c>
      <c r="S316" s="85" t="str">
        <f>IFERROR(__xludf.DUMMYFUNCTION("""COMPUTED_VALUE"""),"ARDI FIRMANSYAH")</f>
        <v>ARDI FIRMANSYAH</v>
      </c>
      <c r="T316" s="85" t="str">
        <f>IFERROR(__xludf.DUMMYFUNCTION("""COMPUTED_VALUE"""),"JL. KEMANGGISAN PULO RT.003 RW.017")</f>
        <v>JL. KEMANGGISAN PULO RT.003 RW.017</v>
      </c>
      <c r="U316" s="85" t="str">
        <f>IFERROR(__xludf.DUMMYFUNCTION("""COMPUTED_VALUE"""),"JL. KEMANGGISAN PULO RW.017")</f>
        <v>JL. KEMANGGISAN PULO RW.017</v>
      </c>
      <c r="V316" s="85"/>
      <c r="W316" s="85" t="str">
        <f>IFERROR(__xludf.DUMMYFUNCTION("""COMPUTED_VALUE"""),"PALMERAH")</f>
        <v>PALMERAH</v>
      </c>
      <c r="X316" s="85" t="str">
        <f>IFERROR(__xludf.DUMMYFUNCTION("""COMPUTED_VALUE"""),"PAL MERAH")</f>
        <v>PAL MERAH</v>
      </c>
      <c r="Y316" s="85" t="str">
        <f>IFERROR(__xludf.DUMMYFUNCTION("""COMPUTED_VALUE"""),"JAKARTA BARAT")</f>
        <v>JAKARTA BARAT</v>
      </c>
      <c r="Z316" s="85" t="str">
        <f>IFERROR(__xludf.DUMMYFUNCTION("""COMPUTED_VALUE"""),"DKI JAKARTA")</f>
        <v>DKI JAKARTA</v>
      </c>
      <c r="AA316" s="85" t="str">
        <f>IFERROR(__xludf.DUMMYFUNCTION("""COMPUTED_VALUE"""),"11480")</f>
        <v>11480</v>
      </c>
      <c r="AB316" s="85" t="str">
        <f>IFERROR(__xludf.DUMMYFUNCTION("""COMPUTED_VALUE"""),"3173072309900001")</f>
        <v>3173072309900001</v>
      </c>
      <c r="AC316" s="85" t="str">
        <f>IFERROR(__xludf.DUMMYFUNCTION("""COMPUTED_VALUE"""),"66.650.638.1-031.000")</f>
        <v>66.650.638.1-031.000</v>
      </c>
      <c r="AD316" s="85" t="str">
        <f>IFERROR(__xludf.DUMMYFUNCTION("""COMPUTED_VALUE"""),"CUM - PS - SUSU")</f>
        <v>CUM - PS - SUSU</v>
      </c>
      <c r="AE316" s="85" t="str">
        <f>IFERROR(__xludf.DUMMYFUNCTION("""COMPUTED_VALUE"""),"SUB SUGENG POS")</f>
        <v>SUB SUGENG POS</v>
      </c>
      <c r="AF316" s="85" t="str">
        <f>IFERROR(__xludf.DUMMYFUNCTION("""COMPUTED_VALUE"""),"081286076650")</f>
        <v>081286076650</v>
      </c>
      <c r="AG316" s="85"/>
      <c r="AH316" s="85" t="str">
        <f>IFERROR(__xludf.DUMMYFUNCTION("""COMPUTED_VALUE"""),"ardi.firmansyah37@gmail.com")</f>
        <v>ardi.firmansyah37@gmail.com</v>
      </c>
      <c r="AI316" s="85" t="str">
        <f>IFERROR(__xludf.DUMMYFUNCTION("""COMPUTED_VALUE"""),"11480S5")</f>
        <v>11480S5</v>
      </c>
      <c r="AJ316" s="85" t="str">
        <f>IFERROR(__xludf.DUMMYFUNCTION("""COMPUTED_VALUE"""),"671cba3239b337b6710e9e0a")</f>
        <v>671cba3239b337b6710e9e0a</v>
      </c>
      <c r="AK316" s="85" t="str">
        <f>IFERROR(__xludf.DUMMYFUNCTION("""COMPUTED_VALUE"""),"dm11480s5")</f>
        <v>dm11480s5</v>
      </c>
      <c r="AL316" s="85" t="str">
        <f>IFERROR(__xludf.DUMMYFUNCTION("""COMPUTED_VALUE"""),"#11480Pos")</f>
        <v>#11480Pos</v>
      </c>
      <c r="AM316" s="85" t="str">
        <f>IFERROR(__xludf.DUMMYFUNCTION("""COMPUTED_VALUE"""),"KANTOR REGIONAL II JAKARTA 10004")</f>
        <v>KANTOR REGIONAL II JAKARTA 10004</v>
      </c>
      <c r="AN316" s="85" t="str">
        <f>IFERROR(__xludf.DUMMYFUNCTION("""COMPUTED_VALUE"""),"KCU JAKARTAOCEANIA 11000")</f>
        <v>KCU JAKARTAOCEANIA 11000</v>
      </c>
      <c r="AO316" s="85" t="str">
        <f>IFERROR(__xludf.DUMMYFUNCTION("""COMPUTED_VALUE"""),"9120501811646")</f>
        <v>9120501811646</v>
      </c>
      <c r="AP316" s="85" t="str">
        <f>IFERROR(__xludf.DUMMYFUNCTION("""COMPUTED_VALUE"""),"91205018116460001")</f>
        <v>91205018116460001</v>
      </c>
      <c r="AQ316" s="93"/>
      <c r="AR316" s="85"/>
      <c r="AS316" s="85"/>
      <c r="AT316" s="85" t="str">
        <f>IFERROR(__xludf.DUMMYFUNCTION("""COMPUTED_VALUE"""),"-6.199855 ")</f>
        <v>-6.199855 </v>
      </c>
      <c r="AU316" s="85" t="str">
        <f>IFERROR(__xludf.DUMMYFUNCTION("""COMPUTED_VALUE"""),"106.790986")</f>
        <v>106.790986</v>
      </c>
      <c r="AV316" s="85"/>
      <c r="AW316" s="85"/>
      <c r="AX316" s="85" t="str">
        <f>IFERROR(__xludf.DUMMYFUNCTION("""COMPUTED_VALUE"""),"ü")</f>
        <v>ü</v>
      </c>
      <c r="AY316" s="85"/>
      <c r="AZ316" s="85"/>
      <c r="BA316" s="85"/>
      <c r="BB316" s="85"/>
      <c r="BC316" s="85"/>
      <c r="BD316" s="85"/>
      <c r="BE316" s="85"/>
      <c r="BF316" s="85"/>
      <c r="BG316" s="85"/>
      <c r="BH316" s="85"/>
      <c r="BI316" s="85"/>
      <c r="BJ316" s="85"/>
      <c r="BK316" s="85"/>
      <c r="BL316" s="85"/>
      <c r="BM316" s="85"/>
      <c r="BN316" s="85"/>
      <c r="BO316" s="85"/>
      <c r="BP316" s="85"/>
      <c r="BQ316" s="85"/>
      <c r="BR316" s="85"/>
      <c r="BS316" s="85"/>
      <c r="BT316" s="85"/>
      <c r="BU316" s="85"/>
      <c r="BV316" s="85"/>
      <c r="BW316" s="85"/>
      <c r="BX316" s="85"/>
      <c r="BY316" s="85"/>
      <c r="BZ316" s="85"/>
      <c r="CA316" s="85"/>
      <c r="CB316" s="85"/>
      <c r="CC316" s="85"/>
      <c r="CD316" s="85"/>
      <c r="CE316" s="85"/>
      <c r="CF316" s="85"/>
      <c r="CG316" s="85"/>
      <c r="CH316" s="85"/>
      <c r="CI316" s="85"/>
      <c r="CJ316" s="85"/>
      <c r="CK316" s="2"/>
    </row>
    <row r="317" ht="12.75" customHeight="1">
      <c r="A317" s="80">
        <f>IFERROR(__xludf.DUMMYFUNCTION("""COMPUTED_VALUE"""),314.0)</f>
        <v>314</v>
      </c>
      <c r="B317" s="80"/>
      <c r="C317" s="80"/>
      <c r="D317" s="81"/>
      <c r="E317" s="82"/>
      <c r="F317" s="80"/>
      <c r="G317" s="81"/>
      <c r="H317" s="80"/>
      <c r="I317" s="80"/>
      <c r="J317" s="80"/>
      <c r="K317" s="80"/>
      <c r="L317" s="80"/>
      <c r="M317" s="80" t="str">
        <f>IFERROR(__xludf.DUMMYFUNCTION("""COMPUTED_VALUE"""),"ü")</f>
        <v>ü</v>
      </c>
      <c r="N317" s="80"/>
      <c r="O317" s="80"/>
      <c r="P317" s="80" t="str">
        <f>IFERROR(__xludf.DUMMYFUNCTION("""COMPUTED_VALUE"""),"MUCSPA63033PSIND")</f>
        <v>MUCSPA63033PSIND</v>
      </c>
      <c r="Q317" s="80" t="str">
        <f>IFERROR(__xludf.DUMMYFUNCTION("""COMPUTED_VALUE"""),"MUC TAMAN UBUD CENDANA")</f>
        <v>MUC TAMAN UBUD CENDANA</v>
      </c>
      <c r="R317" s="80" t="str">
        <f>IFERROR(__xludf.DUMMYFUNCTION("""COMPUTED_VALUE"""),"MUC TAMAN UBUD CENDANA")</f>
        <v>MUC TAMAN UBUD CENDANA</v>
      </c>
      <c r="S317" s="80" t="str">
        <f>IFERROR(__xludf.DUMMYFUNCTION("""COMPUTED_VALUE"""),"JOHAN")</f>
        <v>JOHAN</v>
      </c>
      <c r="T317" s="80" t="str">
        <f>IFERROR(__xludf.DUMMYFUNCTION("""COMPUTED_VALUE"""),"Jl. Taman Ubud Cendana 6 No. 22, RT/RW 17/22")</f>
        <v>Jl. Taman Ubud Cendana 6 No. 22, RT/RW 17/22</v>
      </c>
      <c r="U317" s="80" t="str">
        <f>IFERROR(__xludf.DUMMYFUNCTION("""COMPUTED_VALUE"""),"Jl. Taman Ubud Cendana 6 No. 22, RT/RW 17/22")</f>
        <v>Jl. Taman Ubud Cendana 6 No. 22, RT/RW 17/22</v>
      </c>
      <c r="V317" s="80"/>
      <c r="W317" s="80" t="str">
        <f>IFERROR(__xludf.DUMMYFUNCTION("""COMPUTED_VALUE"""),"BINONG")</f>
        <v>BINONG</v>
      </c>
      <c r="X317" s="80" t="str">
        <f>IFERROR(__xludf.DUMMYFUNCTION("""COMPUTED_VALUE"""),"CURUG")</f>
        <v>CURUG</v>
      </c>
      <c r="Y317" s="80" t="str">
        <f>IFERROR(__xludf.DUMMYFUNCTION("""COMPUTED_VALUE"""),"TANGERANG")</f>
        <v>TANGERANG</v>
      </c>
      <c r="Z317" s="80" t="str">
        <f>IFERROR(__xludf.DUMMYFUNCTION("""COMPUTED_VALUE"""),"BANTEN")</f>
        <v>BANTEN</v>
      </c>
      <c r="AA317" s="80" t="str">
        <f>IFERROR(__xludf.DUMMYFUNCTION("""COMPUTED_VALUE"""),"15810")</f>
        <v>15810</v>
      </c>
      <c r="AB317" s="80" t="str">
        <f>IFERROR(__xludf.DUMMYFUNCTION("""COMPUTED_VALUE"""),"1271181211780003")</f>
        <v>1271181211780003</v>
      </c>
      <c r="AC317" s="80" t="str">
        <f>IFERROR(__xludf.DUMMYFUNCTION("""COMPUTED_VALUE"""),"76.282.086.8-452.000")</f>
        <v>76.282.086.8-452.000</v>
      </c>
      <c r="AD317" s="80" t="str">
        <f>IFERROR(__xludf.DUMMYFUNCTION("""COMPUTED_VALUE"""),"CUM - PS - SUSU")</f>
        <v>CUM - PS - SUSU</v>
      </c>
      <c r="AE317" s="80" t="str">
        <f>IFERROR(__xludf.DUMMYFUNCTION("""COMPUTED_VALUE"""),"SUB SUGENG POS")</f>
        <v>SUB SUGENG POS</v>
      </c>
      <c r="AF317" s="80" t="str">
        <f>IFERROR(__xludf.DUMMYFUNCTION("""COMPUTED_VALUE"""),"08561042533")</f>
        <v>08561042533</v>
      </c>
      <c r="AG317" s="80"/>
      <c r="AH317" s="80" t="str">
        <f>IFERROR(__xludf.DUMMYFUNCTION("""COMPUTED_VALUE"""),"johan.wang@gmail.com")</f>
        <v>johan.wang@gmail.com</v>
      </c>
      <c r="AI317" s="80" t="str">
        <f>IFERROR(__xludf.DUMMYFUNCTION("""COMPUTED_VALUE"""),"15810S5")</f>
        <v>15810S5</v>
      </c>
      <c r="AJ317" s="80" t="str">
        <f>IFERROR(__xludf.DUMMYFUNCTION("""COMPUTED_VALUE"""),"671f4154b852edb617003cd8")</f>
        <v>671f4154b852edb617003cd8</v>
      </c>
      <c r="AK317" s="80" t="str">
        <f>IFERROR(__xludf.DUMMYFUNCTION("""COMPUTED_VALUE"""),"dm15810s5")</f>
        <v>dm15810s5</v>
      </c>
      <c r="AL317" s="80" t="str">
        <f>IFERROR(__xludf.DUMMYFUNCTION("""COMPUTED_VALUE"""),"#15810Pos")</f>
        <v>#15810Pos</v>
      </c>
      <c r="AM317" s="80" t="str">
        <f>IFERROR(__xludf.DUMMYFUNCTION("""COMPUTED_VALUE"""),"KANTOR REGIONAL II JAKARTA 10004")</f>
        <v>KANTOR REGIONAL II JAKARTA 10004</v>
      </c>
      <c r="AN317" s="80" t="str">
        <f>IFERROR(__xludf.DUMMYFUNCTION("""COMPUTED_VALUE"""),"KCU TANGERANG 15000")</f>
        <v>KCU TANGERANG 15000</v>
      </c>
      <c r="AO317" s="80" t="str">
        <f>IFERROR(__xludf.DUMMYFUNCTION("""COMPUTED_VALUE"""),"1610240083619")</f>
        <v>1610240083619</v>
      </c>
      <c r="AP317" s="80" t="str">
        <f>IFERROR(__xludf.DUMMYFUNCTION("""COMPUTED_VALUE"""),"16102400836190001")</f>
        <v>16102400836190001</v>
      </c>
      <c r="AQ317" s="83"/>
      <c r="AR317" s="80"/>
      <c r="AS317" s="80"/>
      <c r="AT317" s="80" t="str">
        <f>IFERROR(__xludf.DUMMYFUNCTION("""COMPUTED_VALUE"""),"-6.238911")</f>
        <v>-6.238911</v>
      </c>
      <c r="AU317" s="80" t="str">
        <f>IFERROR(__xludf.DUMMYFUNCTION("""COMPUTED_VALUE"""),"106.5818685")</f>
        <v>106.5818685</v>
      </c>
      <c r="AV317" s="80"/>
      <c r="AW317" s="80"/>
      <c r="AX317" s="80" t="str">
        <f>IFERROR(__xludf.DUMMYFUNCTION("""COMPUTED_VALUE"""),"ü")</f>
        <v>ü</v>
      </c>
      <c r="AY317" s="80"/>
      <c r="AZ317" s="80"/>
      <c r="BA317" s="80"/>
      <c r="BB317" s="80"/>
      <c r="BC317" s="80"/>
      <c r="BD317" s="80"/>
      <c r="BE317" s="80"/>
      <c r="BF317" s="80"/>
      <c r="BG317" s="80"/>
      <c r="BH317" s="80"/>
      <c r="BI317" s="80"/>
      <c r="BJ317" s="80"/>
      <c r="BK317" s="80"/>
      <c r="BL317" s="80"/>
      <c r="BM317" s="80"/>
      <c r="BN317" s="80"/>
      <c r="BO317" s="80"/>
      <c r="BP317" s="80"/>
      <c r="BQ317" s="80"/>
      <c r="BR317" s="80"/>
      <c r="BS317" s="80"/>
      <c r="BT317" s="80"/>
      <c r="BU317" s="80"/>
      <c r="BV317" s="80"/>
      <c r="BW317" s="80"/>
      <c r="BX317" s="80"/>
      <c r="BY317" s="80"/>
      <c r="BZ317" s="80"/>
      <c r="CA317" s="80"/>
      <c r="CB317" s="80"/>
      <c r="CC317" s="80"/>
      <c r="CD317" s="80"/>
      <c r="CE317" s="80"/>
      <c r="CF317" s="80"/>
      <c r="CG317" s="80"/>
      <c r="CH317" s="80"/>
      <c r="CI317" s="80"/>
      <c r="CJ317" s="80"/>
      <c r="CK317" s="2"/>
    </row>
    <row r="318" ht="12.75" customHeight="1">
      <c r="A318" s="85">
        <f>IFERROR(__xludf.DUMMYFUNCTION("""COMPUTED_VALUE"""),315.0)</f>
        <v>315</v>
      </c>
      <c r="B318" s="85"/>
      <c r="C318" s="85"/>
      <c r="D318" s="86"/>
      <c r="E318" s="88"/>
      <c r="F318" s="85"/>
      <c r="G318" s="86"/>
      <c r="H318" s="85"/>
      <c r="I318" s="85"/>
      <c r="J318" s="85"/>
      <c r="K318" s="85"/>
      <c r="L318" s="85"/>
      <c r="M318" s="85" t="str">
        <f>IFERROR(__xludf.DUMMYFUNCTION("""COMPUTED_VALUE"""),"ü")</f>
        <v>ü</v>
      </c>
      <c r="N318" s="85"/>
      <c r="O318" s="85"/>
      <c r="P318" s="85" t="str">
        <f>IFERROR(__xludf.DUMMYFUNCTION("""COMPUTED_VALUE"""),"MUCSPA63034PSIND")</f>
        <v>MUCSPA63034PSIND</v>
      </c>
      <c r="Q318" s="85" t="str">
        <f>IFERROR(__xludf.DUMMYFUNCTION("""COMPUTED_VALUE"""),"MUC AURA AZKIA")</f>
        <v>MUC AURA AZKIA</v>
      </c>
      <c r="R318" s="85" t="str">
        <f>IFERROR(__xludf.DUMMYFUNCTION("""COMPUTED_VALUE"""),"MUC AURA AZKIA")</f>
        <v>MUC AURA AZKIA</v>
      </c>
      <c r="S318" s="85" t="str">
        <f>IFERROR(__xludf.DUMMYFUNCTION("""COMPUTED_VALUE"""),"KURNIA S.PD ")</f>
        <v>KURNIA S.PD </v>
      </c>
      <c r="T318" s="85" t="str">
        <f>IFERROR(__xludf.DUMMYFUNCTION("""COMPUTED_VALUE"""),"DUSUN SUKADANA RT 003 RW 003 CIGAYAM")</f>
        <v>DUSUN SUKADANA RT 003 RW 003 CIGAYAM</v>
      </c>
      <c r="U318" s="85" t="str">
        <f>IFERROR(__xludf.DUMMYFUNCTION("""COMPUTED_VALUE"""),"DUSUN SUKADANA, DESA CIGAYAM")</f>
        <v>DUSUN SUKADANA, DESA CIGAYAM</v>
      </c>
      <c r="V318" s="85"/>
      <c r="W318" s="85" t="str">
        <f>IFERROR(__xludf.DUMMYFUNCTION("""COMPUTED_VALUE"""),"CIGAYAM")</f>
        <v>CIGAYAM</v>
      </c>
      <c r="X318" s="85" t="str">
        <f>IFERROR(__xludf.DUMMYFUNCTION("""COMPUTED_VALUE"""),"BANJASARI")</f>
        <v>BANJASARI</v>
      </c>
      <c r="Y318" s="85" t="str">
        <f>IFERROR(__xludf.DUMMYFUNCTION("""COMPUTED_VALUE"""),"CIAMIS")</f>
        <v>CIAMIS</v>
      </c>
      <c r="Z318" s="85" t="str">
        <f>IFERROR(__xludf.DUMMYFUNCTION("""COMPUTED_VALUE"""),"JAWA BARAT")</f>
        <v>JAWA BARAT</v>
      </c>
      <c r="AA318" s="85" t="str">
        <f>IFERROR(__xludf.DUMMYFUNCTION("""COMPUTED_VALUE"""),"46383")</f>
        <v>46383</v>
      </c>
      <c r="AB318" s="85" t="str">
        <f>IFERROR(__xludf.DUMMYFUNCTION("""COMPUTED_VALUE"""),"3207182603720001")</f>
        <v>3207182603720001</v>
      </c>
      <c r="AC318" s="85" t="str">
        <f>IFERROR(__xludf.DUMMYFUNCTION("""COMPUTED_VALUE"""),"96.416.862.9-442.000")</f>
        <v>96.416.862.9-442.000</v>
      </c>
      <c r="AD318" s="85" t="str">
        <f>IFERROR(__xludf.DUMMYFUNCTION("""COMPUTED_VALUE"""),"CUM - PS - WIDY")</f>
        <v>CUM - PS - WIDY</v>
      </c>
      <c r="AE318" s="85" t="str">
        <f>IFERROR(__xludf.DUMMYFUNCTION("""COMPUTED_VALUE"""),"SUB WIDY")</f>
        <v>SUB WIDY</v>
      </c>
      <c r="AF318" s="85" t="str">
        <f>IFERROR(__xludf.DUMMYFUNCTION("""COMPUTED_VALUE"""),"085223008401")</f>
        <v>085223008401</v>
      </c>
      <c r="AG318" s="85"/>
      <c r="AH318" s="85" t="str">
        <f>IFERROR(__xludf.DUMMYFUNCTION("""COMPUTED_VALUE"""),"po2nsetiawati@gmail.com")</f>
        <v>po2nsetiawati@gmail.com</v>
      </c>
      <c r="AI318" s="85"/>
      <c r="AJ318" s="85"/>
      <c r="AK318" s="85"/>
      <c r="AL318" s="85"/>
      <c r="AM318" s="85" t="str">
        <f>IFERROR(__xludf.DUMMYFUNCTION("""COMPUTED_VALUE"""),"KANTOR REGIONAL III BANDUNG 40004")</f>
        <v>KANTOR REGIONAL III BANDUNG 40004</v>
      </c>
      <c r="AN318" s="85" t="str">
        <f>IFERROR(__xludf.DUMMYFUNCTION("""COMPUTED_VALUE"""),"KC BANJAR")</f>
        <v>KC BANJAR</v>
      </c>
      <c r="AO318" s="85" t="str">
        <f>IFERROR(__xludf.DUMMYFUNCTION("""COMPUTED_VALUE"""),"2709240032695")</f>
        <v>2709240032695</v>
      </c>
      <c r="AP318" s="85" t="str">
        <f>IFERROR(__xludf.DUMMYFUNCTION("""COMPUTED_VALUE"""),"27092400326950001")</f>
        <v>27092400326950001</v>
      </c>
      <c r="AQ318" s="93"/>
      <c r="AR318" s="85"/>
      <c r="AS318" s="85"/>
      <c r="AT318" s="85" t="str">
        <f>IFERROR(__xludf.DUMMYFUNCTION("""COMPUTED_VALUE"""),"-7.501935")</f>
        <v>-7.501935</v>
      </c>
      <c r="AU318" s="85" t="str">
        <f>IFERROR(__xludf.DUMMYFUNCTION("""COMPUTED_VALUE"""),"108.5584061")</f>
        <v>108.5584061</v>
      </c>
      <c r="AV318" s="85"/>
      <c r="AW318" s="85"/>
      <c r="AX318" s="85" t="str">
        <f>IFERROR(__xludf.DUMMYFUNCTION("""COMPUTED_VALUE"""),"ü")</f>
        <v>ü</v>
      </c>
      <c r="AY318" s="85"/>
      <c r="AZ318" s="85"/>
      <c r="BA318" s="85"/>
      <c r="BB318" s="85"/>
      <c r="BC318" s="85"/>
      <c r="BD318" s="85"/>
      <c r="BE318" s="85"/>
      <c r="BF318" s="85"/>
      <c r="BG318" s="85"/>
      <c r="BH318" s="85"/>
      <c r="BI318" s="85"/>
      <c r="BJ318" s="85"/>
      <c r="BK318" s="85"/>
      <c r="BL318" s="85"/>
      <c r="BM318" s="85"/>
      <c r="BN318" s="85"/>
      <c r="BO318" s="85"/>
      <c r="BP318" s="85"/>
      <c r="BQ318" s="85"/>
      <c r="BR318" s="85"/>
      <c r="BS318" s="85"/>
      <c r="BT318" s="85"/>
      <c r="BU318" s="85"/>
      <c r="BV318" s="85"/>
      <c r="BW318" s="85"/>
      <c r="BX318" s="85"/>
      <c r="BY318" s="85"/>
      <c r="BZ318" s="85"/>
      <c r="CA318" s="85"/>
      <c r="CB318" s="85"/>
      <c r="CC318" s="85"/>
      <c r="CD318" s="85"/>
      <c r="CE318" s="85"/>
      <c r="CF318" s="85"/>
      <c r="CG318" s="85"/>
      <c r="CH318" s="85"/>
      <c r="CI318" s="85"/>
      <c r="CJ318" s="85"/>
      <c r="CK318" s="2"/>
    </row>
    <row r="319" ht="12.75" customHeight="1">
      <c r="A319" s="80">
        <f>IFERROR(__xludf.DUMMYFUNCTION("""COMPUTED_VALUE"""),316.0)</f>
        <v>316</v>
      </c>
      <c r="B319" s="80"/>
      <c r="C319" s="80"/>
      <c r="D319" s="81"/>
      <c r="E319" s="82"/>
      <c r="F319" s="80"/>
      <c r="G319" s="81"/>
      <c r="H319" s="80"/>
      <c r="I319" s="80"/>
      <c r="J319" s="80"/>
      <c r="K319" s="80"/>
      <c r="L319" s="80"/>
      <c r="M319" s="80" t="str">
        <f>IFERROR(__xludf.DUMMYFUNCTION("""COMPUTED_VALUE"""),"ü")</f>
        <v>ü</v>
      </c>
      <c r="N319" s="80"/>
      <c r="O319" s="80"/>
      <c r="P319" s="80" t="str">
        <f>IFERROR(__xludf.DUMMYFUNCTION("""COMPUTED_VALUE"""),"MUCSPA63035PSIND")</f>
        <v>MUCSPA63035PSIND</v>
      </c>
      <c r="Q319" s="80" t="str">
        <f>IFERROR(__xludf.DUMMYFUNCTION("""COMPUTED_VALUE"""),"MUC PERSADA")</f>
        <v>MUC PERSADA</v>
      </c>
      <c r="R319" s="80" t="str">
        <f>IFERROR(__xludf.DUMMYFUNCTION("""COMPUTED_VALUE"""),"MUC PERSADA")</f>
        <v>MUC PERSADA</v>
      </c>
      <c r="S319" s="80" t="str">
        <f>IFERROR(__xludf.DUMMYFUNCTION("""COMPUTED_VALUE"""),"FEBRI ANDRIANSYAH")</f>
        <v>FEBRI ANDRIANSYAH</v>
      </c>
      <c r="T319" s="80" t="str">
        <f>IFERROR(__xludf.DUMMYFUNCTION("""COMPUTED_VALUE"""),"BLOK BLANGBONG RT 01 RW 01 DS GOMBANG KEC PLUMBON KAB CIREBON")</f>
        <v>BLOK BLANGBONG RT 01 RW 01 DS GOMBANG KEC PLUMBON KAB CIREBON</v>
      </c>
      <c r="U319" s="80" t="str">
        <f>IFERROR(__xludf.DUMMYFUNCTION("""COMPUTED_VALUE"""),"JL. PESANTREN DEPAN, PERUMAHAN PLUMBON REGENCY NO. 2  ")</f>
        <v>JL. PESANTREN DEPAN, PERUMAHAN PLUMBON REGENCY NO. 2  </v>
      </c>
      <c r="V319" s="80"/>
      <c r="W319" s="80" t="str">
        <f>IFERROR(__xludf.DUMMYFUNCTION("""COMPUTED_VALUE"""),"GOMBANG")</f>
        <v>GOMBANG</v>
      </c>
      <c r="X319" s="80" t="str">
        <f>IFERROR(__xludf.DUMMYFUNCTION("""COMPUTED_VALUE"""),"PLUMBON")</f>
        <v>PLUMBON</v>
      </c>
      <c r="Y319" s="80" t="str">
        <f>IFERROR(__xludf.DUMMYFUNCTION("""COMPUTED_VALUE"""),"KAB. CIREBON")</f>
        <v>KAB. CIREBON</v>
      </c>
      <c r="Z319" s="80" t="str">
        <f>IFERROR(__xludf.DUMMYFUNCTION("""COMPUTED_VALUE"""),"JAWA BARAT")</f>
        <v>JAWA BARAT</v>
      </c>
      <c r="AA319" s="80" t="str">
        <f>IFERROR(__xludf.DUMMYFUNCTION("""COMPUTED_VALUE"""),"45155")</f>
        <v>45155</v>
      </c>
      <c r="AB319" s="80" t="str">
        <f>IFERROR(__xludf.DUMMYFUNCTION("""COMPUTED_VALUE"""),"320918120293004")</f>
        <v>320918120293004</v>
      </c>
      <c r="AC319" s="80" t="str">
        <f>IFERROR(__xludf.DUMMYFUNCTION("""COMPUTED_VALUE"""),"74.980.845.7-426.000")</f>
        <v>74.980.845.7-426.000</v>
      </c>
      <c r="AD319" s="80" t="str">
        <f>IFERROR(__xludf.DUMMYFUNCTION("""COMPUTED_VALUE"""),"CUM - PS - NUR")</f>
        <v>CUM - PS - NUR</v>
      </c>
      <c r="AE319" s="80" t="str">
        <f>IFERROR(__xludf.DUMMYFUNCTION("""COMPUTED_VALUE"""),"SUB NUR POS")</f>
        <v>SUB NUR POS</v>
      </c>
      <c r="AF319" s="80" t="str">
        <f>IFERROR(__xludf.DUMMYFUNCTION("""COMPUTED_VALUE"""),"08987222293")</f>
        <v>08987222293</v>
      </c>
      <c r="AG319" s="80"/>
      <c r="AH319" s="80" t="str">
        <f>IFERROR(__xludf.DUMMYFUNCTION("""COMPUTED_VALUE"""),"febri.andriansyah217@gmail.com")</f>
        <v>febri.andriansyah217@gmail.com</v>
      </c>
      <c r="AI319" s="80" t="str">
        <f>IFERROR(__xludf.DUMMYFUNCTION("""COMPUTED_VALUE"""),"45655S3")</f>
        <v>45655S3</v>
      </c>
      <c r="AJ319" s="80" t="str">
        <f>IFERROR(__xludf.DUMMYFUNCTION("""COMPUTED_VALUE"""),"67296a9dbc09ff8c170e8d4c")</f>
        <v>67296a9dbc09ff8c170e8d4c</v>
      </c>
      <c r="AK319" s="80" t="str">
        <f>IFERROR(__xludf.DUMMYFUNCTION("""COMPUTED_VALUE"""),"dm45655s3")</f>
        <v>dm45655s3</v>
      </c>
      <c r="AL319" s="80" t="str">
        <f>IFERROR(__xludf.DUMMYFUNCTION("""COMPUTED_VALUE"""),"#45655Pos")</f>
        <v>#45655Pos</v>
      </c>
      <c r="AM319" s="80" t="str">
        <f>IFERROR(__xludf.DUMMYFUNCTION("""COMPUTED_VALUE"""),"KANTOR REGIONAL III BANDUNG 40004")</f>
        <v>KANTOR REGIONAL III BANDUNG 40004</v>
      </c>
      <c r="AN319" s="80" t="str">
        <f>IFERROR(__xludf.DUMMYFUNCTION("""COMPUTED_VALUE"""),"KCU CIREBON 45100")</f>
        <v>KCU CIREBON 45100</v>
      </c>
      <c r="AO319" s="80" t="str">
        <f>IFERROR(__xludf.DUMMYFUNCTION("""COMPUTED_VALUE"""),"0286010220615")</f>
        <v>0286010220615</v>
      </c>
      <c r="AP319" s="80" t="str">
        <f>IFERROR(__xludf.DUMMYFUNCTION("""COMPUTED_VALUE"""),"02860102206150002")</f>
        <v>02860102206150002</v>
      </c>
      <c r="AQ319" s="83"/>
      <c r="AR319" s="80"/>
      <c r="AS319" s="80"/>
      <c r="AT319" s="80" t="str">
        <f>IFERROR(__xludf.DUMMYFUNCTION("""COMPUTED_VALUE"""),"-6.7029298")</f>
        <v>-6.7029298</v>
      </c>
      <c r="AU319" s="80" t="str">
        <f>IFERROR(__xludf.DUMMYFUNCTION("""COMPUTED_VALUE"""),"108.4836543")</f>
        <v>108.4836543</v>
      </c>
      <c r="AV319" s="80"/>
      <c r="AW319" s="80"/>
      <c r="AX319" s="80" t="str">
        <f>IFERROR(__xludf.DUMMYFUNCTION("""COMPUTED_VALUE"""),"ü")</f>
        <v>ü</v>
      </c>
      <c r="AY319" s="80"/>
      <c r="AZ319" s="80"/>
      <c r="BA319" s="80"/>
      <c r="BB319" s="80"/>
      <c r="BC319" s="80"/>
      <c r="BD319" s="80"/>
      <c r="BE319" s="80"/>
      <c r="BF319" s="80"/>
      <c r="BG319" s="80"/>
      <c r="BH319" s="80"/>
      <c r="BI319" s="80"/>
      <c r="BJ319" s="80"/>
      <c r="BK319" s="80"/>
      <c r="BL319" s="80"/>
      <c r="BM319" s="80"/>
      <c r="BN319" s="80"/>
      <c r="BO319" s="80"/>
      <c r="BP319" s="80"/>
      <c r="BQ319" s="80"/>
      <c r="BR319" s="80"/>
      <c r="BS319" s="80"/>
      <c r="BT319" s="80"/>
      <c r="BU319" s="80"/>
      <c r="BV319" s="80"/>
      <c r="BW319" s="80"/>
      <c r="BX319" s="80"/>
      <c r="BY319" s="80"/>
      <c r="BZ319" s="80"/>
      <c r="CA319" s="80"/>
      <c r="CB319" s="80"/>
      <c r="CC319" s="80"/>
      <c r="CD319" s="80"/>
      <c r="CE319" s="80"/>
      <c r="CF319" s="80"/>
      <c r="CG319" s="80"/>
      <c r="CH319" s="80"/>
      <c r="CI319" s="80"/>
      <c r="CJ319" s="80"/>
      <c r="CK319" s="2"/>
    </row>
    <row r="320" ht="12.75" customHeight="1">
      <c r="A320" s="85">
        <f>IFERROR(__xludf.DUMMYFUNCTION("""COMPUTED_VALUE"""),317.0)</f>
        <v>317</v>
      </c>
      <c r="B320" s="85"/>
      <c r="C320" s="85"/>
      <c r="D320" s="86"/>
      <c r="E320" s="88"/>
      <c r="F320" s="85"/>
      <c r="G320" s="86">
        <f>IFERROR(__xludf.DUMMYFUNCTION("""COMPUTED_VALUE"""),45607.0)</f>
        <v>45607</v>
      </c>
      <c r="H320" s="85"/>
      <c r="I320" s="85"/>
      <c r="J320" s="85"/>
      <c r="K320" s="85"/>
      <c r="L320" s="85"/>
      <c r="M320" s="85"/>
      <c r="N320" s="85" t="str">
        <f>IFERROR(__xludf.DUMMYFUNCTION("""COMPUTED_VALUE"""),"ü")</f>
        <v>ü</v>
      </c>
      <c r="O320" s="85"/>
      <c r="P320" s="85" t="str">
        <f>IFERROR(__xludf.DUMMYFUNCTION("""COMPUTED_VALUE"""),"MLO5500023CUMEEN")</f>
        <v>MLO5500023CUMEEN</v>
      </c>
      <c r="Q320" s="85" t="str">
        <f>IFERROR(__xludf.DUMMYFUNCTION("""COMPUTED_VALUE"""),"MUC Ponkar Express")</f>
        <v>MUC Ponkar Express</v>
      </c>
      <c r="R320" s="85" t="str">
        <f>IFERROR(__xludf.DUMMYFUNCTION("""COMPUTED_VALUE"""),"MUC Ponkar Express")</f>
        <v>MUC Ponkar Express</v>
      </c>
      <c r="S320" s="85" t="str">
        <f>IFERROR(__xludf.DUMMYFUNCTION("""COMPUTED_VALUE"""),"ANDI LESMANA / IB PUTU SUSRAMA")</f>
        <v>ANDI LESMANA / IB PUTU SUSRAMA</v>
      </c>
      <c r="T320" s="85" t="str">
        <f>IFERROR(__xludf.DUMMYFUNCTION("""COMPUTED_VALUE"""),"SURYAJAYA INDAH BLOK AB -3- D NO 15 / PERUM BUKIT KENCANA K/5 RT 002 RW 016 KEL JATIMAKMUR KEC PONDOKGEDE KOTA BEKASI JAWA BARAT")</f>
        <v>SURYAJAYA INDAH BLOK AB -3- D NO 15 / PERUM BUKIT KENCANA K/5 RT 002 RW 016 KEL JATIMAKMUR KEC PONDOKGEDE KOTA BEKASI JAWA BARAT</v>
      </c>
      <c r="U320" s="85" t="str">
        <f>IFERROR(__xludf.DUMMYFUNCTION("""COMPUTED_VALUE"""),"Jl. Pd. Karya No.2, RT.2/RW.9")</f>
        <v>Jl. Pd. Karya No.2, RT.2/RW.9</v>
      </c>
      <c r="V320" s="85"/>
      <c r="W320" s="85" t="str">
        <f>IFERROR(__xludf.DUMMYFUNCTION("""COMPUTED_VALUE"""),"PELA MAMPANG")</f>
        <v>PELA MAMPANG</v>
      </c>
      <c r="X320" s="85" t="str">
        <f>IFERROR(__xludf.DUMMYFUNCTION("""COMPUTED_VALUE"""),"MAMPANG PRAPATAN")</f>
        <v>MAMPANG PRAPATAN</v>
      </c>
      <c r="Y320" s="85" t="str">
        <f>IFERROR(__xludf.DUMMYFUNCTION("""COMPUTED_VALUE"""),"JAKARTA SELATAN")</f>
        <v>JAKARTA SELATAN</v>
      </c>
      <c r="Z320" s="85" t="str">
        <f>IFERROR(__xludf.DUMMYFUNCTION("""COMPUTED_VALUE"""),"DKI JAKARTA")</f>
        <v>DKI JAKARTA</v>
      </c>
      <c r="AA320" s="85" t="str">
        <f>IFERROR(__xludf.DUMMYFUNCTION("""COMPUTED_VALUE"""),"12720")</f>
        <v>12720</v>
      </c>
      <c r="AB320" s="85" t="str">
        <f>IFERROR(__xludf.DUMMYFUNCTION("""COMPUTED_VALUE"""),"3578170711820005")</f>
        <v>3578170711820005</v>
      </c>
      <c r="AC320" s="85" t="str">
        <f>IFERROR(__xludf.DUMMYFUNCTION("""COMPUTED_VALUE"""),"36.611.426.2-619.000 / 49.103.625.7-119.000")</f>
        <v>36.611.426.2-619.000 / 49.103.625.7-119.000</v>
      </c>
      <c r="AD320" s="85" t="str">
        <f>IFERROR(__xludf.DUMMYFUNCTION("""COMPUTED_VALUE"""),"CUM - EEN")</f>
        <v>CUM - EEN</v>
      </c>
      <c r="AE320" s="85" t="str">
        <f>IFERROR(__xludf.DUMMYFUNCTION("""COMPUTED_VALUE"""),"SUB EEN")</f>
        <v>SUB EEN</v>
      </c>
      <c r="AF320" s="85" t="str">
        <f>IFERROR(__xludf.DUMMYFUNCTION("""COMPUTED_VALUE"""),"085691200609")</f>
        <v>085691200609</v>
      </c>
      <c r="AG320" s="85"/>
      <c r="AH320" s="85" t="str">
        <f>IFERROR(__xludf.DUMMYFUNCTION("""COMPUTED_VALUE"""),"raffasyaputra2021@gmail.com")</f>
        <v>raffasyaputra2021@gmail.com</v>
      </c>
      <c r="AI320" s="85" t="str">
        <f>IFERROR(__xludf.DUMMYFUNCTION("""COMPUTED_VALUE"""),"12720S3")</f>
        <v>12720S3</v>
      </c>
      <c r="AJ320" s="85" t="str">
        <f>IFERROR(__xludf.DUMMYFUNCTION("""COMPUTED_VALUE"""),"673150442efa1b5439088c7b")</f>
        <v>673150442efa1b5439088c7b</v>
      </c>
      <c r="AK320" s="85" t="str">
        <f>IFERROR(__xludf.DUMMYFUNCTION("""COMPUTED_VALUE"""),"dm12720s3")</f>
        <v>dm12720s3</v>
      </c>
      <c r="AL320" s="85" t="str">
        <f>IFERROR(__xludf.DUMMYFUNCTION("""COMPUTED_VALUE"""),"#12720Pos")</f>
        <v>#12720Pos</v>
      </c>
      <c r="AM320" s="85" t="str">
        <f>IFERROR(__xludf.DUMMYFUNCTION("""COMPUTED_VALUE"""),"KANTOR REGIONAL II JAKARTA 10004")</f>
        <v>KANTOR REGIONAL II JAKARTA 10004</v>
      </c>
      <c r="AN320" s="85" t="str">
        <f>IFERROR(__xludf.DUMMYFUNCTION("""COMPUTED_VALUE"""),"KCU JAKARTAFLORA 12000")</f>
        <v>KCU JAKARTAFLORA 12000</v>
      </c>
      <c r="AO320" s="85" t="str">
        <f>IFERROR(__xludf.DUMMYFUNCTION("""COMPUTED_VALUE"""),"2810240178712")</f>
        <v>2810240178712</v>
      </c>
      <c r="AP320" s="85" t="str">
        <f>IFERROR(__xludf.DUMMYFUNCTION("""COMPUTED_VALUE"""),"28102401787120001")</f>
        <v>28102401787120001</v>
      </c>
      <c r="AQ320" s="93"/>
      <c r="AR320" s="85"/>
      <c r="AS320" s="85"/>
      <c r="AT320" s="85" t="str">
        <f>IFERROR(__xludf.DUMMYFUNCTION("""COMPUTED_VALUE"""),"-6.240679 ")</f>
        <v>-6.240679 </v>
      </c>
      <c r="AU320" s="85" t="str">
        <f>IFERROR(__xludf.DUMMYFUNCTION("""COMPUTED_VALUE"""),"106.821124")</f>
        <v>106.821124</v>
      </c>
      <c r="AV320" s="85"/>
      <c r="AW320" s="85"/>
      <c r="AX320" s="85" t="str">
        <f>IFERROR(__xludf.DUMMYFUNCTION("""COMPUTED_VALUE"""),"ü")</f>
        <v>ü</v>
      </c>
      <c r="AY320" s="85"/>
      <c r="AZ320" s="85"/>
      <c r="BA320" s="85"/>
      <c r="BB320" s="85"/>
      <c r="BC320" s="85"/>
      <c r="BD320" s="85"/>
      <c r="BE320" s="85"/>
      <c r="BF320" s="85"/>
      <c r="BG320" s="85"/>
      <c r="BH320" s="85"/>
      <c r="BI320" s="85"/>
      <c r="BJ320" s="85"/>
      <c r="BK320" s="85"/>
      <c r="BL320" s="85"/>
      <c r="BM320" s="85"/>
      <c r="BN320" s="85"/>
      <c r="BO320" s="85"/>
      <c r="BP320" s="85"/>
      <c r="BQ320" s="85"/>
      <c r="BR320" s="85"/>
      <c r="BS320" s="85"/>
      <c r="BT320" s="85"/>
      <c r="BU320" s="85"/>
      <c r="BV320" s="85"/>
      <c r="BW320" s="85"/>
      <c r="BX320" s="85"/>
      <c r="BY320" s="85"/>
      <c r="BZ320" s="85"/>
      <c r="CA320" s="85"/>
      <c r="CB320" s="85"/>
      <c r="CC320" s="85"/>
      <c r="CD320" s="85"/>
      <c r="CE320" s="85"/>
      <c r="CF320" s="85"/>
      <c r="CG320" s="85"/>
      <c r="CH320" s="85"/>
      <c r="CI320" s="85"/>
      <c r="CJ320" s="85"/>
      <c r="CK320" s="2"/>
    </row>
    <row r="321" ht="12.75" customHeight="1">
      <c r="A321" s="80">
        <f>IFERROR(__xludf.DUMMYFUNCTION("""COMPUTED_VALUE"""),318.0)</f>
        <v>318</v>
      </c>
      <c r="B321" s="80"/>
      <c r="C321" s="80"/>
      <c r="D321" s="81"/>
      <c r="E321" s="82"/>
      <c r="F321" s="80"/>
      <c r="G321" s="81"/>
      <c r="H321" s="80"/>
      <c r="I321" s="80"/>
      <c r="J321" s="80"/>
      <c r="K321" s="80"/>
      <c r="L321" s="80"/>
      <c r="M321" s="80" t="str">
        <f>IFERROR(__xludf.DUMMYFUNCTION("""COMPUTED_VALUE"""),"ü")</f>
        <v>ü</v>
      </c>
      <c r="N321" s="80"/>
      <c r="O321" s="80"/>
      <c r="P321" s="80" t="str">
        <f>IFERROR(__xludf.DUMMYFUNCTION("""COMPUTED_VALUE"""),"MUCSPA63036PSIND")</f>
        <v>MUCSPA63036PSIND</v>
      </c>
      <c r="Q321" s="80" t="str">
        <f>IFERROR(__xludf.DUMMYFUNCTION("""COMPUTED_VALUE"""),"MUC NETRA TANI")</f>
        <v>MUC NETRA TANI</v>
      </c>
      <c r="R321" s="80" t="str">
        <f>IFERROR(__xludf.DUMMYFUNCTION("""COMPUTED_VALUE"""),"MUC NETRA TANI")</f>
        <v>MUC NETRA TANI</v>
      </c>
      <c r="S321" s="80" t="str">
        <f>IFERROR(__xludf.DUMMYFUNCTION("""COMPUTED_VALUE"""),"NETRA ASRAMA SAKTI")</f>
        <v>NETRA ASRAMA SAKTI</v>
      </c>
      <c r="T321" s="80" t="str">
        <f>IFERROR(__xludf.DUMMYFUNCTION("""COMPUTED_VALUE"""),"Caren lor, RT 01, RW 02, Desa Kaliurip Kec Bener, Purworejo")</f>
        <v>Caren lor, RT 01, RW 02, Desa Kaliurip Kec Bener, Purworejo</v>
      </c>
      <c r="U321" s="80" t="str">
        <f>IFERROR(__xludf.DUMMYFUNCTION("""COMPUTED_VALUE"""),"RT.01, RW.02, Desa Kaliurip, Kec Bener, Purworejo")</f>
        <v>RT.01, RW.02, Desa Kaliurip, Kec Bener, Purworejo</v>
      </c>
      <c r="V321" s="80"/>
      <c r="W321" s="80" t="str">
        <f>IFERROR(__xludf.DUMMYFUNCTION("""COMPUTED_VALUE"""),"KALI URIP")</f>
        <v>KALI URIP</v>
      </c>
      <c r="X321" s="80" t="str">
        <f>IFERROR(__xludf.DUMMYFUNCTION("""COMPUTED_VALUE"""),"BENER")</f>
        <v>BENER</v>
      </c>
      <c r="Y321" s="80" t="str">
        <f>IFERROR(__xludf.DUMMYFUNCTION("""COMPUTED_VALUE"""),"PURWOREJO")</f>
        <v>PURWOREJO</v>
      </c>
      <c r="Z321" s="80" t="str">
        <f>IFERROR(__xludf.DUMMYFUNCTION("""COMPUTED_VALUE"""),"JAWA TENGAH")</f>
        <v>JAWA TENGAH</v>
      </c>
      <c r="AA321" s="80" t="str">
        <f>IFERROR(__xludf.DUMMYFUNCTION("""COMPUTED_VALUE"""),"54183")</f>
        <v>54183</v>
      </c>
      <c r="AB321" s="80" t="str">
        <f>IFERROR(__xludf.DUMMYFUNCTION("""COMPUTED_VALUE"""),"3306160110680008")</f>
        <v>3306160110680008</v>
      </c>
      <c r="AC321" s="80" t="str">
        <f>IFERROR(__xludf.DUMMYFUNCTION("""COMPUTED_VALUE"""),"49.873.976.2-411.000")</f>
        <v>49.873.976.2-411.000</v>
      </c>
      <c r="AD321" s="80" t="str">
        <f>IFERROR(__xludf.DUMMYFUNCTION("""COMPUTED_VALUE"""),"CUM - PS - DMU")</f>
        <v>CUM - PS - DMU</v>
      </c>
      <c r="AE321" s="80" t="str">
        <f>IFERROR(__xludf.DUMMYFUNCTION("""COMPUTED_VALUE"""),"SUB DIAH POS")</f>
        <v>SUB DIAH POS</v>
      </c>
      <c r="AF321" s="80" t="str">
        <f>IFERROR(__xludf.DUMMYFUNCTION("""COMPUTED_VALUE"""),"082241186581")</f>
        <v>082241186581</v>
      </c>
      <c r="AG321" s="80"/>
      <c r="AH321" s="80" t="str">
        <f>IFERROR(__xludf.DUMMYFUNCTION("""COMPUTED_VALUE"""),"netrasakti75@g.mail")</f>
        <v>netrasakti75@g.mail</v>
      </c>
      <c r="AI321" s="80" t="str">
        <f>IFERROR(__xludf.DUMMYFUNCTION("""COMPUTED_VALUE"""),"54183S1")</f>
        <v>54183S1</v>
      </c>
      <c r="AJ321" s="80" t="str">
        <f>IFERROR(__xludf.DUMMYFUNCTION("""COMPUTED_VALUE"""),"6729b89d989ee04ede0063f6")</f>
        <v>6729b89d989ee04ede0063f6</v>
      </c>
      <c r="AK321" s="80" t="str">
        <f>IFERROR(__xludf.DUMMYFUNCTION("""COMPUTED_VALUE"""),"dm54183s1")</f>
        <v>dm54183s1</v>
      </c>
      <c r="AL321" s="80" t="str">
        <f>IFERROR(__xludf.DUMMYFUNCTION("""COMPUTED_VALUE"""),"#54183Pos")</f>
        <v>#54183Pos</v>
      </c>
      <c r="AM321" s="80" t="str">
        <f>IFERROR(__xludf.DUMMYFUNCTION("""COMPUTED_VALUE"""),"KANTOR REGIONAL IV SEMARANG 50004")</f>
        <v>KANTOR REGIONAL IV SEMARANG 50004</v>
      </c>
      <c r="AN321" s="80" t="str">
        <f>IFERROR(__xludf.DUMMYFUNCTION("""COMPUTED_VALUE"""),"KC PURWOREJO 54100")</f>
        <v>KC PURWOREJO 54100</v>
      </c>
      <c r="AO321" s="80" t="str">
        <f>IFERROR(__xludf.DUMMYFUNCTION("""COMPUTED_VALUE"""),"2510240135775")</f>
        <v>2510240135775</v>
      </c>
      <c r="AP321" s="80" t="str">
        <f>IFERROR(__xludf.DUMMYFUNCTION("""COMPUTED_VALUE"""),"25102401357750001")</f>
        <v>25102401357750001</v>
      </c>
      <c r="AQ321" s="83"/>
      <c r="AR321" s="80"/>
      <c r="AS321" s="80"/>
      <c r="AT321" s="80" t="str">
        <f>IFERROR(__xludf.DUMMYFUNCTION("""COMPUTED_VALUE"""),"-7.637697")</f>
        <v>-7.637697</v>
      </c>
      <c r="AU321" s="80" t="str">
        <f>IFERROR(__xludf.DUMMYFUNCTION("""COMPUTED_VALUE"""),"110.052495")</f>
        <v>110.052495</v>
      </c>
      <c r="AV321" s="80"/>
      <c r="AW321" s="80"/>
      <c r="AX321" s="80" t="str">
        <f>IFERROR(__xludf.DUMMYFUNCTION("""COMPUTED_VALUE"""),"ü")</f>
        <v>ü</v>
      </c>
      <c r="AY321" s="80"/>
      <c r="AZ321" s="80"/>
      <c r="BA321" s="80"/>
      <c r="BB321" s="80"/>
      <c r="BC321" s="80"/>
      <c r="BD321" s="80"/>
      <c r="BE321" s="80"/>
      <c r="BF321" s="80"/>
      <c r="BG321" s="80"/>
      <c r="BH321" s="80"/>
      <c r="BI321" s="80"/>
      <c r="BJ321" s="80"/>
      <c r="BK321" s="80"/>
      <c r="BL321" s="80"/>
      <c r="BM321" s="80"/>
      <c r="BN321" s="80"/>
      <c r="BO321" s="80"/>
      <c r="BP321" s="80"/>
      <c r="BQ321" s="80"/>
      <c r="BR321" s="80"/>
      <c r="BS321" s="80"/>
      <c r="BT321" s="80"/>
      <c r="BU321" s="80"/>
      <c r="BV321" s="80"/>
      <c r="BW321" s="80"/>
      <c r="BX321" s="80"/>
      <c r="BY321" s="80"/>
      <c r="BZ321" s="80"/>
      <c r="CA321" s="80"/>
      <c r="CB321" s="80"/>
      <c r="CC321" s="80"/>
      <c r="CD321" s="80"/>
      <c r="CE321" s="80"/>
      <c r="CF321" s="80"/>
      <c r="CG321" s="80"/>
      <c r="CH321" s="80"/>
      <c r="CI321" s="80"/>
      <c r="CJ321" s="80"/>
      <c r="CK321" s="2"/>
    </row>
    <row r="322" ht="12.75" customHeight="1">
      <c r="A322" s="85">
        <f>IFERROR(__xludf.DUMMYFUNCTION("""COMPUTED_VALUE"""),319.0)</f>
        <v>319</v>
      </c>
      <c r="B322" s="85"/>
      <c r="C322" s="85"/>
      <c r="D322" s="86"/>
      <c r="E322" s="88"/>
      <c r="F322" s="85"/>
      <c r="G322" s="86"/>
      <c r="H322" s="85"/>
      <c r="I322" s="85"/>
      <c r="J322" s="85"/>
      <c r="K322" s="85"/>
      <c r="L322" s="85"/>
      <c r="M322" s="85" t="str">
        <f>IFERROR(__xludf.DUMMYFUNCTION("""COMPUTED_VALUE"""),"ü")</f>
        <v>ü</v>
      </c>
      <c r="N322" s="85"/>
      <c r="O322" s="85"/>
      <c r="P322" s="85" t="str">
        <f>IFERROR(__xludf.DUMMYFUNCTION("""COMPUTED_VALUE"""),"MUCSPA63037PSIND")</f>
        <v>MUCSPA63037PSIND</v>
      </c>
      <c r="Q322" s="85" t="str">
        <f>IFERROR(__xludf.DUMMYFUNCTION("""COMPUTED_VALUE"""),"MUC Greenvillage")</f>
        <v>MUC Greenvillage</v>
      </c>
      <c r="R322" s="85" t="str">
        <f>IFERROR(__xludf.DUMMYFUNCTION("""COMPUTED_VALUE"""),"MUC Greenvillage")</f>
        <v>MUC Greenvillage</v>
      </c>
      <c r="S322" s="85" t="str">
        <f>IFERROR(__xludf.DUMMYFUNCTION("""COMPUTED_VALUE"""),"Levina")</f>
        <v>Levina</v>
      </c>
      <c r="T322" s="85" t="str">
        <f>IFERROR(__xludf.DUMMYFUNCTION("""COMPUTED_VALUE"""),"BUMI TELUKJAMBE BLOK B 21")</f>
        <v>BUMI TELUKJAMBE BLOK B 21</v>
      </c>
      <c r="U322" s="85" t="str">
        <f>IFERROR(__xludf.DUMMYFUNCTION("""COMPUTED_VALUE"""),"Jl. Bharata Ruko Greenvilage No.52")</f>
        <v>Jl. Bharata Ruko Greenvilage No.52</v>
      </c>
      <c r="V322" s="85"/>
      <c r="W322" s="85" t="str">
        <f>IFERROR(__xludf.DUMMYFUNCTION("""COMPUTED_VALUE"""),"TELUKJAMBE")</f>
        <v>TELUKJAMBE</v>
      </c>
      <c r="X322" s="85" t="str">
        <f>IFERROR(__xludf.DUMMYFUNCTION("""COMPUTED_VALUE"""),"TELUKJAMBE TIMUR")</f>
        <v>TELUKJAMBE TIMUR</v>
      </c>
      <c r="Y322" s="85" t="str">
        <f>IFERROR(__xludf.DUMMYFUNCTION("""COMPUTED_VALUE"""),"KAB. KARAWANG")</f>
        <v>KAB. KARAWANG</v>
      </c>
      <c r="Z322" s="85" t="str">
        <f>IFERROR(__xludf.DUMMYFUNCTION("""COMPUTED_VALUE"""),"JAWA BARAT")</f>
        <v>JAWA BARAT</v>
      </c>
      <c r="AA322" s="85" t="str">
        <f>IFERROR(__xludf.DUMMYFUNCTION("""COMPUTED_VALUE"""),"41361")</f>
        <v>41361</v>
      </c>
      <c r="AB322" s="85" t="str">
        <f>IFERROR(__xludf.DUMMYFUNCTION("""COMPUTED_VALUE"""),"3215036103820005")</f>
        <v>3215036103820005</v>
      </c>
      <c r="AC322" s="85" t="str">
        <f>IFERROR(__xludf.DUMMYFUNCTION("""COMPUTED_VALUE"""),"13.818.798.4-408.000")</f>
        <v>13.818.798.4-408.000</v>
      </c>
      <c r="AD322" s="85" t="str">
        <f>IFERROR(__xludf.DUMMYFUNCTION("""COMPUTED_VALUE"""),"CUM - PS - SITIH")</f>
        <v>CUM - PS - SITIH</v>
      </c>
      <c r="AE322" s="85" t="str">
        <f>IFERROR(__xludf.DUMMYFUNCTION("""COMPUTED_VALUE"""),"SUB SITI POS")</f>
        <v>SUB SITI POS</v>
      </c>
      <c r="AF322" s="85" t="str">
        <f>IFERROR(__xludf.DUMMYFUNCTION("""COMPUTED_VALUE"""),"085693839470")</f>
        <v>085693839470</v>
      </c>
      <c r="AG322" s="85"/>
      <c r="AH322" s="85" t="str">
        <f>IFERROR(__xludf.DUMMYFUNCTION("""COMPUTED_VALUE"""),"levina.wijoyanto@gmail.com")</f>
        <v>levina.wijoyanto@gmail.com</v>
      </c>
      <c r="AI322" s="85" t="str">
        <f>IFERROR(__xludf.DUMMYFUNCTION("""COMPUTED_VALUE"""),"41331S1")</f>
        <v>41331S1</v>
      </c>
      <c r="AJ322" s="85" t="str">
        <f>IFERROR(__xludf.DUMMYFUNCTION("""COMPUTED_VALUE"""),"67357799d70086a8210540a5")</f>
        <v>67357799d70086a8210540a5</v>
      </c>
      <c r="AK322" s="85" t="str">
        <f>IFERROR(__xludf.DUMMYFUNCTION("""COMPUTED_VALUE"""),"dm41331s1")</f>
        <v>dm41331s1</v>
      </c>
      <c r="AL322" s="85" t="str">
        <f>IFERROR(__xludf.DUMMYFUNCTION("""COMPUTED_VALUE"""),"#41331Pos")</f>
        <v>#41331Pos</v>
      </c>
      <c r="AM322" s="85" t="str">
        <f>IFERROR(__xludf.DUMMYFUNCTION("""COMPUTED_VALUE"""),"KANTOR REGIONAL III BANDUNG 40004")</f>
        <v>KANTOR REGIONAL III BANDUNG 40004</v>
      </c>
      <c r="AN322" s="85" t="str">
        <f>IFERROR(__xludf.DUMMYFUNCTION("""COMPUTED_VALUE"""),"KCU KARAWANG 41300")</f>
        <v>KCU KARAWANG 41300</v>
      </c>
      <c r="AO322" s="85" t="str">
        <f>IFERROR(__xludf.DUMMYFUNCTION("""COMPUTED_VALUE"""),"2008240103568")</f>
        <v>2008240103568</v>
      </c>
      <c r="AP322" s="85" t="str">
        <f>IFERROR(__xludf.DUMMYFUNCTION("""COMPUTED_VALUE"""),"20082401035680004")</f>
        <v>20082401035680004</v>
      </c>
      <c r="AQ322" s="93"/>
      <c r="AR322" s="85"/>
      <c r="AS322" s="85"/>
      <c r="AT322" s="85" t="str">
        <f>IFERROR(__xludf.DUMMYFUNCTION("""COMPUTED_VALUE"""),"-6.329263 ")</f>
        <v>-6.329263 </v>
      </c>
      <c r="AU322" s="85" t="str">
        <f>IFERROR(__xludf.DUMMYFUNCTION("""COMPUTED_VALUE"""),"107.287842")</f>
        <v>107.287842</v>
      </c>
      <c r="AV322" s="85"/>
      <c r="AW322" s="85"/>
      <c r="AX322" s="85" t="str">
        <f>IFERROR(__xludf.DUMMYFUNCTION("""COMPUTED_VALUE"""),"ü")</f>
        <v>ü</v>
      </c>
      <c r="AY322" s="85"/>
      <c r="AZ322" s="85"/>
      <c r="BA322" s="85"/>
      <c r="BB322" s="85"/>
      <c r="BC322" s="85"/>
      <c r="BD322" s="85"/>
      <c r="BE322" s="85"/>
      <c r="BF322" s="85"/>
      <c r="BG322" s="85"/>
      <c r="BH322" s="85"/>
      <c r="BI322" s="85"/>
      <c r="BJ322" s="85"/>
      <c r="BK322" s="85"/>
      <c r="BL322" s="85"/>
      <c r="BM322" s="85"/>
      <c r="BN322" s="85"/>
      <c r="BO322" s="85"/>
      <c r="BP322" s="85"/>
      <c r="BQ322" s="85"/>
      <c r="BR322" s="85"/>
      <c r="BS322" s="85"/>
      <c r="BT322" s="85"/>
      <c r="BU322" s="85"/>
      <c r="BV322" s="85"/>
      <c r="BW322" s="85"/>
      <c r="BX322" s="85"/>
      <c r="BY322" s="85"/>
      <c r="BZ322" s="85"/>
      <c r="CA322" s="85"/>
      <c r="CB322" s="85"/>
      <c r="CC322" s="85"/>
      <c r="CD322" s="85"/>
      <c r="CE322" s="85"/>
      <c r="CF322" s="85"/>
      <c r="CG322" s="85"/>
      <c r="CH322" s="85"/>
      <c r="CI322" s="85"/>
      <c r="CJ322" s="85"/>
      <c r="CK322" s="2"/>
    </row>
    <row r="323" ht="12.75" customHeight="1">
      <c r="A323" s="80">
        <f>IFERROR(__xludf.DUMMYFUNCTION("""COMPUTED_VALUE"""),320.0)</f>
        <v>320</v>
      </c>
      <c r="B323" s="80"/>
      <c r="C323" s="80"/>
      <c r="D323" s="81"/>
      <c r="E323" s="82"/>
      <c r="F323" s="80"/>
      <c r="G323" s="81"/>
      <c r="H323" s="80"/>
      <c r="I323" s="80"/>
      <c r="J323" s="80"/>
      <c r="K323" s="80"/>
      <c r="L323" s="80"/>
      <c r="M323" s="80" t="str">
        <f>IFERROR(__xludf.DUMMYFUNCTION("""COMPUTED_VALUE"""),"ü")</f>
        <v>ü</v>
      </c>
      <c r="N323" s="80"/>
      <c r="O323" s="80"/>
      <c r="P323" s="80" t="str">
        <f>IFERROR(__xludf.DUMMYFUNCTION("""COMPUTED_VALUE"""),"MUCSPA63038PSIND")</f>
        <v>MUCSPA63038PSIND</v>
      </c>
      <c r="Q323" s="80" t="str">
        <f>IFERROR(__xludf.DUMMYFUNCTION("""COMPUTED_VALUE"""),"POST CANGKRING")</f>
        <v>POST CANGKRING</v>
      </c>
      <c r="R323" s="80" t="str">
        <f>IFERROR(__xludf.DUMMYFUNCTION("""COMPUTED_VALUE"""),"POST CANGKRING")</f>
        <v>POST CANGKRING</v>
      </c>
      <c r="S323" s="80" t="str">
        <f>IFERROR(__xludf.DUMMYFUNCTION("""COMPUTED_VALUE"""),"SYAIFULLOH")</f>
        <v>SYAIFULLOH</v>
      </c>
      <c r="T323" s="80" t="str">
        <f>IFERROR(__xludf.DUMMYFUNCTION("""COMPUTED_VALUE"""),"Ds Dawuhan Rt 12 RW 03 kec talang kab tegaL")</f>
        <v>Ds Dawuhan Rt 12 RW 03 kec talang kab tegaL</v>
      </c>
      <c r="U323" s="80" t="str">
        <f>IFERROR(__xludf.DUMMYFUNCTION("""COMPUTED_VALUE"""),"Ds Dawuhan Rt 12 RW 03 kec talang kab tegaL")</f>
        <v>Ds Dawuhan Rt 12 RW 03 kec talang kab tegaL</v>
      </c>
      <c r="V323" s="80"/>
      <c r="W323" s="80" t="str">
        <f>IFERROR(__xludf.DUMMYFUNCTION("""COMPUTED_VALUE"""),"DAWUHAN")</f>
        <v>DAWUHAN</v>
      </c>
      <c r="X323" s="80" t="str">
        <f>IFERROR(__xludf.DUMMYFUNCTION("""COMPUTED_VALUE"""),"TALANG")</f>
        <v>TALANG</v>
      </c>
      <c r="Y323" s="80" t="str">
        <f>IFERROR(__xludf.DUMMYFUNCTION("""COMPUTED_VALUE"""),"KAB TEGAL")</f>
        <v>KAB TEGAL</v>
      </c>
      <c r="Z323" s="80" t="str">
        <f>IFERROR(__xludf.DUMMYFUNCTION("""COMPUTED_VALUE"""),"JAWA TENGAH")</f>
        <v>JAWA TENGAH</v>
      </c>
      <c r="AA323" s="80"/>
      <c r="AB323" s="80" t="str">
        <f>IFERROR(__xludf.DUMMYFUNCTION("""COMPUTED_VALUE"""),"3328123001830004")</f>
        <v>3328123001830004</v>
      </c>
      <c r="AC323" s="80" t="str">
        <f>IFERROR(__xludf.DUMMYFUNCTION("""COMPUTED_VALUE"""),"57.317.870.4-501.000")</f>
        <v>57.317.870.4-501.000</v>
      </c>
      <c r="AD323" s="80" t="str">
        <f>IFERROR(__xludf.DUMMYFUNCTION("""COMPUTED_VALUE"""),"CUM - PS - SYF")</f>
        <v>CUM - PS - SYF</v>
      </c>
      <c r="AE323" s="80" t="str">
        <f>IFERROR(__xludf.DUMMYFUNCTION("""COMPUTED_VALUE"""),"SUB SYAIFULLOH POS")</f>
        <v>SUB SYAIFULLOH POS</v>
      </c>
      <c r="AF323" s="80" t="str">
        <f>IFERROR(__xludf.DUMMYFUNCTION("""COMPUTED_VALUE"""),"0895612469400")</f>
        <v>0895612469400</v>
      </c>
      <c r="AG323" s="80"/>
      <c r="AH323" s="80" t="str">
        <f>IFERROR(__xludf.DUMMYFUNCTION("""COMPUTED_VALUE"""),"syaifullohipuljat@gmail.com")</f>
        <v>syaifullohipuljat@gmail.com</v>
      </c>
      <c r="AI323" s="80"/>
      <c r="AJ323" s="80"/>
      <c r="AK323" s="80"/>
      <c r="AL323" s="80"/>
      <c r="AM323" s="80" t="str">
        <f>IFERROR(__xludf.DUMMYFUNCTION("""COMPUTED_VALUE"""),"KANTOR REGIONAL IV SEMARANG 50004")</f>
        <v>KANTOR REGIONAL IV SEMARANG 50004</v>
      </c>
      <c r="AN323" s="80" t="str">
        <f>IFERROR(__xludf.DUMMYFUNCTION("""COMPUTED_VALUE"""),"KC TEGAL 52100")</f>
        <v>KC TEGAL 52100</v>
      </c>
      <c r="AO323" s="80"/>
      <c r="AP323" s="80"/>
      <c r="AQ323" s="83"/>
      <c r="AR323" s="80"/>
      <c r="AS323" s="80"/>
      <c r="AT323" s="80"/>
      <c r="AU323" s="80"/>
      <c r="AV323" s="80"/>
      <c r="AW323" s="80"/>
      <c r="AX323" s="80" t="str">
        <f>IFERROR(__xludf.DUMMYFUNCTION("""COMPUTED_VALUE"""),"ü")</f>
        <v>ü</v>
      </c>
      <c r="AY323" s="80"/>
      <c r="AZ323" s="80"/>
      <c r="BA323" s="80"/>
      <c r="BB323" s="80"/>
      <c r="BC323" s="80"/>
      <c r="BD323" s="80"/>
      <c r="BE323" s="80"/>
      <c r="BF323" s="80"/>
      <c r="BG323" s="80"/>
      <c r="BH323" s="80"/>
      <c r="BI323" s="80"/>
      <c r="BJ323" s="80"/>
      <c r="BK323" s="80"/>
      <c r="BL323" s="80"/>
      <c r="BM323" s="80"/>
      <c r="BN323" s="80"/>
      <c r="BO323" s="80"/>
      <c r="BP323" s="80"/>
      <c r="BQ323" s="80"/>
      <c r="BR323" s="80"/>
      <c r="BS323" s="80"/>
      <c r="BT323" s="80"/>
      <c r="BU323" s="80"/>
      <c r="BV323" s="80"/>
      <c r="BW323" s="80"/>
      <c r="BX323" s="80"/>
      <c r="BY323" s="80"/>
      <c r="BZ323" s="80"/>
      <c r="CA323" s="80"/>
      <c r="CB323" s="80"/>
      <c r="CC323" s="80"/>
      <c r="CD323" s="80"/>
      <c r="CE323" s="80"/>
      <c r="CF323" s="80"/>
      <c r="CG323" s="80"/>
      <c r="CH323" s="80"/>
      <c r="CI323" s="80"/>
      <c r="CJ323" s="80"/>
      <c r="CK323" s="2"/>
    </row>
    <row r="324" ht="12.75" customHeight="1">
      <c r="A324" s="85">
        <f>IFERROR(__xludf.DUMMYFUNCTION("""COMPUTED_VALUE"""),321.0)</f>
        <v>321</v>
      </c>
      <c r="B324" s="85"/>
      <c r="C324" s="85"/>
      <c r="D324" s="86"/>
      <c r="E324" s="88"/>
      <c r="F324" s="85"/>
      <c r="G324" s="86"/>
      <c r="H324" s="85"/>
      <c r="I324" s="85"/>
      <c r="J324" s="85"/>
      <c r="K324" s="85"/>
      <c r="L324" s="85"/>
      <c r="M324" s="85"/>
      <c r="N324" s="85" t="str">
        <f>IFERROR(__xludf.DUMMYFUNCTION("""COMPUTED_VALUE"""),"ü")</f>
        <v>ü</v>
      </c>
      <c r="O324" s="85"/>
      <c r="P324" s="85" t="str">
        <f>IFERROR(__xludf.DUMMYFUNCTION("""COMPUTED_VALUE"""),"MLO5500024CUMSYF")</f>
        <v>MLO5500024CUMSYF</v>
      </c>
      <c r="Q324" s="85" t="str">
        <f>IFERROR(__xludf.DUMMYFUNCTION("""COMPUTED_VALUE"""),"POST CANGKRING 1")</f>
        <v>POST CANGKRING 1</v>
      </c>
      <c r="R324" s="85" t="str">
        <f>IFERROR(__xludf.DUMMYFUNCTION("""COMPUTED_VALUE"""),"POST CANGKRING 1")</f>
        <v>POST CANGKRING 1</v>
      </c>
      <c r="S324" s="85" t="str">
        <f>IFERROR(__xludf.DUMMYFUNCTION("""COMPUTED_VALUE"""),"SYAIFULLOH")</f>
        <v>SYAIFULLOH</v>
      </c>
      <c r="T324" s="85"/>
      <c r="U324" s="85"/>
      <c r="V324" s="85"/>
      <c r="W324" s="85"/>
      <c r="X324" s="85"/>
      <c r="Y324" s="85"/>
      <c r="Z324" s="85"/>
      <c r="AA324" s="85"/>
      <c r="AB324" s="85" t="str">
        <f>IFERROR(__xludf.DUMMYFUNCTION("""COMPUTED_VALUE"""),"3328123001830004")</f>
        <v>3328123001830004</v>
      </c>
      <c r="AC324" s="85" t="str">
        <f>IFERROR(__xludf.DUMMYFUNCTION("""COMPUTED_VALUE"""),"57.317.870.4-501.000")</f>
        <v>57.317.870.4-501.000</v>
      </c>
      <c r="AD324" s="85" t="str">
        <f>IFERROR(__xludf.DUMMYFUNCTION("""COMPUTED_VALUE"""),"CUM - PS - SYF")</f>
        <v>CUM - PS - SYF</v>
      </c>
      <c r="AE324" s="85" t="str">
        <f>IFERROR(__xludf.DUMMYFUNCTION("""COMPUTED_VALUE"""),"SUB SYAIFULLOH POS")</f>
        <v>SUB SYAIFULLOH POS</v>
      </c>
      <c r="AF324" s="85" t="str">
        <f>IFERROR(__xludf.DUMMYFUNCTION("""COMPUTED_VALUE"""),"0895612469400")</f>
        <v>0895612469400</v>
      </c>
      <c r="AG324" s="85"/>
      <c r="AH324" s="85" t="str">
        <f>IFERROR(__xludf.DUMMYFUNCTION("""COMPUTED_VALUE"""),"syaifullohipuljat@gmail.com")</f>
        <v>syaifullohipuljat@gmail.com</v>
      </c>
      <c r="AI324" s="85"/>
      <c r="AJ324" s="85"/>
      <c r="AK324" s="85"/>
      <c r="AL324" s="85"/>
      <c r="AM324" s="85" t="str">
        <f>IFERROR(__xludf.DUMMYFUNCTION("""COMPUTED_VALUE"""),"KANTOR REGIONAL IV SEMARANG 50004")</f>
        <v>KANTOR REGIONAL IV SEMARANG 50004</v>
      </c>
      <c r="AN324" s="85" t="str">
        <f>IFERROR(__xludf.DUMMYFUNCTION("""COMPUTED_VALUE"""),"KC TEGAL 52100")</f>
        <v>KC TEGAL 52100</v>
      </c>
      <c r="AO324" s="85"/>
      <c r="AP324" s="85"/>
      <c r="AQ324" s="93"/>
      <c r="AR324" s="85"/>
      <c r="AS324" s="85"/>
      <c r="AT324" s="85"/>
      <c r="AU324" s="85"/>
      <c r="AV324" s="85"/>
      <c r="AW324" s="85"/>
      <c r="AX324" s="85" t="str">
        <f>IFERROR(__xludf.DUMMYFUNCTION("""COMPUTED_VALUE"""),"ü")</f>
        <v>ü</v>
      </c>
      <c r="AY324" s="85"/>
      <c r="AZ324" s="85"/>
      <c r="BA324" s="85"/>
      <c r="BB324" s="85"/>
      <c r="BC324" s="85"/>
      <c r="BD324" s="85"/>
      <c r="BE324" s="85"/>
      <c r="BF324" s="85"/>
      <c r="BG324" s="85"/>
      <c r="BH324" s="85"/>
      <c r="BI324" s="85"/>
      <c r="BJ324" s="85"/>
      <c r="BK324" s="85"/>
      <c r="BL324" s="85"/>
      <c r="BM324" s="85"/>
      <c r="BN324" s="85"/>
      <c r="BO324" s="85"/>
      <c r="BP324" s="85"/>
      <c r="BQ324" s="85"/>
      <c r="BR324" s="85"/>
      <c r="BS324" s="85"/>
      <c r="BT324" s="85"/>
      <c r="BU324" s="85"/>
      <c r="BV324" s="85"/>
      <c r="BW324" s="85"/>
      <c r="BX324" s="85"/>
      <c r="BY324" s="85"/>
      <c r="BZ324" s="85"/>
      <c r="CA324" s="85"/>
      <c r="CB324" s="85"/>
      <c r="CC324" s="85"/>
      <c r="CD324" s="85"/>
      <c r="CE324" s="85"/>
      <c r="CF324" s="85"/>
      <c r="CG324" s="85"/>
      <c r="CH324" s="85"/>
      <c r="CI324" s="85"/>
      <c r="CJ324" s="85"/>
      <c r="CK324" s="2"/>
    </row>
    <row r="325" ht="12.75" customHeight="1">
      <c r="A325" s="80">
        <f>IFERROR(__xludf.DUMMYFUNCTION("""COMPUTED_VALUE"""),322.0)</f>
        <v>322</v>
      </c>
      <c r="B325" s="80"/>
      <c r="C325" s="80"/>
      <c r="D325" s="81"/>
      <c r="E325" s="82"/>
      <c r="F325" s="80"/>
      <c r="G325" s="81"/>
      <c r="H325" s="80"/>
      <c r="I325" s="80"/>
      <c r="J325" s="80"/>
      <c r="K325" s="80"/>
      <c r="L325" s="80"/>
      <c r="M325" s="80" t="str">
        <f>IFERROR(__xludf.DUMMYFUNCTION("""COMPUTED_VALUE"""),"ü")</f>
        <v>ü</v>
      </c>
      <c r="N325" s="80"/>
      <c r="O325" s="80"/>
      <c r="P325" s="80" t="str">
        <f>IFERROR(__xludf.DUMMYFUNCTION("""COMPUTED_VALUE"""),"MUCSPA63039PSIND")</f>
        <v>MUCSPA63039PSIND</v>
      </c>
      <c r="Q325" s="80" t="str">
        <f>IFERROR(__xludf.DUMMYFUNCTION("""COMPUTED_VALUE"""),"MUC MAMAH KEMBAR")</f>
        <v>MUC MAMAH KEMBAR</v>
      </c>
      <c r="R325" s="80" t="str">
        <f>IFERROR(__xludf.DUMMYFUNCTION("""COMPUTED_VALUE"""),"MUC MAMAH KEMBAR")</f>
        <v>MUC MAMAH KEMBAR</v>
      </c>
      <c r="S325" s="80" t="str">
        <f>IFERROR(__xludf.DUMMYFUNCTION("""COMPUTED_VALUE"""),"ASRI DWI JAYANTI")</f>
        <v>ASRI DWI JAYANTI</v>
      </c>
      <c r="T325" s="80" t="str">
        <f>IFERROR(__xludf.DUMMYFUNCTION("""COMPUTED_VALUE"""),"Blok. Sentul Rt/Rw 02/03 , Ds. Sitiwinangun kec. Jamblang kab. Cirebon")</f>
        <v>Blok. Sentul Rt/Rw 02/03 , Ds. Sitiwinangun kec. Jamblang kab. Cirebon</v>
      </c>
      <c r="U325" s="80" t="str">
        <f>IFERROR(__xludf.DUMMYFUNCTION("""COMPUTED_VALUE"""),"Blok. Sentul")</f>
        <v>Blok. Sentul</v>
      </c>
      <c r="V325" s="80"/>
      <c r="W325" s="80" t="str">
        <f>IFERROR(__xludf.DUMMYFUNCTION("""COMPUTED_VALUE"""),"SITIWINANGUN")</f>
        <v>SITIWINANGUN</v>
      </c>
      <c r="X325" s="80" t="str">
        <f>IFERROR(__xludf.DUMMYFUNCTION("""COMPUTED_VALUE"""),"JAMBLANG")</f>
        <v>JAMBLANG</v>
      </c>
      <c r="Y325" s="80" t="str">
        <f>IFERROR(__xludf.DUMMYFUNCTION("""COMPUTED_VALUE"""),"CIREBON")</f>
        <v>CIREBON</v>
      </c>
      <c r="Z325" s="80" t="str">
        <f>IFERROR(__xludf.DUMMYFUNCTION("""COMPUTED_VALUE"""),"JAWA BARAT")</f>
        <v>JAWA BARAT</v>
      </c>
      <c r="AA325" s="80" t="str">
        <f>IFERROR(__xludf.DUMMYFUNCTION("""COMPUTED_VALUE"""),"45156")</f>
        <v>45156</v>
      </c>
      <c r="AB325" s="80" t="str">
        <f>IFERROR(__xludf.DUMMYFUNCTION("""COMPUTED_VALUE"""),"3209406108870001")</f>
        <v>3209406108870001</v>
      </c>
      <c r="AC325" s="80" t="str">
        <f>IFERROR(__xludf.DUMMYFUNCTION("""COMPUTED_VALUE"""),"53.163.779.1-455.000")</f>
        <v>53.163.779.1-455.000</v>
      </c>
      <c r="AD325" s="80" t="str">
        <f>IFERROR(__xludf.DUMMYFUNCTION("""COMPUTED_VALUE"""),"CUM - PS - NUR")</f>
        <v>CUM - PS - NUR</v>
      </c>
      <c r="AE325" s="80" t="str">
        <f>IFERROR(__xludf.DUMMYFUNCTION("""COMPUTED_VALUE"""),"SUB NUR POS")</f>
        <v>SUB NUR POS</v>
      </c>
      <c r="AF325" s="80" t="str">
        <f>IFERROR(__xludf.DUMMYFUNCTION("""COMPUTED_VALUE"""),"082118111109")</f>
        <v>082118111109</v>
      </c>
      <c r="AG325" s="80"/>
      <c r="AH325" s="80" t="str">
        <f>IFERROR(__xludf.DUMMYFUNCTION("""COMPUTED_VALUE"""),"asrijayanthi05@gmail.com")</f>
        <v>asrijayanthi05@gmail.com</v>
      </c>
      <c r="AI325" s="80" t="str">
        <f>IFERROR(__xludf.DUMMYFUNCTION("""COMPUTED_VALUE"""),"45657S1")</f>
        <v>45657S1</v>
      </c>
      <c r="AJ325" s="80" t="str">
        <f>IFERROR(__xludf.DUMMYFUNCTION("""COMPUTED_VALUE"""),"672a18e7e21c8d09d8086c44")</f>
        <v>672a18e7e21c8d09d8086c44</v>
      </c>
      <c r="AK325" s="80" t="str">
        <f>IFERROR(__xludf.DUMMYFUNCTION("""COMPUTED_VALUE"""),"dm45657s1")</f>
        <v>dm45657s1</v>
      </c>
      <c r="AL325" s="80" t="str">
        <f>IFERROR(__xludf.DUMMYFUNCTION("""COMPUTED_VALUE"""),"#45657Pos")</f>
        <v>#45657Pos</v>
      </c>
      <c r="AM325" s="80" t="str">
        <f>IFERROR(__xludf.DUMMYFUNCTION("""COMPUTED_VALUE"""),"KANTOR REGIONAL III BANDUNG 40004")</f>
        <v>KANTOR REGIONAL III BANDUNG 40004</v>
      </c>
      <c r="AN325" s="80" t="str">
        <f>IFERROR(__xludf.DUMMYFUNCTION("""COMPUTED_VALUE"""),"KCU CIREBON 45100")</f>
        <v>KCU CIREBON 45100</v>
      </c>
      <c r="AO325" s="80" t="str">
        <f>IFERROR(__xludf.DUMMYFUNCTION("""COMPUTED_VALUE"""),"3010240271557")</f>
        <v>3010240271557</v>
      </c>
      <c r="AP325" s="80" t="str">
        <f>IFERROR(__xludf.DUMMYFUNCTION("""COMPUTED_VALUE"""),"30102402715570001")</f>
        <v>30102402715570001</v>
      </c>
      <c r="AQ325" s="83"/>
      <c r="AR325" s="80"/>
      <c r="AS325" s="80"/>
      <c r="AT325" s="80" t="str">
        <f>IFERROR(__xludf.DUMMYFUNCTION("""COMPUTED_VALUE"""),"-6, 7038029")</f>
        <v>-6, 7038029</v>
      </c>
      <c r="AU325" s="80" t="str">
        <f>IFERROR(__xludf.DUMMYFUNCTION("""COMPUTED_VALUE"""),"108.452125")</f>
        <v>108.452125</v>
      </c>
      <c r="AV325" s="80"/>
      <c r="AW325" s="80"/>
      <c r="AX325" s="80" t="str">
        <f>IFERROR(__xludf.DUMMYFUNCTION("""COMPUTED_VALUE"""),"ü")</f>
        <v>ü</v>
      </c>
      <c r="AY325" s="80"/>
      <c r="AZ325" s="80"/>
      <c r="BA325" s="80"/>
      <c r="BB325" s="80"/>
      <c r="BC325" s="80"/>
      <c r="BD325" s="80"/>
      <c r="BE325" s="80"/>
      <c r="BF325" s="80"/>
      <c r="BG325" s="80"/>
      <c r="BH325" s="80"/>
      <c r="BI325" s="80"/>
      <c r="BJ325" s="80"/>
      <c r="BK325" s="80"/>
      <c r="BL325" s="80"/>
      <c r="BM325" s="80"/>
      <c r="BN325" s="80"/>
      <c r="BO325" s="80"/>
      <c r="BP325" s="80"/>
      <c r="BQ325" s="80"/>
      <c r="BR325" s="80"/>
      <c r="BS325" s="80"/>
      <c r="BT325" s="80"/>
      <c r="BU325" s="80"/>
      <c r="BV325" s="80"/>
      <c r="BW325" s="80"/>
      <c r="BX325" s="80"/>
      <c r="BY325" s="80"/>
      <c r="BZ325" s="80"/>
      <c r="CA325" s="80"/>
      <c r="CB325" s="80"/>
      <c r="CC325" s="80"/>
      <c r="CD325" s="80"/>
      <c r="CE325" s="80"/>
      <c r="CF325" s="80"/>
      <c r="CG325" s="80"/>
      <c r="CH325" s="80"/>
      <c r="CI325" s="80"/>
      <c r="CJ325" s="80"/>
      <c r="CK325" s="2"/>
    </row>
    <row r="326" ht="14.25" customHeight="1">
      <c r="A326" s="85">
        <f>IFERROR(__xludf.DUMMYFUNCTION("""COMPUTED_VALUE"""),323.0)</f>
        <v>323</v>
      </c>
      <c r="B326" s="85"/>
      <c r="C326" s="85"/>
      <c r="D326" s="86"/>
      <c r="E326" s="88"/>
      <c r="F326" s="85"/>
      <c r="G326" s="86"/>
      <c r="H326" s="85"/>
      <c r="I326" s="85"/>
      <c r="J326" s="85"/>
      <c r="K326" s="85"/>
      <c r="L326" s="85"/>
      <c r="M326" s="85" t="str">
        <f>IFERROR(__xludf.DUMMYFUNCTION("""COMPUTED_VALUE"""),"ü")</f>
        <v>ü</v>
      </c>
      <c r="N326" s="85"/>
      <c r="O326" s="85"/>
      <c r="P326" s="85" t="str">
        <f>IFERROR(__xludf.DUMMYFUNCTION("""COMPUTED_VALUE"""),"53BSPA09126JBEEN")</f>
        <v>53BSPA09126JBEEN</v>
      </c>
      <c r="Q326" s="85" t="str">
        <f>IFERROR(__xludf.DUMMYFUNCTION("""COMPUTED_VALUE"""),"MUC ATEKA INTIMEDIA MANDIRI")</f>
        <v>MUC ATEKA INTIMEDIA MANDIRI</v>
      </c>
      <c r="R326" s="85" t="str">
        <f>IFERROR(__xludf.DUMMYFUNCTION("""COMPUTED_VALUE"""),"MUC ATEKA INTIMEDIA MANDIRI")</f>
        <v>MUC ATEKA INTIMEDIA MANDIRI</v>
      </c>
      <c r="S326" s="85" t="str">
        <f>IFERROR(__xludf.DUMMYFUNCTION("""COMPUTED_VALUE"""),"KRISTIAN SUHARTONO")</f>
        <v>KRISTIAN SUHARTONO</v>
      </c>
      <c r="T326" s="85" t="str">
        <f>IFERROR(__xludf.DUMMYFUNCTION("""COMPUTED_VALUE"""),"JL. KINTAMANI 1 NO.101 RT.004 RW.007")</f>
        <v>JL. KINTAMANI 1 NO.101 RT.004 RW.007</v>
      </c>
      <c r="U326" s="85" t="str">
        <f>IFERROR(__xludf.DUMMYFUNCTION("""COMPUTED_VALUE"""),"JALAN PERJUANGAN ")</f>
        <v>JALAN PERJUANGAN </v>
      </c>
      <c r="V326" s="85"/>
      <c r="W326" s="85" t="str">
        <f>IFERROR(__xludf.DUMMYFUNCTION("""COMPUTED_VALUE"""),"HARAPANBARU")</f>
        <v>HARAPANBARU</v>
      </c>
      <c r="X326" s="85" t="str">
        <f>IFERROR(__xludf.DUMMYFUNCTION("""COMPUTED_VALUE"""),"BEKASI UTARA")</f>
        <v>BEKASI UTARA</v>
      </c>
      <c r="Y326" s="85" t="str">
        <f>IFERROR(__xludf.DUMMYFUNCTION("""COMPUTED_VALUE"""),"KOTA BEKASI")</f>
        <v>KOTA BEKASI</v>
      </c>
      <c r="Z326" s="85" t="str">
        <f>IFERROR(__xludf.DUMMYFUNCTION("""COMPUTED_VALUE"""),"JAWA BARAT")</f>
        <v>JAWA BARAT</v>
      </c>
      <c r="AA326" s="85" t="str">
        <f>IFERROR(__xludf.DUMMYFUNCTION("""COMPUTED_VALUE"""),"17123")</f>
        <v>17123</v>
      </c>
      <c r="AB326" s="85" t="str">
        <f>IFERROR(__xludf.DUMMYFUNCTION("""COMPUTED_VALUE"""),"3172062402880002")</f>
        <v>3172062402880002</v>
      </c>
      <c r="AC326" s="85" t="str">
        <f>IFERROR(__xludf.DUMMYFUNCTION("""COMPUTED_VALUE"""),"81.754.784.7-427.000")</f>
        <v>81.754.784.7-427.000</v>
      </c>
      <c r="AD326" s="85" t="str">
        <f>IFERROR(__xludf.DUMMYFUNCTION("""COMPUTED_VALUE"""),"CUM - EEN")</f>
        <v>CUM - EEN</v>
      </c>
      <c r="AE326" s="85" t="str">
        <f>IFERROR(__xludf.DUMMYFUNCTION("""COMPUTED_VALUE"""),"SUB EEN")</f>
        <v>SUB EEN</v>
      </c>
      <c r="AF326" s="85" t="str">
        <f>IFERROR(__xludf.DUMMYFUNCTION("""COMPUTED_VALUE"""),"081808980905")</f>
        <v>081808980905</v>
      </c>
      <c r="AG326" s="85"/>
      <c r="AH326" s="85" t="str">
        <f>IFERROR(__xludf.DUMMYFUNCTION("""COMPUTED_VALUE"""),"center.aim01@gmail.com")</f>
        <v>center.aim01@gmail.com</v>
      </c>
      <c r="AI326" s="85" t="str">
        <f>IFERROR(__xludf.DUMMYFUNCTION("""COMPUTED_VALUE"""),"17123S1")</f>
        <v>17123S1</v>
      </c>
      <c r="AJ326" s="85" t="str">
        <f>IFERROR(__xludf.DUMMYFUNCTION("""COMPUTED_VALUE"""),"672cd92251ea332bb905c04c")</f>
        <v>672cd92251ea332bb905c04c</v>
      </c>
      <c r="AK326" s="85" t="str">
        <f>IFERROR(__xludf.DUMMYFUNCTION("""COMPUTED_VALUE"""),"dm17123s1")</f>
        <v>dm17123s1</v>
      </c>
      <c r="AL326" s="85" t="str">
        <f>IFERROR(__xludf.DUMMYFUNCTION("""COMPUTED_VALUE"""),"#17123Pos")</f>
        <v>#17123Pos</v>
      </c>
      <c r="AM326" s="85" t="str">
        <f>IFERROR(__xludf.DUMMYFUNCTION("""COMPUTED_VALUE"""),"KANTOR REGIONAL II JAKARTA 10004")</f>
        <v>KANTOR REGIONAL II JAKARTA 10004</v>
      </c>
      <c r="AN326" s="85" t="str">
        <f>IFERROR(__xludf.DUMMYFUNCTION("""COMPUTED_VALUE"""),"KCU BEKASI 17000")</f>
        <v>KCU BEKASI 17000</v>
      </c>
      <c r="AO326" s="85" t="str">
        <f>IFERROR(__xludf.DUMMYFUNCTION("""COMPUTED_VALUE"""),"9120103820859")</f>
        <v>9120103820859</v>
      </c>
      <c r="AP326" s="85" t="str">
        <f>IFERROR(__xludf.DUMMYFUNCTION("""COMPUTED_VALUE"""),"91201038208590001")</f>
        <v>91201038208590001</v>
      </c>
      <c r="AQ326" s="93"/>
      <c r="AR326" s="85"/>
      <c r="AS326" s="85"/>
      <c r="AT326" s="85" t="str">
        <f>IFERROR(__xludf.DUMMYFUNCTION("""COMPUTED_VALUE"""),"-6.220974")</f>
        <v>-6.220974</v>
      </c>
      <c r="AU326" s="85" t="str">
        <f>IFERROR(__xludf.DUMMYFUNCTION("""COMPUTED_VALUE"""),"107.016696")</f>
        <v>107.016696</v>
      </c>
      <c r="AV326" s="85"/>
      <c r="AW326" s="85"/>
      <c r="AX326" s="85" t="str">
        <f>IFERROR(__xludf.DUMMYFUNCTION("""COMPUTED_VALUE"""),"ü")</f>
        <v>ü</v>
      </c>
      <c r="AY326" s="85"/>
      <c r="AZ326" s="85"/>
      <c r="BA326" s="85"/>
      <c r="BB326" s="85"/>
      <c r="BC326" s="85"/>
      <c r="BD326" s="85"/>
      <c r="BE326" s="85"/>
      <c r="BF326" s="85"/>
      <c r="BG326" s="85"/>
      <c r="BH326" s="85"/>
      <c r="BI326" s="85"/>
      <c r="BJ326" s="85"/>
      <c r="BK326" s="85"/>
      <c r="BL326" s="85"/>
      <c r="BM326" s="85"/>
      <c r="BN326" s="85"/>
      <c r="BO326" s="85"/>
      <c r="BP326" s="85"/>
      <c r="BQ326" s="85"/>
      <c r="BR326" s="85"/>
      <c r="BS326" s="85"/>
      <c r="BT326" s="85"/>
      <c r="BU326" s="85"/>
      <c r="BV326" s="85"/>
      <c r="BW326" s="85"/>
      <c r="BX326" s="85"/>
      <c r="BY326" s="85"/>
      <c r="BZ326" s="85"/>
      <c r="CA326" s="85"/>
      <c r="CB326" s="85"/>
      <c r="CC326" s="85"/>
      <c r="CD326" s="85"/>
      <c r="CE326" s="85"/>
      <c r="CF326" s="85"/>
      <c r="CG326" s="85"/>
      <c r="CH326" s="85"/>
      <c r="CI326" s="85"/>
      <c r="CJ326" s="85"/>
      <c r="CK326" s="2"/>
    </row>
    <row r="327" ht="12.75" customHeight="1">
      <c r="A327" s="80">
        <f>IFERROR(__xludf.DUMMYFUNCTION("""COMPUTED_VALUE"""),324.0)</f>
        <v>324</v>
      </c>
      <c r="B327" s="80"/>
      <c r="C327" s="80"/>
      <c r="D327" s="81"/>
      <c r="E327" s="82"/>
      <c r="F327" s="80"/>
      <c r="G327" s="81"/>
      <c r="H327" s="80"/>
      <c r="I327" s="80"/>
      <c r="J327" s="80"/>
      <c r="K327" s="80"/>
      <c r="L327" s="80"/>
      <c r="M327" s="80" t="str">
        <f>IFERROR(__xludf.DUMMYFUNCTION("""COMPUTED_VALUE"""),"ü")</f>
        <v>ü</v>
      </c>
      <c r="N327" s="80"/>
      <c r="O327" s="80"/>
      <c r="P327" s="80" t="str">
        <f>IFERROR(__xludf.DUMMYFUNCTION("""COMPUTED_VALUE"""),"MUCSPA63040PSIND")</f>
        <v>MUCSPA63040PSIND</v>
      </c>
      <c r="Q327" s="80" t="str">
        <f>IFERROR(__xludf.DUMMYFUNCTION("""COMPUTED_VALUE"""),"MUC POST BONCANG")</f>
        <v>MUC POST BONCANG</v>
      </c>
      <c r="R327" s="80" t="str">
        <f>IFERROR(__xludf.DUMMYFUNCTION("""COMPUTED_VALUE"""),"MUC POST BONCANG")</f>
        <v>MUC POST BONCANG</v>
      </c>
      <c r="S327" s="80" t="str">
        <f>IFERROR(__xludf.DUMMYFUNCTION("""COMPUTED_VALUE"""),"WINI SUHARNI")</f>
        <v>WINI SUHARNI</v>
      </c>
      <c r="T327" s="80" t="str">
        <f>IFERROR(__xludf.DUMMYFUNCTION("""COMPUTED_VALUE"""),"JL. ANCOL SELATAN")</f>
        <v>JL. ANCOL SELATAN</v>
      </c>
      <c r="U327" s="80" t="str">
        <f>IFERROR(__xludf.DUMMYFUNCTION("""COMPUTED_VALUE"""),"JL KB KACANG 1 NO 19 RT13 RW06 ")</f>
        <v>JL KB KACANG 1 NO 19 RT13 RW06 </v>
      </c>
      <c r="V327" s="80"/>
      <c r="W327" s="80" t="str">
        <f>IFERROR(__xludf.DUMMYFUNCTION("""COMPUTED_VALUE"""),"KEBON KACANG")</f>
        <v>KEBON KACANG</v>
      </c>
      <c r="X327" s="80" t="str">
        <f>IFERROR(__xludf.DUMMYFUNCTION("""COMPUTED_VALUE"""),"TANAH ABANG")</f>
        <v>TANAH ABANG</v>
      </c>
      <c r="Y327" s="80" t="str">
        <f>IFERROR(__xludf.DUMMYFUNCTION("""COMPUTED_VALUE"""),"JAKARTA PUSAT")</f>
        <v>JAKARTA PUSAT</v>
      </c>
      <c r="Z327" s="80" t="str">
        <f>IFERROR(__xludf.DUMMYFUNCTION("""COMPUTED_VALUE"""),"DKI JAKARTA")</f>
        <v>DKI JAKARTA</v>
      </c>
      <c r="AA327" s="80" t="str">
        <f>IFERROR(__xludf.DUMMYFUNCTION("""COMPUTED_VALUE"""),"10240")</f>
        <v>10240</v>
      </c>
      <c r="AB327" s="80" t="str">
        <f>IFERROR(__xludf.DUMMYFUNCTION("""COMPUTED_VALUE"""),"3172025209970008")</f>
        <v>3172025209970008</v>
      </c>
      <c r="AC327" s="80" t="str">
        <f>IFERROR(__xludf.DUMMYFUNCTION("""COMPUTED_VALUE"""),"40.751.685.5-042.000")</f>
        <v>40.751.685.5-042.000</v>
      </c>
      <c r="AD327" s="80" t="str">
        <f>IFERROR(__xludf.DUMMYFUNCTION("""COMPUTED_VALUE"""),"CUM - PS - AYS")</f>
        <v>CUM - PS - AYS</v>
      </c>
      <c r="AE327" s="80" t="str">
        <f>IFERROR(__xludf.DUMMYFUNCTION("""COMPUTED_VALUE"""),"SUB YUNUS POS")</f>
        <v>SUB YUNUS POS</v>
      </c>
      <c r="AF327" s="80" t="str">
        <f>IFERROR(__xludf.DUMMYFUNCTION("""COMPUTED_VALUE"""),"089608001516")</f>
        <v>089608001516</v>
      </c>
      <c r="AG327" s="80"/>
      <c r="AH327" s="80" t="str">
        <f>IFERROR(__xludf.DUMMYFUNCTION("""COMPUTED_VALUE"""),"Winisuharni25@gmail.com")</f>
        <v>Winisuharni25@gmail.com</v>
      </c>
      <c r="AI327" s="80" t="str">
        <f>IFERROR(__xludf.DUMMYFUNCTION("""COMPUTED_VALUE"""),"10240S1")</f>
        <v>10240S1</v>
      </c>
      <c r="AJ327" s="80" t="str">
        <f>IFERROR(__xludf.DUMMYFUNCTION("""COMPUTED_VALUE"""),"673896896f6f5e16f50d4a1d")</f>
        <v>673896896f6f5e16f50d4a1d</v>
      </c>
      <c r="AK327" s="80" t="str">
        <f>IFERROR(__xludf.DUMMYFUNCTION("""COMPUTED_VALUE"""),"dm10240s1")</f>
        <v>dm10240s1</v>
      </c>
      <c r="AL327" s="80" t="str">
        <f>IFERROR(__xludf.DUMMYFUNCTION("""COMPUTED_VALUE"""),"#10240Pos")</f>
        <v>#10240Pos</v>
      </c>
      <c r="AM327" s="80" t="str">
        <f>IFERROR(__xludf.DUMMYFUNCTION("""COMPUTED_VALUE"""),"KANTOR REGIONAL II JAKARTA 10004")</f>
        <v>KANTOR REGIONAL II JAKARTA 10004</v>
      </c>
      <c r="AN327" s="80" t="str">
        <f>IFERROR(__xludf.DUMMYFUNCTION("""COMPUTED_VALUE"""),"KCU JAKARTACENTRUM 10000")</f>
        <v>KCU JAKARTACENTRUM 10000</v>
      </c>
      <c r="AO327" s="80" t="str">
        <f>IFERROR(__xludf.DUMMYFUNCTION("""COMPUTED_VALUE"""),"0805230024708")</f>
        <v>0805230024708</v>
      </c>
      <c r="AP327" s="80" t="str">
        <f>IFERROR(__xludf.DUMMYFUNCTION("""COMPUTED_VALUE"""),"08052300247080001")</f>
        <v>08052300247080001</v>
      </c>
      <c r="AQ327" s="83"/>
      <c r="AR327" s="80"/>
      <c r="AS327" s="80"/>
      <c r="AT327" s="80" t="str">
        <f>IFERROR(__xludf.DUMMYFUNCTION("""COMPUTED_VALUE"""),"-6.187902 ")</f>
        <v>-6.187902 </v>
      </c>
      <c r="AU327" s="80" t="str">
        <f>IFERROR(__xludf.DUMMYFUNCTION("""COMPUTED_VALUE"""),"106.817072")</f>
        <v>106.817072</v>
      </c>
      <c r="AV327" s="80"/>
      <c r="AW327" s="80"/>
      <c r="AX327" s="80" t="str">
        <f>IFERROR(__xludf.DUMMYFUNCTION("""COMPUTED_VALUE"""),"ü")</f>
        <v>ü</v>
      </c>
      <c r="AY327" s="80"/>
      <c r="AZ327" s="80"/>
      <c r="BA327" s="80"/>
      <c r="BB327" s="80"/>
      <c r="BC327" s="80"/>
      <c r="BD327" s="80"/>
      <c r="BE327" s="80"/>
      <c r="BF327" s="80"/>
      <c r="BG327" s="80"/>
      <c r="BH327" s="80"/>
      <c r="BI327" s="80"/>
      <c r="BJ327" s="80"/>
      <c r="BK327" s="80"/>
      <c r="BL327" s="80"/>
      <c r="BM327" s="80"/>
      <c r="BN327" s="80"/>
      <c r="BO327" s="80"/>
      <c r="BP327" s="80"/>
      <c r="BQ327" s="80"/>
      <c r="BR327" s="80"/>
      <c r="BS327" s="80"/>
      <c r="BT327" s="80"/>
      <c r="BU327" s="80"/>
      <c r="BV327" s="80"/>
      <c r="BW327" s="80"/>
      <c r="BX327" s="80"/>
      <c r="BY327" s="80"/>
      <c r="BZ327" s="80"/>
      <c r="CA327" s="80"/>
      <c r="CB327" s="80"/>
      <c r="CC327" s="80"/>
      <c r="CD327" s="80"/>
      <c r="CE327" s="80"/>
      <c r="CF327" s="80"/>
      <c r="CG327" s="80"/>
      <c r="CH327" s="80"/>
      <c r="CI327" s="80"/>
      <c r="CJ327" s="80"/>
      <c r="CK327" s="2"/>
    </row>
    <row r="328" ht="12.75" customHeight="1">
      <c r="A328" s="85">
        <f>IFERROR(__xludf.DUMMYFUNCTION("""COMPUTED_VALUE"""),325.0)</f>
        <v>325</v>
      </c>
      <c r="B328" s="85"/>
      <c r="C328" s="85"/>
      <c r="D328" s="86"/>
      <c r="E328" s="88"/>
      <c r="F328" s="85"/>
      <c r="G328" s="86"/>
      <c r="H328" s="85"/>
      <c r="I328" s="85"/>
      <c r="J328" s="85"/>
      <c r="K328" s="85"/>
      <c r="L328" s="85"/>
      <c r="M328" s="85" t="str">
        <f>IFERROR(__xludf.DUMMYFUNCTION("""COMPUTED_VALUE"""),"ü")</f>
        <v>ü</v>
      </c>
      <c r="N328" s="85"/>
      <c r="O328" s="85"/>
      <c r="P328" s="85" t="str">
        <f>IFERROR(__xludf.DUMMYFUNCTION("""COMPUTED_VALUE"""),"MUCSPA63041PSIND")</f>
        <v>MUCSPA63041PSIND</v>
      </c>
      <c r="Q328" s="85" t="str">
        <f>IFERROR(__xludf.DUMMYFUNCTION("""COMPUTED_VALUE"""),"MUC BERKAH JAYA LESTARI")</f>
        <v>MUC BERKAH JAYA LESTARI</v>
      </c>
      <c r="R328" s="85" t="str">
        <f>IFERROR(__xludf.DUMMYFUNCTION("""COMPUTED_VALUE"""),"MUC BERKAH JAYA LESTARI")</f>
        <v>MUC BERKAH JAYA LESTARI</v>
      </c>
      <c r="S328" s="85" t="str">
        <f>IFERROR(__xludf.DUMMYFUNCTION("""COMPUTED_VALUE"""),"YESSI AMI PURWATI")</f>
        <v>YESSI AMI PURWATI</v>
      </c>
      <c r="T328" s="85" t="str">
        <f>IFERROR(__xludf.DUMMYFUNCTION("""COMPUTED_VALUE"""),"SLAWI KULON RT 002 RW 002")</f>
        <v>SLAWI KULON RT 002 RW 002</v>
      </c>
      <c r="U328" s="85" t="str">
        <f>IFERROR(__xludf.DUMMYFUNCTION("""COMPUTED_VALUE"""),"JL. KH. AHMAD DAHLAN RT 002 RW 002")</f>
        <v>JL. KH. AHMAD DAHLAN RT 002 RW 002</v>
      </c>
      <c r="V328" s="85"/>
      <c r="W328" s="85" t="str">
        <f>IFERROR(__xludf.DUMMYFUNCTION("""COMPUTED_VALUE"""),"SLAWI KULON")</f>
        <v>SLAWI KULON</v>
      </c>
      <c r="X328" s="85" t="str">
        <f>IFERROR(__xludf.DUMMYFUNCTION("""COMPUTED_VALUE"""),"SLAWI")</f>
        <v>SLAWI</v>
      </c>
      <c r="Y328" s="85" t="str">
        <f>IFERROR(__xludf.DUMMYFUNCTION("""COMPUTED_VALUE"""),"KAB. TEGAL")</f>
        <v>KAB. TEGAL</v>
      </c>
      <c r="Z328" s="85" t="str">
        <f>IFERROR(__xludf.DUMMYFUNCTION("""COMPUTED_VALUE"""),"JAWA TENGAH")</f>
        <v>JAWA TENGAH</v>
      </c>
      <c r="AA328" s="85" t="str">
        <f>IFERROR(__xludf.DUMMYFUNCTION("""COMPUTED_VALUE"""),"52419")</f>
        <v>52419</v>
      </c>
      <c r="AB328" s="85" t="str">
        <f>IFERROR(__xludf.DUMMYFUNCTION("""COMPUTED_VALUE"""),"3328104504750005")</f>
        <v>3328104504750005</v>
      </c>
      <c r="AC328" s="85" t="str">
        <f>IFERROR(__xludf.DUMMYFUNCTION("""COMPUTED_VALUE"""),"24.141.035.6-501.000")</f>
        <v>24.141.035.6-501.000</v>
      </c>
      <c r="AD328" s="85" t="str">
        <f>IFERROR(__xludf.DUMMYFUNCTION("""COMPUTED_VALUE"""),"CUM - PS - SYF")</f>
        <v>CUM - PS - SYF</v>
      </c>
      <c r="AE328" s="85" t="str">
        <f>IFERROR(__xludf.DUMMYFUNCTION("""COMPUTED_VALUE"""),"SUB SYAIFULLOH POS")</f>
        <v>SUB SYAIFULLOH POS</v>
      </c>
      <c r="AF328" s="85" t="str">
        <f>IFERROR(__xludf.DUMMYFUNCTION("""COMPUTED_VALUE"""),"08156927523")</f>
        <v>08156927523</v>
      </c>
      <c r="AG328" s="85"/>
      <c r="AH328" s="85" t="str">
        <f>IFERROR(__xludf.DUMMYFUNCTION("""COMPUTED_VALUE"""),"ifaprinting99@gmail.com")</f>
        <v>ifaprinting99@gmail.com</v>
      </c>
      <c r="AI328" s="85" t="str">
        <f>IFERROR(__xludf.DUMMYFUNCTION("""COMPUTED_VALUE"""),"52419S3")</f>
        <v>52419S3</v>
      </c>
      <c r="AJ328" s="85" t="str">
        <f>IFERROR(__xludf.DUMMYFUNCTION("""COMPUTED_VALUE"""),"672aaf4f25e20fb5520d5795")</f>
        <v>672aaf4f25e20fb5520d5795</v>
      </c>
      <c r="AK328" s="85" t="str">
        <f>IFERROR(__xludf.DUMMYFUNCTION("""COMPUTED_VALUE"""),"dm52419s3")</f>
        <v>dm52419s3</v>
      </c>
      <c r="AL328" s="85" t="str">
        <f>IFERROR(__xludf.DUMMYFUNCTION("""COMPUTED_VALUE"""),"#52419Pos")</f>
        <v>#52419Pos</v>
      </c>
      <c r="AM328" s="85" t="str">
        <f>IFERROR(__xludf.DUMMYFUNCTION("""COMPUTED_VALUE"""),"KANTOR REGIONAL IV SEMARANG 50004")</f>
        <v>KANTOR REGIONAL IV SEMARANG 50004</v>
      </c>
      <c r="AN328" s="85" t="str">
        <f>IFERROR(__xludf.DUMMYFUNCTION("""COMPUTED_VALUE"""),"KC TEGAL 52100")</f>
        <v>KC TEGAL 52100</v>
      </c>
      <c r="AO328" s="85" t="str">
        <f>IFERROR(__xludf.DUMMYFUNCTION("""COMPUTED_VALUE"""),"3010240274955")</f>
        <v>3010240274955</v>
      </c>
      <c r="AP328" s="85" t="str">
        <f>IFERROR(__xludf.DUMMYFUNCTION("""COMPUTED_VALUE"""),"30102402749550001")</f>
        <v>30102402749550001</v>
      </c>
      <c r="AQ328" s="93"/>
      <c r="AR328" s="85"/>
      <c r="AS328" s="85"/>
      <c r="AT328" s="85" t="str">
        <f>IFERROR(__xludf.DUMMYFUNCTION("""COMPUTED_VALUE"""),"-6.9862604")</f>
        <v>-6.9862604</v>
      </c>
      <c r="AU328" s="85" t="str">
        <f>IFERROR(__xludf.DUMMYFUNCTION("""COMPUTED_VALUE"""),"109.1374358")</f>
        <v>109.1374358</v>
      </c>
      <c r="AV328" s="85"/>
      <c r="AW328" s="85"/>
      <c r="AX328" s="85" t="str">
        <f>IFERROR(__xludf.DUMMYFUNCTION("""COMPUTED_VALUE"""),"ü")</f>
        <v>ü</v>
      </c>
      <c r="AY328" s="85"/>
      <c r="AZ328" s="85"/>
      <c r="BA328" s="85"/>
      <c r="BB328" s="85"/>
      <c r="BC328" s="85"/>
      <c r="BD328" s="85"/>
      <c r="BE328" s="85"/>
      <c r="BF328" s="85"/>
      <c r="BG328" s="85"/>
      <c r="BH328" s="85"/>
      <c r="BI328" s="85"/>
      <c r="BJ328" s="85"/>
      <c r="BK328" s="85"/>
      <c r="BL328" s="85"/>
      <c r="BM328" s="85"/>
      <c r="BN328" s="85"/>
      <c r="BO328" s="85"/>
      <c r="BP328" s="85"/>
      <c r="BQ328" s="85"/>
      <c r="BR328" s="85"/>
      <c r="BS328" s="85"/>
      <c r="BT328" s="85"/>
      <c r="BU328" s="85"/>
      <c r="BV328" s="85"/>
      <c r="BW328" s="85"/>
      <c r="BX328" s="85"/>
      <c r="BY328" s="85"/>
      <c r="BZ328" s="85"/>
      <c r="CA328" s="85"/>
      <c r="CB328" s="85"/>
      <c r="CC328" s="85"/>
      <c r="CD328" s="85"/>
      <c r="CE328" s="85"/>
      <c r="CF328" s="85"/>
      <c r="CG328" s="85"/>
      <c r="CH328" s="85"/>
      <c r="CI328" s="85"/>
      <c r="CJ328" s="85"/>
      <c r="CK328" s="2"/>
    </row>
    <row r="329" ht="12.75" customHeight="1">
      <c r="A329" s="80">
        <f>IFERROR(__xludf.DUMMYFUNCTION("""COMPUTED_VALUE"""),326.0)</f>
        <v>326</v>
      </c>
      <c r="B329" s="80"/>
      <c r="C329" s="80"/>
      <c r="D329" s="81"/>
      <c r="E329" s="82"/>
      <c r="F329" s="80"/>
      <c r="G329" s="81"/>
      <c r="H329" s="80"/>
      <c r="I329" s="80"/>
      <c r="J329" s="80"/>
      <c r="K329" s="80"/>
      <c r="L329" s="80"/>
      <c r="M329" s="80"/>
      <c r="N329" s="80" t="str">
        <f>IFERROR(__xludf.DUMMYFUNCTION("""COMPUTED_VALUE"""),"ü")</f>
        <v>ü</v>
      </c>
      <c r="O329" s="80"/>
      <c r="P329" s="80" t="str">
        <f>IFERROR(__xludf.DUMMYFUNCTION("""COMPUTED_VALUE"""),"MLO5500025CUMCJE")</f>
        <v>MLO5500025CUMCJE</v>
      </c>
      <c r="Q329" s="80" t="str">
        <f>IFERROR(__xludf.DUMMYFUNCTION("""COMPUTED_VALUE"""),"MUC CENTRAL JAYA EKSPEDISI")</f>
        <v>MUC CENTRAL JAYA EKSPEDISI</v>
      </c>
      <c r="R329" s="80" t="str">
        <f>IFERROR(__xludf.DUMMYFUNCTION("""COMPUTED_VALUE"""),"MUC CENTAL JAYA EKSPEDISI")</f>
        <v>MUC CENTAL JAYA EKSPEDISI</v>
      </c>
      <c r="S329" s="80" t="str">
        <f>IFERROR(__xludf.DUMMYFUNCTION("""COMPUTED_VALUE"""),"SAEFIYATUL MAR’ATI ETIKA ZUHRIAH")</f>
        <v>SAEFIYATUL MAR’ATI ETIKA ZUHRIAH</v>
      </c>
      <c r="T329" s="80" t="str">
        <f>IFERROR(__xludf.DUMMYFUNCTION("""COMPUTED_VALUE"""),"SILO RT.06 RW.01")</f>
        <v>SILO RT.06 RW.01</v>
      </c>
      <c r="U329" s="80" t="str">
        <f>IFERROR(__xludf.DUMMYFUNCTION("""COMPUTED_VALUE"""),"SILO RT.06 RW.01")</f>
        <v>SILO RT.06 RW.01</v>
      </c>
      <c r="V329" s="80"/>
      <c r="W329" s="80" t="str">
        <f>IFERROR(__xludf.DUMMYFUNCTION("""COMPUTED_VALUE"""),"TEGALSARI")</f>
        <v>TEGALSARI</v>
      </c>
      <c r="X329" s="80" t="str">
        <f>IFERROR(__xludf.DUMMYFUNCTION("""COMPUTED_VALUE"""),"BRUNO")</f>
        <v>BRUNO</v>
      </c>
      <c r="Y329" s="80" t="str">
        <f>IFERROR(__xludf.DUMMYFUNCTION("""COMPUTED_VALUE"""),"PURWOREJO")</f>
        <v>PURWOREJO</v>
      </c>
      <c r="Z329" s="80" t="str">
        <f>IFERROR(__xludf.DUMMYFUNCTION("""COMPUTED_VALUE"""),"JAWA TENGAH")</f>
        <v>JAWA TENGAH</v>
      </c>
      <c r="AA329" s="80" t="str">
        <f>IFERROR(__xludf.DUMMYFUNCTION("""COMPUTED_VALUE"""),"54621")</f>
        <v>54621</v>
      </c>
      <c r="AB329" s="80" t="str">
        <f>IFERROR(__xludf.DUMMYFUNCTION("""COMPUTED_VALUE"""),"3306135109880007")</f>
        <v>3306135109880007</v>
      </c>
      <c r="AC329" s="80" t="str">
        <f>IFERROR(__xludf.DUMMYFUNCTION("""COMPUTED_VALUE"""),"80.865.559.1-531.000")</f>
        <v>80.865.559.1-531.000</v>
      </c>
      <c r="AD329" s="80" t="str">
        <f>IFERROR(__xludf.DUMMYFUNCTION("""COMPUTED_VALUE"""),"CUM - PS - DMU")</f>
        <v>CUM - PS - DMU</v>
      </c>
      <c r="AE329" s="80" t="str">
        <f>IFERROR(__xludf.DUMMYFUNCTION("""COMPUTED_VALUE"""),"SUB DIAH POS")</f>
        <v>SUB DIAH POS</v>
      </c>
      <c r="AF329" s="80" t="str">
        <f>IFERROR(__xludf.DUMMYFUNCTION("""COMPUTED_VALUE"""),"085353891986")</f>
        <v>085353891986</v>
      </c>
      <c r="AG329" s="80"/>
      <c r="AH329" s="80" t="str">
        <f>IFERROR(__xludf.DUMMYFUNCTION("""COMPUTED_VALUE"""),"saeviatul@gmail.com")</f>
        <v>saeviatul@gmail.com</v>
      </c>
      <c r="AI329" s="80" t="str">
        <f>IFERROR(__xludf.DUMMYFUNCTION("""COMPUTED_VALUE"""),"54161S2")</f>
        <v>54161S2</v>
      </c>
      <c r="AJ329" s="80" t="str">
        <f>IFERROR(__xludf.DUMMYFUNCTION("""COMPUTED_VALUE"""),"6734263f3622fe0bd20f4038")</f>
        <v>6734263f3622fe0bd20f4038</v>
      </c>
      <c r="AK329" s="80" t="str">
        <f>IFERROR(__xludf.DUMMYFUNCTION("""COMPUTED_VALUE"""),"dm54161s2")</f>
        <v>dm54161s2</v>
      </c>
      <c r="AL329" s="80" t="str">
        <f>IFERROR(__xludf.DUMMYFUNCTION("""COMPUTED_VALUE"""),"#54161Pos")</f>
        <v>#54161Pos</v>
      </c>
      <c r="AM329" s="80" t="str">
        <f>IFERROR(__xludf.DUMMYFUNCTION("""COMPUTED_VALUE"""),"KANTOR REGIONAL IV SEMARANG 50004")</f>
        <v>KANTOR REGIONAL IV SEMARANG 50004</v>
      </c>
      <c r="AN329" s="80" t="str">
        <f>IFERROR(__xludf.DUMMYFUNCTION("""COMPUTED_VALUE"""),"KC PURWOREJO 54100")</f>
        <v>KC PURWOREJO 54100</v>
      </c>
      <c r="AO329" s="80" t="str">
        <f>IFERROR(__xludf.DUMMYFUNCTION("""COMPUTED_VALUE"""),"3110240184416")</f>
        <v>3110240184416</v>
      </c>
      <c r="AP329" s="80" t="str">
        <f>IFERROR(__xludf.DUMMYFUNCTION("""COMPUTED_VALUE"""),"31102401844160001")</f>
        <v>31102401844160001</v>
      </c>
      <c r="AQ329" s="83"/>
      <c r="AR329" s="80"/>
      <c r="AS329" s="80"/>
      <c r="AT329" s="80" t="str">
        <f>IFERROR(__xludf.DUMMYFUNCTION("""COMPUTED_VALUE"""),"-7.54753")</f>
        <v>-7.54753</v>
      </c>
      <c r="AU329" s="80" t="str">
        <f>IFERROR(__xludf.DUMMYFUNCTION("""COMPUTED_VALUE"""),"109.9670618")</f>
        <v>109.9670618</v>
      </c>
      <c r="AV329" s="80"/>
      <c r="AW329" s="80"/>
      <c r="AX329" s="80" t="str">
        <f>IFERROR(__xludf.DUMMYFUNCTION("""COMPUTED_VALUE"""),"ü")</f>
        <v>ü</v>
      </c>
      <c r="AY329" s="80"/>
      <c r="AZ329" s="80"/>
      <c r="BA329" s="80"/>
      <c r="BB329" s="80"/>
      <c r="BC329" s="80"/>
      <c r="BD329" s="80"/>
      <c r="BE329" s="80"/>
      <c r="BF329" s="80"/>
      <c r="BG329" s="80"/>
      <c r="BH329" s="80"/>
      <c r="BI329" s="80"/>
      <c r="BJ329" s="80"/>
      <c r="BK329" s="80"/>
      <c r="BL329" s="80"/>
      <c r="BM329" s="80"/>
      <c r="BN329" s="80"/>
      <c r="BO329" s="80"/>
      <c r="BP329" s="80"/>
      <c r="BQ329" s="80"/>
      <c r="BR329" s="80"/>
      <c r="BS329" s="80"/>
      <c r="BT329" s="80"/>
      <c r="BU329" s="80"/>
      <c r="BV329" s="80"/>
      <c r="BW329" s="80"/>
      <c r="BX329" s="80"/>
      <c r="BY329" s="80"/>
      <c r="BZ329" s="80"/>
      <c r="CA329" s="80"/>
      <c r="CB329" s="80"/>
      <c r="CC329" s="80"/>
      <c r="CD329" s="80"/>
      <c r="CE329" s="80"/>
      <c r="CF329" s="80"/>
      <c r="CG329" s="80"/>
      <c r="CH329" s="80"/>
      <c r="CI329" s="80"/>
      <c r="CJ329" s="80"/>
      <c r="CK329" s="2"/>
    </row>
    <row r="330" ht="12.75" customHeight="1">
      <c r="A330" s="85">
        <f>IFERROR(__xludf.DUMMYFUNCTION("""COMPUTED_VALUE"""),327.0)</f>
        <v>327</v>
      </c>
      <c r="B330" s="85"/>
      <c r="C330" s="85"/>
      <c r="D330" s="86"/>
      <c r="E330" s="88"/>
      <c r="F330" s="85"/>
      <c r="G330" s="86"/>
      <c r="H330" s="85"/>
      <c r="I330" s="85"/>
      <c r="J330" s="85"/>
      <c r="K330" s="85"/>
      <c r="L330" s="85"/>
      <c r="M330" s="85" t="str">
        <f>IFERROR(__xludf.DUMMYFUNCTION("""COMPUTED_VALUE"""),"ü")</f>
        <v>ü</v>
      </c>
      <c r="N330" s="85"/>
      <c r="O330" s="85"/>
      <c r="P330" s="85" t="str">
        <f>IFERROR(__xludf.DUMMYFUNCTION("""COMPUTED_VALUE"""),"MUCSPA63042PSIND")</f>
        <v>MUCSPA63042PSIND</v>
      </c>
      <c r="Q330" s="85" t="str">
        <f>IFERROR(__xludf.DUMMYFUNCTION("""COMPUTED_VALUE"""),"MUC A n D")</f>
        <v>MUC A n D</v>
      </c>
      <c r="R330" s="85" t="str">
        <f>IFERROR(__xludf.DUMMYFUNCTION("""COMPUTED_VALUE"""),"MUC A n D")</f>
        <v>MUC A n D</v>
      </c>
      <c r="S330" s="85" t="str">
        <f>IFERROR(__xludf.DUMMYFUNCTION("""COMPUTED_VALUE"""),"TAOFIQ ARYADI")</f>
        <v>TAOFIQ ARYADI</v>
      </c>
      <c r="T330" s="85" t="str">
        <f>IFERROR(__xludf.DUMMYFUNCTION("""COMPUTED_VALUE"""),"JL. SIMAJA SELATAN GG DELIMA")</f>
        <v>JL. SIMAJA SELATAN GG DELIMA</v>
      </c>
      <c r="U330" s="85" t="str">
        <f>IFERROR(__xludf.DUMMYFUNCTION("""COMPUTED_VALUE"""),"Cipta Regency Taman Sahara Sumber No. K 2")</f>
        <v>Cipta Regency Taman Sahara Sumber No. K 2</v>
      </c>
      <c r="V330" s="85"/>
      <c r="W330" s="85" t="str">
        <f>IFERROR(__xludf.DUMMYFUNCTION("""COMPUTED_VALUE"""),"TUKMUDAL")</f>
        <v>TUKMUDAL</v>
      </c>
      <c r="X330" s="85" t="str">
        <f>IFERROR(__xludf.DUMMYFUNCTION("""COMPUTED_VALUE"""),"SUMBER")</f>
        <v>SUMBER</v>
      </c>
      <c r="Y330" s="85" t="str">
        <f>IFERROR(__xludf.DUMMYFUNCTION("""COMPUTED_VALUE"""),"KAB. CIREBON")</f>
        <v>KAB. CIREBON</v>
      </c>
      <c r="Z330" s="85" t="str">
        <f>IFERROR(__xludf.DUMMYFUNCTION("""COMPUTED_VALUE"""),"JAWA BARAT")</f>
        <v>JAWA BARAT</v>
      </c>
      <c r="AA330" s="85" t="str">
        <f>IFERROR(__xludf.DUMMYFUNCTION("""COMPUTED_VALUE"""),"45611")</f>
        <v>45611</v>
      </c>
      <c r="AB330" s="85" t="str">
        <f>IFERROR(__xludf.DUMMYFUNCTION("""COMPUTED_VALUE"""),"3274051711670006")</f>
        <v>3274051711670006</v>
      </c>
      <c r="AC330" s="85" t="str">
        <f>IFERROR(__xludf.DUMMYFUNCTION("""COMPUTED_VALUE"""),"07.951.990.6-426.000")</f>
        <v>07.951.990.6-426.000</v>
      </c>
      <c r="AD330" s="85" t="str">
        <f>IFERROR(__xludf.DUMMYFUNCTION("""COMPUTED_VALUE"""),"CUM - PS - NUR")</f>
        <v>CUM - PS - NUR</v>
      </c>
      <c r="AE330" s="85" t="str">
        <f>IFERROR(__xludf.DUMMYFUNCTION("""COMPUTED_VALUE"""),"SUB NUR POS")</f>
        <v>SUB NUR POS</v>
      </c>
      <c r="AF330" s="85" t="str">
        <f>IFERROR(__xludf.DUMMYFUNCTION("""COMPUTED_VALUE"""),"087781006170")</f>
        <v>087781006170</v>
      </c>
      <c r="AG330" s="85"/>
      <c r="AH330" s="85" t="str">
        <f>IFERROR(__xludf.DUMMYFUNCTION("""COMPUTED_VALUE"""),"taofiq.aryadi134@gmail.com ")</f>
        <v>taofiq.aryadi134@gmail.com </v>
      </c>
      <c r="AI330" s="85" t="str">
        <f>IFERROR(__xludf.DUMMYFUNCTION("""COMPUTED_VALUE"""),"45617S3")</f>
        <v>45617S3</v>
      </c>
      <c r="AJ330" s="85" t="str">
        <f>IFERROR(__xludf.DUMMYFUNCTION("""COMPUTED_VALUE"""),"672c37487dea9775180060f6")</f>
        <v>672c37487dea9775180060f6</v>
      </c>
      <c r="AK330" s="85" t="str">
        <f>IFERROR(__xludf.DUMMYFUNCTION("""COMPUTED_VALUE"""),"dm45617s3")</f>
        <v>dm45617s3</v>
      </c>
      <c r="AL330" s="85" t="str">
        <f>IFERROR(__xludf.DUMMYFUNCTION("""COMPUTED_VALUE"""),"#45617Pos")</f>
        <v>#45617Pos</v>
      </c>
      <c r="AM330" s="85" t="str">
        <f>IFERROR(__xludf.DUMMYFUNCTION("""COMPUTED_VALUE"""),"KANTOR REGIONAL III BANDUNG 40004")</f>
        <v>KANTOR REGIONAL III BANDUNG 40004</v>
      </c>
      <c r="AN330" s="85" t="str">
        <f>IFERROR(__xludf.DUMMYFUNCTION("""COMPUTED_VALUE"""),"KCU CIREBON 45100")</f>
        <v>KCU CIREBON 45100</v>
      </c>
      <c r="AO330" s="85" t="str">
        <f>IFERROR(__xludf.DUMMYFUNCTION("""COMPUTED_VALUE"""),"0411240047044")</f>
        <v>0411240047044</v>
      </c>
      <c r="AP330" s="85" t="str">
        <f>IFERROR(__xludf.DUMMYFUNCTION("""COMPUTED_VALUE"""),"04112400470440001")</f>
        <v>04112400470440001</v>
      </c>
      <c r="AQ330" s="93"/>
      <c r="AR330" s="85"/>
      <c r="AS330" s="85"/>
      <c r="AT330" s="85" t="str">
        <f>IFERROR(__xludf.DUMMYFUNCTION("""COMPUTED_VALUE"""),"-6.758351")</f>
        <v>-6.758351</v>
      </c>
      <c r="AU330" s="85" t="str">
        <f>IFERROR(__xludf.DUMMYFUNCTION("""COMPUTED_VALUE"""),"108.4714431")</f>
        <v>108.4714431</v>
      </c>
      <c r="AV330" s="85"/>
      <c r="AW330" s="85"/>
      <c r="AX330" s="85" t="str">
        <f>IFERROR(__xludf.DUMMYFUNCTION("""COMPUTED_VALUE"""),"ü")</f>
        <v>ü</v>
      </c>
      <c r="AY330" s="85"/>
      <c r="AZ330" s="85"/>
      <c r="BA330" s="85"/>
      <c r="BB330" s="85"/>
      <c r="BC330" s="85"/>
      <c r="BD330" s="85"/>
      <c r="BE330" s="85"/>
      <c r="BF330" s="85"/>
      <c r="BG330" s="85"/>
      <c r="BH330" s="85"/>
      <c r="BI330" s="85"/>
      <c r="BJ330" s="85"/>
      <c r="BK330" s="85"/>
      <c r="BL330" s="85"/>
      <c r="BM330" s="85"/>
      <c r="BN330" s="85"/>
      <c r="BO330" s="85"/>
      <c r="BP330" s="85"/>
      <c r="BQ330" s="85"/>
      <c r="BR330" s="85"/>
      <c r="BS330" s="85"/>
      <c r="BT330" s="85"/>
      <c r="BU330" s="85"/>
      <c r="BV330" s="85"/>
      <c r="BW330" s="85"/>
      <c r="BX330" s="85"/>
      <c r="BY330" s="85"/>
      <c r="BZ330" s="85"/>
      <c r="CA330" s="85"/>
      <c r="CB330" s="85"/>
      <c r="CC330" s="85"/>
      <c r="CD330" s="85"/>
      <c r="CE330" s="85"/>
      <c r="CF330" s="85"/>
      <c r="CG330" s="85"/>
      <c r="CH330" s="85"/>
      <c r="CI330" s="85"/>
      <c r="CJ330" s="85"/>
      <c r="CK330" s="2"/>
    </row>
    <row r="331" ht="12.75" customHeight="1">
      <c r="A331" s="80">
        <f>IFERROR(__xludf.DUMMYFUNCTION("""COMPUTED_VALUE"""),328.0)</f>
        <v>328</v>
      </c>
      <c r="B331" s="80"/>
      <c r="C331" s="80"/>
      <c r="D331" s="81"/>
      <c r="E331" s="82"/>
      <c r="F331" s="80"/>
      <c r="G331" s="81"/>
      <c r="H331" s="80"/>
      <c r="I331" s="80"/>
      <c r="J331" s="80"/>
      <c r="K331" s="80"/>
      <c r="L331" s="80"/>
      <c r="M331" s="80" t="str">
        <f>IFERROR(__xludf.DUMMYFUNCTION("""COMPUTED_VALUE"""),"ü")</f>
        <v>ü</v>
      </c>
      <c r="N331" s="80"/>
      <c r="O331" s="80"/>
      <c r="P331" s="80" t="str">
        <f>IFERROR(__xludf.DUMMYFUNCTION("""COMPUTED_VALUE"""),"52BSPA07615JTAMT")</f>
        <v>52BSPA07615JTAMT</v>
      </c>
      <c r="Q331" s="80" t="str">
        <f>IFERROR(__xludf.DUMMYFUNCTION("""COMPUTED_VALUE"""),"MUC POST SOKOPULUHAN")</f>
        <v>MUC POST SOKOPULUHAN</v>
      </c>
      <c r="R331" s="80" t="str">
        <f>IFERROR(__xludf.DUMMYFUNCTION("""COMPUTED_VALUE"""),"MUC POST SOKOPULUHAN")</f>
        <v>MUC POST SOKOPULUHAN</v>
      </c>
      <c r="S331" s="80" t="str">
        <f>IFERROR(__xludf.DUMMYFUNCTION("""COMPUTED_VALUE"""),"ANIS KHOIRUL UMAMAH ")</f>
        <v>ANIS KHOIRUL UMAMAH </v>
      </c>
      <c r="T331" s="80" t="str">
        <f>IFERROR(__xludf.DUMMYFUNCTION("""COMPUTED_VALUE"""),"GENDOLO RT.001 RW.002")</f>
        <v>GENDOLO RT.001 RW.002</v>
      </c>
      <c r="U331" s="80" t="str">
        <f>IFERROR(__xludf.DUMMYFUNCTION("""COMPUTED_VALUE"""),"Soko, Sokopuluhan ")</f>
        <v>Soko, Sokopuluhan </v>
      </c>
      <c r="V331" s="80"/>
      <c r="W331" s="80" t="str">
        <f>IFERROR(__xludf.DUMMYFUNCTION("""COMPUTED_VALUE"""),"SOKOPULUHAN")</f>
        <v>SOKOPULUHAN</v>
      </c>
      <c r="X331" s="80" t="str">
        <f>IFERROR(__xludf.DUMMYFUNCTION("""COMPUTED_VALUE"""),"PUCAKWANGI")</f>
        <v>PUCAKWANGI</v>
      </c>
      <c r="Y331" s="80" t="str">
        <f>IFERROR(__xludf.DUMMYFUNCTION("""COMPUTED_VALUE"""),"KAB. PATI")</f>
        <v>KAB. PATI</v>
      </c>
      <c r="Z331" s="80" t="str">
        <f>IFERROR(__xludf.DUMMYFUNCTION("""COMPUTED_VALUE"""),"JAWA TENGAH")</f>
        <v>JAWA TENGAH</v>
      </c>
      <c r="AA331" s="80" t="str">
        <f>IFERROR(__xludf.DUMMYFUNCTION("""COMPUTED_VALUE"""),"59183")</f>
        <v>59183</v>
      </c>
      <c r="AB331" s="80" t="str">
        <f>IFERROR(__xludf.DUMMYFUNCTION("""COMPUTED_VALUE"""),"3318064504920002")</f>
        <v>3318064504920002</v>
      </c>
      <c r="AC331" s="80" t="str">
        <f>IFERROR(__xludf.DUMMYFUNCTION("""COMPUTED_VALUE"""),"91.691.643.0-507.000")</f>
        <v>91.691.643.0-507.000</v>
      </c>
      <c r="AD331" s="80" t="str">
        <f>IFERROR(__xludf.DUMMYFUNCTION("""COMPUTED_VALUE"""),"CUM - AMT")</f>
        <v>CUM - AMT</v>
      </c>
      <c r="AE331" s="80" t="str">
        <f>IFERROR(__xludf.DUMMYFUNCTION("""COMPUTED_VALUE"""),"SUB NUR POS")</f>
        <v>SUB NUR POS</v>
      </c>
      <c r="AF331" s="80" t="str">
        <f>IFERROR(__xludf.DUMMYFUNCTION("""COMPUTED_VALUE"""),"081228236723")</f>
        <v>081228236723</v>
      </c>
      <c r="AG331" s="80"/>
      <c r="AH331" s="80" t="str">
        <f>IFERROR(__xludf.DUMMYFUNCTION("""COMPUTED_VALUE"""),"umamahanis92@gmail.com")</f>
        <v>umamahanis92@gmail.com</v>
      </c>
      <c r="AI331" s="80" t="str">
        <f>IFERROR(__xludf.DUMMYFUNCTION("""COMPUTED_VALUE"""),"59183S1")</f>
        <v>59183S1</v>
      </c>
      <c r="AJ331" s="80" t="str">
        <f>IFERROR(__xludf.DUMMYFUNCTION("""COMPUTED_VALUE"""),"673ff77df9c5b54edd05bb79")</f>
        <v>673ff77df9c5b54edd05bb79</v>
      </c>
      <c r="AK331" s="80" t="str">
        <f>IFERROR(__xludf.DUMMYFUNCTION("""COMPUTED_VALUE"""),"dm59183s1")</f>
        <v>dm59183s1</v>
      </c>
      <c r="AL331" s="80" t="str">
        <f>IFERROR(__xludf.DUMMYFUNCTION("""COMPUTED_VALUE"""),"#59183Pos")</f>
        <v>#59183Pos</v>
      </c>
      <c r="AM331" s="80" t="str">
        <f>IFERROR(__xludf.DUMMYFUNCTION("""COMPUTED_VALUE"""),"KANTOR REGIONAL IV SEMARANG 50004")</f>
        <v>KANTOR REGIONAL IV SEMARANG 50004</v>
      </c>
      <c r="AN331" s="80" t="str">
        <f>IFERROR(__xludf.DUMMYFUNCTION("""COMPUTED_VALUE"""),"KC PATI 59100")</f>
        <v>KC PATI 59100</v>
      </c>
      <c r="AO331" s="80" t="str">
        <f>IFERROR(__xludf.DUMMYFUNCTION("""COMPUTED_VALUE"""),"2910240212922")</f>
        <v>2910240212922</v>
      </c>
      <c r="AP331" s="80" t="str">
        <f>IFERROR(__xludf.DUMMYFUNCTION("""COMPUTED_VALUE"""),"29102402129220001")</f>
        <v>29102402129220001</v>
      </c>
      <c r="AQ331" s="83"/>
      <c r="AR331" s="80"/>
      <c r="AS331" s="80"/>
      <c r="AT331" s="80" t="str">
        <f>IFERROR(__xludf.DUMMYFUNCTION("""COMPUTED_VALUE"""),"-6.809515 ")</f>
        <v>-6.809515 </v>
      </c>
      <c r="AU331" s="80" t="str">
        <f>IFERROR(__xludf.DUMMYFUNCTION("""COMPUTED_VALUE"""),"111.167427")</f>
        <v>111.167427</v>
      </c>
      <c r="AV331" s="80"/>
      <c r="AW331" s="80"/>
      <c r="AX331" s="80" t="str">
        <f>IFERROR(__xludf.DUMMYFUNCTION("""COMPUTED_VALUE"""),"ü")</f>
        <v>ü</v>
      </c>
      <c r="AY331" s="80"/>
      <c r="AZ331" s="80"/>
      <c r="BA331" s="80"/>
      <c r="BB331" s="80"/>
      <c r="BC331" s="80"/>
      <c r="BD331" s="80"/>
      <c r="BE331" s="80"/>
      <c r="BF331" s="80"/>
      <c r="BG331" s="80"/>
      <c r="BH331" s="80"/>
      <c r="BI331" s="80"/>
      <c r="BJ331" s="80"/>
      <c r="BK331" s="80"/>
      <c r="BL331" s="80"/>
      <c r="BM331" s="80"/>
      <c r="BN331" s="80"/>
      <c r="BO331" s="80"/>
      <c r="BP331" s="80"/>
      <c r="BQ331" s="80"/>
      <c r="BR331" s="80"/>
      <c r="BS331" s="80"/>
      <c r="BT331" s="80"/>
      <c r="BU331" s="80"/>
      <c r="BV331" s="80"/>
      <c r="BW331" s="80"/>
      <c r="BX331" s="80"/>
      <c r="BY331" s="80"/>
      <c r="BZ331" s="80"/>
      <c r="CA331" s="80"/>
      <c r="CB331" s="80"/>
      <c r="CC331" s="80"/>
      <c r="CD331" s="80"/>
      <c r="CE331" s="80"/>
      <c r="CF331" s="80"/>
      <c r="CG331" s="80"/>
      <c r="CH331" s="80"/>
      <c r="CI331" s="80"/>
      <c r="CJ331" s="80"/>
      <c r="CK331" s="2"/>
    </row>
    <row r="332" ht="12.75" customHeight="1">
      <c r="A332" s="85">
        <f>IFERROR(__xludf.DUMMYFUNCTION("""COMPUTED_VALUE"""),329.0)</f>
        <v>329</v>
      </c>
      <c r="B332" s="85"/>
      <c r="C332" s="85"/>
      <c r="D332" s="86"/>
      <c r="E332" s="88"/>
      <c r="F332" s="85"/>
      <c r="G332" s="86"/>
      <c r="H332" s="85"/>
      <c r="I332" s="85"/>
      <c r="J332" s="85"/>
      <c r="K332" s="85"/>
      <c r="L332" s="85"/>
      <c r="M332" s="85" t="str">
        <f>IFERROR(__xludf.DUMMYFUNCTION("""COMPUTED_VALUE"""),"ü")</f>
        <v>ü</v>
      </c>
      <c r="N332" s="85"/>
      <c r="O332" s="85"/>
      <c r="P332" s="85" t="str">
        <f>IFERROR(__xludf.DUMMYFUNCTION("""COMPUTED_VALUE"""),"53BSPA04421JBEEN")</f>
        <v>53BSPA04421JBEEN</v>
      </c>
      <c r="Q332" s="85" t="str">
        <f>IFERROR(__xludf.DUMMYFUNCTION("""COMPUTED_VALUE"""),"MUC ABDULLAH")</f>
        <v>MUC ABDULLAH</v>
      </c>
      <c r="R332" s="85" t="str">
        <f>IFERROR(__xludf.DUMMYFUNCTION("""COMPUTED_VALUE"""),"MUC ABDULLAH")</f>
        <v>MUC ABDULLAH</v>
      </c>
      <c r="S332" s="85" t="str">
        <f>IFERROR(__xludf.DUMMYFUNCTION("""COMPUTED_VALUE"""),"ABDULLAH")</f>
        <v>ABDULLAH</v>
      </c>
      <c r="T332" s="85" t="str">
        <f>IFERROR(__xludf.DUMMYFUNCTION("""COMPUTED_VALUE"""),"DSN PAJATEN 1")</f>
        <v>DSN PAJATEN 1</v>
      </c>
      <c r="U332" s="85" t="str">
        <f>IFERROR(__xludf.DUMMYFUNCTION("""COMPUTED_VALUE"""),"Dusun Pajaten Rt. 003/001")</f>
        <v>Dusun Pajaten Rt. 003/001</v>
      </c>
      <c r="V332" s="85"/>
      <c r="W332" s="85" t="str">
        <f>IFERROR(__xludf.DUMMYFUNCTION("""COMPUTED_VALUE"""),"PAJATEN")</f>
        <v>PAJATEN</v>
      </c>
      <c r="X332" s="85" t="str">
        <f>IFERROR(__xludf.DUMMYFUNCTION("""COMPUTED_VALUE"""),"CIBUAYA")</f>
        <v>CIBUAYA</v>
      </c>
      <c r="Y332" s="85" t="str">
        <f>IFERROR(__xludf.DUMMYFUNCTION("""COMPUTED_VALUE"""),"KAB. KARAWANG")</f>
        <v>KAB. KARAWANG</v>
      </c>
      <c r="Z332" s="85" t="str">
        <f>IFERROR(__xludf.DUMMYFUNCTION("""COMPUTED_VALUE"""),"JAWA BARAT")</f>
        <v>JAWA BARAT</v>
      </c>
      <c r="AA332" s="85" t="str">
        <f>IFERROR(__xludf.DUMMYFUNCTION("""COMPUTED_VALUE"""),"41356")</f>
        <v>41356</v>
      </c>
      <c r="AB332" s="85" t="str">
        <f>IFERROR(__xludf.DUMMYFUNCTION("""COMPUTED_VALUE"""),"3215110203640001")</f>
        <v>3215110203640001</v>
      </c>
      <c r="AC332" s="85" t="str">
        <f>IFERROR(__xludf.DUMMYFUNCTION("""COMPUTED_VALUE"""),"23.534.570.9-408.000")</f>
        <v>23.534.570.9-408.000</v>
      </c>
      <c r="AD332" s="85" t="str">
        <f>IFERROR(__xludf.DUMMYFUNCTION("""COMPUTED_VALUE"""),"CUM - EEN")</f>
        <v>CUM - EEN</v>
      </c>
      <c r="AE332" s="85" t="str">
        <f>IFERROR(__xludf.DUMMYFUNCTION("""COMPUTED_VALUE"""),"SUB EEN")</f>
        <v>SUB EEN</v>
      </c>
      <c r="AF332" s="85" t="str">
        <f>IFERROR(__xludf.DUMMYFUNCTION("""COMPUTED_VALUE"""),"085694277630")</f>
        <v>085694277630</v>
      </c>
      <c r="AG332" s="85"/>
      <c r="AH332" s="85" t="str">
        <f>IFERROR(__xludf.DUMMYFUNCTION("""COMPUTED_VALUE"""),"abdullahpajatan@gmail.com")</f>
        <v>abdullahpajatan@gmail.com</v>
      </c>
      <c r="AI332" s="85" t="str">
        <f>IFERROR(__xludf.DUMMYFUNCTION("""COMPUTED_VALUE"""),"41356S1")</f>
        <v>41356S1</v>
      </c>
      <c r="AJ332" s="85" t="str">
        <f>IFERROR(__xludf.DUMMYFUNCTION("""COMPUTED_VALUE"""),"67359e98b732039b470d274a")</f>
        <v>67359e98b732039b470d274a</v>
      </c>
      <c r="AK332" s="85" t="str">
        <f>IFERROR(__xludf.DUMMYFUNCTION("""COMPUTED_VALUE"""),"dm41356s1")</f>
        <v>dm41356s1</v>
      </c>
      <c r="AL332" s="85" t="str">
        <f>IFERROR(__xludf.DUMMYFUNCTION("""COMPUTED_VALUE"""),"#41356Pos")</f>
        <v>#41356Pos</v>
      </c>
      <c r="AM332" s="85" t="str">
        <f>IFERROR(__xludf.DUMMYFUNCTION("""COMPUTED_VALUE"""),"KANTOR REGIONAL III BANDUNG 40004")</f>
        <v>KANTOR REGIONAL III BANDUNG 40004</v>
      </c>
      <c r="AN332" s="85" t="str">
        <f>IFERROR(__xludf.DUMMYFUNCTION("""COMPUTED_VALUE"""),"KCU KARAWANG 41300")</f>
        <v>KCU KARAWANG 41300</v>
      </c>
      <c r="AO332" s="85" t="str">
        <f>IFERROR(__xludf.DUMMYFUNCTION("""COMPUTED_VALUE"""),"0511240037674")</f>
        <v>0511240037674</v>
      </c>
      <c r="AP332" s="85" t="str">
        <f>IFERROR(__xludf.DUMMYFUNCTION("""COMPUTED_VALUE"""),"05112400376740001")</f>
        <v>05112400376740001</v>
      </c>
      <c r="AQ332" s="93"/>
      <c r="AR332" s="85"/>
      <c r="AS332" s="85"/>
      <c r="AT332" s="85" t="str">
        <f>IFERROR(__xludf.DUMMYFUNCTION("""COMPUTED_VALUE"""),"-6.050981")</f>
        <v>-6.050981</v>
      </c>
      <c r="AU332" s="85" t="str">
        <f>IFERROR(__xludf.DUMMYFUNCTION("""COMPUTED_VALUE"""),"107.352907")</f>
        <v>107.352907</v>
      </c>
      <c r="AV332" s="85"/>
      <c r="AW332" s="85"/>
      <c r="AX332" s="85" t="str">
        <f>IFERROR(__xludf.DUMMYFUNCTION("""COMPUTED_VALUE"""),"ü")</f>
        <v>ü</v>
      </c>
      <c r="AY332" s="85"/>
      <c r="AZ332" s="85"/>
      <c r="BA332" s="85"/>
      <c r="BB332" s="85"/>
      <c r="BC332" s="85"/>
      <c r="BD332" s="85"/>
      <c r="BE332" s="85"/>
      <c r="BF332" s="85"/>
      <c r="BG332" s="85"/>
      <c r="BH332" s="85"/>
      <c r="BI332" s="85"/>
      <c r="BJ332" s="85"/>
      <c r="BK332" s="85"/>
      <c r="BL332" s="85"/>
      <c r="BM332" s="85"/>
      <c r="BN332" s="85"/>
      <c r="BO332" s="85"/>
      <c r="BP332" s="85"/>
      <c r="BQ332" s="85"/>
      <c r="BR332" s="85"/>
      <c r="BS332" s="85"/>
      <c r="BT332" s="85"/>
      <c r="BU332" s="85"/>
      <c r="BV332" s="85"/>
      <c r="BW332" s="85"/>
      <c r="BX332" s="85"/>
      <c r="BY332" s="85"/>
      <c r="BZ332" s="85"/>
      <c r="CA332" s="85"/>
      <c r="CB332" s="85"/>
      <c r="CC332" s="85"/>
      <c r="CD332" s="85"/>
      <c r="CE332" s="85"/>
      <c r="CF332" s="85"/>
      <c r="CG332" s="85"/>
      <c r="CH332" s="85"/>
      <c r="CI332" s="85"/>
      <c r="CJ332" s="85"/>
      <c r="CK332" s="2"/>
    </row>
    <row r="333" ht="12.75" customHeight="1">
      <c r="A333" s="80">
        <f>IFERROR(__xludf.DUMMYFUNCTION("""COMPUTED_VALUE"""),330.0)</f>
        <v>330</v>
      </c>
      <c r="B333" s="80" t="str">
        <f>IFERROR(__xludf.DUMMYFUNCTION("""COMPUTED_VALUE"""),"BELUM REGIST MENUNGGU KONFIRMASI BU RIRIN")</f>
        <v>BELUM REGIST MENUNGGU KONFIRMASI BU RIRIN</v>
      </c>
      <c r="C333" s="80"/>
      <c r="D333" s="81"/>
      <c r="E333" s="82"/>
      <c r="F333" s="80"/>
      <c r="G333" s="81"/>
      <c r="H333" s="80"/>
      <c r="I333" s="80"/>
      <c r="J333" s="80"/>
      <c r="K333" s="80"/>
      <c r="L333" s="80"/>
      <c r="M333" s="80"/>
      <c r="N333" s="80" t="str">
        <f>IFERROR(__xludf.DUMMYFUNCTION("""COMPUTED_VALUE"""),"ü")</f>
        <v>ü</v>
      </c>
      <c r="O333" s="80"/>
      <c r="P333" s="80" t="str">
        <f>IFERROR(__xludf.DUMMYFUNCTION("""COMPUTED_VALUE"""),"53BSPA09129JBEEN")</f>
        <v>53BSPA09129JBEEN</v>
      </c>
      <c r="Q333" s="80" t="str">
        <f>IFERROR(__xludf.DUMMYFUNCTION("""COMPUTED_VALUE"""),"MUC SHEMA NUSA EXPRESS")</f>
        <v>MUC SHEMA NUSA EXPRESS</v>
      </c>
      <c r="R333" s="80" t="str">
        <f>IFERROR(__xludf.DUMMYFUNCTION("""COMPUTED_VALUE"""),"MUC SHEMA NUSA EXPRESS")</f>
        <v>MUC SHEMA NUSA EXPRESS</v>
      </c>
      <c r="S333" s="80" t="str">
        <f>IFERROR(__xludf.DUMMYFUNCTION("""COMPUTED_VALUE"""),"RAPIHATI SARUMAHA")</f>
        <v>RAPIHATI SARUMAHA</v>
      </c>
      <c r="T333" s="80" t="str">
        <f>IFERROR(__xludf.DUMMYFUNCTION("""COMPUTED_VALUE"""),"JL. DENKI SELATAN III NO.96 RT.003 RW.002 KEL. CISEUREUH, KEC. REGOL, KOTA BANDUNG JAWA BARAT")</f>
        <v>JL. DENKI SELATAN III NO.96 RT.003 RW.002 KEL. CISEUREUH, KEC. REGOL, KOTA BANDUNG JAWA BARAT</v>
      </c>
      <c r="U333" s="80" t="str">
        <f>IFERROR(__xludf.DUMMYFUNCTION("""COMPUTED_VALUE"""),"JL. MOH TOHA NO. 388")</f>
        <v>JL. MOH TOHA NO. 388</v>
      </c>
      <c r="V333" s="80"/>
      <c r="W333" s="80" t="str">
        <f>IFERROR(__xludf.DUMMYFUNCTION("""COMPUTED_VALUE"""),"WATES")</f>
        <v>WATES</v>
      </c>
      <c r="X333" s="80" t="str">
        <f>IFERROR(__xludf.DUMMYFUNCTION("""COMPUTED_VALUE"""),"BANDUNG KIDUL")</f>
        <v>BANDUNG KIDUL</v>
      </c>
      <c r="Y333" s="80" t="str">
        <f>IFERROR(__xludf.DUMMYFUNCTION("""COMPUTED_VALUE"""),"KOTA BANDUNG")</f>
        <v>KOTA BANDUNG</v>
      </c>
      <c r="Z333" s="80" t="str">
        <f>IFERROR(__xludf.DUMMYFUNCTION("""COMPUTED_VALUE"""),"JAWA BARAT")</f>
        <v>JAWA BARAT</v>
      </c>
      <c r="AA333" s="80" t="str">
        <f>IFERROR(__xludf.DUMMYFUNCTION("""COMPUTED_VALUE"""),"40268")</f>
        <v>40268</v>
      </c>
      <c r="AB333" s="80" t="str">
        <f>IFERROR(__xludf.DUMMYFUNCTION("""COMPUTED_VALUE"""),"3273116904760005")</f>
        <v>3273116904760005</v>
      </c>
      <c r="AC333" s="80" t="str">
        <f>IFERROR(__xludf.DUMMYFUNCTION("""COMPUTED_VALUE"""),"76.692.861.8-424.000")</f>
        <v>76.692.861.8-424.000</v>
      </c>
      <c r="AD333" s="80" t="str">
        <f>IFERROR(__xludf.DUMMYFUNCTION("""COMPUTED_VALUE"""),"CUM - EEN")</f>
        <v>CUM - EEN</v>
      </c>
      <c r="AE333" s="80" t="str">
        <f>IFERROR(__xludf.DUMMYFUNCTION("""COMPUTED_VALUE"""),"SUB EEN")</f>
        <v>SUB EEN</v>
      </c>
      <c r="AF333" s="80" t="str">
        <f>IFERROR(__xludf.DUMMYFUNCTION("""COMPUTED_VALUE"""),"081321368439")</f>
        <v>081321368439</v>
      </c>
      <c r="AG333" s="80"/>
      <c r="AH333" s="80" t="str">
        <f>IFERROR(__xludf.DUMMYFUNCTION("""COMPUTED_VALUE"""),"shemanusaexpress@gmail.com")</f>
        <v>shemanusaexpress@gmail.com</v>
      </c>
      <c r="AI333" s="80"/>
      <c r="AJ333" s="80"/>
      <c r="AK333" s="80"/>
      <c r="AL333" s="80"/>
      <c r="AM333" s="80" t="str">
        <f>IFERROR(__xludf.DUMMYFUNCTION("""COMPUTED_VALUE"""),"KANTOR REGIONAL III BANDUNG 40004")</f>
        <v>KANTOR REGIONAL III BANDUNG 40004</v>
      </c>
      <c r="AN333" s="80" t="str">
        <f>IFERROR(__xludf.DUMMYFUNCTION("""COMPUTED_VALUE"""),"KCU BANDUNG 40000")</f>
        <v>KCU BANDUNG 40000</v>
      </c>
      <c r="AO333" s="80" t="str">
        <f>IFERROR(__xludf.DUMMYFUNCTION("""COMPUTED_VALUE"""),"0511240124873")</f>
        <v>0511240124873</v>
      </c>
      <c r="AP333" s="80" t="str">
        <f>IFERROR(__xludf.DUMMYFUNCTION("""COMPUTED_VALUE"""),"05112401248730001")</f>
        <v>05112401248730001</v>
      </c>
      <c r="AQ333" s="83"/>
      <c r="AR333" s="80"/>
      <c r="AS333" s="80"/>
      <c r="AT333" s="80" t="str">
        <f>IFERROR(__xludf.DUMMYFUNCTION("""COMPUTED_VALUE"""),"-6.958750")</f>
        <v>-6.958750</v>
      </c>
      <c r="AU333" s="80" t="str">
        <f>IFERROR(__xludf.DUMMYFUNCTION("""COMPUTED_VALUE"""),"107.6127602")</f>
        <v>107.6127602</v>
      </c>
      <c r="AV333" s="80"/>
      <c r="AW333" s="80"/>
      <c r="AX333" s="80" t="str">
        <f>IFERROR(__xludf.DUMMYFUNCTION("""COMPUTED_VALUE"""),"ü")</f>
        <v>ü</v>
      </c>
      <c r="AY333" s="80"/>
      <c r="AZ333" s="80"/>
      <c r="BA333" s="80"/>
      <c r="BB333" s="80"/>
      <c r="BC333" s="80"/>
      <c r="BD333" s="80"/>
      <c r="BE333" s="80"/>
      <c r="BF333" s="80"/>
      <c r="BG333" s="80"/>
      <c r="BH333" s="80"/>
      <c r="BI333" s="80"/>
      <c r="BJ333" s="80"/>
      <c r="BK333" s="80"/>
      <c r="BL333" s="80"/>
      <c r="BM333" s="80"/>
      <c r="BN333" s="80"/>
      <c r="BO333" s="80"/>
      <c r="BP333" s="80"/>
      <c r="BQ333" s="80"/>
      <c r="BR333" s="80"/>
      <c r="BS333" s="80"/>
      <c r="BT333" s="80"/>
      <c r="BU333" s="80"/>
      <c r="BV333" s="80"/>
      <c r="BW333" s="80"/>
      <c r="BX333" s="80"/>
      <c r="BY333" s="80"/>
      <c r="BZ333" s="80"/>
      <c r="CA333" s="80"/>
      <c r="CB333" s="80"/>
      <c r="CC333" s="80"/>
      <c r="CD333" s="80"/>
      <c r="CE333" s="80"/>
      <c r="CF333" s="80"/>
      <c r="CG333" s="80"/>
      <c r="CH333" s="80"/>
      <c r="CI333" s="80"/>
      <c r="CJ333" s="80"/>
      <c r="CK333" s="2"/>
    </row>
    <row r="334" ht="12.75" customHeight="1">
      <c r="A334" s="85">
        <f>IFERROR(__xludf.DUMMYFUNCTION("""COMPUTED_VALUE"""),331.0)</f>
        <v>331</v>
      </c>
      <c r="B334" s="85"/>
      <c r="C334" s="85"/>
      <c r="D334" s="86"/>
      <c r="E334" s="88"/>
      <c r="F334" s="85"/>
      <c r="G334" s="86"/>
      <c r="H334" s="85"/>
      <c r="I334" s="85"/>
      <c r="J334" s="85"/>
      <c r="K334" s="85"/>
      <c r="L334" s="85"/>
      <c r="M334" s="85" t="str">
        <f>IFERROR(__xludf.DUMMYFUNCTION("""COMPUTED_VALUE"""),"ü")</f>
        <v>ü</v>
      </c>
      <c r="N334" s="85"/>
      <c r="O334" s="85"/>
      <c r="P334" s="85" t="str">
        <f>IFERROR(__xludf.DUMMYFUNCTION("""COMPUTED_VALUE"""),"MUCSPA63043PSIND")</f>
        <v>MUCSPA63043PSIND</v>
      </c>
      <c r="Q334" s="85" t="str">
        <f>IFERROR(__xludf.DUMMYFUNCTION("""COMPUTED_VALUE"""),"MUC Duwetraya Xpress")</f>
        <v>MUC Duwetraya Xpress</v>
      </c>
      <c r="R334" s="85" t="str">
        <f>IFERROR(__xludf.DUMMYFUNCTION("""COMPUTED_VALUE"""),"MUC Duwetraya Xpress")</f>
        <v>MUC Duwetraya Xpress</v>
      </c>
      <c r="S334" s="85" t="str">
        <f>IFERROR(__xludf.DUMMYFUNCTION("""COMPUTED_VALUE"""),"FIRE KAESNUARI")</f>
        <v>FIRE KAESNUARI</v>
      </c>
      <c r="T334" s="85" t="str">
        <f>IFERROR(__xludf.DUMMYFUNCTION("""COMPUTED_VALUE"""),"JL. MERPATI II BLOK. B NO.33 RT.002 RW.012, GENTAN, BAKI, KAB. SUKOHARJO JAWA TENGAH")</f>
        <v>JL. MERPATI II BLOK. B NO.33 RT.002 RW.012, GENTAN, BAKI, KAB. SUKOHARJO JAWA TENGAH</v>
      </c>
      <c r="U334" s="85" t="str">
        <f>IFERROR(__xludf.DUMMYFUNCTION("""COMPUTED_VALUE"""),"JL. Duwet 14 Blok T No.2 RT.06/RW.07")</f>
        <v>JL. Duwet 14 Blok T No.2 RT.06/RW.07</v>
      </c>
      <c r="V334" s="85"/>
      <c r="W334" s="85" t="str">
        <f>IFERROR(__xludf.DUMMYFUNCTION("""COMPUTED_VALUE"""),"KARANGASEM")</f>
        <v>KARANGASEM</v>
      </c>
      <c r="X334" s="85" t="str">
        <f>IFERROR(__xludf.DUMMYFUNCTION("""COMPUTED_VALUE"""),"LAWEYAN")</f>
        <v>LAWEYAN</v>
      </c>
      <c r="Y334" s="85" t="str">
        <f>IFERROR(__xludf.DUMMYFUNCTION("""COMPUTED_VALUE"""),"KOTA SURAKARTA")</f>
        <v>KOTA SURAKARTA</v>
      </c>
      <c r="Z334" s="85" t="str">
        <f>IFERROR(__xludf.DUMMYFUNCTION("""COMPUTED_VALUE"""),"JAWA TENGAH")</f>
        <v>JAWA TENGAH</v>
      </c>
      <c r="AA334" s="85" t="str">
        <f>IFERROR(__xludf.DUMMYFUNCTION("""COMPUTED_VALUE"""),"57145")</f>
        <v>57145</v>
      </c>
      <c r="AB334" s="85" t="str">
        <f>IFERROR(__xludf.DUMMYFUNCTION("""COMPUTED_VALUE"""),"1408042701950001")</f>
        <v>1408042701950001</v>
      </c>
      <c r="AC334" s="85" t="str">
        <f>IFERROR(__xludf.DUMMYFUNCTION("""COMPUTED_VALUE"""),"60.967.636.6-532.000")</f>
        <v>60.967.636.6-532.000</v>
      </c>
      <c r="AD334" s="85" t="str">
        <f>IFERROR(__xludf.DUMMYFUNCTION("""COMPUTED_VALUE"""),"CUM - PS - RFSI")</f>
        <v>CUM - PS - RFSI</v>
      </c>
      <c r="AE334" s="85" t="str">
        <f>IFERROR(__xludf.DUMMYFUNCTION("""COMPUTED_VALUE"""),"SUB RIZKI POS")</f>
        <v>SUB RIZKI POS</v>
      </c>
      <c r="AF334" s="85" t="str">
        <f>IFERROR(__xludf.DUMMYFUNCTION("""COMPUTED_VALUE"""),"081227937095")</f>
        <v>081227937095</v>
      </c>
      <c r="AG334" s="85"/>
      <c r="AH334" s="85" t="str">
        <f>IFERROR(__xludf.DUMMYFUNCTION("""COMPUTED_VALUE"""),"vire275800@gmail.com")</f>
        <v>vire275800@gmail.com</v>
      </c>
      <c r="AI334" s="85" t="str">
        <f>IFERROR(__xludf.DUMMYFUNCTION("""COMPUTED_VALUE"""),"57145S4")</f>
        <v>57145S4</v>
      </c>
      <c r="AJ334" s="85" t="str">
        <f>IFERROR(__xludf.DUMMYFUNCTION("""COMPUTED_VALUE"""),"672ce3111ba78013d30cf101")</f>
        <v>672ce3111ba78013d30cf101</v>
      </c>
      <c r="AK334" s="85" t="str">
        <f>IFERROR(__xludf.DUMMYFUNCTION("""COMPUTED_VALUE"""),"dm57145s4")</f>
        <v>dm57145s4</v>
      </c>
      <c r="AL334" s="85" t="str">
        <f>IFERROR(__xludf.DUMMYFUNCTION("""COMPUTED_VALUE"""),"#57145Pos")</f>
        <v>#57145Pos</v>
      </c>
      <c r="AM334" s="85" t="str">
        <f>IFERROR(__xludf.DUMMYFUNCTION("""COMPUTED_VALUE"""),"KANTOR REGIONAL IV SEMARANG 50004")</f>
        <v>KANTOR REGIONAL IV SEMARANG 50004</v>
      </c>
      <c r="AN334" s="85" t="str">
        <f>IFERROR(__xludf.DUMMYFUNCTION("""COMPUTED_VALUE"""),"KCU SOLO 57100")</f>
        <v>KCU SOLO 57100</v>
      </c>
      <c r="AO334" s="85" t="str">
        <f>IFERROR(__xludf.DUMMYFUNCTION("""COMPUTED_VALUE"""),"1909240146232")</f>
        <v>1909240146232</v>
      </c>
      <c r="AP334" s="85" t="str">
        <f>IFERROR(__xludf.DUMMYFUNCTION("""COMPUTED_VALUE"""),"19092401462320001")</f>
        <v>19092401462320001</v>
      </c>
      <c r="AQ334" s="93"/>
      <c r="AR334" s="85"/>
      <c r="AS334" s="85"/>
      <c r="AT334" s="85" t="str">
        <f>IFERROR(__xludf.DUMMYFUNCTION("""COMPUTED_VALUE"""),"-7.551447")</f>
        <v>-7.551447</v>
      </c>
      <c r="AU334" s="85" t="str">
        <f>IFERROR(__xludf.DUMMYFUNCTION("""COMPUTED_VALUE"""),"110.7698211")</f>
        <v>110.7698211</v>
      </c>
      <c r="AV334" s="85"/>
      <c r="AW334" s="85"/>
      <c r="AX334" s="85" t="str">
        <f>IFERROR(__xludf.DUMMYFUNCTION("""COMPUTED_VALUE"""),"ü")</f>
        <v>ü</v>
      </c>
      <c r="AY334" s="85"/>
      <c r="AZ334" s="85"/>
      <c r="BA334" s="85"/>
      <c r="BB334" s="85"/>
      <c r="BC334" s="85"/>
      <c r="BD334" s="85"/>
      <c r="BE334" s="85"/>
      <c r="BF334" s="85"/>
      <c r="BG334" s="85"/>
      <c r="BH334" s="85"/>
      <c r="BI334" s="85"/>
      <c r="BJ334" s="85"/>
      <c r="BK334" s="85"/>
      <c r="BL334" s="85"/>
      <c r="BM334" s="85"/>
      <c r="BN334" s="85"/>
      <c r="BO334" s="85"/>
      <c r="BP334" s="85"/>
      <c r="BQ334" s="85"/>
      <c r="BR334" s="85"/>
      <c r="BS334" s="85"/>
      <c r="BT334" s="85"/>
      <c r="BU334" s="85"/>
      <c r="BV334" s="85"/>
      <c r="BW334" s="85"/>
      <c r="BX334" s="85"/>
      <c r="BY334" s="85"/>
      <c r="BZ334" s="85"/>
      <c r="CA334" s="85" t="str">
        <f>IFERROR(__xludf.DUMMYFUNCTION("""COMPUTED_VALUE"""),"lion parcel")</f>
        <v>lion parcel</v>
      </c>
      <c r="CB334" s="85"/>
      <c r="CC334" s="85"/>
      <c r="CD334" s="85"/>
      <c r="CE334" s="85"/>
      <c r="CF334" s="85"/>
      <c r="CG334" s="85" t="str">
        <f>IFERROR(__xludf.DUMMYFUNCTION("""COMPUTED_VALUE"""),"tiki")</f>
        <v>tiki</v>
      </c>
      <c r="CH334" s="85"/>
      <c r="CI334" s="85"/>
      <c r="CJ334" s="85"/>
      <c r="CK334" s="2"/>
    </row>
    <row r="335" ht="12.75" customHeight="1">
      <c r="A335" s="80">
        <f>IFERROR(__xludf.DUMMYFUNCTION("""COMPUTED_VALUE"""),332.0)</f>
        <v>332</v>
      </c>
      <c r="B335" s="80"/>
      <c r="C335" s="80"/>
      <c r="D335" s="81"/>
      <c r="E335" s="82"/>
      <c r="F335" s="80"/>
      <c r="G335" s="81"/>
      <c r="H335" s="80"/>
      <c r="I335" s="80"/>
      <c r="J335" s="80"/>
      <c r="K335" s="80"/>
      <c r="L335" s="80"/>
      <c r="M335" s="80" t="str">
        <f>IFERROR(__xludf.DUMMYFUNCTION("""COMPUTED_VALUE"""),"ü")</f>
        <v>ü</v>
      </c>
      <c r="N335" s="80"/>
      <c r="O335" s="80"/>
      <c r="P335" s="80" t="str">
        <f>IFERROR(__xludf.DUMMYFUNCTION("""COMPUTED_VALUE"""),"MUCSPA63044PSIND")</f>
        <v>MUCSPA63044PSIND</v>
      </c>
      <c r="Q335" s="80" t="str">
        <f>IFERROR(__xludf.DUMMYFUNCTION("""COMPUTED_VALUE"""),"MUC JR EXPRESS")</f>
        <v>MUC JR EXPRESS</v>
      </c>
      <c r="R335" s="80" t="str">
        <f>IFERROR(__xludf.DUMMYFUNCTION("""COMPUTED_VALUE"""),"MUC JR EXPRESS")</f>
        <v>MUC JR EXPRESS</v>
      </c>
      <c r="S335" s="80" t="str">
        <f>IFERROR(__xludf.DUMMYFUNCTION("""COMPUTED_VALUE"""),"Jeslyn Florence Ong")</f>
        <v>Jeslyn Florence Ong</v>
      </c>
      <c r="T335" s="80" t="str">
        <f>IFERROR(__xludf.DUMMYFUNCTION("""COMPUTED_VALUE"""),"Jl Rn.Salak No.5 Medan, RT.032/RW.013, Kel.Pusat Pasar, Kec. Medan Kota, Kota Medan, Prov. Sumatera Utara")</f>
        <v>Jl Rn.Salak No.5 Medan, RT.032/RW.013, Kel.Pusat Pasar, Kec. Medan Kota, Kota Medan, Prov. Sumatera Utara</v>
      </c>
      <c r="U335" s="80" t="str">
        <f>IFERROR(__xludf.DUMMYFUNCTION("""COMPUTED_VALUE"""),"Jl. Taman Palem Lestari blok V No.19 B")</f>
        <v>Jl. Taman Palem Lestari blok V No.19 B</v>
      </c>
      <c r="V335" s="80"/>
      <c r="W335" s="80" t="str">
        <f>IFERROR(__xludf.DUMMYFUNCTION("""COMPUTED_VALUE"""),"Cengkareng Barat")</f>
        <v>Cengkareng Barat</v>
      </c>
      <c r="X335" s="80" t="str">
        <f>IFERROR(__xludf.DUMMYFUNCTION("""COMPUTED_VALUE"""),"Cengkareng")</f>
        <v>Cengkareng</v>
      </c>
      <c r="Y335" s="80" t="str">
        <f>IFERROR(__xludf.DUMMYFUNCTION("""COMPUTED_VALUE"""),"JAKARTA BARAT")</f>
        <v>JAKARTA BARAT</v>
      </c>
      <c r="Z335" s="80" t="str">
        <f>IFERROR(__xludf.DUMMYFUNCTION("""COMPUTED_VALUE"""),"DKI JAKARTA")</f>
        <v>DKI JAKARTA</v>
      </c>
      <c r="AA335" s="80" t="str">
        <f>IFERROR(__xludf.DUMMYFUNCTION("""COMPUTED_VALUE"""),"11730")</f>
        <v>11730</v>
      </c>
      <c r="AB335" s="80" t="str">
        <f>IFERROR(__xludf.DUMMYFUNCTION("""COMPUTED_VALUE"""),"1271014605030004")</f>
        <v>1271014605030004</v>
      </c>
      <c r="AC335" s="80" t="str">
        <f>IFERROR(__xludf.DUMMYFUNCTION("""COMPUTED_VALUE"""),"50.445.686.4-111.000")</f>
        <v>50.445.686.4-111.000</v>
      </c>
      <c r="AD335" s="80" t="str">
        <f>IFERROR(__xludf.DUMMYFUNCTION("""COMPUTED_VALUE"""),"CUM - PS - SUSU")</f>
        <v>CUM - PS - SUSU</v>
      </c>
      <c r="AE335" s="80" t="str">
        <f>IFERROR(__xludf.DUMMYFUNCTION("""COMPUTED_VALUE"""),"SUB SUGENG POS")</f>
        <v>SUB SUGENG POS</v>
      </c>
      <c r="AF335" s="80" t="str">
        <f>IFERROR(__xludf.DUMMYFUNCTION("""COMPUTED_VALUE"""),"081265070008")</f>
        <v>081265070008</v>
      </c>
      <c r="AG335" s="80"/>
      <c r="AH335" s="80" t="str">
        <f>IFERROR(__xludf.DUMMYFUNCTION("""COMPUTED_VALUE"""),"jr.internationalexpress88@gmail.com")</f>
        <v>jr.internationalexpress88@gmail.com</v>
      </c>
      <c r="AI335" s="80" t="str">
        <f>IFERROR(__xludf.DUMMYFUNCTION("""COMPUTED_VALUE"""),"11730SB")</f>
        <v>11730SB</v>
      </c>
      <c r="AJ335" s="80" t="str">
        <f>IFERROR(__xludf.DUMMYFUNCTION("""COMPUTED_VALUE"""),"6737f982c00d5975bd09f39e")</f>
        <v>6737f982c00d5975bd09f39e</v>
      </c>
      <c r="AK335" s="80" t="str">
        <f>IFERROR(__xludf.DUMMYFUNCTION("""COMPUTED_VALUE"""),"dm11730sb")</f>
        <v>dm11730sb</v>
      </c>
      <c r="AL335" s="80" t="str">
        <f>IFERROR(__xludf.DUMMYFUNCTION("""COMPUTED_VALUE"""),"#11730Pos")</f>
        <v>#11730Pos</v>
      </c>
      <c r="AM335" s="80" t="str">
        <f>IFERROR(__xludf.DUMMYFUNCTION("""COMPUTED_VALUE"""),"KANTOR REGIONAL II JAKARTA 10004")</f>
        <v>KANTOR REGIONAL II JAKARTA 10004</v>
      </c>
      <c r="AN335" s="80" t="str">
        <f>IFERROR(__xludf.DUMMYFUNCTION("""COMPUTED_VALUE"""),"KCU JAKARTAOCEANIA 11000")</f>
        <v>KCU JAKARTAOCEANIA 11000</v>
      </c>
      <c r="AO335" s="80" t="str">
        <f>IFERROR(__xludf.DUMMYFUNCTION("""COMPUTED_VALUE"""),"1211240092234")</f>
        <v>1211240092234</v>
      </c>
      <c r="AP335" s="80" t="str">
        <f>IFERROR(__xludf.DUMMYFUNCTION("""COMPUTED_VALUE"""),"12112400922340001")</f>
        <v>12112400922340001</v>
      </c>
      <c r="AQ335" s="83"/>
      <c r="AR335" s="80"/>
      <c r="AS335" s="80"/>
      <c r="AT335" s="80" t="str">
        <f>IFERROR(__xludf.DUMMYFUNCTION("""COMPUTED_VALUE"""),"-6.1348675")</f>
        <v>-6.1348675</v>
      </c>
      <c r="AU335" s="80" t="str">
        <f>IFERROR(__xludf.DUMMYFUNCTION("""COMPUTED_VALUE"""),"106.7284303")</f>
        <v>106.7284303</v>
      </c>
      <c r="AV335" s="80"/>
      <c r="AW335" s="80"/>
      <c r="AX335" s="80" t="str">
        <f>IFERROR(__xludf.DUMMYFUNCTION("""COMPUTED_VALUE"""),"ü")</f>
        <v>ü</v>
      </c>
      <c r="AY335" s="80"/>
      <c r="AZ335" s="80"/>
      <c r="BA335" s="80"/>
      <c r="BB335" s="80"/>
      <c r="BC335" s="80"/>
      <c r="BD335" s="80"/>
      <c r="BE335" s="80"/>
      <c r="BF335" s="80"/>
      <c r="BG335" s="80"/>
      <c r="BH335" s="80"/>
      <c r="BI335" s="80"/>
      <c r="BJ335" s="80"/>
      <c r="BK335" s="80"/>
      <c r="BL335" s="80"/>
      <c r="BM335" s="80"/>
      <c r="BN335" s="80"/>
      <c r="BO335" s="80"/>
      <c r="BP335" s="80"/>
      <c r="BQ335" s="80"/>
      <c r="BR335" s="80"/>
      <c r="BS335" s="80"/>
      <c r="BT335" s="80"/>
      <c r="BU335" s="80"/>
      <c r="BV335" s="80"/>
      <c r="BW335" s="80"/>
      <c r="BX335" s="80"/>
      <c r="BY335" s="80"/>
      <c r="BZ335" s="80"/>
      <c r="CA335" s="80"/>
      <c r="CB335" s="80"/>
      <c r="CC335" s="80"/>
      <c r="CD335" s="80"/>
      <c r="CE335" s="80"/>
      <c r="CF335" s="80"/>
      <c r="CG335" s="80"/>
      <c r="CH335" s="80"/>
      <c r="CI335" s="80"/>
      <c r="CJ335" s="80"/>
      <c r="CK335" s="2"/>
    </row>
    <row r="336" ht="12.75" customHeight="1">
      <c r="A336" s="85">
        <f>IFERROR(__xludf.DUMMYFUNCTION("""COMPUTED_VALUE"""),333.0)</f>
        <v>333</v>
      </c>
      <c r="B336" s="85"/>
      <c r="C336" s="85"/>
      <c r="D336" s="86"/>
      <c r="E336" s="88"/>
      <c r="F336" s="85"/>
      <c r="G336" s="86"/>
      <c r="H336" s="85"/>
      <c r="I336" s="85"/>
      <c r="J336" s="85"/>
      <c r="K336" s="85"/>
      <c r="L336" s="85"/>
      <c r="M336" s="85" t="str">
        <f>IFERROR(__xludf.DUMMYFUNCTION("""COMPUTED_VALUE"""),"ü")</f>
        <v>ü</v>
      </c>
      <c r="N336" s="85"/>
      <c r="O336" s="85"/>
      <c r="P336" s="85" t="str">
        <f>IFERROR(__xludf.DUMMYFUNCTION("""COMPUTED_VALUE"""),"MUCSPA63045PSIND")</f>
        <v>MUCSPA63045PSIND</v>
      </c>
      <c r="Q336" s="85" t="str">
        <f>IFERROR(__xludf.DUMMYFUNCTION("""COMPUTED_VALUE"""),"MUC OmaDi")</f>
        <v>MUC OmaDi</v>
      </c>
      <c r="R336" s="85" t="str">
        <f>IFERROR(__xludf.DUMMYFUNCTION("""COMPUTED_VALUE"""),"MUC OmaDi")</f>
        <v>MUC OmaDi</v>
      </c>
      <c r="S336" s="85" t="str">
        <f>IFERROR(__xludf.DUMMYFUNCTION("""COMPUTED_VALUE"""),"DIANA LUSIAWATY")</f>
        <v>DIANA LUSIAWATY</v>
      </c>
      <c r="T336" s="85" t="str">
        <f>IFERROR(__xludf.DUMMYFUNCTION("""COMPUTED_VALUE"""),"JL. GATOT SUBROTO 633 RT.002 RW.005")</f>
        <v>JL. GATOT SUBROTO 633 RT.002 RW.005</v>
      </c>
      <c r="U336" s="85" t="str">
        <f>IFERROR(__xludf.DUMMYFUNCTION("""COMPUTED_VALUE"""),"JL. GATOT SUBROTO 633")</f>
        <v>JL. GATOT SUBROTO 633</v>
      </c>
      <c r="V336" s="85"/>
      <c r="W336" s="85" t="str">
        <f>IFERROR(__xludf.DUMMYFUNCTION("""COMPUTED_VALUE"""),"KALIPANCUR ")</f>
        <v>KALIPANCUR </v>
      </c>
      <c r="X336" s="85" t="str">
        <f>IFERROR(__xludf.DUMMYFUNCTION("""COMPUTED_VALUE"""),"NGALIYAN")</f>
        <v>NGALIYAN</v>
      </c>
      <c r="Y336" s="85" t="str">
        <f>IFERROR(__xludf.DUMMYFUNCTION("""COMPUTED_VALUE"""),"KOTA SEMARANG")</f>
        <v>KOTA SEMARANG</v>
      </c>
      <c r="Z336" s="85" t="str">
        <f>IFERROR(__xludf.DUMMYFUNCTION("""COMPUTED_VALUE"""),"JAWA TENGAH")</f>
        <v>JAWA TENGAH</v>
      </c>
      <c r="AA336" s="85" t="str">
        <f>IFERROR(__xludf.DUMMYFUNCTION("""COMPUTED_VALUE"""),"50211")</f>
        <v>50211</v>
      </c>
      <c r="AB336" s="85" t="str">
        <f>IFERROR(__xludf.DUMMYFUNCTION("""COMPUTED_VALUE"""),"3374155901680001")</f>
        <v>3374155901680001</v>
      </c>
      <c r="AC336" s="85" t="str">
        <f>IFERROR(__xludf.DUMMYFUNCTION("""COMPUTED_VALUE"""),"07.779.209.1-503.001")</f>
        <v>07.779.209.1-503.001</v>
      </c>
      <c r="AD336" s="85" t="str">
        <f>IFERROR(__xludf.DUMMYFUNCTION("""COMPUTED_VALUE"""),"CUM - PS - PDW")</f>
        <v>CUM - PS - PDW</v>
      </c>
      <c r="AE336" s="85" t="str">
        <f>IFERROR(__xludf.DUMMYFUNCTION("""COMPUTED_VALUE"""),"SUB BOWO POS")</f>
        <v>SUB BOWO POS</v>
      </c>
      <c r="AF336" s="85" t="str">
        <f>IFERROR(__xludf.DUMMYFUNCTION("""COMPUTED_VALUE"""),"0816656392")</f>
        <v>0816656392</v>
      </c>
      <c r="AG336" s="85"/>
      <c r="AH336" s="85" t="str">
        <f>IFERROR(__xludf.DUMMYFUNCTION("""COMPUTED_VALUE"""),"lusydianalusy@gmail.com")</f>
        <v>lusydianalusy@gmail.com</v>
      </c>
      <c r="AI336" s="85" t="str">
        <f>IFERROR(__xludf.DUMMYFUNCTION("""COMPUTED_VALUE"""),"50183S3")</f>
        <v>50183S3</v>
      </c>
      <c r="AJ336" s="85" t="str">
        <f>IFERROR(__xludf.DUMMYFUNCTION("""COMPUTED_VALUE"""),"673ed7b2e3971d1d2e0ab37a")</f>
        <v>673ed7b2e3971d1d2e0ab37a</v>
      </c>
      <c r="AK336" s="85" t="str">
        <f>IFERROR(__xludf.DUMMYFUNCTION("""COMPUTED_VALUE"""),"dm50183s3")</f>
        <v>dm50183s3</v>
      </c>
      <c r="AL336" s="85" t="str">
        <f>IFERROR(__xludf.DUMMYFUNCTION("""COMPUTED_VALUE"""),"#50183Pos")</f>
        <v>#50183Pos</v>
      </c>
      <c r="AM336" s="85" t="str">
        <f>IFERROR(__xludf.DUMMYFUNCTION("""COMPUTED_VALUE"""),"KANTOR REGIONAL IV SEMARANG 50004")</f>
        <v>KANTOR REGIONAL IV SEMARANG 50004</v>
      </c>
      <c r="AN336" s="85" t="str">
        <f>IFERROR(__xludf.DUMMYFUNCTION("""COMPUTED_VALUE"""),"KCU SEMARANG 50000")</f>
        <v>KCU SEMARANG 50000</v>
      </c>
      <c r="AO336" s="85" t="str">
        <f>IFERROR(__xludf.DUMMYFUNCTION("""COMPUTED_VALUE"""),"1211240117546")</f>
        <v>1211240117546</v>
      </c>
      <c r="AP336" s="85" t="str">
        <f>IFERROR(__xludf.DUMMYFUNCTION("""COMPUTED_VALUE"""),"12112401175460001")</f>
        <v>12112401175460001</v>
      </c>
      <c r="AQ336" s="93"/>
      <c r="AR336" s="85"/>
      <c r="AS336" s="85"/>
      <c r="AT336" s="85" t="str">
        <f>IFERROR(__xludf.DUMMYFUNCTION("""COMPUTED_VALUE"""),"-7.010321")</f>
        <v>-7.010321</v>
      </c>
      <c r="AU336" s="85" t="str">
        <f>IFERROR(__xludf.DUMMYFUNCTION("""COMPUTED_VALUE"""),"110.3711662")</f>
        <v>110.3711662</v>
      </c>
      <c r="AV336" s="85"/>
      <c r="AW336" s="85"/>
      <c r="AX336" s="85" t="str">
        <f>IFERROR(__xludf.DUMMYFUNCTION("""COMPUTED_VALUE"""),"ü")</f>
        <v>ü</v>
      </c>
      <c r="AY336" s="85"/>
      <c r="AZ336" s="85"/>
      <c r="BA336" s="85"/>
      <c r="BB336" s="85"/>
      <c r="BC336" s="85"/>
      <c r="BD336" s="85"/>
      <c r="BE336" s="85"/>
      <c r="BF336" s="85"/>
      <c r="BG336" s="85"/>
      <c r="BH336" s="85"/>
      <c r="BI336" s="85"/>
      <c r="BJ336" s="85"/>
      <c r="BK336" s="85"/>
      <c r="BL336" s="85"/>
      <c r="BM336" s="85"/>
      <c r="BN336" s="85"/>
      <c r="BO336" s="85"/>
      <c r="BP336" s="85"/>
      <c r="BQ336" s="85"/>
      <c r="BR336" s="85"/>
      <c r="BS336" s="85"/>
      <c r="BT336" s="85"/>
      <c r="BU336" s="85"/>
      <c r="BV336" s="85"/>
      <c r="BW336" s="85"/>
      <c r="BX336" s="85"/>
      <c r="BY336" s="85"/>
      <c r="BZ336" s="85"/>
      <c r="CA336" s="85"/>
      <c r="CB336" s="85"/>
      <c r="CC336" s="85"/>
      <c r="CD336" s="85"/>
      <c r="CE336" s="85"/>
      <c r="CF336" s="85"/>
      <c r="CG336" s="85"/>
      <c r="CH336" s="85"/>
      <c r="CI336" s="85"/>
      <c r="CJ336" s="85"/>
      <c r="CK336" s="2"/>
    </row>
    <row r="337" ht="12.75" customHeight="1">
      <c r="A337" s="80">
        <f>IFERROR(__xludf.DUMMYFUNCTION("""COMPUTED_VALUE"""),334.0)</f>
        <v>334</v>
      </c>
      <c r="B337" s="80"/>
      <c r="C337" s="80"/>
      <c r="D337" s="81"/>
      <c r="E337" s="82"/>
      <c r="F337" s="80"/>
      <c r="G337" s="81"/>
      <c r="H337" s="80"/>
      <c r="I337" s="80"/>
      <c r="J337" s="80"/>
      <c r="K337" s="80"/>
      <c r="L337" s="80"/>
      <c r="M337" s="80" t="str">
        <f>IFERROR(__xludf.DUMMYFUNCTION("""COMPUTED_VALUE"""),"ü")</f>
        <v>ü</v>
      </c>
      <c r="N337" s="80"/>
      <c r="O337" s="80"/>
      <c r="P337" s="80" t="str">
        <f>IFERROR(__xludf.DUMMYFUNCTION("""COMPUTED_VALUE"""),"MUCSPA63046PSIND")</f>
        <v>MUCSPA63046PSIND</v>
      </c>
      <c r="Q337" s="80" t="str">
        <f>IFERROR(__xludf.DUMMYFUNCTION("""COMPUTED_VALUE"""),"MUC ANNUR")</f>
        <v>MUC ANNUR</v>
      </c>
      <c r="R337" s="80" t="str">
        <f>IFERROR(__xludf.DUMMYFUNCTION("""COMPUTED_VALUE"""),"MUC ANNUR")</f>
        <v>MUC ANNUR</v>
      </c>
      <c r="S337" s="80" t="str">
        <f>IFERROR(__xludf.DUMMYFUNCTION("""COMPUTED_VALUE"""),"MARDIYANTO")</f>
        <v>MARDIYANTO</v>
      </c>
      <c r="T337" s="80" t="str">
        <f>IFERROR(__xludf.DUMMYFUNCTION("""COMPUTED_VALUE"""),"JL. WONOREJO NO.75")</f>
        <v>JL. WONOREJO NO.75</v>
      </c>
      <c r="U337" s="80" t="str">
        <f>IFERROR(__xludf.DUMMYFUNCTION("""COMPUTED_VALUE"""),"Desa Modalan RT. 02 No. 51 B")</f>
        <v>Desa Modalan RT. 02 No. 51 B</v>
      </c>
      <c r="V337" s="80"/>
      <c r="W337" s="80" t="str">
        <f>IFERROR(__xludf.DUMMYFUNCTION("""COMPUTED_VALUE"""),"BANGUNTAPAN")</f>
        <v>BANGUNTAPAN</v>
      </c>
      <c r="X337" s="80" t="str">
        <f>IFERROR(__xludf.DUMMYFUNCTION("""COMPUTED_VALUE"""),"BANGUNTAPAN")</f>
        <v>BANGUNTAPAN</v>
      </c>
      <c r="Y337" s="80" t="str">
        <f>IFERROR(__xludf.DUMMYFUNCTION("""COMPUTED_VALUE"""),"KAB. BANTUL")</f>
        <v>KAB. BANTUL</v>
      </c>
      <c r="Z337" s="80" t="str">
        <f>IFERROR(__xludf.DUMMYFUNCTION("""COMPUTED_VALUE"""),"YOGYAKARTA")</f>
        <v>YOGYAKARTA</v>
      </c>
      <c r="AA337" s="80" t="str">
        <f>IFERROR(__xludf.DUMMYFUNCTION("""COMPUTED_VALUE"""),"55198")</f>
        <v>55198</v>
      </c>
      <c r="AB337" s="80" t="str">
        <f>IFERROR(__xludf.DUMMYFUNCTION("""COMPUTED_VALUE"""),"6471022209580002")</f>
        <v>6471022209580002</v>
      </c>
      <c r="AC337" s="80" t="str">
        <f>IFERROR(__xludf.DUMMYFUNCTION("""COMPUTED_VALUE"""),"49.611.304.4-721.000")</f>
        <v>49.611.304.4-721.000</v>
      </c>
      <c r="AD337" s="80" t="str">
        <f>IFERROR(__xludf.DUMMYFUNCTION("""COMPUTED_VALUE"""),"CUM - PS - BPKT")</f>
        <v>CUM - PS - BPKT</v>
      </c>
      <c r="AE337" s="80" t="str">
        <f>IFERROR(__xludf.DUMMYFUNCTION("""COMPUTED_VALUE"""),"SUB PURBO POS")</f>
        <v>SUB PURBO POS</v>
      </c>
      <c r="AF337" s="80" t="str">
        <f>IFERROR(__xludf.DUMMYFUNCTION("""COMPUTED_VALUE"""),"085247533699")</f>
        <v>085247533699</v>
      </c>
      <c r="AG337" s="80"/>
      <c r="AH337" s="80" t="str">
        <f>IFERROR(__xludf.DUMMYFUNCTION("""COMPUTED_VALUE"""),"mardiyanto.nna@gmail.com")</f>
        <v>mardiyanto.nna@gmail.com</v>
      </c>
      <c r="AI337" s="80" t="str">
        <f>IFERROR(__xludf.DUMMYFUNCTION("""COMPUTED_VALUE"""),"55798S9")</f>
        <v>55798S9</v>
      </c>
      <c r="AJ337" s="80" t="str">
        <f>IFERROR(__xludf.DUMMYFUNCTION("""COMPUTED_VALUE"""),"673f427b2980ebaaba0b4e00")</f>
        <v>673f427b2980ebaaba0b4e00</v>
      </c>
      <c r="AK337" s="80" t="str">
        <f>IFERROR(__xludf.DUMMYFUNCTION("""COMPUTED_VALUE"""),"dm55798s9")</f>
        <v>dm55798s9</v>
      </c>
      <c r="AL337" s="80" t="str">
        <f>IFERROR(__xludf.DUMMYFUNCTION("""COMPUTED_VALUE"""),"#55798Pos")</f>
        <v>#55798Pos</v>
      </c>
      <c r="AM337" s="80" t="str">
        <f>IFERROR(__xludf.DUMMYFUNCTION("""COMPUTED_VALUE"""),"KANTOR REGIONAL IV SEMARANG 50004")</f>
        <v>KANTOR REGIONAL IV SEMARANG 50004</v>
      </c>
      <c r="AN337" s="80" t="str">
        <f>IFERROR(__xludf.DUMMYFUNCTION("""COMPUTED_VALUE"""),"KCU YOGYAKARTA 55000")</f>
        <v>KCU YOGYAKARTA 55000</v>
      </c>
      <c r="AO337" s="80" t="str">
        <f>IFERROR(__xludf.DUMMYFUNCTION("""COMPUTED_VALUE"""),"1511240013428")</f>
        <v>1511240013428</v>
      </c>
      <c r="AP337" s="80" t="str">
        <f>IFERROR(__xludf.DUMMYFUNCTION("""COMPUTED_VALUE"""),"15112400134280001")</f>
        <v>15112400134280001</v>
      </c>
      <c r="AQ337" s="83"/>
      <c r="AR337" s="80"/>
      <c r="AS337" s="80"/>
      <c r="AT337" s="80" t="str">
        <f>IFERROR(__xludf.DUMMYFUNCTION("""COMPUTED_VALUE"""),"-7.824011")</f>
        <v>-7.824011</v>
      </c>
      <c r="AU337" s="80" t="str">
        <f>IFERROR(__xludf.DUMMYFUNCTION("""COMPUTED_VALUE"""),"110.409827")</f>
        <v>110.409827</v>
      </c>
      <c r="AV337" s="80"/>
      <c r="AW337" s="80"/>
      <c r="AX337" s="80" t="str">
        <f>IFERROR(__xludf.DUMMYFUNCTION("""COMPUTED_VALUE"""),"ü")</f>
        <v>ü</v>
      </c>
      <c r="AY337" s="80"/>
      <c r="AZ337" s="80"/>
      <c r="BA337" s="80"/>
      <c r="BB337" s="80"/>
      <c r="BC337" s="80"/>
      <c r="BD337" s="80"/>
      <c r="BE337" s="80"/>
      <c r="BF337" s="80"/>
      <c r="BG337" s="80"/>
      <c r="BH337" s="80"/>
      <c r="BI337" s="80"/>
      <c r="BJ337" s="80"/>
      <c r="BK337" s="80"/>
      <c r="BL337" s="80"/>
      <c r="BM337" s="80"/>
      <c r="BN337" s="80"/>
      <c r="BO337" s="80"/>
      <c r="BP337" s="80"/>
      <c r="BQ337" s="80"/>
      <c r="BR337" s="80"/>
      <c r="BS337" s="80"/>
      <c r="BT337" s="80"/>
      <c r="BU337" s="80"/>
      <c r="BV337" s="80"/>
      <c r="BW337" s="80"/>
      <c r="BX337" s="80"/>
      <c r="BY337" s="80"/>
      <c r="BZ337" s="80"/>
      <c r="CA337" s="80"/>
      <c r="CB337" s="80"/>
      <c r="CC337" s="80"/>
      <c r="CD337" s="80"/>
      <c r="CE337" s="80"/>
      <c r="CF337" s="80"/>
      <c r="CG337" s="80"/>
      <c r="CH337" s="80"/>
      <c r="CI337" s="80"/>
      <c r="CJ337" s="80"/>
      <c r="CK337" s="2"/>
    </row>
    <row r="338" ht="12.75" customHeight="1">
      <c r="A338" s="85">
        <f>IFERROR(__xludf.DUMMYFUNCTION("""COMPUTED_VALUE"""),335.0)</f>
        <v>335</v>
      </c>
      <c r="B338" s="85"/>
      <c r="C338" s="85"/>
      <c r="D338" s="86"/>
      <c r="E338" s="88"/>
      <c r="F338" s="85"/>
      <c r="G338" s="86"/>
      <c r="H338" s="85"/>
      <c r="I338" s="85"/>
      <c r="J338" s="85"/>
      <c r="K338" s="85"/>
      <c r="L338" s="85"/>
      <c r="M338" s="85" t="str">
        <f>IFERROR(__xludf.DUMMYFUNCTION("""COMPUTED_VALUE"""),"ü")</f>
        <v>ü</v>
      </c>
      <c r="N338" s="85"/>
      <c r="O338" s="85"/>
      <c r="P338" s="85" t="str">
        <f>IFERROR(__xludf.DUMMYFUNCTION("""COMPUTED_VALUE"""),"52BSPA07542JTGKR")</f>
        <v>52BSPA07542JTGKR</v>
      </c>
      <c r="Q338" s="85" t="str">
        <f>IFERROR(__xludf.DUMMYFUNCTION("""COMPUTED_VALUE"""),"MUC MAOS KIDUL")</f>
        <v>MUC MAOS KIDUL</v>
      </c>
      <c r="R338" s="85" t="str">
        <f>IFERROR(__xludf.DUMMYFUNCTION("""COMPUTED_VALUE"""),"MUC MAOS KIDUL")</f>
        <v>MUC MAOS KIDUL</v>
      </c>
      <c r="S338" s="85" t="str">
        <f>IFERROR(__xludf.DUMMYFUNCTION("""COMPUTED_VALUE"""),"IKHSAN CAHYANTO")</f>
        <v>IKHSAN CAHYANTO</v>
      </c>
      <c r="T338" s="85" t="str">
        <f>IFERROR(__xludf.DUMMYFUNCTION("""COMPUTED_VALUE"""),"JL. ASEM NO. 1072 RT 004 RW 006 MAOS LOR, MAOS CILACAP")</f>
        <v>JL. ASEM NO. 1072 RT 004 RW 006 MAOS LOR, MAOS CILACAP</v>
      </c>
      <c r="U338" s="85" t="str">
        <f>IFERROR(__xludf.DUMMYFUNCTION("""COMPUTED_VALUE"""),"JL. RAYA MAOS KIDUL RT 004 RW 001 ")</f>
        <v>JL. RAYA MAOS KIDUL RT 004 RW 001 </v>
      </c>
      <c r="V338" s="85"/>
      <c r="W338" s="85" t="str">
        <f>IFERROR(__xludf.DUMMYFUNCTION("""COMPUTED_VALUE"""),"MAOS KIDUL")</f>
        <v>MAOS KIDUL</v>
      </c>
      <c r="X338" s="85" t="str">
        <f>IFERROR(__xludf.DUMMYFUNCTION("""COMPUTED_VALUE"""),"MAOS")</f>
        <v>MAOS</v>
      </c>
      <c r="Y338" s="85" t="str">
        <f>IFERROR(__xludf.DUMMYFUNCTION("""COMPUTED_VALUE"""),"CILACAP")</f>
        <v>CILACAP</v>
      </c>
      <c r="Z338" s="85" t="str">
        <f>IFERROR(__xludf.DUMMYFUNCTION("""COMPUTED_VALUE"""),"JAWA TENGAH ")</f>
        <v>JAWA TENGAH </v>
      </c>
      <c r="AA338" s="85" t="str">
        <f>IFERROR(__xludf.DUMMYFUNCTION("""COMPUTED_VALUE"""),"53272")</f>
        <v>53272</v>
      </c>
      <c r="AB338" s="85" t="str">
        <f>IFERROR(__xludf.DUMMYFUNCTION("""COMPUTED_VALUE"""),"3301071812970001")</f>
        <v>3301071812970001</v>
      </c>
      <c r="AC338" s="85" t="str">
        <f>IFERROR(__xludf.DUMMYFUNCTION("""COMPUTED_VALUE"""),"76.170.784.3-522.000")</f>
        <v>76.170.784.3-522.000</v>
      </c>
      <c r="AD338" s="85" t="str">
        <f>IFERROR(__xludf.DUMMYFUNCTION("""COMPUTED_VALUE"""),"CUM - KRS")</f>
        <v>CUM - KRS</v>
      </c>
      <c r="AE338" s="85" t="str">
        <f>IFERROR(__xludf.DUMMYFUNCTION("""COMPUTED_VALUE"""),"SUB KARSINI")</f>
        <v>SUB KARSINI</v>
      </c>
      <c r="AF338" s="85" t="str">
        <f>IFERROR(__xludf.DUMMYFUNCTION("""COMPUTED_VALUE"""),"08999634663")</f>
        <v>08999634663</v>
      </c>
      <c r="AG338" s="85"/>
      <c r="AH338" s="85" t="str">
        <f>IFERROR(__xludf.DUMMYFUNCTION("""COMPUTED_VALUE"""),"Nafisashanumbatari@gmail.com")</f>
        <v>Nafisashanumbatari@gmail.com</v>
      </c>
      <c r="AI338" s="85" t="str">
        <f>IFERROR(__xludf.DUMMYFUNCTION("""COMPUTED_VALUE"""),"53272S1")</f>
        <v>53272S1</v>
      </c>
      <c r="AJ338" s="85" t="str">
        <f>IFERROR(__xludf.DUMMYFUNCTION("""COMPUTED_VALUE"""),"67468a12e17f50cfde01a99d")</f>
        <v>67468a12e17f50cfde01a99d</v>
      </c>
      <c r="AK338" s="85" t="str">
        <f>IFERROR(__xludf.DUMMYFUNCTION("""COMPUTED_VALUE"""),"dm53272s1")</f>
        <v>dm53272s1</v>
      </c>
      <c r="AL338" s="85" t="str">
        <f>IFERROR(__xludf.DUMMYFUNCTION("""COMPUTED_VALUE"""),"#53272Pos")</f>
        <v>#53272Pos</v>
      </c>
      <c r="AM338" s="85" t="str">
        <f>IFERROR(__xludf.DUMMYFUNCTION("""COMPUTED_VALUE"""),"KANTOR REGIONAL IV SEMARANG 50004")</f>
        <v>KANTOR REGIONAL IV SEMARANG 50004</v>
      </c>
      <c r="AN338" s="85" t="str">
        <f>IFERROR(__xludf.DUMMYFUNCTION("""COMPUTED_VALUE"""),"KC CILACAP ")</f>
        <v>KC CILACAP </v>
      </c>
      <c r="AO338" s="85" t="str">
        <f>IFERROR(__xludf.DUMMYFUNCTION("""COMPUTED_VALUE"""),"1611240019871")</f>
        <v>1611240019871</v>
      </c>
      <c r="AP338" s="85" t="str">
        <f>IFERROR(__xludf.DUMMYFUNCTION("""COMPUTED_VALUE"""),"16112400198710001")</f>
        <v>16112400198710001</v>
      </c>
      <c r="AQ338" s="93"/>
      <c r="AR338" s="85"/>
      <c r="AS338" s="85"/>
      <c r="AT338" s="85" t="str">
        <f>IFERROR(__xludf.DUMMYFUNCTION("""COMPUTED_VALUE"""),"-7.6068905")</f>
        <v>-7.6068905</v>
      </c>
      <c r="AU338" s="85" t="str">
        <f>IFERROR(__xludf.DUMMYFUNCTION("""COMPUTED_VALUE"""),"109.1429568")</f>
        <v>109.1429568</v>
      </c>
      <c r="AV338" s="85"/>
      <c r="AW338" s="85"/>
      <c r="AX338" s="85" t="str">
        <f>IFERROR(__xludf.DUMMYFUNCTION("""COMPUTED_VALUE"""),"ü")</f>
        <v>ü</v>
      </c>
      <c r="AY338" s="85"/>
      <c r="AZ338" s="85"/>
      <c r="BA338" s="85"/>
      <c r="BB338" s="85"/>
      <c r="BC338" s="85"/>
      <c r="BD338" s="85"/>
      <c r="BE338" s="85"/>
      <c r="BF338" s="85"/>
      <c r="BG338" s="85"/>
      <c r="BH338" s="85"/>
      <c r="BI338" s="85"/>
      <c r="BJ338" s="85"/>
      <c r="BK338" s="85"/>
      <c r="BL338" s="85"/>
      <c r="BM338" s="85"/>
      <c r="BN338" s="85"/>
      <c r="BO338" s="85"/>
      <c r="BP338" s="85"/>
      <c r="BQ338" s="85"/>
      <c r="BR338" s="85"/>
      <c r="BS338" s="85"/>
      <c r="BT338" s="85"/>
      <c r="BU338" s="85"/>
      <c r="BV338" s="85"/>
      <c r="BW338" s="85"/>
      <c r="BX338" s="85"/>
      <c r="BY338" s="85"/>
      <c r="BZ338" s="85"/>
      <c r="CA338" s="85"/>
      <c r="CB338" s="85"/>
      <c r="CC338" s="85"/>
      <c r="CD338" s="85"/>
      <c r="CE338" s="85"/>
      <c r="CF338" s="85"/>
      <c r="CG338" s="85"/>
      <c r="CH338" s="85"/>
      <c r="CI338" s="85"/>
      <c r="CJ338" s="85"/>
      <c r="CK338" s="2"/>
    </row>
    <row r="339" ht="12.75" customHeight="1">
      <c r="A339" s="80">
        <f>IFERROR(__xludf.DUMMYFUNCTION("""COMPUTED_VALUE"""),336.0)</f>
        <v>336</v>
      </c>
      <c r="B339" s="80"/>
      <c r="C339" s="80"/>
      <c r="D339" s="81"/>
      <c r="E339" s="82"/>
      <c r="F339" s="80"/>
      <c r="G339" s="81"/>
      <c r="H339" s="80"/>
      <c r="I339" s="80"/>
      <c r="J339" s="80"/>
      <c r="K339" s="80"/>
      <c r="L339" s="80"/>
      <c r="M339" s="80" t="str">
        <f>IFERROR(__xludf.DUMMYFUNCTION("""COMPUTED_VALUE"""),"ü")</f>
        <v>ü</v>
      </c>
      <c r="N339" s="80"/>
      <c r="O339" s="80"/>
      <c r="P339" s="80" t="str">
        <f>IFERROR(__xludf.DUMMYFUNCTION("""COMPUTED_VALUE"""),"MUCSPA63047PSIND")</f>
        <v>MUCSPA63047PSIND</v>
      </c>
      <c r="Q339" s="80" t="str">
        <f>IFERROR(__xludf.DUMMYFUNCTION("""COMPUTED_VALUE"""),"MUC TOKCER")</f>
        <v>MUC TOKCER</v>
      </c>
      <c r="R339" s="80" t="str">
        <f>IFERROR(__xludf.DUMMYFUNCTION("""COMPUTED_VALUE"""),"MUC TOKCER")</f>
        <v>MUC TOKCER</v>
      </c>
      <c r="S339" s="80" t="str">
        <f>IFERROR(__xludf.DUMMYFUNCTION("""COMPUTED_VALUE"""),"SALMAN AL FARISI")</f>
        <v>SALMAN AL FARISI</v>
      </c>
      <c r="T339" s="80" t="str">
        <f>IFERROR(__xludf.DUMMYFUNCTION("""COMPUTED_VALUE"""),"KP. CIMAUNG RT.016 RW.004 KEL. CIWANGI KEC. BUNGURSARI KAB. PURWAKARTA JAWA BARAT")</f>
        <v>KP. CIMAUNG RT.016 RW.004 KEL. CIWANGI KEC. BUNGURSARI KAB. PURWAKARTA JAWA BARAT</v>
      </c>
      <c r="U339" s="80" t="str">
        <f>IFERROR(__xludf.DUMMYFUNCTION("""COMPUTED_VALUE"""),"Ds. Ciwangi")</f>
        <v>Ds. Ciwangi</v>
      </c>
      <c r="V339" s="80"/>
      <c r="W339" s="80" t="str">
        <f>IFERROR(__xludf.DUMMYFUNCTION("""COMPUTED_VALUE"""),"CIWANGI")</f>
        <v>CIWANGI</v>
      </c>
      <c r="X339" s="80" t="str">
        <f>IFERROR(__xludf.DUMMYFUNCTION("""COMPUTED_VALUE"""),"BUNGURSARI")</f>
        <v>BUNGURSARI</v>
      </c>
      <c r="Y339" s="80" t="str">
        <f>IFERROR(__xludf.DUMMYFUNCTION("""COMPUTED_VALUE"""),"PURWAKARTA")</f>
        <v>PURWAKARTA</v>
      </c>
      <c r="Z339" s="80" t="str">
        <f>IFERROR(__xludf.DUMMYFUNCTION("""COMPUTED_VALUE"""),"JAWA BARAT")</f>
        <v>JAWA BARAT</v>
      </c>
      <c r="AA339" s="80" t="str">
        <f>IFERROR(__xludf.DUMMYFUNCTION("""COMPUTED_VALUE"""),"41181")</f>
        <v>41181</v>
      </c>
      <c r="AB339" s="80" t="str">
        <f>IFERROR(__xludf.DUMMYFUNCTION("""COMPUTED_VALUE"""),"3214132808890001")</f>
        <v>3214132808890001</v>
      </c>
      <c r="AC339" s="80" t="str">
        <f>IFERROR(__xludf.DUMMYFUNCTION("""COMPUTED_VALUE"""),"73.558.692.7-409.000")</f>
        <v>73.558.692.7-409.000</v>
      </c>
      <c r="AD339" s="80" t="str">
        <f>IFERROR(__xludf.DUMMYFUNCTION("""COMPUTED_VALUE"""),"CUM - PS - NONKORGEN")</f>
        <v>CUM - PS - NONKORGEN</v>
      </c>
      <c r="AE339" s="80" t="str">
        <f>IFERROR(__xludf.DUMMYFUNCTION("""COMPUTED_VALUE"""),"SUB RETNO POS ")</f>
        <v>SUB RETNO POS </v>
      </c>
      <c r="AF339" s="80" t="str">
        <f>IFERROR(__xludf.DUMMYFUNCTION("""COMPUTED_VALUE"""),"081993390000")</f>
        <v>081993390000</v>
      </c>
      <c r="AG339" s="80"/>
      <c r="AH339" s="80" t="str">
        <f>IFERROR(__xludf.DUMMYFUNCTION("""COMPUTED_VALUE"""),"tokcer@nuparis.id")</f>
        <v>tokcer@nuparis.id</v>
      </c>
      <c r="AI339" s="80" t="str">
        <f>IFERROR(__xludf.DUMMYFUNCTION("""COMPUTED_VALUE"""),"41182S6")</f>
        <v>41182S6</v>
      </c>
      <c r="AJ339" s="80" t="str">
        <f>IFERROR(__xludf.DUMMYFUNCTION("""COMPUTED_VALUE"""),"675932af15de9c200c0190d5")</f>
        <v>675932af15de9c200c0190d5</v>
      </c>
      <c r="AK339" s="80" t="str">
        <f>IFERROR(__xludf.DUMMYFUNCTION("""COMPUTED_VALUE"""),"dm41182s6")</f>
        <v>dm41182s6</v>
      </c>
      <c r="AL339" s="80" t="str">
        <f>IFERROR(__xludf.DUMMYFUNCTION("""COMPUTED_VALUE"""),"#41182Pos")</f>
        <v>#41182Pos</v>
      </c>
      <c r="AM339" s="80" t="str">
        <f>IFERROR(__xludf.DUMMYFUNCTION("""COMPUTED_VALUE"""),"KANTOR REGIONAL III BANDUNG 40004")</f>
        <v>KANTOR REGIONAL III BANDUNG 40004</v>
      </c>
      <c r="AN339" s="80" t="str">
        <f>IFERROR(__xludf.DUMMYFUNCTION("""COMPUTED_VALUE"""),"KC PURWAKARTA 41100")</f>
        <v>KC PURWAKARTA 41100</v>
      </c>
      <c r="AO339" s="80" t="str">
        <f>IFERROR(__xludf.DUMMYFUNCTION("""COMPUTED_VALUE"""),"0280010131575")</f>
        <v>0280010131575</v>
      </c>
      <c r="AP339" s="80" t="str">
        <f>IFERROR(__xludf.DUMMYFUNCTION("""COMPUTED_VALUE"""),"02800101315750011")</f>
        <v>02800101315750011</v>
      </c>
      <c r="AQ339" s="83"/>
      <c r="AR339" s="80"/>
      <c r="AS339" s="80"/>
      <c r="AT339" s="80" t="str">
        <f>IFERROR(__xludf.DUMMYFUNCTION("""COMPUTED_VALUE"""),"-6.502450")</f>
        <v>-6.502450</v>
      </c>
      <c r="AU339" s="80" t="str">
        <f>IFERROR(__xludf.DUMMYFUNCTION("""COMPUTED_VALUE"""),"107.508172")</f>
        <v>107.508172</v>
      </c>
      <c r="AV339" s="80"/>
      <c r="AW339" s="80"/>
      <c r="AX339" s="80" t="str">
        <f>IFERROR(__xludf.DUMMYFUNCTION("""COMPUTED_VALUE"""),"ü")</f>
        <v>ü</v>
      </c>
      <c r="AY339" s="80"/>
      <c r="AZ339" s="80"/>
      <c r="BA339" s="80"/>
      <c r="BB339" s="80"/>
      <c r="BC339" s="80"/>
      <c r="BD339" s="80"/>
      <c r="BE339" s="80"/>
      <c r="BF339" s="80"/>
      <c r="BG339" s="80"/>
      <c r="BH339" s="80"/>
      <c r="BI339" s="80"/>
      <c r="BJ339" s="80"/>
      <c r="BK339" s="80"/>
      <c r="BL339" s="80"/>
      <c r="BM339" s="80"/>
      <c r="BN339" s="80"/>
      <c r="BO339" s="80"/>
      <c r="BP339" s="80"/>
      <c r="BQ339" s="80"/>
      <c r="BR339" s="80"/>
      <c r="BS339" s="80"/>
      <c r="BT339" s="80"/>
      <c r="BU339" s="80"/>
      <c r="BV339" s="80"/>
      <c r="BW339" s="80"/>
      <c r="BX339" s="80"/>
      <c r="BY339" s="80"/>
      <c r="BZ339" s="80"/>
      <c r="CA339" s="80"/>
      <c r="CB339" s="80"/>
      <c r="CC339" s="80"/>
      <c r="CD339" s="80"/>
      <c r="CE339" s="80"/>
      <c r="CF339" s="80"/>
      <c r="CG339" s="80"/>
      <c r="CH339" s="80"/>
      <c r="CI339" s="80"/>
      <c r="CJ339" s="80"/>
      <c r="CK339" s="2"/>
    </row>
    <row r="340" ht="14.25" customHeight="1">
      <c r="A340" s="85">
        <f>IFERROR(__xludf.DUMMYFUNCTION("""COMPUTED_VALUE"""),337.0)</f>
        <v>337</v>
      </c>
      <c r="B340" s="85"/>
      <c r="C340" s="85"/>
      <c r="D340" s="86"/>
      <c r="E340" s="88"/>
      <c r="F340" s="85"/>
      <c r="G340" s="86"/>
      <c r="H340" s="85"/>
      <c r="I340" s="85"/>
      <c r="J340" s="85"/>
      <c r="K340" s="85"/>
      <c r="L340" s="85"/>
      <c r="M340" s="85" t="str">
        <f>IFERROR(__xludf.DUMMYFUNCTION("""COMPUTED_VALUE"""),"ü")</f>
        <v>ü</v>
      </c>
      <c r="N340" s="85"/>
      <c r="O340" s="85"/>
      <c r="P340" s="85" t="str">
        <f>IFERROR(__xludf.DUMMYFUNCTION("""COMPUTED_VALUE"""),"MUCSPA63048PSIND")</f>
        <v>MUCSPA63048PSIND</v>
      </c>
      <c r="Q340" s="85" t="str">
        <f>IFERROR(__xludf.DUMMYFUNCTION("""COMPUTED_VALUE"""),"MUC LOG IN")</f>
        <v>MUC LOG IN</v>
      </c>
      <c r="R340" s="85" t="str">
        <f>IFERROR(__xludf.DUMMYFUNCTION("""COMPUTED_VALUE"""),"MUC LOG IN")</f>
        <v>MUC LOG IN</v>
      </c>
      <c r="S340" s="85" t="str">
        <f>IFERROR(__xludf.DUMMYFUNCTION("""COMPUTED_VALUE"""),"NISFI LUTFIAN AMALUL AHLI")</f>
        <v>NISFI LUTFIAN AMALUL AHLI</v>
      </c>
      <c r="T340" s="85" t="str">
        <f>IFERROR(__xludf.DUMMYFUNCTION("""COMPUTED_VALUE"""),"PULOREJO RT 04 RW 01 KEL. PULOREJO KEC. WINONG KAB. PATI JAWA TENGAH")</f>
        <v>PULOREJO RT 04 RW 01 KEL. PULOREJO KEC. WINONG KAB. PATI JAWA TENGAH</v>
      </c>
      <c r="U340" s="85" t="str">
        <f>IFERROR(__xludf.DUMMYFUNCTION("""COMPUTED_VALUE"""),"SERUTSADANG 01/01 ")</f>
        <v>SERUTSADANG 01/01 </v>
      </c>
      <c r="V340" s="85"/>
      <c r="W340" s="85" t="str">
        <f>IFERROR(__xludf.DUMMYFUNCTION("""COMPUTED_VALUE"""),"SERUTSADANG")</f>
        <v>SERUTSADANG</v>
      </c>
      <c r="X340" s="85" t="str">
        <f>IFERROR(__xludf.DUMMYFUNCTION("""COMPUTED_VALUE"""),"WINONG")</f>
        <v>WINONG</v>
      </c>
      <c r="Y340" s="85" t="str">
        <f>IFERROR(__xludf.DUMMYFUNCTION("""COMPUTED_VALUE"""),"PATI")</f>
        <v>PATI</v>
      </c>
      <c r="Z340" s="85" t="str">
        <f>IFERROR(__xludf.DUMMYFUNCTION("""COMPUTED_VALUE"""),"JAWA TENGAH ")</f>
        <v>JAWA TENGAH </v>
      </c>
      <c r="AA340" s="85" t="str">
        <f>IFERROR(__xludf.DUMMYFUNCTION("""COMPUTED_VALUE"""),"59181")</f>
        <v>59181</v>
      </c>
      <c r="AB340" s="85" t="str">
        <f>IFERROR(__xludf.DUMMYFUNCTION("""COMPUTED_VALUE"""),"3318044603990002 ")</f>
        <v>3318044603990002 </v>
      </c>
      <c r="AC340" s="85" t="str">
        <f>IFERROR(__xludf.DUMMYFUNCTION("""COMPUTED_VALUE"""),"63.568.993.8-507.000")</f>
        <v>63.568.993.8-507.000</v>
      </c>
      <c r="AD340" s="85" t="str">
        <f>IFERROR(__xludf.DUMMYFUNCTION("""COMPUTED_VALUE"""),"CUM - PS - EHS")</f>
        <v>CUM - PS - EHS</v>
      </c>
      <c r="AE340" s="85" t="str">
        <f>IFERROR(__xludf.DUMMYFUNCTION("""COMPUTED_VALUE"""),"SUB EKA POS")</f>
        <v>SUB EKA POS</v>
      </c>
      <c r="AF340" s="85" t="str">
        <f>IFERROR(__xludf.DUMMYFUNCTION("""COMPUTED_VALUE"""),"085235595434")</f>
        <v>085235595434</v>
      </c>
      <c r="AG340" s="85"/>
      <c r="AH340" s="85" t="str">
        <f>IFERROR(__xludf.DUMMYFUNCTION("""COMPUTED_VALUE"""),"nisfilutfian16@gmail.com")</f>
        <v>nisfilutfian16@gmail.com</v>
      </c>
      <c r="AI340" s="85" t="str">
        <f>IFERROR(__xludf.DUMMYFUNCTION("""COMPUTED_VALUE"""),"59181S1")</f>
        <v>59181S1</v>
      </c>
      <c r="AJ340" s="85" t="str">
        <f>IFERROR(__xludf.DUMMYFUNCTION("""COMPUTED_VALUE"""),"674bdd648ddd57003d0e431c")</f>
        <v>674bdd648ddd57003d0e431c</v>
      </c>
      <c r="AK340" s="85" t="str">
        <f>IFERROR(__xludf.DUMMYFUNCTION("""COMPUTED_VALUE"""),"dm59181s1")</f>
        <v>dm59181s1</v>
      </c>
      <c r="AL340" s="85" t="str">
        <f>IFERROR(__xludf.DUMMYFUNCTION("""COMPUTED_VALUE"""),"#59181Pos")</f>
        <v>#59181Pos</v>
      </c>
      <c r="AM340" s="85" t="str">
        <f>IFERROR(__xludf.DUMMYFUNCTION("""COMPUTED_VALUE"""),"KANTOR REGIONAL IV SEMARANG 50004")</f>
        <v>KANTOR REGIONAL IV SEMARANG 50004</v>
      </c>
      <c r="AN340" s="85" t="str">
        <f>IFERROR(__xludf.DUMMYFUNCTION("""COMPUTED_VALUE"""),"KC PATI 59100")</f>
        <v>KC PATI 59100</v>
      </c>
      <c r="AO340" s="85" t="str">
        <f>IFERROR(__xludf.DUMMYFUNCTION("""COMPUTED_VALUE"""),"1911240020175")</f>
        <v>1911240020175</v>
      </c>
      <c r="AP340" s="85" t="str">
        <f>IFERROR(__xludf.DUMMYFUNCTION("""COMPUTED_VALUE"""),"19112400201750001")</f>
        <v>19112400201750001</v>
      </c>
      <c r="AQ340" s="93"/>
      <c r="AR340" s="85"/>
      <c r="AS340" s="85"/>
      <c r="AT340" s="85" t="str">
        <f>IFERROR(__xludf.DUMMYFUNCTION("""COMPUTED_VALUE"""),"-6.776354")</f>
        <v>-6.776354</v>
      </c>
      <c r="AU340" s="85" t="str">
        <f>IFERROR(__xludf.DUMMYFUNCTION("""COMPUTED_VALUE"""),"111.106053")</f>
        <v>111.106053</v>
      </c>
      <c r="AV340" s="85"/>
      <c r="AW340" s="85"/>
      <c r="AX340" s="85" t="str">
        <f>IFERROR(__xludf.DUMMYFUNCTION("""COMPUTED_VALUE"""),"ü")</f>
        <v>ü</v>
      </c>
      <c r="AY340" s="85"/>
      <c r="AZ340" s="85"/>
      <c r="BA340" s="85"/>
      <c r="BB340" s="85"/>
      <c r="BC340" s="85"/>
      <c r="BD340" s="85"/>
      <c r="BE340" s="85"/>
      <c r="BF340" s="85"/>
      <c r="BG340" s="85"/>
      <c r="BH340" s="85"/>
      <c r="BI340" s="85"/>
      <c r="BJ340" s="85"/>
      <c r="BK340" s="85"/>
      <c r="BL340" s="85"/>
      <c r="BM340" s="85"/>
      <c r="BN340" s="85"/>
      <c r="BO340" s="85"/>
      <c r="BP340" s="85"/>
      <c r="BQ340" s="85"/>
      <c r="BR340" s="85"/>
      <c r="BS340" s="85"/>
      <c r="BT340" s="85"/>
      <c r="BU340" s="85"/>
      <c r="BV340" s="85"/>
      <c r="BW340" s="85"/>
      <c r="BX340" s="85"/>
      <c r="BY340" s="85"/>
      <c r="BZ340" s="85"/>
      <c r="CA340" s="85"/>
      <c r="CB340" s="85"/>
      <c r="CC340" s="85"/>
      <c r="CD340" s="85"/>
      <c r="CE340" s="85"/>
      <c r="CF340" s="85"/>
      <c r="CG340" s="85"/>
      <c r="CH340" s="85"/>
      <c r="CI340" s="85"/>
      <c r="CJ340" s="85"/>
      <c r="CK340" s="2"/>
    </row>
    <row r="341" ht="12.75" customHeight="1">
      <c r="A341" s="80">
        <f>IFERROR(__xludf.DUMMYFUNCTION("""COMPUTED_VALUE"""),338.0)</f>
        <v>338</v>
      </c>
      <c r="B341" s="80"/>
      <c r="C341" s="80"/>
      <c r="D341" s="81"/>
      <c r="E341" s="82"/>
      <c r="F341" s="80"/>
      <c r="G341" s="81"/>
      <c r="H341" s="80"/>
      <c r="I341" s="80"/>
      <c r="J341" s="80"/>
      <c r="K341" s="80"/>
      <c r="L341" s="80"/>
      <c r="M341" s="80" t="str">
        <f>IFERROR(__xludf.DUMMYFUNCTION("""COMPUTED_VALUE"""),"ü")</f>
        <v>ü</v>
      </c>
      <c r="N341" s="80"/>
      <c r="O341" s="80"/>
      <c r="P341" s="80" t="str">
        <f>IFERROR(__xludf.DUMMYFUNCTION("""COMPUTED_VALUE"""),"MUCSPA63049PSIND")</f>
        <v>MUCSPA63049PSIND</v>
      </c>
      <c r="Q341" s="80" t="str">
        <f>IFERROR(__xludf.DUMMYFUNCTION("""COMPUTED_VALUE"""),"MUC KEMBAR")</f>
        <v>MUC KEMBAR</v>
      </c>
      <c r="R341" s="80" t="str">
        <f>IFERROR(__xludf.DUMMYFUNCTION("""COMPUTED_VALUE"""),"MUC KEMBAR")</f>
        <v>MUC KEMBAR</v>
      </c>
      <c r="S341" s="80" t="str">
        <f>IFERROR(__xludf.DUMMYFUNCTION("""COMPUTED_VALUE"""),"TEGAR PRASETYADHI ")</f>
        <v>TEGAR PRASETYADHI </v>
      </c>
      <c r="T341" s="80" t="str">
        <f>IFERROR(__xludf.DUMMYFUNCTION("""COMPUTED_VALUE"""),"BLOK PESUKUNAN RT 002 RW 004 KEL. KEMANTREN KEC. SUMBER CIREBON ")</f>
        <v>BLOK PESUKUNAN RT 002 RW 004 KEL. KEMANTREN KEC. SUMBER CIREBON </v>
      </c>
      <c r="U341" s="80" t="str">
        <f>IFERROR(__xludf.DUMMYFUNCTION("""COMPUTED_VALUE"""),"BTN GRIYA KONDANG LESTARI BLOK C1 NO. 9")</f>
        <v>BTN GRIYA KONDANG LESTARI BLOK C1 NO. 9</v>
      </c>
      <c r="V341" s="80"/>
      <c r="W341" s="80" t="str">
        <f>IFERROR(__xludf.DUMMYFUNCTION("""COMPUTED_VALUE"""),"GEKBRONG ")</f>
        <v>GEKBRONG </v>
      </c>
      <c r="X341" s="80" t="str">
        <f>IFERROR(__xludf.DUMMYFUNCTION("""COMPUTED_VALUE"""),"CIKANCANA ")</f>
        <v>CIKANCANA </v>
      </c>
      <c r="Y341" s="80" t="str">
        <f>IFERROR(__xludf.DUMMYFUNCTION("""COMPUTED_VALUE"""),"KAB. CIANJUR")</f>
        <v>KAB. CIANJUR</v>
      </c>
      <c r="Z341" s="80" t="str">
        <f>IFERROR(__xludf.DUMMYFUNCTION("""COMPUTED_VALUE"""),"JAWA BARAT ")</f>
        <v>JAWA BARAT </v>
      </c>
      <c r="AA341" s="80" t="str">
        <f>IFERROR(__xludf.DUMMYFUNCTION("""COMPUTED_VALUE"""),"43254")</f>
        <v>43254</v>
      </c>
      <c r="AB341" s="80" t="str">
        <f>IFERROR(__xludf.DUMMYFUNCTION("""COMPUTED_VALUE"""),"3209152411870002")</f>
        <v>3209152411870002</v>
      </c>
      <c r="AC341" s="80" t="str">
        <f>IFERROR(__xludf.DUMMYFUNCTION("""COMPUTED_VALUE"""),"76.603.944.0-426.000")</f>
        <v>76.603.944.0-426.000</v>
      </c>
      <c r="AD341" s="80" t="str">
        <f>IFERROR(__xludf.DUMMYFUNCTION("""COMPUTED_VALUE"""),"CUM - FTN")</f>
        <v>CUM - FTN</v>
      </c>
      <c r="AE341" s="80" t="str">
        <f>IFERROR(__xludf.DUMMYFUNCTION("""COMPUTED_VALUE"""),"SUB FATHONI")</f>
        <v>SUB FATHONI</v>
      </c>
      <c r="AF341" s="80" t="str">
        <f>IFERROR(__xludf.DUMMYFUNCTION("""COMPUTED_VALUE"""),"087736755894")</f>
        <v>087736755894</v>
      </c>
      <c r="AG341" s="80"/>
      <c r="AH341" s="80" t="str">
        <f>IFERROR(__xludf.DUMMYFUNCTION("""COMPUTED_VALUE"""),"arkhan.prasetyadi08@gmail.com")</f>
        <v>arkhan.prasetyadi08@gmail.com</v>
      </c>
      <c r="AI341" s="80" t="str">
        <f>IFERROR(__xludf.DUMMYFUNCTION("""COMPUTED_VALUE"""),"43287S2")</f>
        <v>43287S2</v>
      </c>
      <c r="AJ341" s="80" t="str">
        <f>IFERROR(__xludf.DUMMYFUNCTION("""COMPUTED_VALUE"""),"6757ded38f3eeab899034a83")</f>
        <v>6757ded38f3eeab899034a83</v>
      </c>
      <c r="AK341" s="80" t="str">
        <f>IFERROR(__xludf.DUMMYFUNCTION("""COMPUTED_VALUE"""),"dm43287s2")</f>
        <v>dm43287s2</v>
      </c>
      <c r="AL341" s="80" t="str">
        <f>IFERROR(__xludf.DUMMYFUNCTION("""COMPUTED_VALUE"""),"#43287Pos")</f>
        <v>#43287Pos</v>
      </c>
      <c r="AM341" s="80" t="str">
        <f>IFERROR(__xludf.DUMMYFUNCTION("""COMPUTED_VALUE"""),"KANTOR REGIONAL III BANDUNG 40004")</f>
        <v>KANTOR REGIONAL III BANDUNG 40004</v>
      </c>
      <c r="AN341" s="80" t="str">
        <f>IFERROR(__xludf.DUMMYFUNCTION("""COMPUTED_VALUE"""),"KC CIANJUR 43200")</f>
        <v>KC CIANJUR 43200</v>
      </c>
      <c r="AO341" s="80" t="str">
        <f>IFERROR(__xludf.DUMMYFUNCTION("""COMPUTED_VALUE"""),"1211240174044")</f>
        <v>1211240174044</v>
      </c>
      <c r="AP341" s="80" t="str">
        <f>IFERROR(__xludf.DUMMYFUNCTION("""COMPUTED_VALUE"""),"12112401740440001")</f>
        <v>12112401740440001</v>
      </c>
      <c r="AQ341" s="83"/>
      <c r="AR341" s="80"/>
      <c r="AS341" s="80"/>
      <c r="AT341" s="80" t="str">
        <f>IFERROR(__xludf.DUMMYFUNCTION("""COMPUTED_VALUE"""),"-6.8847016")</f>
        <v>-6.8847016</v>
      </c>
      <c r="AU341" s="80" t="str">
        <f>IFERROR(__xludf.DUMMYFUNCTION("""COMPUTED_VALUE"""),"107.0824651")</f>
        <v>107.0824651</v>
      </c>
      <c r="AV341" s="80"/>
      <c r="AW341" s="80"/>
      <c r="AX341" s="80" t="str">
        <f>IFERROR(__xludf.DUMMYFUNCTION("""COMPUTED_VALUE"""),"ü")</f>
        <v>ü</v>
      </c>
      <c r="AY341" s="80"/>
      <c r="AZ341" s="80"/>
      <c r="BA341" s="80"/>
      <c r="BB341" s="80"/>
      <c r="BC341" s="80"/>
      <c r="BD341" s="80"/>
      <c r="BE341" s="80"/>
      <c r="BF341" s="80"/>
      <c r="BG341" s="80"/>
      <c r="BH341" s="80"/>
      <c r="BI341" s="80"/>
      <c r="BJ341" s="80"/>
      <c r="BK341" s="80"/>
      <c r="BL341" s="80"/>
      <c r="BM341" s="80"/>
      <c r="BN341" s="80"/>
      <c r="BO341" s="80"/>
      <c r="BP341" s="80"/>
      <c r="BQ341" s="80"/>
      <c r="BR341" s="80"/>
      <c r="BS341" s="80"/>
      <c r="BT341" s="80"/>
      <c r="BU341" s="80"/>
      <c r="BV341" s="80"/>
      <c r="BW341" s="80"/>
      <c r="BX341" s="80"/>
      <c r="BY341" s="80"/>
      <c r="BZ341" s="80"/>
      <c r="CA341" s="80"/>
      <c r="CB341" s="80"/>
      <c r="CC341" s="80"/>
      <c r="CD341" s="80"/>
      <c r="CE341" s="80"/>
      <c r="CF341" s="80"/>
      <c r="CG341" s="80"/>
      <c r="CH341" s="80"/>
      <c r="CI341" s="80"/>
      <c r="CJ341" s="80"/>
      <c r="CK341" s="2"/>
    </row>
    <row r="342" ht="12.75" customHeight="1">
      <c r="A342" s="85">
        <f>IFERROR(__xludf.DUMMYFUNCTION("""COMPUTED_VALUE"""),339.0)</f>
        <v>339</v>
      </c>
      <c r="B342" s="85"/>
      <c r="C342" s="85"/>
      <c r="D342" s="86"/>
      <c r="E342" s="88"/>
      <c r="F342" s="85"/>
      <c r="G342" s="86"/>
      <c r="H342" s="85"/>
      <c r="I342" s="85"/>
      <c r="J342" s="85"/>
      <c r="K342" s="85"/>
      <c r="L342" s="85"/>
      <c r="M342" s="85" t="str">
        <f>IFERROR(__xludf.DUMMYFUNCTION("""COMPUTED_VALUE"""),"ü")</f>
        <v>ü</v>
      </c>
      <c r="N342" s="85"/>
      <c r="O342" s="85"/>
      <c r="P342" s="85" t="str">
        <f>IFERROR(__xludf.DUMMYFUNCTION("""COMPUTED_VALUE"""),"53BSPA09130JBEEN")</f>
        <v>53BSPA09130JBEEN</v>
      </c>
      <c r="Q342" s="85" t="str">
        <f>IFERROR(__xludf.DUMMYFUNCTION("""COMPUTED_VALUE"""),"MUC Alumunium Raya Cibodas")</f>
        <v>MUC Alumunium Raya Cibodas</v>
      </c>
      <c r="R342" s="85" t="str">
        <f>IFERROR(__xludf.DUMMYFUNCTION("""COMPUTED_VALUE"""),"MUC Alumunium Raya Cibodas")</f>
        <v>MUC Alumunium Raya Cibodas</v>
      </c>
      <c r="S342" s="85" t="str">
        <f>IFERROR(__xludf.DUMMYFUNCTION("""COMPUTED_VALUE"""),"ANDHIKA ARYA NUGRAHA ")</f>
        <v>ANDHIKA ARYA NUGRAHA </v>
      </c>
      <c r="T342" s="85" t="str">
        <f>IFERROR(__xludf.DUMMYFUNCTION("""COMPUTED_VALUE"""),"JL. ALUMUNIUM RAYA NO.16 RT.005/RW.015")</f>
        <v>JL. ALUMUNIUM RAYA NO.16 RT.005/RW.015</v>
      </c>
      <c r="U342" s="85" t="str">
        <f>IFERROR(__xludf.DUMMYFUNCTION("""COMPUTED_VALUE"""),"Jl. Aluminium Raya No.16 RT.005/RW.015")</f>
        <v>Jl. Aluminium Raya No.16 RT.005/RW.015</v>
      </c>
      <c r="V342" s="85"/>
      <c r="W342" s="85" t="str">
        <f>IFERROR(__xludf.DUMMYFUNCTION("""COMPUTED_VALUE"""),"CIBODAS BARU")</f>
        <v>CIBODAS BARU</v>
      </c>
      <c r="X342" s="85" t="str">
        <f>IFERROR(__xludf.DUMMYFUNCTION("""COMPUTED_VALUE"""),"CIBODAS")</f>
        <v>CIBODAS</v>
      </c>
      <c r="Y342" s="85" t="str">
        <f>IFERROR(__xludf.DUMMYFUNCTION("""COMPUTED_VALUE"""),"KOTA TANGERANG")</f>
        <v>KOTA TANGERANG</v>
      </c>
      <c r="Z342" s="85" t="str">
        <f>IFERROR(__xludf.DUMMYFUNCTION("""COMPUTED_VALUE"""),"BANTEN")</f>
        <v>BANTEN</v>
      </c>
      <c r="AA342" s="85" t="str">
        <f>IFERROR(__xludf.DUMMYFUNCTION("""COMPUTED_VALUE"""),"15810")</f>
        <v>15810</v>
      </c>
      <c r="AB342" s="85" t="str">
        <f>IFERROR(__xludf.DUMMYFUNCTION("""COMPUTED_VALUE"""),"3671090309830001")</f>
        <v>3671090309830001</v>
      </c>
      <c r="AC342" s="85" t="str">
        <f>IFERROR(__xludf.DUMMYFUNCTION("""COMPUTED_VALUE"""),"86.701.786.5-402.000")</f>
        <v>86.701.786.5-402.000</v>
      </c>
      <c r="AD342" s="85" t="str">
        <f>IFERROR(__xludf.DUMMYFUNCTION("""COMPUTED_VALUE"""),"CUM - EEN")</f>
        <v>CUM - EEN</v>
      </c>
      <c r="AE342" s="85" t="str">
        <f>IFERROR(__xludf.DUMMYFUNCTION("""COMPUTED_VALUE"""),"SUB EEN")</f>
        <v>SUB EEN</v>
      </c>
      <c r="AF342" s="85" t="str">
        <f>IFERROR(__xludf.DUMMYFUNCTION("""COMPUTED_VALUE"""),"081314806884")</f>
        <v>081314806884</v>
      </c>
      <c r="AG342" s="85"/>
      <c r="AH342" s="85" t="str">
        <f>IFERROR(__xludf.DUMMYFUNCTION("""COMPUTED_VALUE"""),"mitrawaw1550@gmail.com")</f>
        <v>mitrawaw1550@gmail.com</v>
      </c>
      <c r="AI342" s="85" t="str">
        <f>IFERROR(__xludf.DUMMYFUNCTION("""COMPUTED_VALUE"""),"15138S7")</f>
        <v>15138S7</v>
      </c>
      <c r="AJ342" s="85" t="str">
        <f>IFERROR(__xludf.DUMMYFUNCTION("""COMPUTED_VALUE"""),"6748312873f37bb779040af7")</f>
        <v>6748312873f37bb779040af7</v>
      </c>
      <c r="AK342" s="85" t="str">
        <f>IFERROR(__xludf.DUMMYFUNCTION("""COMPUTED_VALUE"""),"dm15138s7")</f>
        <v>dm15138s7</v>
      </c>
      <c r="AL342" s="85" t="str">
        <f>IFERROR(__xludf.DUMMYFUNCTION("""COMPUTED_VALUE"""),"#15138Pos")</f>
        <v>#15138Pos</v>
      </c>
      <c r="AM342" s="85" t="str">
        <f>IFERROR(__xludf.DUMMYFUNCTION("""COMPUTED_VALUE"""),"KANTOR REGIONAL II JAKARTA 10004")</f>
        <v>KANTOR REGIONAL II JAKARTA 10004</v>
      </c>
      <c r="AN342" s="85" t="str">
        <f>IFERROR(__xludf.DUMMYFUNCTION("""COMPUTED_VALUE"""),"KCU TANGERANG 15000")</f>
        <v>KCU TANGERANG 15000</v>
      </c>
      <c r="AO342" s="85" t="str">
        <f>IFERROR(__xludf.DUMMYFUNCTION("""COMPUTED_VALUE"""),"1911240076923")</f>
        <v>1911240076923</v>
      </c>
      <c r="AP342" s="85" t="str">
        <f>IFERROR(__xludf.DUMMYFUNCTION("""COMPUTED_VALUE"""),"19112400769230001")</f>
        <v>19112400769230001</v>
      </c>
      <c r="AQ342" s="93"/>
      <c r="AR342" s="85"/>
      <c r="AS342" s="85"/>
      <c r="AT342" s="85" t="str">
        <f>IFERROR(__xludf.DUMMYFUNCTION("""COMPUTED_VALUE"""),"-6.213462")</f>
        <v>-6.213462</v>
      </c>
      <c r="AU342" s="85" t="str">
        <f>IFERROR(__xludf.DUMMYFUNCTION("""COMPUTED_VALUE"""),"106.6033900")</f>
        <v>106.6033900</v>
      </c>
      <c r="AV342" s="85"/>
      <c r="AW342" s="85"/>
      <c r="AX342" s="85" t="str">
        <f>IFERROR(__xludf.DUMMYFUNCTION("""COMPUTED_VALUE"""),"ü")</f>
        <v>ü</v>
      </c>
      <c r="AY342" s="85"/>
      <c r="AZ342" s="85"/>
      <c r="BA342" s="85"/>
      <c r="BB342" s="85"/>
      <c r="BC342" s="85"/>
      <c r="BD342" s="85"/>
      <c r="BE342" s="85"/>
      <c r="BF342" s="85"/>
      <c r="BG342" s="85"/>
      <c r="BH342" s="85"/>
      <c r="BI342" s="85"/>
      <c r="BJ342" s="85"/>
      <c r="BK342" s="85"/>
      <c r="BL342" s="85"/>
      <c r="BM342" s="85"/>
      <c r="BN342" s="85"/>
      <c r="BO342" s="85"/>
      <c r="BP342" s="85"/>
      <c r="BQ342" s="85"/>
      <c r="BR342" s="85"/>
      <c r="BS342" s="85"/>
      <c r="BT342" s="85"/>
      <c r="BU342" s="85"/>
      <c r="BV342" s="85"/>
      <c r="BW342" s="85"/>
      <c r="BX342" s="85"/>
      <c r="BY342" s="85"/>
      <c r="BZ342" s="85"/>
      <c r="CA342" s="85"/>
      <c r="CB342" s="85"/>
      <c r="CC342" s="85"/>
      <c r="CD342" s="85"/>
      <c r="CE342" s="85"/>
      <c r="CF342" s="85"/>
      <c r="CG342" s="85"/>
      <c r="CH342" s="85"/>
      <c r="CI342" s="85"/>
      <c r="CJ342" s="85"/>
      <c r="CK342" s="2"/>
    </row>
    <row r="343" ht="12.75" customHeight="1">
      <c r="A343" s="80">
        <f>IFERROR(__xludf.DUMMYFUNCTION("""COMPUTED_VALUE"""),340.0)</f>
        <v>340</v>
      </c>
      <c r="B343" s="80"/>
      <c r="C343" s="80"/>
      <c r="D343" s="81"/>
      <c r="E343" s="82"/>
      <c r="F343" s="80"/>
      <c r="G343" s="81"/>
      <c r="H343" s="80"/>
      <c r="I343" s="80"/>
      <c r="J343" s="80"/>
      <c r="K343" s="80"/>
      <c r="L343" s="80"/>
      <c r="M343" s="80" t="str">
        <f>IFERROR(__xludf.DUMMYFUNCTION("""COMPUTED_VALUE"""),"ü")</f>
        <v>ü</v>
      </c>
      <c r="N343" s="80"/>
      <c r="O343" s="80"/>
      <c r="P343" s="80" t="str">
        <f>IFERROR(__xludf.DUMMYFUNCTION("""COMPUTED_VALUE"""),"MUCSPA63050PSIND")</f>
        <v>MUCSPA63050PSIND</v>
      </c>
      <c r="Q343" s="80" t="str">
        <f>IFERROR(__xludf.DUMMYFUNCTION("""COMPUTED_VALUE"""),"MUC Rumaisha")</f>
        <v>MUC Rumaisha</v>
      </c>
      <c r="R343" s="80" t="str">
        <f>IFERROR(__xludf.DUMMYFUNCTION("""COMPUTED_VALUE"""),"MUC Rumaisha")</f>
        <v>MUC Rumaisha</v>
      </c>
      <c r="S343" s="80" t="str">
        <f>IFERROR(__xludf.DUMMYFUNCTION("""COMPUTED_VALUE"""),"Muhamad Taufik")</f>
        <v>Muhamad Taufik</v>
      </c>
      <c r="T343" s="80" t="str">
        <f>IFERROR(__xludf.DUMMYFUNCTION("""COMPUTED_VALUE"""),"Jl Harun III/83 sukabumi utara jakarta barat")</f>
        <v>Jl Harun III/83 sukabumi utara jakarta barat</v>
      </c>
      <c r="U343" s="80" t="str">
        <f>IFERROR(__xludf.DUMMYFUNCTION("""COMPUTED_VALUE"""),"Jl. H Kelik no 12c")</f>
        <v>Jl. H Kelik no 12c</v>
      </c>
      <c r="V343" s="80"/>
      <c r="W343" s="80" t="str">
        <f>IFERROR(__xludf.DUMMYFUNCTION("""COMPUTED_VALUE"""),"SRENGSENG")</f>
        <v>SRENGSENG</v>
      </c>
      <c r="X343" s="80" t="str">
        <f>IFERROR(__xludf.DUMMYFUNCTION("""COMPUTED_VALUE"""),"KEMBANGAN")</f>
        <v>KEMBANGAN</v>
      </c>
      <c r="Y343" s="80" t="str">
        <f>IFERROR(__xludf.DUMMYFUNCTION("""COMPUTED_VALUE"""),"JAKARTA BARAT")</f>
        <v>JAKARTA BARAT</v>
      </c>
      <c r="Z343" s="80" t="str">
        <f>IFERROR(__xludf.DUMMYFUNCTION("""COMPUTED_VALUE"""),"DKI JAKARTA")</f>
        <v>DKI JAKARTA</v>
      </c>
      <c r="AA343" s="80" t="str">
        <f>IFERROR(__xludf.DUMMYFUNCTION("""COMPUTED_VALUE"""),"11630")</f>
        <v>11630</v>
      </c>
      <c r="AB343" s="80" t="str">
        <f>IFERROR(__xludf.DUMMYFUNCTION("""COMPUTED_VALUE"""),"3173051305910003")</f>
        <v>3173051305910003</v>
      </c>
      <c r="AC343" s="80" t="str">
        <f>IFERROR(__xludf.DUMMYFUNCTION("""COMPUTED_VALUE"""),"75.869.818.7-035.000")</f>
        <v>75.869.818.7-035.000</v>
      </c>
      <c r="AD343" s="80" t="str">
        <f>IFERROR(__xludf.DUMMYFUNCTION("""COMPUTED_VALUE"""),"CUM - PS - SUSU")</f>
        <v>CUM - PS - SUSU</v>
      </c>
      <c r="AE343" s="80" t="str">
        <f>IFERROR(__xludf.DUMMYFUNCTION("""COMPUTED_VALUE"""),"SUB SUGENG POS")</f>
        <v>SUB SUGENG POS</v>
      </c>
      <c r="AF343" s="80" t="str">
        <f>IFERROR(__xludf.DUMMYFUNCTION("""COMPUTED_VALUE"""),"087865529206")</f>
        <v>087865529206</v>
      </c>
      <c r="AG343" s="80"/>
      <c r="AH343" s="80" t="str">
        <f>IFERROR(__xludf.DUMMYFUNCTION("""COMPUTED_VALUE"""),"vik.sanada13@gmail.com")</f>
        <v>vik.sanada13@gmail.com</v>
      </c>
      <c r="AI343" s="80" t="str">
        <f>IFERROR(__xludf.DUMMYFUNCTION("""COMPUTED_VALUE"""),"11630S1")</f>
        <v>11630S1</v>
      </c>
      <c r="AJ343" s="80" t="str">
        <f>IFERROR(__xludf.DUMMYFUNCTION("""COMPUTED_VALUE"""),"67493edee6329f561d02e2d9")</f>
        <v>67493edee6329f561d02e2d9</v>
      </c>
      <c r="AK343" s="80" t="str">
        <f>IFERROR(__xludf.DUMMYFUNCTION("""COMPUTED_VALUE"""),"dm11630s1")</f>
        <v>dm11630s1</v>
      </c>
      <c r="AL343" s="80" t="str">
        <f>IFERROR(__xludf.DUMMYFUNCTION("""COMPUTED_VALUE"""),"#11630Pos")</f>
        <v>#11630Pos</v>
      </c>
      <c r="AM343" s="80" t="str">
        <f>IFERROR(__xludf.DUMMYFUNCTION("""COMPUTED_VALUE"""),"KANTOR REGIONAL II JAKARTA 10004")</f>
        <v>KANTOR REGIONAL II JAKARTA 10004</v>
      </c>
      <c r="AN343" s="80" t="str">
        <f>IFERROR(__xludf.DUMMYFUNCTION("""COMPUTED_VALUE"""),"KCU JAKARTAOCEANIA 11000")</f>
        <v>KCU JAKARTAOCEANIA 11000</v>
      </c>
      <c r="AO343" s="80" t="str">
        <f>IFERROR(__xludf.DUMMYFUNCTION("""COMPUTED_VALUE"""),"2011240071173")</f>
        <v>2011240071173</v>
      </c>
      <c r="AP343" s="80" t="str">
        <f>IFERROR(__xludf.DUMMYFUNCTION("""COMPUTED_VALUE"""),"20112400711730001")</f>
        <v>20112400711730001</v>
      </c>
      <c r="AQ343" s="83"/>
      <c r="AR343" s="80"/>
      <c r="AS343" s="80"/>
      <c r="AT343" s="80" t="str">
        <f>IFERROR(__xludf.DUMMYFUNCTION("""COMPUTED_VALUE"""),"-6.209556")</f>
        <v>-6.209556</v>
      </c>
      <c r="AU343" s="80" t="str">
        <f>IFERROR(__xludf.DUMMYFUNCTION("""COMPUTED_VALUE"""),"106.760310")</f>
        <v>106.760310</v>
      </c>
      <c r="AV343" s="80"/>
      <c r="AW343" s="80"/>
      <c r="AX343" s="80" t="str">
        <f>IFERROR(__xludf.DUMMYFUNCTION("""COMPUTED_VALUE"""),"ü")</f>
        <v>ü</v>
      </c>
      <c r="AY343" s="80"/>
      <c r="AZ343" s="80"/>
      <c r="BA343" s="80"/>
      <c r="BB343" s="80"/>
      <c r="BC343" s="80"/>
      <c r="BD343" s="80"/>
      <c r="BE343" s="80"/>
      <c r="BF343" s="80"/>
      <c r="BG343" s="80"/>
      <c r="BH343" s="80"/>
      <c r="BI343" s="80"/>
      <c r="BJ343" s="80"/>
      <c r="BK343" s="80"/>
      <c r="BL343" s="80"/>
      <c r="BM343" s="80"/>
      <c r="BN343" s="80"/>
      <c r="BO343" s="80"/>
      <c r="BP343" s="80"/>
      <c r="BQ343" s="80"/>
      <c r="BR343" s="80"/>
      <c r="BS343" s="80"/>
      <c r="BT343" s="80"/>
      <c r="BU343" s="80"/>
      <c r="BV343" s="80"/>
      <c r="BW343" s="80"/>
      <c r="BX343" s="80"/>
      <c r="BY343" s="80"/>
      <c r="BZ343" s="80"/>
      <c r="CA343" s="80"/>
      <c r="CB343" s="80"/>
      <c r="CC343" s="80"/>
      <c r="CD343" s="80"/>
      <c r="CE343" s="80"/>
      <c r="CF343" s="80"/>
      <c r="CG343" s="80"/>
      <c r="CH343" s="80"/>
      <c r="CI343" s="80"/>
      <c r="CJ343" s="80"/>
      <c r="CK343" s="2"/>
    </row>
    <row r="344" ht="12.75" customHeight="1">
      <c r="A344" s="85">
        <f>IFERROR(__xludf.DUMMYFUNCTION("""COMPUTED_VALUE"""),341.0)</f>
        <v>341</v>
      </c>
      <c r="B344" s="85"/>
      <c r="C344" s="85"/>
      <c r="D344" s="86"/>
      <c r="E344" s="88"/>
      <c r="F344" s="85"/>
      <c r="G344" s="86"/>
      <c r="H344" s="85"/>
      <c r="I344" s="85"/>
      <c r="J344" s="85"/>
      <c r="K344" s="85"/>
      <c r="L344" s="85"/>
      <c r="M344" s="85" t="str">
        <f>IFERROR(__xludf.DUMMYFUNCTION("""COMPUTED_VALUE"""),"ü")</f>
        <v>ü</v>
      </c>
      <c r="N344" s="85"/>
      <c r="O344" s="85"/>
      <c r="P344" s="85" t="str">
        <f>IFERROR(__xludf.DUMMYFUNCTION("""COMPUTED_VALUE"""),"53BSPA09237JBEEN")</f>
        <v>53BSPA09237JBEEN</v>
      </c>
      <c r="Q344" s="85" t="str">
        <f>IFERROR(__xludf.DUMMYFUNCTION("""COMPUTED_VALUE"""),"MUC KWITANG Logistik")</f>
        <v>MUC KWITANG Logistik</v>
      </c>
      <c r="R344" s="85" t="str">
        <f>IFERROR(__xludf.DUMMYFUNCTION("""COMPUTED_VALUE"""),"MUC KWITANG Logistik")</f>
        <v>MUC KWITANG Logistik</v>
      </c>
      <c r="S344" s="85" t="str">
        <f>IFERROR(__xludf.DUMMYFUNCTION("""COMPUTED_VALUE"""),"Moh Haris")</f>
        <v>Moh Haris</v>
      </c>
      <c r="T344" s="85" t="str">
        <f>IFERROR(__xludf.DUMMYFUNCTION("""COMPUTED_VALUE"""),"JL. KEMBANG VIII RT.005 RW.003 KEL. KWITANG KEC. SENEN KOTA ADM JAKARTA PUSAT DKI JAKARTA")</f>
        <v>JL. KEMBANG VIII RT.005 RW.003 KEL. KWITANG KEC. SENEN KOTA ADM JAKARTA PUSAT DKI JAKARTA</v>
      </c>
      <c r="U344" s="85" t="str">
        <f>IFERROR(__xludf.DUMMYFUNCTION("""COMPUTED_VALUE"""),"Jl. Kembang 5 No.2 RT.05 RW.03")</f>
        <v>Jl. Kembang 5 No.2 RT.05 RW.03</v>
      </c>
      <c r="V344" s="85"/>
      <c r="W344" s="85" t="str">
        <f>IFERROR(__xludf.DUMMYFUNCTION("""COMPUTED_VALUE"""),"KWITANG")</f>
        <v>KWITANG</v>
      </c>
      <c r="X344" s="85" t="str">
        <f>IFERROR(__xludf.DUMMYFUNCTION("""COMPUTED_VALUE"""),"SENEN")</f>
        <v>SENEN</v>
      </c>
      <c r="Y344" s="85" t="str">
        <f>IFERROR(__xludf.DUMMYFUNCTION("""COMPUTED_VALUE"""),"JAKARTA PUSAT")</f>
        <v>JAKARTA PUSAT</v>
      </c>
      <c r="Z344" s="85" t="str">
        <f>IFERROR(__xludf.DUMMYFUNCTION("""COMPUTED_VALUE"""),"DKI JAKARTA")</f>
        <v>DKI JAKARTA</v>
      </c>
      <c r="AA344" s="85" t="str">
        <f>IFERROR(__xludf.DUMMYFUNCTION("""COMPUTED_VALUE"""),"10420")</f>
        <v>10420</v>
      </c>
      <c r="AB344" s="85" t="str">
        <f>IFERROR(__xludf.DUMMYFUNCTION("""COMPUTED_VALUE"""),"3171041111870002")</f>
        <v>3171041111870002</v>
      </c>
      <c r="AC344" s="85" t="str">
        <f>IFERROR(__xludf.DUMMYFUNCTION("""COMPUTED_VALUE"""),"44.356.664.1-023.000")</f>
        <v>44.356.664.1-023.000</v>
      </c>
      <c r="AD344" s="85" t="str">
        <f>IFERROR(__xludf.DUMMYFUNCTION("""COMPUTED_VALUE"""),"CUM - EEN")</f>
        <v>CUM - EEN</v>
      </c>
      <c r="AE344" s="85" t="str">
        <f>IFERROR(__xludf.DUMMYFUNCTION("""COMPUTED_VALUE"""),"SUB EEN")</f>
        <v>SUB EEN</v>
      </c>
      <c r="AF344" s="85" t="str">
        <f>IFERROR(__xludf.DUMMYFUNCTION("""COMPUTED_VALUE"""),"085693373736")</f>
        <v>085693373736</v>
      </c>
      <c r="AG344" s="85"/>
      <c r="AH344" s="85" t="str">
        <f>IFERROR(__xludf.DUMMYFUNCTION("""COMPUTED_VALUE"""),"mohamadhrsjob@gmail.com")</f>
        <v>mohamadhrsjob@gmail.com</v>
      </c>
      <c r="AI344" s="85" t="str">
        <f>IFERROR(__xludf.DUMMYFUNCTION("""COMPUTED_VALUE"""),"10420S2")</f>
        <v>10420S2</v>
      </c>
      <c r="AJ344" s="85" t="str">
        <f>IFERROR(__xludf.DUMMYFUNCTION("""COMPUTED_VALUE"""),"6747f349a1e54c53990d4b6c")</f>
        <v>6747f349a1e54c53990d4b6c</v>
      </c>
      <c r="AK344" s="85" t="str">
        <f>IFERROR(__xludf.DUMMYFUNCTION("""COMPUTED_VALUE"""),"dm10420s2")</f>
        <v>dm10420s2</v>
      </c>
      <c r="AL344" s="85" t="str">
        <f>IFERROR(__xludf.DUMMYFUNCTION("""COMPUTED_VALUE"""),"#10420Pos")</f>
        <v>#10420Pos</v>
      </c>
      <c r="AM344" s="85" t="str">
        <f>IFERROR(__xludf.DUMMYFUNCTION("""COMPUTED_VALUE"""),"KANTOR REGIONAL II JAKARTA 10004")</f>
        <v>KANTOR REGIONAL II JAKARTA 10004</v>
      </c>
      <c r="AN344" s="85" t="str">
        <f>IFERROR(__xludf.DUMMYFUNCTION("""COMPUTED_VALUE"""),"KCU JAKARTACENTRUM 10000")</f>
        <v>KCU JAKARTACENTRUM 10000</v>
      </c>
      <c r="AO344" s="85" t="str">
        <f>IFERROR(__xludf.DUMMYFUNCTION("""COMPUTED_VALUE"""),"1219001452272")</f>
        <v>1219001452272</v>
      </c>
      <c r="AP344" s="85" t="str">
        <f>IFERROR(__xludf.DUMMYFUNCTION("""COMPUTED_VALUE"""),"12190014522720002")</f>
        <v>12190014522720002</v>
      </c>
      <c r="AQ344" s="93"/>
      <c r="AR344" s="85"/>
      <c r="AS344" s="85"/>
      <c r="AT344" s="85" t="str">
        <f>IFERROR(__xludf.DUMMYFUNCTION("""COMPUTED_VALUE"""),"-6.1846951")</f>
        <v>-6.1846951</v>
      </c>
      <c r="AU344" s="85" t="str">
        <f>IFERROR(__xludf.DUMMYFUNCTION("""COMPUTED_VALUE"""),"106.8381991")</f>
        <v>106.8381991</v>
      </c>
      <c r="AV344" s="85"/>
      <c r="AW344" s="85"/>
      <c r="AX344" s="85" t="str">
        <f>IFERROR(__xludf.DUMMYFUNCTION("""COMPUTED_VALUE"""),"ü")</f>
        <v>ü</v>
      </c>
      <c r="AY344" s="85"/>
      <c r="AZ344" s="85"/>
      <c r="BA344" s="85"/>
      <c r="BB344" s="85"/>
      <c r="BC344" s="85"/>
      <c r="BD344" s="85"/>
      <c r="BE344" s="85"/>
      <c r="BF344" s="85"/>
      <c r="BG344" s="85"/>
      <c r="BH344" s="85"/>
      <c r="BI344" s="85"/>
      <c r="BJ344" s="85"/>
      <c r="BK344" s="85"/>
      <c r="BL344" s="85"/>
      <c r="BM344" s="85"/>
      <c r="BN344" s="85"/>
      <c r="BO344" s="85"/>
      <c r="BP344" s="85"/>
      <c r="BQ344" s="85"/>
      <c r="BR344" s="85"/>
      <c r="BS344" s="85"/>
      <c r="BT344" s="85"/>
      <c r="BU344" s="85"/>
      <c r="BV344" s="85"/>
      <c r="BW344" s="85"/>
      <c r="BX344" s="85"/>
      <c r="BY344" s="85"/>
      <c r="BZ344" s="85"/>
      <c r="CA344" s="85"/>
      <c r="CB344" s="85"/>
      <c r="CC344" s="85"/>
      <c r="CD344" s="85"/>
      <c r="CE344" s="85"/>
      <c r="CF344" s="85"/>
      <c r="CG344" s="85"/>
      <c r="CH344" s="85"/>
      <c r="CI344" s="85"/>
      <c r="CJ344" s="85"/>
      <c r="CK344" s="2"/>
    </row>
    <row r="345" ht="12.75" customHeight="1">
      <c r="A345" s="80">
        <f>IFERROR(__xludf.DUMMYFUNCTION("""COMPUTED_VALUE"""),342.0)</f>
        <v>342</v>
      </c>
      <c r="B345" s="80"/>
      <c r="C345" s="80"/>
      <c r="D345" s="81"/>
      <c r="E345" s="82"/>
      <c r="F345" s="80"/>
      <c r="G345" s="81"/>
      <c r="H345" s="80"/>
      <c r="I345" s="80"/>
      <c r="J345" s="80"/>
      <c r="K345" s="80"/>
      <c r="L345" s="80"/>
      <c r="M345" s="80" t="str">
        <f>IFERROR(__xludf.DUMMYFUNCTION("""COMPUTED_VALUE"""),"ü")</f>
        <v>ü</v>
      </c>
      <c r="N345" s="80"/>
      <c r="O345" s="80"/>
      <c r="P345" s="80" t="str">
        <f>IFERROR(__xludf.DUMMYFUNCTION("""COMPUTED_VALUE"""),"MUCSPA63051PSIND")</f>
        <v>MUCSPA63051PSIND</v>
      </c>
      <c r="Q345" s="80" t="str">
        <f>IFERROR(__xludf.DUMMYFUNCTION("""COMPUTED_VALUE"""),"MUC LA")</f>
        <v>MUC LA</v>
      </c>
      <c r="R345" s="80" t="str">
        <f>IFERROR(__xludf.DUMMYFUNCTION("""COMPUTED_VALUE"""),"MUC LA")</f>
        <v>MUC LA</v>
      </c>
      <c r="S345" s="80" t="str">
        <f>IFERROR(__xludf.DUMMYFUNCTION("""COMPUTED_VALUE"""),"HASIDI")</f>
        <v>HASIDI</v>
      </c>
      <c r="T345" s="80" t="str">
        <f>IFERROR(__xludf.DUMMYFUNCTION("""COMPUTED_VALUE"""),"LINK. PECINAN RT 001 RW 003 KEL. PABEAN KEC. PURWAKARTA CILEGON ")</f>
        <v>LINK. PECINAN RT 001 RW 003 KEL. PABEAN KEC. PURWAKARTA CILEGON </v>
      </c>
      <c r="U345" s="80" t="str">
        <f>IFERROR(__xludf.DUMMYFUNCTION("""COMPUTED_VALUE"""),"Jalan Kotasari ( Lingkungan Krakatau Junction Ruko 27 )")</f>
        <v>Jalan Kotasari ( Lingkungan Krakatau Junction Ruko 27 )</v>
      </c>
      <c r="V345" s="80"/>
      <c r="W345" s="80" t="str">
        <f>IFERROR(__xludf.DUMMYFUNCTION("""COMPUTED_VALUE"""),"KOTABUMI")</f>
        <v>KOTABUMI</v>
      </c>
      <c r="X345" s="80" t="str">
        <f>IFERROR(__xludf.DUMMYFUNCTION("""COMPUTED_VALUE"""),"PURWAKARTA ")</f>
        <v>PURWAKARTA </v>
      </c>
      <c r="Y345" s="80" t="str">
        <f>IFERROR(__xludf.DUMMYFUNCTION("""COMPUTED_VALUE"""),"CILEGON ")</f>
        <v>CILEGON </v>
      </c>
      <c r="Z345" s="80" t="str">
        <f>IFERROR(__xludf.DUMMYFUNCTION("""COMPUTED_VALUE"""),"BANTEN")</f>
        <v>BANTEN</v>
      </c>
      <c r="AA345" s="80" t="str">
        <f>IFERROR(__xludf.DUMMYFUNCTION("""COMPUTED_VALUE"""),"42437")</f>
        <v>42437</v>
      </c>
      <c r="AB345" s="80" t="str">
        <f>IFERROR(__xludf.DUMMYFUNCTION("""COMPUTED_VALUE"""),"3672071210890001")</f>
        <v>3672071210890001</v>
      </c>
      <c r="AC345" s="80" t="str">
        <f>IFERROR(__xludf.DUMMYFUNCTION("""COMPUTED_VALUE"""),"77.302.781.8-417.000")</f>
        <v>77.302.781.8-417.000</v>
      </c>
      <c r="AD345" s="80" t="str">
        <f>IFERROR(__xludf.DUMMYFUNCTION("""COMPUTED_VALUE"""),"CUM - PS - AFS")</f>
        <v>CUM - PS - AFS</v>
      </c>
      <c r="AE345" s="80" t="str">
        <f>IFERROR(__xludf.DUMMYFUNCTION("""COMPUTED_VALUE"""),"SUB FARIS POS")</f>
        <v>SUB FARIS POS</v>
      </c>
      <c r="AF345" s="80" t="str">
        <f>IFERROR(__xludf.DUMMYFUNCTION("""COMPUTED_VALUE"""),"087887215923")</f>
        <v>087887215923</v>
      </c>
      <c r="AG345" s="80"/>
      <c r="AH345" s="80" t="str">
        <f>IFERROR(__xludf.DUMMYFUNCTION("""COMPUTED_VALUE"""),"hasidi4u@gmail.com")</f>
        <v>hasidi4u@gmail.com</v>
      </c>
      <c r="AI345" s="80" t="str">
        <f>IFERROR(__xludf.DUMMYFUNCTION("""COMPUTED_VALUE"""),"42434S1")</f>
        <v>42434S1</v>
      </c>
      <c r="AJ345" s="80" t="str">
        <f>IFERROR(__xludf.DUMMYFUNCTION("""COMPUTED_VALUE"""),"67402c2e81966be428006675")</f>
        <v>67402c2e81966be428006675</v>
      </c>
      <c r="AK345" s="80" t="str">
        <f>IFERROR(__xludf.DUMMYFUNCTION("""COMPUTED_VALUE"""),"dm42434s1")</f>
        <v>dm42434s1</v>
      </c>
      <c r="AL345" s="80" t="str">
        <f>IFERROR(__xludf.DUMMYFUNCTION("""COMPUTED_VALUE"""),"#42434Pos")</f>
        <v>#42434Pos</v>
      </c>
      <c r="AM345" s="80" t="str">
        <f>IFERROR(__xludf.DUMMYFUNCTION("""COMPUTED_VALUE"""),"KANTOR REGIONAL II JAKARTA 10004")</f>
        <v>KANTOR REGIONAL II JAKARTA 10004</v>
      </c>
      <c r="AN345" s="80" t="str">
        <f>IFERROR(__xludf.DUMMYFUNCTION("""COMPUTED_VALUE"""),"KC CILEGON 42400")</f>
        <v>KC CILEGON 42400</v>
      </c>
      <c r="AO345" s="80" t="str">
        <f>IFERROR(__xludf.DUMMYFUNCTION("""COMPUTED_VALUE"""),"1810240012859")</f>
        <v>1810240012859</v>
      </c>
      <c r="AP345" s="80" t="str">
        <f>IFERROR(__xludf.DUMMYFUNCTION("""COMPUTED_VALUE"""),"18102400128590001")</f>
        <v>18102400128590001</v>
      </c>
      <c r="AQ345" s="83"/>
      <c r="AR345" s="80"/>
      <c r="AS345" s="80"/>
      <c r="AT345" s="80" t="str">
        <f>IFERROR(__xludf.DUMMYFUNCTION("""COMPUTED_VALUE"""),"-5.9978625")</f>
        <v>-5.9978625</v>
      </c>
      <c r="AU345" s="80" t="str">
        <f>IFERROR(__xludf.DUMMYFUNCTION("""COMPUTED_VALUE"""),"106.0346835")</f>
        <v>106.0346835</v>
      </c>
      <c r="AV345" s="80"/>
      <c r="AW345" s="80"/>
      <c r="AX345" s="80" t="str">
        <f>IFERROR(__xludf.DUMMYFUNCTION("""COMPUTED_VALUE"""),"ü")</f>
        <v>ü</v>
      </c>
      <c r="AY345" s="80"/>
      <c r="AZ345" s="80"/>
      <c r="BA345" s="80"/>
      <c r="BB345" s="80"/>
      <c r="BC345" s="80"/>
      <c r="BD345" s="80"/>
      <c r="BE345" s="80"/>
      <c r="BF345" s="80"/>
      <c r="BG345" s="80"/>
      <c r="BH345" s="80"/>
      <c r="BI345" s="80"/>
      <c r="BJ345" s="80"/>
      <c r="BK345" s="80"/>
      <c r="BL345" s="80"/>
      <c r="BM345" s="80"/>
      <c r="BN345" s="80"/>
      <c r="BO345" s="80"/>
      <c r="BP345" s="80"/>
      <c r="BQ345" s="80"/>
      <c r="BR345" s="80"/>
      <c r="BS345" s="80"/>
      <c r="BT345" s="80"/>
      <c r="BU345" s="80"/>
      <c r="BV345" s="80"/>
      <c r="BW345" s="80"/>
      <c r="BX345" s="80"/>
      <c r="BY345" s="80"/>
      <c r="BZ345" s="80"/>
      <c r="CA345" s="80"/>
      <c r="CB345" s="80"/>
      <c r="CC345" s="80"/>
      <c r="CD345" s="80"/>
      <c r="CE345" s="80"/>
      <c r="CF345" s="80"/>
      <c r="CG345" s="80"/>
      <c r="CH345" s="80"/>
      <c r="CI345" s="80"/>
      <c r="CJ345" s="80"/>
      <c r="CK345" s="2"/>
    </row>
    <row r="346" ht="12.75" customHeight="1">
      <c r="A346" s="85">
        <f>IFERROR(__xludf.DUMMYFUNCTION("""COMPUTED_VALUE"""),343.0)</f>
        <v>343</v>
      </c>
      <c r="B346" s="85"/>
      <c r="C346" s="85"/>
      <c r="D346" s="86"/>
      <c r="E346" s="88"/>
      <c r="F346" s="85"/>
      <c r="G346" s="86"/>
      <c r="H346" s="85"/>
      <c r="I346" s="85"/>
      <c r="J346" s="85"/>
      <c r="K346" s="85"/>
      <c r="L346" s="85"/>
      <c r="M346" s="85" t="str">
        <f>IFERROR(__xludf.DUMMYFUNCTION("""COMPUTED_VALUE"""),"ü")</f>
        <v>ü</v>
      </c>
      <c r="N346" s="85"/>
      <c r="O346" s="85"/>
      <c r="P346" s="85" t="str">
        <f>IFERROR(__xludf.DUMMYFUNCTION("""COMPUTED_VALUE"""),"MUCSPA63052PSIND")</f>
        <v>MUCSPA63052PSIND</v>
      </c>
      <c r="Q346" s="85" t="str">
        <f>IFERROR(__xludf.DUMMYFUNCTION("""COMPUTED_VALUE"""),"MUC Jati Mulya Mart")</f>
        <v>MUC Jati Mulya Mart</v>
      </c>
      <c r="R346" s="85" t="str">
        <f>IFERROR(__xludf.DUMMYFUNCTION("""COMPUTED_VALUE"""),"MUC Jati Mulya Mart")</f>
        <v>MUC Jati Mulya Mart</v>
      </c>
      <c r="S346" s="85" t="str">
        <f>IFERROR(__xludf.DUMMYFUNCTION("""COMPUTED_VALUE"""),"Dyah Retno Pratiwi")</f>
        <v>Dyah Retno Pratiwi</v>
      </c>
      <c r="T346" s="85" t="str">
        <f>IFERROR(__xludf.DUMMYFUNCTION("""COMPUTED_VALUE"""),"ds. Mandirancan rt.4 rw.3 kec. Kebasen ")</f>
        <v>ds. Mandirancan rt.4 rw.3 kec. Kebasen </v>
      </c>
      <c r="U346" s="85" t="str">
        <f>IFERROR(__xludf.DUMMYFUNCTION("""COMPUTED_VALUE"""),"RT. 004 RW. 003")</f>
        <v>RT. 004 RW. 003</v>
      </c>
      <c r="V346" s="85"/>
      <c r="W346" s="85" t="str">
        <f>IFERROR(__xludf.DUMMYFUNCTION("""COMPUTED_VALUE"""),"mandirancan")</f>
        <v>mandirancan</v>
      </c>
      <c r="X346" s="85" t="str">
        <f>IFERROR(__xludf.DUMMYFUNCTION("""COMPUTED_VALUE"""),"kebasen")</f>
        <v>kebasen</v>
      </c>
      <c r="Y346" s="85" t="str">
        <f>IFERROR(__xludf.DUMMYFUNCTION("""COMPUTED_VALUE"""),"banyumas")</f>
        <v>banyumas</v>
      </c>
      <c r="Z346" s="85" t="str">
        <f>IFERROR(__xludf.DUMMYFUNCTION("""COMPUTED_VALUE"""),"jawa tengah ")</f>
        <v>jawa tengah </v>
      </c>
      <c r="AA346" s="85" t="str">
        <f>IFERROR(__xludf.DUMMYFUNCTION("""COMPUTED_VALUE"""),"53172")</f>
        <v>53172</v>
      </c>
      <c r="AB346" s="85" t="str">
        <f>IFERROR(__xludf.DUMMYFUNCTION("""COMPUTED_VALUE"""),"3302115903880001")</f>
        <v>3302115903880001</v>
      </c>
      <c r="AC346" s="85" t="str">
        <f>IFERROR(__xludf.DUMMYFUNCTION("""COMPUTED_VALUE"""),"49.252.575.3-521.000")</f>
        <v>49.252.575.3-521.000</v>
      </c>
      <c r="AD346" s="85" t="str">
        <f>IFERROR(__xludf.DUMMYFUNCTION("""COMPUTED_VALUE"""),"CUM - PS - FDS")</f>
        <v>CUM - PS - FDS</v>
      </c>
      <c r="AE346" s="85" t="str">
        <f>IFERROR(__xludf.DUMMYFUNCTION("""COMPUTED_VALUE"""),"SUB FUAD POS")</f>
        <v>SUB FUAD POS</v>
      </c>
      <c r="AF346" s="85" t="str">
        <f>IFERROR(__xludf.DUMMYFUNCTION("""COMPUTED_VALUE"""),"081228256627")</f>
        <v>081228256627</v>
      </c>
      <c r="AG346" s="85"/>
      <c r="AH346" s="85" t="str">
        <f>IFERROR(__xludf.DUMMYFUNCTION("""COMPUTED_VALUE"""),"dyahretnopratiwi14@gmail.com")</f>
        <v>dyahretnopratiwi14@gmail.com</v>
      </c>
      <c r="AI346" s="85" t="str">
        <f>IFERROR(__xludf.DUMMYFUNCTION("""COMPUTED_VALUE"""),"53172S1")</f>
        <v>53172S1</v>
      </c>
      <c r="AJ346" s="85" t="str">
        <f>IFERROR(__xludf.DUMMYFUNCTION("""COMPUTED_VALUE"""),"67515bf4dbb771337b082e62")</f>
        <v>67515bf4dbb771337b082e62</v>
      </c>
      <c r="AK346" s="85" t="str">
        <f>IFERROR(__xludf.DUMMYFUNCTION("""COMPUTED_VALUE"""),"dm53172s1")</f>
        <v>dm53172s1</v>
      </c>
      <c r="AL346" s="85" t="str">
        <f>IFERROR(__xludf.DUMMYFUNCTION("""COMPUTED_VALUE"""),"#53172Pos")</f>
        <v>#53172Pos</v>
      </c>
      <c r="AM346" s="85" t="str">
        <f>IFERROR(__xludf.DUMMYFUNCTION("""COMPUTED_VALUE"""),"KANTOR REGIONAL IV SEMARANG 50004")</f>
        <v>KANTOR REGIONAL IV SEMARANG 50004</v>
      </c>
      <c r="AN346" s="85" t="str">
        <f>IFERROR(__xludf.DUMMYFUNCTION("""COMPUTED_VALUE"""),"KCU PURWOKERTO 53100")</f>
        <v>KCU PURWOKERTO 53100</v>
      </c>
      <c r="AO346" s="85" t="str">
        <f>IFERROR(__xludf.DUMMYFUNCTION("""COMPUTED_VALUE"""),"2206220067173")</f>
        <v>2206220067173</v>
      </c>
      <c r="AP346" s="85" t="str">
        <f>IFERROR(__xludf.DUMMYFUNCTION("""COMPUTED_VALUE"""),"22062200671730002")</f>
        <v>22062200671730002</v>
      </c>
      <c r="AQ346" s="93"/>
      <c r="AR346" s="85"/>
      <c r="AS346" s="85"/>
      <c r="AT346" s="85" t="str">
        <f>IFERROR(__xludf.DUMMYFUNCTION("""COMPUTED_VALUE"""),"-7.496199")</f>
        <v>-7.496199</v>
      </c>
      <c r="AU346" s="85" t="str">
        <f>IFERROR(__xludf.DUMMYFUNCTION("""COMPUTED_VALUE"""),"109.2285612")</f>
        <v>109.2285612</v>
      </c>
      <c r="AV346" s="85"/>
      <c r="AW346" s="85"/>
      <c r="AX346" s="85" t="str">
        <f>IFERROR(__xludf.DUMMYFUNCTION("""COMPUTED_VALUE"""),"ü")</f>
        <v>ü</v>
      </c>
      <c r="AY346" s="85"/>
      <c r="AZ346" s="85"/>
      <c r="BA346" s="85"/>
      <c r="BB346" s="85"/>
      <c r="BC346" s="85"/>
      <c r="BD346" s="85"/>
      <c r="BE346" s="85"/>
      <c r="BF346" s="85"/>
      <c r="BG346" s="85"/>
      <c r="BH346" s="85"/>
      <c r="BI346" s="85"/>
      <c r="BJ346" s="85"/>
      <c r="BK346" s="85"/>
      <c r="BL346" s="85"/>
      <c r="BM346" s="85"/>
      <c r="BN346" s="85"/>
      <c r="BO346" s="85"/>
      <c r="BP346" s="85"/>
      <c r="BQ346" s="85"/>
      <c r="BR346" s="85"/>
      <c r="BS346" s="85"/>
      <c r="BT346" s="85"/>
      <c r="BU346" s="85"/>
      <c r="BV346" s="85"/>
      <c r="BW346" s="85"/>
      <c r="BX346" s="85"/>
      <c r="BY346" s="85"/>
      <c r="BZ346" s="85"/>
      <c r="CA346" s="85"/>
      <c r="CB346" s="85"/>
      <c r="CC346" s="85"/>
      <c r="CD346" s="85"/>
      <c r="CE346" s="85"/>
      <c r="CF346" s="85"/>
      <c r="CG346" s="85"/>
      <c r="CH346" s="85"/>
      <c r="CI346" s="85"/>
      <c r="CJ346" s="85"/>
      <c r="CK346" s="2"/>
    </row>
    <row r="347" ht="12.75" customHeight="1">
      <c r="A347" s="80">
        <f>IFERROR(__xludf.DUMMYFUNCTION("""COMPUTED_VALUE"""),344.0)</f>
        <v>344</v>
      </c>
      <c r="B347" s="80"/>
      <c r="C347" s="80"/>
      <c r="D347" s="81"/>
      <c r="E347" s="82"/>
      <c r="F347" s="80"/>
      <c r="G347" s="81"/>
      <c r="H347" s="80"/>
      <c r="I347" s="80"/>
      <c r="J347" s="80"/>
      <c r="K347" s="80"/>
      <c r="L347" s="80"/>
      <c r="M347" s="80"/>
      <c r="N347" s="80" t="str">
        <f>IFERROR(__xludf.DUMMYFUNCTION("""COMPUTED_VALUE"""),"ü")</f>
        <v>ü</v>
      </c>
      <c r="O347" s="80"/>
      <c r="P347" s="80" t="str">
        <f>IFERROR(__xludf.DUMMYFUNCTION("""COMPUTED_VALUE"""),"MUCSPA63053PSIND")</f>
        <v>MUCSPA63053PSIND</v>
      </c>
      <c r="Q347" s="80" t="str">
        <f>IFERROR(__xludf.DUMMYFUNCTION("""COMPUTED_VALUE"""),"MUC RESTU")</f>
        <v>MUC RESTU</v>
      </c>
      <c r="R347" s="80" t="str">
        <f>IFERROR(__xludf.DUMMYFUNCTION("""COMPUTED_VALUE"""),"MUC RESTU")</f>
        <v>MUC RESTU</v>
      </c>
      <c r="S347" s="80" t="str">
        <f>IFERROR(__xludf.DUMMYFUNCTION("""COMPUTED_VALUE"""),"RESTU LUSIANA HARTATI ")</f>
        <v>RESTU LUSIANA HARTATI </v>
      </c>
      <c r="T347" s="80" t="str">
        <f>IFERROR(__xludf.DUMMYFUNCTION("""COMPUTED_VALUE"""),"JL. D. SUDRAJAT NO. 16 RT 001 RW 004")</f>
        <v>JL. D. SUDRAJAT NO. 16 RT 001 RW 004</v>
      </c>
      <c r="U347" s="80" t="str">
        <f>IFERROR(__xludf.DUMMYFUNCTION("""COMPUTED_VALUE"""),"JL. D. SUDRAJAT NO. 16 RT 001 RW 004")</f>
        <v>JL. D. SUDRAJAT NO. 16 RT 001 RW 004</v>
      </c>
      <c r="V347" s="80"/>
      <c r="W347" s="80" t="str">
        <f>IFERROR(__xludf.DUMMYFUNCTION("""COMPUTED_VALUE"""),"GRINTING")</f>
        <v>GRINTING</v>
      </c>
      <c r="X347" s="80" t="str">
        <f>IFERROR(__xludf.DUMMYFUNCTION("""COMPUTED_VALUE"""),"BULAKAMBA")</f>
        <v>BULAKAMBA</v>
      </c>
      <c r="Y347" s="80" t="str">
        <f>IFERROR(__xludf.DUMMYFUNCTION("""COMPUTED_VALUE"""),"BREBES")</f>
        <v>BREBES</v>
      </c>
      <c r="Z347" s="80" t="str">
        <f>IFERROR(__xludf.DUMMYFUNCTION("""COMPUTED_VALUE"""),"JAWA TENGAH")</f>
        <v>JAWA TENGAH</v>
      </c>
      <c r="AA347" s="80" t="str">
        <f>IFERROR(__xludf.DUMMYFUNCTION("""COMPUTED_VALUE"""),"52253")</f>
        <v>52253</v>
      </c>
      <c r="AB347" s="80" t="str">
        <f>IFERROR(__xludf.DUMMYFUNCTION("""COMPUTED_VALUE"""),"3329146301940006")</f>
        <v>3329146301940006</v>
      </c>
      <c r="AC347" s="80" t="str">
        <f>IFERROR(__xludf.DUMMYFUNCTION("""COMPUTED_VALUE"""),"71.304.622.5-039.000")</f>
        <v>71.304.622.5-039.000</v>
      </c>
      <c r="AD347" s="80" t="str">
        <f>IFERROR(__xludf.DUMMYFUNCTION("""COMPUTED_VALUE"""),"CUM - PS - ARFY")</f>
        <v>CUM - PS - ARFY</v>
      </c>
      <c r="AE347" s="80" t="str">
        <f>IFERROR(__xludf.DUMMYFUNCTION("""COMPUTED_VALUE"""),"SUB ARIFIYAN POS")</f>
        <v>SUB ARIFIYAN POS</v>
      </c>
      <c r="AF347" s="80" t="str">
        <f>IFERROR(__xludf.DUMMYFUNCTION("""COMPUTED_VALUE"""),"087864321923")</f>
        <v>087864321923</v>
      </c>
      <c r="AG347" s="80"/>
      <c r="AH347" s="80" t="str">
        <f>IFERROR(__xludf.DUMMYFUNCTION("""COMPUTED_VALUE"""),"lusianahartati.lh@gmail.com ")</f>
        <v>lusianahartati.lh@gmail.com </v>
      </c>
      <c r="AI347" s="80" t="str">
        <f>IFERROR(__xludf.DUMMYFUNCTION("""COMPUTED_VALUE"""),"52253SB")</f>
        <v>52253SB</v>
      </c>
      <c r="AJ347" s="80" t="str">
        <f>IFERROR(__xludf.DUMMYFUNCTION("""COMPUTED_VALUE"""),"6765257da710d5c25a08a291")</f>
        <v>6765257da710d5c25a08a291</v>
      </c>
      <c r="AK347" s="80" t="str">
        <f>IFERROR(__xludf.DUMMYFUNCTION("""COMPUTED_VALUE"""),"dm52253sb")</f>
        <v>dm52253sb</v>
      </c>
      <c r="AL347" s="80" t="str">
        <f>IFERROR(__xludf.DUMMYFUNCTION("""COMPUTED_VALUE"""),"#52253Pos")</f>
        <v>#52253Pos</v>
      </c>
      <c r="AM347" s="80" t="str">
        <f>IFERROR(__xludf.DUMMYFUNCTION("""COMPUTED_VALUE"""),"KANTOR REGIONAL IV SEMARANG 50004")</f>
        <v>KANTOR REGIONAL IV SEMARANG 50004</v>
      </c>
      <c r="AN347" s="80" t="str">
        <f>IFERROR(__xludf.DUMMYFUNCTION("""COMPUTED_VALUE"""),"KC BREBES ")</f>
        <v>KC BREBES </v>
      </c>
      <c r="AO347" s="80" t="str">
        <f>IFERROR(__xludf.DUMMYFUNCTION("""COMPUTED_VALUE"""),"2211240059295")</f>
        <v>2211240059295</v>
      </c>
      <c r="AP347" s="80" t="str">
        <f>IFERROR(__xludf.DUMMYFUNCTION("""COMPUTED_VALUE"""),"22112400592950001")</f>
        <v>22112400592950001</v>
      </c>
      <c r="AQ347" s="83"/>
      <c r="AR347" s="80"/>
      <c r="AS347" s="80"/>
      <c r="AT347" s="80" t="str">
        <f>IFERROR(__xludf.DUMMYFUNCTION("""COMPUTED_VALUE"""),"-6.8647743")</f>
        <v>-6.8647743</v>
      </c>
      <c r="AU347" s="80" t="str">
        <f>IFERROR(__xludf.DUMMYFUNCTION("""COMPUTED_VALUE"""),"108.9333061")</f>
        <v>108.9333061</v>
      </c>
      <c r="AV347" s="80"/>
      <c r="AW347" s="80"/>
      <c r="AX347" s="80" t="str">
        <f>IFERROR(__xludf.DUMMYFUNCTION("""COMPUTED_VALUE"""),"ü")</f>
        <v>ü</v>
      </c>
      <c r="AY347" s="80"/>
      <c r="AZ347" s="80"/>
      <c r="BA347" s="80"/>
      <c r="BB347" s="80"/>
      <c r="BC347" s="80"/>
      <c r="BD347" s="80"/>
      <c r="BE347" s="80"/>
      <c r="BF347" s="80"/>
      <c r="BG347" s="80"/>
      <c r="BH347" s="80"/>
      <c r="BI347" s="80"/>
      <c r="BJ347" s="80"/>
      <c r="BK347" s="80"/>
      <c r="BL347" s="80"/>
      <c r="BM347" s="80"/>
      <c r="BN347" s="80"/>
      <c r="BO347" s="80"/>
      <c r="BP347" s="80"/>
      <c r="BQ347" s="80"/>
      <c r="BR347" s="80"/>
      <c r="BS347" s="80"/>
      <c r="BT347" s="80"/>
      <c r="BU347" s="80"/>
      <c r="BV347" s="80"/>
      <c r="BW347" s="80"/>
      <c r="BX347" s="80"/>
      <c r="BY347" s="80"/>
      <c r="BZ347" s="80"/>
      <c r="CA347" s="80"/>
      <c r="CB347" s="80"/>
      <c r="CC347" s="80"/>
      <c r="CD347" s="80"/>
      <c r="CE347" s="80"/>
      <c r="CF347" s="80"/>
      <c r="CG347" s="80"/>
      <c r="CH347" s="80"/>
      <c r="CI347" s="80"/>
      <c r="CJ347" s="80"/>
      <c r="CK347" s="2"/>
    </row>
    <row r="348" ht="12.75" customHeight="1">
      <c r="A348" s="85">
        <f>IFERROR(__xludf.DUMMYFUNCTION("""COMPUTED_VALUE"""),345.0)</f>
        <v>345</v>
      </c>
      <c r="B348" s="85"/>
      <c r="C348" s="85"/>
      <c r="D348" s="86"/>
      <c r="E348" s="88"/>
      <c r="F348" s="85"/>
      <c r="G348" s="86"/>
      <c r="H348" s="85"/>
      <c r="I348" s="85"/>
      <c r="J348" s="85"/>
      <c r="K348" s="85"/>
      <c r="L348" s="85"/>
      <c r="M348" s="85" t="str">
        <f>IFERROR(__xludf.DUMMYFUNCTION("""COMPUTED_VALUE"""),"ü")</f>
        <v>ü</v>
      </c>
      <c r="N348" s="85"/>
      <c r="O348" s="85"/>
      <c r="P348" s="85" t="str">
        <f>IFERROR(__xludf.DUMMYFUNCTION("""COMPUTED_VALUE"""),"53BSPA09238JBEEN")</f>
        <v>53BSPA09238JBEEN</v>
      </c>
      <c r="Q348" s="85" t="str">
        <f>IFERROR(__xludf.DUMMYFUNCTION("""COMPUTED_VALUE"""),"MUC Malibu")</f>
        <v>MUC Malibu</v>
      </c>
      <c r="R348" s="85" t="str">
        <f>IFERROR(__xludf.DUMMYFUNCTION("""COMPUTED_VALUE"""),"MUC Malibu")</f>
        <v>MUC Malibu</v>
      </c>
      <c r="S348" s="85" t="str">
        <f>IFERROR(__xludf.DUMMYFUNCTION("""COMPUTED_VALUE"""),"Satijo Lilita")</f>
        <v>Satijo Lilita</v>
      </c>
      <c r="T348" s="85" t="str">
        <f>IFERROR(__xludf.DUMMYFUNCTION("""COMPUTED_VALUE"""),"APT PERMATA SURYA 1 TWR F-320 RT.009 RW.017 KEL. PEGADUNGAN KEC. KALI DERES JAKARTA BARAT")</f>
        <v>APT PERMATA SURYA 1 TWR F-320 RT.009 RW.017 KEL. PEGADUNGAN KEC. KALI DERES JAKARTA BARAT</v>
      </c>
      <c r="U348" s="85" t="str">
        <f>IFERROR(__xludf.DUMMYFUNCTION("""COMPUTED_VALUE"""),"Komplek City Resort, Ruko Malibu Blok J No 52")</f>
        <v>Komplek City Resort, Ruko Malibu Blok J No 52</v>
      </c>
      <c r="V348" s="85"/>
      <c r="W348" s="85" t="str">
        <f>IFERROR(__xludf.DUMMYFUNCTION("""COMPUTED_VALUE"""),"CENGKARENG TIMUR")</f>
        <v>CENGKARENG TIMUR</v>
      </c>
      <c r="X348" s="85" t="str">
        <f>IFERROR(__xludf.DUMMYFUNCTION("""COMPUTED_VALUE"""),"CENGKARENG ")</f>
        <v>CENGKARENG </v>
      </c>
      <c r="Y348" s="85" t="str">
        <f>IFERROR(__xludf.DUMMYFUNCTION("""COMPUTED_VALUE"""),"JAKARTA BARAT")</f>
        <v>JAKARTA BARAT</v>
      </c>
      <c r="Z348" s="85" t="str">
        <f>IFERROR(__xludf.DUMMYFUNCTION("""COMPUTED_VALUE"""),"DKI JAKARTA")</f>
        <v>DKI JAKARTA</v>
      </c>
      <c r="AA348" s="85" t="str">
        <f>IFERROR(__xludf.DUMMYFUNCTION("""COMPUTED_VALUE"""),"11730")</f>
        <v>11730</v>
      </c>
      <c r="AB348" s="85" t="str">
        <f>IFERROR(__xludf.DUMMYFUNCTION("""COMPUTED_VALUE"""),"3172011712700007")</f>
        <v>3172011712700007</v>
      </c>
      <c r="AC348" s="85" t="str">
        <f>IFERROR(__xludf.DUMMYFUNCTION("""COMPUTED_VALUE"""),"49.579.380.4-085.000")</f>
        <v>49.579.380.4-085.000</v>
      </c>
      <c r="AD348" s="85" t="str">
        <f>IFERROR(__xludf.DUMMYFUNCTION("""COMPUTED_VALUE"""),"CUM - EEN")</f>
        <v>CUM - EEN</v>
      </c>
      <c r="AE348" s="85" t="str">
        <f>IFERROR(__xludf.DUMMYFUNCTION("""COMPUTED_VALUE"""),"SUB EEN")</f>
        <v>SUB EEN</v>
      </c>
      <c r="AF348" s="85" t="str">
        <f>IFERROR(__xludf.DUMMYFUNCTION("""COMPUTED_VALUE"""),"082117121970")</f>
        <v>082117121970</v>
      </c>
      <c r="AG348" s="85"/>
      <c r="AH348" s="85" t="str">
        <f>IFERROR(__xludf.DUMMYFUNCTION("""COMPUTED_VALUE"""),"cahaya28asia@gmail.com")</f>
        <v>cahaya28asia@gmail.com</v>
      </c>
      <c r="AI348" s="85"/>
      <c r="AJ348" s="85"/>
      <c r="AK348" s="85"/>
      <c r="AL348" s="85"/>
      <c r="AM348" s="85" t="str">
        <f>IFERROR(__xludf.DUMMYFUNCTION("""COMPUTED_VALUE"""),"KANTOR REGIONAL II JAKARTA 10004")</f>
        <v>KANTOR REGIONAL II JAKARTA 10004</v>
      </c>
      <c r="AN348" s="85" t="str">
        <f>IFERROR(__xludf.DUMMYFUNCTION("""COMPUTED_VALUE"""),"KCU JAKARTAOCEANIA 11000")</f>
        <v>KCU JAKARTAOCEANIA 11000</v>
      </c>
      <c r="AO348" s="85" t="str">
        <f>IFERROR(__xludf.DUMMYFUNCTION("""COMPUTED_VALUE"""),"1805220062521")</f>
        <v>1805220062521</v>
      </c>
      <c r="AP348" s="85" t="str">
        <f>IFERROR(__xludf.DUMMYFUNCTION("""COMPUTED_VALUE"""),"18052200625210001")</f>
        <v>18052200625210001</v>
      </c>
      <c r="AQ348" s="93"/>
      <c r="AR348" s="85"/>
      <c r="AS348" s="85"/>
      <c r="AT348" s="85" t="str">
        <f>IFERROR(__xludf.DUMMYFUNCTION("""COMPUTED_VALUE"""),"-6.1354800")</f>
        <v>-6.1354800</v>
      </c>
      <c r="AU348" s="85" t="str">
        <f>IFERROR(__xludf.DUMMYFUNCTION("""COMPUTED_VALUE"""),"106.7356180")</f>
        <v>106.7356180</v>
      </c>
      <c r="AV348" s="85"/>
      <c r="AW348" s="85"/>
      <c r="AX348" s="85" t="str">
        <f>IFERROR(__xludf.DUMMYFUNCTION("""COMPUTED_VALUE"""),"ü")</f>
        <v>ü</v>
      </c>
      <c r="AY348" s="85"/>
      <c r="AZ348" s="85"/>
      <c r="BA348" s="85"/>
      <c r="BB348" s="85"/>
      <c r="BC348" s="85"/>
      <c r="BD348" s="85"/>
      <c r="BE348" s="85"/>
      <c r="BF348" s="85"/>
      <c r="BG348" s="85"/>
      <c r="BH348" s="85"/>
      <c r="BI348" s="85"/>
      <c r="BJ348" s="85"/>
      <c r="BK348" s="85"/>
      <c r="BL348" s="85"/>
      <c r="BM348" s="85"/>
      <c r="BN348" s="85"/>
      <c r="BO348" s="85"/>
      <c r="BP348" s="85"/>
      <c r="BQ348" s="85"/>
      <c r="BR348" s="85"/>
      <c r="BS348" s="85"/>
      <c r="BT348" s="85"/>
      <c r="BU348" s="85"/>
      <c r="BV348" s="85"/>
      <c r="BW348" s="85"/>
      <c r="BX348" s="85"/>
      <c r="BY348" s="85"/>
      <c r="BZ348" s="85"/>
      <c r="CA348" s="85"/>
      <c r="CB348" s="85"/>
      <c r="CC348" s="85"/>
      <c r="CD348" s="85"/>
      <c r="CE348" s="85"/>
      <c r="CF348" s="85"/>
      <c r="CG348" s="85"/>
      <c r="CH348" s="85"/>
      <c r="CI348" s="85"/>
      <c r="CJ348" s="85"/>
      <c r="CK348" s="2"/>
    </row>
    <row r="349" ht="12.75" customHeight="1">
      <c r="A349" s="80">
        <f>IFERROR(__xludf.DUMMYFUNCTION("""COMPUTED_VALUE"""),346.0)</f>
        <v>346</v>
      </c>
      <c r="B349" s="80"/>
      <c r="C349" s="80"/>
      <c r="D349" s="81"/>
      <c r="E349" s="82"/>
      <c r="F349" s="80"/>
      <c r="G349" s="81"/>
      <c r="H349" s="80"/>
      <c r="I349" s="80"/>
      <c r="J349" s="80"/>
      <c r="K349" s="80"/>
      <c r="L349" s="80"/>
      <c r="M349" s="80" t="str">
        <f>IFERROR(__xludf.DUMMYFUNCTION("""COMPUTED_VALUE"""),"ü")</f>
        <v>ü</v>
      </c>
      <c r="N349" s="80"/>
      <c r="O349" s="80"/>
      <c r="P349" s="80" t="str">
        <f>IFERROR(__xludf.DUMMYFUNCTION("""COMPUTED_VALUE"""),"MUCSPA63054PSIND")</f>
        <v>MUCSPA63054PSIND</v>
      </c>
      <c r="Q349" s="80" t="str">
        <f>IFERROR(__xludf.DUMMYFUNCTION("""COMPUTED_VALUE"""),"MUC Villa Mutiara Cinere")</f>
        <v>MUC Villa Mutiara Cinere</v>
      </c>
      <c r="R349" s="80" t="str">
        <f>IFERROR(__xludf.DUMMYFUNCTION("""COMPUTED_VALUE"""),"MUC Villa Mutiara Cinere")</f>
        <v>MUC Villa Mutiara Cinere</v>
      </c>
      <c r="S349" s="80" t="str">
        <f>IFERROR(__xludf.DUMMYFUNCTION("""COMPUTED_VALUE"""),"MUC Villa Mutiara Cinere")</f>
        <v>MUC Villa Mutiara Cinere</v>
      </c>
      <c r="T349" s="80" t="str">
        <f>IFERROR(__xludf.DUMMYFUNCTION("""COMPUTED_VALUE"""),"PERUM FELICIA RECIDENCE RT.002 RW.011 KEL. RAWANGKALONG KEC. GUNUNG SINDUR KAB. BOGOR")</f>
        <v>PERUM FELICIA RECIDENCE RT.002 RW.011 KEL. RAWANGKALONG KEC. GUNUNG SINDUR KAB. BOGOR</v>
      </c>
      <c r="U349" s="80" t="str">
        <f>IFERROR(__xludf.DUMMYFUNCTION("""COMPUTED_VALUE"""),"Jl. Vila Mutiara Cinere Blok D5 No.18 Blok D2")</f>
        <v>Jl. Vila Mutiara Cinere Blok D5 No.18 Blok D2</v>
      </c>
      <c r="V349" s="80"/>
      <c r="W349" s="80" t="str">
        <f>IFERROR(__xludf.DUMMYFUNCTION("""COMPUTED_VALUE"""),"GROGOL")</f>
        <v>GROGOL</v>
      </c>
      <c r="X349" s="80" t="str">
        <f>IFERROR(__xludf.DUMMYFUNCTION("""COMPUTED_VALUE"""),"GROGOL")</f>
        <v>GROGOL</v>
      </c>
      <c r="Y349" s="80" t="str">
        <f>IFERROR(__xludf.DUMMYFUNCTION("""COMPUTED_VALUE"""),"KOTA DEPOK")</f>
        <v>KOTA DEPOK</v>
      </c>
      <c r="Z349" s="80" t="str">
        <f>IFERROR(__xludf.DUMMYFUNCTION("""COMPUTED_VALUE"""),"JAWA BARAT")</f>
        <v>JAWA BARAT</v>
      </c>
      <c r="AA349" s="80" t="str">
        <f>IFERROR(__xludf.DUMMYFUNCTION("""COMPUTED_VALUE"""),"16514")</f>
        <v>16514</v>
      </c>
      <c r="AB349" s="80" t="str">
        <f>IFERROR(__xludf.DUMMYFUNCTION("""COMPUTED_VALUE"""),"3404071104860001")</f>
        <v>3404071104860001</v>
      </c>
      <c r="AC349" s="80" t="str">
        <f>IFERROR(__xludf.DUMMYFUNCTION("""COMPUTED_VALUE"""),"77.888.171.4-542.000")</f>
        <v>77.888.171.4-542.000</v>
      </c>
      <c r="AD349" s="80" t="str">
        <f>IFERROR(__xludf.DUMMYFUNCTION("""COMPUTED_VALUE"""),"CUM - PS - HPR")</f>
        <v>CUM - PS - HPR</v>
      </c>
      <c r="AE349" s="80" t="str">
        <f>IFERROR(__xludf.DUMMYFUNCTION("""COMPUTED_VALUE"""),"SUB HADI POS")</f>
        <v>SUB HADI POS</v>
      </c>
      <c r="AF349" s="80" t="str">
        <f>IFERROR(__xludf.DUMMYFUNCTION("""COMPUTED_VALUE"""),"085292185416")</f>
        <v>085292185416</v>
      </c>
      <c r="AG349" s="80"/>
      <c r="AH349" s="80" t="str">
        <f>IFERROR(__xludf.DUMMYFUNCTION("""COMPUTED_VALUE"""),"irawan.suseno@gmail.com")</f>
        <v>irawan.suseno@gmail.com</v>
      </c>
      <c r="AI349" s="80" t="str">
        <f>IFERROR(__xludf.DUMMYFUNCTION("""COMPUTED_VALUE"""),"16533S2")</f>
        <v>16533S2</v>
      </c>
      <c r="AJ349" s="80" t="str">
        <f>IFERROR(__xludf.DUMMYFUNCTION("""COMPUTED_VALUE"""),"674971a40ee892065207db87")</f>
        <v>674971a40ee892065207db87</v>
      </c>
      <c r="AK349" s="80" t="str">
        <f>IFERROR(__xludf.DUMMYFUNCTION("""COMPUTED_VALUE"""),"dm16533s2")</f>
        <v>dm16533s2</v>
      </c>
      <c r="AL349" s="80" t="str">
        <f>IFERROR(__xludf.DUMMYFUNCTION("""COMPUTED_VALUE"""),"#16533Pos")</f>
        <v>#16533Pos</v>
      </c>
      <c r="AM349" s="80" t="str">
        <f>IFERROR(__xludf.DUMMYFUNCTION("""COMPUTED_VALUE"""),"KANTOR REGIONAL II JAKARTA 10004")</f>
        <v>KANTOR REGIONAL II JAKARTA 10004</v>
      </c>
      <c r="AN349" s="80" t="str">
        <f>IFERROR(__xludf.DUMMYFUNCTION("""COMPUTED_VALUE"""),"KC DEPOK 16400")</f>
        <v>KC DEPOK 16400</v>
      </c>
      <c r="AO349" s="80" t="str">
        <f>IFERROR(__xludf.DUMMYFUNCTION("""COMPUTED_VALUE"""),"2511240070017")</f>
        <v>2511240070017</v>
      </c>
      <c r="AP349" s="80" t="str">
        <f>IFERROR(__xludf.DUMMYFUNCTION("""COMPUTED_VALUE"""),"25112400700170001")</f>
        <v>25112400700170001</v>
      </c>
      <c r="AQ349" s="83"/>
      <c r="AR349" s="80"/>
      <c r="AS349" s="80"/>
      <c r="AT349" s="80" t="str">
        <f>IFERROR(__xludf.DUMMYFUNCTION("""COMPUTED_VALUE"""),"-6.373107")</f>
        <v>-6.373107</v>
      </c>
      <c r="AU349" s="80" t="str">
        <f>IFERROR(__xludf.DUMMYFUNCTION("""COMPUTED_VALUE"""),"106.7952555")</f>
        <v>106.7952555</v>
      </c>
      <c r="AV349" s="80"/>
      <c r="AW349" s="80"/>
      <c r="AX349" s="80" t="str">
        <f>IFERROR(__xludf.DUMMYFUNCTION("""COMPUTED_VALUE"""),"ü")</f>
        <v>ü</v>
      </c>
      <c r="AY349" s="80"/>
      <c r="AZ349" s="80"/>
      <c r="BA349" s="80"/>
      <c r="BB349" s="80"/>
      <c r="BC349" s="80"/>
      <c r="BD349" s="80"/>
      <c r="BE349" s="80"/>
      <c r="BF349" s="80"/>
      <c r="BG349" s="80"/>
      <c r="BH349" s="80"/>
      <c r="BI349" s="80"/>
      <c r="BJ349" s="80"/>
      <c r="BK349" s="80"/>
      <c r="BL349" s="80"/>
      <c r="BM349" s="80"/>
      <c r="BN349" s="80"/>
      <c r="BO349" s="80"/>
      <c r="BP349" s="80"/>
      <c r="BQ349" s="80"/>
      <c r="BR349" s="80"/>
      <c r="BS349" s="80"/>
      <c r="BT349" s="80"/>
      <c r="BU349" s="80"/>
      <c r="BV349" s="80"/>
      <c r="BW349" s="80"/>
      <c r="BX349" s="80"/>
      <c r="BY349" s="80"/>
      <c r="BZ349" s="80"/>
      <c r="CA349" s="80"/>
      <c r="CB349" s="80"/>
      <c r="CC349" s="80"/>
      <c r="CD349" s="80"/>
      <c r="CE349" s="80"/>
      <c r="CF349" s="80"/>
      <c r="CG349" s="80"/>
      <c r="CH349" s="80"/>
      <c r="CI349" s="80"/>
      <c r="CJ349" s="80"/>
      <c r="CK349" s="2"/>
    </row>
    <row r="350" ht="12.75" customHeight="1">
      <c r="A350" s="85">
        <f>IFERROR(__xludf.DUMMYFUNCTION("""COMPUTED_VALUE"""),347.0)</f>
        <v>347</v>
      </c>
      <c r="B350" s="85"/>
      <c r="C350" s="85"/>
      <c r="D350" s="86"/>
      <c r="E350" s="88"/>
      <c r="F350" s="85"/>
      <c r="G350" s="86"/>
      <c r="H350" s="85"/>
      <c r="I350" s="85"/>
      <c r="J350" s="85"/>
      <c r="K350" s="85"/>
      <c r="L350" s="85"/>
      <c r="M350" s="85" t="str">
        <f>IFERROR(__xludf.DUMMYFUNCTION("""COMPUTED_VALUE"""),"ü")</f>
        <v>ü</v>
      </c>
      <c r="N350" s="85"/>
      <c r="O350" s="85"/>
      <c r="P350" s="85" t="str">
        <f>IFERROR(__xludf.DUMMYFUNCTION("""COMPUTED_VALUE"""),"53BSPA09239JBEEN")</f>
        <v>53BSPA09239JBEEN</v>
      </c>
      <c r="Q350" s="85" t="str">
        <f>IFERROR(__xludf.DUMMYFUNCTION("""COMPUTED_VALUE"""),"MUC MANSYUR 209")</f>
        <v>MUC MANSYUR 209</v>
      </c>
      <c r="R350" s="85" t="str">
        <f>IFERROR(__xludf.DUMMYFUNCTION("""COMPUTED_VALUE"""),"MUC MANSYUR 209")</f>
        <v>MUC MANSYUR 209</v>
      </c>
      <c r="S350" s="85" t="str">
        <f>IFERROR(__xludf.DUMMYFUNCTION("""COMPUTED_VALUE"""),"ANDIKA KARTADINATA")</f>
        <v>ANDIKA KARTADINATA</v>
      </c>
      <c r="T350" s="85" t="str">
        <f>IFERROR(__xludf.DUMMYFUNCTION("""COMPUTED_VALUE"""),"JL. KH HASYIM ASHARI NO.54-A RT.003 RW.001 KEL. DURI PULO KEC. GAMBIR JAKARTA PUSAT")</f>
        <v>JL. KH HASYIM ASHARI NO.54-A RT.003 RW.001 KEL. DURI PULO KEC. GAMBIR JAKARTA PUSAT</v>
      </c>
      <c r="U350" s="85" t="str">
        <f>IFERROR(__xludf.DUMMYFUNCTION("""COMPUTED_VALUE"""),"Jl. Kh Moh Mansyur 209 Rt 001 Rw 001 No. 209 ")</f>
        <v>Jl. Kh Moh Mansyur 209 Rt 001 Rw 001 No. 209 </v>
      </c>
      <c r="V350" s="85"/>
      <c r="W350" s="85" t="str">
        <f>IFERROR(__xludf.DUMMYFUNCTION("""COMPUTED_VALUE"""),"KRENDANG")</f>
        <v>KRENDANG</v>
      </c>
      <c r="X350" s="85" t="str">
        <f>IFERROR(__xludf.DUMMYFUNCTION("""COMPUTED_VALUE"""),"TAMBORA")</f>
        <v>TAMBORA</v>
      </c>
      <c r="Y350" s="85" t="str">
        <f>IFERROR(__xludf.DUMMYFUNCTION("""COMPUTED_VALUE"""),"JAKARTA BARAT")</f>
        <v>JAKARTA BARAT</v>
      </c>
      <c r="Z350" s="85" t="str">
        <f>IFERROR(__xludf.DUMMYFUNCTION("""COMPUTED_VALUE"""),"DKI JAKARTA")</f>
        <v>DKI JAKARTA</v>
      </c>
      <c r="AA350" s="85" t="str">
        <f>IFERROR(__xludf.DUMMYFUNCTION("""COMPUTED_VALUE"""),"11260")</f>
        <v>11260</v>
      </c>
      <c r="AB350" s="85" t="str">
        <f>IFERROR(__xludf.DUMMYFUNCTION("""COMPUTED_VALUE"""),"3171011501890003")</f>
        <v>3171011501890003</v>
      </c>
      <c r="AC350" s="85" t="str">
        <f>IFERROR(__xludf.DUMMYFUNCTION("""COMPUTED_VALUE"""),"45.663.572.1-029.000")</f>
        <v>45.663.572.1-029.000</v>
      </c>
      <c r="AD350" s="85" t="str">
        <f>IFERROR(__xludf.DUMMYFUNCTION("""COMPUTED_VALUE"""),"CUM - EEN")</f>
        <v>CUM - EEN</v>
      </c>
      <c r="AE350" s="85" t="str">
        <f>IFERROR(__xludf.DUMMYFUNCTION("""COMPUTED_VALUE"""),"SUB EEN")</f>
        <v>SUB EEN</v>
      </c>
      <c r="AF350" s="85" t="str">
        <f>IFERROR(__xludf.DUMMYFUNCTION("""COMPUTED_VALUE"""),"089667013888")</f>
        <v>089667013888</v>
      </c>
      <c r="AG350" s="85"/>
      <c r="AH350" s="85" t="str">
        <f>IFERROR(__xludf.DUMMYFUNCTION("""COMPUTED_VALUE"""),"Mitrawawpc1@gmail.com")</f>
        <v>Mitrawawpc1@gmail.com</v>
      </c>
      <c r="AI350" s="85" t="str">
        <f>IFERROR(__xludf.DUMMYFUNCTION("""COMPUTED_VALUE"""),"11260S3")</f>
        <v>11260S3</v>
      </c>
      <c r="AJ350" s="85" t="str">
        <f>IFERROR(__xludf.DUMMYFUNCTION("""COMPUTED_VALUE"""),"675177a555ff47ae150bbb07")</f>
        <v>675177a555ff47ae150bbb07</v>
      </c>
      <c r="AK350" s="85" t="str">
        <f>IFERROR(__xludf.DUMMYFUNCTION("""COMPUTED_VALUE"""),"dm11260s3")</f>
        <v>dm11260s3</v>
      </c>
      <c r="AL350" s="85" t="str">
        <f>IFERROR(__xludf.DUMMYFUNCTION("""COMPUTED_VALUE"""),"#11260Pos")</f>
        <v>#11260Pos</v>
      </c>
      <c r="AM350" s="85" t="str">
        <f>IFERROR(__xludf.DUMMYFUNCTION("""COMPUTED_VALUE"""),"KANTOR REGIONAL II JAKARTA 10004")</f>
        <v>KANTOR REGIONAL II JAKARTA 10004</v>
      </c>
      <c r="AN350" s="85" t="str">
        <f>IFERROR(__xludf.DUMMYFUNCTION("""COMPUTED_VALUE"""),"KCU JAKARTAOCEANIA 11000")</f>
        <v>KCU JAKARTAOCEANIA 11000</v>
      </c>
      <c r="AO350" s="85" t="str">
        <f>IFERROR(__xludf.DUMMYFUNCTION("""COMPUTED_VALUE"""),"0220303181851")</f>
        <v>0220303181851</v>
      </c>
      <c r="AP350" s="85" t="str">
        <f>IFERROR(__xludf.DUMMYFUNCTION("""COMPUTED_VALUE"""),"02203031818510001")</f>
        <v>02203031818510001</v>
      </c>
      <c r="AQ350" s="93"/>
      <c r="AR350" s="85"/>
      <c r="AS350" s="85"/>
      <c r="AT350" s="85" t="str">
        <f>IFERROR(__xludf.DUMMYFUNCTION("""COMPUTED_VALUE"""),"-6.150473 ")</f>
        <v>-6.150473 </v>
      </c>
      <c r="AU350" s="85" t="str">
        <f>IFERROR(__xludf.DUMMYFUNCTION("""COMPUTED_VALUE"""),"106.807444")</f>
        <v>106.807444</v>
      </c>
      <c r="AV350" s="85"/>
      <c r="AW350" s="85"/>
      <c r="AX350" s="85" t="str">
        <f>IFERROR(__xludf.DUMMYFUNCTION("""COMPUTED_VALUE"""),"ü")</f>
        <v>ü</v>
      </c>
      <c r="AY350" s="85"/>
      <c r="AZ350" s="85"/>
      <c r="BA350" s="85"/>
      <c r="BB350" s="85"/>
      <c r="BC350" s="85"/>
      <c r="BD350" s="85"/>
      <c r="BE350" s="85"/>
      <c r="BF350" s="85"/>
      <c r="BG350" s="85"/>
      <c r="BH350" s="85"/>
      <c r="BI350" s="85"/>
      <c r="BJ350" s="85"/>
      <c r="BK350" s="85"/>
      <c r="BL350" s="85"/>
      <c r="BM350" s="85"/>
      <c r="BN350" s="85"/>
      <c r="BO350" s="85"/>
      <c r="BP350" s="85"/>
      <c r="BQ350" s="85"/>
      <c r="BR350" s="85"/>
      <c r="BS350" s="85"/>
      <c r="BT350" s="85"/>
      <c r="BU350" s="85"/>
      <c r="BV350" s="85"/>
      <c r="BW350" s="85"/>
      <c r="BX350" s="85"/>
      <c r="BY350" s="85"/>
      <c r="BZ350" s="85"/>
      <c r="CA350" s="85"/>
      <c r="CB350" s="85"/>
      <c r="CC350" s="85"/>
      <c r="CD350" s="85"/>
      <c r="CE350" s="85"/>
      <c r="CF350" s="85"/>
      <c r="CG350" s="85"/>
      <c r="CH350" s="85"/>
      <c r="CI350" s="85"/>
      <c r="CJ350" s="85"/>
      <c r="CK350" s="2"/>
    </row>
    <row r="351" ht="12.75" customHeight="1">
      <c r="A351" s="80">
        <f>IFERROR(__xludf.DUMMYFUNCTION("""COMPUTED_VALUE"""),348.0)</f>
        <v>348</v>
      </c>
      <c r="B351" s="80"/>
      <c r="C351" s="80"/>
      <c r="D351" s="81"/>
      <c r="E351" s="82"/>
      <c r="F351" s="80"/>
      <c r="G351" s="81"/>
      <c r="H351" s="80"/>
      <c r="I351" s="80"/>
      <c r="J351" s="80"/>
      <c r="K351" s="80"/>
      <c r="L351" s="80"/>
      <c r="M351" s="80" t="str">
        <f>IFERROR(__xludf.DUMMYFUNCTION("""COMPUTED_VALUE"""),"ü")</f>
        <v>ü</v>
      </c>
      <c r="N351" s="80"/>
      <c r="O351" s="80"/>
      <c r="P351" s="80" t="str">
        <f>IFERROR(__xludf.DUMMYFUNCTION("""COMPUTED_VALUE"""),"MUCSPA63055PSIND")</f>
        <v>MUCSPA63055PSIND</v>
      </c>
      <c r="Q351" s="80" t="str">
        <f>IFERROR(__xludf.DUMMYFUNCTION("""COMPUTED_VALUE"""),"MUC Keanu")</f>
        <v>MUC Keanu</v>
      </c>
      <c r="R351" s="80" t="str">
        <f>IFERROR(__xludf.DUMMYFUNCTION("""COMPUTED_VALUE"""),"MUC Keanu")</f>
        <v>MUC Keanu</v>
      </c>
      <c r="S351" s="80" t="str">
        <f>IFERROR(__xludf.DUMMYFUNCTION("""COMPUTED_VALUE"""),"REDY SUPRIADI")</f>
        <v>REDY SUPRIADI</v>
      </c>
      <c r="T351" s="80" t="str">
        <f>IFERROR(__xludf.DUMMYFUNCTION("""COMPUTED_VALUE"""),"KP. BOJONGKOPO RT.002 RW.012 KEL. UBRUG KEC. WARUNGKIARA KAB. SUKABUMI")</f>
        <v>KP. BOJONGKOPO RT.002 RW.012 KEL. UBRUG KEC. WARUNGKIARA KAB. SUKABUMI</v>
      </c>
      <c r="U351" s="80" t="str">
        <f>IFERROR(__xludf.DUMMYFUNCTION("""COMPUTED_VALUE"""),"KP. BOJONGKOPO RT.002 RW.012")</f>
        <v>KP. BOJONGKOPO RT.002 RW.012</v>
      </c>
      <c r="V351" s="80"/>
      <c r="W351" s="80" t="str">
        <f>IFERROR(__xludf.DUMMYFUNCTION("""COMPUTED_VALUE"""),"UBRUG")</f>
        <v>UBRUG</v>
      </c>
      <c r="X351" s="80" t="str">
        <f>IFERROR(__xludf.DUMMYFUNCTION("""COMPUTED_VALUE"""),"WARUNGKIARA")</f>
        <v>WARUNGKIARA</v>
      </c>
      <c r="Y351" s="80" t="str">
        <f>IFERROR(__xludf.DUMMYFUNCTION("""COMPUTED_VALUE"""),"KAB. SUKABUMI")</f>
        <v>KAB. SUKABUMI</v>
      </c>
      <c r="Z351" s="80" t="str">
        <f>IFERROR(__xludf.DUMMYFUNCTION("""COMPUTED_VALUE"""),"JAWA BARAT")</f>
        <v>JAWA BARAT</v>
      </c>
      <c r="AA351" s="80" t="str">
        <f>IFERROR(__xludf.DUMMYFUNCTION("""COMPUTED_VALUE"""),"43111")</f>
        <v>43111</v>
      </c>
      <c r="AB351" s="80" t="str">
        <f>IFERROR(__xludf.DUMMYFUNCTION("""COMPUTED_VALUE"""),"3173052903770002")</f>
        <v>3173052903770002</v>
      </c>
      <c r="AC351" s="80" t="str">
        <f>IFERROR(__xludf.DUMMYFUNCTION("""COMPUTED_VALUE"""),"76.758.985.6-035.000")</f>
        <v>76.758.985.6-035.000</v>
      </c>
      <c r="AD351" s="80" t="str">
        <f>IFERROR(__xludf.DUMMYFUNCTION("""COMPUTED_VALUE"""),"CUM - PS - DEVB")</f>
        <v>CUM - PS - DEVB</v>
      </c>
      <c r="AE351" s="80" t="str">
        <f>IFERROR(__xludf.DUMMYFUNCTION("""COMPUTED_VALUE"""),"SUB DENDHY POS")</f>
        <v>SUB DENDHY POS</v>
      </c>
      <c r="AF351" s="80" t="str">
        <f>IFERROR(__xludf.DUMMYFUNCTION("""COMPUTED_VALUE"""),"085794754464")</f>
        <v>085794754464</v>
      </c>
      <c r="AG351" s="80"/>
      <c r="AH351" s="80" t="str">
        <f>IFERROR(__xludf.DUMMYFUNCTION("""COMPUTED_VALUE"""),"adiladelar1234@gmail.com")</f>
        <v>adiladelar1234@gmail.com</v>
      </c>
      <c r="AI351" s="80" t="str">
        <f>IFERROR(__xludf.DUMMYFUNCTION("""COMPUTED_VALUE"""),"43362S2")</f>
        <v>43362S2</v>
      </c>
      <c r="AJ351" s="80" t="str">
        <f>IFERROR(__xludf.DUMMYFUNCTION("""COMPUTED_VALUE"""),"675848093cd50e8ea50387d6")</f>
        <v>675848093cd50e8ea50387d6</v>
      </c>
      <c r="AK351" s="80" t="str">
        <f>IFERROR(__xludf.DUMMYFUNCTION("""COMPUTED_VALUE"""),"dm43362s2")</f>
        <v>dm43362s2</v>
      </c>
      <c r="AL351" s="80" t="str">
        <f>IFERROR(__xludf.DUMMYFUNCTION("""COMPUTED_VALUE"""),"#43362Pos")</f>
        <v>#43362Pos</v>
      </c>
      <c r="AM351" s="80" t="str">
        <f>IFERROR(__xludf.DUMMYFUNCTION("""COMPUTED_VALUE"""),"KANTOR REGIONAL III BANDUNG 40004")</f>
        <v>KANTOR REGIONAL III BANDUNG 40004</v>
      </c>
      <c r="AN351" s="80" t="str">
        <f>IFERROR(__xludf.DUMMYFUNCTION("""COMPUTED_VALUE"""),"KC SUKABUMI")</f>
        <v>KC SUKABUMI</v>
      </c>
      <c r="AO351" s="80" t="str">
        <f>IFERROR(__xludf.DUMMYFUNCTION("""COMPUTED_VALUE"""),"2211240066563")</f>
        <v>2211240066563</v>
      </c>
      <c r="AP351" s="80" t="str">
        <f>IFERROR(__xludf.DUMMYFUNCTION("""COMPUTED_VALUE"""),"22112400665630001")</f>
        <v>22112400665630001</v>
      </c>
      <c r="AQ351" s="83"/>
      <c r="AR351" s="80"/>
      <c r="AS351" s="80"/>
      <c r="AT351" s="80" t="str">
        <f>IFERROR(__xludf.DUMMYFUNCTION("""COMPUTED_VALUE"""),"-6.952660")</f>
        <v>-6.952660</v>
      </c>
      <c r="AU351" s="80" t="str">
        <f>IFERROR(__xludf.DUMMYFUNCTION("""COMPUTED_VALUE"""),"106.753728")</f>
        <v>106.753728</v>
      </c>
      <c r="AV351" s="80"/>
      <c r="AW351" s="80"/>
      <c r="AX351" s="80" t="str">
        <f>IFERROR(__xludf.DUMMYFUNCTION("""COMPUTED_VALUE"""),"ü")</f>
        <v>ü</v>
      </c>
      <c r="AY351" s="80"/>
      <c r="AZ351" s="80"/>
      <c r="BA351" s="80"/>
      <c r="BB351" s="80"/>
      <c r="BC351" s="80"/>
      <c r="BD351" s="80"/>
      <c r="BE351" s="80"/>
      <c r="BF351" s="80"/>
      <c r="BG351" s="80"/>
      <c r="BH351" s="80"/>
      <c r="BI351" s="80"/>
      <c r="BJ351" s="80"/>
      <c r="BK351" s="80"/>
      <c r="BL351" s="80"/>
      <c r="BM351" s="80"/>
      <c r="BN351" s="80"/>
      <c r="BO351" s="80"/>
      <c r="BP351" s="80"/>
      <c r="BQ351" s="80"/>
      <c r="BR351" s="80"/>
      <c r="BS351" s="80"/>
      <c r="BT351" s="80"/>
      <c r="BU351" s="80"/>
      <c r="BV351" s="80"/>
      <c r="BW351" s="80"/>
      <c r="BX351" s="80"/>
      <c r="BY351" s="80"/>
      <c r="BZ351" s="80"/>
      <c r="CA351" s="80"/>
      <c r="CB351" s="80"/>
      <c r="CC351" s="80"/>
      <c r="CD351" s="80"/>
      <c r="CE351" s="80"/>
      <c r="CF351" s="80"/>
      <c r="CG351" s="80"/>
      <c r="CH351" s="80"/>
      <c r="CI351" s="80"/>
      <c r="CJ351" s="80"/>
      <c r="CK351" s="2"/>
    </row>
    <row r="352" ht="12.75" customHeight="1">
      <c r="A352" s="85">
        <f>IFERROR(__xludf.DUMMYFUNCTION("""COMPUTED_VALUE"""),349.0)</f>
        <v>349</v>
      </c>
      <c r="B352" s="85"/>
      <c r="C352" s="85"/>
      <c r="D352" s="86"/>
      <c r="E352" s="88"/>
      <c r="F352" s="85"/>
      <c r="G352" s="86"/>
      <c r="H352" s="85"/>
      <c r="I352" s="85"/>
      <c r="J352" s="85"/>
      <c r="K352" s="85"/>
      <c r="L352" s="85"/>
      <c r="M352" s="85" t="str">
        <f>IFERROR(__xludf.DUMMYFUNCTION("""COMPUTED_VALUE"""),"ü")</f>
        <v>ü</v>
      </c>
      <c r="N352" s="85"/>
      <c r="O352" s="85"/>
      <c r="P352" s="85" t="str">
        <f>IFERROR(__xludf.DUMMYFUNCTION("""COMPUTED_VALUE"""),"MUCSPA63056PSIND")</f>
        <v>MUCSPA63056PSIND</v>
      </c>
      <c r="Q352" s="85" t="str">
        <f>IFERROR(__xludf.DUMMYFUNCTION("""COMPUTED_VALUE"""),"MUC Toserba Tinis ")</f>
        <v>MUC Toserba Tinis </v>
      </c>
      <c r="R352" s="85" t="str">
        <f>IFERROR(__xludf.DUMMYFUNCTION("""COMPUTED_VALUE"""),"MUC Toserba Tinis ")</f>
        <v>MUC Toserba Tinis </v>
      </c>
      <c r="S352" s="85" t="str">
        <f>IFERROR(__xludf.DUMMYFUNCTION("""COMPUTED_VALUE"""),"Jadiid Muhammad Arrafikri")</f>
        <v>Jadiid Muhammad Arrafikri</v>
      </c>
      <c r="T352" s="85" t="str">
        <f>IFERROR(__xludf.DUMMYFUNCTION("""COMPUTED_VALUE"""),"Toserba Tin Is, Jakenan, Pati, Jawa Tengah")</f>
        <v>Toserba Tin Is, Jakenan, Pati, Jawa Tengah</v>
      </c>
      <c r="U352" s="85" t="str">
        <f>IFERROR(__xludf.DUMMYFUNCTION("""COMPUTED_VALUE"""),"Toserba Tin Is ")</f>
        <v>Toserba Tin Is </v>
      </c>
      <c r="V352" s="85"/>
      <c r="W352" s="85" t="str">
        <f>IFERROR(__xludf.DUMMYFUNCTION("""COMPUTED_VALUE"""),"Jakenan")</f>
        <v>Jakenan</v>
      </c>
      <c r="X352" s="85" t="str">
        <f>IFERROR(__xludf.DUMMYFUNCTION("""COMPUTED_VALUE"""),"Jakenan")</f>
        <v>Jakenan</v>
      </c>
      <c r="Y352" s="85" t="str">
        <f>IFERROR(__xludf.DUMMYFUNCTION("""COMPUTED_VALUE"""),"Pati")</f>
        <v>Pati</v>
      </c>
      <c r="Z352" s="85" t="str">
        <f>IFERROR(__xludf.DUMMYFUNCTION("""COMPUTED_VALUE"""),"Jawa Tengah")</f>
        <v>Jawa Tengah</v>
      </c>
      <c r="AA352" s="85" t="str">
        <f>IFERROR(__xludf.DUMMYFUNCTION("""COMPUTED_VALUE"""),"59182")</f>
        <v>59182</v>
      </c>
      <c r="AB352" s="85" t="str">
        <f>IFERROR(__xludf.DUMMYFUNCTION("""COMPUTED_VALUE"""),"3318082703000021")</f>
        <v>3318082703000021</v>
      </c>
      <c r="AC352" s="85" t="str">
        <f>IFERROR(__xludf.DUMMYFUNCTION("""COMPUTED_VALUE"""),"40.292.642.2-507.000")</f>
        <v>40.292.642.2-507.000</v>
      </c>
      <c r="AD352" s="85" t="str">
        <f>IFERROR(__xludf.DUMMYFUNCTION("""COMPUTED_VALUE"""),"CUM - PS - EHS")</f>
        <v>CUM - PS - EHS</v>
      </c>
      <c r="AE352" s="85" t="str">
        <f>IFERROR(__xludf.DUMMYFUNCTION("""COMPUTED_VALUE"""),"SUB EKA POS")</f>
        <v>SUB EKA POS</v>
      </c>
      <c r="AF352" s="85" t="str">
        <f>IFERROR(__xludf.DUMMYFUNCTION("""COMPUTED_VALUE"""),"082312667119")</f>
        <v>082312667119</v>
      </c>
      <c r="AG352" s="85"/>
      <c r="AH352" s="85" t="str">
        <f>IFERROR(__xludf.DUMMYFUNCTION("""COMPUTED_VALUE"""),"syarifaslam883@gmail.com")</f>
        <v>syarifaslam883@gmail.com</v>
      </c>
      <c r="AI352" s="85" t="str">
        <f>IFERROR(__xludf.DUMMYFUNCTION("""COMPUTED_VALUE"""),"59182S1")</f>
        <v>59182S1</v>
      </c>
      <c r="AJ352" s="85" t="str">
        <f>IFERROR(__xludf.DUMMYFUNCTION("""COMPUTED_VALUE"""),"675448e56a50348b890f1961")</f>
        <v>675448e56a50348b890f1961</v>
      </c>
      <c r="AK352" s="85" t="str">
        <f>IFERROR(__xludf.DUMMYFUNCTION("""COMPUTED_VALUE"""),"dm59182s1")</f>
        <v>dm59182s1</v>
      </c>
      <c r="AL352" s="85" t="str">
        <f>IFERROR(__xludf.DUMMYFUNCTION("""COMPUTED_VALUE"""),"#59182Pos")</f>
        <v>#59182Pos</v>
      </c>
      <c r="AM352" s="85" t="str">
        <f>IFERROR(__xludf.DUMMYFUNCTION("""COMPUTED_VALUE"""),"KANTOR REGIONAL IV SEMARANG 50004")</f>
        <v>KANTOR REGIONAL IV SEMARANG 50004</v>
      </c>
      <c r="AN352" s="85" t="str">
        <f>IFERROR(__xludf.DUMMYFUNCTION("""COMPUTED_VALUE"""),"KC PATI 59100")</f>
        <v>KC PATI 59100</v>
      </c>
      <c r="AO352" s="85" t="str">
        <f>IFERROR(__xludf.DUMMYFUNCTION("""COMPUTED_VALUE"""),"1285000712499")</f>
        <v>1285000712499</v>
      </c>
      <c r="AP352" s="85" t="str">
        <f>IFERROR(__xludf.DUMMYFUNCTION("""COMPUTED_VALUE"""),"12850007124990001")</f>
        <v>12850007124990001</v>
      </c>
      <c r="AQ352" s="93"/>
      <c r="AR352" s="85"/>
      <c r="AS352" s="85"/>
      <c r="AT352" s="85" t="str">
        <f>IFERROR(__xludf.DUMMYFUNCTION("""COMPUTED_VALUE"""),"-6.761219")</f>
        <v>-6.761219</v>
      </c>
      <c r="AU352" s="85" t="str">
        <f>IFERROR(__xludf.DUMMYFUNCTION("""COMPUTED_VALUE"""),"111.1637078")</f>
        <v>111.1637078</v>
      </c>
      <c r="AV352" s="85"/>
      <c r="AW352" s="85"/>
      <c r="AX352" s="85" t="str">
        <f>IFERROR(__xludf.DUMMYFUNCTION("""COMPUTED_VALUE"""),"ü")</f>
        <v>ü</v>
      </c>
      <c r="AY352" s="85"/>
      <c r="AZ352" s="85"/>
      <c r="BA352" s="85"/>
      <c r="BB352" s="85"/>
      <c r="BC352" s="85"/>
      <c r="BD352" s="85"/>
      <c r="BE352" s="85"/>
      <c r="BF352" s="85"/>
      <c r="BG352" s="85"/>
      <c r="BH352" s="85"/>
      <c r="BI352" s="85"/>
      <c r="BJ352" s="85"/>
      <c r="BK352" s="85"/>
      <c r="BL352" s="85"/>
      <c r="BM352" s="85"/>
      <c r="BN352" s="85"/>
      <c r="BO352" s="85"/>
      <c r="BP352" s="85"/>
      <c r="BQ352" s="85"/>
      <c r="BR352" s="85"/>
      <c r="BS352" s="85"/>
      <c r="BT352" s="85"/>
      <c r="BU352" s="85"/>
      <c r="BV352" s="85"/>
      <c r="BW352" s="85"/>
      <c r="BX352" s="85"/>
      <c r="BY352" s="85"/>
      <c r="BZ352" s="85"/>
      <c r="CA352" s="85"/>
      <c r="CB352" s="85"/>
      <c r="CC352" s="85"/>
      <c r="CD352" s="85"/>
      <c r="CE352" s="85"/>
      <c r="CF352" s="85"/>
      <c r="CG352" s="85"/>
      <c r="CH352" s="85"/>
      <c r="CI352" s="85"/>
      <c r="CJ352" s="85"/>
      <c r="CK352" s="2"/>
    </row>
    <row r="353" ht="12.75" customHeight="1">
      <c r="A353" s="80">
        <f>IFERROR(__xludf.DUMMYFUNCTION("""COMPUTED_VALUE"""),350.0)</f>
        <v>350</v>
      </c>
      <c r="B353" s="80"/>
      <c r="C353" s="80"/>
      <c r="D353" s="81"/>
      <c r="E353" s="82"/>
      <c r="F353" s="80"/>
      <c r="G353" s="81"/>
      <c r="H353" s="80"/>
      <c r="I353" s="80"/>
      <c r="J353" s="80"/>
      <c r="K353" s="80"/>
      <c r="L353" s="80"/>
      <c r="M353" s="80" t="str">
        <f>IFERROR(__xludf.DUMMYFUNCTION("""COMPUTED_VALUE"""),"ü")</f>
        <v>ü</v>
      </c>
      <c r="N353" s="80"/>
      <c r="O353" s="80"/>
      <c r="P353" s="80" t="str">
        <f>IFERROR(__xludf.DUMMYFUNCTION("""COMPUTED_VALUE"""),"MUCSPA63057PSIND")</f>
        <v>MUCSPA63057PSIND</v>
      </c>
      <c r="Q353" s="80" t="str">
        <f>IFERROR(__xludf.DUMMYFUNCTION("""COMPUTED_VALUE"""),"MUC Bengle Majalaya ")</f>
        <v>MUC Bengle Majalaya </v>
      </c>
      <c r="R353" s="80" t="str">
        <f>IFERROR(__xludf.DUMMYFUNCTION("""COMPUTED_VALUE"""),"MUC Bengle Majalaya ")</f>
        <v>MUC Bengle Majalaya </v>
      </c>
      <c r="S353" s="80" t="str">
        <f>IFERROR(__xludf.DUMMYFUNCTION("""COMPUTED_VALUE"""),"YUNI SETIA PRAJA")</f>
        <v>YUNI SETIA PRAJA</v>
      </c>
      <c r="T353" s="80" t="str">
        <f>IFERROR(__xludf.DUMMYFUNCTION("""COMPUTED_VALUE"""),"PULO KANDAYAKAN RT.012 RW. 005 KEL. CIREJAG KEC. JATISARI KAB. KARAWANG")</f>
        <v>PULO KANDAYAKAN RT.012 RW. 005 KEL. CIREJAG KEC. JATISARI KAB. KARAWANG</v>
      </c>
      <c r="U353" s="80" t="str">
        <f>IFERROR(__xludf.DUMMYFUNCTION("""COMPUTED_VALUE"""),"Perum Serasi Alam Elok  Blok E14 No.2")</f>
        <v>Perum Serasi Alam Elok  Blok E14 No.2</v>
      </c>
      <c r="V353" s="80"/>
      <c r="W353" s="80" t="str">
        <f>IFERROR(__xludf.DUMMYFUNCTION("""COMPUTED_VALUE"""),"Bengle")</f>
        <v>Bengle</v>
      </c>
      <c r="X353" s="80" t="str">
        <f>IFERROR(__xludf.DUMMYFUNCTION("""COMPUTED_VALUE"""),"Majalaya")</f>
        <v>Majalaya</v>
      </c>
      <c r="Y353" s="80" t="str">
        <f>IFERROR(__xludf.DUMMYFUNCTION("""COMPUTED_VALUE"""),"Karawang")</f>
        <v>Karawang</v>
      </c>
      <c r="Z353" s="80" t="str">
        <f>IFERROR(__xludf.DUMMYFUNCTION("""COMPUTED_VALUE"""),"Jawa Barat")</f>
        <v>Jawa Barat</v>
      </c>
      <c r="AA353" s="80" t="str">
        <f>IFERROR(__xludf.DUMMYFUNCTION("""COMPUTED_VALUE"""),"41388")</f>
        <v>41388</v>
      </c>
      <c r="AB353" s="80" t="str">
        <f>IFERROR(__xludf.DUMMYFUNCTION("""COMPUTED_VALUE"""),"3215141706880004")</f>
        <v>3215141706880004</v>
      </c>
      <c r="AC353" s="80" t="str">
        <f>IFERROR(__xludf.DUMMYFUNCTION("""COMPUTED_VALUE"""),"73.232.095.7-433.000")</f>
        <v>73.232.095.7-433.000</v>
      </c>
      <c r="AD353" s="80" t="str">
        <f>IFERROR(__xludf.DUMMYFUNCTION("""COMPUTED_VALUE"""),"CUM - PS - SITIH")</f>
        <v>CUM - PS - SITIH</v>
      </c>
      <c r="AE353" s="80" t="str">
        <f>IFERROR(__xludf.DUMMYFUNCTION("""COMPUTED_VALUE"""),"SUB SITI POS")</f>
        <v>SUB SITI POS</v>
      </c>
      <c r="AF353" s="80" t="str">
        <f>IFERROR(__xludf.DUMMYFUNCTION("""COMPUTED_VALUE"""),"085319916474")</f>
        <v>085319916474</v>
      </c>
      <c r="AG353" s="80"/>
      <c r="AH353" s="80" t="str">
        <f>IFERROR(__xludf.DUMMYFUNCTION("""COMPUTED_VALUE"""),"junisetiapraja@gmail.com")</f>
        <v>junisetiapraja@gmail.com</v>
      </c>
      <c r="AI353" s="80" t="str">
        <f>IFERROR(__xludf.DUMMYFUNCTION("""COMPUTED_VALUE"""),"41388S2")</f>
        <v>41388S2</v>
      </c>
      <c r="AJ353" s="80" t="str">
        <f>IFERROR(__xludf.DUMMYFUNCTION("""COMPUTED_VALUE"""),"675422a87aa4dd501b0df6b5")</f>
        <v>675422a87aa4dd501b0df6b5</v>
      </c>
      <c r="AK353" s="80" t="str">
        <f>IFERROR(__xludf.DUMMYFUNCTION("""COMPUTED_VALUE"""),"dm41388s2")</f>
        <v>dm41388s2</v>
      </c>
      <c r="AL353" s="80" t="str">
        <f>IFERROR(__xludf.DUMMYFUNCTION("""COMPUTED_VALUE"""),"#41388Pos")</f>
        <v>#41388Pos</v>
      </c>
      <c r="AM353" s="80" t="str">
        <f>IFERROR(__xludf.DUMMYFUNCTION("""COMPUTED_VALUE"""),"KANTOR REGIONAL III BANDUNG 40004")</f>
        <v>KANTOR REGIONAL III BANDUNG 40004</v>
      </c>
      <c r="AN353" s="80" t="str">
        <f>IFERROR(__xludf.DUMMYFUNCTION("""COMPUTED_VALUE"""),"KCU KARAWANG 41300")</f>
        <v>KCU KARAWANG 41300</v>
      </c>
      <c r="AO353" s="80" t="str">
        <f>IFERROR(__xludf.DUMMYFUNCTION("""COMPUTED_VALUE"""),"2911240044072")</f>
        <v>2911240044072</v>
      </c>
      <c r="AP353" s="80" t="str">
        <f>IFERROR(__xludf.DUMMYFUNCTION("""COMPUTED_VALUE"""),"29112400440720001")</f>
        <v>29112400440720001</v>
      </c>
      <c r="AQ353" s="83"/>
      <c r="AR353" s="80"/>
      <c r="AS353" s="80"/>
      <c r="AT353" s="80" t="str">
        <f>IFERROR(__xludf.DUMMYFUNCTION("""COMPUTED_VALUE"""),"-6.321041 ")</f>
        <v>-6.321041 </v>
      </c>
      <c r="AU353" s="80" t="str">
        <f>IFERROR(__xludf.DUMMYFUNCTION("""COMPUTED_VALUE"""),"107.365555")</f>
        <v>107.365555</v>
      </c>
      <c r="AV353" s="80"/>
      <c r="AW353" s="80"/>
      <c r="AX353" s="80" t="str">
        <f>IFERROR(__xludf.DUMMYFUNCTION("""COMPUTED_VALUE"""),"ü")</f>
        <v>ü</v>
      </c>
      <c r="AY353" s="80"/>
      <c r="AZ353" s="80"/>
      <c r="BA353" s="80"/>
      <c r="BB353" s="80"/>
      <c r="BC353" s="80"/>
      <c r="BD353" s="80"/>
      <c r="BE353" s="80"/>
      <c r="BF353" s="80"/>
      <c r="BG353" s="80"/>
      <c r="BH353" s="80"/>
      <c r="BI353" s="80"/>
      <c r="BJ353" s="80"/>
      <c r="BK353" s="80"/>
      <c r="BL353" s="80"/>
      <c r="BM353" s="80"/>
      <c r="BN353" s="80"/>
      <c r="BO353" s="80"/>
      <c r="BP353" s="80"/>
      <c r="BQ353" s="80"/>
      <c r="BR353" s="80"/>
      <c r="BS353" s="80"/>
      <c r="BT353" s="80"/>
      <c r="BU353" s="80"/>
      <c r="BV353" s="80"/>
      <c r="BW353" s="80"/>
      <c r="BX353" s="80"/>
      <c r="BY353" s="80"/>
      <c r="BZ353" s="80"/>
      <c r="CA353" s="80"/>
      <c r="CB353" s="80"/>
      <c r="CC353" s="80"/>
      <c r="CD353" s="80"/>
      <c r="CE353" s="80"/>
      <c r="CF353" s="80"/>
      <c r="CG353" s="80"/>
      <c r="CH353" s="80"/>
      <c r="CI353" s="80"/>
      <c r="CJ353" s="80"/>
      <c r="CK353" s="2"/>
    </row>
    <row r="354" ht="12.75" customHeight="1">
      <c r="A354" s="85">
        <f>IFERROR(__xludf.DUMMYFUNCTION("""COMPUTED_VALUE"""),351.0)</f>
        <v>351</v>
      </c>
      <c r="B354" s="85"/>
      <c r="C354" s="85"/>
      <c r="D354" s="86"/>
      <c r="E354" s="88"/>
      <c r="F354" s="85"/>
      <c r="G354" s="86"/>
      <c r="H354" s="85"/>
      <c r="I354" s="85"/>
      <c r="J354" s="85"/>
      <c r="K354" s="85"/>
      <c r="L354" s="85"/>
      <c r="M354" s="85" t="str">
        <f>IFERROR(__xludf.DUMMYFUNCTION("""COMPUTED_VALUE"""),"ü")</f>
        <v>ü</v>
      </c>
      <c r="N354" s="85"/>
      <c r="O354" s="85"/>
      <c r="P354" s="85" t="str">
        <f>IFERROR(__xludf.DUMMYFUNCTION("""COMPUTED_VALUE"""),"52BCUM02222PBGRO")</f>
        <v>52BCUM02222PBGRO</v>
      </c>
      <c r="Q354" s="85" t="str">
        <f>IFERROR(__xludf.DUMMYFUNCTION("""COMPUTED_VALUE"""),"MUC RAMZEN ON")</f>
        <v>MUC RAMZEN ON</v>
      </c>
      <c r="R354" s="85" t="str">
        <f>IFERROR(__xludf.DUMMYFUNCTION("""COMPUTED_VALUE"""),"MUC RAMZEN ON")</f>
        <v>MUC RAMZEN ON</v>
      </c>
      <c r="S354" s="85" t="str">
        <f>IFERROR(__xludf.DUMMYFUNCTION("""COMPUTED_VALUE"""),"SOEGIARTO")</f>
        <v>SOEGIARTO</v>
      </c>
      <c r="T354" s="85" t="str">
        <f>IFERROR(__xludf.DUMMYFUNCTION("""COMPUTED_VALUE"""),"JL.PUCUNG RUMBAK RT 001 RW 004 KEL. BANCAR KEC. PURBALINGGA  KAB. PURBALINGGA")</f>
        <v>JL.PUCUNG RUMBAK RT 001 RW 004 KEL. BANCAR KEC. PURBALINGGA  KAB. PURBALINGGA</v>
      </c>
      <c r="U354" s="85" t="str">
        <f>IFERROR(__xludf.DUMMYFUNCTION("""COMPUTED_VALUE"""),"JL.PUCUNG RUMBAK NO. 20 RT 001 RW 004")</f>
        <v>JL.PUCUNG RUMBAK NO. 20 RT 001 RW 004</v>
      </c>
      <c r="V354" s="85"/>
      <c r="W354" s="85" t="str">
        <f>IFERROR(__xludf.DUMMYFUNCTION("""COMPUTED_VALUE"""),"BANCAR")</f>
        <v>BANCAR</v>
      </c>
      <c r="X354" s="85" t="str">
        <f>IFERROR(__xludf.DUMMYFUNCTION("""COMPUTED_VALUE"""),"PURBALINGGA")</f>
        <v>PURBALINGGA</v>
      </c>
      <c r="Y354" s="85" t="str">
        <f>IFERROR(__xludf.DUMMYFUNCTION("""COMPUTED_VALUE"""),"KAB. PURBALINGGA")</f>
        <v>KAB. PURBALINGGA</v>
      </c>
      <c r="Z354" s="85" t="str">
        <f>IFERROR(__xludf.DUMMYFUNCTION("""COMPUTED_VALUE"""),"JAWA TENGAH")</f>
        <v>JAWA TENGAH</v>
      </c>
      <c r="AA354" s="85" t="str">
        <f>IFERROR(__xludf.DUMMYFUNCTION("""COMPUTED_VALUE"""),"53316")</f>
        <v>53316</v>
      </c>
      <c r="AB354" s="85" t="str">
        <f>IFERROR(__xludf.DUMMYFUNCTION("""COMPUTED_VALUE"""),"3303051303730003")</f>
        <v>3303051303730003</v>
      </c>
      <c r="AC354" s="85" t="str">
        <f>IFERROR(__xludf.DUMMYFUNCTION("""COMPUTED_VALUE"""),"62.742.169.6-529.000")</f>
        <v>62.742.169.6-529.000</v>
      </c>
      <c r="AD354" s="85" t="str">
        <f>IFERROR(__xludf.DUMMYFUNCTION("""COMPUTED_VALUE"""),"CUM - KRS")</f>
        <v>CUM - KRS</v>
      </c>
      <c r="AE354" s="85" t="str">
        <f>IFERROR(__xludf.DUMMYFUNCTION("""COMPUTED_VALUE"""),"SUB KARSINI")</f>
        <v>SUB KARSINI</v>
      </c>
      <c r="AF354" s="85" t="str">
        <f>IFERROR(__xludf.DUMMYFUNCTION("""COMPUTED_VALUE"""),"085100796887")</f>
        <v>085100796887</v>
      </c>
      <c r="AG354" s="85"/>
      <c r="AH354" s="85" t="str">
        <f>IFERROR(__xludf.DUMMYFUNCTION("""COMPUTED_VALUE"""),"ramzen2222@gmail.com")</f>
        <v>ramzen2222@gmail.com</v>
      </c>
      <c r="AI354" s="85"/>
      <c r="AJ354" s="85"/>
      <c r="AK354" s="85"/>
      <c r="AL354" s="85"/>
      <c r="AM354" s="85" t="str">
        <f>IFERROR(__xludf.DUMMYFUNCTION("""COMPUTED_VALUE"""),"KANTOR REGIONAL IV SEMARANG 50004")</f>
        <v>KANTOR REGIONAL IV SEMARANG 50004</v>
      </c>
      <c r="AN354" s="85" t="str">
        <f>IFERROR(__xludf.DUMMYFUNCTION("""COMPUTED_VALUE"""),"KC PURBALINGGA")</f>
        <v>KC PURBALINGGA</v>
      </c>
      <c r="AO354" s="85" t="str">
        <f>IFERROR(__xludf.DUMMYFUNCTION("""COMPUTED_VALUE"""),"0212240026159")</f>
        <v>0212240026159</v>
      </c>
      <c r="AP354" s="85" t="str">
        <f>IFERROR(__xludf.DUMMYFUNCTION("""COMPUTED_VALUE"""),"02122400261590001")</f>
        <v>02122400261590001</v>
      </c>
      <c r="AQ354" s="93"/>
      <c r="AR354" s="85"/>
      <c r="AS354" s="85"/>
      <c r="AT354" s="85" t="str">
        <f>IFERROR(__xludf.DUMMYFUNCTION("""COMPUTED_VALUE"""),"-7.3936799")</f>
        <v>-7.3936799</v>
      </c>
      <c r="AU354" s="85" t="str">
        <f>IFERROR(__xludf.DUMMYFUNCTION("""COMPUTED_VALUE"""),"109.3748099")</f>
        <v>109.3748099</v>
      </c>
      <c r="AV354" s="85"/>
      <c r="AW354" s="85"/>
      <c r="AX354" s="85" t="str">
        <f>IFERROR(__xludf.DUMMYFUNCTION("""COMPUTED_VALUE"""),"ü")</f>
        <v>ü</v>
      </c>
      <c r="AY354" s="85"/>
      <c r="AZ354" s="85"/>
      <c r="BA354" s="85"/>
      <c r="BB354" s="85"/>
      <c r="BC354" s="85"/>
      <c r="BD354" s="85"/>
      <c r="BE354" s="85"/>
      <c r="BF354" s="85"/>
      <c r="BG354" s="85"/>
      <c r="BH354" s="85"/>
      <c r="BI354" s="85"/>
      <c r="BJ354" s="85"/>
      <c r="BK354" s="85"/>
      <c r="BL354" s="85"/>
      <c r="BM354" s="85"/>
      <c r="BN354" s="85"/>
      <c r="BO354" s="85"/>
      <c r="BP354" s="85"/>
      <c r="BQ354" s="85"/>
      <c r="BR354" s="85"/>
      <c r="BS354" s="85"/>
      <c r="BT354" s="85"/>
      <c r="BU354" s="85"/>
      <c r="BV354" s="85"/>
      <c r="BW354" s="85"/>
      <c r="BX354" s="85"/>
      <c r="BY354" s="85"/>
      <c r="BZ354" s="85"/>
      <c r="CA354" s="85"/>
      <c r="CB354" s="85"/>
      <c r="CC354" s="85"/>
      <c r="CD354" s="85"/>
      <c r="CE354" s="85"/>
      <c r="CF354" s="85"/>
      <c r="CG354" s="85"/>
      <c r="CH354" s="85"/>
      <c r="CI354" s="85"/>
      <c r="CJ354" s="85"/>
      <c r="CK354" s="2"/>
    </row>
    <row r="355" ht="12.75" customHeight="1">
      <c r="A355" s="80">
        <f>IFERROR(__xludf.DUMMYFUNCTION("""COMPUTED_VALUE"""),352.0)</f>
        <v>352</v>
      </c>
      <c r="B355" s="80"/>
      <c r="C355" s="80"/>
      <c r="D355" s="81"/>
      <c r="E355" s="82"/>
      <c r="F355" s="80"/>
      <c r="G355" s="81"/>
      <c r="H355" s="80"/>
      <c r="I355" s="80"/>
      <c r="J355" s="80"/>
      <c r="K355" s="80"/>
      <c r="L355" s="80"/>
      <c r="M355" s="80" t="str">
        <f>IFERROR(__xludf.DUMMYFUNCTION("""COMPUTED_VALUE"""),"ü")</f>
        <v>ü</v>
      </c>
      <c r="N355" s="80"/>
      <c r="O355" s="80"/>
      <c r="P355" s="80" t="str">
        <f>IFERROR(__xludf.DUMMYFUNCTION("""COMPUTED_VALUE"""),"MUCSPA63058PSIND")</f>
        <v>MUCSPA63058PSIND</v>
      </c>
      <c r="Q355" s="80" t="str">
        <f>IFERROR(__xludf.DUMMYFUNCTION("""COMPUTED_VALUE"""),"MUC Gunungsari")</f>
        <v>MUC Gunungsari</v>
      </c>
      <c r="R355" s="80" t="str">
        <f>IFERROR(__xludf.DUMMYFUNCTION("""COMPUTED_VALUE"""),"MUC Gunungsari")</f>
        <v>MUC Gunungsari</v>
      </c>
      <c r="S355" s="80" t="str">
        <f>IFERROR(__xludf.DUMMYFUNCTION("""COMPUTED_VALUE"""),"HERLINA FITRIA DEWI")</f>
        <v>HERLINA FITRIA DEWI</v>
      </c>
      <c r="T355" s="80" t="str">
        <f>IFERROR(__xludf.DUMMYFUNCTION("""COMPUTED_VALUE"""),"Blok Desa RT.002 RW.001 Desa Gunungsari Kec. Sukagumiwang Kab. Indramayu")</f>
        <v>Blok Desa RT.002 RW.001 Desa Gunungsari Kec. Sukagumiwang Kab. Indramayu</v>
      </c>
      <c r="U355" s="80" t="str">
        <f>IFERROR(__xludf.DUMMYFUNCTION("""COMPUTED_VALUE"""),"Blok Desa RT.002 RW.001 ")</f>
        <v>Blok Desa RT.002 RW.001 </v>
      </c>
      <c r="V355" s="80"/>
      <c r="W355" s="80" t="str">
        <f>IFERROR(__xludf.DUMMYFUNCTION("""COMPUTED_VALUE"""),"Gunungsari")</f>
        <v>Gunungsari</v>
      </c>
      <c r="X355" s="80" t="str">
        <f>IFERROR(__xludf.DUMMYFUNCTION("""COMPUTED_VALUE"""),"Sukagumiwang")</f>
        <v>Sukagumiwang</v>
      </c>
      <c r="Y355" s="80" t="str">
        <f>IFERROR(__xludf.DUMMYFUNCTION("""COMPUTED_VALUE"""),"Indramayu")</f>
        <v>Indramayu</v>
      </c>
      <c r="Z355" s="80" t="str">
        <f>IFERROR(__xludf.DUMMYFUNCTION("""COMPUTED_VALUE"""),"Jawa Barat")</f>
        <v>Jawa Barat</v>
      </c>
      <c r="AA355" s="80" t="str">
        <f>IFERROR(__xludf.DUMMYFUNCTION("""COMPUTED_VALUE"""),"45275")</f>
        <v>45275</v>
      </c>
      <c r="AB355" s="80" t="str">
        <f>IFERROR(__xludf.DUMMYFUNCTION("""COMPUTED_VALUE"""),"3212087108970002")</f>
        <v>3212087108970002</v>
      </c>
      <c r="AC355" s="80" t="str">
        <f>IFERROR(__xludf.DUMMYFUNCTION("""COMPUTED_VALUE"""),"53.729.767.3-437.000")</f>
        <v>53.729.767.3-437.000</v>
      </c>
      <c r="AD355" s="80" t="str">
        <f>IFERROR(__xludf.DUMMYFUNCTION("""COMPUTED_VALUE"""),"CUM - PS - WENDY")</f>
        <v>CUM - PS - WENDY</v>
      </c>
      <c r="AE355" s="80" t="str">
        <f>IFERROR(__xludf.DUMMYFUNCTION("""COMPUTED_VALUE"""),"SUB WENDY")</f>
        <v>SUB WENDY</v>
      </c>
      <c r="AF355" s="80" t="str">
        <f>IFERROR(__xludf.DUMMYFUNCTION("""COMPUTED_VALUE"""),"089653899317")</f>
        <v>089653899317</v>
      </c>
      <c r="AG355" s="80"/>
      <c r="AH355" s="80" t="str">
        <f>IFERROR(__xludf.DUMMYFUNCTION("""COMPUTED_VALUE"""),"tturadi1981@gmail.com")</f>
        <v>tturadi1981@gmail.com</v>
      </c>
      <c r="AI355" s="80" t="str">
        <f>IFERROR(__xludf.DUMMYFUNCTION("""COMPUTED_VALUE"""),"45275S2")</f>
        <v>45275S2</v>
      </c>
      <c r="AJ355" s="80" t="str">
        <f>IFERROR(__xludf.DUMMYFUNCTION("""COMPUTED_VALUE"""),"67a2b573d7a19057a504bec9")</f>
        <v>67a2b573d7a19057a504bec9</v>
      </c>
      <c r="AK355" s="80" t="str">
        <f>IFERROR(__xludf.DUMMYFUNCTION("""COMPUTED_VALUE"""),"dm45275s2")</f>
        <v>dm45275s2</v>
      </c>
      <c r="AL355" s="80" t="str">
        <f>IFERROR(__xludf.DUMMYFUNCTION("""COMPUTED_VALUE"""),"#45275Pos")</f>
        <v>#45275Pos</v>
      </c>
      <c r="AM355" s="80" t="str">
        <f>IFERROR(__xludf.DUMMYFUNCTION("""COMPUTED_VALUE"""),"KANTOR REGIONAL III BANDUNG 40004")</f>
        <v>KANTOR REGIONAL III BANDUNG 40004</v>
      </c>
      <c r="AN355" s="80" t="str">
        <f>IFERROR(__xludf.DUMMYFUNCTION("""COMPUTED_VALUE"""),"KC INDRAMAYU")</f>
        <v>KC INDRAMAYU</v>
      </c>
      <c r="AO355" s="80" t="str">
        <f>IFERROR(__xludf.DUMMYFUNCTION("""COMPUTED_VALUE"""),"0711240112848")</f>
        <v>0711240112848</v>
      </c>
      <c r="AP355" s="80" t="str">
        <f>IFERROR(__xludf.DUMMYFUNCTION("""COMPUTED_VALUE"""),"07112401128480001")</f>
        <v>07112401128480001</v>
      </c>
      <c r="AQ355" s="83"/>
      <c r="AR355" s="80"/>
      <c r="AS355" s="80"/>
      <c r="AT355" s="80" t="str">
        <f>IFERROR(__xludf.DUMMYFUNCTION("""COMPUTED_VALUE"""),"-6.579661")</f>
        <v>-6.579661</v>
      </c>
      <c r="AU355" s="80" t="str">
        <f>IFERROR(__xludf.DUMMYFUNCTION("""COMPUTED_VALUE"""),"108.304328")</f>
        <v>108.304328</v>
      </c>
      <c r="AV355" s="80"/>
      <c r="AW355" s="80"/>
      <c r="AX355" s="80" t="str">
        <f>IFERROR(__xludf.DUMMYFUNCTION("""COMPUTED_VALUE"""),"ü")</f>
        <v>ü</v>
      </c>
      <c r="AY355" s="80"/>
      <c r="AZ355" s="80"/>
      <c r="BA355" s="80"/>
      <c r="BB355" s="80"/>
      <c r="BC355" s="80"/>
      <c r="BD355" s="80"/>
      <c r="BE355" s="80"/>
      <c r="BF355" s="80"/>
      <c r="BG355" s="80"/>
      <c r="BH355" s="80"/>
      <c r="BI355" s="80"/>
      <c r="BJ355" s="80"/>
      <c r="BK355" s="80"/>
      <c r="BL355" s="80"/>
      <c r="BM355" s="80"/>
      <c r="BN355" s="80"/>
      <c r="BO355" s="80"/>
      <c r="BP355" s="80"/>
      <c r="BQ355" s="80"/>
      <c r="BR355" s="80"/>
      <c r="BS355" s="80"/>
      <c r="BT355" s="80"/>
      <c r="BU355" s="80"/>
      <c r="BV355" s="80"/>
      <c r="BW355" s="80"/>
      <c r="BX355" s="80"/>
      <c r="BY355" s="80"/>
      <c r="BZ355" s="80"/>
      <c r="CA355" s="80"/>
      <c r="CB355" s="80"/>
      <c r="CC355" s="80"/>
      <c r="CD355" s="80"/>
      <c r="CE355" s="80"/>
      <c r="CF355" s="80"/>
      <c r="CG355" s="80"/>
      <c r="CH355" s="80"/>
      <c r="CI355" s="80"/>
      <c r="CJ355" s="80"/>
      <c r="CK355" s="2"/>
    </row>
    <row r="356" ht="14.25" customHeight="1">
      <c r="A356" s="85">
        <f>IFERROR(__xludf.DUMMYFUNCTION("""COMPUTED_VALUE"""),353.0)</f>
        <v>353</v>
      </c>
      <c r="B356" s="85"/>
      <c r="C356" s="85"/>
      <c r="D356" s="86"/>
      <c r="E356" s="88"/>
      <c r="F356" s="85"/>
      <c r="G356" s="86"/>
      <c r="H356" s="85"/>
      <c r="I356" s="85"/>
      <c r="J356" s="85"/>
      <c r="K356" s="85"/>
      <c r="L356" s="85"/>
      <c r="M356" s="85"/>
      <c r="N356" s="85" t="str">
        <f>IFERROR(__xludf.DUMMYFUNCTION("""COMPUTED_VALUE"""),"ü")</f>
        <v>ü</v>
      </c>
      <c r="O356" s="85"/>
      <c r="P356" s="85" t="str">
        <f>IFERROR(__xludf.DUMMYFUNCTION("""COMPUTED_VALUE"""),"MLO5500022CUMEEN")</f>
        <v>MLO5500022CUMEEN</v>
      </c>
      <c r="Q356" s="85" t="str">
        <f>IFERROR(__xludf.DUMMYFUNCTION("""COMPUTED_VALUE"""),"AZKIA OLSHOP II")</f>
        <v>AZKIA OLSHOP II</v>
      </c>
      <c r="R356" s="85" t="str">
        <f>IFERROR(__xludf.DUMMYFUNCTION("""COMPUTED_VALUE"""),"MUC AZKIA OLSHOP II")</f>
        <v>MUC AZKIA OLSHOP II</v>
      </c>
      <c r="S356" s="85" t="str">
        <f>IFERROR(__xludf.DUMMYFUNCTION("""COMPUTED_VALUE"""),"ACHMAD BARORO")</f>
        <v>ACHMAD BARORO</v>
      </c>
      <c r="T356" s="85" t="str">
        <f>IFERROR(__xludf.DUMMYFUNCTION("""COMPUTED_VALUE""")," IKAN GURAMI 5/41 RT 011 RW 006, PERAK BARAT KREMBANGAN SURABAYA ")</f>
        <v> IKAN GURAMI 5/41 RT 011 RW 006, PERAK BARAT KREMBANGAN SURABAYA </v>
      </c>
      <c r="U356" s="85" t="str">
        <f>IFERROR(__xludf.DUMMYFUNCTION("""COMPUTED_VALUE"""),"JL. RAYA LOSARI TIMUR NO. 17 ")</f>
        <v>JL. RAYA LOSARI TIMUR NO. 17 </v>
      </c>
      <c r="V356" s="85"/>
      <c r="W356" s="85" t="str">
        <f>IFERROR(__xludf.DUMMYFUNCTION("""COMPUTED_VALUE"""),"SIDOHARJO")</f>
        <v>SIDOHARJO</v>
      </c>
      <c r="X356" s="85" t="str">
        <f>IFERROR(__xludf.DUMMYFUNCTION("""COMPUTED_VALUE"""),"GEDEG")</f>
        <v>GEDEG</v>
      </c>
      <c r="Y356" s="85" t="str">
        <f>IFERROR(__xludf.DUMMYFUNCTION("""COMPUTED_VALUE"""),"KAB. MOJOKERTO")</f>
        <v>KAB. MOJOKERTO</v>
      </c>
      <c r="Z356" s="85" t="str">
        <f>IFERROR(__xludf.DUMMYFUNCTION("""COMPUTED_VALUE"""),"JAWA TIMUR")</f>
        <v>JAWA TIMUR</v>
      </c>
      <c r="AA356" s="85" t="str">
        <f>IFERROR(__xludf.DUMMYFUNCTION("""COMPUTED_VALUE"""),"61351")</f>
        <v>61351</v>
      </c>
      <c r="AB356" s="85" t="str">
        <f>IFERROR(__xludf.DUMMYFUNCTION("""COMPUTED_VALUE"""),"33578152507790003")</f>
        <v>33578152507790003</v>
      </c>
      <c r="AC356" s="85" t="str">
        <f>IFERROR(__xludf.DUMMYFUNCTION("""COMPUTED_VALUE"""),"86.484.827.0-605.000")</f>
        <v>86.484.827.0-605.000</v>
      </c>
      <c r="AD356" s="85" t="str">
        <f>IFERROR(__xludf.DUMMYFUNCTION("""COMPUTED_VALUE"""),"CUM - EEN")</f>
        <v>CUM - EEN</v>
      </c>
      <c r="AE356" s="85" t="str">
        <f>IFERROR(__xludf.DUMMYFUNCTION("""COMPUTED_VALUE"""),"SUB EEN")</f>
        <v>SUB EEN</v>
      </c>
      <c r="AF356" s="85" t="str">
        <f>IFERROR(__xludf.DUMMYFUNCTION("""COMPUTED_VALUE"""),"08976955556")</f>
        <v>08976955556</v>
      </c>
      <c r="AG356" s="85"/>
      <c r="AH356" s="85" t="str">
        <f>IFERROR(__xludf.DUMMYFUNCTION("""COMPUTED_VALUE"""),"jecko1000@gmail.com")</f>
        <v>jecko1000@gmail.com</v>
      </c>
      <c r="AI356" s="85" t="str">
        <f>IFERROR(__xludf.DUMMYFUNCTION("""COMPUTED_VALUE"""),"61351S6")</f>
        <v>61351S6</v>
      </c>
      <c r="AJ356" s="85" t="str">
        <f>IFERROR(__xludf.DUMMYFUNCTION("""COMPUTED_VALUE"""),"666bf91ddf5dc7d4d50adce1")</f>
        <v>666bf91ddf5dc7d4d50adce1</v>
      </c>
      <c r="AK356" s="85" t="str">
        <f>IFERROR(__xludf.DUMMYFUNCTION("""COMPUTED_VALUE"""),"dm61351s6")</f>
        <v>dm61351s6</v>
      </c>
      <c r="AL356" s="85" t="str">
        <f>IFERROR(__xludf.DUMMYFUNCTION("""COMPUTED_VALUE"""),"#61351Pos")</f>
        <v>#61351Pos</v>
      </c>
      <c r="AM356" s="85" t="str">
        <f>IFERROR(__xludf.DUMMYFUNCTION("""COMPUTED_VALUE"""),"KANTOR REGIONAL V SURABAYA 60004")</f>
        <v>KANTOR REGIONAL V SURABAYA 60004</v>
      </c>
      <c r="AN356" s="85" t="str">
        <f>IFERROR(__xludf.DUMMYFUNCTION("""COMPUTED_VALUE"""),"KC MOJOKERTO 61300")</f>
        <v>KC MOJOKERTO 61300</v>
      </c>
      <c r="AO356" s="85" t="str">
        <f>IFERROR(__xludf.DUMMYFUNCTION("""COMPUTED_VALUE"""),"3105240048803")</f>
        <v>3105240048803</v>
      </c>
      <c r="AP356" s="85" t="str">
        <f>IFERROR(__xludf.DUMMYFUNCTION("""COMPUTED_VALUE"""),"31052400488030001")</f>
        <v>31052400488030001</v>
      </c>
      <c r="AQ356" s="93"/>
      <c r="AR356" s="85"/>
      <c r="AS356" s="85"/>
      <c r="AT356" s="85" t="str">
        <f>IFERROR(__xludf.DUMMYFUNCTION("""COMPUTED_VALUE"""),"-7.4465468")</f>
        <v>-7.4465468</v>
      </c>
      <c r="AU356" s="85" t="str">
        <f>IFERROR(__xludf.DUMMYFUNCTION("""COMPUTED_VALUE"""),"112.4307616")</f>
        <v>112.4307616</v>
      </c>
      <c r="AV356" s="85"/>
      <c r="AW356" s="85"/>
      <c r="AX356" s="85" t="str">
        <f>IFERROR(__xludf.DUMMYFUNCTION("""COMPUTED_VALUE"""),"ü")</f>
        <v>ü</v>
      </c>
      <c r="AY356" s="85"/>
      <c r="AZ356" s="85"/>
      <c r="BA356" s="85"/>
      <c r="BB356" s="85"/>
      <c r="BC356" s="85"/>
      <c r="BD356" s="85"/>
      <c r="BE356" s="85"/>
      <c r="BF356" s="85"/>
      <c r="BG356" s="85"/>
      <c r="BH356" s="85"/>
      <c r="BI356" s="85"/>
      <c r="BJ356" s="85"/>
      <c r="BK356" s="85"/>
      <c r="BL356" s="85"/>
      <c r="BM356" s="85"/>
      <c r="BN356" s="85"/>
      <c r="BO356" s="85"/>
      <c r="BP356" s="85"/>
      <c r="BQ356" s="85"/>
      <c r="BR356" s="85"/>
      <c r="BS356" s="85"/>
      <c r="BT356" s="85"/>
      <c r="BU356" s="85"/>
      <c r="BV356" s="85"/>
      <c r="BW356" s="85"/>
      <c r="BX356" s="85"/>
      <c r="BY356" s="85"/>
      <c r="BZ356" s="85"/>
      <c r="CA356" s="85"/>
      <c r="CB356" s="85"/>
      <c r="CC356" s="85"/>
      <c r="CD356" s="85"/>
      <c r="CE356" s="85"/>
      <c r="CF356" s="85"/>
      <c r="CG356" s="85"/>
      <c r="CH356" s="85"/>
      <c r="CI356" s="85"/>
      <c r="CJ356" s="85"/>
      <c r="CK356" s="2"/>
    </row>
    <row r="357" ht="12.75" customHeight="1">
      <c r="A357" s="80">
        <f>IFERROR(__xludf.DUMMYFUNCTION("""COMPUTED_VALUE"""),354.0)</f>
        <v>354</v>
      </c>
      <c r="B357" s="80"/>
      <c r="C357" s="80"/>
      <c r="D357" s="81"/>
      <c r="E357" s="82"/>
      <c r="F357" s="80"/>
      <c r="G357" s="81"/>
      <c r="H357" s="80"/>
      <c r="I357" s="80"/>
      <c r="J357" s="80"/>
      <c r="K357" s="80"/>
      <c r="L357" s="80"/>
      <c r="M357" s="80" t="str">
        <f>IFERROR(__xludf.DUMMYFUNCTION("""COMPUTED_VALUE"""),"ü")</f>
        <v>ü</v>
      </c>
      <c r="N357" s="80"/>
      <c r="O357" s="80"/>
      <c r="P357" s="80" t="str">
        <f>IFERROR(__xludf.DUMMYFUNCTION("""COMPUTED_VALUE"""),"MUCSPA63059PSIND")</f>
        <v>MUCSPA63059PSIND</v>
      </c>
      <c r="Q357" s="80" t="str">
        <f>IFERROR(__xludf.DUMMYFUNCTION("""COMPUTED_VALUE"""),"MUC Hermansyah")</f>
        <v>MUC Hermansyah</v>
      </c>
      <c r="R357" s="80" t="str">
        <f>IFERROR(__xludf.DUMMYFUNCTION("""COMPUTED_VALUE"""),"MUC Hermansyah")</f>
        <v>MUC Hermansyah</v>
      </c>
      <c r="S357" s="80" t="str">
        <f>IFERROR(__xludf.DUMMYFUNCTION("""COMPUTED_VALUE"""),"Hermansyah")</f>
        <v>Hermansyah</v>
      </c>
      <c r="T357" s="80" t="str">
        <f>IFERROR(__xludf.DUMMYFUNCTION("""COMPUTED_VALUE"""),"Jalan Dharma Ayu Rt.009 Rw. 003 ")</f>
        <v>Jalan Dharma Ayu Rt.009 Rw. 003 </v>
      </c>
      <c r="U357" s="80" t="str">
        <f>IFERROR(__xludf.DUMMYFUNCTION("""COMPUTED_VALUE"""),"Jalan Dharma Ayu Rt.009 Rw. 003")</f>
        <v>Jalan Dharma Ayu Rt.009 Rw. 003</v>
      </c>
      <c r="V357" s="80"/>
      <c r="W357" s="80" t="str">
        <f>IFERROR(__xludf.DUMMYFUNCTION("""COMPUTED_VALUE"""),"Dermayu")</f>
        <v>Dermayu</v>
      </c>
      <c r="X357" s="80" t="str">
        <f>IFERROR(__xludf.DUMMYFUNCTION("""COMPUTED_VALUE"""),"Sindang")</f>
        <v>Sindang</v>
      </c>
      <c r="Y357" s="80" t="str">
        <f>IFERROR(__xludf.DUMMYFUNCTION("""COMPUTED_VALUE"""),"Indramayu")</f>
        <v>Indramayu</v>
      </c>
      <c r="Z357" s="80" t="str">
        <f>IFERROR(__xludf.DUMMYFUNCTION("""COMPUTED_VALUE"""),"Jawa Barat")</f>
        <v>Jawa Barat</v>
      </c>
      <c r="AA357" s="80" t="str">
        <f>IFERROR(__xludf.DUMMYFUNCTION("""COMPUTED_VALUE"""),"45222")</f>
        <v>45222</v>
      </c>
      <c r="AB357" s="80" t="str">
        <f>IFERROR(__xludf.DUMMYFUNCTION("""COMPUTED_VALUE"""),"3212161804850001")</f>
        <v>3212161804850001</v>
      </c>
      <c r="AC357" s="80" t="str">
        <f>IFERROR(__xludf.DUMMYFUNCTION("""COMPUTED_VALUE"""),"60.104.036.3-437.000")</f>
        <v>60.104.036.3-437.000</v>
      </c>
      <c r="AD357" s="80" t="str">
        <f>IFERROR(__xludf.DUMMYFUNCTION("""COMPUTED_VALUE"""),"CUM - PS - WENDY")</f>
        <v>CUM - PS - WENDY</v>
      </c>
      <c r="AE357" s="80" t="str">
        <f>IFERROR(__xludf.DUMMYFUNCTION("""COMPUTED_VALUE"""),"SUB WENDY")</f>
        <v>SUB WENDY</v>
      </c>
      <c r="AF357" s="80" t="str">
        <f>IFERROR(__xludf.DUMMYFUNCTION("""COMPUTED_VALUE"""),"081912902729")</f>
        <v>081912902729</v>
      </c>
      <c r="AG357" s="80"/>
      <c r="AH357" s="80" t="str">
        <f>IFERROR(__xludf.DUMMYFUNCTION("""COMPUTED_VALUE"""),"kanghermansyach@gmail.com")</f>
        <v>kanghermansyach@gmail.com</v>
      </c>
      <c r="AI357" s="80" t="str">
        <f>IFERROR(__xludf.DUMMYFUNCTION("""COMPUTED_VALUE"""),"45223S1")</f>
        <v>45223S1</v>
      </c>
      <c r="AJ357" s="80" t="str">
        <f>IFERROR(__xludf.DUMMYFUNCTION("""COMPUTED_VALUE"""),"67a3150fd08e4ea4c5023a7d")</f>
        <v>67a3150fd08e4ea4c5023a7d</v>
      </c>
      <c r="AK357" s="80" t="str">
        <f>IFERROR(__xludf.DUMMYFUNCTION("""COMPUTED_VALUE"""),"dm45223s1")</f>
        <v>dm45223s1</v>
      </c>
      <c r="AL357" s="80" t="str">
        <f>IFERROR(__xludf.DUMMYFUNCTION("""COMPUTED_VALUE"""),"#45223Pos")</f>
        <v>#45223Pos</v>
      </c>
      <c r="AM357" s="80" t="str">
        <f>IFERROR(__xludf.DUMMYFUNCTION("""COMPUTED_VALUE"""),"KANTOR REGIONAL III BANDUNG 40004")</f>
        <v>KANTOR REGIONAL III BANDUNG 40004</v>
      </c>
      <c r="AN357" s="80" t="str">
        <f>IFERROR(__xludf.DUMMYFUNCTION("""COMPUTED_VALUE"""),"KC INDRAMAYU")</f>
        <v>KC INDRAMAYU</v>
      </c>
      <c r="AO357" s="80" t="str">
        <f>IFERROR(__xludf.DUMMYFUNCTION("""COMPUTED_VALUE"""),"0212240014856")</f>
        <v>0212240014856</v>
      </c>
      <c r="AP357" s="80" t="str">
        <f>IFERROR(__xludf.DUMMYFUNCTION("""COMPUTED_VALUE"""),"02122400148560001")</f>
        <v>02122400148560001</v>
      </c>
      <c r="AQ357" s="83"/>
      <c r="AR357" s="80"/>
      <c r="AS357" s="80"/>
      <c r="AT357" s="80" t="str">
        <f>IFERROR(__xludf.DUMMYFUNCTION("""COMPUTED_VALUE"""),"-6.337378 ")</f>
        <v>-6.337378 </v>
      </c>
      <c r="AU357" s="80" t="str">
        <f>IFERROR(__xludf.DUMMYFUNCTION("""COMPUTED_VALUE"""),"108.320331")</f>
        <v>108.320331</v>
      </c>
      <c r="AV357" s="80"/>
      <c r="AW357" s="80"/>
      <c r="AX357" s="80" t="str">
        <f>IFERROR(__xludf.DUMMYFUNCTION("""COMPUTED_VALUE"""),"ü")</f>
        <v>ü</v>
      </c>
      <c r="AY357" s="80"/>
      <c r="AZ357" s="80"/>
      <c r="BA357" s="80"/>
      <c r="BB357" s="80"/>
      <c r="BC357" s="80"/>
      <c r="BD357" s="80"/>
      <c r="BE357" s="80"/>
      <c r="BF357" s="80"/>
      <c r="BG357" s="80"/>
      <c r="BH357" s="80"/>
      <c r="BI357" s="80"/>
      <c r="BJ357" s="80"/>
      <c r="BK357" s="80"/>
      <c r="BL357" s="80"/>
      <c r="BM357" s="80"/>
      <c r="BN357" s="80"/>
      <c r="BO357" s="80"/>
      <c r="BP357" s="80"/>
      <c r="BQ357" s="80"/>
      <c r="BR357" s="80"/>
      <c r="BS357" s="80"/>
      <c r="BT357" s="80"/>
      <c r="BU357" s="80"/>
      <c r="BV357" s="80"/>
      <c r="BW357" s="80"/>
      <c r="BX357" s="80"/>
      <c r="BY357" s="80"/>
      <c r="BZ357" s="80"/>
      <c r="CA357" s="80"/>
      <c r="CB357" s="80"/>
      <c r="CC357" s="80"/>
      <c r="CD357" s="80"/>
      <c r="CE357" s="80"/>
      <c r="CF357" s="80"/>
      <c r="CG357" s="80"/>
      <c r="CH357" s="80"/>
      <c r="CI357" s="80"/>
      <c r="CJ357" s="80"/>
      <c r="CK357" s="2"/>
    </row>
    <row r="358" ht="12.75" customHeight="1">
      <c r="A358" s="85">
        <f>IFERROR(__xludf.DUMMYFUNCTION("""COMPUTED_VALUE"""),355.0)</f>
        <v>355</v>
      </c>
      <c r="B358" s="85"/>
      <c r="C358" s="85"/>
      <c r="D358" s="86"/>
      <c r="E358" s="88"/>
      <c r="F358" s="85"/>
      <c r="G358" s="86"/>
      <c r="H358" s="85"/>
      <c r="I358" s="85"/>
      <c r="J358" s="85"/>
      <c r="K358" s="85"/>
      <c r="L358" s="85"/>
      <c r="M358" s="85" t="str">
        <f>IFERROR(__xludf.DUMMYFUNCTION("""COMPUTED_VALUE"""),"ü")</f>
        <v>ü</v>
      </c>
      <c r="N358" s="85"/>
      <c r="O358" s="85"/>
      <c r="P358" s="85" t="str">
        <f>IFERROR(__xludf.DUMMYFUNCTION("""COMPUTED_VALUE"""),"MUCSPA63060PSIND")</f>
        <v>MUCSPA63060PSIND</v>
      </c>
      <c r="Q358" s="85" t="str">
        <f>IFERROR(__xludf.DUMMYFUNCTION("""COMPUTED_VALUE"""),"MUC Primadanes ")</f>
        <v>MUC Primadanes </v>
      </c>
      <c r="R358" s="85" t="str">
        <f>IFERROR(__xludf.DUMMYFUNCTION("""COMPUTED_VALUE"""),"MUC Primadanes ")</f>
        <v>MUC Primadanes </v>
      </c>
      <c r="S358" s="85" t="str">
        <f>IFERROR(__xludf.DUMMYFUNCTION("""COMPUTED_VALUE"""),"Euis Ismiaty")</f>
        <v>Euis Ismiaty</v>
      </c>
      <c r="T358" s="85" t="str">
        <f>IFERROR(__xludf.DUMMYFUNCTION("""COMPUTED_VALUE"""),"Sidamulya Utara rt 4 rw 10 kel pekiringan kec kesambi kotamadya Cirebon")</f>
        <v>Sidamulya Utara rt 4 rw 10 kel pekiringan kec kesambi kotamadya Cirebon</v>
      </c>
      <c r="U358" s="85" t="str">
        <f>IFERROR(__xludf.DUMMYFUNCTION("""COMPUTED_VALUE"""),"Jl. Dr sutomo gg cempaka II dalam III no 172 ")</f>
        <v>Jl. Dr sutomo gg cempaka II dalam III no 172 </v>
      </c>
      <c r="V358" s="85"/>
      <c r="W358" s="85" t="str">
        <f>IFERROR(__xludf.DUMMYFUNCTION("""COMPUTED_VALUE"""),"Pekiringan")</f>
        <v>Pekiringan</v>
      </c>
      <c r="X358" s="85" t="str">
        <f>IFERROR(__xludf.DUMMYFUNCTION("""COMPUTED_VALUE"""),"Kesambi")</f>
        <v>Kesambi</v>
      </c>
      <c r="Y358" s="85" t="str">
        <f>IFERROR(__xludf.DUMMYFUNCTION("""COMPUTED_VALUE"""),"Cirebon")</f>
        <v>Cirebon</v>
      </c>
      <c r="Z358" s="85" t="str">
        <f>IFERROR(__xludf.DUMMYFUNCTION("""COMPUTED_VALUE"""),"Jawa barat")</f>
        <v>Jawa barat</v>
      </c>
      <c r="AA358" s="85" t="str">
        <f>IFERROR(__xludf.DUMMYFUNCTION("""COMPUTED_VALUE"""),"45131")</f>
        <v>45131</v>
      </c>
      <c r="AB358" s="85" t="str">
        <f>IFERROR(__xludf.DUMMYFUNCTION("""COMPUTED_VALUE"""),"3274056206700009")</f>
        <v>3274056206700009</v>
      </c>
      <c r="AC358" s="85" t="str">
        <f>IFERROR(__xludf.DUMMYFUNCTION("""COMPUTED_VALUE"""),"48.409.246.5.426.000")</f>
        <v>48.409.246.5.426.000</v>
      </c>
      <c r="AD358" s="85" t="str">
        <f>IFERROR(__xludf.DUMMYFUNCTION("""COMPUTED_VALUE"""),"CUM - PS - NUR")</f>
        <v>CUM - PS - NUR</v>
      </c>
      <c r="AE358" s="85" t="str">
        <f>IFERROR(__xludf.DUMMYFUNCTION("""COMPUTED_VALUE"""),"SUB NUR POS")</f>
        <v>SUB NUR POS</v>
      </c>
      <c r="AF358" s="85" t="str">
        <f>IFERROR(__xludf.DUMMYFUNCTION("""COMPUTED_VALUE"""),"082320001342")</f>
        <v>082320001342</v>
      </c>
      <c r="AG358" s="85"/>
      <c r="AH358" s="85" t="str">
        <f>IFERROR(__xludf.DUMMYFUNCTION("""COMPUTED_VALUE"""),"euis.ismiaty@posindonesia.co.id")</f>
        <v>euis.ismiaty@posindonesia.co.id</v>
      </c>
      <c r="AI358" s="85" t="str">
        <f>IFERROR(__xludf.DUMMYFUNCTION("""COMPUTED_VALUE"""),"45131S3")</f>
        <v>45131S3</v>
      </c>
      <c r="AJ358" s="85" t="str">
        <f>IFERROR(__xludf.DUMMYFUNCTION("""COMPUTED_VALUE"""),"677e2582d925e530cb03be3d")</f>
        <v>677e2582d925e530cb03be3d</v>
      </c>
      <c r="AK358" s="85" t="str">
        <f>IFERROR(__xludf.DUMMYFUNCTION("""COMPUTED_VALUE"""),"dm45131s3")</f>
        <v>dm45131s3</v>
      </c>
      <c r="AL358" s="85" t="str">
        <f>IFERROR(__xludf.DUMMYFUNCTION("""COMPUTED_VALUE"""),"#45131Pos")</f>
        <v>#45131Pos</v>
      </c>
      <c r="AM358" s="85" t="str">
        <f>IFERROR(__xludf.DUMMYFUNCTION("""COMPUTED_VALUE"""),"KANTOR REGIONAL III BANDUNG 40004")</f>
        <v>KANTOR REGIONAL III BANDUNG 40004</v>
      </c>
      <c r="AN358" s="85" t="str">
        <f>IFERROR(__xludf.DUMMYFUNCTION("""COMPUTED_VALUE"""),"KCU CIREBON 45100")</f>
        <v>KCU CIREBON 45100</v>
      </c>
      <c r="AO358" s="85" t="str">
        <f>IFERROR(__xludf.DUMMYFUNCTION("""COMPUTED_VALUE"""),"0212240022177")</f>
        <v>0212240022177</v>
      </c>
      <c r="AP358" s="85" t="str">
        <f>IFERROR(__xludf.DUMMYFUNCTION("""COMPUTED_VALUE"""),"02122400221770001")</f>
        <v>02122400221770001</v>
      </c>
      <c r="AQ358" s="93"/>
      <c r="AR358" s="85"/>
      <c r="AS358" s="85"/>
      <c r="AT358" s="85" t="str">
        <f>IFERROR(__xludf.DUMMYFUNCTION("""COMPUTED_VALUE"""),"-6.722192")</f>
        <v>-6.722192</v>
      </c>
      <c r="AU358" s="85" t="str">
        <f>IFERROR(__xludf.DUMMYFUNCTION("""COMPUTED_VALUE"""),"108.5530451")</f>
        <v>108.5530451</v>
      </c>
      <c r="AV358" s="85"/>
      <c r="AW358" s="85"/>
      <c r="AX358" s="85" t="str">
        <f>IFERROR(__xludf.DUMMYFUNCTION("""COMPUTED_VALUE"""),"ü")</f>
        <v>ü</v>
      </c>
      <c r="AY358" s="85"/>
      <c r="AZ358" s="85"/>
      <c r="BA358" s="85"/>
      <c r="BB358" s="85"/>
      <c r="BC358" s="85"/>
      <c r="BD358" s="85"/>
      <c r="BE358" s="85"/>
      <c r="BF358" s="85"/>
      <c r="BG358" s="85"/>
      <c r="BH358" s="85"/>
      <c r="BI358" s="85"/>
      <c r="BJ358" s="85"/>
      <c r="BK358" s="85"/>
      <c r="BL358" s="85"/>
      <c r="BM358" s="85"/>
      <c r="BN358" s="85"/>
      <c r="BO358" s="85"/>
      <c r="BP358" s="85"/>
      <c r="BQ358" s="85"/>
      <c r="BR358" s="85"/>
      <c r="BS358" s="85"/>
      <c r="BT358" s="85"/>
      <c r="BU358" s="85"/>
      <c r="BV358" s="85"/>
      <c r="BW358" s="85"/>
      <c r="BX358" s="85"/>
      <c r="BY358" s="85"/>
      <c r="BZ358" s="85"/>
      <c r="CA358" s="85"/>
      <c r="CB358" s="85"/>
      <c r="CC358" s="85"/>
      <c r="CD358" s="85"/>
      <c r="CE358" s="85"/>
      <c r="CF358" s="85"/>
      <c r="CG358" s="85"/>
      <c r="CH358" s="85"/>
      <c r="CI358" s="85"/>
      <c r="CJ358" s="85"/>
      <c r="CK358" s="2"/>
    </row>
    <row r="359" ht="12.75" customHeight="1">
      <c r="A359" s="80">
        <f>IFERROR(__xludf.DUMMYFUNCTION("""COMPUTED_VALUE"""),356.0)</f>
        <v>356</v>
      </c>
      <c r="B359" s="80"/>
      <c r="C359" s="80"/>
      <c r="D359" s="81"/>
      <c r="E359" s="82"/>
      <c r="F359" s="80"/>
      <c r="G359" s="81"/>
      <c r="H359" s="80"/>
      <c r="I359" s="80"/>
      <c r="J359" s="80"/>
      <c r="K359" s="80"/>
      <c r="L359" s="80"/>
      <c r="M359" s="80" t="str">
        <f>IFERROR(__xludf.DUMMYFUNCTION("""COMPUTED_VALUE"""),"ü")</f>
        <v>ü</v>
      </c>
      <c r="N359" s="80"/>
      <c r="O359" s="80"/>
      <c r="P359" s="80" t="str">
        <f>IFERROR(__xludf.DUMMYFUNCTION("""COMPUTED_VALUE"""),"53BSPA09243JBEEN")</f>
        <v>53BSPA09243JBEEN</v>
      </c>
      <c r="Q359" s="80" t="str">
        <f>IFERROR(__xludf.DUMMYFUNCTION("""COMPUTED_VALUE"""),"MUC CHEAP NUSANTARA CIKUNIR")</f>
        <v>MUC CHEAP NUSANTARA CIKUNIR</v>
      </c>
      <c r="R359" s="80" t="str">
        <f>IFERROR(__xludf.DUMMYFUNCTION("""COMPUTED_VALUE"""),"MUC CHEAP NUSANTARA CIKUNIR")</f>
        <v>MUC CHEAP NUSANTARA CIKUNIR</v>
      </c>
      <c r="S359" s="80" t="str">
        <f>IFERROR(__xludf.DUMMYFUNCTION("""COMPUTED_VALUE"""),"RAHMA INDAH SARI")</f>
        <v>RAHMA INDAH SARI</v>
      </c>
      <c r="T359" s="80" t="str">
        <f>IFERROR(__xludf.DUMMYFUNCTION("""COMPUTED_VALUE"""),"KP PISANGAN RT.010 RW.005 KEL. PENGGILINGAN KEC.CAKUNG JAKARTA TIMUR")</f>
        <v>KP PISANGAN RT.010 RW.005 KEL. PENGGILINGAN KEC.CAKUNG JAKARTA TIMUR</v>
      </c>
      <c r="U359" s="80" t="str">
        <f>IFERROR(__xludf.DUMMYFUNCTION("""COMPUTED_VALUE"""),"JL. NUSANTARA RAYA BLOK F1 NO.1")</f>
        <v>JL. NUSANTARA RAYA BLOK F1 NO.1</v>
      </c>
      <c r="V359" s="80"/>
      <c r="W359" s="80" t="str">
        <f>IFERROR(__xludf.DUMMYFUNCTION("""COMPUTED_VALUE"""),"JAKAMULYA")</f>
        <v>JAKAMULYA</v>
      </c>
      <c r="X359" s="80" t="str">
        <f>IFERROR(__xludf.DUMMYFUNCTION("""COMPUTED_VALUE"""),"BEKASI SELATAN")</f>
        <v>BEKASI SELATAN</v>
      </c>
      <c r="Y359" s="80" t="str">
        <f>IFERROR(__xludf.DUMMYFUNCTION("""COMPUTED_VALUE"""),"KOTA BEKASI")</f>
        <v>KOTA BEKASI</v>
      </c>
      <c r="Z359" s="80" t="str">
        <f>IFERROR(__xludf.DUMMYFUNCTION("""COMPUTED_VALUE"""),"JAWA BARAT")</f>
        <v>JAWA BARAT</v>
      </c>
      <c r="AA359" s="80" t="str">
        <f>IFERROR(__xludf.DUMMYFUNCTION("""COMPUTED_VALUE"""),"17146")</f>
        <v>17146</v>
      </c>
      <c r="AB359" s="80" t="str">
        <f>IFERROR(__xludf.DUMMYFUNCTION("""COMPUTED_VALUE"""),"3175065201970011")</f>
        <v>3175065201970011</v>
      </c>
      <c r="AC359" s="80" t="str">
        <f>IFERROR(__xludf.DUMMYFUNCTION("""COMPUTED_VALUE"""),"50.348.568.2-004.000")</f>
        <v>50.348.568.2-004.000</v>
      </c>
      <c r="AD359" s="80" t="str">
        <f>IFERROR(__xludf.DUMMYFUNCTION("""COMPUTED_VALUE"""),"CUM - EEN")</f>
        <v>CUM - EEN</v>
      </c>
      <c r="AE359" s="80" t="str">
        <f>IFERROR(__xludf.DUMMYFUNCTION("""COMPUTED_VALUE"""),"SUB EEN")</f>
        <v>SUB EEN</v>
      </c>
      <c r="AF359" s="80" t="str">
        <f>IFERROR(__xludf.DUMMYFUNCTION("""COMPUTED_VALUE"""),"085775408573")</f>
        <v>085775408573</v>
      </c>
      <c r="AG359" s="80"/>
      <c r="AH359" s="80" t="str">
        <f>IFERROR(__xludf.DUMMYFUNCTION("""COMPUTED_VALUE"""),"Kamuaku7328@gmail.com")</f>
        <v>Kamuaku7328@gmail.com</v>
      </c>
      <c r="AI359" s="80" t="str">
        <f>IFERROR(__xludf.DUMMYFUNCTION("""COMPUTED_VALUE"""),"17146S5")</f>
        <v>17146S5</v>
      </c>
      <c r="AJ359" s="80" t="str">
        <f>IFERROR(__xludf.DUMMYFUNCTION("""COMPUTED_VALUE"""),"6757aec7c804671ba5062dcc")</f>
        <v>6757aec7c804671ba5062dcc</v>
      </c>
      <c r="AK359" s="80" t="str">
        <f>IFERROR(__xludf.DUMMYFUNCTION("""COMPUTED_VALUE"""),"dm17146s5")</f>
        <v>dm17146s5</v>
      </c>
      <c r="AL359" s="80" t="str">
        <f>IFERROR(__xludf.DUMMYFUNCTION("""COMPUTED_VALUE"""),"#17146Pos")</f>
        <v>#17146Pos</v>
      </c>
      <c r="AM359" s="80" t="str">
        <f>IFERROR(__xludf.DUMMYFUNCTION("""COMPUTED_VALUE"""),"KANTOR REGIONAL II JAKARTA 10004")</f>
        <v>KANTOR REGIONAL II JAKARTA 10004</v>
      </c>
      <c r="AN359" s="80" t="str">
        <f>IFERROR(__xludf.DUMMYFUNCTION("""COMPUTED_VALUE"""),"KCU BEKASI 17000")</f>
        <v>KCU BEKASI 17000</v>
      </c>
      <c r="AO359" s="80" t="str">
        <f>IFERROR(__xludf.DUMMYFUNCTION("""COMPUTED_VALUE"""),"0312240018299")</f>
        <v>0312240018299</v>
      </c>
      <c r="AP359" s="80" t="str">
        <f>IFERROR(__xludf.DUMMYFUNCTION("""COMPUTED_VALUE"""),"03122400182990001")</f>
        <v>03122400182990001</v>
      </c>
      <c r="AQ359" s="83"/>
      <c r="AR359" s="80"/>
      <c r="AS359" s="80"/>
      <c r="AT359" s="80" t="str">
        <f>IFERROR(__xludf.DUMMYFUNCTION("""COMPUTED_VALUE"""),"-6.273032")</f>
        <v>-6.273032</v>
      </c>
      <c r="AU359" s="80" t="str">
        <f>IFERROR(__xludf.DUMMYFUNCTION("""COMPUTED_VALUE"""),"106.964627")</f>
        <v>106.964627</v>
      </c>
      <c r="AV359" s="80"/>
      <c r="AW359" s="80"/>
      <c r="AX359" s="80" t="str">
        <f>IFERROR(__xludf.DUMMYFUNCTION("""COMPUTED_VALUE"""),"ü")</f>
        <v>ü</v>
      </c>
      <c r="AY359" s="80"/>
      <c r="AZ359" s="80"/>
      <c r="BA359" s="80"/>
      <c r="BB359" s="80"/>
      <c r="BC359" s="80"/>
      <c r="BD359" s="80"/>
      <c r="BE359" s="80"/>
      <c r="BF359" s="80"/>
      <c r="BG359" s="80"/>
      <c r="BH359" s="80"/>
      <c r="BI359" s="80"/>
      <c r="BJ359" s="80"/>
      <c r="BK359" s="80"/>
      <c r="BL359" s="80"/>
      <c r="BM359" s="80"/>
      <c r="BN359" s="80"/>
      <c r="BO359" s="80"/>
      <c r="BP359" s="80"/>
      <c r="BQ359" s="80"/>
      <c r="BR359" s="80"/>
      <c r="BS359" s="80"/>
      <c r="BT359" s="80"/>
      <c r="BU359" s="80"/>
      <c r="BV359" s="80"/>
      <c r="BW359" s="80"/>
      <c r="BX359" s="80"/>
      <c r="BY359" s="80"/>
      <c r="BZ359" s="80"/>
      <c r="CA359" s="80"/>
      <c r="CB359" s="80"/>
      <c r="CC359" s="80"/>
      <c r="CD359" s="80"/>
      <c r="CE359" s="80"/>
      <c r="CF359" s="80"/>
      <c r="CG359" s="80"/>
      <c r="CH359" s="80"/>
      <c r="CI359" s="80"/>
      <c r="CJ359" s="80"/>
      <c r="CK359" s="2"/>
    </row>
    <row r="360" ht="12.75" customHeight="1">
      <c r="A360" s="85">
        <f>IFERROR(__xludf.DUMMYFUNCTION("""COMPUTED_VALUE"""),357.0)</f>
        <v>357</v>
      </c>
      <c r="B360" s="85"/>
      <c r="C360" s="85"/>
      <c r="D360" s="86"/>
      <c r="E360" s="88"/>
      <c r="F360" s="85"/>
      <c r="G360" s="86"/>
      <c r="H360" s="85"/>
      <c r="I360" s="85"/>
      <c r="J360" s="85"/>
      <c r="K360" s="85"/>
      <c r="L360" s="85"/>
      <c r="M360" s="85" t="str">
        <f>IFERROR(__xludf.DUMMYFUNCTION("""COMPUTED_VALUE"""),"ü")</f>
        <v>ü</v>
      </c>
      <c r="N360" s="85"/>
      <c r="O360" s="85"/>
      <c r="P360" s="85" t="str">
        <f>IFERROR(__xludf.DUMMYFUNCTION("""COMPUTED_VALUE"""),"MUCSPA63061PSIND")</f>
        <v>MUCSPA63061PSIND</v>
      </c>
      <c r="Q360" s="85" t="str">
        <f>IFERROR(__xludf.DUMMYFUNCTION("""COMPUTED_VALUE"""),"MUC Pilang")</f>
        <v>MUC Pilang</v>
      </c>
      <c r="R360" s="85" t="str">
        <f>IFERROR(__xludf.DUMMYFUNCTION("""COMPUTED_VALUE"""),"MUC Pilang")</f>
        <v>MUC Pilang</v>
      </c>
      <c r="S360" s="85" t="str">
        <f>IFERROR(__xludf.DUMMYFUNCTION("""COMPUTED_VALUE"""),"FAISAL KUSUMA AJI")</f>
        <v>FAISAL KUSUMA AJI</v>
      </c>
      <c r="T360" s="85" t="str">
        <f>IFERROR(__xludf.DUMMYFUNCTION("""COMPUTED_VALUE"""),"JANTRAN RT.027 RW.005 KEL.PILANG KEC. MASARAN KAB.SRAGEN JAWA TENGAH")</f>
        <v>JANTRAN RT.027 RW.005 KEL.PILANG KEC. MASARAN KAB.SRAGEN JAWA TENGAH</v>
      </c>
      <c r="U360" s="85" t="str">
        <f>IFERROR(__xludf.DUMMYFUNCTION("""COMPUTED_VALUE"""),"JANTRAN RT.027 RW.005 KEL.PILANG KEC. MASARAN KAB.SRAGEN JAWA TENGAH")</f>
        <v>JANTRAN RT.027 RW.005 KEL.PILANG KEC. MASARAN KAB.SRAGEN JAWA TENGAH</v>
      </c>
      <c r="V360" s="85"/>
      <c r="W360" s="85" t="str">
        <f>IFERROR(__xludf.DUMMYFUNCTION("""COMPUTED_VALUE"""),"PILANG")</f>
        <v>PILANG</v>
      </c>
      <c r="X360" s="85" t="str">
        <f>IFERROR(__xludf.DUMMYFUNCTION("""COMPUTED_VALUE"""),"MASARAN")</f>
        <v>MASARAN</v>
      </c>
      <c r="Y360" s="85" t="str">
        <f>IFERROR(__xludf.DUMMYFUNCTION("""COMPUTED_VALUE"""),"SRAGEN")</f>
        <v>SRAGEN</v>
      </c>
      <c r="Z360" s="85" t="str">
        <f>IFERROR(__xludf.DUMMYFUNCTION("""COMPUTED_VALUE"""),"JAWA TENGAH")</f>
        <v>JAWA TENGAH</v>
      </c>
      <c r="AA360" s="85" t="str">
        <f>IFERROR(__xludf.DUMMYFUNCTION("""COMPUTED_VALUE"""),"57282")</f>
        <v>57282</v>
      </c>
      <c r="AB360" s="85" t="str">
        <f>IFERROR(__xludf.DUMMYFUNCTION("""COMPUTED_VALUE"""),"3314031301980004")</f>
        <v>3314031301980004</v>
      </c>
      <c r="AC360" s="85" t="str">
        <f>IFERROR(__xludf.DUMMYFUNCTION("""COMPUTED_VALUE"""),"42.110.752.5-528.000")</f>
        <v>42.110.752.5-528.000</v>
      </c>
      <c r="AD360" s="85" t="str">
        <f>IFERROR(__xludf.DUMMYFUNCTION("""COMPUTED_VALUE"""),"CUM - PS - RFSI")</f>
        <v>CUM - PS - RFSI</v>
      </c>
      <c r="AE360" s="85" t="str">
        <f>IFERROR(__xludf.DUMMYFUNCTION("""COMPUTED_VALUE"""),"SUB RIZKI POS")</f>
        <v>SUB RIZKI POS</v>
      </c>
      <c r="AF360" s="85" t="str">
        <f>IFERROR(__xludf.DUMMYFUNCTION("""COMPUTED_VALUE"""),"082210860366")</f>
        <v>082210860366</v>
      </c>
      <c r="AG360" s="85"/>
      <c r="AH360" s="85" t="str">
        <f>IFERROR(__xludf.DUMMYFUNCTION("""COMPUTED_VALUE"""),"faisalkaji01@gmail.com")</f>
        <v>faisalkaji01@gmail.com</v>
      </c>
      <c r="AI360" s="85" t="str">
        <f>IFERROR(__xludf.DUMMYFUNCTION("""COMPUTED_VALUE"""),"57282S4")</f>
        <v>57282S4</v>
      </c>
      <c r="AJ360" s="85" t="str">
        <f>IFERROR(__xludf.DUMMYFUNCTION("""COMPUTED_VALUE"""),"6755a9e6f2ee4ff66100692b")</f>
        <v>6755a9e6f2ee4ff66100692b</v>
      </c>
      <c r="AK360" s="85" t="str">
        <f>IFERROR(__xludf.DUMMYFUNCTION("""COMPUTED_VALUE"""),"dm57282s4")</f>
        <v>dm57282s4</v>
      </c>
      <c r="AL360" s="85" t="str">
        <f>IFERROR(__xludf.DUMMYFUNCTION("""COMPUTED_VALUE"""),"#57282Pos")</f>
        <v>#57282Pos</v>
      </c>
      <c r="AM360" s="85" t="str">
        <f>IFERROR(__xludf.DUMMYFUNCTION("""COMPUTED_VALUE"""),"KANTOR REGIONAL IV SEMARANG 50004")</f>
        <v>KANTOR REGIONAL IV SEMARANG 50004</v>
      </c>
      <c r="AN360" s="85" t="str">
        <f>IFERROR(__xludf.DUMMYFUNCTION("""COMPUTED_VALUE"""),"KC SRAGEN")</f>
        <v>KC SRAGEN</v>
      </c>
      <c r="AO360" s="85" t="str">
        <f>IFERROR(__xludf.DUMMYFUNCTION("""COMPUTED_VALUE"""),"0312240029358")</f>
        <v>0312240029358</v>
      </c>
      <c r="AP360" s="85" t="str">
        <f>IFERROR(__xludf.DUMMYFUNCTION("""COMPUTED_VALUE"""),"03122400293580001")</f>
        <v>03122400293580001</v>
      </c>
      <c r="AQ360" s="93"/>
      <c r="AR360" s="85"/>
      <c r="AS360" s="85"/>
      <c r="AT360" s="85" t="str">
        <f>IFERROR(__xludf.DUMMYFUNCTION("""COMPUTED_VALUE"""),"-7.4604521")</f>
        <v>-7.4604521</v>
      </c>
      <c r="AU360" s="85" t="str">
        <f>IFERROR(__xludf.DUMMYFUNCTION("""COMPUTED_VALUE"""),"110.904841")</f>
        <v>110.904841</v>
      </c>
      <c r="AV360" s="85"/>
      <c r="AW360" s="85"/>
      <c r="AX360" s="85" t="str">
        <f>IFERROR(__xludf.DUMMYFUNCTION("""COMPUTED_VALUE"""),"ü")</f>
        <v>ü</v>
      </c>
      <c r="AY360" s="85"/>
      <c r="AZ360" s="85"/>
      <c r="BA360" s="85"/>
      <c r="BB360" s="85"/>
      <c r="BC360" s="85"/>
      <c r="BD360" s="85"/>
      <c r="BE360" s="85"/>
      <c r="BF360" s="85"/>
      <c r="BG360" s="85"/>
      <c r="BH360" s="85"/>
      <c r="BI360" s="85"/>
      <c r="BJ360" s="85"/>
      <c r="BK360" s="85"/>
      <c r="BL360" s="85"/>
      <c r="BM360" s="85"/>
      <c r="BN360" s="85"/>
      <c r="BO360" s="85"/>
      <c r="BP360" s="85"/>
      <c r="BQ360" s="85"/>
      <c r="BR360" s="85"/>
      <c r="BS360" s="85"/>
      <c r="BT360" s="85"/>
      <c r="BU360" s="85"/>
      <c r="BV360" s="85"/>
      <c r="BW360" s="85"/>
      <c r="BX360" s="85"/>
      <c r="BY360" s="85"/>
      <c r="BZ360" s="85"/>
      <c r="CA360" s="85"/>
      <c r="CB360" s="85"/>
      <c r="CC360" s="85"/>
      <c r="CD360" s="85"/>
      <c r="CE360" s="85"/>
      <c r="CF360" s="85"/>
      <c r="CG360" s="85"/>
      <c r="CH360" s="85"/>
      <c r="CI360" s="85"/>
      <c r="CJ360" s="85"/>
      <c r="CK360" s="2"/>
    </row>
    <row r="361" ht="12.75" customHeight="1">
      <c r="A361" s="80">
        <f>IFERROR(__xludf.DUMMYFUNCTION("""COMPUTED_VALUE"""),358.0)</f>
        <v>358</v>
      </c>
      <c r="B361" s="80"/>
      <c r="C361" s="80"/>
      <c r="D361" s="81"/>
      <c r="E361" s="82"/>
      <c r="F361" s="80"/>
      <c r="G361" s="81"/>
      <c r="H361" s="80"/>
      <c r="I361" s="80"/>
      <c r="J361" s="80"/>
      <c r="K361" s="80"/>
      <c r="L361" s="80"/>
      <c r="M361" s="80" t="str">
        <f>IFERROR(__xludf.DUMMYFUNCTION("""COMPUTED_VALUE"""),"ü")</f>
        <v>ü</v>
      </c>
      <c r="N361" s="80"/>
      <c r="O361" s="80"/>
      <c r="P361" s="80" t="str">
        <f>IFERROR(__xludf.DUMMYFUNCTION("""COMPUTED_VALUE"""),"52BSPA07571JTWWK")</f>
        <v>52BSPA07571JTWWK</v>
      </c>
      <c r="Q361" s="80" t="str">
        <f>IFERROR(__xludf.DUMMYFUNCTION("""COMPUTED_VALUE"""),"MUC JUMO 56256")</f>
        <v>MUC JUMO 56256</v>
      </c>
      <c r="R361" s="80" t="str">
        <f>IFERROR(__xludf.DUMMYFUNCTION("""COMPUTED_VALUE"""),"MUC JUMO 56256")</f>
        <v>MUC JUMO 56256</v>
      </c>
      <c r="S361" s="80" t="str">
        <f>IFERROR(__xludf.DUMMYFUNCTION("""COMPUTED_VALUE"""),"UDI WARSITO")</f>
        <v>UDI WARSITO</v>
      </c>
      <c r="T361" s="80" t="str">
        <f>IFERROR(__xludf.DUMMYFUNCTION("""COMPUTED_VALUE"""),"JAMPIREJO")</f>
        <v>JAMPIREJO</v>
      </c>
      <c r="U361" s="80" t="str">
        <f>IFERROR(__xludf.DUMMYFUNCTION("""COMPUTED_VALUE"""),"Sawah, Ngimbrang")</f>
        <v>Sawah, Ngimbrang</v>
      </c>
      <c r="V361" s="80"/>
      <c r="W361" s="80" t="str">
        <f>IFERROR(__xludf.DUMMYFUNCTION("""COMPUTED_VALUE"""),"NGIMBRANG")</f>
        <v>NGIMBRANG</v>
      </c>
      <c r="X361" s="80" t="str">
        <f>IFERROR(__xludf.DUMMYFUNCTION("""COMPUTED_VALUE"""),"BULU")</f>
        <v>BULU</v>
      </c>
      <c r="Y361" s="80" t="str">
        <f>IFERROR(__xludf.DUMMYFUNCTION("""COMPUTED_VALUE"""),"KAB.TEMANGGUNG")</f>
        <v>KAB.TEMANGGUNG</v>
      </c>
      <c r="Z361" s="80" t="str">
        <f>IFERROR(__xludf.DUMMYFUNCTION("""COMPUTED_VALUE"""),"JAWA TENGAH")</f>
        <v>JAWA TENGAH</v>
      </c>
      <c r="AA361" s="80" t="str">
        <f>IFERROR(__xludf.DUMMYFUNCTION("""COMPUTED_VALUE"""),"56253")</f>
        <v>56253</v>
      </c>
      <c r="AB361" s="80" t="str">
        <f>IFERROR(__xludf.DUMMYFUNCTION("""COMPUTED_VALUE"""),"3323033006540002")</f>
        <v>3323033006540002</v>
      </c>
      <c r="AC361" s="80" t="str">
        <f>IFERROR(__xludf.DUMMYFUNCTION("""COMPUTED_VALUE"""),"73.409.865.0-533.000")</f>
        <v>73.409.865.0-533.000</v>
      </c>
      <c r="AD361" s="80" t="str">
        <f>IFERROR(__xludf.DUMMYFUNCTION("""COMPUTED_VALUE"""),"CUM - WWK")</f>
        <v>CUM - WWK</v>
      </c>
      <c r="AE361" s="80" t="str">
        <f>IFERROR(__xludf.DUMMYFUNCTION("""COMPUTED_VALUE"""),"SUB WIWIK")</f>
        <v>SUB WIWIK</v>
      </c>
      <c r="AF361" s="80" t="str">
        <f>IFERROR(__xludf.DUMMYFUNCTION("""COMPUTED_VALUE"""),"081228147676")</f>
        <v>081228147676</v>
      </c>
      <c r="AG361" s="80"/>
      <c r="AH361" s="80" t="str">
        <f>IFERROR(__xludf.DUMMYFUNCTION("""COMPUTED_VALUE"""),"triastotok7@gmail.com")</f>
        <v>triastotok7@gmail.com</v>
      </c>
      <c r="AI361" s="80" t="str">
        <f>IFERROR(__xludf.DUMMYFUNCTION("""COMPUTED_VALUE"""),"56253S4")</f>
        <v>56253S4</v>
      </c>
      <c r="AJ361" s="80" t="str">
        <f>IFERROR(__xludf.DUMMYFUNCTION("""COMPUTED_VALUE"""),"6753e99152088adc910e1574")</f>
        <v>6753e99152088adc910e1574</v>
      </c>
      <c r="AK361" s="80" t="str">
        <f>IFERROR(__xludf.DUMMYFUNCTION("""COMPUTED_VALUE"""),"dm56253s4")</f>
        <v>dm56253s4</v>
      </c>
      <c r="AL361" s="80" t="str">
        <f>IFERROR(__xludf.DUMMYFUNCTION("""COMPUTED_VALUE"""),"#56253Pos")</f>
        <v>#56253Pos</v>
      </c>
      <c r="AM361" s="80" t="str">
        <f>IFERROR(__xludf.DUMMYFUNCTION("""COMPUTED_VALUE"""),"KANTOR REGIONAL IV SEMARANG 50004")</f>
        <v>KANTOR REGIONAL IV SEMARANG 50004</v>
      </c>
      <c r="AN361" s="80" t="str">
        <f>IFERROR(__xludf.DUMMYFUNCTION("""COMPUTED_VALUE"""),"KC TEMANGGUNG 56200")</f>
        <v>KC TEMANGGUNG 56200</v>
      </c>
      <c r="AO361" s="80" t="str">
        <f>IFERROR(__xludf.DUMMYFUNCTION("""COMPUTED_VALUE"""),"0110240089518")</f>
        <v>0110240089518</v>
      </c>
      <c r="AP361" s="80" t="str">
        <f>IFERROR(__xludf.DUMMYFUNCTION("""COMPUTED_VALUE"""),"01102400895180001")</f>
        <v>01102400895180001</v>
      </c>
      <c r="AQ361" s="83"/>
      <c r="AR361" s="80"/>
      <c r="AS361" s="80"/>
      <c r="AT361" s="80" t="str">
        <f>IFERROR(__xludf.DUMMYFUNCTION("""COMPUTED_VALUE"""),"-7.296554 ")</f>
        <v>-7.296554 </v>
      </c>
      <c r="AU361" s="80" t="str">
        <f>IFERROR(__xludf.DUMMYFUNCTION("""COMPUTED_VALUE"""),"110.137192")</f>
        <v>110.137192</v>
      </c>
      <c r="AV361" s="80"/>
      <c r="AW361" s="80"/>
      <c r="AX361" s="80" t="str">
        <f>IFERROR(__xludf.DUMMYFUNCTION("""COMPUTED_VALUE"""),"ü")</f>
        <v>ü</v>
      </c>
      <c r="AY361" s="80"/>
      <c r="AZ361" s="80"/>
      <c r="BA361" s="80"/>
      <c r="BB361" s="80"/>
      <c r="BC361" s="80"/>
      <c r="BD361" s="80"/>
      <c r="BE361" s="80"/>
      <c r="BF361" s="80"/>
      <c r="BG361" s="80"/>
      <c r="BH361" s="80"/>
      <c r="BI361" s="80"/>
      <c r="BJ361" s="80"/>
      <c r="BK361" s="80"/>
      <c r="BL361" s="80"/>
      <c r="BM361" s="80"/>
      <c r="BN361" s="80"/>
      <c r="BO361" s="80"/>
      <c r="BP361" s="80"/>
      <c r="BQ361" s="80"/>
      <c r="BR361" s="80"/>
      <c r="BS361" s="80"/>
      <c r="BT361" s="80"/>
      <c r="BU361" s="80"/>
      <c r="BV361" s="80"/>
      <c r="BW361" s="80"/>
      <c r="BX361" s="80"/>
      <c r="BY361" s="80"/>
      <c r="BZ361" s="80"/>
      <c r="CA361" s="80"/>
      <c r="CB361" s="80"/>
      <c r="CC361" s="80"/>
      <c r="CD361" s="80"/>
      <c r="CE361" s="80"/>
      <c r="CF361" s="80"/>
      <c r="CG361" s="80"/>
      <c r="CH361" s="80"/>
      <c r="CI361" s="80"/>
      <c r="CJ361" s="80"/>
      <c r="CK361" s="2"/>
    </row>
    <row r="362" ht="12.75" customHeight="1">
      <c r="A362" s="85">
        <f>IFERROR(__xludf.DUMMYFUNCTION("""COMPUTED_VALUE"""),359.0)</f>
        <v>359</v>
      </c>
      <c r="B362" s="85"/>
      <c r="C362" s="85"/>
      <c r="D362" s="86"/>
      <c r="E362" s="88"/>
      <c r="F362" s="85"/>
      <c r="G362" s="86"/>
      <c r="H362" s="85"/>
      <c r="I362" s="85"/>
      <c r="J362" s="85"/>
      <c r="K362" s="85"/>
      <c r="L362" s="85"/>
      <c r="M362" s="85" t="str">
        <f>IFERROR(__xludf.DUMMYFUNCTION("""COMPUTED_VALUE"""),"ü")</f>
        <v>ü</v>
      </c>
      <c r="N362" s="85"/>
      <c r="O362" s="85"/>
      <c r="P362" s="85" t="str">
        <f>IFERROR(__xludf.DUMMYFUNCTION("""COMPUTED_VALUE"""),"MUCSPA63062PSIND")</f>
        <v>MUCSPA63062PSIND</v>
      </c>
      <c r="Q362" s="85" t="str">
        <f>IFERROR(__xludf.DUMMYFUNCTION("""COMPUTED_VALUE"""),"MUC Teradamai")</f>
        <v>MUC Teradamai</v>
      </c>
      <c r="R362" s="85" t="str">
        <f>IFERROR(__xludf.DUMMYFUNCTION("""COMPUTED_VALUE"""),"MUC Teradamai")</f>
        <v>MUC Teradamai</v>
      </c>
      <c r="S362" s="85" t="str">
        <f>IFERROR(__xludf.DUMMYFUNCTION("""COMPUTED_VALUE"""),"EDY WIJAYA")</f>
        <v>EDY WIJAYA</v>
      </c>
      <c r="T362" s="85" t="str">
        <f>IFERROR(__xludf.DUMMYFUNCTION("""COMPUTED_VALUE"""),"VILA GADING HARAPAN BLOK AG 5 NO.2A")</f>
        <v>VILA GADING HARAPAN BLOK AG 5 NO.2A</v>
      </c>
      <c r="U362" s="85" t="str">
        <f>IFERROR(__xludf.DUMMYFUNCTION("""COMPUTED_VALUE"""),"VILA GADING HARAPAN BLOK AG 5 NO.2A")</f>
        <v>VILA GADING HARAPAN BLOK AG 5 NO.2A</v>
      </c>
      <c r="V362" s="85"/>
      <c r="W362" s="85" t="str">
        <f>IFERROR(__xludf.DUMMYFUNCTION("""COMPUTED_VALUE"""),"SRIAMUR")</f>
        <v>SRIAMUR</v>
      </c>
      <c r="X362" s="85" t="str">
        <f>IFERROR(__xludf.DUMMYFUNCTION("""COMPUTED_VALUE"""),"TAMBUN UTARA")</f>
        <v>TAMBUN UTARA</v>
      </c>
      <c r="Y362" s="85" t="str">
        <f>IFERROR(__xludf.DUMMYFUNCTION("""COMPUTED_VALUE"""),"KAB. BEKASI")</f>
        <v>KAB. BEKASI</v>
      </c>
      <c r="Z362" s="85" t="str">
        <f>IFERROR(__xludf.DUMMYFUNCTION("""COMPUTED_VALUE"""),"JAWA BARAT")</f>
        <v>JAWA BARAT</v>
      </c>
      <c r="AA362" s="85" t="str">
        <f>IFERROR(__xludf.DUMMYFUNCTION("""COMPUTED_VALUE"""),"17510")</f>
        <v>17510</v>
      </c>
      <c r="AB362" s="85" t="str">
        <f>IFERROR(__xludf.DUMMYFUNCTION("""COMPUTED_VALUE"""),"3216022407800006")</f>
        <v>3216022407800006</v>
      </c>
      <c r="AC362" s="85" t="str">
        <f>IFERROR(__xludf.DUMMYFUNCTION("""COMPUTED_VALUE"""),"67.724.714.0-407.000")</f>
        <v>67.724.714.0-407.000</v>
      </c>
      <c r="AD362" s="85" t="str">
        <f>IFERROR(__xludf.DUMMYFUNCTION("""COMPUTED_VALUE"""),"CUM - PS - AYS")</f>
        <v>CUM - PS - AYS</v>
      </c>
      <c r="AE362" s="85" t="str">
        <f>IFERROR(__xludf.DUMMYFUNCTION("""COMPUTED_VALUE"""),"SUB YUNUS POS")</f>
        <v>SUB YUNUS POS</v>
      </c>
      <c r="AF362" s="85" t="str">
        <f>IFERROR(__xludf.DUMMYFUNCTION("""COMPUTED_VALUE"""),"081384552515")</f>
        <v>081384552515</v>
      </c>
      <c r="AG362" s="85"/>
      <c r="AH362" s="85" t="str">
        <f>IFERROR(__xludf.DUMMYFUNCTION("""COMPUTED_VALUE"""),"babelanvgh@gmail.com")</f>
        <v>babelanvgh@gmail.com</v>
      </c>
      <c r="AI362" s="85" t="str">
        <f>IFERROR(__xludf.DUMMYFUNCTION("""COMPUTED_VALUE"""),"17561S1")</f>
        <v>17561S1</v>
      </c>
      <c r="AJ362" s="85" t="str">
        <f>IFERROR(__xludf.DUMMYFUNCTION("""COMPUTED_VALUE"""),"6768dd5f12d914bca70764af")</f>
        <v>6768dd5f12d914bca70764af</v>
      </c>
      <c r="AK362" s="85" t="str">
        <f>IFERROR(__xludf.DUMMYFUNCTION("""COMPUTED_VALUE"""),"dm17561s1")</f>
        <v>dm17561s1</v>
      </c>
      <c r="AL362" s="85" t="str">
        <f>IFERROR(__xludf.DUMMYFUNCTION("""COMPUTED_VALUE"""),"#17561Pos")</f>
        <v>#17561Pos</v>
      </c>
      <c r="AM362" s="85" t="str">
        <f>IFERROR(__xludf.DUMMYFUNCTION("""COMPUTED_VALUE"""),"KANTOR REGIONAL II JAKARTA 10004")</f>
        <v>KANTOR REGIONAL II JAKARTA 10004</v>
      </c>
      <c r="AN362" s="85" t="str">
        <f>IFERROR(__xludf.DUMMYFUNCTION("""COMPUTED_VALUE"""),"KC CIKARANG 17500")</f>
        <v>KC CIKARANG 17500</v>
      </c>
      <c r="AO362" s="85" t="str">
        <f>IFERROR(__xludf.DUMMYFUNCTION("""COMPUTED_VALUE"""),"0252010102322")</f>
        <v>0252010102322</v>
      </c>
      <c r="AP362" s="85" t="str">
        <f>IFERROR(__xludf.DUMMYFUNCTION("""COMPUTED_VALUE"""),"02520101023220002")</f>
        <v>02520101023220002</v>
      </c>
      <c r="AQ362" s="93"/>
      <c r="AR362" s="85"/>
      <c r="AS362" s="85"/>
      <c r="AT362" s="85" t="str">
        <f>IFERROR(__xludf.DUMMYFUNCTION("""COMPUTED_VALUE"""),"-6.172324")</f>
        <v>-6.172324</v>
      </c>
      <c r="AU362" s="85" t="str">
        <f>IFERROR(__xludf.DUMMYFUNCTION("""COMPUTED_VALUE"""),"107.0519503")</f>
        <v>107.0519503</v>
      </c>
      <c r="AV362" s="85"/>
      <c r="AW362" s="85"/>
      <c r="AX362" s="85" t="str">
        <f>IFERROR(__xludf.DUMMYFUNCTION("""COMPUTED_VALUE"""),"ü")</f>
        <v>ü</v>
      </c>
      <c r="AY362" s="85"/>
      <c r="AZ362" s="85"/>
      <c r="BA362" s="85"/>
      <c r="BB362" s="85"/>
      <c r="BC362" s="85"/>
      <c r="BD362" s="85"/>
      <c r="BE362" s="85"/>
      <c r="BF362" s="85"/>
      <c r="BG362" s="85"/>
      <c r="BH362" s="85"/>
      <c r="BI362" s="85"/>
      <c r="BJ362" s="85"/>
      <c r="BK362" s="85"/>
      <c r="BL362" s="85"/>
      <c r="BM362" s="85"/>
      <c r="BN362" s="85"/>
      <c r="BO362" s="85"/>
      <c r="BP362" s="85"/>
      <c r="BQ362" s="85"/>
      <c r="BR362" s="85"/>
      <c r="BS362" s="85"/>
      <c r="BT362" s="85"/>
      <c r="BU362" s="85"/>
      <c r="BV362" s="85"/>
      <c r="BW362" s="85"/>
      <c r="BX362" s="85"/>
      <c r="BY362" s="85"/>
      <c r="BZ362" s="85"/>
      <c r="CA362" s="85"/>
      <c r="CB362" s="85"/>
      <c r="CC362" s="85"/>
      <c r="CD362" s="85"/>
      <c r="CE362" s="85"/>
      <c r="CF362" s="85"/>
      <c r="CG362" s="85"/>
      <c r="CH362" s="85"/>
      <c r="CI362" s="85"/>
      <c r="CJ362" s="85"/>
      <c r="CK362" s="2"/>
    </row>
    <row r="363" ht="12.75" customHeight="1">
      <c r="A363" s="80">
        <f>IFERROR(__xludf.DUMMYFUNCTION("""COMPUTED_VALUE"""),360.0)</f>
        <v>360</v>
      </c>
      <c r="B363" s="80"/>
      <c r="C363" s="80"/>
      <c r="D363" s="81"/>
      <c r="E363" s="82"/>
      <c r="F363" s="80"/>
      <c r="G363" s="81"/>
      <c r="H363" s="80"/>
      <c r="I363" s="80"/>
      <c r="J363" s="80"/>
      <c r="K363" s="80"/>
      <c r="L363" s="80"/>
      <c r="M363" s="80" t="str">
        <f>IFERROR(__xludf.DUMMYFUNCTION("""COMPUTED_VALUE"""),"ü")</f>
        <v>ü</v>
      </c>
      <c r="N363" s="80"/>
      <c r="O363" s="80"/>
      <c r="P363" s="80" t="str">
        <f>IFERROR(__xludf.DUMMYFUNCTION("""COMPUTED_VALUE"""),"53BSPA09240JBEEN")</f>
        <v>53BSPA09240JBEEN</v>
      </c>
      <c r="Q363" s="80" t="str">
        <f>IFERROR(__xludf.DUMMYFUNCTION("""COMPUTED_VALUE"""),"MUC CADAS SPORT")</f>
        <v>MUC CADAS SPORT</v>
      </c>
      <c r="R363" s="80" t="str">
        <f>IFERROR(__xludf.DUMMYFUNCTION("""COMPUTED_VALUE"""),"MUC CADAS SPORT")</f>
        <v>MUC CADAS SPORT</v>
      </c>
      <c r="S363" s="80" t="str">
        <f>IFERROR(__xludf.DUMMYFUNCTION("""COMPUTED_VALUE"""),"MUSTAR")</f>
        <v>MUSTAR</v>
      </c>
      <c r="T363" s="80" t="str">
        <f>IFERROR(__xludf.DUMMYFUNCTION("""COMPUTED_VALUE"""),"KP. CIBADAK RT.012 RW.005 KEL.BOJONG KEC.CIKUPA KAB. TANGERANG")</f>
        <v>KP. CIBADAK RT.012 RW.005 KEL.BOJONG KEC.CIKUPA KAB. TANGERANG</v>
      </c>
      <c r="U363" s="80" t="str">
        <f>IFERROR(__xludf.DUMMYFUNCTION("""COMPUTED_VALUE"""),"JL. RAYA SERANG KM 18,5 NO. 07 RT. 012 RW. 005")</f>
        <v>JL. RAYA SERANG KM 18,5 NO. 07 RT. 012 RW. 005</v>
      </c>
      <c r="V363" s="80"/>
      <c r="W363" s="80" t="str">
        <f>IFERROR(__xludf.DUMMYFUNCTION("""COMPUTED_VALUE"""),"BOJONG")</f>
        <v>BOJONG</v>
      </c>
      <c r="X363" s="80" t="str">
        <f>IFERROR(__xludf.DUMMYFUNCTION("""COMPUTED_VALUE"""),"CIKUPA")</f>
        <v>CIKUPA</v>
      </c>
      <c r="Y363" s="80" t="str">
        <f>IFERROR(__xludf.DUMMYFUNCTION("""COMPUTED_VALUE"""),"KAB. TANGERANG")</f>
        <v>KAB. TANGERANG</v>
      </c>
      <c r="Z363" s="80" t="str">
        <f>IFERROR(__xludf.DUMMYFUNCTION("""COMPUTED_VALUE"""),"BANTEN")</f>
        <v>BANTEN</v>
      </c>
      <c r="AA363" s="80" t="str">
        <f>IFERROR(__xludf.DUMMYFUNCTION("""COMPUTED_VALUE"""),"15710")</f>
        <v>15710</v>
      </c>
      <c r="AB363" s="80" t="str">
        <f>IFERROR(__xludf.DUMMYFUNCTION("""COMPUTED_VALUE"""),"3603180402730017")</f>
        <v>3603180402730017</v>
      </c>
      <c r="AC363" s="80" t="str">
        <f>IFERROR(__xludf.DUMMYFUNCTION("""COMPUTED_VALUE"""),"64.099.163.4-451.000")</f>
        <v>64.099.163.4-451.000</v>
      </c>
      <c r="AD363" s="80" t="str">
        <f>IFERROR(__xludf.DUMMYFUNCTION("""COMPUTED_VALUE"""),"CUM - EEN")</f>
        <v>CUM - EEN</v>
      </c>
      <c r="AE363" s="80" t="str">
        <f>IFERROR(__xludf.DUMMYFUNCTION("""COMPUTED_VALUE"""),"SUB EEN")</f>
        <v>SUB EEN</v>
      </c>
      <c r="AF363" s="80" t="str">
        <f>IFERROR(__xludf.DUMMYFUNCTION("""COMPUTED_VALUE"""),"081319191133")</f>
        <v>081319191133</v>
      </c>
      <c r="AG363" s="80"/>
      <c r="AH363" s="80" t="str">
        <f>IFERROR(__xludf.DUMMYFUNCTION("""COMPUTED_VALUE"""),"cvjalu350@gmail.com")</f>
        <v>cvjalu350@gmail.com</v>
      </c>
      <c r="AI363" s="80" t="str">
        <f>IFERROR(__xludf.DUMMYFUNCTION("""COMPUTED_VALUE"""),"15710SA")</f>
        <v>15710SA</v>
      </c>
      <c r="AJ363" s="80" t="str">
        <f>IFERROR(__xludf.DUMMYFUNCTION("""COMPUTED_VALUE"""),"6773cdda6563ef92fe0a8ad8")</f>
        <v>6773cdda6563ef92fe0a8ad8</v>
      </c>
      <c r="AK363" s="80" t="str">
        <f>IFERROR(__xludf.DUMMYFUNCTION("""COMPUTED_VALUE"""),"dm15710sa")</f>
        <v>dm15710sa</v>
      </c>
      <c r="AL363" s="80" t="str">
        <f>IFERROR(__xludf.DUMMYFUNCTION("""COMPUTED_VALUE"""),"#15710Pos")</f>
        <v>#15710Pos</v>
      </c>
      <c r="AM363" s="80" t="str">
        <f>IFERROR(__xludf.DUMMYFUNCTION("""COMPUTED_VALUE"""),"KANTOR REGIONAL II JAKARTA 10004")</f>
        <v>KANTOR REGIONAL II JAKARTA 10004</v>
      </c>
      <c r="AN363" s="80" t="str">
        <f>IFERROR(__xludf.DUMMYFUNCTION("""COMPUTED_VALUE"""),"KCU TANGERANG 15000")</f>
        <v>KCU TANGERANG 15000</v>
      </c>
      <c r="AO363" s="80" t="str">
        <f>IFERROR(__xludf.DUMMYFUNCTION("""COMPUTED_VALUE"""),"0312240046989")</f>
        <v>0312240046989</v>
      </c>
      <c r="AP363" s="80" t="str">
        <f>IFERROR(__xludf.DUMMYFUNCTION("""COMPUTED_VALUE"""),"03122400469890001")</f>
        <v>03122400469890001</v>
      </c>
      <c r="AQ363" s="83"/>
      <c r="AR363" s="80"/>
      <c r="AS363" s="80"/>
      <c r="AT363" s="80" t="str">
        <f>IFERROR(__xludf.DUMMYFUNCTION("""COMPUTED_VALUE"""),"-6.217445 ")</f>
        <v>-6.217445 </v>
      </c>
      <c r="AU363" s="80" t="str">
        <f>IFERROR(__xludf.DUMMYFUNCTION("""COMPUTED_VALUE"""),"106.495141")</f>
        <v>106.495141</v>
      </c>
      <c r="AV363" s="80"/>
      <c r="AW363" s="80"/>
      <c r="AX363" s="80" t="str">
        <f>IFERROR(__xludf.DUMMYFUNCTION("""COMPUTED_VALUE"""),"ü")</f>
        <v>ü</v>
      </c>
      <c r="AY363" s="80"/>
      <c r="AZ363" s="80"/>
      <c r="BA363" s="80"/>
      <c r="BB363" s="80"/>
      <c r="BC363" s="80"/>
      <c r="BD363" s="80"/>
      <c r="BE363" s="80"/>
      <c r="BF363" s="80"/>
      <c r="BG363" s="80"/>
      <c r="BH363" s="80"/>
      <c r="BI363" s="80"/>
      <c r="BJ363" s="80"/>
      <c r="BK363" s="80"/>
      <c r="BL363" s="80"/>
      <c r="BM363" s="80"/>
      <c r="BN363" s="80"/>
      <c r="BO363" s="80"/>
      <c r="BP363" s="80"/>
      <c r="BQ363" s="80"/>
      <c r="BR363" s="80"/>
      <c r="BS363" s="80"/>
      <c r="BT363" s="80"/>
      <c r="BU363" s="80"/>
      <c r="BV363" s="80"/>
      <c r="BW363" s="80"/>
      <c r="BX363" s="80"/>
      <c r="BY363" s="80"/>
      <c r="BZ363" s="80"/>
      <c r="CA363" s="80"/>
      <c r="CB363" s="80"/>
      <c r="CC363" s="80"/>
      <c r="CD363" s="80"/>
      <c r="CE363" s="80"/>
      <c r="CF363" s="80"/>
      <c r="CG363" s="80"/>
      <c r="CH363" s="80"/>
      <c r="CI363" s="80"/>
      <c r="CJ363" s="80"/>
      <c r="CK363" s="2"/>
    </row>
    <row r="364" ht="12.75" customHeight="1">
      <c r="A364" s="85">
        <f>IFERROR(__xludf.DUMMYFUNCTION("""COMPUTED_VALUE"""),361.0)</f>
        <v>361</v>
      </c>
      <c r="B364" s="85"/>
      <c r="C364" s="85"/>
      <c r="D364" s="86"/>
      <c r="E364" s="88"/>
      <c r="F364" s="85"/>
      <c r="G364" s="86"/>
      <c r="H364" s="85"/>
      <c r="I364" s="85"/>
      <c r="J364" s="85"/>
      <c r="K364" s="85"/>
      <c r="L364" s="85"/>
      <c r="M364" s="85" t="str">
        <f>IFERROR(__xludf.DUMMYFUNCTION("""COMPUTED_VALUE"""),"ü")</f>
        <v>ü</v>
      </c>
      <c r="N364" s="85"/>
      <c r="O364" s="85"/>
      <c r="P364" s="85" t="str">
        <f>IFERROR(__xludf.DUMMYFUNCTION("""COMPUTED_VALUE"""),"52BSPA12487JTGMT")</f>
        <v>52BSPA12487JTGMT</v>
      </c>
      <c r="Q364" s="85" t="str">
        <f>IFERROR(__xludf.DUMMYFUNCTION("""COMPUTED_VALUE"""),"MUC ABS ")</f>
        <v>MUC ABS </v>
      </c>
      <c r="R364" s="85" t="str">
        <f>IFERROR(__xludf.DUMMYFUNCTION("""COMPUTED_VALUE"""),"MUC ABS ")</f>
        <v>MUC ABS </v>
      </c>
      <c r="S364" s="85" t="str">
        <f>IFERROR(__xludf.DUMMYFUNCTION("""COMPUTED_VALUE"""),"Andi Saputra")</f>
        <v>Andi Saputra</v>
      </c>
      <c r="T364" s="85" t="str">
        <f>IFERROR(__xludf.DUMMYFUNCTION("""COMPUTED_VALUE"""),"Perum Gandera Jaya Ujungbatu rt.13 rw.01, Jepara 59416")</f>
        <v>Perum Gandera Jaya Ujungbatu rt.13 rw.01, Jepara 59416</v>
      </c>
      <c r="U364" s="85" t="str">
        <f>IFERROR(__xludf.DUMMYFUNCTION("""COMPUTED_VALUE"""),"JL.Sidik Harun, Ujungbatu RT.07 RW.02 ")</f>
        <v>JL.Sidik Harun, Ujungbatu RT.07 RW.02 </v>
      </c>
      <c r="V364" s="85"/>
      <c r="W364" s="85" t="str">
        <f>IFERROR(__xludf.DUMMYFUNCTION("""COMPUTED_VALUE"""),"Ujungbatu")</f>
        <v>Ujungbatu</v>
      </c>
      <c r="X364" s="85" t="str">
        <f>IFERROR(__xludf.DUMMYFUNCTION("""COMPUTED_VALUE"""),"Jepara")</f>
        <v>Jepara</v>
      </c>
      <c r="Y364" s="85" t="str">
        <f>IFERROR(__xludf.DUMMYFUNCTION("""COMPUTED_VALUE"""),"Kab.Jepara")</f>
        <v>Kab.Jepara</v>
      </c>
      <c r="Z364" s="85" t="str">
        <f>IFERROR(__xludf.DUMMYFUNCTION("""COMPUTED_VALUE"""),"Jawa Tengah")</f>
        <v>Jawa Tengah</v>
      </c>
      <c r="AA364" s="85" t="str">
        <f>IFERROR(__xludf.DUMMYFUNCTION("""COMPUTED_VALUE"""),"59416")</f>
        <v>59416</v>
      </c>
      <c r="AB364" s="85" t="str">
        <f>IFERROR(__xludf.DUMMYFUNCTION("""COMPUTED_VALUE"""),"3315092603920009")</f>
        <v>3315092603920009</v>
      </c>
      <c r="AC364" s="85" t="str">
        <f>IFERROR(__xludf.DUMMYFUNCTION("""COMPUTED_VALUE"""),"39.979.954.3-516.000")</f>
        <v>39.979.954.3-516.000</v>
      </c>
      <c r="AD364" s="85" t="str">
        <f>IFERROR(__xludf.DUMMYFUNCTION("""COMPUTED_VALUE"""),"CUM - AMT")</f>
        <v>CUM - AMT</v>
      </c>
      <c r="AE364" s="85" t="str">
        <f>IFERROR(__xludf.DUMMYFUNCTION("""COMPUTED_VALUE"""),"SUB AMINARTI")</f>
        <v>SUB AMINARTI</v>
      </c>
      <c r="AF364" s="85" t="str">
        <f>IFERROR(__xludf.DUMMYFUNCTION("""COMPUTED_VALUE"""),"082326608855")</f>
        <v>082326608855</v>
      </c>
      <c r="AG364" s="85"/>
      <c r="AH364" s="85" t="str">
        <f>IFERROR(__xludf.DUMMYFUNCTION("""COMPUTED_VALUE"""),"abbasyloket@gmail.com")</f>
        <v>abbasyloket@gmail.com</v>
      </c>
      <c r="AI364" s="85" t="str">
        <f>IFERROR(__xludf.DUMMYFUNCTION("""COMPUTED_VALUE"""),"59416S1")</f>
        <v>59416S1</v>
      </c>
      <c r="AJ364" s="85" t="str">
        <f>IFERROR(__xludf.DUMMYFUNCTION("""COMPUTED_VALUE"""),"676124ecdfa40ec34b0c2517")</f>
        <v>676124ecdfa40ec34b0c2517</v>
      </c>
      <c r="AK364" s="85" t="str">
        <f>IFERROR(__xludf.DUMMYFUNCTION("""COMPUTED_VALUE"""),"dm59416s1")</f>
        <v>dm59416s1</v>
      </c>
      <c r="AL364" s="85" t="str">
        <f>IFERROR(__xludf.DUMMYFUNCTION("""COMPUTED_VALUE"""),"#59416Pos")</f>
        <v>#59416Pos</v>
      </c>
      <c r="AM364" s="85" t="str">
        <f>IFERROR(__xludf.DUMMYFUNCTION("""COMPUTED_VALUE"""),"KANTOR REGIONAL IV SEMARANG 50004")</f>
        <v>KANTOR REGIONAL IV SEMARANG 50004</v>
      </c>
      <c r="AN364" s="85" t="str">
        <f>IFERROR(__xludf.DUMMYFUNCTION("""COMPUTED_VALUE"""),"KC JEPARA")</f>
        <v>KC JEPARA</v>
      </c>
      <c r="AO364" s="85" t="str">
        <f>IFERROR(__xludf.DUMMYFUNCTION("""COMPUTED_VALUE"""),"0412240097276")</f>
        <v>0412240097276</v>
      </c>
      <c r="AP364" s="85" t="str">
        <f>IFERROR(__xludf.DUMMYFUNCTION("""COMPUTED_VALUE"""),"04122400972760001")</f>
        <v>04122400972760001</v>
      </c>
      <c r="AQ364" s="93"/>
      <c r="AR364" s="85"/>
      <c r="AS364" s="85"/>
      <c r="AT364" s="85" t="str">
        <f>IFERROR(__xludf.DUMMYFUNCTION("""COMPUTED_VALUE"""),"-6.584635")</f>
        <v>-6.584635</v>
      </c>
      <c r="AU364" s="85" t="str">
        <f>IFERROR(__xludf.DUMMYFUNCTION("""COMPUTED_VALUE"""),"110.6635512")</f>
        <v>110.6635512</v>
      </c>
      <c r="AV364" s="85"/>
      <c r="AW364" s="85"/>
      <c r="AX364" s="85" t="str">
        <f>IFERROR(__xludf.DUMMYFUNCTION("""COMPUTED_VALUE"""),"ü")</f>
        <v>ü</v>
      </c>
      <c r="AY364" s="85"/>
      <c r="AZ364" s="85"/>
      <c r="BA364" s="85"/>
      <c r="BB364" s="85"/>
      <c r="BC364" s="85"/>
      <c r="BD364" s="85"/>
      <c r="BE364" s="85"/>
      <c r="BF364" s="85"/>
      <c r="BG364" s="85"/>
      <c r="BH364" s="85"/>
      <c r="BI364" s="85"/>
      <c r="BJ364" s="85"/>
      <c r="BK364" s="85"/>
      <c r="BL364" s="85"/>
      <c r="BM364" s="85"/>
      <c r="BN364" s="85"/>
      <c r="BO364" s="85"/>
      <c r="BP364" s="85"/>
      <c r="BQ364" s="85"/>
      <c r="BR364" s="85"/>
      <c r="BS364" s="85"/>
      <c r="BT364" s="85"/>
      <c r="BU364" s="85"/>
      <c r="BV364" s="85"/>
      <c r="BW364" s="85"/>
      <c r="BX364" s="85"/>
      <c r="BY364" s="85"/>
      <c r="BZ364" s="85"/>
      <c r="CA364" s="85"/>
      <c r="CB364" s="85"/>
      <c r="CC364" s="85"/>
      <c r="CD364" s="85"/>
      <c r="CE364" s="85"/>
      <c r="CF364" s="85"/>
      <c r="CG364" s="85"/>
      <c r="CH364" s="85"/>
      <c r="CI364" s="85"/>
      <c r="CJ364" s="85"/>
      <c r="CK364" s="2"/>
    </row>
    <row r="365" ht="12.75" customHeight="1">
      <c r="A365" s="80">
        <f>IFERROR(__xludf.DUMMYFUNCTION("""COMPUTED_VALUE"""),362.0)</f>
        <v>362</v>
      </c>
      <c r="B365" s="80"/>
      <c r="C365" s="80"/>
      <c r="D365" s="81"/>
      <c r="E365" s="82"/>
      <c r="F365" s="80"/>
      <c r="G365" s="81"/>
      <c r="H365" s="80"/>
      <c r="I365" s="80"/>
      <c r="J365" s="80"/>
      <c r="K365" s="80"/>
      <c r="L365" s="80"/>
      <c r="M365" s="80"/>
      <c r="N365" s="80" t="str">
        <f>IFERROR(__xludf.DUMMYFUNCTION("""COMPUTED_VALUE"""),"ü")</f>
        <v>ü</v>
      </c>
      <c r="O365" s="80"/>
      <c r="P365" s="80" t="str">
        <f>IFERROR(__xludf.DUMMYFUNCTION("""COMPUTED_VALUE"""),"MUCSPA63063PSIND")</f>
        <v>MUCSPA63063PSIND</v>
      </c>
      <c r="Q365" s="80" t="str">
        <f>IFERROR(__xludf.DUMMYFUNCTION("""COMPUTED_VALUE"""),"MUC Tegalturi")</f>
        <v>MUC Tegalturi</v>
      </c>
      <c r="R365" s="80" t="str">
        <f>IFERROR(__xludf.DUMMYFUNCTION("""COMPUTED_VALUE"""),"MUC Tegalturi")</f>
        <v>MUC Tegalturi</v>
      </c>
      <c r="S365" s="80" t="str">
        <f>IFERROR(__xludf.DUMMYFUNCTION("""COMPUTED_VALUE"""),"RIA PUTRA PAMUNGKAS")</f>
        <v>RIA PUTRA PAMUNGKAS</v>
      </c>
      <c r="T365" s="80" t="str">
        <f>IFERROR(__xludf.DUMMYFUNCTION("""COMPUTED_VALUE"""),"Warungboto UH IV 988B RT 34 RW 08, Umbulharjo, Yogyakarta. 55164")</f>
        <v>Warungboto UH IV 988B RT 34 RW 08, Umbulharjo, Yogyakarta. 55164</v>
      </c>
      <c r="U365" s="80" t="str">
        <f>IFERROR(__xludf.DUMMYFUNCTION("""COMPUTED_VALUE"""),"Jl. Tegalturi No.45")</f>
        <v>Jl. Tegalturi No.45</v>
      </c>
      <c r="V365" s="80"/>
      <c r="W365" s="80" t="str">
        <f>IFERROR(__xludf.DUMMYFUNCTION("""COMPUTED_VALUE"""),"Giwangan")</f>
        <v>Giwangan</v>
      </c>
      <c r="X365" s="80" t="str">
        <f>IFERROR(__xludf.DUMMYFUNCTION("""COMPUTED_VALUE"""),"Umbulharjo")</f>
        <v>Umbulharjo</v>
      </c>
      <c r="Y365" s="80" t="str">
        <f>IFERROR(__xludf.DUMMYFUNCTION("""COMPUTED_VALUE"""),"Yogyakarta")</f>
        <v>Yogyakarta</v>
      </c>
      <c r="Z365" s="80" t="str">
        <f>IFERROR(__xludf.DUMMYFUNCTION("""COMPUTED_VALUE"""),"YOGYAKARTA")</f>
        <v>YOGYAKARTA</v>
      </c>
      <c r="AA365" s="80" t="str">
        <f>IFERROR(__xludf.DUMMYFUNCTION("""COMPUTED_VALUE"""),"55163")</f>
        <v>55163</v>
      </c>
      <c r="AB365" s="80" t="str">
        <f>IFERROR(__xludf.DUMMYFUNCTION("""COMPUTED_VALUE"""),"3471130204930001")</f>
        <v>3471130204930001</v>
      </c>
      <c r="AC365" s="80" t="str">
        <f>IFERROR(__xludf.DUMMYFUNCTION("""COMPUTED_VALUE"""),"83.627.589.1-541.000")</f>
        <v>83.627.589.1-541.000</v>
      </c>
      <c r="AD365" s="80" t="str">
        <f>IFERROR(__xludf.DUMMYFUNCTION("""COMPUTED_VALUE"""),"CUM - PS - JLAD")</f>
        <v>CUM - PS - JLAD</v>
      </c>
      <c r="AE365" s="80" t="str">
        <f>IFERROR(__xludf.DUMMYFUNCTION("""COMPUTED_VALUE"""),"SUB YULI POS")</f>
        <v>SUB YULI POS</v>
      </c>
      <c r="AF365" s="80" t="str">
        <f>IFERROR(__xludf.DUMMYFUNCTION("""COMPUTED_VALUE"""),"08999153447")</f>
        <v>08999153447</v>
      </c>
      <c r="AG365" s="80"/>
      <c r="AH365" s="80" t="str">
        <f>IFERROR(__xludf.DUMMYFUNCTION("""COMPUTED_VALUE"""),"pudtrap@gmail.com")</f>
        <v>pudtrap@gmail.com</v>
      </c>
      <c r="AI365" s="80" t="str">
        <f>IFERROR(__xludf.DUMMYFUNCTION("""COMPUTED_VALUE"""),"55163S3")</f>
        <v>55163S3</v>
      </c>
      <c r="AJ365" s="80" t="str">
        <f>IFERROR(__xludf.DUMMYFUNCTION("""COMPUTED_VALUE"""),"67594650f092efcfb50a8ee7")</f>
        <v>67594650f092efcfb50a8ee7</v>
      </c>
      <c r="AK365" s="80" t="str">
        <f>IFERROR(__xludf.DUMMYFUNCTION("""COMPUTED_VALUE"""),"dm55163s3")</f>
        <v>dm55163s3</v>
      </c>
      <c r="AL365" s="80" t="str">
        <f>IFERROR(__xludf.DUMMYFUNCTION("""COMPUTED_VALUE"""),"#55163Pos")</f>
        <v>#55163Pos</v>
      </c>
      <c r="AM365" s="80" t="str">
        <f>IFERROR(__xludf.DUMMYFUNCTION("""COMPUTED_VALUE"""),"KANTOR REGIONAL IV SEMARANG 50004")</f>
        <v>KANTOR REGIONAL IV SEMARANG 50004</v>
      </c>
      <c r="AN365" s="80" t="str">
        <f>IFERROR(__xludf.DUMMYFUNCTION("""COMPUTED_VALUE"""),"KCU YOGYAKARTA 55000")</f>
        <v>KCU YOGYAKARTA 55000</v>
      </c>
      <c r="AO365" s="80" t="str">
        <f>IFERROR(__xludf.DUMMYFUNCTION("""COMPUTED_VALUE"""),"1607240043702")</f>
        <v>1607240043702</v>
      </c>
      <c r="AP365" s="80" t="str">
        <f>IFERROR(__xludf.DUMMYFUNCTION("""COMPUTED_VALUE"""),"16072400437020001")</f>
        <v>16072400437020001</v>
      </c>
      <c r="AQ365" s="83"/>
      <c r="AR365" s="80"/>
      <c r="AS365" s="80"/>
      <c r="AT365" s="80" t="str">
        <f>IFERROR(__xludf.DUMMYFUNCTION("""COMPUTED_VALUE"""),"-7.8254225")</f>
        <v>-7.8254225</v>
      </c>
      <c r="AU365" s="80" t="str">
        <f>IFERROR(__xludf.DUMMYFUNCTION("""COMPUTED_VALUE"""),"110.3853946")</f>
        <v>110.3853946</v>
      </c>
      <c r="AV365" s="80"/>
      <c r="AW365" s="80"/>
      <c r="AX365" s="80" t="str">
        <f>IFERROR(__xludf.DUMMYFUNCTION("""COMPUTED_VALUE"""),"ü")</f>
        <v>ü</v>
      </c>
      <c r="AY365" s="80"/>
      <c r="AZ365" s="80"/>
      <c r="BA365" s="80"/>
      <c r="BB365" s="80"/>
      <c r="BC365" s="80"/>
      <c r="BD365" s="80"/>
      <c r="BE365" s="80"/>
      <c r="BF365" s="80"/>
      <c r="BG365" s="80"/>
      <c r="BH365" s="80"/>
      <c r="BI365" s="80"/>
      <c r="BJ365" s="80"/>
      <c r="BK365" s="80"/>
      <c r="BL365" s="80"/>
      <c r="BM365" s="80"/>
      <c r="BN365" s="80"/>
      <c r="BO365" s="80"/>
      <c r="BP365" s="80"/>
      <c r="BQ365" s="80"/>
      <c r="BR365" s="80"/>
      <c r="BS365" s="80"/>
      <c r="BT365" s="80"/>
      <c r="BU365" s="80"/>
      <c r="BV365" s="80"/>
      <c r="BW365" s="80"/>
      <c r="BX365" s="80"/>
      <c r="BY365" s="80"/>
      <c r="BZ365" s="80"/>
      <c r="CA365" s="80"/>
      <c r="CB365" s="80"/>
      <c r="CC365" s="80"/>
      <c r="CD365" s="80"/>
      <c r="CE365" s="80"/>
      <c r="CF365" s="80"/>
      <c r="CG365" s="80"/>
      <c r="CH365" s="80"/>
      <c r="CI365" s="80"/>
      <c r="CJ365" s="80"/>
      <c r="CK365" s="2"/>
    </row>
    <row r="366" ht="12.75" customHeight="1">
      <c r="A366" s="85">
        <f>IFERROR(__xludf.DUMMYFUNCTION("""COMPUTED_VALUE"""),363.0)</f>
        <v>363</v>
      </c>
      <c r="B366" s="85"/>
      <c r="C366" s="85"/>
      <c r="D366" s="86"/>
      <c r="E366" s="88"/>
      <c r="F366" s="85"/>
      <c r="G366" s="86"/>
      <c r="H366" s="85"/>
      <c r="I366" s="85"/>
      <c r="J366" s="85"/>
      <c r="K366" s="85"/>
      <c r="L366" s="85"/>
      <c r="M366" s="85" t="str">
        <f>IFERROR(__xludf.DUMMYFUNCTION("""COMPUTED_VALUE"""),"ü")</f>
        <v>ü</v>
      </c>
      <c r="N366" s="85"/>
      <c r="O366" s="85"/>
      <c r="P366" s="85" t="str">
        <f>IFERROR(__xludf.DUMMYFUNCTION("""COMPUTED_VALUE"""),"53BSPA09246JBEEN")</f>
        <v>53BSPA09246JBEEN</v>
      </c>
      <c r="Q366" s="85" t="str">
        <f>IFERROR(__xludf.DUMMYFUNCTION("""COMPUTED_VALUE"""),"MUC Logistik Sukamulya 32")</f>
        <v>MUC Logistik Sukamulya 32</v>
      </c>
      <c r="R366" s="85" t="str">
        <f>IFERROR(__xludf.DUMMYFUNCTION("""COMPUTED_VALUE"""),"MUC Logistik Sukamulya 32")</f>
        <v>MUC Logistik Sukamulya 32</v>
      </c>
      <c r="S366" s="85" t="str">
        <f>IFERROR(__xludf.DUMMYFUNCTION("""COMPUTED_VALUE"""),"MOH. HARIS")</f>
        <v>MOH. HARIS</v>
      </c>
      <c r="T366" s="85" t="str">
        <f>IFERROR(__xludf.DUMMYFUNCTION("""COMPUTED_VALUE"""),"JL. KEMBANG VIII RT.005 RW.003 KEL. KWITANG KEC. SENEN KOTA ADM JAKARTA PUSAT DKI JAKARTA")</f>
        <v>JL. KEMBANG VIII RT.005 RW.003 KEL. KWITANG KEC. SENEN KOTA ADM JAKARTA PUSAT DKI JAKARTA</v>
      </c>
      <c r="U366" s="85" t="str">
        <f>IFERROR(__xludf.DUMMYFUNCTION("""COMPUTED_VALUE"""),"Jalan Sukamulya Raya no.32 rt.01 Rw.16")</f>
        <v>Jalan Sukamulya Raya no.32 rt.01 Rw.16</v>
      </c>
      <c r="V366" s="85"/>
      <c r="W366" s="85" t="str">
        <f>IFERROR(__xludf.DUMMYFUNCTION("""COMPUTED_VALUE"""),"SUKASARI")</f>
        <v>SUKASARI</v>
      </c>
      <c r="X366" s="85" t="str">
        <f>IFERROR(__xludf.DUMMYFUNCTION("""COMPUTED_VALUE"""),"TANGERANG")</f>
        <v>TANGERANG</v>
      </c>
      <c r="Y366" s="85" t="str">
        <f>IFERROR(__xludf.DUMMYFUNCTION("""COMPUTED_VALUE"""),"KOTA TANGERANG")</f>
        <v>KOTA TANGERANG</v>
      </c>
      <c r="Z366" s="85" t="str">
        <f>IFERROR(__xludf.DUMMYFUNCTION("""COMPUTED_VALUE"""),"BANTEN")</f>
        <v>BANTEN</v>
      </c>
      <c r="AA366" s="85" t="str">
        <f>IFERROR(__xludf.DUMMYFUNCTION("""COMPUTED_VALUE"""),"15118")</f>
        <v>15118</v>
      </c>
      <c r="AB366" s="85" t="str">
        <f>IFERROR(__xludf.DUMMYFUNCTION("""COMPUTED_VALUE"""),"3171041111870002")</f>
        <v>3171041111870002</v>
      </c>
      <c r="AC366" s="85" t="str">
        <f>IFERROR(__xludf.DUMMYFUNCTION("""COMPUTED_VALUE"""),"44.356.664.1-023.000")</f>
        <v>44.356.664.1-023.000</v>
      </c>
      <c r="AD366" s="85" t="str">
        <f>IFERROR(__xludf.DUMMYFUNCTION("""COMPUTED_VALUE"""),"CUM - EEN")</f>
        <v>CUM - EEN</v>
      </c>
      <c r="AE366" s="85" t="str">
        <f>IFERROR(__xludf.DUMMYFUNCTION("""COMPUTED_VALUE"""),"SUB EEN")</f>
        <v>SUB EEN</v>
      </c>
      <c r="AF366" s="85" t="str">
        <f>IFERROR(__xludf.DUMMYFUNCTION("""COMPUTED_VALUE"""),"085693373736")</f>
        <v>085693373736</v>
      </c>
      <c r="AG366" s="85"/>
      <c r="AH366" s="85" t="str">
        <f>IFERROR(__xludf.DUMMYFUNCTION("""COMPUTED_VALUE"""),"mohamadhrsjob@gmail.com")</f>
        <v>mohamadhrsjob@gmail.com</v>
      </c>
      <c r="AI366" s="85" t="str">
        <f>IFERROR(__xludf.DUMMYFUNCTION("""COMPUTED_VALUE"""),"15118S7")</f>
        <v>15118S7</v>
      </c>
      <c r="AJ366" s="85" t="str">
        <f>IFERROR(__xludf.DUMMYFUNCTION("""COMPUTED_VALUE"""),"6774169468027186f60d4969")</f>
        <v>6774169468027186f60d4969</v>
      </c>
      <c r="AK366" s="85" t="str">
        <f>IFERROR(__xludf.DUMMYFUNCTION("""COMPUTED_VALUE"""),"dm15118s7")</f>
        <v>dm15118s7</v>
      </c>
      <c r="AL366" s="85" t="str">
        <f>IFERROR(__xludf.DUMMYFUNCTION("""COMPUTED_VALUE"""),"#15118Pos")</f>
        <v>#15118Pos</v>
      </c>
      <c r="AM366" s="85" t="str">
        <f>IFERROR(__xludf.DUMMYFUNCTION("""COMPUTED_VALUE"""),"KANTOR REGIONAL II JAKARTA 10004")</f>
        <v>KANTOR REGIONAL II JAKARTA 10004</v>
      </c>
      <c r="AN366" s="85" t="str">
        <f>IFERROR(__xludf.DUMMYFUNCTION("""COMPUTED_VALUE"""),"KCU TANGERANG 15000")</f>
        <v>KCU TANGERANG 15000</v>
      </c>
      <c r="AO366" s="85" t="str">
        <f>IFERROR(__xludf.DUMMYFUNCTION("""COMPUTED_VALUE"""),"1219001452272")</f>
        <v>1219001452272</v>
      </c>
      <c r="AP366" s="85" t="str">
        <f>IFERROR(__xludf.DUMMYFUNCTION("""COMPUTED_VALUE"""),"12190014522720003")</f>
        <v>12190014522720003</v>
      </c>
      <c r="AQ366" s="93"/>
      <c r="AR366" s="85"/>
      <c r="AS366" s="85"/>
      <c r="AT366" s="85" t="str">
        <f>IFERROR(__xludf.DUMMYFUNCTION("""COMPUTED_VALUE"""),"-6.181882")</f>
        <v>-6.181882</v>
      </c>
      <c r="AU366" s="85" t="str">
        <f>IFERROR(__xludf.DUMMYFUNCTION("""COMPUTED_VALUE"""),"106.6316067")</f>
        <v>106.6316067</v>
      </c>
      <c r="AV366" s="85"/>
      <c r="AW366" s="85"/>
      <c r="AX366" s="85" t="str">
        <f>IFERROR(__xludf.DUMMYFUNCTION("""COMPUTED_VALUE"""),"ü")</f>
        <v>ü</v>
      </c>
      <c r="AY366" s="85"/>
      <c r="AZ366" s="85"/>
      <c r="BA366" s="85"/>
      <c r="BB366" s="85"/>
      <c r="BC366" s="85"/>
      <c r="BD366" s="85"/>
      <c r="BE366" s="85"/>
      <c r="BF366" s="85"/>
      <c r="BG366" s="85"/>
      <c r="BH366" s="85"/>
      <c r="BI366" s="85"/>
      <c r="BJ366" s="85"/>
      <c r="BK366" s="85"/>
      <c r="BL366" s="85"/>
      <c r="BM366" s="85"/>
      <c r="BN366" s="85"/>
      <c r="BO366" s="85"/>
      <c r="BP366" s="85"/>
      <c r="BQ366" s="85"/>
      <c r="BR366" s="85"/>
      <c r="BS366" s="85"/>
      <c r="BT366" s="85"/>
      <c r="BU366" s="85"/>
      <c r="BV366" s="85"/>
      <c r="BW366" s="85"/>
      <c r="BX366" s="85"/>
      <c r="BY366" s="85"/>
      <c r="BZ366" s="85"/>
      <c r="CA366" s="85"/>
      <c r="CB366" s="85"/>
      <c r="CC366" s="85"/>
      <c r="CD366" s="85"/>
      <c r="CE366" s="85"/>
      <c r="CF366" s="85"/>
      <c r="CG366" s="85"/>
      <c r="CH366" s="85"/>
      <c r="CI366" s="85"/>
      <c r="CJ366" s="85"/>
      <c r="CK366" s="2"/>
    </row>
    <row r="367" ht="12.75" customHeight="1">
      <c r="A367" s="80">
        <f>IFERROR(__xludf.DUMMYFUNCTION("""COMPUTED_VALUE"""),364.0)</f>
        <v>364</v>
      </c>
      <c r="B367" s="80"/>
      <c r="C367" s="80"/>
      <c r="D367" s="81"/>
      <c r="E367" s="82"/>
      <c r="F367" s="80"/>
      <c r="G367" s="81"/>
      <c r="H367" s="80"/>
      <c r="I367" s="80"/>
      <c r="J367" s="80"/>
      <c r="K367" s="80"/>
      <c r="L367" s="80"/>
      <c r="M367" s="80" t="str">
        <f>IFERROR(__xludf.DUMMYFUNCTION("""COMPUTED_VALUE"""),"ü")</f>
        <v>ü</v>
      </c>
      <c r="N367" s="80"/>
      <c r="O367" s="80"/>
      <c r="P367" s="80" t="str">
        <f>IFERROR(__xludf.DUMMYFUNCTION("""COMPUTED_VALUE"""),"53BSPA04090JBCUM")</f>
        <v>53BSPA04090JBCUM</v>
      </c>
      <c r="Q367" s="80" t="str">
        <f>IFERROR(__xludf.DUMMYFUNCTION("""COMPUTED_VALUE"""),"MUC ANNA EXPRESS")</f>
        <v>MUC ANNA EXPRESS</v>
      </c>
      <c r="R367" s="80" t="str">
        <f>IFERROR(__xludf.DUMMYFUNCTION("""COMPUTED_VALUE"""),"MUC ANNA EXPRESS")</f>
        <v>MUC ANNA EXPRESS</v>
      </c>
      <c r="S367" s="80" t="str">
        <f>IFERROR(__xludf.DUMMYFUNCTION("""COMPUTED_VALUE"""),"Anwar Hadi ")</f>
        <v>Anwar Hadi </v>
      </c>
      <c r="T367" s="80" t="str">
        <f>IFERROR(__xludf.DUMMYFUNCTION("""COMPUTED_VALUE"""),"PERUMAHAN PURI ANGGREK BLOK F2 RT.005 RW.008 KEL. TERITIH KEC. WALANTAKA KOTA SERANG BANTEN")</f>
        <v>PERUMAHAN PURI ANGGREK BLOK F2 RT.005 RW.008 KEL. TERITIH KEC. WALANTAKA KOTA SERANG BANTEN</v>
      </c>
      <c r="U367" s="80" t="str">
        <f>IFERROR(__xludf.DUMMYFUNCTION("""COMPUTED_VALUE"""),"JL. KOMPLEK PADASUKA INDAH NO.A1")</f>
        <v>JL. KOMPLEK PADASUKA INDAH NO.A1</v>
      </c>
      <c r="V367" s="80"/>
      <c r="W367" s="80" t="str">
        <f>IFERROR(__xludf.DUMMYFUNCTION("""COMPUTED_VALUE"""),"Padasuka")</f>
        <v>Padasuka</v>
      </c>
      <c r="X367" s="80" t="str">
        <f>IFERROR(__xludf.DUMMYFUNCTION("""COMPUTED_VALUE"""),"Cimahi tengah ")</f>
        <v>Cimahi tengah </v>
      </c>
      <c r="Y367" s="80" t="str">
        <f>IFERROR(__xludf.DUMMYFUNCTION("""COMPUTED_VALUE"""),"Cimahi ")</f>
        <v>Cimahi </v>
      </c>
      <c r="Z367" s="80" t="str">
        <f>IFERROR(__xludf.DUMMYFUNCTION("""COMPUTED_VALUE"""),"Jawa barat ")</f>
        <v>Jawa barat </v>
      </c>
      <c r="AA367" s="80" t="str">
        <f>IFERROR(__xludf.DUMMYFUNCTION("""COMPUTED_VALUE"""),"40526")</f>
        <v>40526</v>
      </c>
      <c r="AB367" s="80" t="str">
        <f>IFERROR(__xludf.DUMMYFUNCTION("""COMPUTED_VALUE"""),"3672052303880004")</f>
        <v>3672052303880004</v>
      </c>
      <c r="AC367" s="80" t="str">
        <f>IFERROR(__xludf.DUMMYFUNCTION("""COMPUTED_VALUE"""),"57.209.968.7.421.000")</f>
        <v>57.209.968.7.421.000</v>
      </c>
      <c r="AD367" s="80" t="str">
        <f>IFERROR(__xludf.DUMMYFUNCTION("""COMPUTED_VALUE"""),"CUM")</f>
        <v>CUM</v>
      </c>
      <c r="AE367" s="80" t="str">
        <f>IFERROR(__xludf.DUMMYFUNCTION("""COMPUTED_VALUE"""),"CUM")</f>
        <v>CUM</v>
      </c>
      <c r="AF367" s="80" t="str">
        <f>IFERROR(__xludf.DUMMYFUNCTION("""COMPUTED_VALUE"""),"08815527932")</f>
        <v>08815527932</v>
      </c>
      <c r="AG367" s="80"/>
      <c r="AH367" s="80" t="str">
        <f>IFERROR(__xludf.DUMMYFUNCTION("""COMPUTED_VALUE"""),"sandrianabila2328@gmail.com")</f>
        <v>sandrianabila2328@gmail.com</v>
      </c>
      <c r="AI367" s="80" t="str">
        <f>IFERROR(__xludf.DUMMYFUNCTION("""COMPUTED_VALUE"""),"40526S4")</f>
        <v>40526S4</v>
      </c>
      <c r="AJ367" s="80" t="str">
        <f>IFERROR(__xludf.DUMMYFUNCTION("""COMPUTED_VALUE"""),"678a250b8b395cc6d906cb09")</f>
        <v>678a250b8b395cc6d906cb09</v>
      </c>
      <c r="AK367" s="80" t="str">
        <f>IFERROR(__xludf.DUMMYFUNCTION("""COMPUTED_VALUE"""),"dm40526s4")</f>
        <v>dm40526s4</v>
      </c>
      <c r="AL367" s="80" t="str">
        <f>IFERROR(__xludf.DUMMYFUNCTION("""COMPUTED_VALUE"""),"#40526Pos")</f>
        <v>#40526Pos</v>
      </c>
      <c r="AM367" s="80" t="str">
        <f>IFERROR(__xludf.DUMMYFUNCTION("""COMPUTED_VALUE"""),"KANTOR REGIONAL III BANDUNG 40004")</f>
        <v>KANTOR REGIONAL III BANDUNG 40004</v>
      </c>
      <c r="AN367" s="80" t="str">
        <f>IFERROR(__xludf.DUMMYFUNCTION("""COMPUTED_VALUE"""),"KC CIMAHI ")</f>
        <v>KC CIMAHI </v>
      </c>
      <c r="AO367" s="80" t="str">
        <f>IFERROR(__xludf.DUMMYFUNCTION("""COMPUTED_VALUE"""),"0912240081963")</f>
        <v>0912240081963</v>
      </c>
      <c r="AP367" s="80" t="str">
        <f>IFERROR(__xludf.DUMMYFUNCTION("""COMPUTED_VALUE"""),"09122400819630001")</f>
        <v>09122400819630001</v>
      </c>
      <c r="AQ367" s="83"/>
      <c r="AR367" s="80"/>
      <c r="AS367" s="80"/>
      <c r="AT367" s="80" t="str">
        <f>IFERROR(__xludf.DUMMYFUNCTION("""COMPUTED_VALUE"""),"-6.869607")</f>
        <v>-6.869607</v>
      </c>
      <c r="AU367" s="80" t="str">
        <f>IFERROR(__xludf.DUMMYFUNCTION("""COMPUTED_VALUE"""),"107.5259014")</f>
        <v>107.5259014</v>
      </c>
      <c r="AV367" s="80"/>
      <c r="AW367" s="80"/>
      <c r="AX367" s="80" t="str">
        <f>IFERROR(__xludf.DUMMYFUNCTION("""COMPUTED_VALUE"""),"ü")</f>
        <v>ü</v>
      </c>
      <c r="AY367" s="80"/>
      <c r="AZ367" s="80"/>
      <c r="BA367" s="80"/>
      <c r="BB367" s="80"/>
      <c r="BC367" s="80"/>
      <c r="BD367" s="80"/>
      <c r="BE367" s="80"/>
      <c r="BF367" s="80"/>
      <c r="BG367" s="80"/>
      <c r="BH367" s="80"/>
      <c r="BI367" s="80"/>
      <c r="BJ367" s="80"/>
      <c r="BK367" s="80"/>
      <c r="BL367" s="80"/>
      <c r="BM367" s="80"/>
      <c r="BN367" s="80"/>
      <c r="BO367" s="80"/>
      <c r="BP367" s="80"/>
      <c r="BQ367" s="80"/>
      <c r="BR367" s="80"/>
      <c r="BS367" s="80"/>
      <c r="BT367" s="80"/>
      <c r="BU367" s="80"/>
      <c r="BV367" s="80"/>
      <c r="BW367" s="80"/>
      <c r="BX367" s="80"/>
      <c r="BY367" s="80"/>
      <c r="BZ367" s="80"/>
      <c r="CA367" s="80"/>
      <c r="CB367" s="80"/>
      <c r="CC367" s="80"/>
      <c r="CD367" s="80"/>
      <c r="CE367" s="80"/>
      <c r="CF367" s="80"/>
      <c r="CG367" s="80"/>
      <c r="CH367" s="80"/>
      <c r="CI367" s="80"/>
      <c r="CJ367" s="80"/>
      <c r="CK367" s="2"/>
    </row>
    <row r="368" ht="12.75" customHeight="1">
      <c r="A368" s="85">
        <f>IFERROR(__xludf.DUMMYFUNCTION("""COMPUTED_VALUE"""),365.0)</f>
        <v>365</v>
      </c>
      <c r="B368" s="85"/>
      <c r="C368" s="85"/>
      <c r="D368" s="86"/>
      <c r="E368" s="88"/>
      <c r="F368" s="85"/>
      <c r="G368" s="86"/>
      <c r="H368" s="85"/>
      <c r="I368" s="85"/>
      <c r="J368" s="85"/>
      <c r="K368" s="85"/>
      <c r="L368" s="85"/>
      <c r="M368" s="85" t="str">
        <f>IFERROR(__xludf.DUMMYFUNCTION("""COMPUTED_VALUE"""),"ü")</f>
        <v>ü</v>
      </c>
      <c r="N368" s="85"/>
      <c r="O368" s="85"/>
      <c r="P368" s="85" t="str">
        <f>IFERROR(__xludf.DUMMYFUNCTION("""COMPUTED_VALUE"""),"53BSPA09268JBEEN")</f>
        <v>53BSPA09268JBEEN</v>
      </c>
      <c r="Q368" s="85" t="str">
        <f>IFERROR(__xludf.DUMMYFUNCTION("""COMPUTED_VALUE"""),"MUC Soebandi")</f>
        <v>MUC Soebandi</v>
      </c>
      <c r="R368" s="85" t="str">
        <f>IFERROR(__xludf.DUMMYFUNCTION("""COMPUTED_VALUE"""),"MUC Soebandi")</f>
        <v>MUC Soebandi</v>
      </c>
      <c r="S368" s="85" t="str">
        <f>IFERROR(__xludf.DUMMYFUNCTION("""COMPUTED_VALUE"""),"Ferdi Setiadi")</f>
        <v>Ferdi Setiadi</v>
      </c>
      <c r="T368" s="85" t="str">
        <f>IFERROR(__xludf.DUMMYFUNCTION("""COMPUTED_VALUE"""),"JL. SOEBANDI RT.005 RW.005 KEL. PABUARAN KEC. KARAWACI KOTA TANGERANG")</f>
        <v>JL. SOEBANDI RT.005 RW.005 KEL. PABUARAN KEC. KARAWACI KOTA TANGERANG</v>
      </c>
      <c r="U368" s="85" t="str">
        <f>IFERROR(__xludf.DUMMYFUNCTION("""COMPUTED_VALUE"""),"Jl. Soebandi No. 2 Rt. 005/005")</f>
        <v>Jl. Soebandi No. 2 Rt. 005/005</v>
      </c>
      <c r="V368" s="85"/>
      <c r="W368" s="85" t="str">
        <f>IFERROR(__xludf.DUMMYFUNCTION("""COMPUTED_VALUE"""),"Pabuaran")</f>
        <v>Pabuaran</v>
      </c>
      <c r="X368" s="85" t="str">
        <f>IFERROR(__xludf.DUMMYFUNCTION("""COMPUTED_VALUE"""),"Karawaci")</f>
        <v>Karawaci</v>
      </c>
      <c r="Y368" s="85" t="str">
        <f>IFERROR(__xludf.DUMMYFUNCTION("""COMPUTED_VALUE"""),"Kota Tangerang")</f>
        <v>Kota Tangerang</v>
      </c>
      <c r="Z368" s="85" t="str">
        <f>IFERROR(__xludf.DUMMYFUNCTION("""COMPUTED_VALUE"""),"Banten")</f>
        <v>Banten</v>
      </c>
      <c r="AA368" s="85" t="str">
        <f>IFERROR(__xludf.DUMMYFUNCTION("""COMPUTED_VALUE"""),"15114")</f>
        <v>15114</v>
      </c>
      <c r="AB368" s="85" t="str">
        <f>IFERROR(__xludf.DUMMYFUNCTION("""COMPUTED_VALUE"""),"3671071204830009")</f>
        <v>3671071204830009</v>
      </c>
      <c r="AC368" s="85" t="str">
        <f>IFERROR(__xludf.DUMMYFUNCTION("""COMPUTED_VALUE"""),"35.304.565.1-402.000")</f>
        <v>35.304.565.1-402.000</v>
      </c>
      <c r="AD368" s="85" t="str">
        <f>IFERROR(__xludf.DUMMYFUNCTION("""COMPUTED_VALUE"""),"CUM - EEN")</f>
        <v>CUM - EEN</v>
      </c>
      <c r="AE368" s="85" t="str">
        <f>IFERROR(__xludf.DUMMYFUNCTION("""COMPUTED_VALUE"""),"SUB EEN")</f>
        <v>SUB EEN</v>
      </c>
      <c r="AF368" s="85" t="str">
        <f>IFERROR(__xludf.DUMMYFUNCTION("""COMPUTED_VALUE"""),"082260059128")</f>
        <v>082260059128</v>
      </c>
      <c r="AG368" s="85"/>
      <c r="AH368" s="85" t="str">
        <f>IFERROR(__xludf.DUMMYFUNCTION("""COMPUTED_VALUE"""),"Ferdi.rafiudin@gmail.com")</f>
        <v>Ferdi.rafiudin@gmail.com</v>
      </c>
      <c r="AI368" s="85" t="str">
        <f>IFERROR(__xludf.DUMMYFUNCTION("""COMPUTED_VALUE"""),"15114S2")</f>
        <v>15114S2</v>
      </c>
      <c r="AJ368" s="85" t="str">
        <f>IFERROR(__xludf.DUMMYFUNCTION("""COMPUTED_VALUE"""),"6774055a7d64feb6950d53c0")</f>
        <v>6774055a7d64feb6950d53c0</v>
      </c>
      <c r="AK368" s="85" t="str">
        <f>IFERROR(__xludf.DUMMYFUNCTION("""COMPUTED_VALUE"""),"dm15114s2")</f>
        <v>dm15114s2</v>
      </c>
      <c r="AL368" s="85" t="str">
        <f>IFERROR(__xludf.DUMMYFUNCTION("""COMPUTED_VALUE"""),"#15114Pos")</f>
        <v>#15114Pos</v>
      </c>
      <c r="AM368" s="85" t="str">
        <f>IFERROR(__xludf.DUMMYFUNCTION("""COMPUTED_VALUE"""),"KANTOR REGIONAL II JAKARTA 10004")</f>
        <v>KANTOR REGIONAL II JAKARTA 10004</v>
      </c>
      <c r="AN368" s="85" t="str">
        <f>IFERROR(__xludf.DUMMYFUNCTION("""COMPUTED_VALUE"""),"KCU TANGERANG 15000")</f>
        <v>KCU TANGERANG 15000</v>
      </c>
      <c r="AO368" s="85" t="str">
        <f>IFERROR(__xludf.DUMMYFUNCTION("""COMPUTED_VALUE"""),"9120304990966")</f>
        <v>9120304990966</v>
      </c>
      <c r="AP368" s="85" t="str">
        <f>IFERROR(__xludf.DUMMYFUNCTION("""COMPUTED_VALUE"""),"91203049909660001")</f>
        <v>91203049909660001</v>
      </c>
      <c r="AQ368" s="93"/>
      <c r="AR368" s="85"/>
      <c r="AS368" s="85"/>
      <c r="AT368" s="85" t="str">
        <f>IFERROR(__xludf.DUMMYFUNCTION("""COMPUTED_VALUE"""),"-6.180018")</f>
        <v>-6.180018</v>
      </c>
      <c r="AU368" s="85" t="str">
        <f>IFERROR(__xludf.DUMMYFUNCTION("""COMPUTED_VALUE"""),"106.613799")</f>
        <v>106.613799</v>
      </c>
      <c r="AV368" s="85"/>
      <c r="AW368" s="85"/>
      <c r="AX368" s="85" t="str">
        <f>IFERROR(__xludf.DUMMYFUNCTION("""COMPUTED_VALUE"""),"ü")</f>
        <v>ü</v>
      </c>
      <c r="AY368" s="85"/>
      <c r="AZ368" s="85"/>
      <c r="BA368" s="85"/>
      <c r="BB368" s="85"/>
      <c r="BC368" s="85"/>
      <c r="BD368" s="85"/>
      <c r="BE368" s="85"/>
      <c r="BF368" s="85"/>
      <c r="BG368" s="85"/>
      <c r="BH368" s="85"/>
      <c r="BI368" s="85"/>
      <c r="BJ368" s="85"/>
      <c r="BK368" s="85"/>
      <c r="BL368" s="85"/>
      <c r="BM368" s="85"/>
      <c r="BN368" s="85"/>
      <c r="BO368" s="85"/>
      <c r="BP368" s="85"/>
      <c r="BQ368" s="85"/>
      <c r="BR368" s="85"/>
      <c r="BS368" s="85"/>
      <c r="BT368" s="85"/>
      <c r="BU368" s="85"/>
      <c r="BV368" s="85"/>
      <c r="BW368" s="85"/>
      <c r="BX368" s="85"/>
      <c r="BY368" s="85"/>
      <c r="BZ368" s="85"/>
      <c r="CA368" s="85"/>
      <c r="CB368" s="85"/>
      <c r="CC368" s="85"/>
      <c r="CD368" s="85"/>
      <c r="CE368" s="85"/>
      <c r="CF368" s="85"/>
      <c r="CG368" s="85"/>
      <c r="CH368" s="85"/>
      <c r="CI368" s="85"/>
      <c r="CJ368" s="85"/>
      <c r="CK368" s="2"/>
    </row>
    <row r="369" ht="12.75" customHeight="1">
      <c r="A369" s="80">
        <f>IFERROR(__xludf.DUMMYFUNCTION("""COMPUTED_VALUE"""),366.0)</f>
        <v>366</v>
      </c>
      <c r="B369" s="80"/>
      <c r="C369" s="80"/>
      <c r="D369" s="81"/>
      <c r="E369" s="82"/>
      <c r="F369" s="80"/>
      <c r="G369" s="81"/>
      <c r="H369" s="80"/>
      <c r="I369" s="80"/>
      <c r="J369" s="80"/>
      <c r="K369" s="80"/>
      <c r="L369" s="80"/>
      <c r="M369" s="80"/>
      <c r="N369" s="80" t="str">
        <f>IFERROR(__xludf.DUMMYFUNCTION("""COMPUTED_VALUE"""),"ü")</f>
        <v>ü</v>
      </c>
      <c r="O369" s="80"/>
      <c r="P369" s="80" t="str">
        <f>IFERROR(__xludf.DUMMYFUNCTION("""COMPUTED_VALUE"""),"MUCSPA63065PSIND")</f>
        <v>MUCSPA63065PSIND</v>
      </c>
      <c r="Q369" s="80" t="str">
        <f>IFERROR(__xludf.DUMMYFUNCTION("""COMPUTED_VALUE"""),"MUC PAKET BESAR JOGJA")</f>
        <v>MUC PAKET BESAR JOGJA</v>
      </c>
      <c r="R369" s="80" t="str">
        <f>IFERROR(__xludf.DUMMYFUNCTION("""COMPUTED_VALUE"""),"MUC PAKET BESAR JOGJA")</f>
        <v>MUC PAKET BESAR JOGJA</v>
      </c>
      <c r="S369" s="80" t="str">
        <f>IFERROR(__xludf.DUMMYFUNCTION("""COMPUTED_VALUE"""),"Oky Ragil Nugroho")</f>
        <v>Oky Ragil Nugroho</v>
      </c>
      <c r="T369" s="80" t="str">
        <f>IFERROR(__xludf.DUMMYFUNCTION("""COMPUTED_VALUE"""),"NGABEAN RT:04 RW:21, NOGOTIRTO, GAMPING, SLEMAN, DIY")</f>
        <v>NGABEAN RT:04 RW:21, NOGOTIRTO, GAMPING, SLEMAN, DIY</v>
      </c>
      <c r="U369" s="80" t="str">
        <f>IFERROR(__xludf.DUMMYFUNCTION("""COMPUTED_VALUE"""),"JL.TAMANTIRTO NO.C5, BRAJAN")</f>
        <v>JL.TAMANTIRTO NO.C5, BRAJAN</v>
      </c>
      <c r="V369" s="80"/>
      <c r="W369" s="80" t="str">
        <f>IFERROR(__xludf.DUMMYFUNCTION("""COMPUTED_VALUE"""),"TAMANTIRTO")</f>
        <v>TAMANTIRTO</v>
      </c>
      <c r="X369" s="80" t="str">
        <f>IFERROR(__xludf.DUMMYFUNCTION("""COMPUTED_VALUE"""),"KASIHAN")</f>
        <v>KASIHAN</v>
      </c>
      <c r="Y369" s="80" t="str">
        <f>IFERROR(__xludf.DUMMYFUNCTION("""COMPUTED_VALUE"""),"BANTUL")</f>
        <v>BANTUL</v>
      </c>
      <c r="Z369" s="80" t="str">
        <f>IFERROR(__xludf.DUMMYFUNCTION("""COMPUTED_VALUE"""),"YOGYAKARTA")</f>
        <v>YOGYAKARTA</v>
      </c>
      <c r="AA369" s="80" t="str">
        <f>IFERROR(__xludf.DUMMYFUNCTION("""COMPUTED_VALUE"""),"55183")</f>
        <v>55183</v>
      </c>
      <c r="AB369" s="80" t="str">
        <f>IFERROR(__xludf.DUMMYFUNCTION("""COMPUTED_VALUE"""),"3404012310890005")</f>
        <v>3404012310890005</v>
      </c>
      <c r="AC369" s="80" t="str">
        <f>IFERROR(__xludf.DUMMYFUNCTION("""COMPUTED_VALUE"""),"43.673.475.0-542.000")</f>
        <v>43.673.475.0-542.000</v>
      </c>
      <c r="AD369" s="80" t="str">
        <f>IFERROR(__xludf.DUMMYFUNCTION("""COMPUTED_VALUE"""),"CUM - PS - JLAD")</f>
        <v>CUM - PS - JLAD</v>
      </c>
      <c r="AE369" s="80" t="str">
        <f>IFERROR(__xludf.DUMMYFUNCTION("""COMPUTED_VALUE"""),"SUB YULI POS")</f>
        <v>SUB YULI POS</v>
      </c>
      <c r="AF369" s="80" t="str">
        <f>IFERROR(__xludf.DUMMYFUNCTION("""COMPUTED_VALUE"""),"081228479949")</f>
        <v>081228479949</v>
      </c>
      <c r="AG369" s="80"/>
      <c r="AH369" s="80" t="str">
        <f>IFERROR(__xludf.DUMMYFUNCTION("""COMPUTED_VALUE"""),"paketbesarjogja@gmail.com")</f>
        <v>paketbesarjogja@gmail.com</v>
      </c>
      <c r="AI369" s="80" t="str">
        <f>IFERROR(__xludf.DUMMYFUNCTION("""COMPUTED_VALUE"""),"55799SF")</f>
        <v>55799SF</v>
      </c>
      <c r="AJ369" s="80" t="str">
        <f>IFERROR(__xludf.DUMMYFUNCTION("""COMPUTED_VALUE"""),"675fcb1b5e24548c930a996e")</f>
        <v>675fcb1b5e24548c930a996e</v>
      </c>
      <c r="AK369" s="80" t="str">
        <f>IFERROR(__xludf.DUMMYFUNCTION("""COMPUTED_VALUE"""),"dm55799sf")</f>
        <v>dm55799sf</v>
      </c>
      <c r="AL369" s="80" t="str">
        <f>IFERROR(__xludf.DUMMYFUNCTION("""COMPUTED_VALUE"""),"#55799Pos")</f>
        <v>#55799Pos</v>
      </c>
      <c r="AM369" s="80" t="str">
        <f>IFERROR(__xludf.DUMMYFUNCTION("""COMPUTED_VALUE"""),"KANTOR REGIONAL IV SEMARANG 50004")</f>
        <v>KANTOR REGIONAL IV SEMARANG 50004</v>
      </c>
      <c r="AN369" s="80" t="str">
        <f>IFERROR(__xludf.DUMMYFUNCTION("""COMPUTED_VALUE"""),"KCU YOGYAKARTA 55000")</f>
        <v>KCU YOGYAKARTA 55000</v>
      </c>
      <c r="AO369" s="80" t="str">
        <f>IFERROR(__xludf.DUMMYFUNCTION("""COMPUTED_VALUE"""),"1112240100885")</f>
        <v>1112240100885</v>
      </c>
      <c r="AP369" s="80" t="str">
        <f>IFERROR(__xludf.DUMMYFUNCTION("""COMPUTED_VALUE"""),"11122401008850001")</f>
        <v>11122401008850001</v>
      </c>
      <c r="AQ369" s="83"/>
      <c r="AR369" s="80"/>
      <c r="AS369" s="80"/>
      <c r="AT369" s="80" t="str">
        <f>IFERROR(__xludf.DUMMYFUNCTION("""COMPUTED_VALUE"""),"-7.820757")</f>
        <v>-7.820757</v>
      </c>
      <c r="AU369" s="80" t="str">
        <f>IFERROR(__xludf.DUMMYFUNCTION("""COMPUTED_VALUE"""),"110.328166")</f>
        <v>110.328166</v>
      </c>
      <c r="AV369" s="80"/>
      <c r="AW369" s="80"/>
      <c r="AX369" s="80" t="str">
        <f>IFERROR(__xludf.DUMMYFUNCTION("""COMPUTED_VALUE"""),"ü")</f>
        <v>ü</v>
      </c>
      <c r="AY369" s="80"/>
      <c r="AZ369" s="80"/>
      <c r="BA369" s="80"/>
      <c r="BB369" s="80"/>
      <c r="BC369" s="80"/>
      <c r="BD369" s="80"/>
      <c r="BE369" s="80"/>
      <c r="BF369" s="80"/>
      <c r="BG369" s="80"/>
      <c r="BH369" s="80"/>
      <c r="BI369" s="80"/>
      <c r="BJ369" s="80"/>
      <c r="BK369" s="80"/>
      <c r="BL369" s="80"/>
      <c r="BM369" s="80"/>
      <c r="BN369" s="80"/>
      <c r="BO369" s="80"/>
      <c r="BP369" s="80"/>
      <c r="BQ369" s="80"/>
      <c r="BR369" s="80"/>
      <c r="BS369" s="80"/>
      <c r="BT369" s="80"/>
      <c r="BU369" s="80"/>
      <c r="BV369" s="80"/>
      <c r="BW369" s="80"/>
      <c r="BX369" s="80"/>
      <c r="BY369" s="80"/>
      <c r="BZ369" s="80"/>
      <c r="CA369" s="80"/>
      <c r="CB369" s="80"/>
      <c r="CC369" s="80"/>
      <c r="CD369" s="80"/>
      <c r="CE369" s="80"/>
      <c r="CF369" s="80"/>
      <c r="CG369" s="80"/>
      <c r="CH369" s="80"/>
      <c r="CI369" s="80"/>
      <c r="CJ369" s="80"/>
      <c r="CK369" s="2"/>
    </row>
    <row r="370" ht="12.75" customHeight="1">
      <c r="A370" s="85">
        <f>IFERROR(__xludf.DUMMYFUNCTION("""COMPUTED_VALUE"""),367.0)</f>
        <v>367</v>
      </c>
      <c r="B370" s="85"/>
      <c r="C370" s="85"/>
      <c r="D370" s="86"/>
      <c r="E370" s="88"/>
      <c r="F370" s="85"/>
      <c r="G370" s="86"/>
      <c r="H370" s="85"/>
      <c r="I370" s="85"/>
      <c r="J370" s="85"/>
      <c r="K370" s="85"/>
      <c r="L370" s="85"/>
      <c r="M370" s="85" t="str">
        <f>IFERROR(__xludf.DUMMYFUNCTION("""COMPUTED_VALUE"""),"ü")</f>
        <v>ü</v>
      </c>
      <c r="N370" s="85"/>
      <c r="O370" s="85"/>
      <c r="P370" s="85" t="str">
        <f>IFERROR(__xludf.DUMMYFUNCTION("""COMPUTED_VALUE"""),"52BSPA07713JTYNA")</f>
        <v>52BSPA07713JTYNA</v>
      </c>
      <c r="Q370" s="85" t="str">
        <f>IFERROR(__xludf.DUMMYFUNCTION("""COMPUTED_VALUE"""),"MUC AdA POST")</f>
        <v>MUC AdA POST</v>
      </c>
      <c r="R370" s="85" t="str">
        <f>IFERROR(__xludf.DUMMYFUNCTION("""COMPUTED_VALUE"""),"MUC AdA POST")</f>
        <v>MUC AdA POST</v>
      </c>
      <c r="S370" s="85" t="str">
        <f>IFERROR(__xludf.DUMMYFUNCTION("""COMPUTED_VALUE"""),"TRI ISTANTO")</f>
        <v>TRI ISTANTO</v>
      </c>
      <c r="T370" s="85" t="str">
        <f>IFERROR(__xludf.DUMMYFUNCTION("""COMPUTED_VALUE"""),"JANTRAN RT.024 RW.005")</f>
        <v>JANTRAN RT.024 RW.005</v>
      </c>
      <c r="U370" s="85" t="str">
        <f>IFERROR(__xludf.DUMMYFUNCTION("""COMPUTED_VALUE"""),"Jantran Rt 26/Rw 05")</f>
        <v>Jantran Rt 26/Rw 05</v>
      </c>
      <c r="V370" s="85"/>
      <c r="W370" s="85" t="str">
        <f>IFERROR(__xludf.DUMMYFUNCTION("""COMPUTED_VALUE"""),"PILANG")</f>
        <v>PILANG</v>
      </c>
      <c r="X370" s="85" t="str">
        <f>IFERROR(__xludf.DUMMYFUNCTION("""COMPUTED_VALUE"""),"MASARAN")</f>
        <v>MASARAN</v>
      </c>
      <c r="Y370" s="85" t="str">
        <f>IFERROR(__xludf.DUMMYFUNCTION("""COMPUTED_VALUE"""),"SRAGEN")</f>
        <v>SRAGEN</v>
      </c>
      <c r="Z370" s="85" t="str">
        <f>IFERROR(__xludf.DUMMYFUNCTION("""COMPUTED_VALUE"""),"JAWA TENGAH")</f>
        <v>JAWA TENGAH</v>
      </c>
      <c r="AA370" s="85" t="str">
        <f>IFERROR(__xludf.DUMMYFUNCTION("""COMPUTED_VALUE"""),"57282")</f>
        <v>57282</v>
      </c>
      <c r="AB370" s="85" t="str">
        <f>IFERROR(__xludf.DUMMYFUNCTION("""COMPUTED_VALUE"""),"3314032208820008")</f>
        <v>3314032208820008</v>
      </c>
      <c r="AC370" s="85" t="str">
        <f>IFERROR(__xludf.DUMMYFUNCTION("""COMPUTED_VALUE"""),"64.117.121.0-528.000")</f>
        <v>64.117.121.0-528.000</v>
      </c>
      <c r="AD370" s="85" t="str">
        <f>IFERROR(__xludf.DUMMYFUNCTION("""COMPUTED_VALUE"""),"CUM - YNA")</f>
        <v>CUM - YNA</v>
      </c>
      <c r="AE370" s="85" t="str">
        <f>IFERROR(__xludf.DUMMYFUNCTION("""COMPUTED_VALUE"""),"SUB YOHANNITA")</f>
        <v>SUB YOHANNITA</v>
      </c>
      <c r="AF370" s="85" t="str">
        <f>IFERROR(__xludf.DUMMYFUNCTION("""COMPUTED_VALUE"""),"085105081680")</f>
        <v>085105081680</v>
      </c>
      <c r="AG370" s="85"/>
      <c r="AH370" s="85" t="str">
        <f>IFERROR(__xludf.DUMMYFUNCTION("""COMPUTED_VALUE"""),"triistanto38@gmail.com")</f>
        <v>triistanto38@gmail.com</v>
      </c>
      <c r="AI370" s="85" t="str">
        <f>IFERROR(__xludf.DUMMYFUNCTION("""COMPUTED_VALUE"""),"57282S5")</f>
        <v>57282S5</v>
      </c>
      <c r="AJ370" s="85" t="str">
        <f>IFERROR(__xludf.DUMMYFUNCTION("""COMPUTED_VALUE"""),"6760dedcc0e65808d5047d92")</f>
        <v>6760dedcc0e65808d5047d92</v>
      </c>
      <c r="AK370" s="85" t="str">
        <f>IFERROR(__xludf.DUMMYFUNCTION("""COMPUTED_VALUE"""),"dm57282s5")</f>
        <v>dm57282s5</v>
      </c>
      <c r="AL370" s="85" t="str">
        <f>IFERROR(__xludf.DUMMYFUNCTION("""COMPUTED_VALUE"""),"#57282Pos")</f>
        <v>#57282Pos</v>
      </c>
      <c r="AM370" s="85" t="str">
        <f>IFERROR(__xludf.DUMMYFUNCTION("""COMPUTED_VALUE"""),"KANTOR REGIONAL IV SEMARANG 50004")</f>
        <v>KANTOR REGIONAL IV SEMARANG 50004</v>
      </c>
      <c r="AN370" s="85" t="str">
        <f>IFERROR(__xludf.DUMMYFUNCTION("""COMPUTED_VALUE"""),"KC SRAGEN")</f>
        <v>KC SRAGEN</v>
      </c>
      <c r="AO370" s="85" t="str">
        <f>IFERROR(__xludf.DUMMYFUNCTION("""COMPUTED_VALUE"""),"1112240099739")</f>
        <v>1112240099739</v>
      </c>
      <c r="AP370" s="85" t="str">
        <f>IFERROR(__xludf.DUMMYFUNCTION("""COMPUTED_VALUE"""),"11122400997390001")</f>
        <v>11122400997390001</v>
      </c>
      <c r="AQ370" s="93"/>
      <c r="AR370" s="85"/>
      <c r="AS370" s="85"/>
      <c r="AT370" s="85" t="str">
        <f>IFERROR(__xludf.DUMMYFUNCTION("""COMPUTED_VALUE"""),"-7.458132")</f>
        <v>-7.458132</v>
      </c>
      <c r="AU370" s="85" t="str">
        <f>IFERROR(__xludf.DUMMYFUNCTION("""COMPUTED_VALUE"""),"110.904343")</f>
        <v>110.904343</v>
      </c>
      <c r="AV370" s="85"/>
      <c r="AW370" s="85"/>
      <c r="AX370" s="85" t="str">
        <f>IFERROR(__xludf.DUMMYFUNCTION("""COMPUTED_VALUE"""),"ü")</f>
        <v>ü</v>
      </c>
      <c r="AY370" s="85"/>
      <c r="AZ370" s="85"/>
      <c r="BA370" s="85"/>
      <c r="BB370" s="85"/>
      <c r="BC370" s="85"/>
      <c r="BD370" s="85"/>
      <c r="BE370" s="85"/>
      <c r="BF370" s="85"/>
      <c r="BG370" s="85"/>
      <c r="BH370" s="85"/>
      <c r="BI370" s="85"/>
      <c r="BJ370" s="85"/>
      <c r="BK370" s="85"/>
      <c r="BL370" s="85"/>
      <c r="BM370" s="85"/>
      <c r="BN370" s="85"/>
      <c r="BO370" s="85"/>
      <c r="BP370" s="85"/>
      <c r="BQ370" s="85"/>
      <c r="BR370" s="85"/>
      <c r="BS370" s="85"/>
      <c r="BT370" s="85"/>
      <c r="BU370" s="85"/>
      <c r="BV370" s="85"/>
      <c r="BW370" s="85"/>
      <c r="BX370" s="85"/>
      <c r="BY370" s="85"/>
      <c r="BZ370" s="85"/>
      <c r="CA370" s="85"/>
      <c r="CB370" s="85"/>
      <c r="CC370" s="85"/>
      <c r="CD370" s="85"/>
      <c r="CE370" s="85"/>
      <c r="CF370" s="85"/>
      <c r="CG370" s="85"/>
      <c r="CH370" s="85"/>
      <c r="CI370" s="85"/>
      <c r="CJ370" s="85"/>
      <c r="CK370" s="2"/>
    </row>
    <row r="371" ht="12.75" customHeight="1">
      <c r="A371" s="80">
        <f>IFERROR(__xludf.DUMMYFUNCTION("""COMPUTED_VALUE"""),368.0)</f>
        <v>368</v>
      </c>
      <c r="B371" s="80"/>
      <c r="C371" s="80"/>
      <c r="D371" s="81"/>
      <c r="E371" s="82"/>
      <c r="F371" s="80"/>
      <c r="G371" s="81"/>
      <c r="H371" s="80"/>
      <c r="I371" s="80"/>
      <c r="J371" s="80"/>
      <c r="K371" s="80"/>
      <c r="L371" s="80"/>
      <c r="M371" s="80" t="str">
        <f>IFERROR(__xludf.DUMMYFUNCTION("""COMPUTED_VALUE"""),"ü")</f>
        <v>ü</v>
      </c>
      <c r="N371" s="80"/>
      <c r="O371" s="80"/>
      <c r="P371" s="80" t="str">
        <f>IFERROR(__xludf.DUMMYFUNCTION("""COMPUTED_VALUE"""),"MUCSPA63066PSIND")</f>
        <v>MUCSPA63066PSIND</v>
      </c>
      <c r="Q371" s="80" t="str">
        <f>IFERROR(__xludf.DUMMYFUNCTION("""COMPUTED_VALUE"""),"MUC Zahra")</f>
        <v>MUC Zahra</v>
      </c>
      <c r="R371" s="80" t="str">
        <f>IFERROR(__xludf.DUMMYFUNCTION("""COMPUTED_VALUE"""),"MUC Zahra")</f>
        <v>MUC Zahra</v>
      </c>
      <c r="S371" s="80" t="str">
        <f>IFERROR(__xludf.DUMMYFUNCTION("""COMPUTED_VALUE"""),"SANTI MULYANTI")</f>
        <v>SANTI MULYANTI</v>
      </c>
      <c r="T371" s="80" t="str">
        <f>IFERROR(__xludf.DUMMYFUNCTION("""COMPUTED_VALUE"""),"PURWOREJAN RT.003 RW.009 KEL. BRUJUL KEC. JATEN KAB. KARANGANYAR")</f>
        <v>PURWOREJAN RT.003 RW.009 KEL. BRUJUL KEC. JATEN KAB. KARANGANYAR</v>
      </c>
      <c r="U371" s="80" t="str">
        <f>IFERROR(__xludf.DUMMYFUNCTION("""COMPUTED_VALUE"""),"Purworejan Rt03/09")</f>
        <v>Purworejan Rt03/09</v>
      </c>
      <c r="V371" s="80"/>
      <c r="W371" s="80" t="str">
        <f>IFERROR(__xludf.DUMMYFUNCTION("""COMPUTED_VALUE"""),"Brujul")</f>
        <v>Brujul</v>
      </c>
      <c r="X371" s="80" t="str">
        <f>IFERROR(__xludf.DUMMYFUNCTION("""COMPUTED_VALUE"""),"Jaten")</f>
        <v>Jaten</v>
      </c>
      <c r="Y371" s="80" t="str">
        <f>IFERROR(__xludf.DUMMYFUNCTION("""COMPUTED_VALUE"""),"Karanganyar")</f>
        <v>Karanganyar</v>
      </c>
      <c r="Z371" s="80" t="str">
        <f>IFERROR(__xludf.DUMMYFUNCTION("""COMPUTED_VALUE"""),"Jawa Tengah")</f>
        <v>Jawa Tengah</v>
      </c>
      <c r="AA371" s="80" t="str">
        <f>IFERROR(__xludf.DUMMYFUNCTION("""COMPUTED_VALUE"""),"57771")</f>
        <v>57771</v>
      </c>
      <c r="AB371" s="80" t="str">
        <f>IFERROR(__xludf.DUMMYFUNCTION("""COMPUTED_VALUE"""),"3213116609920004")</f>
        <v>3213116609920004</v>
      </c>
      <c r="AC371" s="80" t="str">
        <f>IFERROR(__xludf.DUMMYFUNCTION("""COMPUTED_VALUE"""),"46.975.700.9-439.000")</f>
        <v>46.975.700.9-439.000</v>
      </c>
      <c r="AD371" s="80" t="str">
        <f>IFERROR(__xludf.DUMMYFUNCTION("""COMPUTED_VALUE"""),"CUM - PS - RFSI")</f>
        <v>CUM - PS - RFSI</v>
      </c>
      <c r="AE371" s="80" t="str">
        <f>IFERROR(__xludf.DUMMYFUNCTION("""COMPUTED_VALUE"""),"SUB RIZKI POS")</f>
        <v>SUB RIZKI POS</v>
      </c>
      <c r="AF371" s="80" t="str">
        <f>IFERROR(__xludf.DUMMYFUNCTION("""COMPUTED_VALUE"""),"089635614123")</f>
        <v>089635614123</v>
      </c>
      <c r="AG371" s="80"/>
      <c r="AH371" s="80" t="str">
        <f>IFERROR(__xludf.DUMMYFUNCTION("""COMPUTED_VALUE"""),"santimull25@gmail.com")</f>
        <v>santimull25@gmail.com</v>
      </c>
      <c r="AI371" s="80" t="str">
        <f>IFERROR(__xludf.DUMMYFUNCTION("""COMPUTED_VALUE"""),"57771S6")</f>
        <v>57771S6</v>
      </c>
      <c r="AJ371" s="80" t="str">
        <f>IFERROR(__xludf.DUMMYFUNCTION("""COMPUTED_VALUE"""),"67653d8af57b15225c0e14ea")</f>
        <v>67653d8af57b15225c0e14ea</v>
      </c>
      <c r="AK371" s="80" t="str">
        <f>IFERROR(__xludf.DUMMYFUNCTION("""COMPUTED_VALUE"""),"dm57771s6")</f>
        <v>dm57771s6</v>
      </c>
      <c r="AL371" s="80" t="str">
        <f>IFERROR(__xludf.DUMMYFUNCTION("""COMPUTED_VALUE"""),"#57771Pos")</f>
        <v>#57771Pos</v>
      </c>
      <c r="AM371" s="80" t="str">
        <f>IFERROR(__xludf.DUMMYFUNCTION("""COMPUTED_VALUE"""),"KANTOR REGIONAL IV SEMARANG 50004")</f>
        <v>KANTOR REGIONAL IV SEMARANG 50004</v>
      </c>
      <c r="AN371" s="80" t="str">
        <f>IFERROR(__xludf.DUMMYFUNCTION("""COMPUTED_VALUE"""),"KC KARANGANYAR")</f>
        <v>KC KARANGANYAR</v>
      </c>
      <c r="AO371" s="80" t="str">
        <f>IFERROR(__xludf.DUMMYFUNCTION("""COMPUTED_VALUE"""),"1212240090255")</f>
        <v>1212240090255</v>
      </c>
      <c r="AP371" s="80" t="str">
        <f>IFERROR(__xludf.DUMMYFUNCTION("""COMPUTED_VALUE"""),"12122400902550001")</f>
        <v>12122400902550001</v>
      </c>
      <c r="AQ371" s="83"/>
      <c r="AR371" s="80"/>
      <c r="AS371" s="80"/>
      <c r="AT371" s="80" t="str">
        <f>IFERROR(__xludf.DUMMYFUNCTION("""COMPUTED_VALUE"""),"-7.541186 ")</f>
        <v>-7.541186 </v>
      </c>
      <c r="AU371" s="80" t="str">
        <f>IFERROR(__xludf.DUMMYFUNCTION("""COMPUTED_VALUE"""),"110.895424")</f>
        <v>110.895424</v>
      </c>
      <c r="AV371" s="80"/>
      <c r="AW371" s="80"/>
      <c r="AX371" s="80" t="str">
        <f>IFERROR(__xludf.DUMMYFUNCTION("""COMPUTED_VALUE"""),"ü")</f>
        <v>ü</v>
      </c>
      <c r="AY371" s="80"/>
      <c r="AZ371" s="80"/>
      <c r="BA371" s="80"/>
      <c r="BB371" s="80"/>
      <c r="BC371" s="80"/>
      <c r="BD371" s="80"/>
      <c r="BE371" s="80"/>
      <c r="BF371" s="80"/>
      <c r="BG371" s="80"/>
      <c r="BH371" s="80"/>
      <c r="BI371" s="80"/>
      <c r="BJ371" s="80"/>
      <c r="BK371" s="80"/>
      <c r="BL371" s="80"/>
      <c r="BM371" s="80"/>
      <c r="BN371" s="80"/>
      <c r="BO371" s="80"/>
      <c r="BP371" s="80"/>
      <c r="BQ371" s="80"/>
      <c r="BR371" s="80"/>
      <c r="BS371" s="80"/>
      <c r="BT371" s="80"/>
      <c r="BU371" s="80"/>
      <c r="BV371" s="80"/>
      <c r="BW371" s="80"/>
      <c r="BX371" s="80"/>
      <c r="BY371" s="80"/>
      <c r="BZ371" s="80"/>
      <c r="CA371" s="80"/>
      <c r="CB371" s="80"/>
      <c r="CC371" s="80"/>
      <c r="CD371" s="80"/>
      <c r="CE371" s="80"/>
      <c r="CF371" s="80"/>
      <c r="CG371" s="80"/>
      <c r="CH371" s="80"/>
      <c r="CI371" s="80"/>
      <c r="CJ371" s="80"/>
      <c r="CK371" s="2"/>
    </row>
    <row r="372" ht="12.75" customHeight="1">
      <c r="A372" s="85">
        <f>IFERROR(__xludf.DUMMYFUNCTION("""COMPUTED_VALUE"""),369.0)</f>
        <v>369</v>
      </c>
      <c r="B372" s="85"/>
      <c r="C372" s="85"/>
      <c r="D372" s="86"/>
      <c r="E372" s="88"/>
      <c r="F372" s="85"/>
      <c r="G372" s="86"/>
      <c r="H372" s="85"/>
      <c r="I372" s="85"/>
      <c r="J372" s="85"/>
      <c r="K372" s="85"/>
      <c r="L372" s="85"/>
      <c r="M372" s="85" t="str">
        <f>IFERROR(__xludf.DUMMYFUNCTION("""COMPUTED_VALUE"""),"ü")</f>
        <v>ü</v>
      </c>
      <c r="N372" s="85"/>
      <c r="O372" s="85"/>
      <c r="P372" s="85" t="str">
        <f>IFERROR(__xludf.DUMMYFUNCTION("""COMPUTED_VALUE"""),"53BSPA09270JBEEN")</f>
        <v>53BSPA09270JBEEN</v>
      </c>
      <c r="Q372" s="85" t="str">
        <f>IFERROR(__xludf.DUMMYFUNCTION("""COMPUTED_VALUE"""),"MUC Taman Cibodas")</f>
        <v>MUC Taman Cibodas</v>
      </c>
      <c r="R372" s="85" t="str">
        <f>IFERROR(__xludf.DUMMYFUNCTION("""COMPUTED_VALUE"""),"MUC Taman Cibodas")</f>
        <v>MUC Taman Cibodas</v>
      </c>
      <c r="S372" s="85" t="str">
        <f>IFERROR(__xludf.DUMMYFUNCTION("""COMPUTED_VALUE"""),"Budi Jakaria")</f>
        <v>Budi Jakaria</v>
      </c>
      <c r="T372" s="85" t="str">
        <f>IFERROR(__xludf.DUMMYFUNCTION("""COMPUTED_VALUE"""),"JL. ANGGREK II BLOK K.2 NO.10 ER.001 RW. 006 SANGIANG JAYA, PERIUK, KOTA TANGERANG, BANTEN")</f>
        <v>JL. ANGGREK II BLOK K.2 NO.10 ER.001 RW. 006 SANGIANG JAYA, PERIUK, KOTA TANGERANG, BANTEN</v>
      </c>
      <c r="U372" s="85" t="str">
        <f>IFERROR(__xludf.DUMMYFUNCTION("""COMPUTED_VALUE"""),"Jl. Duta Raya No.6 Blok H1, RT.008/RW.006")</f>
        <v>Jl. Duta Raya No.6 Blok H1, RT.008/RW.006</v>
      </c>
      <c r="V372" s="85"/>
      <c r="W372" s="85" t="str">
        <f>IFERROR(__xludf.DUMMYFUNCTION("""COMPUTED_VALUE"""),"Sangiang Jaya")</f>
        <v>Sangiang Jaya</v>
      </c>
      <c r="X372" s="85" t="str">
        <f>IFERROR(__xludf.DUMMYFUNCTION("""COMPUTED_VALUE"""),"Periuk")</f>
        <v>Periuk</v>
      </c>
      <c r="Y372" s="85" t="str">
        <f>IFERROR(__xludf.DUMMYFUNCTION("""COMPUTED_VALUE"""),"Kota Tangerang")</f>
        <v>Kota Tangerang</v>
      </c>
      <c r="Z372" s="85" t="str">
        <f>IFERROR(__xludf.DUMMYFUNCTION("""COMPUTED_VALUE"""),"Banten")</f>
        <v>Banten</v>
      </c>
      <c r="AA372" s="85" t="str">
        <f>IFERROR(__xludf.DUMMYFUNCTION("""COMPUTED_VALUE"""),"15138")</f>
        <v>15138</v>
      </c>
      <c r="AB372" s="85" t="str">
        <f>IFERROR(__xludf.DUMMYFUNCTION("""COMPUTED_VALUE"""),"3671081502830004")</f>
        <v>3671081502830004</v>
      </c>
      <c r="AC372" s="85" t="str">
        <f>IFERROR(__xludf.DUMMYFUNCTION("""COMPUTED_VALUE"""),"58.463.176.6-402.000")</f>
        <v>58.463.176.6-402.000</v>
      </c>
      <c r="AD372" s="85" t="str">
        <f>IFERROR(__xludf.DUMMYFUNCTION("""COMPUTED_VALUE"""),"CUM - EEN")</f>
        <v>CUM - EEN</v>
      </c>
      <c r="AE372" s="85" t="str">
        <f>IFERROR(__xludf.DUMMYFUNCTION("""COMPUTED_VALUE"""),"SUB EEN")</f>
        <v>SUB EEN</v>
      </c>
      <c r="AF372" s="85" t="str">
        <f>IFERROR(__xludf.DUMMYFUNCTION("""COMPUTED_VALUE"""),"08999316563")</f>
        <v>08999316563</v>
      </c>
      <c r="AG372" s="85"/>
      <c r="AH372" s="85" t="str">
        <f>IFERROR(__xludf.DUMMYFUNCTION("""COMPUTED_VALUE"""),"bhizebond@yahoo.com")</f>
        <v>bhizebond@yahoo.com</v>
      </c>
      <c r="AI372" s="85" t="str">
        <f>IFERROR(__xludf.DUMMYFUNCTION("""COMPUTED_VALUE"""),"15132S3")</f>
        <v>15132S3</v>
      </c>
      <c r="AJ372" s="85" t="str">
        <f>IFERROR(__xludf.DUMMYFUNCTION("""COMPUTED_VALUE"""),"67779480d8e2a3fd4901cdc1")</f>
        <v>67779480d8e2a3fd4901cdc1</v>
      </c>
      <c r="AK372" s="85" t="str">
        <f>IFERROR(__xludf.DUMMYFUNCTION("""COMPUTED_VALUE"""),"dm15132s3")</f>
        <v>dm15132s3</v>
      </c>
      <c r="AL372" s="85" t="str">
        <f>IFERROR(__xludf.DUMMYFUNCTION("""COMPUTED_VALUE"""),"#15132Pos")</f>
        <v>#15132Pos</v>
      </c>
      <c r="AM372" s="85" t="str">
        <f>IFERROR(__xludf.DUMMYFUNCTION("""COMPUTED_VALUE"""),"KANTOR REGIONAL II JAKARTA 10004")</f>
        <v>KANTOR REGIONAL II JAKARTA 10004</v>
      </c>
      <c r="AN372" s="85" t="str">
        <f>IFERROR(__xludf.DUMMYFUNCTION("""COMPUTED_VALUE"""),"KCU TANGERANG 15000")</f>
        <v>KCU TANGERANG 15000</v>
      </c>
      <c r="AO372" s="85" t="str">
        <f>IFERROR(__xludf.DUMMYFUNCTION("""COMPUTED_VALUE"""),"1312240067793")</f>
        <v>1312240067793</v>
      </c>
      <c r="AP372" s="85" t="str">
        <f>IFERROR(__xludf.DUMMYFUNCTION("""COMPUTED_VALUE"""),"13122400677930001")</f>
        <v>13122400677930001</v>
      </c>
      <c r="AQ372" s="93"/>
      <c r="AR372" s="85"/>
      <c r="AS372" s="85"/>
      <c r="AT372" s="85" t="str">
        <f>IFERROR(__xludf.DUMMYFUNCTION("""COMPUTED_VALUE"""),"-6.181705")</f>
        <v>-6.181705</v>
      </c>
      <c r="AU372" s="85" t="str">
        <f>IFERROR(__xludf.DUMMYFUNCTION("""COMPUTED_VALUE"""),"106.5979173")</f>
        <v>106.5979173</v>
      </c>
      <c r="AV372" s="85"/>
      <c r="AW372" s="85"/>
      <c r="AX372" s="85" t="str">
        <f>IFERROR(__xludf.DUMMYFUNCTION("""COMPUTED_VALUE"""),"ü")</f>
        <v>ü</v>
      </c>
      <c r="AY372" s="85"/>
      <c r="AZ372" s="85"/>
      <c r="BA372" s="85"/>
      <c r="BB372" s="85"/>
      <c r="BC372" s="85"/>
      <c r="BD372" s="85"/>
      <c r="BE372" s="85"/>
      <c r="BF372" s="85"/>
      <c r="BG372" s="85"/>
      <c r="BH372" s="85"/>
      <c r="BI372" s="85"/>
      <c r="BJ372" s="85"/>
      <c r="BK372" s="85"/>
      <c r="BL372" s="85"/>
      <c r="BM372" s="85"/>
      <c r="BN372" s="85"/>
      <c r="BO372" s="85"/>
      <c r="BP372" s="85"/>
      <c r="BQ372" s="85"/>
      <c r="BR372" s="85"/>
      <c r="BS372" s="85"/>
      <c r="BT372" s="85"/>
      <c r="BU372" s="85"/>
      <c r="BV372" s="85"/>
      <c r="BW372" s="85"/>
      <c r="BX372" s="85"/>
      <c r="BY372" s="85"/>
      <c r="BZ372" s="85"/>
      <c r="CA372" s="85"/>
      <c r="CB372" s="85"/>
      <c r="CC372" s="85"/>
      <c r="CD372" s="85"/>
      <c r="CE372" s="85"/>
      <c r="CF372" s="85"/>
      <c r="CG372" s="85"/>
      <c r="CH372" s="85"/>
      <c r="CI372" s="85"/>
      <c r="CJ372" s="85"/>
      <c r="CK372" s="2"/>
    </row>
    <row r="373" ht="12.75" customHeight="1">
      <c r="A373" s="80">
        <f>IFERROR(__xludf.DUMMYFUNCTION("""COMPUTED_VALUE"""),370.0)</f>
        <v>370</v>
      </c>
      <c r="B373" s="80"/>
      <c r="C373" s="80"/>
      <c r="D373" s="81"/>
      <c r="E373" s="82"/>
      <c r="F373" s="80"/>
      <c r="G373" s="81"/>
      <c r="H373" s="80"/>
      <c r="I373" s="80"/>
      <c r="J373" s="80"/>
      <c r="K373" s="80"/>
      <c r="L373" s="80"/>
      <c r="M373" s="80" t="str">
        <f>IFERROR(__xludf.DUMMYFUNCTION("""COMPUTED_VALUE"""),"ü")</f>
        <v>ü</v>
      </c>
      <c r="N373" s="80"/>
      <c r="O373" s="80"/>
      <c r="P373" s="80" t="str">
        <f>IFERROR(__xludf.DUMMYFUNCTION("""COMPUTED_VALUE"""),"53BSPA04368JBAJG")</f>
        <v>53BSPA04368JBAJG</v>
      </c>
      <c r="Q373" s="80" t="str">
        <f>IFERROR(__xludf.DUMMYFUNCTION("""COMPUTED_VALUE"""),"MUC NDH LOGISTIK")</f>
        <v>MUC NDH LOGISTIK</v>
      </c>
      <c r="R373" s="80" t="str">
        <f>IFERROR(__xludf.DUMMYFUNCTION("""COMPUTED_VALUE"""),"MUC NDH LOGISTIK")</f>
        <v>MUC NDH LOGISTIK</v>
      </c>
      <c r="S373" s="80" t="str">
        <f>IFERROR(__xludf.DUMMYFUNCTION("""COMPUTED_VALUE"""),"NURDATULOH")</f>
        <v>NURDATULOH</v>
      </c>
      <c r="T373" s="80" t="str">
        <f>IFERROR(__xludf.DUMMYFUNCTION("""COMPUTED_VALUE"""),"SIDAMULYA RT.002 RW.007 SIDAMULYA, WANASARI, KAB.BREBES JAWA TENGAH ")</f>
        <v>SIDAMULYA RT.002 RW.007 SIDAMULYA, WANASARI, KAB.BREBES JAWA TENGAH </v>
      </c>
      <c r="U373" s="80" t="str">
        <f>IFERROR(__xludf.DUMMYFUNCTION("""COMPUTED_VALUE"""),"Jl. H. Ambari No. 02 RT 02/07")</f>
        <v>Jl. H. Ambari No. 02 RT 02/07</v>
      </c>
      <c r="V373" s="80"/>
      <c r="W373" s="80" t="str">
        <f>IFERROR(__xludf.DUMMYFUNCTION("""COMPUTED_VALUE"""),"Sidamulya")</f>
        <v>Sidamulya</v>
      </c>
      <c r="X373" s="80" t="str">
        <f>IFERROR(__xludf.DUMMYFUNCTION("""COMPUTED_VALUE"""),"Wanasari")</f>
        <v>Wanasari</v>
      </c>
      <c r="Y373" s="80" t="str">
        <f>IFERROR(__xludf.DUMMYFUNCTION("""COMPUTED_VALUE"""),"Kab. Brebes")</f>
        <v>Kab. Brebes</v>
      </c>
      <c r="Z373" s="80" t="str">
        <f>IFERROR(__xludf.DUMMYFUNCTION("""COMPUTED_VALUE"""),"Jawa Tengah")</f>
        <v>Jawa Tengah</v>
      </c>
      <c r="AA373" s="80" t="str">
        <f>IFERROR(__xludf.DUMMYFUNCTION("""COMPUTED_VALUE"""),"52252")</f>
        <v>52252</v>
      </c>
      <c r="AB373" s="80" t="str">
        <f>IFERROR(__xludf.DUMMYFUNCTION("""COMPUTED_VALUE"""),"3329081802000008")</f>
        <v>3329081802000008</v>
      </c>
      <c r="AC373" s="80" t="str">
        <f>IFERROR(__xludf.DUMMYFUNCTION("""COMPUTED_VALUE"""),"85.489.475.5-501.000")</f>
        <v>85.489.475.5-501.000</v>
      </c>
      <c r="AD373" s="80" t="str">
        <f>IFERROR(__xludf.DUMMYFUNCTION("""COMPUTED_VALUE"""),"CUM - SPT1")</f>
        <v>CUM - SPT1</v>
      </c>
      <c r="AE373" s="80" t="str">
        <f>IFERROR(__xludf.DUMMYFUNCTION("""COMPUTED_VALUE"""),"SUB TELEMARKETING AJENG")</f>
        <v>SUB TELEMARKETING AJENG</v>
      </c>
      <c r="AF373" s="80" t="str">
        <f>IFERROR(__xludf.DUMMYFUNCTION("""COMPUTED_VALUE"""),"085742193062")</f>
        <v>085742193062</v>
      </c>
      <c r="AG373" s="80"/>
      <c r="AH373" s="80" t="str">
        <f>IFERROR(__xludf.DUMMYFUNCTION("""COMPUTED_VALUE"""),"nurdatuloh18@gmail.com")</f>
        <v>nurdatuloh18@gmail.com</v>
      </c>
      <c r="AI373" s="80" t="str">
        <f>IFERROR(__xludf.DUMMYFUNCTION("""COMPUTED_VALUE"""),"52252SC")</f>
        <v>52252SC</v>
      </c>
      <c r="AJ373" s="80" t="str">
        <f>IFERROR(__xludf.DUMMYFUNCTION("""COMPUTED_VALUE"""),"676f7cb58b8d0917880e25b0")</f>
        <v>676f7cb58b8d0917880e25b0</v>
      </c>
      <c r="AK373" s="80" t="str">
        <f>IFERROR(__xludf.DUMMYFUNCTION("""COMPUTED_VALUE"""),"dm52252sc")</f>
        <v>dm52252sc</v>
      </c>
      <c r="AL373" s="80" t="str">
        <f>IFERROR(__xludf.DUMMYFUNCTION("""COMPUTED_VALUE"""),"#52252Pos")</f>
        <v>#52252Pos</v>
      </c>
      <c r="AM373" s="80" t="str">
        <f>IFERROR(__xludf.DUMMYFUNCTION("""COMPUTED_VALUE"""),"KANTOR REGIONAL IV SEMARANG 50004")</f>
        <v>KANTOR REGIONAL IV SEMARANG 50004</v>
      </c>
      <c r="AN373" s="80" t="str">
        <f>IFERROR(__xludf.DUMMYFUNCTION("""COMPUTED_VALUE"""),"KC BREBES ")</f>
        <v>KC BREBES </v>
      </c>
      <c r="AO373" s="80" t="str">
        <f>IFERROR(__xludf.DUMMYFUNCTION("""COMPUTED_VALUE"""),"2708220025804")</f>
        <v>2708220025804</v>
      </c>
      <c r="AP373" s="80" t="str">
        <f>IFERROR(__xludf.DUMMYFUNCTION("""COMPUTED_VALUE"""),"27082200258040002")</f>
        <v>27082200258040002</v>
      </c>
      <c r="AQ373" s="83"/>
      <c r="AR373" s="80"/>
      <c r="AS373" s="80"/>
      <c r="AT373" s="80" t="str">
        <f>IFERROR(__xludf.DUMMYFUNCTION("""COMPUTED_VALUE"""),"-6.905293")</f>
        <v>-6.905293</v>
      </c>
      <c r="AU373" s="80" t="str">
        <f>IFERROR(__xludf.DUMMYFUNCTION("""COMPUTED_VALUE"""),"109.0226853")</f>
        <v>109.0226853</v>
      </c>
      <c r="AV373" s="80"/>
      <c r="AW373" s="80"/>
      <c r="AX373" s="80" t="str">
        <f>IFERROR(__xludf.DUMMYFUNCTION("""COMPUTED_VALUE"""),"ü")</f>
        <v>ü</v>
      </c>
      <c r="AY373" s="80"/>
      <c r="AZ373" s="80"/>
      <c r="BA373" s="80"/>
      <c r="BB373" s="80"/>
      <c r="BC373" s="80"/>
      <c r="BD373" s="80"/>
      <c r="BE373" s="80"/>
      <c r="BF373" s="80"/>
      <c r="BG373" s="80"/>
      <c r="BH373" s="80"/>
      <c r="BI373" s="80"/>
      <c r="BJ373" s="80"/>
      <c r="BK373" s="80"/>
      <c r="BL373" s="80"/>
      <c r="BM373" s="80"/>
      <c r="BN373" s="80"/>
      <c r="BO373" s="80"/>
      <c r="BP373" s="80"/>
      <c r="BQ373" s="80"/>
      <c r="BR373" s="80"/>
      <c r="BS373" s="80"/>
      <c r="BT373" s="80"/>
      <c r="BU373" s="80"/>
      <c r="BV373" s="80"/>
      <c r="BW373" s="80"/>
      <c r="BX373" s="80"/>
      <c r="BY373" s="80"/>
      <c r="BZ373" s="80"/>
      <c r="CA373" s="80"/>
      <c r="CB373" s="80"/>
      <c r="CC373" s="80"/>
      <c r="CD373" s="80"/>
      <c r="CE373" s="80"/>
      <c r="CF373" s="80"/>
      <c r="CG373" s="80"/>
      <c r="CH373" s="80"/>
      <c r="CI373" s="80"/>
      <c r="CJ373" s="80"/>
      <c r="CK373" s="2"/>
    </row>
    <row r="374" ht="12.75" customHeight="1">
      <c r="A374" s="85">
        <f>IFERROR(__xludf.DUMMYFUNCTION("""COMPUTED_VALUE"""),371.0)</f>
        <v>371</v>
      </c>
      <c r="B374" s="85"/>
      <c r="C374" s="85"/>
      <c r="D374" s="86"/>
      <c r="E374" s="88"/>
      <c r="F374" s="85"/>
      <c r="G374" s="86"/>
      <c r="H374" s="85"/>
      <c r="I374" s="85"/>
      <c r="J374" s="85"/>
      <c r="K374" s="85"/>
      <c r="L374" s="85"/>
      <c r="M374" s="85" t="str">
        <f>IFERROR(__xludf.DUMMYFUNCTION("""COMPUTED_VALUE"""),"ü")</f>
        <v>ü</v>
      </c>
      <c r="N374" s="85"/>
      <c r="O374" s="85"/>
      <c r="P374" s="85" t="str">
        <f>IFERROR(__xludf.DUMMYFUNCTION("""COMPUTED_VALUE"""),"MUCSPA63067PSIND")</f>
        <v>MUCSPA63067PSIND</v>
      </c>
      <c r="Q374" s="85" t="str">
        <f>IFERROR(__xludf.DUMMYFUNCTION("""COMPUTED_VALUE"""),"MUC AL HIDAYAH")</f>
        <v>MUC AL HIDAYAH</v>
      </c>
      <c r="R374" s="85" t="str">
        <f>IFERROR(__xludf.DUMMYFUNCTION("""COMPUTED_VALUE"""),"MUC AL HIDAYAH")</f>
        <v>MUC AL HIDAYAH</v>
      </c>
      <c r="S374" s="85" t="str">
        <f>IFERROR(__xludf.DUMMYFUNCTION("""COMPUTED_VALUE"""),"JUYANTO")</f>
        <v>JUYANTO</v>
      </c>
      <c r="T374" s="85" t="str">
        <f>IFERROR(__xludf.DUMMYFUNCTION("""COMPUTED_VALUE"""),"KP BANGKONG REANG RT 01 RW 01, Desa/Kelurahan Wangunharja, Kec. Cikarang Utara, Kab. Bekasi, Provinsi Jawa BaraT")</f>
        <v>KP BANGKONG REANG RT 01 RW 01, Desa/Kelurahan Wangunharja, Kec. Cikarang Utara, Kab. Bekasi, Provinsi Jawa BaraT</v>
      </c>
      <c r="U374" s="85" t="str">
        <f>IFERROR(__xludf.DUMMYFUNCTION("""COMPUTED_VALUE"""),"pasar getek, Jl. Inspeksi Kalimalang Jl. Kp. Pasir Limus")</f>
        <v>pasar getek, Jl. Inspeksi Kalimalang Jl. Kp. Pasir Limus</v>
      </c>
      <c r="V374" s="85"/>
      <c r="W374" s="85" t="str">
        <f>IFERROR(__xludf.DUMMYFUNCTION("""COMPUTED_VALUE"""),"Wangunharja")</f>
        <v>Wangunharja</v>
      </c>
      <c r="X374" s="85" t="str">
        <f>IFERROR(__xludf.DUMMYFUNCTION("""COMPUTED_VALUE"""),"Cikarang Utara")</f>
        <v>Cikarang Utara</v>
      </c>
      <c r="Y374" s="85" t="str">
        <f>IFERROR(__xludf.DUMMYFUNCTION("""COMPUTED_VALUE"""),"Kab. Bekasi")</f>
        <v>Kab. Bekasi</v>
      </c>
      <c r="Z374" s="85" t="str">
        <f>IFERROR(__xludf.DUMMYFUNCTION("""COMPUTED_VALUE"""),"Jawa Barat")</f>
        <v>Jawa Barat</v>
      </c>
      <c r="AA374" s="85" t="str">
        <f>IFERROR(__xludf.DUMMYFUNCTION("""COMPUTED_VALUE"""),"17530")</f>
        <v>17530</v>
      </c>
      <c r="AB374" s="85" t="str">
        <f>IFERROR(__xludf.DUMMYFUNCTION("""COMPUTED_VALUE"""),"3310260203870001")</f>
        <v>3310260203870001</v>
      </c>
      <c r="AC374" s="85" t="str">
        <f>IFERROR(__xludf.DUMMYFUNCTION("""COMPUTED_VALUE"""),"97.921.031.7-525.000")</f>
        <v>97.921.031.7-525.000</v>
      </c>
      <c r="AD374" s="85" t="str">
        <f>IFERROR(__xludf.DUMMYFUNCTION("""COMPUTED_VALUE"""),"CUM - PS - JMN")</f>
        <v>CUM - PS - JMN</v>
      </c>
      <c r="AE374" s="85" t="str">
        <f>IFERROR(__xludf.DUMMYFUNCTION("""COMPUTED_VALUE"""),"SUB JAMJAM POS")</f>
        <v>SUB JAMJAM POS</v>
      </c>
      <c r="AF374" s="85" t="str">
        <f>IFERROR(__xludf.DUMMYFUNCTION("""COMPUTED_VALUE"""),"085719191905")</f>
        <v>085719191905</v>
      </c>
      <c r="AG374" s="85"/>
      <c r="AH374" s="85" t="str">
        <f>IFERROR(__xludf.DUMMYFUNCTION("""COMPUTED_VALUE"""),"juyantoputricopy@gmail.com")</f>
        <v>juyantoputricopy@gmail.com</v>
      </c>
      <c r="AI374" s="85" t="str">
        <f>IFERROR(__xludf.DUMMYFUNCTION("""COMPUTED_VALUE"""),"17833S1")</f>
        <v>17833S1</v>
      </c>
      <c r="AJ374" s="85" t="str">
        <f>IFERROR(__xludf.DUMMYFUNCTION("""COMPUTED_VALUE"""),"6767a1f837f1582bbe077363")</f>
        <v>6767a1f837f1582bbe077363</v>
      </c>
      <c r="AK374" s="85" t="str">
        <f>IFERROR(__xludf.DUMMYFUNCTION("""COMPUTED_VALUE"""),"dm17833s1")</f>
        <v>dm17833s1</v>
      </c>
      <c r="AL374" s="85" t="str">
        <f>IFERROR(__xludf.DUMMYFUNCTION("""COMPUTED_VALUE"""),"#17833Pos")</f>
        <v>#17833Pos</v>
      </c>
      <c r="AM374" s="85" t="str">
        <f>IFERROR(__xludf.DUMMYFUNCTION("""COMPUTED_VALUE"""),"KANTOR REGIONAL II JAKARTA 10004")</f>
        <v>KANTOR REGIONAL II JAKARTA 10004</v>
      </c>
      <c r="AN374" s="85" t="str">
        <f>IFERROR(__xludf.DUMMYFUNCTION("""COMPUTED_VALUE"""),"KC CIKARANG 17500")</f>
        <v>KC CIKARANG 17500</v>
      </c>
      <c r="AO374" s="85" t="str">
        <f>IFERROR(__xludf.DUMMYFUNCTION("""COMPUTED_VALUE"""),"2611240064756")</f>
        <v>2611240064756</v>
      </c>
      <c r="AP374" s="85" t="str">
        <f>IFERROR(__xludf.DUMMYFUNCTION("""COMPUTED_VALUE"""),"26112400647560001")</f>
        <v>26112400647560001</v>
      </c>
      <c r="AQ374" s="93"/>
      <c r="AR374" s="85"/>
      <c r="AS374" s="85"/>
      <c r="AT374" s="85" t="str">
        <f>IFERROR(__xludf.DUMMYFUNCTION("""COMPUTED_VALUE"""),"-6.294845 ")</f>
        <v>-6.294845 </v>
      </c>
      <c r="AU374" s="85" t="str">
        <f>IFERROR(__xludf.DUMMYFUNCTION("""COMPUTED_VALUE"""),"107.1209819")</f>
        <v>107.1209819</v>
      </c>
      <c r="AV374" s="85"/>
      <c r="AW374" s="85"/>
      <c r="AX374" s="85" t="str">
        <f>IFERROR(__xludf.DUMMYFUNCTION("""COMPUTED_VALUE"""),"ü")</f>
        <v>ü</v>
      </c>
      <c r="AY374" s="85"/>
      <c r="AZ374" s="85"/>
      <c r="BA374" s="85"/>
      <c r="BB374" s="85"/>
      <c r="BC374" s="85"/>
      <c r="BD374" s="85"/>
      <c r="BE374" s="85"/>
      <c r="BF374" s="85"/>
      <c r="BG374" s="85"/>
      <c r="BH374" s="85"/>
      <c r="BI374" s="85"/>
      <c r="BJ374" s="85"/>
      <c r="BK374" s="85"/>
      <c r="BL374" s="85"/>
      <c r="BM374" s="85"/>
      <c r="BN374" s="85"/>
      <c r="BO374" s="85"/>
      <c r="BP374" s="85"/>
      <c r="BQ374" s="85"/>
      <c r="BR374" s="85"/>
      <c r="BS374" s="85"/>
      <c r="BT374" s="85"/>
      <c r="BU374" s="85"/>
      <c r="BV374" s="85"/>
      <c r="BW374" s="85"/>
      <c r="BX374" s="85"/>
      <c r="BY374" s="85"/>
      <c r="BZ374" s="85"/>
      <c r="CA374" s="85"/>
      <c r="CB374" s="85"/>
      <c r="CC374" s="85"/>
      <c r="CD374" s="85"/>
      <c r="CE374" s="85"/>
      <c r="CF374" s="85"/>
      <c r="CG374" s="85"/>
      <c r="CH374" s="85"/>
      <c r="CI374" s="85"/>
      <c r="CJ374" s="85"/>
      <c r="CK374" s="2"/>
    </row>
    <row r="375" ht="12.75" customHeight="1">
      <c r="A375" s="80">
        <f>IFERROR(__xludf.DUMMYFUNCTION("""COMPUTED_VALUE"""),372.0)</f>
        <v>372</v>
      </c>
      <c r="B375" s="80"/>
      <c r="C375" s="80"/>
      <c r="D375" s="81"/>
      <c r="E375" s="82"/>
      <c r="F375" s="80"/>
      <c r="G375" s="81"/>
      <c r="H375" s="80"/>
      <c r="I375" s="80"/>
      <c r="J375" s="80"/>
      <c r="K375" s="80"/>
      <c r="L375" s="80"/>
      <c r="M375" s="80" t="str">
        <f>IFERROR(__xludf.DUMMYFUNCTION("""COMPUTED_VALUE"""),"ü")</f>
        <v>ü</v>
      </c>
      <c r="N375" s="80"/>
      <c r="O375" s="80"/>
      <c r="P375" s="80" t="str">
        <f>IFERROR(__xludf.DUMMYFUNCTION("""COMPUTED_VALUE"""),"53BSPA09271JBEEN")</f>
        <v>53BSPA09271JBEEN</v>
      </c>
      <c r="Q375" s="80" t="str">
        <f>IFERROR(__xludf.DUMMYFUNCTION("""COMPUTED_VALUE"""),"MUC SUKABUMI SELATAN")</f>
        <v>MUC SUKABUMI SELATAN</v>
      </c>
      <c r="R375" s="80" t="str">
        <f>IFERROR(__xludf.DUMMYFUNCTION("""COMPUTED_VALUE"""),"MUC SUKABUMI SELATAN")</f>
        <v>MUC SUKABUMI SELATAN</v>
      </c>
      <c r="S375" s="80" t="str">
        <f>IFERROR(__xludf.DUMMYFUNCTION("""COMPUTED_VALUE"""),"SITI MAULIDA RAHAYU")</f>
        <v>SITI MAULIDA RAHAYU</v>
      </c>
      <c r="T375" s="80" t="str">
        <f>IFERROR(__xludf.DUMMYFUNCTION("""COMPUTED_VALUE"""),"KP. BARU RT.10 RW.04 KEL. SUKABUMI SELATAN KEC. KEBON JERUK JAKARTA BARAT")</f>
        <v>KP. BARU RT.10 RW.04 KEL. SUKABUMI SELATAN KEC. KEBON JERUK JAKARTA BARAT</v>
      </c>
      <c r="U375" s="80" t="str">
        <f>IFERROR(__xludf.DUMMYFUNCTION("""COMPUTED_VALUE"""),"JL PAHLAWAN 13A RT 10/04")</f>
        <v>JL PAHLAWAN 13A RT 10/04</v>
      </c>
      <c r="V375" s="80"/>
      <c r="W375" s="80" t="str">
        <f>IFERROR(__xludf.DUMMYFUNCTION("""COMPUTED_VALUE"""),"SUKABUMI SELATAN")</f>
        <v>SUKABUMI SELATAN</v>
      </c>
      <c r="X375" s="80" t="str">
        <f>IFERROR(__xludf.DUMMYFUNCTION("""COMPUTED_VALUE"""),"KEBON JERUK")</f>
        <v>KEBON JERUK</v>
      </c>
      <c r="Y375" s="80" t="str">
        <f>IFERROR(__xludf.DUMMYFUNCTION("""COMPUTED_VALUE"""),"JAKARTA BARAT")</f>
        <v>JAKARTA BARAT</v>
      </c>
      <c r="Z375" s="80" t="str">
        <f>IFERROR(__xludf.DUMMYFUNCTION("""COMPUTED_VALUE"""),"DKI JAKARTA")</f>
        <v>DKI JAKARTA</v>
      </c>
      <c r="AA375" s="80" t="str">
        <f>IFERROR(__xludf.DUMMYFUNCTION("""COMPUTED_VALUE"""),"11560")</f>
        <v>11560</v>
      </c>
      <c r="AB375" s="80" t="str">
        <f>IFERROR(__xludf.DUMMYFUNCTION("""COMPUTED_VALUE"""),"3672064311860005")</f>
        <v>3672064311860005</v>
      </c>
      <c r="AC375" s="80" t="str">
        <f>IFERROR(__xludf.DUMMYFUNCTION("""COMPUTED_VALUE"""),"70.274.408.7-417.000")</f>
        <v>70.274.408.7-417.000</v>
      </c>
      <c r="AD375" s="80" t="str">
        <f>IFERROR(__xludf.DUMMYFUNCTION("""COMPUTED_VALUE"""),"CUM - EEN")</f>
        <v>CUM - EEN</v>
      </c>
      <c r="AE375" s="80" t="str">
        <f>IFERROR(__xludf.DUMMYFUNCTION("""COMPUTED_VALUE"""),"SUB EEN")</f>
        <v>SUB EEN</v>
      </c>
      <c r="AF375" s="80" t="str">
        <f>IFERROR(__xludf.DUMMYFUNCTION("""COMPUTED_VALUE"""),"081911154581")</f>
        <v>081911154581</v>
      </c>
      <c r="AG375" s="80"/>
      <c r="AH375" s="80" t="str">
        <f>IFERROR(__xludf.DUMMYFUNCTION("""COMPUTED_VALUE"""),"PRINCESS.LIDA10@GMAIL.COM ")</f>
        <v>PRINCESS.LIDA10@GMAIL.COM </v>
      </c>
      <c r="AI375" s="80" t="str">
        <f>IFERROR(__xludf.DUMMYFUNCTION("""COMPUTED_VALUE"""),"11560S2")</f>
        <v>11560S2</v>
      </c>
      <c r="AJ375" s="80" t="str">
        <f>IFERROR(__xludf.DUMMYFUNCTION("""COMPUTED_VALUE"""),"676a383797910b501b034775")</f>
        <v>676a383797910b501b034775</v>
      </c>
      <c r="AK375" s="80" t="str">
        <f>IFERROR(__xludf.DUMMYFUNCTION("""COMPUTED_VALUE"""),"dm11560s2")</f>
        <v>dm11560s2</v>
      </c>
      <c r="AL375" s="80" t="str">
        <f>IFERROR(__xludf.DUMMYFUNCTION("""COMPUTED_VALUE"""),"#11560Pos")</f>
        <v>#11560Pos</v>
      </c>
      <c r="AM375" s="80" t="str">
        <f>IFERROR(__xludf.DUMMYFUNCTION("""COMPUTED_VALUE"""),"KANTOR REGIONAL II JAKARTA 10004")</f>
        <v>KANTOR REGIONAL II JAKARTA 10004</v>
      </c>
      <c r="AN375" s="80" t="str">
        <f>IFERROR(__xludf.DUMMYFUNCTION("""COMPUTED_VALUE"""),"KCU JAKARTAOCEANIA 11000")</f>
        <v>KCU JAKARTAOCEANIA 11000</v>
      </c>
      <c r="AO375" s="80" t="str">
        <f>IFERROR(__xludf.DUMMYFUNCTION("""COMPUTED_VALUE"""),"1812240085787")</f>
        <v>1812240085787</v>
      </c>
      <c r="AP375" s="80" t="str">
        <f>IFERROR(__xludf.DUMMYFUNCTION("""COMPUTED_VALUE"""),"18122400857870001")</f>
        <v>18122400857870001</v>
      </c>
      <c r="AQ375" s="83"/>
      <c r="AR375" s="80"/>
      <c r="AS375" s="80"/>
      <c r="AT375" s="80" t="str">
        <f>IFERROR(__xludf.DUMMYFUNCTION("""COMPUTED_VALUE"""),"-6.224014")</f>
        <v>-6.224014</v>
      </c>
      <c r="AU375" s="80" t="str">
        <f>IFERROR(__xludf.DUMMYFUNCTION("""COMPUTED_VALUE"""),"106.7708308")</f>
        <v>106.7708308</v>
      </c>
      <c r="AV375" s="80"/>
      <c r="AW375" s="80"/>
      <c r="AX375" s="80" t="str">
        <f>IFERROR(__xludf.DUMMYFUNCTION("""COMPUTED_VALUE"""),"ü")</f>
        <v>ü</v>
      </c>
      <c r="AY375" s="80"/>
      <c r="AZ375" s="80"/>
      <c r="BA375" s="80"/>
      <c r="BB375" s="80"/>
      <c r="BC375" s="80"/>
      <c r="BD375" s="80"/>
      <c r="BE375" s="80"/>
      <c r="BF375" s="80"/>
      <c r="BG375" s="80"/>
      <c r="BH375" s="80"/>
      <c r="BI375" s="80"/>
      <c r="BJ375" s="80"/>
      <c r="BK375" s="80"/>
      <c r="BL375" s="80"/>
      <c r="BM375" s="80"/>
      <c r="BN375" s="80"/>
      <c r="BO375" s="80"/>
      <c r="BP375" s="80"/>
      <c r="BQ375" s="80"/>
      <c r="BR375" s="80"/>
      <c r="BS375" s="80"/>
      <c r="BT375" s="80"/>
      <c r="BU375" s="80"/>
      <c r="BV375" s="80"/>
      <c r="BW375" s="80"/>
      <c r="BX375" s="80"/>
      <c r="BY375" s="80"/>
      <c r="BZ375" s="80"/>
      <c r="CA375" s="80"/>
      <c r="CB375" s="80"/>
      <c r="CC375" s="80"/>
      <c r="CD375" s="80"/>
      <c r="CE375" s="80"/>
      <c r="CF375" s="80"/>
      <c r="CG375" s="80"/>
      <c r="CH375" s="80"/>
      <c r="CI375" s="80"/>
      <c r="CJ375" s="80"/>
      <c r="CK375" s="2"/>
    </row>
    <row r="376" ht="12.75" customHeight="1">
      <c r="A376" s="85">
        <f>IFERROR(__xludf.DUMMYFUNCTION("""COMPUTED_VALUE"""),373.0)</f>
        <v>373</v>
      </c>
      <c r="B376" s="85"/>
      <c r="C376" s="85"/>
      <c r="D376" s="86"/>
      <c r="E376" s="88"/>
      <c r="F376" s="85"/>
      <c r="G376" s="86"/>
      <c r="H376" s="85"/>
      <c r="I376" s="85"/>
      <c r="J376" s="85"/>
      <c r="K376" s="85"/>
      <c r="L376" s="85"/>
      <c r="M376" s="85" t="str">
        <f>IFERROR(__xludf.DUMMYFUNCTION("""COMPUTED_VALUE"""),"ü")</f>
        <v>ü</v>
      </c>
      <c r="N376" s="85"/>
      <c r="O376" s="85"/>
      <c r="P376" s="85" t="str">
        <f>IFERROR(__xludf.DUMMYFUNCTION("""COMPUTED_VALUE"""),"MUCSPA63068PSIND")</f>
        <v>MUCSPA63068PSIND</v>
      </c>
      <c r="Q376" s="85" t="str">
        <f>IFERROR(__xludf.DUMMYFUNCTION("""COMPUTED_VALUE"""),"MUC Aren Jaya Saparua Raya")</f>
        <v>MUC Aren Jaya Saparua Raya</v>
      </c>
      <c r="R376" s="85" t="str">
        <f>IFERROR(__xludf.DUMMYFUNCTION("""COMPUTED_VALUE"""),"MUC Aren Jaya Saparua Raya")</f>
        <v>MUC Aren Jaya Saparua Raya</v>
      </c>
      <c r="S376" s="85" t="str">
        <f>IFERROR(__xludf.DUMMYFUNCTION("""COMPUTED_VALUE"""),"NURSHANTI SEPTRINA MELANI S")</f>
        <v>NURSHANTI SEPTRINA MELANI S</v>
      </c>
      <c r="T376" s="85" t="str">
        <f>IFERROR(__xludf.DUMMYFUNCTION("""COMPUTED_VALUE"""),"Jl.P.Belitung Raya No.345")</f>
        <v>Jl.P.Belitung Raya No.345</v>
      </c>
      <c r="U376" s="85" t="str">
        <f>IFERROR(__xludf.DUMMYFUNCTION("""COMPUTED_VALUE"""),"Jl.Saparua Raya No.230 rt.006 Rw.008")</f>
        <v>Jl.Saparua Raya No.230 rt.006 Rw.008</v>
      </c>
      <c r="V376" s="85"/>
      <c r="W376" s="85" t="str">
        <f>IFERROR(__xludf.DUMMYFUNCTION("""COMPUTED_VALUE"""),"Arenjaya")</f>
        <v>Arenjaya</v>
      </c>
      <c r="X376" s="85" t="str">
        <f>IFERROR(__xludf.DUMMYFUNCTION("""COMPUTED_VALUE"""),"Bekasi Timur")</f>
        <v>Bekasi Timur</v>
      </c>
      <c r="Y376" s="85" t="str">
        <f>IFERROR(__xludf.DUMMYFUNCTION("""COMPUTED_VALUE"""),"KOTA BEKASI")</f>
        <v>KOTA BEKASI</v>
      </c>
      <c r="Z376" s="85" t="str">
        <f>IFERROR(__xludf.DUMMYFUNCTION("""COMPUTED_VALUE"""),"Jawa Barat")</f>
        <v>Jawa Barat</v>
      </c>
      <c r="AA376" s="85" t="str">
        <f>IFERROR(__xludf.DUMMYFUNCTION("""COMPUTED_VALUE"""),"17111")</f>
        <v>17111</v>
      </c>
      <c r="AB376" s="85" t="str">
        <f>IFERROR(__xludf.DUMMYFUNCTION("""COMPUTED_VALUE"""),"3275014809630025")</f>
        <v>3275014809630025</v>
      </c>
      <c r="AC376" s="85" t="str">
        <f>IFERROR(__xludf.DUMMYFUNCTION("""COMPUTED_VALUE"""),"47.617.236.6-407.000")</f>
        <v>47.617.236.6-407.000</v>
      </c>
      <c r="AD376" s="85" t="str">
        <f>IFERROR(__xludf.DUMMYFUNCTION("""COMPUTED_VALUE"""),"CUM - PS - AYS")</f>
        <v>CUM - PS - AYS</v>
      </c>
      <c r="AE376" s="85" t="str">
        <f>IFERROR(__xludf.DUMMYFUNCTION("""COMPUTED_VALUE"""),"SUB YUNUS POS")</f>
        <v>SUB YUNUS POS</v>
      </c>
      <c r="AF376" s="85" t="str">
        <f>IFERROR(__xludf.DUMMYFUNCTION("""COMPUTED_VALUE"""),"081386470574")</f>
        <v>081386470574</v>
      </c>
      <c r="AG376" s="85"/>
      <c r="AH376" s="101" t="str">
        <f>IFERROR(__xludf.DUMMYFUNCTION("""COMPUTED_VALUE"""),"shantimelan.yahoo.com")</f>
        <v>shantimelan.yahoo.com</v>
      </c>
      <c r="AI376" s="85" t="str">
        <f>IFERROR(__xludf.DUMMYFUNCTION("""COMPUTED_VALUE"""),"17118S1")</f>
        <v>17118S1</v>
      </c>
      <c r="AJ376" s="85" t="str">
        <f>IFERROR(__xludf.DUMMYFUNCTION("""COMPUTED_VALUE"""),"677b375c4a75b344be0f62fa")</f>
        <v>677b375c4a75b344be0f62fa</v>
      </c>
      <c r="AK376" s="85" t="str">
        <f>IFERROR(__xludf.DUMMYFUNCTION("""COMPUTED_VALUE"""),"dm17118s1")</f>
        <v>dm17118s1</v>
      </c>
      <c r="AL376" s="85" t="str">
        <f>IFERROR(__xludf.DUMMYFUNCTION("""COMPUTED_VALUE"""),"#17118Pos")</f>
        <v>#17118Pos</v>
      </c>
      <c r="AM376" s="85" t="str">
        <f>IFERROR(__xludf.DUMMYFUNCTION("""COMPUTED_VALUE"""),"KANTOR REGIONAL II JAKARTA 10004")</f>
        <v>KANTOR REGIONAL II JAKARTA 10004</v>
      </c>
      <c r="AN376" s="85" t="str">
        <f>IFERROR(__xludf.DUMMYFUNCTION("""COMPUTED_VALUE"""),"KCU BEKASI 17000")</f>
        <v>KCU BEKASI 17000</v>
      </c>
      <c r="AO376" s="85" t="str">
        <f>IFERROR(__xludf.DUMMYFUNCTION("""COMPUTED_VALUE"""),"1912240037052")</f>
        <v>1912240037052</v>
      </c>
      <c r="AP376" s="85" t="str">
        <f>IFERROR(__xludf.DUMMYFUNCTION("""COMPUTED_VALUE"""),"19122400370520001")</f>
        <v>19122400370520001</v>
      </c>
      <c r="AQ376" s="93"/>
      <c r="AR376" s="85"/>
      <c r="AS376" s="85"/>
      <c r="AT376" s="85" t="str">
        <f>IFERROR(__xludf.DUMMYFUNCTION("""COMPUTED_VALUE"""),"-6.242078")</f>
        <v>-6.242078</v>
      </c>
      <c r="AU376" s="85" t="str">
        <f>IFERROR(__xludf.DUMMYFUNCTION("""COMPUTED_VALUE"""),"107.0413924")</f>
        <v>107.0413924</v>
      </c>
      <c r="AV376" s="85"/>
      <c r="AW376" s="85"/>
      <c r="AX376" s="85" t="str">
        <f>IFERROR(__xludf.DUMMYFUNCTION("""COMPUTED_VALUE"""),"ü")</f>
        <v>ü</v>
      </c>
      <c r="AY376" s="85"/>
      <c r="AZ376" s="85"/>
      <c r="BA376" s="85"/>
      <c r="BB376" s="85"/>
      <c r="BC376" s="85"/>
      <c r="BD376" s="85"/>
      <c r="BE376" s="85"/>
      <c r="BF376" s="85"/>
      <c r="BG376" s="85"/>
      <c r="BH376" s="85"/>
      <c r="BI376" s="85"/>
      <c r="BJ376" s="85"/>
      <c r="BK376" s="85"/>
      <c r="BL376" s="85"/>
      <c r="BM376" s="85"/>
      <c r="BN376" s="85"/>
      <c r="BO376" s="85"/>
      <c r="BP376" s="85"/>
      <c r="BQ376" s="85"/>
      <c r="BR376" s="85"/>
      <c r="BS376" s="85"/>
      <c r="BT376" s="85"/>
      <c r="BU376" s="85"/>
      <c r="BV376" s="85"/>
      <c r="BW376" s="85"/>
      <c r="BX376" s="85"/>
      <c r="BY376" s="85"/>
      <c r="BZ376" s="85"/>
      <c r="CA376" s="85"/>
      <c r="CB376" s="85"/>
      <c r="CC376" s="85"/>
      <c r="CD376" s="85"/>
      <c r="CE376" s="85"/>
      <c r="CF376" s="85"/>
      <c r="CG376" s="85"/>
      <c r="CH376" s="85"/>
      <c r="CI376" s="85"/>
      <c r="CJ376" s="85"/>
      <c r="CK376" s="2"/>
    </row>
    <row r="377" ht="12.75" customHeight="1">
      <c r="A377" s="80">
        <f>IFERROR(__xludf.DUMMYFUNCTION("""COMPUTED_VALUE"""),374.0)</f>
        <v>374</v>
      </c>
      <c r="B377" s="80"/>
      <c r="C377" s="80"/>
      <c r="D377" s="81"/>
      <c r="E377" s="82"/>
      <c r="F377" s="80"/>
      <c r="G377" s="81"/>
      <c r="H377" s="80"/>
      <c r="I377" s="80"/>
      <c r="J377" s="80"/>
      <c r="K377" s="80"/>
      <c r="L377" s="80"/>
      <c r="M377" s="80" t="str">
        <f>IFERROR(__xludf.DUMMYFUNCTION("""COMPUTED_VALUE"""),"ü")</f>
        <v>ü</v>
      </c>
      <c r="N377" s="80"/>
      <c r="O377" s="80"/>
      <c r="P377" s="80" t="str">
        <f>IFERROR(__xludf.DUMMYFUNCTION("""COMPUTED_VALUE"""),"MUCSPA63069PSIND")</f>
        <v>MUCSPA63069PSIND</v>
      </c>
      <c r="Q377" s="80" t="str">
        <f>IFERROR(__xludf.DUMMYFUNCTION("""COMPUTED_VALUE"""),"MUC TERA Group")</f>
        <v>MUC TERA Group</v>
      </c>
      <c r="R377" s="80" t="str">
        <f>IFERROR(__xludf.DUMMYFUNCTION("""COMPUTED_VALUE"""),"MUC TERA Group")</f>
        <v>MUC TERA Group</v>
      </c>
      <c r="S377" s="80" t="str">
        <f>IFERROR(__xludf.DUMMYFUNCTION("""COMPUTED_VALUE"""),"Rosalia Indah Mawarni")</f>
        <v>Rosalia Indah Mawarni</v>
      </c>
      <c r="T377" s="80" t="str">
        <f>IFERROR(__xludf.DUMMYFUNCTION("""COMPUTED_VALUE"""),"Gunungbang RT 1 RW 17, Kel Bejiharjo, Kec Karangmojo, Kab Gunungkidul, DIY")</f>
        <v>Gunungbang RT 1 RW 17, Kel Bejiharjo, Kec Karangmojo, Kab Gunungkidul, DIY</v>
      </c>
      <c r="U377" s="80" t="str">
        <f>IFERROR(__xludf.DUMMYFUNCTION("""COMPUTED_VALUE"""),"Gunungbang RT 1 RW 17")</f>
        <v>Gunungbang RT 1 RW 17</v>
      </c>
      <c r="V377" s="80"/>
      <c r="W377" s="80" t="str">
        <f>IFERROR(__xludf.DUMMYFUNCTION("""COMPUTED_VALUE"""),"Bejiharjo")</f>
        <v>Bejiharjo</v>
      </c>
      <c r="X377" s="80" t="str">
        <f>IFERROR(__xludf.DUMMYFUNCTION("""COMPUTED_VALUE"""),"Karangmojo")</f>
        <v>Karangmojo</v>
      </c>
      <c r="Y377" s="80" t="str">
        <f>IFERROR(__xludf.DUMMYFUNCTION("""COMPUTED_VALUE"""),"Gunungkidul")</f>
        <v>Gunungkidul</v>
      </c>
      <c r="Z377" s="80" t="str">
        <f>IFERROR(__xludf.DUMMYFUNCTION("""COMPUTED_VALUE"""),"YOGYAKARTA")</f>
        <v>YOGYAKARTA</v>
      </c>
      <c r="AA377" s="80" t="str">
        <f>IFERROR(__xludf.DUMMYFUNCTION("""COMPUTED_VALUE"""),"55891")</f>
        <v>55891</v>
      </c>
      <c r="AB377" s="80" t="str">
        <f>IFERROR(__xludf.DUMMYFUNCTION("""COMPUTED_VALUE"""),"3371026407800002")</f>
        <v>3371026407800002</v>
      </c>
      <c r="AC377" s="80" t="str">
        <f>IFERROR(__xludf.DUMMYFUNCTION("""COMPUTED_VALUE"""),"81.768.514.2-545.000")</f>
        <v>81.768.514.2-545.000</v>
      </c>
      <c r="AD377" s="80" t="str">
        <f>IFERROR(__xludf.DUMMYFUNCTION("""COMPUTED_VALUE"""),"CUM - PS - ARKW")</f>
        <v>CUM - PS - ARKW</v>
      </c>
      <c r="AE377" s="80" t="str">
        <f>IFERROR(__xludf.DUMMYFUNCTION("""COMPUTED_VALUE"""),"SUB ARIF POS")</f>
        <v>SUB ARIF POS</v>
      </c>
      <c r="AF377" s="80" t="str">
        <f>IFERROR(__xludf.DUMMYFUNCTION("""COMPUTED_VALUE"""),"081226511200")</f>
        <v>081226511200</v>
      </c>
      <c r="AG377" s="80"/>
      <c r="AH377" s="80" t="str">
        <f>IFERROR(__xludf.DUMMYFUNCTION("""COMPUTED_VALUE"""),"teratourtravel07@gmail.com")</f>
        <v>teratourtravel07@gmail.com</v>
      </c>
      <c r="AI377" s="80" t="str">
        <f>IFERROR(__xludf.DUMMYFUNCTION("""COMPUTED_VALUE"""),"55891S5")</f>
        <v>55891S5</v>
      </c>
      <c r="AJ377" s="80" t="str">
        <f>IFERROR(__xludf.DUMMYFUNCTION("""COMPUTED_VALUE"""),"677219ce9d2e2b11120831a4")</f>
        <v>677219ce9d2e2b11120831a4</v>
      </c>
      <c r="AK377" s="80" t="str">
        <f>IFERROR(__xludf.DUMMYFUNCTION("""COMPUTED_VALUE"""),"dm55891s5")</f>
        <v>dm55891s5</v>
      </c>
      <c r="AL377" s="80" t="str">
        <f>IFERROR(__xludf.DUMMYFUNCTION("""COMPUTED_VALUE"""),"#55891Pos")</f>
        <v>#55891Pos</v>
      </c>
      <c r="AM377" s="80" t="str">
        <f>IFERROR(__xludf.DUMMYFUNCTION("""COMPUTED_VALUE"""),"KANTOR REGIONAL IV SEMARANG 50004")</f>
        <v>KANTOR REGIONAL IV SEMARANG 50004</v>
      </c>
      <c r="AN377" s="80" t="str">
        <f>IFERROR(__xludf.DUMMYFUNCTION("""COMPUTED_VALUE"""),"KC WONOSARIYOGYA 55800")</f>
        <v>KC WONOSARIYOGYA 55800</v>
      </c>
      <c r="AO377" s="80" t="str">
        <f>IFERROR(__xludf.DUMMYFUNCTION("""COMPUTED_VALUE"""),"1912240030842")</f>
        <v>1912240030842</v>
      </c>
      <c r="AP377" s="80" t="str">
        <f>IFERROR(__xludf.DUMMYFUNCTION("""COMPUTED_VALUE"""),"19122400308420001")</f>
        <v>19122400308420001</v>
      </c>
      <c r="AQ377" s="83"/>
      <c r="AR377" s="80"/>
      <c r="AS377" s="80"/>
      <c r="AT377" s="80" t="str">
        <f>IFERROR(__xludf.DUMMYFUNCTION("""COMPUTED_VALUE"""),"-7.927316")</f>
        <v>-7.927316</v>
      </c>
      <c r="AU377" s="80" t="str">
        <f>IFERROR(__xludf.DUMMYFUNCTION("""COMPUTED_VALUE"""),"110.650015")</f>
        <v>110.650015</v>
      </c>
      <c r="AV377" s="80"/>
      <c r="AW377" s="80"/>
      <c r="AX377" s="80" t="str">
        <f>IFERROR(__xludf.DUMMYFUNCTION("""COMPUTED_VALUE"""),"ü")</f>
        <v>ü</v>
      </c>
      <c r="AY377" s="80"/>
      <c r="AZ377" s="80"/>
      <c r="BA377" s="80"/>
      <c r="BB377" s="80"/>
      <c r="BC377" s="80"/>
      <c r="BD377" s="80"/>
      <c r="BE377" s="80"/>
      <c r="BF377" s="80"/>
      <c r="BG377" s="80"/>
      <c r="BH377" s="80"/>
      <c r="BI377" s="80"/>
      <c r="BJ377" s="80"/>
      <c r="BK377" s="80"/>
      <c r="BL377" s="80"/>
      <c r="BM377" s="80"/>
      <c r="BN377" s="80"/>
      <c r="BO377" s="80"/>
      <c r="BP377" s="80"/>
      <c r="BQ377" s="80"/>
      <c r="BR377" s="80"/>
      <c r="BS377" s="80"/>
      <c r="BT377" s="80"/>
      <c r="BU377" s="80"/>
      <c r="BV377" s="80"/>
      <c r="BW377" s="80"/>
      <c r="BX377" s="80"/>
      <c r="BY377" s="80"/>
      <c r="BZ377" s="80"/>
      <c r="CA377" s="80"/>
      <c r="CB377" s="80"/>
      <c r="CC377" s="80"/>
      <c r="CD377" s="80"/>
      <c r="CE377" s="80"/>
      <c r="CF377" s="80"/>
      <c r="CG377" s="80"/>
      <c r="CH377" s="80"/>
      <c r="CI377" s="80"/>
      <c r="CJ377" s="80"/>
      <c r="CK377" s="2"/>
    </row>
    <row r="378" ht="12.75" customHeight="1">
      <c r="A378" s="85">
        <f>IFERROR(__xludf.DUMMYFUNCTION("""COMPUTED_VALUE"""),375.0)</f>
        <v>375</v>
      </c>
      <c r="B378" s="85"/>
      <c r="C378" s="85"/>
      <c r="D378" s="86"/>
      <c r="E378" s="88"/>
      <c r="F378" s="85"/>
      <c r="G378" s="86"/>
      <c r="H378" s="85"/>
      <c r="I378" s="85"/>
      <c r="J378" s="85"/>
      <c r="K378" s="85"/>
      <c r="L378" s="85"/>
      <c r="M378" s="85" t="str">
        <f>IFERROR(__xludf.DUMMYFUNCTION("""COMPUTED_VALUE"""),"ü")</f>
        <v>ü</v>
      </c>
      <c r="N378" s="85"/>
      <c r="O378" s="85"/>
      <c r="P378" s="85" t="str">
        <f>IFERROR(__xludf.DUMMYFUNCTION("""COMPUTED_VALUE"""),"53BSPA09273JBEEN")</f>
        <v>53BSPA09273JBEEN</v>
      </c>
      <c r="Q378" s="85" t="str">
        <f>IFERROR(__xludf.DUMMYFUNCTION("""COMPUTED_VALUE"""),"MUC Gaga Rawa Kompeni")</f>
        <v>MUC Gaga Rawa Kompeni</v>
      </c>
      <c r="R378" s="85" t="str">
        <f>IFERROR(__xludf.DUMMYFUNCTION("""COMPUTED_VALUE"""),"MUC Gaga Rawa Kompeni")</f>
        <v>MUC Gaga Rawa Kompeni</v>
      </c>
      <c r="S378" s="85" t="str">
        <f>IFERROR(__xludf.DUMMYFUNCTION("""COMPUTED_VALUE"""),"ADI SANJAYA ")</f>
        <v>ADI SANJAYA </v>
      </c>
      <c r="T378" s="85" t="str">
        <f>IFERROR(__xludf.DUMMYFUNCTION("""COMPUTED_VALUE"""),"KEBUN KELAPA RT.001 RW.002, Desa/Kelurahan Kamal, Kec. Kalideres, Kota Adm.Jakarta Barat, Provinsi DKI Jakarta ")</f>
        <v>KEBUN KELAPA RT.001 RW.002, Desa/Kelurahan Kamal, Kec. Kalideres, Kota Adm.Jakarta Barat, Provinsi DKI Jakarta </v>
      </c>
      <c r="U378" s="85" t="str">
        <f>IFERROR(__xludf.DUMMYFUNCTION("""COMPUTED_VALUE"""),"Jalan Gaga Rawa Kompeni  No.7  Rt.004 Rw.004 ")</f>
        <v>Jalan Gaga Rawa Kompeni  No.7  Rt.004 Rw.004 </v>
      </c>
      <c r="V378" s="85"/>
      <c r="W378" s="85" t="str">
        <f>IFERROR(__xludf.DUMMYFUNCTION("""COMPUTED_VALUE"""),"Kamal")</f>
        <v>Kamal</v>
      </c>
      <c r="X378" s="85" t="str">
        <f>IFERROR(__xludf.DUMMYFUNCTION("""COMPUTED_VALUE"""),"Kalideres")</f>
        <v>Kalideres</v>
      </c>
      <c r="Y378" s="85" t="str">
        <f>IFERROR(__xludf.DUMMYFUNCTION("""COMPUTED_VALUE"""),"Jakarta Barat")</f>
        <v>Jakarta Barat</v>
      </c>
      <c r="Z378" s="85" t="str">
        <f>IFERROR(__xludf.DUMMYFUNCTION("""COMPUTED_VALUE"""),"DKI Jakarta")</f>
        <v>DKI Jakarta</v>
      </c>
      <c r="AA378" s="85" t="str">
        <f>IFERROR(__xludf.DUMMYFUNCTION("""COMPUTED_VALUE"""),"11810")</f>
        <v>11810</v>
      </c>
      <c r="AB378" s="85" t="str">
        <f>IFERROR(__xludf.DUMMYFUNCTION("""COMPUTED_VALUE"""),"3173061510910001")</f>
        <v>3173061510910001</v>
      </c>
      <c r="AC378" s="85" t="str">
        <f>IFERROR(__xludf.DUMMYFUNCTION("""COMPUTED_VALUE"""),"81.785.215.5-085.000")</f>
        <v>81.785.215.5-085.000</v>
      </c>
      <c r="AD378" s="85" t="str">
        <f>IFERROR(__xludf.DUMMYFUNCTION("""COMPUTED_VALUE"""),"CUM - EEN")</f>
        <v>CUM - EEN</v>
      </c>
      <c r="AE378" s="85" t="str">
        <f>IFERROR(__xludf.DUMMYFUNCTION("""COMPUTED_VALUE"""),"SUB EEN")</f>
        <v>SUB EEN</v>
      </c>
      <c r="AF378" s="85" t="str">
        <f>IFERROR(__xludf.DUMMYFUNCTION("""COMPUTED_VALUE"""),"081231237741")</f>
        <v>081231237741</v>
      </c>
      <c r="AG378" s="85"/>
      <c r="AH378" s="85" t="str">
        <f>IFERROR(__xludf.DUMMYFUNCTION("""COMPUTED_VALUE"""),"adisan1591@gmail.com")</f>
        <v>adisan1591@gmail.com</v>
      </c>
      <c r="AI378" s="85" t="str">
        <f>IFERROR(__xludf.DUMMYFUNCTION("""COMPUTED_VALUE"""),"11810S4")</f>
        <v>11810S4</v>
      </c>
      <c r="AJ378" s="85" t="str">
        <f>IFERROR(__xludf.DUMMYFUNCTION("""COMPUTED_VALUE"""),"676cf94bccdaa9d5ec0628f6")</f>
        <v>676cf94bccdaa9d5ec0628f6</v>
      </c>
      <c r="AK378" s="85" t="str">
        <f>IFERROR(__xludf.DUMMYFUNCTION("""COMPUTED_VALUE"""),"dm11810s4")</f>
        <v>dm11810s4</v>
      </c>
      <c r="AL378" s="85" t="str">
        <f>IFERROR(__xludf.DUMMYFUNCTION("""COMPUTED_VALUE"""),"#11810Pos")</f>
        <v>#11810Pos</v>
      </c>
      <c r="AM378" s="85" t="str">
        <f>IFERROR(__xludf.DUMMYFUNCTION("""COMPUTED_VALUE"""),"KANTOR REGIONAL II JAKARTA 10004")</f>
        <v>KANTOR REGIONAL II JAKARTA 10004</v>
      </c>
      <c r="AN378" s="85" t="str">
        <f>IFERROR(__xludf.DUMMYFUNCTION("""COMPUTED_VALUE"""),"KCU JAKARTAOCEANIA 11000")</f>
        <v>KCU JAKARTAOCEANIA 11000</v>
      </c>
      <c r="AO378" s="85" t="str">
        <f>IFERROR(__xludf.DUMMYFUNCTION("""COMPUTED_VALUE"""),"1912240073704")</f>
        <v>1912240073704</v>
      </c>
      <c r="AP378" s="85" t="str">
        <f>IFERROR(__xludf.DUMMYFUNCTION("""COMPUTED_VALUE"""),"19122400737040001")</f>
        <v>19122400737040001</v>
      </c>
      <c r="AQ378" s="93"/>
      <c r="AR378" s="85"/>
      <c r="AS378" s="85"/>
      <c r="AT378" s="85" t="str">
        <f>IFERROR(__xludf.DUMMYFUNCTION("""COMPUTED_VALUE"""),"-6.103696")</f>
        <v>-6.103696</v>
      </c>
      <c r="AU378" s="85" t="str">
        <f>IFERROR(__xludf.DUMMYFUNCTION("""COMPUTED_VALUE"""),"106.692436")</f>
        <v>106.692436</v>
      </c>
      <c r="AV378" s="85"/>
      <c r="AW378" s="85"/>
      <c r="AX378" s="85" t="str">
        <f>IFERROR(__xludf.DUMMYFUNCTION("""COMPUTED_VALUE"""),"ü")</f>
        <v>ü</v>
      </c>
      <c r="AY378" s="85"/>
      <c r="AZ378" s="85"/>
      <c r="BA378" s="85"/>
      <c r="BB378" s="85"/>
      <c r="BC378" s="85"/>
      <c r="BD378" s="85"/>
      <c r="BE378" s="85"/>
      <c r="BF378" s="85"/>
      <c r="BG378" s="85"/>
      <c r="BH378" s="85"/>
      <c r="BI378" s="85"/>
      <c r="BJ378" s="85"/>
      <c r="BK378" s="85"/>
      <c r="BL378" s="85"/>
      <c r="BM378" s="85"/>
      <c r="BN378" s="85"/>
      <c r="BO378" s="85"/>
      <c r="BP378" s="85"/>
      <c r="BQ378" s="85"/>
      <c r="BR378" s="85"/>
      <c r="BS378" s="85"/>
      <c r="BT378" s="85"/>
      <c r="BU378" s="85"/>
      <c r="BV378" s="85"/>
      <c r="BW378" s="85"/>
      <c r="BX378" s="85"/>
      <c r="BY378" s="85"/>
      <c r="BZ378" s="85"/>
      <c r="CA378" s="85"/>
      <c r="CB378" s="85"/>
      <c r="CC378" s="85"/>
      <c r="CD378" s="85"/>
      <c r="CE378" s="85"/>
      <c r="CF378" s="85"/>
      <c r="CG378" s="85"/>
      <c r="CH378" s="85"/>
      <c r="CI378" s="85"/>
      <c r="CJ378" s="85"/>
      <c r="CK378" s="2"/>
    </row>
    <row r="379" ht="12.75" customHeight="1">
      <c r="A379" s="80">
        <f>IFERROR(__xludf.DUMMYFUNCTION("""COMPUTED_VALUE"""),376.0)</f>
        <v>376</v>
      </c>
      <c r="B379" s="80"/>
      <c r="C379" s="80"/>
      <c r="D379" s="81"/>
      <c r="E379" s="82"/>
      <c r="F379" s="80"/>
      <c r="G379" s="81"/>
      <c r="H379" s="80"/>
      <c r="I379" s="80"/>
      <c r="J379" s="80"/>
      <c r="K379" s="80"/>
      <c r="L379" s="80"/>
      <c r="M379" s="80" t="str">
        <f>IFERROR(__xludf.DUMMYFUNCTION("""COMPUTED_VALUE"""),"ü")</f>
        <v>ü</v>
      </c>
      <c r="N379" s="80"/>
      <c r="O379" s="80"/>
      <c r="P379" s="80" t="str">
        <f>IFERROR(__xludf.DUMMYFUNCTION("""COMPUTED_VALUE"""),"53BSPA09272JBEEN")</f>
        <v>53BSPA09272JBEEN</v>
      </c>
      <c r="Q379" s="80" t="str">
        <f>IFERROR(__xludf.DUMMYFUNCTION("""COMPUTED_VALUE"""),"MUC ONE STOP POINT")</f>
        <v>MUC ONE STOP POINT</v>
      </c>
      <c r="R379" s="80" t="str">
        <f>IFERROR(__xludf.DUMMYFUNCTION("""COMPUTED_VALUE"""),"MUC ONE STOP POINT")</f>
        <v>MUC ONE STOP POINT</v>
      </c>
      <c r="S379" s="80" t="str">
        <f>IFERROR(__xludf.DUMMYFUNCTION("""COMPUTED_VALUE"""),"SUGENG SYAHYUDI")</f>
        <v>SUGENG SYAHYUDI</v>
      </c>
      <c r="T379" s="80" t="str">
        <f>IFERROR(__xludf.DUMMYFUNCTION("""COMPUTED_VALUE"""),"PERUM PURI III BLOK A.8 26 RT.003 RW.011 KEL. PASIR NANGKA KEC. TIGARAKSA, KAB.TANGERANG BANTEN")</f>
        <v>PERUM PURI III BLOK A.8 26 RT.003 RW.011 KEL. PASIR NANGKA KEC. TIGARAKSA, KAB.TANGERANG BANTEN</v>
      </c>
      <c r="U379" s="80" t="str">
        <f>IFERROR(__xludf.DUMMYFUNCTION("""COMPUTED_VALUE"""),"JL. ARIA JAYA SANTIKA NO.26")</f>
        <v>JL. ARIA JAYA SANTIKA NO.26</v>
      </c>
      <c r="V379" s="80"/>
      <c r="W379" s="80" t="str">
        <f>IFERROR(__xludf.DUMMYFUNCTION("""COMPUTED_VALUE"""),"PASIR NANGKA")</f>
        <v>PASIR NANGKA</v>
      </c>
      <c r="X379" s="80" t="str">
        <f>IFERROR(__xludf.DUMMYFUNCTION("""COMPUTED_VALUE"""),"TIGARAKSA")</f>
        <v>TIGARAKSA</v>
      </c>
      <c r="Y379" s="80" t="str">
        <f>IFERROR(__xludf.DUMMYFUNCTION("""COMPUTED_VALUE"""),"KAB. TANGERANG")</f>
        <v>KAB. TANGERANG</v>
      </c>
      <c r="Z379" s="80" t="str">
        <f>IFERROR(__xludf.DUMMYFUNCTION("""COMPUTED_VALUE"""),"BANTEN")</f>
        <v>BANTEN</v>
      </c>
      <c r="AA379" s="80" t="str">
        <f>IFERROR(__xludf.DUMMYFUNCTION("""COMPUTED_VALUE"""),"15720")</f>
        <v>15720</v>
      </c>
      <c r="AB379" s="80" t="str">
        <f>IFERROR(__xludf.DUMMYFUNCTION("""COMPUTED_VALUE"""),"3603031906840007")</f>
        <v>3603031906840007</v>
      </c>
      <c r="AC379" s="80" t="str">
        <f>IFERROR(__xludf.DUMMYFUNCTION("""COMPUTED_VALUE"""),"57.807.641.6-009.000")</f>
        <v>57.807.641.6-009.000</v>
      </c>
      <c r="AD379" s="80" t="str">
        <f>IFERROR(__xludf.DUMMYFUNCTION("""COMPUTED_VALUE"""),"CUM - EEN")</f>
        <v>CUM - EEN</v>
      </c>
      <c r="AE379" s="80" t="str">
        <f>IFERROR(__xludf.DUMMYFUNCTION("""COMPUTED_VALUE"""),"SUB EEN")</f>
        <v>SUB EEN</v>
      </c>
      <c r="AF379" s="80" t="str">
        <f>IFERROR(__xludf.DUMMYFUNCTION("""COMPUTED_VALUE"""),"085285000677")</f>
        <v>085285000677</v>
      </c>
      <c r="AG379" s="80"/>
      <c r="AH379" s="80" t="str">
        <f>IFERROR(__xludf.DUMMYFUNCTION("""COMPUTED_VALUE"""),"onestoppoint1020@gmail.com")</f>
        <v>onestoppoint1020@gmail.com</v>
      </c>
      <c r="AI379" s="80" t="str">
        <f>IFERROR(__xludf.DUMMYFUNCTION("""COMPUTED_VALUE"""),"15937S1")</f>
        <v>15937S1</v>
      </c>
      <c r="AJ379" s="80" t="str">
        <f>IFERROR(__xludf.DUMMYFUNCTION("""COMPUTED_VALUE"""),"6773f4ea0e49474ca00d4979")</f>
        <v>6773f4ea0e49474ca00d4979</v>
      </c>
      <c r="AK379" s="80" t="str">
        <f>IFERROR(__xludf.DUMMYFUNCTION("""COMPUTED_VALUE"""),"dm15937s1")</f>
        <v>dm15937s1</v>
      </c>
      <c r="AL379" s="80" t="str">
        <f>IFERROR(__xludf.DUMMYFUNCTION("""COMPUTED_VALUE"""),"#15937Pos")</f>
        <v>#15937Pos</v>
      </c>
      <c r="AM379" s="80" t="str">
        <f>IFERROR(__xludf.DUMMYFUNCTION("""COMPUTED_VALUE"""),"KANTOR REGIONAL II JAKARTA 10004")</f>
        <v>KANTOR REGIONAL II JAKARTA 10004</v>
      </c>
      <c r="AN379" s="80" t="str">
        <f>IFERROR(__xludf.DUMMYFUNCTION("""COMPUTED_VALUE"""),"KCU TANGERANG 15000")</f>
        <v>KCU TANGERANG 15000</v>
      </c>
      <c r="AO379" s="80" t="str">
        <f>IFERROR(__xludf.DUMMYFUNCTION("""COMPUTED_VALUE"""),"0296011110367")</f>
        <v>0296011110367</v>
      </c>
      <c r="AP379" s="80" t="str">
        <f>IFERROR(__xludf.DUMMYFUNCTION("""COMPUTED_VALUE"""),"02960111103670001")</f>
        <v>02960111103670001</v>
      </c>
      <c r="AQ379" s="83"/>
      <c r="AR379" s="80"/>
      <c r="AS379" s="80"/>
      <c r="AT379" s="80" t="str">
        <f>IFERROR(__xludf.DUMMYFUNCTION("""COMPUTED_VALUE"""),"-6.243186")</f>
        <v>-6.243186</v>
      </c>
      <c r="AU379" s="80" t="str">
        <f>IFERROR(__xludf.DUMMYFUNCTION("""COMPUTED_VALUE"""),"106.472094")</f>
        <v>106.472094</v>
      </c>
      <c r="AV379" s="80"/>
      <c r="AW379" s="80"/>
      <c r="AX379" s="80" t="str">
        <f>IFERROR(__xludf.DUMMYFUNCTION("""COMPUTED_VALUE"""),"ü")</f>
        <v>ü</v>
      </c>
      <c r="AY379" s="80"/>
      <c r="AZ379" s="80"/>
      <c r="BA379" s="80"/>
      <c r="BB379" s="80"/>
      <c r="BC379" s="80"/>
      <c r="BD379" s="80"/>
      <c r="BE379" s="80"/>
      <c r="BF379" s="80"/>
      <c r="BG379" s="80"/>
      <c r="BH379" s="80"/>
      <c r="BI379" s="80"/>
      <c r="BJ379" s="80"/>
      <c r="BK379" s="80"/>
      <c r="BL379" s="80"/>
      <c r="BM379" s="80"/>
      <c r="BN379" s="80"/>
      <c r="BO379" s="80"/>
      <c r="BP379" s="80"/>
      <c r="BQ379" s="80"/>
      <c r="BR379" s="80"/>
      <c r="BS379" s="80"/>
      <c r="BT379" s="80"/>
      <c r="BU379" s="80"/>
      <c r="BV379" s="80"/>
      <c r="BW379" s="80"/>
      <c r="BX379" s="80"/>
      <c r="BY379" s="80"/>
      <c r="BZ379" s="80"/>
      <c r="CA379" s="80"/>
      <c r="CB379" s="80"/>
      <c r="CC379" s="80"/>
      <c r="CD379" s="80"/>
      <c r="CE379" s="80"/>
      <c r="CF379" s="80"/>
      <c r="CG379" s="80"/>
      <c r="CH379" s="80"/>
      <c r="CI379" s="80"/>
      <c r="CJ379" s="80"/>
      <c r="CK379" s="2"/>
    </row>
    <row r="380" ht="12.75" customHeight="1">
      <c r="A380" s="85">
        <f>IFERROR(__xludf.DUMMYFUNCTION("""COMPUTED_VALUE"""),377.0)</f>
        <v>377</v>
      </c>
      <c r="B380" s="85"/>
      <c r="C380" s="85"/>
      <c r="D380" s="86"/>
      <c r="E380" s="88"/>
      <c r="F380" s="85"/>
      <c r="G380" s="86"/>
      <c r="H380" s="85"/>
      <c r="I380" s="85"/>
      <c r="J380" s="85"/>
      <c r="K380" s="85"/>
      <c r="L380" s="85"/>
      <c r="M380" s="85" t="str">
        <f>IFERROR(__xludf.DUMMYFUNCTION("""COMPUTED_VALUE"""),"ü")</f>
        <v>ü</v>
      </c>
      <c r="N380" s="85"/>
      <c r="O380" s="85"/>
      <c r="P380" s="85" t="str">
        <f>IFERROR(__xludf.DUMMYFUNCTION("""COMPUTED_VALUE"""),"MUCSPA63070PSIND")</f>
        <v>MUCSPA63070PSIND</v>
      </c>
      <c r="Q380" s="85" t="str">
        <f>IFERROR(__xludf.DUMMYFUNCTION("""COMPUTED_VALUE"""),"MUC GRAHA POST")</f>
        <v>MUC GRAHA POST</v>
      </c>
      <c r="R380" s="85" t="str">
        <f>IFERROR(__xludf.DUMMYFUNCTION("""COMPUTED_VALUE"""),"MUC GRAHA POST")</f>
        <v>MUC GRAHA POST</v>
      </c>
      <c r="S380" s="85" t="str">
        <f>IFERROR(__xludf.DUMMYFUNCTION("""COMPUTED_VALUE"""),"DWI LISTYADEWI")</f>
        <v>DWI LISTYADEWI</v>
      </c>
      <c r="T380" s="85" t="str">
        <f>IFERROR(__xludf.DUMMYFUNCTION("""COMPUTED_VALUE"""),"JL.CITARUM 8A NO.25 BLOK A11 RT.04 RW.07, SIMPANGAN, CIKARANG UTARA, KAB. BEKASI")</f>
        <v>JL.CITARUM 8A NO.25 BLOK A11 RT.04 RW.07, SIMPANGAN, CIKARANG UTARA, KAB. BEKASI</v>
      </c>
      <c r="U380" s="85" t="str">
        <f>IFERROR(__xludf.DUMMYFUNCTION("""COMPUTED_VALUE"""),"GRAHA PEMDA BLOK A.11 JL.CITARUM 8A NO.25")</f>
        <v>GRAHA PEMDA BLOK A.11 JL.CITARUM 8A NO.25</v>
      </c>
      <c r="V380" s="85"/>
      <c r="W380" s="85" t="str">
        <f>IFERROR(__xludf.DUMMYFUNCTION("""COMPUTED_VALUE"""),"SIMPANGAN")</f>
        <v>SIMPANGAN</v>
      </c>
      <c r="X380" s="85" t="str">
        <f>IFERROR(__xludf.DUMMYFUNCTION("""COMPUTED_VALUE"""),"CIKARANG UTARA")</f>
        <v>CIKARANG UTARA</v>
      </c>
      <c r="Y380" s="85" t="str">
        <f>IFERROR(__xludf.DUMMYFUNCTION("""COMPUTED_VALUE"""),"KAB.BEKASI")</f>
        <v>KAB.BEKASI</v>
      </c>
      <c r="Z380" s="85" t="str">
        <f>IFERROR(__xludf.DUMMYFUNCTION("""COMPUTED_VALUE"""),"JAWA BARAT")</f>
        <v>JAWA BARAT</v>
      </c>
      <c r="AA380" s="85" t="str">
        <f>IFERROR(__xludf.DUMMYFUNCTION("""COMPUTED_VALUE"""),"17836")</f>
        <v>17836</v>
      </c>
      <c r="AB380" s="85" t="str">
        <f>IFERROR(__xludf.DUMMYFUNCTION("""COMPUTED_VALUE"""),"3216096002710003")</f>
        <v>3216096002710003</v>
      </c>
      <c r="AC380" s="85" t="str">
        <f>IFERROR(__xludf.DUMMYFUNCTION("""COMPUTED_VALUE"""),"69.720.885.8-414.000")</f>
        <v>69.720.885.8-414.000</v>
      </c>
      <c r="AD380" s="85" t="str">
        <f>IFERROR(__xludf.DUMMYFUNCTION("""COMPUTED_VALUE"""),"CUM - PS - JMN")</f>
        <v>CUM - PS - JMN</v>
      </c>
      <c r="AE380" s="85" t="str">
        <f>IFERROR(__xludf.DUMMYFUNCTION("""COMPUTED_VALUE"""),"SUB JAMJAM POS")</f>
        <v>SUB JAMJAM POS</v>
      </c>
      <c r="AF380" s="85" t="str">
        <f>IFERROR(__xludf.DUMMYFUNCTION("""COMPUTED_VALUE"""),"08989086161")</f>
        <v>08989086161</v>
      </c>
      <c r="AG380" s="85"/>
      <c r="AH380" s="85" t="str">
        <f>IFERROR(__xludf.DUMMYFUNCTION("""COMPUTED_VALUE"""),"dwiwanti.listyadewi@gmail.com")</f>
        <v>dwiwanti.listyadewi@gmail.com</v>
      </c>
      <c r="AI380" s="85" t="str">
        <f>IFERROR(__xludf.DUMMYFUNCTION("""COMPUTED_VALUE"""),"17836S3")</f>
        <v>17836S3</v>
      </c>
      <c r="AJ380" s="85" t="str">
        <f>IFERROR(__xludf.DUMMYFUNCTION("""COMPUTED_VALUE"""),"6780d34760f7eca1be04dbf9")</f>
        <v>6780d34760f7eca1be04dbf9</v>
      </c>
      <c r="AK380" s="85" t="str">
        <f>IFERROR(__xludf.DUMMYFUNCTION("""COMPUTED_VALUE"""),"dm17836s3")</f>
        <v>dm17836s3</v>
      </c>
      <c r="AL380" s="85" t="str">
        <f>IFERROR(__xludf.DUMMYFUNCTION("""COMPUTED_VALUE"""),"#17836Pos")</f>
        <v>#17836Pos</v>
      </c>
      <c r="AM380" s="85" t="str">
        <f>IFERROR(__xludf.DUMMYFUNCTION("""COMPUTED_VALUE"""),"KANTOR REGIONAL II JAKARTA 10004")</f>
        <v>KANTOR REGIONAL II JAKARTA 10004</v>
      </c>
      <c r="AN380" s="85" t="str">
        <f>IFERROR(__xludf.DUMMYFUNCTION("""COMPUTED_VALUE"""),"KC CIKARANG 17500")</f>
        <v>KC CIKARANG 17500</v>
      </c>
      <c r="AO380" s="85" t="str">
        <f>IFERROR(__xludf.DUMMYFUNCTION("""COMPUTED_VALUE"""),"2111240029054")</f>
        <v>2111240029054</v>
      </c>
      <c r="AP380" s="85" t="str">
        <f>IFERROR(__xludf.DUMMYFUNCTION("""COMPUTED_VALUE"""),"21112400290540001")</f>
        <v>21112400290540001</v>
      </c>
      <c r="AQ380" s="93"/>
      <c r="AR380" s="85"/>
      <c r="AS380" s="85"/>
      <c r="AT380" s="85" t="str">
        <f>IFERROR(__xludf.DUMMYFUNCTION("""COMPUTED_VALUE"""),"-6.273469")</f>
        <v>-6.273469</v>
      </c>
      <c r="AU380" s="85" t="str">
        <f>IFERROR(__xludf.DUMMYFUNCTION("""COMPUTED_VALUE"""),"107.182200")</f>
        <v>107.182200</v>
      </c>
      <c r="AV380" s="85"/>
      <c r="AW380" s="85"/>
      <c r="AX380" s="85" t="str">
        <f>IFERROR(__xludf.DUMMYFUNCTION("""COMPUTED_VALUE"""),"ü")</f>
        <v>ü</v>
      </c>
      <c r="AY380" s="85"/>
      <c r="AZ380" s="85"/>
      <c r="BA380" s="85"/>
      <c r="BB380" s="85"/>
      <c r="BC380" s="85"/>
      <c r="BD380" s="85"/>
      <c r="BE380" s="85"/>
      <c r="BF380" s="85"/>
      <c r="BG380" s="85"/>
      <c r="BH380" s="85"/>
      <c r="BI380" s="85"/>
      <c r="BJ380" s="85"/>
      <c r="BK380" s="85"/>
      <c r="BL380" s="85"/>
      <c r="BM380" s="85"/>
      <c r="BN380" s="85"/>
      <c r="BO380" s="85"/>
      <c r="BP380" s="85"/>
      <c r="BQ380" s="85"/>
      <c r="BR380" s="85"/>
      <c r="BS380" s="85"/>
      <c r="BT380" s="85"/>
      <c r="BU380" s="85"/>
      <c r="BV380" s="85"/>
      <c r="BW380" s="85"/>
      <c r="BX380" s="85"/>
      <c r="BY380" s="85"/>
      <c r="BZ380" s="85"/>
      <c r="CA380" s="85"/>
      <c r="CB380" s="85"/>
      <c r="CC380" s="85"/>
      <c r="CD380" s="85"/>
      <c r="CE380" s="85"/>
      <c r="CF380" s="85"/>
      <c r="CG380" s="85"/>
      <c r="CH380" s="85"/>
      <c r="CI380" s="85"/>
      <c r="CJ380" s="85"/>
      <c r="CK380" s="2"/>
    </row>
    <row r="381" ht="12.75" customHeight="1">
      <c r="A381" s="80">
        <f>IFERROR(__xludf.DUMMYFUNCTION("""COMPUTED_VALUE"""),378.0)</f>
        <v>378</v>
      </c>
      <c r="B381" s="80"/>
      <c r="C381" s="80"/>
      <c r="D381" s="81"/>
      <c r="E381" s="82"/>
      <c r="F381" s="80"/>
      <c r="G381" s="81"/>
      <c r="H381" s="80"/>
      <c r="I381" s="80"/>
      <c r="J381" s="80"/>
      <c r="K381" s="80"/>
      <c r="L381" s="80"/>
      <c r="M381" s="80" t="str">
        <f>IFERROR(__xludf.DUMMYFUNCTION("""COMPUTED_VALUE"""),"ü")</f>
        <v>ü</v>
      </c>
      <c r="N381" s="80"/>
      <c r="O381" s="80"/>
      <c r="P381" s="80" t="str">
        <f>IFERROR(__xludf.DUMMYFUNCTION("""COMPUTED_VALUE"""),"53BSPA09275JBEEN")</f>
        <v>53BSPA09275JBEEN</v>
      </c>
      <c r="Q381" s="80" t="str">
        <f>IFERROR(__xludf.DUMMYFUNCTION("""COMPUTED_VALUE"""),"MUC PEMBURU CUAN 11470")</f>
        <v>MUC PEMBURU CUAN 11470</v>
      </c>
      <c r="R381" s="80" t="str">
        <f>IFERROR(__xludf.DUMMYFUNCTION("""COMPUTED_VALUE"""),"MUC PEMBURU CUAN 11470")</f>
        <v>MUC PEMBURU CUAN 11470</v>
      </c>
      <c r="S381" s="80" t="str">
        <f>IFERROR(__xludf.DUMMYFUNCTION("""COMPUTED_VALUE"""),"Raymond Powers Tenggario")</f>
        <v>Raymond Powers Tenggario</v>
      </c>
      <c r="T381" s="80" t="str">
        <f>IFERROR(__xludf.DUMMYFUNCTION("""COMPUTED_VALUE"""),"JL. GANDHI NO6-J-48 MEDAN KEL. SEI RENGAS I KEC. MEDAN KOTA KOTA MEDAN SUMATERA UTARA")</f>
        <v>JL. GANDHI NO6-J-48 MEDAN KEL. SEI RENGAS I KEC. MEDAN KOTA KOTA MEDAN SUMATERA UTARA</v>
      </c>
      <c r="U381" s="80" t="str">
        <f>IFERROR(__xludf.DUMMYFUNCTION("""COMPUTED_VALUE"""),"Tower K (Kenanga) Mediterania Garden Residences 2 Jalan Podomoro Avenue RW 05")</f>
        <v>Tower K (Kenanga) Mediterania Garden Residences 2 Jalan Podomoro Avenue RW 05</v>
      </c>
      <c r="V381" s="80"/>
      <c r="W381" s="80" t="str">
        <f>IFERROR(__xludf.DUMMYFUNCTION("""COMPUTED_VALUE"""),"Tanjung Duren Selatan ")</f>
        <v>Tanjung Duren Selatan </v>
      </c>
      <c r="X381" s="80" t="str">
        <f>IFERROR(__xludf.DUMMYFUNCTION("""COMPUTED_VALUE"""),"Grogol Petamburan")</f>
        <v>Grogol Petamburan</v>
      </c>
      <c r="Y381" s="80" t="str">
        <f>IFERROR(__xludf.DUMMYFUNCTION("""COMPUTED_VALUE"""),"Jakarta Barat")</f>
        <v>Jakarta Barat</v>
      </c>
      <c r="Z381" s="80" t="str">
        <f>IFERROR(__xludf.DUMMYFUNCTION("""COMPUTED_VALUE"""),"DKI JAKARTA")</f>
        <v>DKI JAKARTA</v>
      </c>
      <c r="AA381" s="80" t="str">
        <f>IFERROR(__xludf.DUMMYFUNCTION("""COMPUTED_VALUE"""),"11470")</f>
        <v>11470</v>
      </c>
      <c r="AB381" s="80" t="str">
        <f>IFERROR(__xludf.DUMMYFUNCTION("""COMPUTED_VALUE"""),"1271010707900001")</f>
        <v>1271010707900001</v>
      </c>
      <c r="AC381" s="80" t="str">
        <f>IFERROR(__xludf.DUMMYFUNCTION("""COMPUTED_VALUE"""),"45.145.885.5-122.000")</f>
        <v>45.145.885.5-122.000</v>
      </c>
      <c r="AD381" s="80" t="str">
        <f>IFERROR(__xludf.DUMMYFUNCTION("""COMPUTED_VALUE"""),"CUM - EEN")</f>
        <v>CUM - EEN</v>
      </c>
      <c r="AE381" s="80" t="str">
        <f>IFERROR(__xludf.DUMMYFUNCTION("""COMPUTED_VALUE"""),"SUB EEN")</f>
        <v>SUB EEN</v>
      </c>
      <c r="AF381" s="80" t="str">
        <f>IFERROR(__xludf.DUMMYFUNCTION("""COMPUTED_VALUE"""),"089611668888")</f>
        <v>089611668888</v>
      </c>
      <c r="AG381" s="80"/>
      <c r="AH381" s="80" t="str">
        <f>IFERROR(__xludf.DUMMYFUNCTION("""COMPUTED_VALUE"""),"pemburucuan@icloud.com")</f>
        <v>pemburucuan@icloud.com</v>
      </c>
      <c r="AI381" s="80" t="str">
        <f>IFERROR(__xludf.DUMMYFUNCTION("""COMPUTED_VALUE"""),"11470S1")</f>
        <v>11470S1</v>
      </c>
      <c r="AJ381" s="80" t="str">
        <f>IFERROR(__xludf.DUMMYFUNCTION("""COMPUTED_VALUE"""),"676e61d74e78b105340e2ea2")</f>
        <v>676e61d74e78b105340e2ea2</v>
      </c>
      <c r="AK381" s="80" t="str">
        <f>IFERROR(__xludf.DUMMYFUNCTION("""COMPUTED_VALUE"""),"dm11470s1")</f>
        <v>dm11470s1</v>
      </c>
      <c r="AL381" s="80" t="str">
        <f>IFERROR(__xludf.DUMMYFUNCTION("""COMPUTED_VALUE"""),"#11470Pos")</f>
        <v>#11470Pos</v>
      </c>
      <c r="AM381" s="80" t="str">
        <f>IFERROR(__xludf.DUMMYFUNCTION("""COMPUTED_VALUE"""),"KANTOR REGIONAL II JAKARTA 10004")</f>
        <v>KANTOR REGIONAL II JAKARTA 10004</v>
      </c>
      <c r="AN381" s="80" t="str">
        <f>IFERROR(__xludf.DUMMYFUNCTION("""COMPUTED_VALUE"""),"KCU JAKARTAOCEANIA 11000")</f>
        <v>KCU JAKARTAOCEANIA 11000</v>
      </c>
      <c r="AO381" s="80" t="str">
        <f>IFERROR(__xludf.DUMMYFUNCTION("""COMPUTED_VALUE"""),"1606230072996")</f>
        <v>1606230072996</v>
      </c>
      <c r="AP381" s="80" t="str">
        <f>IFERROR(__xludf.DUMMYFUNCTION("""COMPUTED_VALUE"""),"16062300729960001")</f>
        <v>16062300729960001</v>
      </c>
      <c r="AQ381" s="83"/>
      <c r="AR381" s="80"/>
      <c r="AS381" s="80"/>
      <c r="AT381" s="80" t="str">
        <f>IFERROR(__xludf.DUMMYFUNCTION("""COMPUTED_VALUE"""),"-6.17595 ")</f>
        <v>-6.17595 </v>
      </c>
      <c r="AU381" s="80" t="str">
        <f>IFERROR(__xludf.DUMMYFUNCTION("""COMPUTED_VALUE"""),"106.78855")</f>
        <v>106.78855</v>
      </c>
      <c r="AV381" s="80"/>
      <c r="AW381" s="80"/>
      <c r="AX381" s="80" t="str">
        <f>IFERROR(__xludf.DUMMYFUNCTION("""COMPUTED_VALUE"""),"ü")</f>
        <v>ü</v>
      </c>
      <c r="AY381" s="80"/>
      <c r="AZ381" s="80"/>
      <c r="BA381" s="80"/>
      <c r="BB381" s="80"/>
      <c r="BC381" s="80"/>
      <c r="BD381" s="80"/>
      <c r="BE381" s="80"/>
      <c r="BF381" s="80"/>
      <c r="BG381" s="80"/>
      <c r="BH381" s="80"/>
      <c r="BI381" s="80"/>
      <c r="BJ381" s="80"/>
      <c r="BK381" s="80"/>
      <c r="BL381" s="80"/>
      <c r="BM381" s="80"/>
      <c r="BN381" s="80"/>
      <c r="BO381" s="80"/>
      <c r="BP381" s="80"/>
      <c r="BQ381" s="80"/>
      <c r="BR381" s="80"/>
      <c r="BS381" s="80"/>
      <c r="BT381" s="80"/>
      <c r="BU381" s="80"/>
      <c r="BV381" s="80"/>
      <c r="BW381" s="80"/>
      <c r="BX381" s="80"/>
      <c r="BY381" s="80"/>
      <c r="BZ381" s="80"/>
      <c r="CA381" s="80"/>
      <c r="CB381" s="80"/>
      <c r="CC381" s="80"/>
      <c r="CD381" s="80"/>
      <c r="CE381" s="80"/>
      <c r="CF381" s="80"/>
      <c r="CG381" s="80"/>
      <c r="CH381" s="80"/>
      <c r="CI381" s="80"/>
      <c r="CJ381" s="80"/>
      <c r="CK381" s="2"/>
    </row>
    <row r="382" ht="12.75" customHeight="1">
      <c r="A382" s="85">
        <f>IFERROR(__xludf.DUMMYFUNCTION("""COMPUTED_VALUE"""),379.0)</f>
        <v>379</v>
      </c>
      <c r="B382" s="85"/>
      <c r="C382" s="85"/>
      <c r="D382" s="86"/>
      <c r="E382" s="88"/>
      <c r="F382" s="85"/>
      <c r="G382" s="86"/>
      <c r="H382" s="85"/>
      <c r="I382" s="85"/>
      <c r="J382" s="85"/>
      <c r="K382" s="85"/>
      <c r="L382" s="85"/>
      <c r="M382" s="85" t="str">
        <f>IFERROR(__xludf.DUMMYFUNCTION("""COMPUTED_VALUE"""),"ü")</f>
        <v>ü</v>
      </c>
      <c r="N382" s="85"/>
      <c r="O382" s="85"/>
      <c r="P382" s="85" t="str">
        <f>IFERROR(__xludf.DUMMYFUNCTION("""COMPUTED_VALUE"""),"53BSPA09288JBEEN")</f>
        <v>53BSPA09288JBEEN</v>
      </c>
      <c r="Q382" s="85" t="str">
        <f>IFERROR(__xludf.DUMMYFUNCTION("""COMPUTED_VALUE"""),"MUC NOEN")</f>
        <v>MUC NOEN</v>
      </c>
      <c r="R382" s="85" t="str">
        <f>IFERROR(__xludf.DUMMYFUNCTION("""COMPUTED_VALUE"""),"MUC NOEN")</f>
        <v>MUC NOEN</v>
      </c>
      <c r="S382" s="85" t="str">
        <f>IFERROR(__xludf.DUMMYFUNCTION("""COMPUTED_VALUE"""),"MUKHLASH AMALI")</f>
        <v>MUKHLASH AMALI</v>
      </c>
      <c r="T382" s="85" t="str">
        <f>IFERROR(__xludf.DUMMYFUNCTION("""COMPUTED_VALUE"""),"KP. SRENGSENG JAYA RT.002 RW.002 KEL.SUKADARMA KEC.SUKATANI, KAB. BEKASI JAWA BARAT")</f>
        <v>KP. SRENGSENG JAYA RT.002 RW.002 KEL.SUKADARMA KEC.SUKATANI, KAB. BEKASI JAWA BARAT</v>
      </c>
      <c r="U382" s="85" t="str">
        <f>IFERROR(__xludf.DUMMYFUNCTION("""COMPUTED_VALUE"""),"JL. RAYA SUKATANI NO.100 RT 002 RW 002 KP SRENGSENG JAYA ")</f>
        <v>JL. RAYA SUKATANI NO.100 RT 002 RW 002 KP SRENGSENG JAYA </v>
      </c>
      <c r="V382" s="85"/>
      <c r="W382" s="85" t="str">
        <f>IFERROR(__xludf.DUMMYFUNCTION("""COMPUTED_VALUE"""),"SUKADARMA ")</f>
        <v>SUKADARMA </v>
      </c>
      <c r="X382" s="85" t="str">
        <f>IFERROR(__xludf.DUMMYFUNCTION("""COMPUTED_VALUE"""),"SUKATANI ")</f>
        <v>SUKATANI </v>
      </c>
      <c r="Y382" s="85" t="str">
        <f>IFERROR(__xludf.DUMMYFUNCTION("""COMPUTED_VALUE"""),"KAB. BEKASI")</f>
        <v>KAB. BEKASI</v>
      </c>
      <c r="Z382" s="85" t="str">
        <f>IFERROR(__xludf.DUMMYFUNCTION("""COMPUTED_VALUE"""),"JAWA BARAT")</f>
        <v>JAWA BARAT</v>
      </c>
      <c r="AA382" s="85" t="str">
        <f>IFERROR(__xludf.DUMMYFUNCTION("""COMPUTED_VALUE"""),"17630")</f>
        <v>17630</v>
      </c>
      <c r="AB382" s="85" t="str">
        <f>IFERROR(__xludf.DUMMYFUNCTION("""COMPUTED_VALUE"""),"3216151811990001 ")</f>
        <v>3216151811990001 </v>
      </c>
      <c r="AC382" s="85" t="str">
        <f>IFERROR(__xludf.DUMMYFUNCTION("""COMPUTED_VALUE"""),"53.261.835.2-414.000")</f>
        <v>53.261.835.2-414.000</v>
      </c>
      <c r="AD382" s="85" t="str">
        <f>IFERROR(__xludf.DUMMYFUNCTION("""COMPUTED_VALUE"""),"CUM - EEN")</f>
        <v>CUM - EEN</v>
      </c>
      <c r="AE382" s="85" t="str">
        <f>IFERROR(__xludf.DUMMYFUNCTION("""COMPUTED_VALUE"""),"SUB EEN")</f>
        <v>SUB EEN</v>
      </c>
      <c r="AF382" s="85" t="str">
        <f>IFERROR(__xludf.DUMMYFUNCTION("""COMPUTED_VALUE"""),"083892306602")</f>
        <v>083892306602</v>
      </c>
      <c r="AG382" s="85"/>
      <c r="AH382" s="85" t="str">
        <f>IFERROR(__xludf.DUMMYFUNCTION("""COMPUTED_VALUE"""),"yarabbrm@gmail.com")</f>
        <v>yarabbrm@gmail.com</v>
      </c>
      <c r="AI382" s="85" t="str">
        <f>IFERROR(__xludf.DUMMYFUNCTION("""COMPUTED_VALUE"""),"17632S2")</f>
        <v>17632S2</v>
      </c>
      <c r="AJ382" s="85" t="str">
        <f>IFERROR(__xludf.DUMMYFUNCTION("""COMPUTED_VALUE"""),"677f73fe9eb7b20fa20f5985")</f>
        <v>677f73fe9eb7b20fa20f5985</v>
      </c>
      <c r="AK382" s="85" t="str">
        <f>IFERROR(__xludf.DUMMYFUNCTION("""COMPUTED_VALUE"""),"dm17632s2")</f>
        <v>dm17632s2</v>
      </c>
      <c r="AL382" s="85" t="str">
        <f>IFERROR(__xludf.DUMMYFUNCTION("""COMPUTED_VALUE"""),"#17632Pos")</f>
        <v>#17632Pos</v>
      </c>
      <c r="AM382" s="85" t="str">
        <f>IFERROR(__xludf.DUMMYFUNCTION("""COMPUTED_VALUE"""),"KANTOR REGIONAL II JAKARTA 10004")</f>
        <v>KANTOR REGIONAL II JAKARTA 10004</v>
      </c>
      <c r="AN382" s="85" t="str">
        <f>IFERROR(__xludf.DUMMYFUNCTION("""COMPUTED_VALUE"""),"KC CIKARANG 17500")</f>
        <v>KC CIKARANG 17500</v>
      </c>
      <c r="AO382" s="85" t="str">
        <f>IFERROR(__xludf.DUMMYFUNCTION("""COMPUTED_VALUE"""),"0702240082305")</f>
        <v>0702240082305</v>
      </c>
      <c r="AP382" s="85" t="str">
        <f>IFERROR(__xludf.DUMMYFUNCTION("""COMPUTED_VALUE"""),"07022400823050001")</f>
        <v>07022400823050001</v>
      </c>
      <c r="AQ382" s="93"/>
      <c r="AR382" s="85"/>
      <c r="AS382" s="85"/>
      <c r="AT382" s="85" t="str">
        <f>IFERROR(__xludf.DUMMYFUNCTION("""COMPUTED_VALUE"""),"-6.167799")</f>
        <v>-6.167799</v>
      </c>
      <c r="AU382" s="85" t="str">
        <f>IFERROR(__xludf.DUMMYFUNCTION("""COMPUTED_VALUE"""),"107.177955")</f>
        <v>107.177955</v>
      </c>
      <c r="AV382" s="85"/>
      <c r="AW382" s="85"/>
      <c r="AX382" s="85" t="str">
        <f>IFERROR(__xludf.DUMMYFUNCTION("""COMPUTED_VALUE"""),"ü")</f>
        <v>ü</v>
      </c>
      <c r="AY382" s="85"/>
      <c r="AZ382" s="85"/>
      <c r="BA382" s="85"/>
      <c r="BB382" s="85"/>
      <c r="BC382" s="85"/>
      <c r="BD382" s="85"/>
      <c r="BE382" s="85"/>
      <c r="BF382" s="85"/>
      <c r="BG382" s="85"/>
      <c r="BH382" s="85"/>
      <c r="BI382" s="85"/>
      <c r="BJ382" s="85"/>
      <c r="BK382" s="85"/>
      <c r="BL382" s="85"/>
      <c r="BM382" s="85"/>
      <c r="BN382" s="85"/>
      <c r="BO382" s="85"/>
      <c r="BP382" s="85"/>
      <c r="BQ382" s="85"/>
      <c r="BR382" s="85"/>
      <c r="BS382" s="85"/>
      <c r="BT382" s="85"/>
      <c r="BU382" s="85"/>
      <c r="BV382" s="85"/>
      <c r="BW382" s="85"/>
      <c r="BX382" s="85"/>
      <c r="BY382" s="85"/>
      <c r="BZ382" s="85"/>
      <c r="CA382" s="85"/>
      <c r="CB382" s="85"/>
      <c r="CC382" s="85"/>
      <c r="CD382" s="85"/>
      <c r="CE382" s="85"/>
      <c r="CF382" s="85"/>
      <c r="CG382" s="85"/>
      <c r="CH382" s="85"/>
      <c r="CI382" s="85"/>
      <c r="CJ382" s="85"/>
      <c r="CK382" s="2"/>
    </row>
    <row r="383" ht="12.75" customHeight="1">
      <c r="A383" s="80">
        <f>IFERROR(__xludf.DUMMYFUNCTION("""COMPUTED_VALUE"""),380.0)</f>
        <v>380</v>
      </c>
      <c r="B383" s="80"/>
      <c r="C383" s="80"/>
      <c r="D383" s="81"/>
      <c r="E383" s="82"/>
      <c r="F383" s="80"/>
      <c r="G383" s="81"/>
      <c r="H383" s="80"/>
      <c r="I383" s="80"/>
      <c r="J383" s="80"/>
      <c r="K383" s="80"/>
      <c r="L383" s="80"/>
      <c r="M383" s="80" t="str">
        <f>IFERROR(__xludf.DUMMYFUNCTION("""COMPUTED_VALUE"""),"ü")</f>
        <v>ü</v>
      </c>
      <c r="N383" s="80"/>
      <c r="O383" s="80"/>
      <c r="P383" s="80" t="str">
        <f>IFERROR(__xludf.DUMMYFUNCTION("""COMPUTED_VALUE"""),"53BSPA09289JBEEN")</f>
        <v>53BSPA09289JBEEN</v>
      </c>
      <c r="Q383" s="80" t="str">
        <f>IFERROR(__xludf.DUMMYFUNCTION("""COMPUTED_VALUE"""),"MUC Semanan")</f>
        <v>MUC Semanan</v>
      </c>
      <c r="R383" s="80" t="str">
        <f>IFERROR(__xludf.DUMMYFUNCTION("""COMPUTED_VALUE"""),"MUC Semanan")</f>
        <v>MUC Semanan</v>
      </c>
      <c r="S383" s="80" t="str">
        <f>IFERROR(__xludf.DUMMYFUNCTION("""COMPUTED_VALUE"""),"Suwandi Harjono ")</f>
        <v>Suwandi Harjono </v>
      </c>
      <c r="T383" s="80" t="str">
        <f>IFERROR(__xludf.DUMMYFUNCTION("""COMPUTED_VALUE"""),"PERUM GRIYA GRAHA RAHMA KARTIKA II RT.001 RW.006 KEL. TAJUR KEC. CILEDUG KOTA TANGERANG")</f>
        <v>PERUM GRIYA GRAHA RAHMA KARTIKA II RT.001 RW.006 KEL. TAJUR KEC. CILEDUG KOTA TANGERANG</v>
      </c>
      <c r="U383" s="80" t="str">
        <f>IFERROR(__xludf.DUMMYFUNCTION("""COMPUTED_VALUE"""),"JL. Dharma Kencana Apartemen Semanan Indah Alamanda 11")</f>
        <v>JL. Dharma Kencana Apartemen Semanan Indah Alamanda 11</v>
      </c>
      <c r="V383" s="80"/>
      <c r="W383" s="80" t="str">
        <f>IFERROR(__xludf.DUMMYFUNCTION("""COMPUTED_VALUE"""),"DURI KOSAMBI")</f>
        <v>DURI KOSAMBI</v>
      </c>
      <c r="X383" s="80" t="str">
        <f>IFERROR(__xludf.DUMMYFUNCTION("""COMPUTED_VALUE"""),"CENGKARENG")</f>
        <v>CENGKARENG</v>
      </c>
      <c r="Y383" s="80" t="str">
        <f>IFERROR(__xludf.DUMMYFUNCTION("""COMPUTED_VALUE"""),"JAKARTA BARAT")</f>
        <v>JAKARTA BARAT</v>
      </c>
      <c r="Z383" s="80" t="str">
        <f>IFERROR(__xludf.DUMMYFUNCTION("""COMPUTED_VALUE"""),"DKI JAKARTA ")</f>
        <v>DKI JAKARTA </v>
      </c>
      <c r="AA383" s="80" t="str">
        <f>IFERROR(__xludf.DUMMYFUNCTION("""COMPUTED_VALUE"""),"11750")</f>
        <v>11750</v>
      </c>
      <c r="AB383" s="80" t="str">
        <f>IFERROR(__xludf.DUMMYFUNCTION("""COMPUTED_VALUE"""),"3173020704870007")</f>
        <v>3173020704870007</v>
      </c>
      <c r="AC383" s="80" t="str">
        <f>IFERROR(__xludf.DUMMYFUNCTION("""COMPUTED_VALUE"""),"59.010.489.9-036.000")</f>
        <v>59.010.489.9-036.000</v>
      </c>
      <c r="AD383" s="80" t="str">
        <f>IFERROR(__xludf.DUMMYFUNCTION("""COMPUTED_VALUE"""),"CUM - EEN")</f>
        <v>CUM - EEN</v>
      </c>
      <c r="AE383" s="80" t="str">
        <f>IFERROR(__xludf.DUMMYFUNCTION("""COMPUTED_VALUE"""),"SUB EEN")</f>
        <v>SUB EEN</v>
      </c>
      <c r="AF383" s="80" t="str">
        <f>IFERROR(__xludf.DUMMYFUNCTION("""COMPUTED_VALUE"""),"082124263839")</f>
        <v>082124263839</v>
      </c>
      <c r="AG383" s="80"/>
      <c r="AH383" s="80" t="str">
        <f>IFERROR(__xludf.DUMMYFUNCTION("""COMPUTED_VALUE"""),"wahanasemanan@gmail.com")</f>
        <v>wahanasemanan@gmail.com</v>
      </c>
      <c r="AI383" s="80" t="str">
        <f>IFERROR(__xludf.DUMMYFUNCTION("""COMPUTED_VALUE"""),"11750S4")</f>
        <v>11750S4</v>
      </c>
      <c r="AJ383" s="80" t="str">
        <f>IFERROR(__xludf.DUMMYFUNCTION("""COMPUTED_VALUE"""),"677368a6ed2dba15100566ed")</f>
        <v>677368a6ed2dba15100566ed</v>
      </c>
      <c r="AK383" s="80" t="str">
        <f>IFERROR(__xludf.DUMMYFUNCTION("""COMPUTED_VALUE"""),"dm11750s4")</f>
        <v>dm11750s4</v>
      </c>
      <c r="AL383" s="80" t="str">
        <f>IFERROR(__xludf.DUMMYFUNCTION("""COMPUTED_VALUE"""),"#11750Pos")</f>
        <v>#11750Pos</v>
      </c>
      <c r="AM383" s="80" t="str">
        <f>IFERROR(__xludf.DUMMYFUNCTION("""COMPUTED_VALUE"""),"KANTOR REGIONAL II JAKARTA 10004")</f>
        <v>KANTOR REGIONAL II JAKARTA 10004</v>
      </c>
      <c r="AN383" s="80" t="str">
        <f>IFERROR(__xludf.DUMMYFUNCTION("""COMPUTED_VALUE"""),"KCU JAKARTAOCEANIA 11000")</f>
        <v>KCU JAKARTAOCEANIA 11000</v>
      </c>
      <c r="AO383" s="80" t="str">
        <f>IFERROR(__xludf.DUMMYFUNCTION("""COMPUTED_VALUE"""),"2312240074972")</f>
        <v>2312240074972</v>
      </c>
      <c r="AP383" s="80" t="str">
        <f>IFERROR(__xludf.DUMMYFUNCTION("""COMPUTED_VALUE"""),"23122400749720001")</f>
        <v>23122400749720001</v>
      </c>
      <c r="AQ383" s="83"/>
      <c r="AR383" s="80"/>
      <c r="AS383" s="80"/>
      <c r="AT383" s="80" t="str">
        <f>IFERROR(__xludf.DUMMYFUNCTION("""COMPUTED_VALUE"""),"-6.163648")</f>
        <v>-6.163648</v>
      </c>
      <c r="AU383" s="80" t="str">
        <f>IFERROR(__xludf.DUMMYFUNCTION("""COMPUTED_VALUE"""),"106.719830")</f>
        <v>106.719830</v>
      </c>
      <c r="AV383" s="80"/>
      <c r="AW383" s="80"/>
      <c r="AX383" s="80" t="str">
        <f>IFERROR(__xludf.DUMMYFUNCTION("""COMPUTED_VALUE"""),"ü")</f>
        <v>ü</v>
      </c>
      <c r="AY383" s="80"/>
      <c r="AZ383" s="80"/>
      <c r="BA383" s="80"/>
      <c r="BB383" s="80"/>
      <c r="BC383" s="80"/>
      <c r="BD383" s="80"/>
      <c r="BE383" s="80"/>
      <c r="BF383" s="80"/>
      <c r="BG383" s="80"/>
      <c r="BH383" s="80"/>
      <c r="BI383" s="80"/>
      <c r="BJ383" s="80"/>
      <c r="BK383" s="80"/>
      <c r="BL383" s="80"/>
      <c r="BM383" s="80"/>
      <c r="BN383" s="80"/>
      <c r="BO383" s="80"/>
      <c r="BP383" s="80"/>
      <c r="BQ383" s="80"/>
      <c r="BR383" s="80"/>
      <c r="BS383" s="80"/>
      <c r="BT383" s="80"/>
      <c r="BU383" s="80"/>
      <c r="BV383" s="80"/>
      <c r="BW383" s="80"/>
      <c r="BX383" s="80"/>
      <c r="BY383" s="80"/>
      <c r="BZ383" s="80"/>
      <c r="CA383" s="80"/>
      <c r="CB383" s="80"/>
      <c r="CC383" s="80"/>
      <c r="CD383" s="80"/>
      <c r="CE383" s="80"/>
      <c r="CF383" s="80"/>
      <c r="CG383" s="80"/>
      <c r="CH383" s="80"/>
      <c r="CI383" s="80"/>
      <c r="CJ383" s="80"/>
      <c r="CK383" s="2"/>
    </row>
    <row r="384" ht="12.75" customHeight="1">
      <c r="A384" s="85">
        <f>IFERROR(__xludf.DUMMYFUNCTION("""COMPUTED_VALUE"""),381.0)</f>
        <v>381</v>
      </c>
      <c r="B384" s="85"/>
      <c r="C384" s="85"/>
      <c r="D384" s="86"/>
      <c r="E384" s="88"/>
      <c r="F384" s="85"/>
      <c r="G384" s="86"/>
      <c r="H384" s="85"/>
      <c r="I384" s="85"/>
      <c r="J384" s="85"/>
      <c r="K384" s="85"/>
      <c r="L384" s="85"/>
      <c r="M384" s="85" t="str">
        <f>IFERROR(__xludf.DUMMYFUNCTION("""COMPUTED_VALUE"""),"ü")</f>
        <v>ü</v>
      </c>
      <c r="N384" s="85"/>
      <c r="O384" s="85"/>
      <c r="P384" s="85" t="str">
        <f>IFERROR(__xludf.DUMMYFUNCTION("""COMPUTED_VALUE"""),"53BSPA09290JBEEN")</f>
        <v>53BSPA09290JBEEN</v>
      </c>
      <c r="Q384" s="85" t="str">
        <f>IFERROR(__xludf.DUMMYFUNCTION("""COMPUTED_VALUE"""),"MUC Sawahlio")</f>
        <v>MUC Sawahlio</v>
      </c>
      <c r="R384" s="85" t="str">
        <f>IFERROR(__xludf.DUMMYFUNCTION("""COMPUTED_VALUE"""),"MUC Sawahlio")</f>
        <v>MUC Sawahlio</v>
      </c>
      <c r="S384" s="85" t="str">
        <f>IFERROR(__xludf.DUMMYFUNCTION("""COMPUTED_VALUE"""),"David Sentosa")</f>
        <v>David Sentosa</v>
      </c>
      <c r="T384" s="85" t="str">
        <f>IFERROR(__xludf.DUMMYFUNCTION("""COMPUTED_VALUE"""),"JL. SAWAH LIO III GG.14 NO.10 RT.001 RW.008 KEL. JEMBATAN LIMA KEC. TAMBORA JAKARTA BARAT ")</f>
        <v>JL. SAWAH LIO III GG.14 NO.10 RT.001 RW.008 KEL. JEMBATAN LIMA KEC. TAMBORA JAKARTA BARAT </v>
      </c>
      <c r="U384" s="85" t="str">
        <f>IFERROR(__xludf.DUMMYFUNCTION("""COMPUTED_VALUE"""),"Jl. Sawah lio Raya No 2A RT 03/RW 08 ")</f>
        <v>Jl. Sawah lio Raya No 2A RT 03/RW 08 </v>
      </c>
      <c r="V384" s="85"/>
      <c r="W384" s="85" t="str">
        <f>IFERROR(__xludf.DUMMYFUNCTION("""COMPUTED_VALUE"""),"JEMBATAN LIMA")</f>
        <v>JEMBATAN LIMA</v>
      </c>
      <c r="X384" s="85" t="str">
        <f>IFERROR(__xludf.DUMMYFUNCTION("""COMPUTED_VALUE"""),"TAMBORA")</f>
        <v>TAMBORA</v>
      </c>
      <c r="Y384" s="85" t="str">
        <f>IFERROR(__xludf.DUMMYFUNCTION("""COMPUTED_VALUE"""),"JAKARTA BARAT")</f>
        <v>JAKARTA BARAT</v>
      </c>
      <c r="Z384" s="85" t="str">
        <f>IFERROR(__xludf.DUMMYFUNCTION("""COMPUTED_VALUE"""),"DKI JAKARTA")</f>
        <v>DKI JAKARTA</v>
      </c>
      <c r="AA384" s="85" t="str">
        <f>IFERROR(__xludf.DUMMYFUNCTION("""COMPUTED_VALUE"""),"11250")</f>
        <v>11250</v>
      </c>
      <c r="AB384" s="85" t="str">
        <f>IFERROR(__xludf.DUMMYFUNCTION("""COMPUTED_VALUE"""),"3173041310900005")</f>
        <v>3173041310900005</v>
      </c>
      <c r="AC384" s="85" t="str">
        <f>IFERROR(__xludf.DUMMYFUNCTION("""COMPUTED_VALUE"""),"72.064.530.8-033.000")</f>
        <v>72.064.530.8-033.000</v>
      </c>
      <c r="AD384" s="85" t="str">
        <f>IFERROR(__xludf.DUMMYFUNCTION("""COMPUTED_VALUE"""),"CUM - EEN")</f>
        <v>CUM - EEN</v>
      </c>
      <c r="AE384" s="85" t="str">
        <f>IFERROR(__xludf.DUMMYFUNCTION("""COMPUTED_VALUE"""),"SUB EEN")</f>
        <v>SUB EEN</v>
      </c>
      <c r="AF384" s="85" t="str">
        <f>IFERROR(__xludf.DUMMYFUNCTION("""COMPUTED_VALUE"""),"08118991368")</f>
        <v>08118991368</v>
      </c>
      <c r="AG384" s="85"/>
      <c r="AH384" s="85" t="str">
        <f>IFERROR(__xludf.DUMMYFUNCTION("""COMPUTED_VALUE"""),"dapiiid.ess@gmail.com")</f>
        <v>dapiiid.ess@gmail.com</v>
      </c>
      <c r="AI384" s="85" t="str">
        <f>IFERROR(__xludf.DUMMYFUNCTION("""COMPUTED_VALUE"""),"11250S2")</f>
        <v>11250S2</v>
      </c>
      <c r="AJ384" s="85" t="str">
        <f>IFERROR(__xludf.DUMMYFUNCTION("""COMPUTED_VALUE"""),"6773a09199a22a49d90f2039")</f>
        <v>6773a09199a22a49d90f2039</v>
      </c>
      <c r="AK384" s="85" t="str">
        <f>IFERROR(__xludf.DUMMYFUNCTION("""COMPUTED_VALUE"""),"dm11250s2")</f>
        <v>dm11250s2</v>
      </c>
      <c r="AL384" s="85" t="str">
        <f>IFERROR(__xludf.DUMMYFUNCTION("""COMPUTED_VALUE"""),"#11250Pos")</f>
        <v>#11250Pos</v>
      </c>
      <c r="AM384" s="85" t="str">
        <f>IFERROR(__xludf.DUMMYFUNCTION("""COMPUTED_VALUE"""),"KANTOR REGIONAL II JAKARTA 10004")</f>
        <v>KANTOR REGIONAL II JAKARTA 10004</v>
      </c>
      <c r="AN384" s="85" t="str">
        <f>IFERROR(__xludf.DUMMYFUNCTION("""COMPUTED_VALUE"""),"KCU JAKARTAOCEANIA 11000")</f>
        <v>KCU JAKARTAOCEANIA 11000</v>
      </c>
      <c r="AO384" s="85" t="str">
        <f>IFERROR(__xludf.DUMMYFUNCTION("""COMPUTED_VALUE"""),"2101220001744")</f>
        <v>2101220001744</v>
      </c>
      <c r="AP384" s="85" t="str">
        <f>IFERROR(__xludf.DUMMYFUNCTION("""COMPUTED_VALUE"""),"21012200017440001")</f>
        <v>21012200017440001</v>
      </c>
      <c r="AQ384" s="93"/>
      <c r="AR384" s="85"/>
      <c r="AS384" s="85"/>
      <c r="AT384" s="85" t="str">
        <f>IFERROR(__xludf.DUMMYFUNCTION("""COMPUTED_VALUE"""),"-6.145993")</f>
        <v>-6.145993</v>
      </c>
      <c r="AU384" s="85" t="str">
        <f>IFERROR(__xludf.DUMMYFUNCTION("""COMPUTED_VALUE"""),"106.803642")</f>
        <v>106.803642</v>
      </c>
      <c r="AV384" s="85"/>
      <c r="AW384" s="85"/>
      <c r="AX384" s="85" t="str">
        <f>IFERROR(__xludf.DUMMYFUNCTION("""COMPUTED_VALUE"""),"ü")</f>
        <v>ü</v>
      </c>
      <c r="AY384" s="85"/>
      <c r="AZ384" s="85"/>
      <c r="BA384" s="85"/>
      <c r="BB384" s="85"/>
      <c r="BC384" s="85"/>
      <c r="BD384" s="85"/>
      <c r="BE384" s="85"/>
      <c r="BF384" s="85"/>
      <c r="BG384" s="85"/>
      <c r="BH384" s="85"/>
      <c r="BI384" s="85"/>
      <c r="BJ384" s="85"/>
      <c r="BK384" s="85"/>
      <c r="BL384" s="85"/>
      <c r="BM384" s="85"/>
      <c r="BN384" s="85"/>
      <c r="BO384" s="85"/>
      <c r="BP384" s="85"/>
      <c r="BQ384" s="85"/>
      <c r="BR384" s="85"/>
      <c r="BS384" s="85"/>
      <c r="BT384" s="85"/>
      <c r="BU384" s="85"/>
      <c r="BV384" s="85"/>
      <c r="BW384" s="85"/>
      <c r="BX384" s="85"/>
      <c r="BY384" s="85"/>
      <c r="BZ384" s="85"/>
      <c r="CA384" s="85"/>
      <c r="CB384" s="85"/>
      <c r="CC384" s="85"/>
      <c r="CD384" s="85"/>
      <c r="CE384" s="85"/>
      <c r="CF384" s="85"/>
      <c r="CG384" s="85"/>
      <c r="CH384" s="85"/>
      <c r="CI384" s="85"/>
      <c r="CJ384" s="85"/>
      <c r="CK384" s="2"/>
    </row>
    <row r="385" ht="12.75" customHeight="1">
      <c r="A385" s="80">
        <f>IFERROR(__xludf.DUMMYFUNCTION("""COMPUTED_VALUE"""),382.0)</f>
        <v>382</v>
      </c>
      <c r="B385" s="80"/>
      <c r="C385" s="80"/>
      <c r="D385" s="81"/>
      <c r="E385" s="82"/>
      <c r="F385" s="80"/>
      <c r="G385" s="81"/>
      <c r="H385" s="80"/>
      <c r="I385" s="80"/>
      <c r="J385" s="80"/>
      <c r="K385" s="80"/>
      <c r="L385" s="80"/>
      <c r="M385" s="80" t="str">
        <f>IFERROR(__xludf.DUMMYFUNCTION("""COMPUTED_VALUE"""),"ü")</f>
        <v>ü</v>
      </c>
      <c r="N385" s="80"/>
      <c r="O385" s="80"/>
      <c r="P385" s="80" t="str">
        <f>IFERROR(__xludf.DUMMYFUNCTION("""COMPUTED_VALUE"""),"MUCSPA63071PSIND")</f>
        <v>MUCSPA63071PSIND</v>
      </c>
      <c r="Q385" s="80" t="str">
        <f>IFERROR(__xludf.DUMMYFUNCTION("""COMPUTED_VALUE"""),"MUC ASRI CREATIVE")</f>
        <v>MUC ASRI CREATIVE</v>
      </c>
      <c r="R385" s="80" t="str">
        <f>IFERROR(__xludf.DUMMYFUNCTION("""COMPUTED_VALUE"""),"MUC ASRI CREATIVE")</f>
        <v>MUC ASRI CREATIVE</v>
      </c>
      <c r="S385" s="80" t="str">
        <f>IFERROR(__xludf.DUMMYFUNCTION("""COMPUTED_VALUE"""),"FANDI ARDIYANTO")</f>
        <v>FANDI ARDIYANTO</v>
      </c>
      <c r="T385" s="80" t="str">
        <f>IFERROR(__xludf.DUMMYFUNCTION("""COMPUTED_VALUE"""),"KWAGEAN RT 004 RW 002")</f>
        <v>KWAGEAN RT 004 RW 002</v>
      </c>
      <c r="U385" s="80" t="str">
        <f>IFERROR(__xludf.DUMMYFUNCTION("""COMPUTED_VALUE"""),"JETIS RT 004 RW 007 ")</f>
        <v>JETIS RT 004 RW 007 </v>
      </c>
      <c r="V385" s="80"/>
      <c r="W385" s="80" t="str">
        <f>IFERROR(__xludf.DUMMYFUNCTION("""COMPUTED_VALUE"""),"PANCURAN MAS")</f>
        <v>PANCURAN MAS</v>
      </c>
      <c r="X385" s="80" t="str">
        <f>IFERROR(__xludf.DUMMYFUNCTION("""COMPUTED_VALUE"""),"SECANG")</f>
        <v>SECANG</v>
      </c>
      <c r="Y385" s="80" t="str">
        <f>IFERROR(__xludf.DUMMYFUNCTION("""COMPUTED_VALUE"""),"KAB. MAGELANG")</f>
        <v>KAB. MAGELANG</v>
      </c>
      <c r="Z385" s="80" t="str">
        <f>IFERROR(__xludf.DUMMYFUNCTION("""COMPUTED_VALUE"""),"JAWA TENGAH")</f>
        <v>JAWA TENGAH</v>
      </c>
      <c r="AA385" s="80" t="str">
        <f>IFERROR(__xludf.DUMMYFUNCTION("""COMPUTED_VALUE"""),"56195")</f>
        <v>56195</v>
      </c>
      <c r="AB385" s="80" t="str">
        <f>IFERROR(__xludf.DUMMYFUNCTION("""COMPUTED_VALUE"""),"3323161508990001")</f>
        <v>3323161508990001</v>
      </c>
      <c r="AC385" s="80" t="str">
        <f>IFERROR(__xludf.DUMMYFUNCTION("""COMPUTED_VALUE"""),"40.972.577.7-533.000 ")</f>
        <v>40.972.577.7-533.000 </v>
      </c>
      <c r="AD385" s="80" t="str">
        <f>IFERROR(__xludf.DUMMYFUNCTION("""COMPUTED_VALUE"""),"CUM - PS - AMIA")</f>
        <v>CUM - PS - AMIA</v>
      </c>
      <c r="AE385" s="80" t="str">
        <f>IFERROR(__xludf.DUMMYFUNCTION("""COMPUTED_VALUE"""),"SUB AMILDA POS")</f>
        <v>SUB AMILDA POS</v>
      </c>
      <c r="AF385" s="80" t="str">
        <f>IFERROR(__xludf.DUMMYFUNCTION("""COMPUTED_VALUE"""),"085883505824")</f>
        <v>085883505824</v>
      </c>
      <c r="AG385" s="80"/>
      <c r="AH385" s="80" t="str">
        <f>IFERROR(__xludf.DUMMYFUNCTION("""COMPUTED_VALUE"""),"fandiatp@gmail.com")</f>
        <v>fandiatp@gmail.com</v>
      </c>
      <c r="AI385" s="80" t="str">
        <f>IFERROR(__xludf.DUMMYFUNCTION("""COMPUTED_VALUE"""),"56595S6")</f>
        <v>56595S6</v>
      </c>
      <c r="AJ385" s="80" t="str">
        <f>IFERROR(__xludf.DUMMYFUNCTION("""COMPUTED_VALUE"""),"677ce32f0194c9862a03cb1e")</f>
        <v>677ce32f0194c9862a03cb1e</v>
      </c>
      <c r="AK385" s="80" t="str">
        <f>IFERROR(__xludf.DUMMYFUNCTION("""COMPUTED_VALUE"""),"dm56595s6")</f>
        <v>dm56595s6</v>
      </c>
      <c r="AL385" s="80" t="str">
        <f>IFERROR(__xludf.DUMMYFUNCTION("""COMPUTED_VALUE"""),"#56595Pos")</f>
        <v>#56595Pos</v>
      </c>
      <c r="AM385" s="80" t="str">
        <f>IFERROR(__xludf.DUMMYFUNCTION("""COMPUTED_VALUE"""),"KANTOR REGIONAL IV SEMARANG 50004")</f>
        <v>KANTOR REGIONAL IV SEMARANG 50004</v>
      </c>
      <c r="AN385" s="80" t="str">
        <f>IFERROR(__xludf.DUMMYFUNCTION("""COMPUTED_VALUE"""),"KC MAGELANG 56100")</f>
        <v>KC MAGELANG 56100</v>
      </c>
      <c r="AO385" s="80" t="str">
        <f>IFERROR(__xludf.DUMMYFUNCTION("""COMPUTED_VALUE"""),"2412240075656")</f>
        <v>2412240075656</v>
      </c>
      <c r="AP385" s="80" t="str">
        <f>IFERROR(__xludf.DUMMYFUNCTION("""COMPUTED_VALUE"""),"24122400756560001")</f>
        <v>24122400756560001</v>
      </c>
      <c r="AQ385" s="83"/>
      <c r="AR385" s="80"/>
      <c r="AS385" s="80"/>
      <c r="AT385" s="80" t="str">
        <f>IFERROR(__xludf.DUMMYFUNCTION("""COMPUTED_VALUE"""),"-7.4508204")</f>
        <v>-7.4508204</v>
      </c>
      <c r="AU385" s="80" t="str">
        <f>IFERROR(__xludf.DUMMYFUNCTION("""COMPUTED_VALUE"""),"110.2282088")</f>
        <v>110.2282088</v>
      </c>
      <c r="AV385" s="80"/>
      <c r="AW385" s="80"/>
      <c r="AX385" s="80" t="str">
        <f>IFERROR(__xludf.DUMMYFUNCTION("""COMPUTED_VALUE"""),"ü")</f>
        <v>ü</v>
      </c>
      <c r="AY385" s="80"/>
      <c r="AZ385" s="80"/>
      <c r="BA385" s="80"/>
      <c r="BB385" s="80"/>
      <c r="BC385" s="80"/>
      <c r="BD385" s="80"/>
      <c r="BE385" s="80"/>
      <c r="BF385" s="80"/>
      <c r="BG385" s="80"/>
      <c r="BH385" s="80"/>
      <c r="BI385" s="80"/>
      <c r="BJ385" s="80"/>
      <c r="BK385" s="80"/>
      <c r="BL385" s="80"/>
      <c r="BM385" s="80"/>
      <c r="BN385" s="80"/>
      <c r="BO385" s="80"/>
      <c r="BP385" s="80"/>
      <c r="BQ385" s="80"/>
      <c r="BR385" s="80"/>
      <c r="BS385" s="80"/>
      <c r="BT385" s="80"/>
      <c r="BU385" s="80"/>
      <c r="BV385" s="80"/>
      <c r="BW385" s="80"/>
      <c r="BX385" s="80"/>
      <c r="BY385" s="80"/>
      <c r="BZ385" s="80"/>
      <c r="CA385" s="80"/>
      <c r="CB385" s="80"/>
      <c r="CC385" s="80"/>
      <c r="CD385" s="80"/>
      <c r="CE385" s="80"/>
      <c r="CF385" s="80"/>
      <c r="CG385" s="80"/>
      <c r="CH385" s="80"/>
      <c r="CI385" s="80"/>
      <c r="CJ385" s="80"/>
      <c r="CK385" s="2"/>
    </row>
    <row r="386" ht="12.75" customHeight="1">
      <c r="A386" s="85">
        <f>IFERROR(__xludf.DUMMYFUNCTION("""COMPUTED_VALUE"""),383.0)</f>
        <v>383</v>
      </c>
      <c r="B386" s="85"/>
      <c r="C386" s="85"/>
      <c r="D386" s="86"/>
      <c r="E386" s="88"/>
      <c r="F386" s="85"/>
      <c r="G386" s="86"/>
      <c r="H386" s="85"/>
      <c r="I386" s="85"/>
      <c r="J386" s="85"/>
      <c r="K386" s="85"/>
      <c r="L386" s="85"/>
      <c r="M386" s="85" t="str">
        <f>IFERROR(__xludf.DUMMYFUNCTION("""COMPUTED_VALUE"""),"ü")</f>
        <v>ü</v>
      </c>
      <c r="N386" s="85"/>
      <c r="O386" s="85"/>
      <c r="P386" s="85" t="str">
        <f>IFERROR(__xludf.DUMMYFUNCTION("""COMPUTED_VALUE"""),"53BSPA09292JBEEN")</f>
        <v>53BSPA09292JBEEN</v>
      </c>
      <c r="Q386" s="85" t="str">
        <f>IFERROR(__xludf.DUMMYFUNCTION("""COMPUTED_VALUE"""),"MUC Sinar Mulia Express")</f>
        <v>MUC Sinar Mulia Express</v>
      </c>
      <c r="R386" s="85" t="str">
        <f>IFERROR(__xludf.DUMMYFUNCTION("""COMPUTED_VALUE"""),"MUC Sinar Mulia Express")</f>
        <v>MUC Sinar Mulia Express</v>
      </c>
      <c r="S386" s="85" t="str">
        <f>IFERROR(__xludf.DUMMYFUNCTION("""COMPUTED_VALUE"""),"Deswandi Lizar")</f>
        <v>Deswandi Lizar</v>
      </c>
      <c r="T386" s="85" t="str">
        <f>IFERROR(__xludf.DUMMYFUNCTION("""COMPUTED_VALUE"""),"JL. TEGAL SARI III/20 RT.003 RW.011 KEL. SUKASARI KEC. TANGERANG KOTA TANGERANG")</f>
        <v>JL. TEGAL SARI III/20 RT.003 RW.011 KEL. SUKASARI KEC. TANGERANG KOTA TANGERANG</v>
      </c>
      <c r="U386" s="85" t="str">
        <f>IFERROR(__xludf.DUMMYFUNCTION("""COMPUTED_VALUE"""),"JL. RAYA SERANG NO.20 RT.03/03")</f>
        <v>JL. RAYA SERANG NO.20 RT.03/03</v>
      </c>
      <c r="V386" s="85"/>
      <c r="W386" s="85" t="str">
        <f>IFERROR(__xludf.DUMMYFUNCTION("""COMPUTED_VALUE"""),"SUKADAMAI ")</f>
        <v>SUKADAMAI </v>
      </c>
      <c r="X386" s="85" t="str">
        <f>IFERROR(__xludf.DUMMYFUNCTION("""COMPUTED_VALUE"""),"CIKUPA")</f>
        <v>CIKUPA</v>
      </c>
      <c r="Y386" s="85" t="str">
        <f>IFERROR(__xludf.DUMMYFUNCTION("""COMPUTED_VALUE"""),"KAB. TANGERANG")</f>
        <v>KAB. TANGERANG</v>
      </c>
      <c r="Z386" s="85" t="str">
        <f>IFERROR(__xludf.DUMMYFUNCTION("""COMPUTED_VALUE"""),"BANTEN")</f>
        <v>BANTEN</v>
      </c>
      <c r="AA386" s="85" t="str">
        <f>IFERROR(__xludf.DUMMYFUNCTION("""COMPUTED_VALUE"""),"15710")</f>
        <v>15710</v>
      </c>
      <c r="AB386" s="85" t="str">
        <f>IFERROR(__xludf.DUMMYFUNCTION("""COMPUTED_VALUE"""),"3671011112800008")</f>
        <v>3671011112800008</v>
      </c>
      <c r="AC386" s="85" t="str">
        <f>IFERROR(__xludf.DUMMYFUNCTION("""COMPUTED_VALUE"""),"98.112.944.8-033.000")</f>
        <v>98.112.944.8-033.000</v>
      </c>
      <c r="AD386" s="85" t="str">
        <f>IFERROR(__xludf.DUMMYFUNCTION("""COMPUTED_VALUE"""),"CUM - EEN")</f>
        <v>CUM - EEN</v>
      </c>
      <c r="AE386" s="85" t="str">
        <f>IFERROR(__xludf.DUMMYFUNCTION("""COMPUTED_VALUE"""),"SUB EEN")</f>
        <v>SUB EEN</v>
      </c>
      <c r="AF386" s="85" t="str">
        <f>IFERROR(__xludf.DUMMYFUNCTION("""COMPUTED_VALUE"""),"0895380888008")</f>
        <v>0895380888008</v>
      </c>
      <c r="AG386" s="85"/>
      <c r="AH386" s="85" t="str">
        <f>IFERROR(__xludf.DUMMYFUNCTION("""COMPUTED_VALUE"""),"wandilie168@gmail.com")</f>
        <v>wandilie168@gmail.com</v>
      </c>
      <c r="AI386" s="85" t="str">
        <f>IFERROR(__xludf.DUMMYFUNCTION("""COMPUTED_VALUE"""),"15710SB")</f>
        <v>15710SB</v>
      </c>
      <c r="AJ386" s="85" t="str">
        <f>IFERROR(__xludf.DUMMYFUNCTION("""COMPUTED_VALUE"""),"67779c51b24288b2af0e4fff")</f>
        <v>67779c51b24288b2af0e4fff</v>
      </c>
      <c r="AK386" s="85" t="str">
        <f>IFERROR(__xludf.DUMMYFUNCTION("""COMPUTED_VALUE"""),"dm15710sb")</f>
        <v>dm15710sb</v>
      </c>
      <c r="AL386" s="85" t="str">
        <f>IFERROR(__xludf.DUMMYFUNCTION("""COMPUTED_VALUE"""),"#15710Pos")</f>
        <v>#15710Pos</v>
      </c>
      <c r="AM386" s="85" t="str">
        <f>IFERROR(__xludf.DUMMYFUNCTION("""COMPUTED_VALUE"""),"KANTOR REGIONAL II JAKARTA 10004")</f>
        <v>KANTOR REGIONAL II JAKARTA 10004</v>
      </c>
      <c r="AN386" s="85" t="str">
        <f>IFERROR(__xludf.DUMMYFUNCTION("""COMPUTED_VALUE"""),"KCU TANGERANG 15000")</f>
        <v>KCU TANGERANG 15000</v>
      </c>
      <c r="AO386" s="85" t="str">
        <f>IFERROR(__xludf.DUMMYFUNCTION("""COMPUTED_VALUE"""),"2005230021855")</f>
        <v>2005230021855</v>
      </c>
      <c r="AP386" s="85" t="str">
        <f>IFERROR(__xludf.DUMMYFUNCTION("""COMPUTED_VALUE"""),"20052300218550001 ")</f>
        <v>20052300218550001 </v>
      </c>
      <c r="AQ386" s="93"/>
      <c r="AR386" s="85"/>
      <c r="AS386" s="85"/>
      <c r="AT386" s="85" t="str">
        <f>IFERROR(__xludf.DUMMYFUNCTION("""COMPUTED_VALUE"""),"-6,221,620")</f>
        <v>-6,221,620</v>
      </c>
      <c r="AU386" s="85" t="str">
        <f>IFERROR(__xludf.DUMMYFUNCTION("""COMPUTED_VALUE"""),"106.540821")</f>
        <v>106.540821</v>
      </c>
      <c r="AV386" s="85"/>
      <c r="AW386" s="85"/>
      <c r="AX386" s="85" t="str">
        <f>IFERROR(__xludf.DUMMYFUNCTION("""COMPUTED_VALUE"""),"ü")</f>
        <v>ü</v>
      </c>
      <c r="AY386" s="85"/>
      <c r="AZ386" s="85"/>
      <c r="BA386" s="85"/>
      <c r="BB386" s="85"/>
      <c r="BC386" s="85"/>
      <c r="BD386" s="85"/>
      <c r="BE386" s="85"/>
      <c r="BF386" s="85"/>
      <c r="BG386" s="85"/>
      <c r="BH386" s="85"/>
      <c r="BI386" s="85"/>
      <c r="BJ386" s="85"/>
      <c r="BK386" s="85"/>
      <c r="BL386" s="85"/>
      <c r="BM386" s="85"/>
      <c r="BN386" s="85"/>
      <c r="BO386" s="85"/>
      <c r="BP386" s="85"/>
      <c r="BQ386" s="85"/>
      <c r="BR386" s="85"/>
      <c r="BS386" s="85"/>
      <c r="BT386" s="85"/>
      <c r="BU386" s="85"/>
      <c r="BV386" s="85"/>
      <c r="BW386" s="85"/>
      <c r="BX386" s="85"/>
      <c r="BY386" s="85"/>
      <c r="BZ386" s="85"/>
      <c r="CA386" s="85"/>
      <c r="CB386" s="85"/>
      <c r="CC386" s="85"/>
      <c r="CD386" s="85"/>
      <c r="CE386" s="85"/>
      <c r="CF386" s="85"/>
      <c r="CG386" s="85"/>
      <c r="CH386" s="85"/>
      <c r="CI386" s="85"/>
      <c r="CJ386" s="85"/>
      <c r="CK386" s="2"/>
    </row>
    <row r="387" ht="12.75" customHeight="1">
      <c r="A387" s="80">
        <f>IFERROR(__xludf.DUMMYFUNCTION("""COMPUTED_VALUE"""),384.0)</f>
        <v>384</v>
      </c>
      <c r="B387" s="80"/>
      <c r="C387" s="80"/>
      <c r="D387" s="81"/>
      <c r="E387" s="82"/>
      <c r="F387" s="80"/>
      <c r="G387" s="81"/>
      <c r="H387" s="80"/>
      <c r="I387" s="80"/>
      <c r="J387" s="80"/>
      <c r="K387" s="80"/>
      <c r="L387" s="80"/>
      <c r="M387" s="80" t="str">
        <f>IFERROR(__xludf.DUMMYFUNCTION("""COMPUTED_VALUE"""),"ü")</f>
        <v>ü</v>
      </c>
      <c r="N387" s="80"/>
      <c r="O387" s="80"/>
      <c r="P387" s="80" t="str">
        <f>IFERROR(__xludf.DUMMYFUNCTION("""COMPUTED_VALUE"""),"53BSPA09294JBEEN")</f>
        <v>53BSPA09294JBEEN</v>
      </c>
      <c r="Q387" s="80" t="str">
        <f>IFERROR(__xludf.DUMMYFUNCTION("""COMPUTED_VALUE"""),"MUC Citra Indah City")</f>
        <v>MUC Citra Indah City</v>
      </c>
      <c r="R387" s="80" t="str">
        <f>IFERROR(__xludf.DUMMYFUNCTION("""COMPUTED_VALUE"""),"MUC Citra Indah City")</f>
        <v>MUC Citra Indah City</v>
      </c>
      <c r="S387" s="80" t="str">
        <f>IFERROR(__xludf.DUMMYFUNCTION("""COMPUTED_VALUE"""),"Feriyanto")</f>
        <v>Feriyanto</v>
      </c>
      <c r="T387" s="80" t="str">
        <f>IFERROR(__xludf.DUMMYFUNCTION("""COMPUTED_VALUE"""),"GG. LANGGAR RT.008 RW.010 KEL.CAWANG KEC.KRAMATJATI JAKARTA TIMUR")</f>
        <v>GG. LANGGAR RT.008 RW.010 KEL.CAWANG KEC.KRAMATJATI JAKARTA TIMUR</v>
      </c>
      <c r="U387" s="80" t="str">
        <f>IFERROR(__xludf.DUMMYFUNCTION("""COMPUTED_VALUE"""),"Citra Indah City, Bukit Anyelir Luar AE.00 No.30")</f>
        <v>Citra Indah City, Bukit Anyelir Luar AE.00 No.30</v>
      </c>
      <c r="V387" s="80"/>
      <c r="W387" s="80" t="str">
        <f>IFERROR(__xludf.DUMMYFUNCTION("""COMPUTED_VALUE"""),"Singasari")</f>
        <v>Singasari</v>
      </c>
      <c r="X387" s="80" t="str">
        <f>IFERROR(__xludf.DUMMYFUNCTION("""COMPUTED_VALUE"""),"Jonggol")</f>
        <v>Jonggol</v>
      </c>
      <c r="Y387" s="80" t="str">
        <f>IFERROR(__xludf.DUMMYFUNCTION("""COMPUTED_VALUE"""),"Kab. Bogor")</f>
        <v>Kab. Bogor</v>
      </c>
      <c r="Z387" s="80" t="str">
        <f>IFERROR(__xludf.DUMMYFUNCTION("""COMPUTED_VALUE"""),"Jawa Barat")</f>
        <v>Jawa Barat</v>
      </c>
      <c r="AA387" s="80" t="str">
        <f>IFERROR(__xludf.DUMMYFUNCTION("""COMPUTED_VALUE"""),"16820")</f>
        <v>16820</v>
      </c>
      <c r="AB387" s="80" t="str">
        <f>IFERROR(__xludf.DUMMYFUNCTION("""COMPUTED_VALUE"""),"3671120702770002")</f>
        <v>3671120702770002</v>
      </c>
      <c r="AC387" s="80" t="str">
        <f>IFERROR(__xludf.DUMMYFUNCTION("""COMPUTED_VALUE"""),"68.377.640.5-416.000")</f>
        <v>68.377.640.5-416.000</v>
      </c>
      <c r="AD387" s="80" t="str">
        <f>IFERROR(__xludf.DUMMYFUNCTION("""COMPUTED_VALUE"""),"CUM - EEN")</f>
        <v>CUM - EEN</v>
      </c>
      <c r="AE387" s="80" t="str">
        <f>IFERROR(__xludf.DUMMYFUNCTION("""COMPUTED_VALUE"""),"SUB EEN")</f>
        <v>SUB EEN</v>
      </c>
      <c r="AF387" s="80" t="str">
        <f>IFERROR(__xludf.DUMMYFUNCTION("""COMPUTED_VALUE"""),"082125890412")</f>
        <v>082125890412</v>
      </c>
      <c r="AG387" s="80"/>
      <c r="AH387" s="80" t="str">
        <f>IFERROR(__xludf.DUMMYFUNCTION("""COMPUTED_VALUE"""),"buntoraljares@gmail.com")</f>
        <v>buntoraljares@gmail.com</v>
      </c>
      <c r="AI387" s="80" t="str">
        <f>IFERROR(__xludf.DUMMYFUNCTION("""COMPUTED_VALUE"""),"16833S1")</f>
        <v>16833S1</v>
      </c>
      <c r="AJ387" s="80" t="str">
        <f>IFERROR(__xludf.DUMMYFUNCTION("""COMPUTED_VALUE"""),"677f9af0b5a4be8233033185")</f>
        <v>677f9af0b5a4be8233033185</v>
      </c>
      <c r="AK387" s="80" t="str">
        <f>IFERROR(__xludf.DUMMYFUNCTION("""COMPUTED_VALUE"""),"dm16833s1")</f>
        <v>dm16833s1</v>
      </c>
      <c r="AL387" s="80" t="str">
        <f>IFERROR(__xludf.DUMMYFUNCTION("""COMPUTED_VALUE"""),"#16833Pos")</f>
        <v>#16833Pos</v>
      </c>
      <c r="AM387" s="80" t="str">
        <f>IFERROR(__xludf.DUMMYFUNCTION("""COMPUTED_VALUE"""),"KANTOR REGIONAL II JAKARTA 10004")</f>
        <v>KANTOR REGIONAL II JAKARTA 10004</v>
      </c>
      <c r="AN387" s="80" t="str">
        <f>IFERROR(__xludf.DUMMYFUNCTION("""COMPUTED_VALUE"""),"KC CIBINONG")</f>
        <v>KC CIBINONG</v>
      </c>
      <c r="AO387" s="80" t="str">
        <f>IFERROR(__xludf.DUMMYFUNCTION("""COMPUTED_VALUE"""),"2712240025417")</f>
        <v>2712240025417</v>
      </c>
      <c r="AP387" s="80" t="str">
        <f>IFERROR(__xludf.DUMMYFUNCTION("""COMPUTED_VALUE"""),"27122400254170001")</f>
        <v>27122400254170001</v>
      </c>
      <c r="AQ387" s="83"/>
      <c r="AR387" s="80"/>
      <c r="AS387" s="80"/>
      <c r="AT387" s="80" t="str">
        <f>IFERROR(__xludf.DUMMYFUNCTION("""COMPUTED_VALUE"""),"-6.465648 ")</f>
        <v>-6.465648 </v>
      </c>
      <c r="AU387" s="80" t="str">
        <f>IFERROR(__xludf.DUMMYFUNCTION("""COMPUTED_VALUE"""),"107.037488")</f>
        <v>107.037488</v>
      </c>
      <c r="AV387" s="80"/>
      <c r="AW387" s="80"/>
      <c r="AX387" s="80" t="str">
        <f>IFERROR(__xludf.DUMMYFUNCTION("""COMPUTED_VALUE"""),"ü")</f>
        <v>ü</v>
      </c>
      <c r="AY387" s="80"/>
      <c r="AZ387" s="80"/>
      <c r="BA387" s="80"/>
      <c r="BB387" s="80"/>
      <c r="BC387" s="80"/>
      <c r="BD387" s="80"/>
      <c r="BE387" s="80"/>
      <c r="BF387" s="80"/>
      <c r="BG387" s="80"/>
      <c r="BH387" s="80"/>
      <c r="BI387" s="80"/>
      <c r="BJ387" s="80"/>
      <c r="BK387" s="80"/>
      <c r="BL387" s="80"/>
      <c r="BM387" s="80"/>
      <c r="BN387" s="80"/>
      <c r="BO387" s="80"/>
      <c r="BP387" s="80"/>
      <c r="BQ387" s="80"/>
      <c r="BR387" s="80"/>
      <c r="BS387" s="80"/>
      <c r="BT387" s="80"/>
      <c r="BU387" s="80"/>
      <c r="BV387" s="80"/>
      <c r="BW387" s="80"/>
      <c r="BX387" s="80"/>
      <c r="BY387" s="80"/>
      <c r="BZ387" s="80"/>
      <c r="CA387" s="80"/>
      <c r="CB387" s="80"/>
      <c r="CC387" s="80"/>
      <c r="CD387" s="80"/>
      <c r="CE387" s="80"/>
      <c r="CF387" s="80"/>
      <c r="CG387" s="80"/>
      <c r="CH387" s="80"/>
      <c r="CI387" s="80"/>
      <c r="CJ387" s="80"/>
      <c r="CK387" s="2"/>
    </row>
    <row r="388" ht="12.75" customHeight="1">
      <c r="A388" s="85">
        <f>IFERROR(__xludf.DUMMYFUNCTION("""COMPUTED_VALUE"""),385.0)</f>
        <v>385</v>
      </c>
      <c r="B388" s="85"/>
      <c r="C388" s="85"/>
      <c r="D388" s="86"/>
      <c r="E388" s="88"/>
      <c r="F388" s="85"/>
      <c r="G388" s="86"/>
      <c r="H388" s="85"/>
      <c r="I388" s="85"/>
      <c r="J388" s="85"/>
      <c r="K388" s="85"/>
      <c r="L388" s="85"/>
      <c r="M388" s="85" t="str">
        <f>IFERROR(__xludf.DUMMYFUNCTION("""COMPUTED_VALUE"""),"ü")</f>
        <v>ü</v>
      </c>
      <c r="N388" s="85"/>
      <c r="O388" s="85"/>
      <c r="P388" s="85" t="str">
        <f>IFERROR(__xludf.DUMMYFUNCTION("""COMPUTED_VALUE"""),"53BSPA09295JBEEN")</f>
        <v>53BSPA09295JBEEN</v>
      </c>
      <c r="Q388" s="85" t="str">
        <f>IFERROR(__xludf.DUMMYFUNCTION("""COMPUTED_VALUE"""),"MUC Suropati")</f>
        <v>MUC Suropati</v>
      </c>
      <c r="R388" s="85" t="str">
        <f>IFERROR(__xludf.DUMMYFUNCTION("""COMPUTED_VALUE"""),"MUC Suropati")</f>
        <v>MUC Suropati</v>
      </c>
      <c r="S388" s="85" t="str">
        <f>IFERROR(__xludf.DUMMYFUNCTION("""COMPUTED_VALUE"""),"Rudi Noviana")</f>
        <v>Rudi Noviana</v>
      </c>
      <c r="T388" s="85" t="str">
        <f>IFERROR(__xludf.DUMMYFUNCTION("""COMPUTED_VALUE"""),"PERUMAHAN SUROPATI RESIDENCE BLOK I 12 NO.11 RT.004 RW.007 KEL.SRIMUKTI KEC.TAMBUN UTARA KAB.BEKASI JAWA BARAT")</f>
        <v>PERUMAHAN SUROPATI RESIDENCE BLOK I 12 NO.11 RT.004 RW.007 KEL.SRIMUKTI KEC.TAMBUN UTARA KAB.BEKASI JAWA BARAT</v>
      </c>
      <c r="U388" s="85" t="str">
        <f>IFERROR(__xludf.DUMMYFUNCTION("""COMPUTED_VALUE"""),"Suropati Residence Blok I12/11 ")</f>
        <v>Suropati Residence Blok I12/11 </v>
      </c>
      <c r="V388" s="85"/>
      <c r="W388" s="85" t="str">
        <f>IFERROR(__xludf.DUMMYFUNCTION("""COMPUTED_VALUE"""),"Srimukti")</f>
        <v>Srimukti</v>
      </c>
      <c r="X388" s="85" t="str">
        <f>IFERROR(__xludf.DUMMYFUNCTION("""COMPUTED_VALUE"""),"Tambun Utara")</f>
        <v>Tambun Utara</v>
      </c>
      <c r="Y388" s="85" t="str">
        <f>IFERROR(__xludf.DUMMYFUNCTION("""COMPUTED_VALUE"""),"Kab. Bekasi")</f>
        <v>Kab. Bekasi</v>
      </c>
      <c r="Z388" s="85" t="str">
        <f>IFERROR(__xludf.DUMMYFUNCTION("""COMPUTED_VALUE"""),"Jawa Barat")</f>
        <v>Jawa Barat</v>
      </c>
      <c r="AA388" s="85" t="str">
        <f>IFERROR(__xludf.DUMMYFUNCTION("""COMPUTED_VALUE"""),"17611")</f>
        <v>17611</v>
      </c>
      <c r="AB388" s="85" t="str">
        <f>IFERROR(__xludf.DUMMYFUNCTION("""COMPUTED_VALUE"""),"3172052911870004")</f>
        <v>3172052911870004</v>
      </c>
      <c r="AC388" s="85" t="str">
        <f>IFERROR(__xludf.DUMMYFUNCTION("""COMPUTED_VALUE"""),"35.196.396.2-044.000")</f>
        <v>35.196.396.2-044.000</v>
      </c>
      <c r="AD388" s="85" t="str">
        <f>IFERROR(__xludf.DUMMYFUNCTION("""COMPUTED_VALUE"""),"CUM - EEN")</f>
        <v>CUM - EEN</v>
      </c>
      <c r="AE388" s="85" t="str">
        <f>IFERROR(__xludf.DUMMYFUNCTION("""COMPUTED_VALUE"""),"SUB EEN")</f>
        <v>SUB EEN</v>
      </c>
      <c r="AF388" s="85" t="str">
        <f>IFERROR(__xludf.DUMMYFUNCTION("""COMPUTED_VALUE"""),"082111964004")</f>
        <v>082111964004</v>
      </c>
      <c r="AG388" s="85"/>
      <c r="AH388" s="85" t="str">
        <f>IFERROR(__xludf.DUMMYFUNCTION("""COMPUTED_VALUE"""),"rudinoviana@gmail.com")</f>
        <v>rudinoviana@gmail.com</v>
      </c>
      <c r="AI388" s="85" t="str">
        <f>IFERROR(__xludf.DUMMYFUNCTION("""COMPUTED_VALUE"""),"17565S1")</f>
        <v>17565S1</v>
      </c>
      <c r="AJ388" s="85" t="str">
        <f>IFERROR(__xludf.DUMMYFUNCTION("""COMPUTED_VALUE"""),"677fd70c296b89a552048912")</f>
        <v>677fd70c296b89a552048912</v>
      </c>
      <c r="AK388" s="85" t="str">
        <f>IFERROR(__xludf.DUMMYFUNCTION("""COMPUTED_VALUE"""),"dm17565s1")</f>
        <v>dm17565s1</v>
      </c>
      <c r="AL388" s="85" t="str">
        <f>IFERROR(__xludf.DUMMYFUNCTION("""COMPUTED_VALUE"""),"#17565Pos")</f>
        <v>#17565Pos</v>
      </c>
      <c r="AM388" s="85" t="str">
        <f>IFERROR(__xludf.DUMMYFUNCTION("""COMPUTED_VALUE"""),"KANTOR REGIONAL II JAKARTA 10004")</f>
        <v>KANTOR REGIONAL II JAKARTA 10004</v>
      </c>
      <c r="AN388" s="85" t="str">
        <f>IFERROR(__xludf.DUMMYFUNCTION("""COMPUTED_VALUE"""),"KC CIKARANG 17500")</f>
        <v>KC CIKARANG 17500</v>
      </c>
      <c r="AO388" s="85" t="str">
        <f>IFERROR(__xludf.DUMMYFUNCTION("""COMPUTED_VALUE"""),"0269010151689")</f>
        <v>0269010151689</v>
      </c>
      <c r="AP388" s="85" t="str">
        <f>IFERROR(__xludf.DUMMYFUNCTION("""COMPUTED_VALUE"""),"02690101516890001")</f>
        <v>02690101516890001</v>
      </c>
      <c r="AQ388" s="93"/>
      <c r="AR388" s="85"/>
      <c r="AS388" s="85"/>
      <c r="AT388" s="85" t="str">
        <f>IFERROR(__xludf.DUMMYFUNCTION("""COMPUTED_VALUE"""),"-6.184092")</f>
        <v>-6.184092</v>
      </c>
      <c r="AU388" s="85" t="str">
        <f>IFERROR(__xludf.DUMMYFUNCTION("""COMPUTED_VALUE"""),"107.0626071")</f>
        <v>107.0626071</v>
      </c>
      <c r="AV388" s="85"/>
      <c r="AW388" s="85"/>
      <c r="AX388" s="85" t="str">
        <f>IFERROR(__xludf.DUMMYFUNCTION("""COMPUTED_VALUE"""),"ü")</f>
        <v>ü</v>
      </c>
      <c r="AY388" s="85"/>
      <c r="AZ388" s="85"/>
      <c r="BA388" s="85"/>
      <c r="BB388" s="85"/>
      <c r="BC388" s="85"/>
      <c r="BD388" s="85"/>
      <c r="BE388" s="85"/>
      <c r="BF388" s="85"/>
      <c r="BG388" s="85"/>
      <c r="BH388" s="85"/>
      <c r="BI388" s="85"/>
      <c r="BJ388" s="85"/>
      <c r="BK388" s="85"/>
      <c r="BL388" s="85"/>
      <c r="BM388" s="85"/>
      <c r="BN388" s="85"/>
      <c r="BO388" s="85"/>
      <c r="BP388" s="85"/>
      <c r="BQ388" s="85"/>
      <c r="BR388" s="85"/>
      <c r="BS388" s="85"/>
      <c r="BT388" s="85"/>
      <c r="BU388" s="85"/>
      <c r="BV388" s="85"/>
      <c r="BW388" s="85"/>
      <c r="BX388" s="85"/>
      <c r="BY388" s="85"/>
      <c r="BZ388" s="85"/>
      <c r="CA388" s="85"/>
      <c r="CB388" s="85"/>
      <c r="CC388" s="85"/>
      <c r="CD388" s="85"/>
      <c r="CE388" s="85"/>
      <c r="CF388" s="85"/>
      <c r="CG388" s="85"/>
      <c r="CH388" s="85"/>
      <c r="CI388" s="85"/>
      <c r="CJ388" s="85"/>
      <c r="CK388" s="2"/>
    </row>
    <row r="389" ht="12.75" customHeight="1">
      <c r="A389" s="80">
        <f>IFERROR(__xludf.DUMMYFUNCTION("""COMPUTED_VALUE"""),386.0)</f>
        <v>386</v>
      </c>
      <c r="B389" s="80"/>
      <c r="C389" s="80"/>
      <c r="D389" s="81"/>
      <c r="E389" s="82"/>
      <c r="F389" s="80"/>
      <c r="G389" s="81"/>
      <c r="H389" s="80"/>
      <c r="I389" s="80"/>
      <c r="J389" s="80"/>
      <c r="K389" s="80"/>
      <c r="L389" s="80"/>
      <c r="M389" s="80" t="str">
        <f>IFERROR(__xludf.DUMMYFUNCTION("""COMPUTED_VALUE"""),"ü")</f>
        <v>ü</v>
      </c>
      <c r="N389" s="80"/>
      <c r="O389" s="80"/>
      <c r="P389" s="80" t="str">
        <f>IFERROR(__xludf.DUMMYFUNCTION("""COMPUTED_VALUE"""),"MUCSPA63072PSIND")</f>
        <v>MUCSPA63072PSIND</v>
      </c>
      <c r="Q389" s="80" t="str">
        <f>IFERROR(__xludf.DUMMYFUNCTION("""COMPUTED_VALUE"""),"MUC POST Pasar Bantargebang")</f>
        <v>MUC POST Pasar Bantargebang</v>
      </c>
      <c r="R389" s="80" t="str">
        <f>IFERROR(__xludf.DUMMYFUNCTION("""COMPUTED_VALUE"""),"MUC POST Pasar Bantargebang")</f>
        <v>MUC POST Pasar Bantargebang</v>
      </c>
      <c r="S389" s="80" t="str">
        <f>IFERROR(__xludf.DUMMYFUNCTION("""COMPUTED_VALUE"""),"Debi Maya Dianti ")</f>
        <v>Debi Maya Dianti </v>
      </c>
      <c r="T389" s="80" t="str">
        <f>IFERROR(__xludf.DUMMYFUNCTION("""COMPUTED_VALUE"""),"CLUSTER SABRINA AZZURA BLOK H8 RT.001 RW.003 KEL.BANTARGEBANG KEC.BANTARGEBANG KOTA BEKASI JAWA BARAT")</f>
        <v>CLUSTER SABRINA AZZURA BLOK H8 RT.001 RW.003 KEL.BANTARGEBANG KEC.BANTARGEBANG KOTA BEKASI JAWA BARAT</v>
      </c>
      <c r="U389" s="80" t="str">
        <f>IFERROR(__xludf.DUMMYFUNCTION("""COMPUTED_VALUE"""),"CLUSTER SABRINA AZZURA BLOK H8, RT 001 RW 003")</f>
        <v>CLUSTER SABRINA AZZURA BLOK H8, RT 001 RW 003</v>
      </c>
      <c r="V389" s="80"/>
      <c r="W389" s="80" t="str">
        <f>IFERROR(__xludf.DUMMYFUNCTION("""COMPUTED_VALUE"""),"BANTARGEBANG")</f>
        <v>BANTARGEBANG</v>
      </c>
      <c r="X389" s="80" t="str">
        <f>IFERROR(__xludf.DUMMYFUNCTION("""COMPUTED_VALUE"""),"BANTARGEBANG")</f>
        <v>BANTARGEBANG</v>
      </c>
      <c r="Y389" s="80" t="str">
        <f>IFERROR(__xludf.DUMMYFUNCTION("""COMPUTED_VALUE"""),"KOTA BEKASI")</f>
        <v>KOTA BEKASI</v>
      </c>
      <c r="Z389" s="80" t="str">
        <f>IFERROR(__xludf.DUMMYFUNCTION("""COMPUTED_VALUE"""),"JAWA BARAT")</f>
        <v>JAWA BARAT</v>
      </c>
      <c r="AA389" s="80" t="str">
        <f>IFERROR(__xludf.DUMMYFUNCTION("""COMPUTED_VALUE"""),"17151")</f>
        <v>17151</v>
      </c>
      <c r="AB389" s="80" t="str">
        <f>IFERROR(__xludf.DUMMYFUNCTION("""COMPUTED_VALUE"""),"3275096005920015")</f>
        <v>3275096005920015</v>
      </c>
      <c r="AC389" s="80" t="str">
        <f>IFERROR(__xludf.DUMMYFUNCTION("""COMPUTED_VALUE"""),"72.095.245.6-432.000")</f>
        <v>72.095.245.6-432.000</v>
      </c>
      <c r="AD389" s="80" t="str">
        <f>IFERROR(__xludf.DUMMYFUNCTION("""COMPUTED_VALUE"""),"CUM - PS - AYS")</f>
        <v>CUM - PS - AYS</v>
      </c>
      <c r="AE389" s="80" t="str">
        <f>IFERROR(__xludf.DUMMYFUNCTION("""COMPUTED_VALUE"""),"SUB YUNUS POS")</f>
        <v>SUB YUNUS POS</v>
      </c>
      <c r="AF389" s="80" t="str">
        <f>IFERROR(__xludf.DUMMYFUNCTION("""COMPUTED_VALUE"""),"08998282588")</f>
        <v>08998282588</v>
      </c>
      <c r="AG389" s="80"/>
      <c r="AH389" s="80" t="str">
        <f>IFERROR(__xludf.DUMMYFUNCTION("""COMPUTED_VALUE"""),"halo.khe@gmail.com")</f>
        <v>halo.khe@gmail.com</v>
      </c>
      <c r="AI389" s="80" t="str">
        <f>IFERROR(__xludf.DUMMYFUNCTION("""COMPUTED_VALUE"""),"17151S2")</f>
        <v>17151S2</v>
      </c>
      <c r="AJ389" s="80" t="str">
        <f>IFERROR(__xludf.DUMMYFUNCTION("""COMPUTED_VALUE"""),"677b7b3e6b51159747030f36")</f>
        <v>677b7b3e6b51159747030f36</v>
      </c>
      <c r="AK389" s="80" t="str">
        <f>IFERROR(__xludf.DUMMYFUNCTION("""COMPUTED_VALUE"""),"dm17151s2")</f>
        <v>dm17151s2</v>
      </c>
      <c r="AL389" s="80" t="str">
        <f>IFERROR(__xludf.DUMMYFUNCTION("""COMPUTED_VALUE"""),"#17151Pos")</f>
        <v>#17151Pos</v>
      </c>
      <c r="AM389" s="80" t="str">
        <f>IFERROR(__xludf.DUMMYFUNCTION("""COMPUTED_VALUE"""),"KANTOR REGIONAL II JAKARTA 10004")</f>
        <v>KANTOR REGIONAL II JAKARTA 10004</v>
      </c>
      <c r="AN389" s="80" t="str">
        <f>IFERROR(__xludf.DUMMYFUNCTION("""COMPUTED_VALUE"""),"KCU BEKASI 17000")</f>
        <v>KCU BEKASI 17000</v>
      </c>
      <c r="AO389" s="80" t="str">
        <f>IFERROR(__xludf.DUMMYFUNCTION("""COMPUTED_VALUE"""),"0211210050885")</f>
        <v>0211210050885</v>
      </c>
      <c r="AP389" s="80" t="str">
        <f>IFERROR(__xludf.DUMMYFUNCTION("""COMPUTED_VALUE"""),"02112100508850001")</f>
        <v>02112100508850001</v>
      </c>
      <c r="AQ389" s="83"/>
      <c r="AR389" s="80"/>
      <c r="AS389" s="80"/>
      <c r="AT389" s="80" t="str">
        <f>IFERROR(__xludf.DUMMYFUNCTION("""COMPUTED_VALUE"""),"-6.309147")</f>
        <v>-6.309147</v>
      </c>
      <c r="AU389" s="80" t="str">
        <f>IFERROR(__xludf.DUMMYFUNCTION("""COMPUTED_VALUE"""),"106.989290")</f>
        <v>106.989290</v>
      </c>
      <c r="AV389" s="80"/>
      <c r="AW389" s="80"/>
      <c r="AX389" s="80" t="str">
        <f>IFERROR(__xludf.DUMMYFUNCTION("""COMPUTED_VALUE"""),"ü")</f>
        <v>ü</v>
      </c>
      <c r="AY389" s="80"/>
      <c r="AZ389" s="80"/>
      <c r="BA389" s="80"/>
      <c r="BB389" s="80"/>
      <c r="BC389" s="80"/>
      <c r="BD389" s="80"/>
      <c r="BE389" s="80"/>
      <c r="BF389" s="80"/>
      <c r="BG389" s="80"/>
      <c r="BH389" s="80"/>
      <c r="BI389" s="80"/>
      <c r="BJ389" s="80"/>
      <c r="BK389" s="80"/>
      <c r="BL389" s="80"/>
      <c r="BM389" s="80"/>
      <c r="BN389" s="80"/>
      <c r="BO389" s="80"/>
      <c r="BP389" s="80"/>
      <c r="BQ389" s="80"/>
      <c r="BR389" s="80"/>
      <c r="BS389" s="80"/>
      <c r="BT389" s="80"/>
      <c r="BU389" s="80"/>
      <c r="BV389" s="80"/>
      <c r="BW389" s="80"/>
      <c r="BX389" s="80"/>
      <c r="BY389" s="80"/>
      <c r="BZ389" s="80"/>
      <c r="CA389" s="80"/>
      <c r="CB389" s="80"/>
      <c r="CC389" s="80"/>
      <c r="CD389" s="80"/>
      <c r="CE389" s="80"/>
      <c r="CF389" s="80"/>
      <c r="CG389" s="80"/>
      <c r="CH389" s="80"/>
      <c r="CI389" s="80"/>
      <c r="CJ389" s="80"/>
      <c r="CK389" s="2"/>
    </row>
    <row r="390" ht="12.75" customHeight="1">
      <c r="A390" s="85">
        <f>IFERROR(__xludf.DUMMYFUNCTION("""COMPUTED_VALUE"""),387.0)</f>
        <v>387</v>
      </c>
      <c r="B390" s="85"/>
      <c r="C390" s="85"/>
      <c r="D390" s="86"/>
      <c r="E390" s="88"/>
      <c r="F390" s="85"/>
      <c r="G390" s="86"/>
      <c r="H390" s="85"/>
      <c r="I390" s="85"/>
      <c r="J390" s="85"/>
      <c r="K390" s="85"/>
      <c r="L390" s="85"/>
      <c r="M390" s="85" t="str">
        <f>IFERROR(__xludf.DUMMYFUNCTION("""COMPUTED_VALUE"""),"ü")</f>
        <v>ü</v>
      </c>
      <c r="N390" s="85"/>
      <c r="O390" s="85"/>
      <c r="P390" s="85" t="str">
        <f>IFERROR(__xludf.DUMMYFUNCTION("""COMPUTED_VALUE"""),"MUCSPA63073PSIND")</f>
        <v>MUCSPA63073PSIND</v>
      </c>
      <c r="Q390" s="85" t="str">
        <f>IFERROR(__xludf.DUMMYFUNCTION("""COMPUTED_VALUE"""),"MUC UQY")</f>
        <v>MUC UQY</v>
      </c>
      <c r="R390" s="85" t="str">
        <f>IFERROR(__xludf.DUMMYFUNCTION("""COMPUTED_VALUE"""),"MUC UQY")</f>
        <v>MUC UQY</v>
      </c>
      <c r="S390" s="85" t="str">
        <f>IFERROR(__xludf.DUMMYFUNCTION("""COMPUTED_VALUE"""),"SITI JUWARIYAH")</f>
        <v>SITI JUWARIYAH</v>
      </c>
      <c r="T390" s="85" t="str">
        <f>IFERROR(__xludf.DUMMYFUNCTION("""COMPUTED_VALUE"""),"WANAKARSA RT.007 RW.001 KEL.WANAKARSA KEC.WANADADI KAB.BANJARNEGARA")</f>
        <v>WANAKARSA RT.007 RW.001 KEL.WANAKARSA KEC.WANADADI KAB.BANJARNEGARA</v>
      </c>
      <c r="U390" s="85" t="str">
        <f>IFERROR(__xludf.DUMMYFUNCTION("""COMPUTED_VALUE"""),"Jl. Raya Timur Wanadadi")</f>
        <v>Jl. Raya Timur Wanadadi</v>
      </c>
      <c r="V390" s="85"/>
      <c r="W390" s="85" t="str">
        <f>IFERROR(__xludf.DUMMYFUNCTION("""COMPUTED_VALUE"""),"WANAKARSA")</f>
        <v>WANAKARSA</v>
      </c>
      <c r="X390" s="85" t="str">
        <f>IFERROR(__xludf.DUMMYFUNCTION("""COMPUTED_VALUE"""),"WANADADI")</f>
        <v>WANADADI</v>
      </c>
      <c r="Y390" s="85" t="str">
        <f>IFERROR(__xludf.DUMMYFUNCTION("""COMPUTED_VALUE"""),"KAB. BANJARNEGARA")</f>
        <v>KAB. BANJARNEGARA</v>
      </c>
      <c r="Z390" s="85" t="str">
        <f>IFERROR(__xludf.DUMMYFUNCTION("""COMPUTED_VALUE"""),"JAWA TENGAH")</f>
        <v>JAWA TENGAH</v>
      </c>
      <c r="AA390" s="85" t="str">
        <f>IFERROR(__xludf.DUMMYFUNCTION("""COMPUTED_VALUE"""),"53461")</f>
        <v>53461</v>
      </c>
      <c r="AB390" s="85" t="str">
        <f>IFERROR(__xludf.DUMMYFUNCTION("""COMPUTED_VALUE"""),"3304106111840002")</f>
        <v>3304106111840002</v>
      </c>
      <c r="AC390" s="85" t="str">
        <f>IFERROR(__xludf.DUMMYFUNCTION("""COMPUTED_VALUE"""),"75.122.819.8-529.000")</f>
        <v>75.122.819.8-529.000</v>
      </c>
      <c r="AD390" s="85" t="str">
        <f>IFERROR(__xludf.DUMMYFUNCTION("""COMPUTED_VALUE"""),"CUM - PS - AMU")</f>
        <v>CUM - PS - AMU</v>
      </c>
      <c r="AE390" s="85" t="str">
        <f>IFERROR(__xludf.DUMMYFUNCTION("""COMPUTED_VALUE"""),"SUB MUJI POS")</f>
        <v>SUB MUJI POS</v>
      </c>
      <c r="AF390" s="85" t="str">
        <f>IFERROR(__xludf.DUMMYFUNCTION("""COMPUTED_VALUE"""),"081328721742")</f>
        <v>081328721742</v>
      </c>
      <c r="AG390" s="85"/>
      <c r="AH390" s="85" t="str">
        <f>IFERROR(__xludf.DUMMYFUNCTION("""COMPUTED_VALUE"""),"tofauqiana@gmail.com")</f>
        <v>tofauqiana@gmail.com</v>
      </c>
      <c r="AI390" s="85" t="str">
        <f>IFERROR(__xludf.DUMMYFUNCTION("""COMPUTED_VALUE"""),"53461S1")</f>
        <v>53461S1</v>
      </c>
      <c r="AJ390" s="85" t="str">
        <f>IFERROR(__xludf.DUMMYFUNCTION("""COMPUTED_VALUE"""),"677fdf1611319738fc0e9802")</f>
        <v>677fdf1611319738fc0e9802</v>
      </c>
      <c r="AK390" s="85" t="str">
        <f>IFERROR(__xludf.DUMMYFUNCTION("""COMPUTED_VALUE"""),"dm53461s1")</f>
        <v>dm53461s1</v>
      </c>
      <c r="AL390" s="85" t="str">
        <f>IFERROR(__xludf.DUMMYFUNCTION("""COMPUTED_VALUE"""),"#53461Pos")</f>
        <v>#53461Pos</v>
      </c>
      <c r="AM390" s="85" t="str">
        <f>IFERROR(__xludf.DUMMYFUNCTION("""COMPUTED_VALUE"""),"KANTOR REGIONAL IV SEMARANG 50004")</f>
        <v>KANTOR REGIONAL IV SEMARANG 50004</v>
      </c>
      <c r="AN390" s="85" t="str">
        <f>IFERROR(__xludf.DUMMYFUNCTION("""COMPUTED_VALUE"""),"KC BANJARNEGARA")</f>
        <v>KC BANJARNEGARA</v>
      </c>
      <c r="AO390" s="85" t="str">
        <f>IFERROR(__xludf.DUMMYFUNCTION("""COMPUTED_VALUE"""),"3012240052567")</f>
        <v>3012240052567</v>
      </c>
      <c r="AP390" s="85" t="str">
        <f>IFERROR(__xludf.DUMMYFUNCTION("""COMPUTED_VALUE"""),"30122400525670001")</f>
        <v>30122400525670001</v>
      </c>
      <c r="AQ390" s="93"/>
      <c r="AR390" s="85"/>
      <c r="AS390" s="85"/>
      <c r="AT390" s="85" t="str">
        <f>IFERROR(__xludf.DUMMYFUNCTION("""COMPUTED_VALUE"""),"-7.367498 ")</f>
        <v>-7.367498 </v>
      </c>
      <c r="AU390" s="85" t="str">
        <f>IFERROR(__xludf.DUMMYFUNCTION("""COMPUTED_VALUE"""),"109.629901")</f>
        <v>109.629901</v>
      </c>
      <c r="AV390" s="85"/>
      <c r="AW390" s="85"/>
      <c r="AX390" s="85" t="str">
        <f>IFERROR(__xludf.DUMMYFUNCTION("""COMPUTED_VALUE"""),"ü")</f>
        <v>ü</v>
      </c>
      <c r="AY390" s="85"/>
      <c r="AZ390" s="85"/>
      <c r="BA390" s="85"/>
      <c r="BB390" s="85"/>
      <c r="BC390" s="85"/>
      <c r="BD390" s="85"/>
      <c r="BE390" s="85"/>
      <c r="BF390" s="85"/>
      <c r="BG390" s="85"/>
      <c r="BH390" s="85"/>
      <c r="BI390" s="85"/>
      <c r="BJ390" s="85"/>
      <c r="BK390" s="85"/>
      <c r="BL390" s="85"/>
      <c r="BM390" s="85"/>
      <c r="BN390" s="85"/>
      <c r="BO390" s="85"/>
      <c r="BP390" s="85"/>
      <c r="BQ390" s="85"/>
      <c r="BR390" s="85"/>
      <c r="BS390" s="85"/>
      <c r="BT390" s="85"/>
      <c r="BU390" s="85"/>
      <c r="BV390" s="85"/>
      <c r="BW390" s="85"/>
      <c r="BX390" s="85"/>
      <c r="BY390" s="85"/>
      <c r="BZ390" s="85"/>
      <c r="CA390" s="85"/>
      <c r="CB390" s="85"/>
      <c r="CC390" s="85"/>
      <c r="CD390" s="85"/>
      <c r="CE390" s="85"/>
      <c r="CF390" s="85"/>
      <c r="CG390" s="85"/>
      <c r="CH390" s="85"/>
      <c r="CI390" s="85"/>
      <c r="CJ390" s="85"/>
      <c r="CK390" s="2"/>
    </row>
    <row r="391" ht="12.75" customHeight="1">
      <c r="A391" s="80">
        <f>IFERROR(__xludf.DUMMYFUNCTION("""COMPUTED_VALUE"""),388.0)</f>
        <v>388</v>
      </c>
      <c r="B391" s="80"/>
      <c r="C391" s="80"/>
      <c r="D391" s="81"/>
      <c r="E391" s="82"/>
      <c r="F391" s="80"/>
      <c r="G391" s="81"/>
      <c r="H391" s="80"/>
      <c r="I391" s="80"/>
      <c r="J391" s="80"/>
      <c r="K391" s="80"/>
      <c r="L391" s="80"/>
      <c r="M391" s="80" t="str">
        <f>IFERROR(__xludf.DUMMYFUNCTION("""COMPUTED_VALUE"""),"ü")</f>
        <v>ü</v>
      </c>
      <c r="N391" s="80"/>
      <c r="O391" s="80"/>
      <c r="P391" s="80" t="str">
        <f>IFERROR(__xludf.DUMMYFUNCTION("""COMPUTED_VALUE"""),"MUCSPA63074PSIND")</f>
        <v>MUCSPA63074PSIND</v>
      </c>
      <c r="Q391" s="80" t="str">
        <f>IFERROR(__xludf.DUMMYFUNCTION("""COMPUTED_VALUE"""),"MUC POST CIANTING")</f>
        <v>MUC POST CIANTING</v>
      </c>
      <c r="R391" s="80" t="str">
        <f>IFERROR(__xludf.DUMMYFUNCTION("""COMPUTED_VALUE"""),"MUC POST CIANTING")</f>
        <v>MUC POST CIANTING</v>
      </c>
      <c r="S391" s="80" t="str">
        <f>IFERROR(__xludf.DUMMYFUNCTION("""COMPUTED_VALUE"""),"AI SOLIHAT")</f>
        <v>AI SOLIHAT</v>
      </c>
      <c r="T391" s="80" t="str">
        <f>IFERROR(__xludf.DUMMYFUNCTION("""COMPUTED_VALUE"""),"JL. RAYA CIANTING RT 004 RW 001")</f>
        <v>JL. RAYA CIANTING RT 004 RW 001</v>
      </c>
      <c r="U391" s="80" t="str">
        <f>IFERROR(__xludf.DUMMYFUNCTION("""COMPUTED_VALUE"""),"JL. RAYA CIANTING RT 004 RW 001")</f>
        <v>JL. RAYA CIANTING RT 004 RW 001</v>
      </c>
      <c r="V391" s="80"/>
      <c r="W391" s="80" t="str">
        <f>IFERROR(__xludf.DUMMYFUNCTION("""COMPUTED_VALUE"""),"CIANTING")</f>
        <v>CIANTING</v>
      </c>
      <c r="X391" s="80" t="str">
        <f>IFERROR(__xludf.DUMMYFUNCTION("""COMPUTED_VALUE"""),"SUKATANI")</f>
        <v>SUKATANI</v>
      </c>
      <c r="Y391" s="80" t="str">
        <f>IFERROR(__xludf.DUMMYFUNCTION("""COMPUTED_VALUE"""),"KAB. PURWAKARTA")</f>
        <v>KAB. PURWAKARTA</v>
      </c>
      <c r="Z391" s="80" t="str">
        <f>IFERROR(__xludf.DUMMYFUNCTION("""COMPUTED_VALUE"""),"JAWA BARAT")</f>
        <v>JAWA BARAT</v>
      </c>
      <c r="AA391" s="80" t="str">
        <f>IFERROR(__xludf.DUMMYFUNCTION("""COMPUTED_VALUE"""),"41167")</f>
        <v>41167</v>
      </c>
      <c r="AB391" s="80" t="str">
        <f>IFERROR(__xludf.DUMMYFUNCTION("""COMPUTED_VALUE"""),"3214054407790002")</f>
        <v>3214054407790002</v>
      </c>
      <c r="AC391" s="80" t="str">
        <f>IFERROR(__xludf.DUMMYFUNCTION("""COMPUTED_VALUE"""),"84.024.849.6-409.000")</f>
        <v>84.024.849.6-409.000</v>
      </c>
      <c r="AD391" s="80" t="str">
        <f>IFERROR(__xludf.DUMMYFUNCTION("""COMPUTED_VALUE"""),"CUM - ABDR")</f>
        <v>CUM - ABDR</v>
      </c>
      <c r="AE391" s="80" t="str">
        <f>IFERROR(__xludf.DUMMYFUNCTION("""COMPUTED_VALUE"""),"SUB ABDURAHMAN POS")</f>
        <v>SUB ABDURAHMAN POS</v>
      </c>
      <c r="AF391" s="80" t="str">
        <f>IFERROR(__xludf.DUMMYFUNCTION("""COMPUTED_VALUE"""),"0895353300007")</f>
        <v>0895353300007</v>
      </c>
      <c r="AG391" s="80"/>
      <c r="AH391" s="80" t="str">
        <f>IFERROR(__xludf.DUMMYFUNCTION("""COMPUTED_VALUE"""),"mamahmamah6872@gmail.com")</f>
        <v>mamahmamah6872@gmail.com</v>
      </c>
      <c r="AI391" s="80" t="str">
        <f>IFERROR(__xludf.DUMMYFUNCTION("""COMPUTED_VALUE"""),"41167S3")</f>
        <v>41167S3</v>
      </c>
      <c r="AJ391" s="80" t="str">
        <f>IFERROR(__xludf.DUMMYFUNCTION("""COMPUTED_VALUE"""),"678dcf018eea8797e901f030")</f>
        <v>678dcf018eea8797e901f030</v>
      </c>
      <c r="AK391" s="80" t="str">
        <f>IFERROR(__xludf.DUMMYFUNCTION("""COMPUTED_VALUE"""),"dm41167s3")</f>
        <v>dm41167s3</v>
      </c>
      <c r="AL391" s="80" t="str">
        <f>IFERROR(__xludf.DUMMYFUNCTION("""COMPUTED_VALUE"""),"#41167Pos")</f>
        <v>#41167Pos</v>
      </c>
      <c r="AM391" s="80" t="str">
        <f>IFERROR(__xludf.DUMMYFUNCTION("""COMPUTED_VALUE"""),"KANTOR REGIONAL III BANDUNG 40004")</f>
        <v>KANTOR REGIONAL III BANDUNG 40004</v>
      </c>
      <c r="AN391" s="80" t="str">
        <f>IFERROR(__xludf.DUMMYFUNCTION("""COMPUTED_VALUE"""),"KC PURWAKARTA 41100")</f>
        <v>KC PURWAKARTA 41100</v>
      </c>
      <c r="AO391" s="80" t="str">
        <f>IFERROR(__xludf.DUMMYFUNCTION("""COMPUTED_VALUE"""),"2412240047835")</f>
        <v>2412240047835</v>
      </c>
      <c r="AP391" s="80" t="str">
        <f>IFERROR(__xludf.DUMMYFUNCTION("""COMPUTED_VALUE"""),"24122400478350001")</f>
        <v>24122400478350001</v>
      </c>
      <c r="AQ391" s="83"/>
      <c r="AR391" s="80"/>
      <c r="AS391" s="80"/>
      <c r="AT391" s="80" t="str">
        <f>IFERROR(__xludf.DUMMYFUNCTION("""COMPUTED_VALUE"""),"-6.6365837")</f>
        <v>-6.6365837</v>
      </c>
      <c r="AU391" s="80" t="str">
        <f>IFERROR(__xludf.DUMMYFUNCTION("""COMPUTED_VALUE"""),"107.4054267")</f>
        <v>107.4054267</v>
      </c>
      <c r="AV391" s="80"/>
      <c r="AW391" s="80"/>
      <c r="AX391" s="80" t="str">
        <f>IFERROR(__xludf.DUMMYFUNCTION("""COMPUTED_VALUE"""),"ü")</f>
        <v>ü</v>
      </c>
      <c r="AY391" s="80"/>
      <c r="AZ391" s="80"/>
      <c r="BA391" s="80"/>
      <c r="BB391" s="80"/>
      <c r="BC391" s="80"/>
      <c r="BD391" s="80"/>
      <c r="BE391" s="80"/>
      <c r="BF391" s="80"/>
      <c r="BG391" s="80"/>
      <c r="BH391" s="80"/>
      <c r="BI391" s="80"/>
      <c r="BJ391" s="80"/>
      <c r="BK391" s="80"/>
      <c r="BL391" s="80"/>
      <c r="BM391" s="80"/>
      <c r="BN391" s="80"/>
      <c r="BO391" s="80"/>
      <c r="BP391" s="80"/>
      <c r="BQ391" s="80"/>
      <c r="BR391" s="80"/>
      <c r="BS391" s="80"/>
      <c r="BT391" s="80"/>
      <c r="BU391" s="80"/>
      <c r="BV391" s="80"/>
      <c r="BW391" s="80"/>
      <c r="BX391" s="80"/>
      <c r="BY391" s="80"/>
      <c r="BZ391" s="80"/>
      <c r="CA391" s="80"/>
      <c r="CB391" s="80"/>
      <c r="CC391" s="80"/>
      <c r="CD391" s="80"/>
      <c r="CE391" s="80"/>
      <c r="CF391" s="80"/>
      <c r="CG391" s="80"/>
      <c r="CH391" s="80"/>
      <c r="CI391" s="80"/>
      <c r="CJ391" s="80"/>
      <c r="CK391" s="2"/>
    </row>
    <row r="392" ht="12.75" customHeight="1">
      <c r="A392" s="85">
        <f>IFERROR(__xludf.DUMMYFUNCTION("""COMPUTED_VALUE"""),389.0)</f>
        <v>389</v>
      </c>
      <c r="B392" s="85"/>
      <c r="C392" s="85"/>
      <c r="D392" s="86">
        <f>IFERROR(__xludf.DUMMYFUNCTION("""COMPUTED_VALUE"""),45659.0)</f>
        <v>45659</v>
      </c>
      <c r="E392" s="88"/>
      <c r="F392" s="85"/>
      <c r="G392" s="86">
        <f>IFERROR(__xludf.DUMMYFUNCTION("""COMPUTED_VALUE"""),45677.0)</f>
        <v>45677</v>
      </c>
      <c r="H392" s="85"/>
      <c r="I392" s="85"/>
      <c r="J392" s="85"/>
      <c r="K392" s="85"/>
      <c r="L392" s="85">
        <f>IFERROR(__xludf.DUMMYFUNCTION("""COMPUTED_VALUE"""),18.0)</f>
        <v>18</v>
      </c>
      <c r="M392" s="85" t="str">
        <f>IFERROR(__xludf.DUMMYFUNCTION("""COMPUTED_VALUE"""),"ü")</f>
        <v>ü</v>
      </c>
      <c r="N392" s="85"/>
      <c r="O392" s="85"/>
      <c r="P392" s="85" t="str">
        <f>IFERROR(__xludf.DUMMYFUNCTION("""COMPUTED_VALUE"""),"53BSPA09291JBEEN")</f>
        <v>53BSPA09291JBEEN</v>
      </c>
      <c r="Q392" s="85" t="str">
        <f>IFERROR(__xludf.DUMMYFUNCTION("""COMPUTED_VALUE"""),"MUC Pluit Karang Utara Raya")</f>
        <v>MUC Pluit Karang Utara Raya</v>
      </c>
      <c r="R392" s="85" t="str">
        <f>IFERROR(__xludf.DUMMYFUNCTION("""COMPUTED_VALUE"""),"MUC Pluit Karang Utara Raya")</f>
        <v>MUC Pluit Karang Utara Raya</v>
      </c>
      <c r="S392" s="85" t="str">
        <f>IFERROR(__xludf.DUMMYFUNCTION("""COMPUTED_VALUE"""),"Johan")</f>
        <v>Johan</v>
      </c>
      <c r="T392" s="85" t="str">
        <f>IFERROR(__xludf.DUMMYFUNCTION("""COMPUTED_VALUE"""),"LIMUS PRATAMA REGENCY RT.003 RW.011 KEL. LIMUSNUNGGAL KEC. CILEUNGSI KAB. BOGOR JAWA BARAT")</f>
        <v>LIMUS PRATAMA REGENCY RT.003 RW.011 KEL. LIMUSNUNGGAL KEC. CILEUNGSI KAB. BOGOR JAWA BARAT</v>
      </c>
      <c r="U392" s="85" t="str">
        <f>IFERROR(__xludf.DUMMYFUNCTION("""COMPUTED_VALUE"""),"Jl.Pluit Karang Utara Raya A-5-U1 1A RT:001 RW:17")</f>
        <v>Jl.Pluit Karang Utara Raya A-5-U1 1A RT:001 RW:17</v>
      </c>
      <c r="V392" s="85"/>
      <c r="W392" s="85" t="str">
        <f>IFERROR(__xludf.DUMMYFUNCTION("""COMPUTED_VALUE"""),"PLUIT")</f>
        <v>PLUIT</v>
      </c>
      <c r="X392" s="85" t="str">
        <f>IFERROR(__xludf.DUMMYFUNCTION("""COMPUTED_VALUE"""),"PENJARINGAN")</f>
        <v>PENJARINGAN</v>
      </c>
      <c r="Y392" s="85" t="str">
        <f>IFERROR(__xludf.DUMMYFUNCTION("""COMPUTED_VALUE"""),"JAKARTA UTARA")</f>
        <v>JAKARTA UTARA</v>
      </c>
      <c r="Z392" s="85" t="str">
        <f>IFERROR(__xludf.DUMMYFUNCTION("""COMPUTED_VALUE"""),"DKI JAKARTA")</f>
        <v>DKI JAKARTA</v>
      </c>
      <c r="AA392" s="85" t="str">
        <f>IFERROR(__xludf.DUMMYFUNCTION("""COMPUTED_VALUE"""),"14450")</f>
        <v>14450</v>
      </c>
      <c r="AB392" s="85" t="str">
        <f>IFERROR(__xludf.DUMMYFUNCTION("""COMPUTED_VALUE"""),"3201070510710011")</f>
        <v>3201070510710011</v>
      </c>
      <c r="AC392" s="85" t="str">
        <f>IFERROR(__xludf.DUMMYFUNCTION("""COMPUTED_VALUE"""),"74.540.771.8-436.000")</f>
        <v>74.540.771.8-436.000</v>
      </c>
      <c r="AD392" s="85" t="str">
        <f>IFERROR(__xludf.DUMMYFUNCTION("""COMPUTED_VALUE"""),"CUM - EEN")</f>
        <v>CUM - EEN</v>
      </c>
      <c r="AE392" s="85" t="str">
        <f>IFERROR(__xludf.DUMMYFUNCTION("""COMPUTED_VALUE"""),"SUB EEN")</f>
        <v>SUB EEN</v>
      </c>
      <c r="AF392" s="85" t="str">
        <f>IFERROR(__xludf.DUMMYFUNCTION("""COMPUTED_VALUE"""),"081289223888")</f>
        <v>081289223888</v>
      </c>
      <c r="AG392" s="85"/>
      <c r="AH392" s="85" t="str">
        <f>IFERROR(__xludf.DUMMYFUNCTION("""COMPUTED_VALUE"""),"johansalim3888@gmail.com")</f>
        <v>johansalim3888@gmail.com</v>
      </c>
      <c r="AI392" s="85" t="str">
        <f>IFERROR(__xludf.DUMMYFUNCTION("""COMPUTED_VALUE"""),"14450S3")</f>
        <v>14450S3</v>
      </c>
      <c r="AJ392" s="85" t="str">
        <f>IFERROR(__xludf.DUMMYFUNCTION("""COMPUTED_VALUE"""),"678e04dd9a975f06720da335")</f>
        <v>678e04dd9a975f06720da335</v>
      </c>
      <c r="AK392" s="85" t="str">
        <f>IFERROR(__xludf.DUMMYFUNCTION("""COMPUTED_VALUE"""),"dm14450s3")</f>
        <v>dm14450s3</v>
      </c>
      <c r="AL392" s="85" t="str">
        <f>IFERROR(__xludf.DUMMYFUNCTION("""COMPUTED_VALUE"""),"#14450Pos")</f>
        <v>#14450Pos</v>
      </c>
      <c r="AM392" s="85" t="str">
        <f>IFERROR(__xludf.DUMMYFUNCTION("""COMPUTED_VALUE"""),"KANTOR REGIONAL II JAKARTA 10004")</f>
        <v>KANTOR REGIONAL II JAKARTA 10004</v>
      </c>
      <c r="AN392" s="85" t="str">
        <f>IFERROR(__xludf.DUMMYFUNCTION("""COMPUTED_VALUE"""),"KCU JAKARTAPREMIER 13000")</f>
        <v>KCU JAKARTAPREMIER 13000</v>
      </c>
      <c r="AO392" s="85" t="str">
        <f>IFERROR(__xludf.DUMMYFUNCTION("""COMPUTED_VALUE"""),"0220103892713")</f>
        <v>0220103892713</v>
      </c>
      <c r="AP392" s="85" t="str">
        <f>IFERROR(__xludf.DUMMYFUNCTION("""COMPUTED_VALUE"""),"02201038927130001")</f>
        <v>02201038927130001</v>
      </c>
      <c r="AQ392" s="93"/>
      <c r="AR392" s="85"/>
      <c r="AS392" s="85"/>
      <c r="AT392" s="85" t="str">
        <f>IFERROR(__xludf.DUMMYFUNCTION("""COMPUTED_VALUE"""),"-6.112397 ")</f>
        <v>-6.112397 </v>
      </c>
      <c r="AU392" s="85" t="str">
        <f>IFERROR(__xludf.DUMMYFUNCTION("""COMPUTED_VALUE"""),"106.784243")</f>
        <v>106.784243</v>
      </c>
      <c r="AV392" s="85"/>
      <c r="AW392" s="85"/>
      <c r="AX392" s="85" t="str">
        <f>IFERROR(__xludf.DUMMYFUNCTION("""COMPUTED_VALUE"""),"ü")</f>
        <v>ü</v>
      </c>
      <c r="AY392" s="85"/>
      <c r="AZ392" s="85"/>
      <c r="BA392" s="85"/>
      <c r="BB392" s="85"/>
      <c r="BC392" s="85"/>
      <c r="BD392" s="85"/>
      <c r="BE392" s="85"/>
      <c r="BF392" s="85"/>
      <c r="BG392" s="85"/>
      <c r="BH392" s="85"/>
      <c r="BI392" s="85"/>
      <c r="BJ392" s="85"/>
      <c r="BK392" s="85"/>
      <c r="BL392" s="85"/>
      <c r="BM392" s="85"/>
      <c r="BN392" s="85"/>
      <c r="BO392" s="85"/>
      <c r="BP392" s="85"/>
      <c r="BQ392" s="85"/>
      <c r="BR392" s="85"/>
      <c r="BS392" s="85"/>
      <c r="BT392" s="85"/>
      <c r="BU392" s="85"/>
      <c r="BV392" s="85"/>
      <c r="BW392" s="85"/>
      <c r="BX392" s="85"/>
      <c r="BY392" s="85"/>
      <c r="BZ392" s="85"/>
      <c r="CA392" s="85"/>
      <c r="CB392" s="85"/>
      <c r="CC392" s="85"/>
      <c r="CD392" s="85"/>
      <c r="CE392" s="85"/>
      <c r="CF392" s="85"/>
      <c r="CG392" s="85"/>
      <c r="CH392" s="85"/>
      <c r="CI392" s="85"/>
      <c r="CJ392" s="85"/>
      <c r="CK392" s="2"/>
    </row>
    <row r="393" ht="12.75" customHeight="1">
      <c r="A393" s="80">
        <f>IFERROR(__xludf.DUMMYFUNCTION("""COMPUTED_VALUE"""),390.0)</f>
        <v>390</v>
      </c>
      <c r="B393" s="80"/>
      <c r="C393" s="80"/>
      <c r="D393" s="81">
        <f>IFERROR(__xludf.DUMMYFUNCTION("""COMPUTED_VALUE"""),45659.0)</f>
        <v>45659</v>
      </c>
      <c r="E393" s="82"/>
      <c r="F393" s="80"/>
      <c r="G393" s="81">
        <f>IFERROR(__xludf.DUMMYFUNCTION("""COMPUTED_VALUE"""),45672.0)</f>
        <v>45672</v>
      </c>
      <c r="H393" s="80"/>
      <c r="I393" s="80"/>
      <c r="J393" s="80"/>
      <c r="K393" s="80"/>
      <c r="L393" s="80">
        <f>IFERROR(__xludf.DUMMYFUNCTION("""COMPUTED_VALUE"""),13.0)</f>
        <v>13</v>
      </c>
      <c r="M393" s="80" t="str">
        <f>IFERROR(__xludf.DUMMYFUNCTION("""COMPUTED_VALUE"""),"ü")</f>
        <v>ü</v>
      </c>
      <c r="N393" s="80"/>
      <c r="O393" s="80"/>
      <c r="P393" s="80" t="str">
        <f>IFERROR(__xludf.DUMMYFUNCTION("""COMPUTED_VALUE"""),"53BSPA09296JBEEN")</f>
        <v>53BSPA09296JBEEN</v>
      </c>
      <c r="Q393" s="80" t="str">
        <f>IFERROR(__xludf.DUMMYFUNCTION("""COMPUTED_VALUE"""),"MUC AL IRFAN")</f>
        <v>MUC AL IRFAN</v>
      </c>
      <c r="R393" s="80" t="str">
        <f>IFERROR(__xludf.DUMMYFUNCTION("""COMPUTED_VALUE"""),"MUC AL IRFAN")</f>
        <v>MUC AL IRFAN</v>
      </c>
      <c r="S393" s="80" t="str">
        <f>IFERROR(__xludf.DUMMYFUNCTION("""COMPUTED_VALUE"""),"HIDAYAT")</f>
        <v>HIDAYAT</v>
      </c>
      <c r="T393" s="80" t="str">
        <f>IFERROR(__xludf.DUMMYFUNCTION("""COMPUTED_VALUE"""),"KP.LEBAKWANGI RT.002 RW.001 KEL. PAMEGARSARI KEC.PARUNG KAB. BOOR JAWA BARAT")</f>
        <v>KP.LEBAKWANGI RT.002 RW.001 KEL. PAMEGARSARI KEC.PARUNG KAB. BOOR JAWA BARAT</v>
      </c>
      <c r="U393" s="80" t="str">
        <f>IFERROR(__xludf.DUMMYFUNCTION("""COMPUTED_VALUE"""),"JL. MESJID AL IRFAN KP. LEBAKWANGI RT 02/01 ")</f>
        <v>JL. MESJID AL IRFAN KP. LEBAKWANGI RT 02/01 </v>
      </c>
      <c r="V393" s="80"/>
      <c r="W393" s="80" t="str">
        <f>IFERROR(__xludf.DUMMYFUNCTION("""COMPUTED_VALUE"""),"PAMEGARSARI")</f>
        <v>PAMEGARSARI</v>
      </c>
      <c r="X393" s="80" t="str">
        <f>IFERROR(__xludf.DUMMYFUNCTION("""COMPUTED_VALUE"""),"PARUNG ")</f>
        <v>PARUNG </v>
      </c>
      <c r="Y393" s="80" t="str">
        <f>IFERROR(__xludf.DUMMYFUNCTION("""COMPUTED_VALUE"""),"KAB. BOGOR")</f>
        <v>KAB. BOGOR</v>
      </c>
      <c r="Z393" s="80" t="str">
        <f>IFERROR(__xludf.DUMMYFUNCTION("""COMPUTED_VALUE"""),"JAWA BARAT ")</f>
        <v>JAWA BARAT </v>
      </c>
      <c r="AA393" s="80" t="str">
        <f>IFERROR(__xludf.DUMMYFUNCTION("""COMPUTED_VALUE"""),"16630")</f>
        <v>16630</v>
      </c>
      <c r="AB393" s="80" t="str">
        <f>IFERROR(__xludf.DUMMYFUNCTION("""COMPUTED_VALUE"""),"3201121512780009")</f>
        <v>3201121512780009</v>
      </c>
      <c r="AC393" s="80" t="str">
        <f>IFERROR(__xludf.DUMMYFUNCTION("""COMPUTED_VALUE"""),"25.231.442.2-403.000")</f>
        <v>25.231.442.2-403.000</v>
      </c>
      <c r="AD393" s="80" t="str">
        <f>IFERROR(__xludf.DUMMYFUNCTION("""COMPUTED_VALUE"""),"CUM - EEN")</f>
        <v>CUM - EEN</v>
      </c>
      <c r="AE393" s="80" t="str">
        <f>IFERROR(__xludf.DUMMYFUNCTION("""COMPUTED_VALUE"""),"SUB EEN")</f>
        <v>SUB EEN</v>
      </c>
      <c r="AF393" s="80" t="str">
        <f>IFERROR(__xludf.DUMMYFUNCTION("""COMPUTED_VALUE"""),"085693903763")</f>
        <v>085693903763</v>
      </c>
      <c r="AG393" s="80"/>
      <c r="AH393" s="80" t="str">
        <f>IFERROR(__xludf.DUMMYFUNCTION("""COMPUTED_VALUE"""),"hidayathade18@gmail.com")</f>
        <v>hidayathade18@gmail.com</v>
      </c>
      <c r="AI393" s="80" t="str">
        <f>IFERROR(__xludf.DUMMYFUNCTION("""COMPUTED_VALUE"""),"16339S2")</f>
        <v>16339S2</v>
      </c>
      <c r="AJ393" s="80" t="str">
        <f>IFERROR(__xludf.DUMMYFUNCTION("""COMPUTED_VALUE"""),"6787378c3fec21b1c004250e")</f>
        <v>6787378c3fec21b1c004250e</v>
      </c>
      <c r="AK393" s="80" t="str">
        <f>IFERROR(__xludf.DUMMYFUNCTION("""COMPUTED_VALUE"""),"dm16339s2")</f>
        <v>dm16339s2</v>
      </c>
      <c r="AL393" s="80" t="str">
        <f>IFERROR(__xludf.DUMMYFUNCTION("""COMPUTED_VALUE"""),"#16339Pos")</f>
        <v>#16339Pos</v>
      </c>
      <c r="AM393" s="80" t="str">
        <f>IFERROR(__xludf.DUMMYFUNCTION("""COMPUTED_VALUE"""),"KANTOR REGIONAL II JAKARTA 10004")</f>
        <v>KANTOR REGIONAL II JAKARTA 10004</v>
      </c>
      <c r="AN393" s="80" t="str">
        <f>IFERROR(__xludf.DUMMYFUNCTION("""COMPUTED_VALUE"""),"KCU BOGOR 16000")</f>
        <v>KCU BOGOR 16000</v>
      </c>
      <c r="AO393" s="80" t="str">
        <f>IFERROR(__xludf.DUMMYFUNCTION("""COMPUTED_VALUE"""),"3112240045728")</f>
        <v>3112240045728</v>
      </c>
      <c r="AP393" s="80" t="str">
        <f>IFERROR(__xludf.DUMMYFUNCTION("""COMPUTED_VALUE"""),"31122400457280001")</f>
        <v>31122400457280001</v>
      </c>
      <c r="AQ393" s="83"/>
      <c r="AR393" s="80"/>
      <c r="AS393" s="80"/>
      <c r="AT393" s="80" t="str">
        <f>IFERROR(__xludf.DUMMYFUNCTION("""COMPUTED_VALUE"""),"-6.441454")</f>
        <v>-6.441454</v>
      </c>
      <c r="AU393" s="80" t="str">
        <f>IFERROR(__xludf.DUMMYFUNCTION("""COMPUTED_VALUE"""),"106.732339")</f>
        <v>106.732339</v>
      </c>
      <c r="AV393" s="80"/>
      <c r="AW393" s="80"/>
      <c r="AX393" s="80" t="str">
        <f>IFERROR(__xludf.DUMMYFUNCTION("""COMPUTED_VALUE"""),"ü")</f>
        <v>ü</v>
      </c>
      <c r="AY393" s="80"/>
      <c r="AZ393" s="80"/>
      <c r="BA393" s="80"/>
      <c r="BB393" s="80"/>
      <c r="BC393" s="80"/>
      <c r="BD393" s="80"/>
      <c r="BE393" s="80"/>
      <c r="BF393" s="80"/>
      <c r="BG393" s="80"/>
      <c r="BH393" s="80"/>
      <c r="BI393" s="80"/>
      <c r="BJ393" s="80"/>
      <c r="BK393" s="80"/>
      <c r="BL393" s="80"/>
      <c r="BM393" s="80"/>
      <c r="BN393" s="80"/>
      <c r="BO393" s="80"/>
      <c r="BP393" s="80"/>
      <c r="BQ393" s="80"/>
      <c r="BR393" s="80"/>
      <c r="BS393" s="80"/>
      <c r="BT393" s="80"/>
      <c r="BU393" s="80"/>
      <c r="BV393" s="80"/>
      <c r="BW393" s="80"/>
      <c r="BX393" s="80"/>
      <c r="BY393" s="80"/>
      <c r="BZ393" s="80"/>
      <c r="CA393" s="80"/>
      <c r="CB393" s="80"/>
      <c r="CC393" s="80"/>
      <c r="CD393" s="80"/>
      <c r="CE393" s="80"/>
      <c r="CF393" s="80"/>
      <c r="CG393" s="80"/>
      <c r="CH393" s="80"/>
      <c r="CI393" s="80"/>
      <c r="CJ393" s="80"/>
      <c r="CK393" s="2"/>
    </row>
    <row r="394" ht="12.75" customHeight="1">
      <c r="A394" s="85">
        <f>IFERROR(__xludf.DUMMYFUNCTION("""COMPUTED_VALUE"""),391.0)</f>
        <v>391</v>
      </c>
      <c r="B394" s="85"/>
      <c r="C394" s="85"/>
      <c r="D394" s="86">
        <f>IFERROR(__xludf.DUMMYFUNCTION("""COMPUTED_VALUE"""),45660.0)</f>
        <v>45660</v>
      </c>
      <c r="E394" s="88"/>
      <c r="F394" s="85"/>
      <c r="G394" s="86">
        <f>IFERROR(__xludf.DUMMYFUNCTION("""COMPUTED_VALUE"""),45667.0)</f>
        <v>45667</v>
      </c>
      <c r="H394" s="85"/>
      <c r="I394" s="85"/>
      <c r="J394" s="85"/>
      <c r="K394" s="85"/>
      <c r="L394" s="85">
        <f>IFERROR(__xludf.DUMMYFUNCTION("""COMPUTED_VALUE"""),7.0)</f>
        <v>7</v>
      </c>
      <c r="M394" s="85" t="str">
        <f>IFERROR(__xludf.DUMMYFUNCTION("""COMPUTED_VALUE"""),"ü")</f>
        <v>ü</v>
      </c>
      <c r="N394" s="85"/>
      <c r="O394" s="85"/>
      <c r="P394" s="85" t="str">
        <f>IFERROR(__xludf.DUMMYFUNCTION("""COMPUTED_VALUE"""),"53BSPA09276JBEEN")</f>
        <v>53BSPA09276JBEEN</v>
      </c>
      <c r="Q394" s="85" t="str">
        <f>IFERROR(__xludf.DUMMYFUNCTION("""COMPUTED_VALUE"""),"MUC PEKAPURAN I")</f>
        <v>MUC PEKAPURAN I</v>
      </c>
      <c r="R394" s="85" t="str">
        <f>IFERROR(__xludf.DUMMYFUNCTION("""COMPUTED_VALUE"""),"MUC PEKAPURAN I")</f>
        <v>MUC PEKAPURAN I</v>
      </c>
      <c r="S394" s="85" t="str">
        <f>IFERROR(__xludf.DUMMYFUNCTION("""COMPUTED_VALUE"""),"SILVIA KURNIAWAN")</f>
        <v>SILVIA KURNIAWAN</v>
      </c>
      <c r="T394" s="85" t="str">
        <f>IFERROR(__xludf.DUMMYFUNCTION("""COMPUTED_VALUE"""),"JL. SAWAHLIO III GG 14 NO.10 RT.001 RW.008 KEL. JEMBATAN LIMA KEC. TAMBORA JAKARTA BARAT DKI JAKARTA")</f>
        <v>JL. SAWAHLIO III GG 14 NO.10 RT.001 RW.008 KEL. JEMBATAN LIMA KEC. TAMBORA JAKARTA BARAT DKI JAKARTA</v>
      </c>
      <c r="U394" s="85" t="str">
        <f>IFERROR(__xludf.DUMMYFUNCTION("""COMPUTED_VALUE"""),"JL PEKAPURAN I NO 03 RT 10 RW 03 ")</f>
        <v>JL PEKAPURAN I NO 03 RT 10 RW 03 </v>
      </c>
      <c r="V394" s="85"/>
      <c r="W394" s="85" t="str">
        <f>IFERROR(__xludf.DUMMYFUNCTION("""COMPUTED_VALUE"""),"TANAH SEREAL")</f>
        <v>TANAH SEREAL</v>
      </c>
      <c r="X394" s="85" t="str">
        <f>IFERROR(__xludf.DUMMYFUNCTION("""COMPUTED_VALUE"""),"TAMBORA")</f>
        <v>TAMBORA</v>
      </c>
      <c r="Y394" s="85" t="str">
        <f>IFERROR(__xludf.DUMMYFUNCTION("""COMPUTED_VALUE"""),"JAKARTA BARAT")</f>
        <v>JAKARTA BARAT</v>
      </c>
      <c r="Z394" s="85" t="str">
        <f>IFERROR(__xludf.DUMMYFUNCTION("""COMPUTED_VALUE"""),"DKI JAKARTA")</f>
        <v>DKI JAKARTA</v>
      </c>
      <c r="AA394" s="85" t="str">
        <f>IFERROR(__xludf.DUMMYFUNCTION("""COMPUTED_VALUE"""),"11210")</f>
        <v>11210</v>
      </c>
      <c r="AB394" s="85" t="str">
        <f>IFERROR(__xludf.DUMMYFUNCTION("""COMPUTED_VALUE"""),"3173046608930001")</f>
        <v>3173046608930001</v>
      </c>
      <c r="AC394" s="85" t="str">
        <f>IFERROR(__xludf.DUMMYFUNCTION("""COMPUTED_VALUE"""),"80.336.533.7-033.000")</f>
        <v>80.336.533.7-033.000</v>
      </c>
      <c r="AD394" s="85" t="str">
        <f>IFERROR(__xludf.DUMMYFUNCTION("""COMPUTED_VALUE"""),"CUM - EEN")</f>
        <v>CUM - EEN</v>
      </c>
      <c r="AE394" s="85" t="str">
        <f>IFERROR(__xludf.DUMMYFUNCTION("""COMPUTED_VALUE"""),"SUB EEN")</f>
        <v>SUB EEN</v>
      </c>
      <c r="AF394" s="85" t="str">
        <f>IFERROR(__xludf.DUMMYFUNCTION("""COMPUTED_VALUE"""),"083872992828")</f>
        <v>083872992828</v>
      </c>
      <c r="AG394" s="85"/>
      <c r="AH394" s="85" t="str">
        <f>IFERROR(__xludf.DUMMYFUNCTION("""COMPUTED_VALUE"""),"wahanapekapuran1@gmail.com")</f>
        <v>wahanapekapuran1@gmail.com</v>
      </c>
      <c r="AI394" s="85" t="str">
        <f>IFERROR(__xludf.DUMMYFUNCTION("""COMPUTED_VALUE"""),"11210S2")</f>
        <v>11210S2</v>
      </c>
      <c r="AJ394" s="85" t="str">
        <f>IFERROR(__xludf.DUMMYFUNCTION("""COMPUTED_VALUE"""),"677fef97e12520b77e05ca44")</f>
        <v>677fef97e12520b77e05ca44</v>
      </c>
      <c r="AK394" s="85" t="str">
        <f>IFERROR(__xludf.DUMMYFUNCTION("""COMPUTED_VALUE"""),"dm11210s2")</f>
        <v>dm11210s2</v>
      </c>
      <c r="AL394" s="85" t="str">
        <f>IFERROR(__xludf.DUMMYFUNCTION("""COMPUTED_VALUE"""),"#11210Pos")</f>
        <v>#11210Pos</v>
      </c>
      <c r="AM394" s="85" t="str">
        <f>IFERROR(__xludf.DUMMYFUNCTION("""COMPUTED_VALUE"""),"KANTOR REGIONAL II JAKARTA 10004")</f>
        <v>KANTOR REGIONAL II JAKARTA 10004</v>
      </c>
      <c r="AN394" s="85" t="str">
        <f>IFERROR(__xludf.DUMMYFUNCTION("""COMPUTED_VALUE"""),"KCU JAKARTAOCEANIA 11000")</f>
        <v>KCU JAKARTAOCEANIA 11000</v>
      </c>
      <c r="AO394" s="85" t="str">
        <f>IFERROR(__xludf.DUMMYFUNCTION("""COMPUTED_VALUE"""),"2101220001744")</f>
        <v>2101220001744</v>
      </c>
      <c r="AP394" s="85" t="str">
        <f>IFERROR(__xludf.DUMMYFUNCTION("""COMPUTED_VALUE"""),"21012200017440002")</f>
        <v>21012200017440002</v>
      </c>
      <c r="AQ394" s="93"/>
      <c r="AR394" s="85"/>
      <c r="AS394" s="85"/>
      <c r="AT394" s="85" t="str">
        <f>IFERROR(__xludf.DUMMYFUNCTION("""COMPUTED_VALUE"""),"-6.147684")</f>
        <v>-6.147684</v>
      </c>
      <c r="AU394" s="85" t="str">
        <f>IFERROR(__xludf.DUMMYFUNCTION("""COMPUTED_VALUE"""),"106.811497")</f>
        <v>106.811497</v>
      </c>
      <c r="AV394" s="85"/>
      <c r="AW394" s="85"/>
      <c r="AX394" s="85" t="str">
        <f>IFERROR(__xludf.DUMMYFUNCTION("""COMPUTED_VALUE"""),"ü")</f>
        <v>ü</v>
      </c>
      <c r="AY394" s="85"/>
      <c r="AZ394" s="85"/>
      <c r="BA394" s="85"/>
      <c r="BB394" s="85"/>
      <c r="BC394" s="85"/>
      <c r="BD394" s="85"/>
      <c r="BE394" s="85"/>
      <c r="BF394" s="85"/>
      <c r="BG394" s="85"/>
      <c r="BH394" s="85"/>
      <c r="BI394" s="85"/>
      <c r="BJ394" s="85"/>
      <c r="BK394" s="85"/>
      <c r="BL394" s="85"/>
      <c r="BM394" s="85"/>
      <c r="BN394" s="85"/>
      <c r="BO394" s="85"/>
      <c r="BP394" s="85"/>
      <c r="BQ394" s="85"/>
      <c r="BR394" s="85"/>
      <c r="BS394" s="85"/>
      <c r="BT394" s="85"/>
      <c r="BU394" s="85"/>
      <c r="BV394" s="85"/>
      <c r="BW394" s="85"/>
      <c r="BX394" s="85"/>
      <c r="BY394" s="85"/>
      <c r="BZ394" s="85"/>
      <c r="CA394" s="85"/>
      <c r="CB394" s="85"/>
      <c r="CC394" s="85"/>
      <c r="CD394" s="85"/>
      <c r="CE394" s="85"/>
      <c r="CF394" s="85"/>
      <c r="CG394" s="85"/>
      <c r="CH394" s="85"/>
      <c r="CI394" s="85"/>
      <c r="CJ394" s="85"/>
      <c r="CK394" s="2"/>
    </row>
    <row r="395" ht="12.75" customHeight="1">
      <c r="A395" s="80">
        <f>IFERROR(__xludf.DUMMYFUNCTION("""COMPUTED_VALUE"""),392.0)</f>
        <v>392</v>
      </c>
      <c r="B395" s="80"/>
      <c r="C395" s="80"/>
      <c r="D395" s="81">
        <f>IFERROR(__xludf.DUMMYFUNCTION("""COMPUTED_VALUE"""),45663.0)</f>
        <v>45663</v>
      </c>
      <c r="E395" s="82"/>
      <c r="F395" s="80"/>
      <c r="G395" s="81">
        <f>IFERROR(__xludf.DUMMYFUNCTION("""COMPUTED_VALUE"""),45680.0)</f>
        <v>45680</v>
      </c>
      <c r="H395" s="80"/>
      <c r="I395" s="80"/>
      <c r="J395" s="80"/>
      <c r="K395" s="80"/>
      <c r="L395" s="80">
        <f>IFERROR(__xludf.DUMMYFUNCTION("""COMPUTED_VALUE"""),17.0)</f>
        <v>17</v>
      </c>
      <c r="M395" s="80" t="str">
        <f>IFERROR(__xludf.DUMMYFUNCTION("""COMPUTED_VALUE"""),"ü")</f>
        <v>ü</v>
      </c>
      <c r="N395" s="80"/>
      <c r="O395" s="80"/>
      <c r="P395" s="80" t="str">
        <f>IFERROR(__xludf.DUMMYFUNCTION("""COMPUTED_VALUE"""),"MUCSPA63076PSIND")</f>
        <v>MUCSPA63076PSIND</v>
      </c>
      <c r="Q395" s="80" t="str">
        <f>IFERROR(__xludf.DUMMYFUNCTION("""COMPUTED_VALUE"""),"MUC GALANGGANG EXPRESS ")</f>
        <v>MUC GALANGGANG EXPRESS </v>
      </c>
      <c r="R395" s="80" t="str">
        <f>IFERROR(__xludf.DUMMYFUNCTION("""COMPUTED_VALUE"""),"MUC GALANGGANG EXPRESS ")</f>
        <v>MUC GALANGGANG EXPRESS </v>
      </c>
      <c r="S395" s="80" t="str">
        <f>IFERROR(__xludf.DUMMYFUNCTION("""COMPUTED_VALUE"""),"DODI SUPARMAN ")</f>
        <v>DODI SUPARMAN </v>
      </c>
      <c r="T395" s="80" t="str">
        <f>IFERROR(__xludf.DUMMYFUNCTION("""COMPUTED_VALUE"""),"KP. GALANGGANG NO. 17 RT 002 RW 012")</f>
        <v>KP. GALANGGANG NO. 17 RT 002 RW 012</v>
      </c>
      <c r="U395" s="80" t="str">
        <f>IFERROR(__xludf.DUMMYFUNCTION("""COMPUTED_VALUE"""),"KP. GALANGGANG NO. 17 RT 002 RW 012")</f>
        <v>KP. GALANGGANG NO. 17 RT 002 RW 012</v>
      </c>
      <c r="V395" s="80"/>
      <c r="W395" s="80" t="str">
        <f>IFERROR(__xludf.DUMMYFUNCTION("""COMPUTED_VALUE"""),"GALANGGANG ")</f>
        <v>GALANGGANG </v>
      </c>
      <c r="X395" s="80" t="str">
        <f>IFERROR(__xludf.DUMMYFUNCTION("""COMPUTED_VALUE"""),"BATUJAJAR ")</f>
        <v>BATUJAJAR </v>
      </c>
      <c r="Y395" s="80" t="str">
        <f>IFERROR(__xludf.DUMMYFUNCTION("""COMPUTED_VALUE"""),"KAB. BANDUNG BARAT ")</f>
        <v>KAB. BANDUNG BARAT </v>
      </c>
      <c r="Z395" s="80" t="str">
        <f>IFERROR(__xludf.DUMMYFUNCTION("""COMPUTED_VALUE"""),"JAWA BARAT")</f>
        <v>JAWA BARAT</v>
      </c>
      <c r="AA395" s="80" t="str">
        <f>IFERROR(__xludf.DUMMYFUNCTION("""COMPUTED_VALUE"""),"40561")</f>
        <v>40561</v>
      </c>
      <c r="AB395" s="80" t="str">
        <f>IFERROR(__xludf.DUMMYFUNCTION("""COMPUTED_VALUE"""),"3217092612720003")</f>
        <v>3217092612720003</v>
      </c>
      <c r="AC395" s="80" t="str">
        <f>IFERROR(__xludf.DUMMYFUNCTION("""COMPUTED_VALUE"""),"49.943.674.9-421.000")</f>
        <v>49.943.674.9-421.000</v>
      </c>
      <c r="AD395" s="80" t="str">
        <f>IFERROR(__xludf.DUMMYFUNCTION("""COMPUTED_VALUE"""),"CUM - NOV")</f>
        <v>CUM - NOV</v>
      </c>
      <c r="AE395" s="80" t="str">
        <f>IFERROR(__xludf.DUMMYFUNCTION("""COMPUTED_VALUE"""),"SUB NOVI")</f>
        <v>SUB NOVI</v>
      </c>
      <c r="AF395" s="80" t="str">
        <f>IFERROR(__xludf.DUMMYFUNCTION("""COMPUTED_VALUE"""),"081809484131")</f>
        <v>081809484131</v>
      </c>
      <c r="AG395" s="80"/>
      <c r="AH395" s="80" t="str">
        <f>IFERROR(__xludf.DUMMYFUNCTION("""COMPUTED_VALUE"""),"dodisuparman80@gmail.com")</f>
        <v>dodisuparman80@gmail.com</v>
      </c>
      <c r="AI395" s="80" t="str">
        <f>IFERROR(__xludf.DUMMYFUNCTION("""COMPUTED_VALUE"""),"40761S3")</f>
        <v>40761S3</v>
      </c>
      <c r="AJ395" s="80" t="str">
        <f>IFERROR(__xludf.DUMMYFUNCTION("""COMPUTED_VALUE"""),"6791a4465d0747b6270b91aa")</f>
        <v>6791a4465d0747b6270b91aa</v>
      </c>
      <c r="AK395" s="80" t="str">
        <f>IFERROR(__xludf.DUMMYFUNCTION("""COMPUTED_VALUE"""),"dm40761s3")</f>
        <v>dm40761s3</v>
      </c>
      <c r="AL395" s="80" t="str">
        <f>IFERROR(__xludf.DUMMYFUNCTION("""COMPUTED_VALUE"""),"#40761Pos")</f>
        <v>#40761Pos</v>
      </c>
      <c r="AM395" s="80" t="str">
        <f>IFERROR(__xludf.DUMMYFUNCTION("""COMPUTED_VALUE"""),"KANTOR REGIONAL III BANDUNG 40004")</f>
        <v>KANTOR REGIONAL III BANDUNG 40004</v>
      </c>
      <c r="AN395" s="80" t="str">
        <f>IFERROR(__xludf.DUMMYFUNCTION("""COMPUTED_VALUE"""),"KC CIMAHI ")</f>
        <v>KC CIMAHI </v>
      </c>
      <c r="AO395" s="80" t="str">
        <f>IFERROR(__xludf.DUMMYFUNCTION("""COMPUTED_VALUE"""),"0601250018955")</f>
        <v>0601250018955</v>
      </c>
      <c r="AP395" s="80" t="str">
        <f>IFERROR(__xludf.DUMMYFUNCTION("""COMPUTED_VALUE"""),"06012500189550001")</f>
        <v>06012500189550001</v>
      </c>
      <c r="AQ395" s="83"/>
      <c r="AR395" s="80"/>
      <c r="AS395" s="80"/>
      <c r="AT395" s="80" t="str">
        <f>IFERROR(__xludf.DUMMYFUNCTION("""COMPUTED_VALUE"""),"-6.9154371")</f>
        <v>-6.9154371</v>
      </c>
      <c r="AU395" s="80" t="str">
        <f>IFERROR(__xludf.DUMMYFUNCTION("""COMPUTED_VALUE"""),"107.4835693")</f>
        <v>107.4835693</v>
      </c>
      <c r="AV395" s="80"/>
      <c r="AW395" s="80"/>
      <c r="AX395" s="80" t="str">
        <f>IFERROR(__xludf.DUMMYFUNCTION("""COMPUTED_VALUE"""),"ü")</f>
        <v>ü</v>
      </c>
      <c r="AY395" s="80"/>
      <c r="AZ395" s="80"/>
      <c r="BA395" s="80"/>
      <c r="BB395" s="80"/>
      <c r="BC395" s="80"/>
      <c r="BD395" s="80"/>
      <c r="BE395" s="80"/>
      <c r="BF395" s="80"/>
      <c r="BG395" s="80"/>
      <c r="BH395" s="80"/>
      <c r="BI395" s="80"/>
      <c r="BJ395" s="80"/>
      <c r="BK395" s="80"/>
      <c r="BL395" s="80"/>
      <c r="BM395" s="80"/>
      <c r="BN395" s="80"/>
      <c r="BO395" s="80"/>
      <c r="BP395" s="80"/>
      <c r="BQ395" s="80"/>
      <c r="BR395" s="80"/>
      <c r="BS395" s="80"/>
      <c r="BT395" s="80"/>
      <c r="BU395" s="80"/>
      <c r="BV395" s="80"/>
      <c r="BW395" s="80"/>
      <c r="BX395" s="80"/>
      <c r="BY395" s="80"/>
      <c r="BZ395" s="80"/>
      <c r="CA395" s="80"/>
      <c r="CB395" s="80"/>
      <c r="CC395" s="80"/>
      <c r="CD395" s="80"/>
      <c r="CE395" s="80"/>
      <c r="CF395" s="80"/>
      <c r="CG395" s="80"/>
      <c r="CH395" s="80"/>
      <c r="CI395" s="80"/>
      <c r="CJ395" s="80"/>
      <c r="CK395" s="2"/>
    </row>
    <row r="396" ht="12.75" customHeight="1">
      <c r="A396" s="85">
        <f>IFERROR(__xludf.DUMMYFUNCTION("""COMPUTED_VALUE"""),393.0)</f>
        <v>393</v>
      </c>
      <c r="B396" s="85"/>
      <c r="C396" s="85"/>
      <c r="D396" s="86">
        <f>IFERROR(__xludf.DUMMYFUNCTION("""COMPUTED_VALUE"""),45663.0)</f>
        <v>45663</v>
      </c>
      <c r="E396" s="88"/>
      <c r="F396" s="85"/>
      <c r="G396" s="86">
        <f>IFERROR(__xludf.DUMMYFUNCTION("""COMPUTED_VALUE"""),45673.0)</f>
        <v>45673</v>
      </c>
      <c r="H396" s="85"/>
      <c r="I396" s="85"/>
      <c r="J396" s="85"/>
      <c r="K396" s="85"/>
      <c r="L396" s="85">
        <f>IFERROR(__xludf.DUMMYFUNCTION("""COMPUTED_VALUE"""),10.0)</f>
        <v>10</v>
      </c>
      <c r="M396" s="85" t="str">
        <f>IFERROR(__xludf.DUMMYFUNCTION("""COMPUTED_VALUE"""),"ü")</f>
        <v>ü</v>
      </c>
      <c r="N396" s="85"/>
      <c r="O396" s="85"/>
      <c r="P396" s="85" t="str">
        <f>IFERROR(__xludf.DUMMYFUNCTION("""COMPUTED_VALUE"""),"MUCSPA63077PSIND")</f>
        <v>MUCSPA63077PSIND</v>
      </c>
      <c r="Q396" s="85" t="str">
        <f>IFERROR(__xludf.DUMMYFUNCTION("""COMPUTED_VALUE"""),"MUC NIZUWA CELL")</f>
        <v>MUC NIZUWA CELL</v>
      </c>
      <c r="R396" s="85" t="str">
        <f>IFERROR(__xludf.DUMMYFUNCTION("""COMPUTED_VALUE"""),"MUC NIZUWA CELL")</f>
        <v>MUC NIZUWA CELL</v>
      </c>
      <c r="S396" s="85" t="str">
        <f>IFERROR(__xludf.DUMMYFUNCTION("""COMPUTED_VALUE"""),"Eppi Estriawati")</f>
        <v>Eppi Estriawati</v>
      </c>
      <c r="T396" s="85" t="str">
        <f>IFERROR(__xludf.DUMMYFUNCTION("""COMPUTED_VALUE"""),"Jl. KKN Unsoed RT 001 RW 003, Kedungmalang, Sumbang")</f>
        <v>Jl. KKN Unsoed RT 001 RW 003, Kedungmalang, Sumbang</v>
      </c>
      <c r="U396" s="85" t="str">
        <f>IFERROR(__xludf.DUMMYFUNCTION("""COMPUTED_VALUE"""),"Jl. Sunan Ampel Kios Siswadi No. 01, Kedungmalang, Sumbang")</f>
        <v>Jl. Sunan Ampel Kios Siswadi No. 01, Kedungmalang, Sumbang</v>
      </c>
      <c r="V396" s="85"/>
      <c r="W396" s="85" t="str">
        <f>IFERROR(__xludf.DUMMYFUNCTION("""COMPUTED_VALUE"""),"Kedungmalang")</f>
        <v>Kedungmalang</v>
      </c>
      <c r="X396" s="85" t="str">
        <f>IFERROR(__xludf.DUMMYFUNCTION("""COMPUTED_VALUE"""),"Sumbang")</f>
        <v>Sumbang</v>
      </c>
      <c r="Y396" s="85" t="str">
        <f>IFERROR(__xludf.DUMMYFUNCTION("""COMPUTED_VALUE"""),"Banyumas")</f>
        <v>Banyumas</v>
      </c>
      <c r="Z396" s="85" t="str">
        <f>IFERROR(__xludf.DUMMYFUNCTION("""COMPUTED_VALUE"""),"Jawa Tengah")</f>
        <v>Jawa Tengah</v>
      </c>
      <c r="AA396" s="85" t="str">
        <f>IFERROR(__xludf.DUMMYFUNCTION("""COMPUTED_VALUE"""),"53183")</f>
        <v>53183</v>
      </c>
      <c r="AB396" s="85" t="str">
        <f>IFERROR(__xludf.DUMMYFUNCTION("""COMPUTED_VALUE"""),"3302215707880002")</f>
        <v>3302215707880002</v>
      </c>
      <c r="AC396" s="85" t="str">
        <f>IFERROR(__xludf.DUMMYFUNCTION("""COMPUTED_VALUE"""),"77.933.761.7-521.000")</f>
        <v>77.933.761.7-521.000</v>
      </c>
      <c r="AD396" s="85" t="str">
        <f>IFERROR(__xludf.DUMMYFUNCTION("""COMPUTED_VALUE"""),"CUM - PS - DMWK")</f>
        <v>CUM - PS - DMWK</v>
      </c>
      <c r="AE396" s="85" t="str">
        <f>IFERROR(__xludf.DUMMYFUNCTION("""COMPUTED_VALUE"""),"SUB DWI MOKHAMMAD POS")</f>
        <v>SUB DWI MOKHAMMAD POS</v>
      </c>
      <c r="AF396" s="85" t="str">
        <f>IFERROR(__xludf.DUMMYFUNCTION("""COMPUTED_VALUE"""),"085729688515")</f>
        <v>085729688515</v>
      </c>
      <c r="AG396" s="85"/>
      <c r="AH396" s="85" t="str">
        <f>IFERROR(__xludf.DUMMYFUNCTION("""COMPUTED_VALUE"""),"yahyaambari@gmail.com")</f>
        <v>yahyaambari@gmail.com</v>
      </c>
      <c r="AI396" s="85" t="str">
        <f>IFERROR(__xludf.DUMMYFUNCTION("""COMPUTED_VALUE"""),"53183S5")</f>
        <v>53183S5</v>
      </c>
      <c r="AJ396" s="85" t="str">
        <f>IFERROR(__xludf.DUMMYFUNCTION("""COMPUTED_VALUE"""),"678780779c70444a5c0945a7")</f>
        <v>678780779c70444a5c0945a7</v>
      </c>
      <c r="AK396" s="85" t="str">
        <f>IFERROR(__xludf.DUMMYFUNCTION("""COMPUTED_VALUE"""),"dm53183s5")</f>
        <v>dm53183s5</v>
      </c>
      <c r="AL396" s="85" t="str">
        <f>IFERROR(__xludf.DUMMYFUNCTION("""COMPUTED_VALUE"""),"#53183Pos")</f>
        <v>#53183Pos</v>
      </c>
      <c r="AM396" s="85" t="str">
        <f>IFERROR(__xludf.DUMMYFUNCTION("""COMPUTED_VALUE"""),"KANTOR REGIONAL IV SEMARANG 50004")</f>
        <v>KANTOR REGIONAL IV SEMARANG 50004</v>
      </c>
      <c r="AN396" s="85" t="str">
        <f>IFERROR(__xludf.DUMMYFUNCTION("""COMPUTED_VALUE"""),"KCU PURWOKERTO 53100")</f>
        <v>KCU PURWOKERTO 53100</v>
      </c>
      <c r="AO396" s="85" t="str">
        <f>IFERROR(__xludf.DUMMYFUNCTION("""COMPUTED_VALUE"""),"2608240035018")</f>
        <v>2608240035018</v>
      </c>
      <c r="AP396" s="85" t="str">
        <f>IFERROR(__xludf.DUMMYFUNCTION("""COMPUTED_VALUE"""),"26082400350180001")</f>
        <v>26082400350180001</v>
      </c>
      <c r="AQ396" s="93"/>
      <c r="AR396" s="85"/>
      <c r="AS396" s="85"/>
      <c r="AT396" s="85" t="str">
        <f>IFERROR(__xludf.DUMMYFUNCTION("""COMPUTED_VALUE"""),"-7.392161305527625")</f>
        <v>-7.392161305527625</v>
      </c>
      <c r="AU396" s="85" t="str">
        <f>IFERROR(__xludf.DUMMYFUNCTION("""COMPUTED_VALUE"""),"109.25105352476163")</f>
        <v>109.25105352476163</v>
      </c>
      <c r="AV396" s="85"/>
      <c r="AW396" s="85"/>
      <c r="AX396" s="85" t="str">
        <f>IFERROR(__xludf.DUMMYFUNCTION("""COMPUTED_VALUE"""),"ü")</f>
        <v>ü</v>
      </c>
      <c r="AY396" s="85"/>
      <c r="AZ396" s="85"/>
      <c r="BA396" s="85"/>
      <c r="BB396" s="85"/>
      <c r="BC396" s="85"/>
      <c r="BD396" s="85"/>
      <c r="BE396" s="85"/>
      <c r="BF396" s="85"/>
      <c r="BG396" s="85"/>
      <c r="BH396" s="85"/>
      <c r="BI396" s="85"/>
      <c r="BJ396" s="85"/>
      <c r="BK396" s="85"/>
      <c r="BL396" s="85"/>
      <c r="BM396" s="85"/>
      <c r="BN396" s="85"/>
      <c r="BO396" s="85"/>
      <c r="BP396" s="85"/>
      <c r="BQ396" s="85"/>
      <c r="BR396" s="85"/>
      <c r="BS396" s="85"/>
      <c r="BT396" s="85"/>
      <c r="BU396" s="85"/>
      <c r="BV396" s="85"/>
      <c r="BW396" s="85"/>
      <c r="BX396" s="85"/>
      <c r="BY396" s="85"/>
      <c r="BZ396" s="85"/>
      <c r="CA396" s="85"/>
      <c r="CB396" s="85"/>
      <c r="CC396" s="85"/>
      <c r="CD396" s="85"/>
      <c r="CE396" s="85"/>
      <c r="CF396" s="85"/>
      <c r="CG396" s="85"/>
      <c r="CH396" s="85"/>
      <c r="CI396" s="85"/>
      <c r="CJ396" s="85"/>
      <c r="CK396" s="2"/>
    </row>
    <row r="397" ht="12.75" customHeight="1">
      <c r="A397" s="80">
        <f>IFERROR(__xludf.DUMMYFUNCTION("""COMPUTED_VALUE"""),394.0)</f>
        <v>394</v>
      </c>
      <c r="B397" s="80"/>
      <c r="C397" s="80"/>
      <c r="D397" s="81">
        <f>IFERROR(__xludf.DUMMYFUNCTION("""COMPUTED_VALUE"""),45664.0)</f>
        <v>45664</v>
      </c>
      <c r="E397" s="82"/>
      <c r="F397" s="80"/>
      <c r="G397" s="81">
        <f>IFERROR(__xludf.DUMMYFUNCTION("""COMPUTED_VALUE"""),45667.0)</f>
        <v>45667</v>
      </c>
      <c r="H397" s="80"/>
      <c r="I397" s="80"/>
      <c r="J397" s="80"/>
      <c r="K397" s="80"/>
      <c r="L397" s="80">
        <f>IFERROR(__xludf.DUMMYFUNCTION("""COMPUTED_VALUE"""),3.0)</f>
        <v>3</v>
      </c>
      <c r="M397" s="80" t="str">
        <f>IFERROR(__xludf.DUMMYFUNCTION("""COMPUTED_VALUE"""),"ü")</f>
        <v>ü</v>
      </c>
      <c r="N397" s="80"/>
      <c r="O397" s="80"/>
      <c r="P397" s="80" t="str">
        <f>IFERROR(__xludf.DUMMYFUNCTION("""COMPUTED_VALUE"""),"MUCSPA63078PSIND")</f>
        <v>MUCSPA63078PSIND</v>
      </c>
      <c r="Q397" s="80" t="str">
        <f>IFERROR(__xludf.DUMMYFUNCTION("""COMPUTED_VALUE"""),"MUC Kobra")</f>
        <v>MUC Kobra</v>
      </c>
      <c r="R397" s="80" t="str">
        <f>IFERROR(__xludf.DUMMYFUNCTION("""COMPUTED_VALUE"""),"MUC Kobra")</f>
        <v>MUC Kobra</v>
      </c>
      <c r="S397" s="80" t="str">
        <f>IFERROR(__xludf.DUMMYFUNCTION("""COMPUTED_VALUE"""),"Mega Agustina Rokhmah")</f>
        <v>Mega Agustina Rokhmah</v>
      </c>
      <c r="T397" s="80" t="str">
        <f>IFERROR(__xludf.DUMMYFUNCTION("""COMPUTED_VALUE"""),"KP. TAMBUN RT 005/RW 002, Tambun Selatan, Bekasi")</f>
        <v>KP. TAMBUN RT 005/RW 002, Tambun Selatan, Bekasi</v>
      </c>
      <c r="U397" s="80" t="str">
        <f>IFERROR(__xludf.DUMMYFUNCTION("""COMPUTED_VALUE"""),"Jl. Lapangan Kobra No. 160, RT 005/RW 002 ")</f>
        <v>Jl. Lapangan Kobra No. 160, RT 005/RW 002 </v>
      </c>
      <c r="V397" s="80"/>
      <c r="W397" s="80" t="str">
        <f>IFERROR(__xludf.DUMMYFUNCTION("""COMPUTED_VALUE"""),"Tambun")</f>
        <v>Tambun</v>
      </c>
      <c r="X397" s="80" t="str">
        <f>IFERROR(__xludf.DUMMYFUNCTION("""COMPUTED_VALUE"""),"Tambun Selatan")</f>
        <v>Tambun Selatan</v>
      </c>
      <c r="Y397" s="80" t="str">
        <f>IFERROR(__xludf.DUMMYFUNCTION("""COMPUTED_VALUE"""),"Bekasi")</f>
        <v>Bekasi</v>
      </c>
      <c r="Z397" s="80" t="str">
        <f>IFERROR(__xludf.DUMMYFUNCTION("""COMPUTED_VALUE"""),"Jawa Barat")</f>
        <v>Jawa Barat</v>
      </c>
      <c r="AA397" s="80" t="str">
        <f>IFERROR(__xludf.DUMMYFUNCTION("""COMPUTED_VALUE"""),"17510")</f>
        <v>17510</v>
      </c>
      <c r="AB397" s="80" t="str">
        <f>IFERROR(__xludf.DUMMYFUNCTION("""COMPUTED_VALUE"""),"3471065408900001")</f>
        <v>3471065408900001</v>
      </c>
      <c r="AC397" s="80" t="str">
        <f>IFERROR(__xludf.DUMMYFUNCTION("""COMPUTED_VALUE"""),"70.783.934.6-541.000")</f>
        <v>70.783.934.6-541.000</v>
      </c>
      <c r="AD397" s="80" t="str">
        <f>IFERROR(__xludf.DUMMYFUNCTION("""COMPUTED_VALUE"""),"CUM - PS - JMN")</f>
        <v>CUM - PS - JMN</v>
      </c>
      <c r="AE397" s="80" t="str">
        <f>IFERROR(__xludf.DUMMYFUNCTION("""COMPUTED_VALUE"""),"SUB JAMJAM POS")</f>
        <v>SUB JAMJAM POS</v>
      </c>
      <c r="AF397" s="80" t="str">
        <f>IFERROR(__xludf.DUMMYFUNCTION("""COMPUTED_VALUE"""),"081225608414")</f>
        <v>081225608414</v>
      </c>
      <c r="AG397" s="80"/>
      <c r="AH397" s="80" t="str">
        <f>IFERROR(__xludf.DUMMYFUNCTION("""COMPUTED_VALUE"""),"agustina.rokhmah@gmail.com")</f>
        <v>agustina.rokhmah@gmail.com</v>
      </c>
      <c r="AI397" s="80" t="str">
        <f>IFERROR(__xludf.DUMMYFUNCTION("""COMPUTED_VALUE"""),"17511S3")</f>
        <v>17511S3</v>
      </c>
      <c r="AJ397" s="80" t="str">
        <f>IFERROR(__xludf.DUMMYFUNCTION("""COMPUTED_VALUE"""),"6780c76b2dfeba17fa0e9058")</f>
        <v>6780c76b2dfeba17fa0e9058</v>
      </c>
      <c r="AK397" s="80" t="str">
        <f>IFERROR(__xludf.DUMMYFUNCTION("""COMPUTED_VALUE"""),"dm17511s3")</f>
        <v>dm17511s3</v>
      </c>
      <c r="AL397" s="80" t="str">
        <f>IFERROR(__xludf.DUMMYFUNCTION("""COMPUTED_VALUE"""),"#17511Pos")</f>
        <v>#17511Pos</v>
      </c>
      <c r="AM397" s="80" t="str">
        <f>IFERROR(__xludf.DUMMYFUNCTION("""COMPUTED_VALUE"""),"KANTOR REGIONAL II JAKARTA 10004")</f>
        <v>KANTOR REGIONAL II JAKARTA 10004</v>
      </c>
      <c r="AN397" s="80" t="str">
        <f>IFERROR(__xludf.DUMMYFUNCTION("""COMPUTED_VALUE"""),"KC CIKARANG 17500")</f>
        <v>KC CIKARANG 17500</v>
      </c>
      <c r="AO397" s="80" t="str">
        <f>IFERROR(__xludf.DUMMYFUNCTION("""COMPUTED_VALUE"""),"1010220060444")</f>
        <v>1010220060444</v>
      </c>
      <c r="AP397" s="80" t="str">
        <f>IFERROR(__xludf.DUMMYFUNCTION("""COMPUTED_VALUE"""),"10102200604440002")</f>
        <v>10102200604440002</v>
      </c>
      <c r="AQ397" s="83"/>
      <c r="AR397" s="80"/>
      <c r="AS397" s="80"/>
      <c r="AT397" s="80" t="str">
        <f>IFERROR(__xludf.DUMMYFUNCTION("""COMPUTED_VALUE"""),"-6.266731")</f>
        <v>-6.266731</v>
      </c>
      <c r="AU397" s="80" t="str">
        <f>IFERROR(__xludf.DUMMYFUNCTION("""COMPUTED_VALUE"""),"107.055516")</f>
        <v>107.055516</v>
      </c>
      <c r="AV397" s="80"/>
      <c r="AW397" s="80"/>
      <c r="AX397" s="80" t="str">
        <f>IFERROR(__xludf.DUMMYFUNCTION("""COMPUTED_VALUE"""),"ü")</f>
        <v>ü</v>
      </c>
      <c r="AY397" s="80"/>
      <c r="AZ397" s="80"/>
      <c r="BA397" s="80"/>
      <c r="BB397" s="80"/>
      <c r="BC397" s="80"/>
      <c r="BD397" s="80"/>
      <c r="BE397" s="80"/>
      <c r="BF397" s="80"/>
      <c r="BG397" s="80"/>
      <c r="BH397" s="80"/>
      <c r="BI397" s="80"/>
      <c r="BJ397" s="80"/>
      <c r="BK397" s="80"/>
      <c r="BL397" s="80"/>
      <c r="BM397" s="80"/>
      <c r="BN397" s="80"/>
      <c r="BO397" s="80"/>
      <c r="BP397" s="80"/>
      <c r="BQ397" s="80"/>
      <c r="BR397" s="80"/>
      <c r="BS397" s="80"/>
      <c r="BT397" s="80"/>
      <c r="BU397" s="80"/>
      <c r="BV397" s="80"/>
      <c r="BW397" s="80"/>
      <c r="BX397" s="80"/>
      <c r="BY397" s="80"/>
      <c r="BZ397" s="80"/>
      <c r="CA397" s="80"/>
      <c r="CB397" s="80"/>
      <c r="CC397" s="80"/>
      <c r="CD397" s="80"/>
      <c r="CE397" s="80"/>
      <c r="CF397" s="80"/>
      <c r="CG397" s="80"/>
      <c r="CH397" s="80"/>
      <c r="CI397" s="80"/>
      <c r="CJ397" s="80"/>
      <c r="CK397" s="2"/>
    </row>
    <row r="398" ht="12.75" customHeight="1">
      <c r="A398" s="85">
        <f>IFERROR(__xludf.DUMMYFUNCTION("""COMPUTED_VALUE"""),395.0)</f>
        <v>395</v>
      </c>
      <c r="B398" s="85"/>
      <c r="C398" s="85"/>
      <c r="D398" s="86">
        <f>IFERROR(__xludf.DUMMYFUNCTION("""COMPUTED_VALUE"""),45665.0)</f>
        <v>45665</v>
      </c>
      <c r="E398" s="88"/>
      <c r="F398" s="85"/>
      <c r="G398" s="86">
        <f>IFERROR(__xludf.DUMMYFUNCTION("""COMPUTED_VALUE"""),45693.0)</f>
        <v>45693</v>
      </c>
      <c r="H398" s="85"/>
      <c r="I398" s="85"/>
      <c r="J398" s="85"/>
      <c r="K398" s="85"/>
      <c r="L398" s="85">
        <f>IFERROR(__xludf.DUMMYFUNCTION("""COMPUTED_VALUE"""),28.0)</f>
        <v>28</v>
      </c>
      <c r="M398" s="85" t="str">
        <f>IFERROR(__xludf.DUMMYFUNCTION("""COMPUTED_VALUE"""),"ü")</f>
        <v>ü</v>
      </c>
      <c r="N398" s="85"/>
      <c r="O398" s="85"/>
      <c r="P398" s="85" t="str">
        <f>IFERROR(__xludf.DUMMYFUNCTION("""COMPUTED_VALUE"""),"52bspa22701jtyna")</f>
        <v>52bspa22701jtyna</v>
      </c>
      <c r="Q398" s="85" t="str">
        <f>IFERROR(__xludf.DUMMYFUNCTION("""COMPUTED_VALUE"""),"MUC Antok")</f>
        <v>MUC Antok</v>
      </c>
      <c r="R398" s="85" t="str">
        <f>IFERROR(__xludf.DUMMYFUNCTION("""COMPUTED_VALUE"""),"MUC Antok")</f>
        <v>MUC Antok</v>
      </c>
      <c r="S398" s="85" t="str">
        <f>IFERROR(__xludf.DUMMYFUNCTION("""COMPUTED_VALUE"""),"SUGIYARTO")</f>
        <v>SUGIYARTO</v>
      </c>
      <c r="T398" s="85" t="str">
        <f>IFERROR(__xludf.DUMMYFUNCTION("""COMPUTED_VALUE"""),"DARUHARJO RT.001 RW.017 KEL. CAWAS KEC. CAWAS KAB. KLATEN JAWA TENGAH")</f>
        <v>DARUHARJO RT.001 RW.017 KEL. CAWAS KEC. CAWAS KAB. KLATEN JAWA TENGAH</v>
      </c>
      <c r="U398" s="85" t="str">
        <f>IFERROR(__xludf.DUMMYFUNCTION("""COMPUTED_VALUE"""),"Daruharjo RT.01 RW.017")</f>
        <v>Daruharjo RT.01 RW.017</v>
      </c>
      <c r="V398" s="85"/>
      <c r="W398" s="85" t="str">
        <f>IFERROR(__xludf.DUMMYFUNCTION("""COMPUTED_VALUE"""),"Cawas")</f>
        <v>Cawas</v>
      </c>
      <c r="X398" s="85" t="str">
        <f>IFERROR(__xludf.DUMMYFUNCTION("""COMPUTED_VALUE"""),"Cawas")</f>
        <v>Cawas</v>
      </c>
      <c r="Y398" s="85" t="str">
        <f>IFERROR(__xludf.DUMMYFUNCTION("""COMPUTED_VALUE"""),"Kab. Klaten")</f>
        <v>Kab. Klaten</v>
      </c>
      <c r="Z398" s="85" t="str">
        <f>IFERROR(__xludf.DUMMYFUNCTION("""COMPUTED_VALUE"""),"Jawa Tengah")</f>
        <v>Jawa Tengah</v>
      </c>
      <c r="AA398" s="85" t="str">
        <f>IFERROR(__xludf.DUMMYFUNCTION("""COMPUTED_VALUE"""),"57463")</f>
        <v>57463</v>
      </c>
      <c r="AB398" s="85" t="str">
        <f>IFERROR(__xludf.DUMMYFUNCTION("""COMPUTED_VALUE"""),"3310051806760001")</f>
        <v>3310051806760001</v>
      </c>
      <c r="AC398" s="85" t="str">
        <f>IFERROR(__xludf.DUMMYFUNCTION("""COMPUTED_VALUE"""),"25.341.813.1-525.000")</f>
        <v>25.341.813.1-525.000</v>
      </c>
      <c r="AD398" s="85" t="str">
        <f>IFERROR(__xludf.DUMMYFUNCTION("""COMPUTED_VALUE"""),"CUM - YNA")</f>
        <v>CUM - YNA</v>
      </c>
      <c r="AE398" s="85" t="str">
        <f>IFERROR(__xludf.DUMMYFUNCTION("""COMPUTED_VALUE"""),"SUB YOHANNITA")</f>
        <v>SUB YOHANNITA</v>
      </c>
      <c r="AF398" s="85" t="str">
        <f>IFERROR(__xludf.DUMMYFUNCTION("""COMPUTED_VALUE"""),"085602834445")</f>
        <v>085602834445</v>
      </c>
      <c r="AG398" s="85"/>
      <c r="AH398" s="85" t="str">
        <f>IFERROR(__xludf.DUMMYFUNCTION("""COMPUTED_VALUE"""),"pakantok1501@gmail.com")</f>
        <v>pakantok1501@gmail.com</v>
      </c>
      <c r="AI398" s="85" t="str">
        <f>IFERROR(__xludf.DUMMYFUNCTION("""COMPUTED_VALUE"""),"57463S3")</f>
        <v>57463S3</v>
      </c>
      <c r="AJ398" s="85" t="str">
        <f>IFERROR(__xludf.DUMMYFUNCTION("""COMPUTED_VALUE"""),"67a33015c3a57075b50064fb")</f>
        <v>67a33015c3a57075b50064fb</v>
      </c>
      <c r="AK398" s="85" t="str">
        <f>IFERROR(__xludf.DUMMYFUNCTION("""COMPUTED_VALUE"""),"dm57463s3")</f>
        <v>dm57463s3</v>
      </c>
      <c r="AL398" s="85" t="str">
        <f>IFERROR(__xludf.DUMMYFUNCTION("""COMPUTED_VALUE"""),"#57463Pos")</f>
        <v>#57463Pos</v>
      </c>
      <c r="AM398" s="85" t="str">
        <f>IFERROR(__xludf.DUMMYFUNCTION("""COMPUTED_VALUE"""),"KANTOR REGIONAL IV SEMARANG 50004")</f>
        <v>KANTOR REGIONAL IV SEMARANG 50004</v>
      </c>
      <c r="AN398" s="85" t="str">
        <f>IFERROR(__xludf.DUMMYFUNCTION("""COMPUTED_VALUE"""),"KC KLATEN 57400")</f>
        <v>KC KLATEN 57400</v>
      </c>
      <c r="AO398" s="85" t="str">
        <f>IFERROR(__xludf.DUMMYFUNCTION("""COMPUTED_VALUE"""),"0701250064871")</f>
        <v>0701250064871</v>
      </c>
      <c r="AP398" s="85" t="str">
        <f>IFERROR(__xludf.DUMMYFUNCTION("""COMPUTED_VALUE"""),"07012500648710001")</f>
        <v>07012500648710001</v>
      </c>
      <c r="AQ398" s="93"/>
      <c r="AR398" s="85"/>
      <c r="AS398" s="85"/>
      <c r="AT398" s="85" t="str">
        <f>IFERROR(__xludf.DUMMYFUNCTION("""COMPUTED_VALUE"""),"-7.758091")</f>
        <v>-7.758091</v>
      </c>
      <c r="AU398" s="85" t="str">
        <f>IFERROR(__xludf.DUMMYFUNCTION("""COMPUTED_VALUE"""),"110.699740")</f>
        <v>110.699740</v>
      </c>
      <c r="AV398" s="85"/>
      <c r="AW398" s="85"/>
      <c r="AX398" s="85" t="str">
        <f>IFERROR(__xludf.DUMMYFUNCTION("""COMPUTED_VALUE"""),"ü")</f>
        <v>ü</v>
      </c>
      <c r="AY398" s="85"/>
      <c r="AZ398" s="85"/>
      <c r="BA398" s="85"/>
      <c r="BB398" s="85"/>
      <c r="BC398" s="85"/>
      <c r="BD398" s="85"/>
      <c r="BE398" s="85"/>
      <c r="BF398" s="85"/>
      <c r="BG398" s="85"/>
      <c r="BH398" s="85"/>
      <c r="BI398" s="85"/>
      <c r="BJ398" s="85"/>
      <c r="BK398" s="85"/>
      <c r="BL398" s="85"/>
      <c r="BM398" s="85"/>
      <c r="BN398" s="85"/>
      <c r="BO398" s="85"/>
      <c r="BP398" s="85"/>
      <c r="BQ398" s="85"/>
      <c r="BR398" s="85"/>
      <c r="BS398" s="85"/>
      <c r="BT398" s="85"/>
      <c r="BU398" s="85"/>
      <c r="BV398" s="85"/>
      <c r="BW398" s="85"/>
      <c r="BX398" s="85"/>
      <c r="BY398" s="85"/>
      <c r="BZ398" s="85"/>
      <c r="CA398" s="85"/>
      <c r="CB398" s="85"/>
      <c r="CC398" s="85"/>
      <c r="CD398" s="85"/>
      <c r="CE398" s="85"/>
      <c r="CF398" s="85"/>
      <c r="CG398" s="85"/>
      <c r="CH398" s="85"/>
      <c r="CI398" s="85"/>
      <c r="CJ398" s="85"/>
      <c r="CK398" s="2"/>
    </row>
    <row r="399" ht="12.75" customHeight="1">
      <c r="A399" s="80">
        <f>IFERROR(__xludf.DUMMYFUNCTION("""COMPUTED_VALUE"""),396.0)</f>
        <v>396</v>
      </c>
      <c r="B399" s="80"/>
      <c r="C399" s="80"/>
      <c r="D399" s="81">
        <f>IFERROR(__xludf.DUMMYFUNCTION("""COMPUTED_VALUE"""),45665.0)</f>
        <v>45665</v>
      </c>
      <c r="E399" s="82"/>
      <c r="F399" s="80"/>
      <c r="G399" s="81">
        <f>IFERROR(__xludf.DUMMYFUNCTION("""COMPUTED_VALUE"""),45677.0)</f>
        <v>45677</v>
      </c>
      <c r="H399" s="80"/>
      <c r="I399" s="80"/>
      <c r="J399" s="80"/>
      <c r="K399" s="80"/>
      <c r="L399" s="80">
        <f>IFERROR(__xludf.DUMMYFUNCTION("""COMPUTED_VALUE"""),12.0)</f>
        <v>12</v>
      </c>
      <c r="M399" s="80" t="str">
        <f>IFERROR(__xludf.DUMMYFUNCTION("""COMPUTED_VALUE"""),"ü")</f>
        <v>ü</v>
      </c>
      <c r="N399" s="80"/>
      <c r="O399" s="80"/>
      <c r="P399" s="80" t="str">
        <f>IFERROR(__xludf.DUMMYFUNCTION("""COMPUTED_VALUE"""),"53BSPA09293JBEEN")</f>
        <v>53BSPA09293JBEEN</v>
      </c>
      <c r="Q399" s="80" t="str">
        <f>IFERROR(__xludf.DUMMYFUNCTION("""COMPUTED_VALUE"""),"MUC Greenlake City")</f>
        <v>MUC Greenlake City</v>
      </c>
      <c r="R399" s="80" t="str">
        <f>IFERROR(__xludf.DUMMYFUNCTION("""COMPUTED_VALUE"""),"MUC Greenlake City")</f>
        <v>MUC Greenlake City</v>
      </c>
      <c r="S399" s="80" t="str">
        <f>IFERROR(__xludf.DUMMYFUNCTION("""COMPUTED_VALUE"""),"Tze Wie al Michael Lay Arda ")</f>
        <v>Tze Wie al Michael Lay Arda </v>
      </c>
      <c r="T399" s="80" t="str">
        <f>IFERROR(__xludf.DUMMYFUNCTION("""COMPUTED_VALUE"""),"JL. PADEMANGAN II GANG 26 NO.46 RT.007 RW.002 KEL.PADEMANGAN TIMUR KEC.PADEMANGAN JAKARTA UTARA DKI JAKARTA")</f>
        <v>JL. PADEMANGAN II GANG 26 NO.46 RT.007 RW.002 KEL.PADEMANGAN TIMUR KEC.PADEMANGAN JAKARTA UTARA DKI JAKARTA</v>
      </c>
      <c r="U399" s="80" t="str">
        <f>IFERROR(__xludf.DUMMYFUNCTION("""COMPUTED_VALUE"""),"Rukan CBD, Jl. Green Lake City Boulevard C 75, RT.001/RW.001")</f>
        <v>Rukan CBD, Jl. Green Lake City Boulevard C 75, RT.001/RW.001</v>
      </c>
      <c r="V399" s="80"/>
      <c r="W399" s="80" t="str">
        <f>IFERROR(__xludf.DUMMYFUNCTION("""COMPUTED_VALUE"""),"Gondrong")</f>
        <v>Gondrong</v>
      </c>
      <c r="X399" s="80" t="str">
        <f>IFERROR(__xludf.DUMMYFUNCTION("""COMPUTED_VALUE"""),"Cipondoh")</f>
        <v>Cipondoh</v>
      </c>
      <c r="Y399" s="80" t="str">
        <f>IFERROR(__xludf.DUMMYFUNCTION("""COMPUTED_VALUE"""),"Kota Tangerang ")</f>
        <v>Kota Tangerang </v>
      </c>
      <c r="Z399" s="80" t="str">
        <f>IFERROR(__xludf.DUMMYFUNCTION("""COMPUTED_VALUE"""),"Banten")</f>
        <v>Banten</v>
      </c>
      <c r="AA399" s="80" t="str">
        <f>IFERROR(__xludf.DUMMYFUNCTION("""COMPUTED_VALUE"""),"15146")</f>
        <v>15146</v>
      </c>
      <c r="AB399" s="80" t="str">
        <f>IFERROR(__xludf.DUMMYFUNCTION("""COMPUTED_VALUE"""),"3172021210820015")</f>
        <v>3172021210820015</v>
      </c>
      <c r="AC399" s="80" t="str">
        <f>IFERROR(__xludf.DUMMYFUNCTION("""COMPUTED_VALUE"""),"26.981.305.1-048.000")</f>
        <v>26.981.305.1-048.000</v>
      </c>
      <c r="AD399" s="80" t="str">
        <f>IFERROR(__xludf.DUMMYFUNCTION("""COMPUTED_VALUE"""),"CUM - EEN")</f>
        <v>CUM - EEN</v>
      </c>
      <c r="AE399" s="80" t="str">
        <f>IFERROR(__xludf.DUMMYFUNCTION("""COMPUTED_VALUE"""),"SUB EEN")</f>
        <v>SUB EEN</v>
      </c>
      <c r="AF399" s="80" t="str">
        <f>IFERROR(__xludf.DUMMYFUNCTION("""COMPUTED_VALUE"""),"08170165999")</f>
        <v>08170165999</v>
      </c>
      <c r="AG399" s="80"/>
      <c r="AH399" s="80" t="str">
        <f>IFERROR(__xludf.DUMMYFUNCTION("""COMPUTED_VALUE"""),"berkahsejahtera5999@gmail.com")</f>
        <v>berkahsejahtera5999@gmail.com</v>
      </c>
      <c r="AI399" s="80" t="str">
        <f>IFERROR(__xludf.DUMMYFUNCTION("""COMPUTED_VALUE"""),"15146S2")</f>
        <v>15146S2</v>
      </c>
      <c r="AJ399" s="80" t="str">
        <f>IFERROR(__xludf.DUMMYFUNCTION("""COMPUTED_VALUE"""),"678de6ce58928b1a1b08d317")</f>
        <v>678de6ce58928b1a1b08d317</v>
      </c>
      <c r="AK399" s="80" t="str">
        <f>IFERROR(__xludf.DUMMYFUNCTION("""COMPUTED_VALUE"""),"dm15146s2")</f>
        <v>dm15146s2</v>
      </c>
      <c r="AL399" s="80" t="str">
        <f>IFERROR(__xludf.DUMMYFUNCTION("""COMPUTED_VALUE"""),"#15146Pos")</f>
        <v>#15146Pos</v>
      </c>
      <c r="AM399" s="80" t="str">
        <f>IFERROR(__xludf.DUMMYFUNCTION("""COMPUTED_VALUE"""),"KANTOR REGIONAL II JAKARTA 10004")</f>
        <v>KANTOR REGIONAL II JAKARTA 10004</v>
      </c>
      <c r="AN399" s="80" t="str">
        <f>IFERROR(__xludf.DUMMYFUNCTION("""COMPUTED_VALUE"""),"KCU TANGERANG 15000")</f>
        <v>KCU TANGERANG 15000</v>
      </c>
      <c r="AO399" s="80" t="str">
        <f>IFERROR(__xludf.DUMMYFUNCTION("""COMPUTED_VALUE"""),"0601250059964")</f>
        <v>0601250059964</v>
      </c>
      <c r="AP399" s="80" t="str">
        <f>IFERROR(__xludf.DUMMYFUNCTION("""COMPUTED_VALUE"""),"06012500599640001")</f>
        <v>06012500599640001</v>
      </c>
      <c r="AQ399" s="83"/>
      <c r="AR399" s="80"/>
      <c r="AS399" s="80"/>
      <c r="AT399" s="80" t="str">
        <f>IFERROR(__xludf.DUMMYFUNCTION("""COMPUTED_VALUE"""),"-6.185270 ")</f>
        <v>-6.185270 </v>
      </c>
      <c r="AU399" s="80" t="str">
        <f>IFERROR(__xludf.DUMMYFUNCTION("""COMPUTED_VALUE"""),"106.699456")</f>
        <v>106.699456</v>
      </c>
      <c r="AV399" s="80"/>
      <c r="AW399" s="80"/>
      <c r="AX399" s="80" t="str">
        <f>IFERROR(__xludf.DUMMYFUNCTION("""COMPUTED_VALUE"""),"ü")</f>
        <v>ü</v>
      </c>
      <c r="AY399" s="80"/>
      <c r="AZ399" s="80"/>
      <c r="BA399" s="80"/>
      <c r="BB399" s="80"/>
      <c r="BC399" s="80"/>
      <c r="BD399" s="80"/>
      <c r="BE399" s="80"/>
      <c r="BF399" s="80"/>
      <c r="BG399" s="80"/>
      <c r="BH399" s="80"/>
      <c r="BI399" s="80"/>
      <c r="BJ399" s="80"/>
      <c r="BK399" s="80"/>
      <c r="BL399" s="80"/>
      <c r="BM399" s="80"/>
      <c r="BN399" s="80"/>
      <c r="BO399" s="80"/>
      <c r="BP399" s="80"/>
      <c r="BQ399" s="80"/>
      <c r="BR399" s="80"/>
      <c r="BS399" s="80"/>
      <c r="BT399" s="80"/>
      <c r="BU399" s="80"/>
      <c r="BV399" s="80"/>
      <c r="BW399" s="80"/>
      <c r="BX399" s="80"/>
      <c r="BY399" s="80"/>
      <c r="BZ399" s="80"/>
      <c r="CA399" s="80"/>
      <c r="CB399" s="80"/>
      <c r="CC399" s="80"/>
      <c r="CD399" s="80"/>
      <c r="CE399" s="80"/>
      <c r="CF399" s="80"/>
      <c r="CG399" s="80"/>
      <c r="CH399" s="80"/>
      <c r="CI399" s="80"/>
      <c r="CJ399" s="80"/>
      <c r="CK399" s="2"/>
    </row>
    <row r="400" ht="12.75" customHeight="1">
      <c r="A400" s="85">
        <f>IFERROR(__xludf.DUMMYFUNCTION("""COMPUTED_VALUE"""),397.0)</f>
        <v>397</v>
      </c>
      <c r="B400" s="85"/>
      <c r="C400" s="85"/>
      <c r="D400" s="86">
        <f>IFERROR(__xludf.DUMMYFUNCTION("""COMPUTED_VALUE"""),45666.0)</f>
        <v>45666</v>
      </c>
      <c r="E400" s="88"/>
      <c r="F400" s="85"/>
      <c r="G400" s="86">
        <f>IFERROR(__xludf.DUMMYFUNCTION("""COMPUTED_VALUE"""),45695.0)</f>
        <v>45695</v>
      </c>
      <c r="H400" s="85"/>
      <c r="I400" s="85"/>
      <c r="J400" s="85"/>
      <c r="K400" s="85"/>
      <c r="L400" s="85">
        <f>IFERROR(__xludf.DUMMYFUNCTION("""COMPUTED_VALUE"""),29.0)</f>
        <v>29</v>
      </c>
      <c r="M400" s="85" t="str">
        <f>IFERROR(__xludf.DUMMYFUNCTION("""COMPUTED_VALUE"""),"ü")</f>
        <v>ü</v>
      </c>
      <c r="N400" s="85"/>
      <c r="O400" s="85"/>
      <c r="P400" s="85" t="str">
        <f>IFERROR(__xludf.DUMMYFUNCTION("""COMPUTED_VALUE"""),"53BSPA09299JBEEN")</f>
        <v>53BSPA09299JBEEN</v>
      </c>
      <c r="Q400" s="85" t="str">
        <f>IFERROR(__xludf.DUMMYFUNCTION("""COMPUTED_VALUE"""),"MUC PIK GRISENDA")</f>
        <v>MUC PIK GRISENDA</v>
      </c>
      <c r="R400" s="85" t="str">
        <f>IFERROR(__xludf.DUMMYFUNCTION("""COMPUTED_VALUE"""),"MUC PIK GRISENDA")</f>
        <v>MUC PIK GRISENDA</v>
      </c>
      <c r="S400" s="85" t="str">
        <f>IFERROR(__xludf.DUMMYFUNCTION("""COMPUTED_VALUE"""),"Herlinwati Sho")</f>
        <v>Herlinwati Sho</v>
      </c>
      <c r="T400" s="85" t="str">
        <f>IFERROR(__xludf.DUMMYFUNCTION("""COMPUTED_VALUE"""),"JLN TERATE GG V NO 42 A RT.003 RW.003 ")</f>
        <v>JLN TERATE GG V NO 42 A RT.003 RW.003 </v>
      </c>
      <c r="U400" s="85" t="str">
        <f>IFERROR(__xludf.DUMMYFUNCTION("""COMPUTED_VALUE"""),"Jl. Pantai Indah Utara Sektor Timur, RT.4/RW.6")</f>
        <v>Jl. Pantai Indah Utara Sektor Timur, RT.4/RW.6</v>
      </c>
      <c r="V400" s="85"/>
      <c r="W400" s="85" t="str">
        <f>IFERROR(__xludf.DUMMYFUNCTION("""COMPUTED_VALUE"""),"Kapuk Muara")</f>
        <v>Kapuk Muara</v>
      </c>
      <c r="X400" s="85" t="str">
        <f>IFERROR(__xludf.DUMMYFUNCTION("""COMPUTED_VALUE"""),"Penjaringan")</f>
        <v>Penjaringan</v>
      </c>
      <c r="Y400" s="85" t="str">
        <f>IFERROR(__xludf.DUMMYFUNCTION("""COMPUTED_VALUE"""),"Jakarta Utara")</f>
        <v>Jakarta Utara</v>
      </c>
      <c r="Z400" s="85" t="str">
        <f>IFERROR(__xludf.DUMMYFUNCTION("""COMPUTED_VALUE"""),"DKI Jakarta")</f>
        <v>DKI Jakarta</v>
      </c>
      <c r="AA400" s="85" t="str">
        <f>IFERROR(__xludf.DUMMYFUNCTION("""COMPUTED_VALUE"""),"14460")</f>
        <v>14460</v>
      </c>
      <c r="AB400" s="85" t="str">
        <f>IFERROR(__xludf.DUMMYFUNCTION("""COMPUTED_VALUE"""),"3173046305790003")</f>
        <v>3173046305790003</v>
      </c>
      <c r="AC400" s="85" t="str">
        <f>IFERROR(__xludf.DUMMYFUNCTION("""COMPUTED_VALUE"""),"24.743.422.8-033.000")</f>
        <v>24.743.422.8-033.000</v>
      </c>
      <c r="AD400" s="85" t="str">
        <f>IFERROR(__xludf.DUMMYFUNCTION("""COMPUTED_VALUE"""),"CUM - EEN")</f>
        <v>CUM - EEN</v>
      </c>
      <c r="AE400" s="85" t="str">
        <f>IFERROR(__xludf.DUMMYFUNCTION("""COMPUTED_VALUE"""),"SUB EEN")</f>
        <v>SUB EEN</v>
      </c>
      <c r="AF400" s="85" t="str">
        <f>IFERROR(__xludf.DUMMYFUNCTION("""COMPUTED_VALUE"""),"082311316688")</f>
        <v>082311316688</v>
      </c>
      <c r="AG400" s="85"/>
      <c r="AH400" s="85" t="str">
        <f>IFERROR(__xludf.DUMMYFUNCTION("""COMPUTED_VALUE"""),"wahanapantaiindahtimur@gmail.com")</f>
        <v>wahanapantaiindahtimur@gmail.com</v>
      </c>
      <c r="AI400" s="85" t="str">
        <f>IFERROR(__xludf.DUMMYFUNCTION("""COMPUTED_VALUE"""),"14460S4")</f>
        <v>14460S4</v>
      </c>
      <c r="AJ400" s="85" t="str">
        <f>IFERROR(__xludf.DUMMYFUNCTION("""COMPUTED_VALUE"""),"67a5aa68902a588d620dfb15")</f>
        <v>67a5aa68902a588d620dfb15</v>
      </c>
      <c r="AK400" s="85" t="str">
        <f>IFERROR(__xludf.DUMMYFUNCTION("""COMPUTED_VALUE"""),"dm14460s4")</f>
        <v>dm14460s4</v>
      </c>
      <c r="AL400" s="85" t="str">
        <f>IFERROR(__xludf.DUMMYFUNCTION("""COMPUTED_VALUE"""),"#14460Pos")</f>
        <v>#14460Pos</v>
      </c>
      <c r="AM400" s="85" t="str">
        <f>IFERROR(__xludf.DUMMYFUNCTION("""COMPUTED_VALUE"""),"KANTOR REGIONAL II JAKARTA 10004")</f>
        <v>KANTOR REGIONAL II JAKARTA 10004</v>
      </c>
      <c r="AN400" s="85" t="str">
        <f>IFERROR(__xludf.DUMMYFUNCTION("""COMPUTED_VALUE"""),"KCU JAKARTAPREMIER 13000")</f>
        <v>KCU JAKARTAPREMIER 13000</v>
      </c>
      <c r="AO400" s="85" t="str">
        <f>IFERROR(__xludf.DUMMYFUNCTION("""COMPUTED_VALUE"""),"0228010242319")</f>
        <v>0228010242319</v>
      </c>
      <c r="AP400" s="85" t="str">
        <f>IFERROR(__xludf.DUMMYFUNCTION("""COMPUTED_VALUE"""),"02280102423190001")</f>
        <v>02280102423190001</v>
      </c>
      <c r="AQ400" s="93"/>
      <c r="AR400" s="85"/>
      <c r="AS400" s="85"/>
      <c r="AT400" s="85" t="str">
        <f>IFERROR(__xludf.DUMMYFUNCTION("""COMPUTED_VALUE"""),"-6.129055 ")</f>
        <v>-6.129055 </v>
      </c>
      <c r="AU400" s="85" t="str">
        <f>IFERROR(__xludf.DUMMYFUNCTION("""COMPUTED_VALUE"""),"106.753754")</f>
        <v>106.753754</v>
      </c>
      <c r="AV400" s="85"/>
      <c r="AW400" s="85"/>
      <c r="AX400" s="85" t="str">
        <f>IFERROR(__xludf.DUMMYFUNCTION("""COMPUTED_VALUE"""),"ü")</f>
        <v>ü</v>
      </c>
      <c r="AY400" s="85"/>
      <c r="AZ400" s="85"/>
      <c r="BA400" s="85"/>
      <c r="BB400" s="85"/>
      <c r="BC400" s="85"/>
      <c r="BD400" s="85"/>
      <c r="BE400" s="85"/>
      <c r="BF400" s="85"/>
      <c r="BG400" s="85"/>
      <c r="BH400" s="85"/>
      <c r="BI400" s="85"/>
      <c r="BJ400" s="85"/>
      <c r="BK400" s="85"/>
      <c r="BL400" s="85"/>
      <c r="BM400" s="85"/>
      <c r="BN400" s="85"/>
      <c r="BO400" s="85"/>
      <c r="BP400" s="85"/>
      <c r="BQ400" s="85"/>
      <c r="BR400" s="85"/>
      <c r="BS400" s="85"/>
      <c r="BT400" s="85"/>
      <c r="BU400" s="85"/>
      <c r="BV400" s="85"/>
      <c r="BW400" s="85"/>
      <c r="BX400" s="85"/>
      <c r="BY400" s="85"/>
      <c r="BZ400" s="85"/>
      <c r="CA400" s="85"/>
      <c r="CB400" s="85"/>
      <c r="CC400" s="85"/>
      <c r="CD400" s="85"/>
      <c r="CE400" s="85"/>
      <c r="CF400" s="85"/>
      <c r="CG400" s="85"/>
      <c r="CH400" s="85"/>
      <c r="CI400" s="85"/>
      <c r="CJ400" s="85"/>
      <c r="CK400" s="2"/>
    </row>
    <row r="401" ht="12.75" customHeight="1">
      <c r="A401" s="80">
        <f>IFERROR(__xludf.DUMMYFUNCTION("""COMPUTED_VALUE"""),398.0)</f>
        <v>398</v>
      </c>
      <c r="B401" s="80"/>
      <c r="C401" s="80"/>
      <c r="D401" s="81">
        <f>IFERROR(__xludf.DUMMYFUNCTION("""COMPUTED_VALUE"""),45670.0)</f>
        <v>45670</v>
      </c>
      <c r="E401" s="82"/>
      <c r="F401" s="80"/>
      <c r="G401" s="81">
        <f>IFERROR(__xludf.DUMMYFUNCTION("""COMPUTED_VALUE"""),45681.0)</f>
        <v>45681</v>
      </c>
      <c r="H401" s="80"/>
      <c r="I401" s="80"/>
      <c r="J401" s="80"/>
      <c r="K401" s="80"/>
      <c r="L401" s="80">
        <f>IFERROR(__xludf.DUMMYFUNCTION("""COMPUTED_VALUE"""),11.0)</f>
        <v>11</v>
      </c>
      <c r="M401" s="80"/>
      <c r="N401" s="80" t="str">
        <f>IFERROR(__xludf.DUMMYFUNCTION("""COMPUTED_VALUE"""),"ü")</f>
        <v>ü</v>
      </c>
      <c r="O401" s="80"/>
      <c r="P401" s="80" t="str">
        <f>IFERROR(__xludf.DUMMYFUNCTION("""COMPUTED_VALUE"""),"MUCSPA63079PSIND")</f>
        <v>MUCSPA63079PSIND</v>
      </c>
      <c r="Q401" s="80" t="str">
        <f>IFERROR(__xludf.DUMMYFUNCTION("""COMPUTED_VALUE"""),"MUC MASWA EXPRESS")</f>
        <v>MUC MASWA EXPRESS</v>
      </c>
      <c r="R401" s="80" t="str">
        <f>IFERROR(__xludf.DUMMYFUNCTION("""COMPUTED_VALUE"""),"MUC MASWA EXPRESS")</f>
        <v>MUC MASWA EXPRESS</v>
      </c>
      <c r="S401" s="80" t="str">
        <f>IFERROR(__xludf.DUMMYFUNCTION("""COMPUTED_VALUE"""),"WAKHID MASKURI")</f>
        <v>WAKHID MASKURI</v>
      </c>
      <c r="T401" s="80" t="str">
        <f>IFERROR(__xludf.DUMMYFUNCTION("""COMPUTED_VALUE"""),"SRUMBUNG RT 5 SEGOROYOSO PLERET")</f>
        <v>SRUMBUNG RT 5 SEGOROYOSO PLERET</v>
      </c>
      <c r="U401" s="80" t="str">
        <f>IFERROR(__xludf.DUMMYFUNCTION("""COMPUTED_VALUE"""),"SRUMBUNG RT 5 SEGOROYOSO PLERET")</f>
        <v>SRUMBUNG RT 5 SEGOROYOSO PLERET</v>
      </c>
      <c r="V401" s="80"/>
      <c r="W401" s="80" t="str">
        <f>IFERROR(__xludf.DUMMYFUNCTION("""COMPUTED_VALUE"""),"SEGOROYOSO")</f>
        <v>SEGOROYOSO</v>
      </c>
      <c r="X401" s="80" t="str">
        <f>IFERROR(__xludf.DUMMYFUNCTION("""COMPUTED_VALUE"""),"PLERET")</f>
        <v>PLERET</v>
      </c>
      <c r="Y401" s="80" t="str">
        <f>IFERROR(__xludf.DUMMYFUNCTION("""COMPUTED_VALUE"""),"BANTUL")</f>
        <v>BANTUL</v>
      </c>
      <c r="Z401" s="80" t="str">
        <f>IFERROR(__xludf.DUMMYFUNCTION("""COMPUTED_VALUE"""),"YOGYAKARTA")</f>
        <v>YOGYAKARTA</v>
      </c>
      <c r="AA401" s="80" t="str">
        <f>IFERROR(__xludf.DUMMYFUNCTION("""COMPUTED_VALUE"""),"55791")</f>
        <v>55791</v>
      </c>
      <c r="AB401" s="80" t="str">
        <f>IFERROR(__xludf.DUMMYFUNCTION("""COMPUTED_VALUE"""),"3402131705900002")</f>
        <v>3402131705900002</v>
      </c>
      <c r="AC401" s="80" t="str">
        <f>IFERROR(__xludf.DUMMYFUNCTION("""COMPUTED_VALUE"""),"45.998.751.7-543.000")</f>
        <v>45.998.751.7-543.000</v>
      </c>
      <c r="AD401" s="80" t="str">
        <f>IFERROR(__xludf.DUMMYFUNCTION("""COMPUTED_VALUE"""),"CUM - PS - JLAD")</f>
        <v>CUM - PS - JLAD</v>
      </c>
      <c r="AE401" s="80" t="str">
        <f>IFERROR(__xludf.DUMMYFUNCTION("""COMPUTED_VALUE"""),"SUB YULI POS")</f>
        <v>SUB YULI POS</v>
      </c>
      <c r="AF401" s="80" t="str">
        <f>IFERROR(__xludf.DUMMYFUNCTION("""COMPUTED_VALUE"""),"085608564052")</f>
        <v>085608564052</v>
      </c>
      <c r="AG401" s="80"/>
      <c r="AH401" s="80" t="str">
        <f>IFERROR(__xludf.DUMMYFUNCTION("""COMPUTED_VALUE"""),"JASASTNK5758@GMAIL.COM")</f>
        <v>JASASTNK5758@GMAIL.COM</v>
      </c>
      <c r="AI401" s="80" t="str">
        <f>IFERROR(__xludf.DUMMYFUNCTION("""COMPUTED_VALUE"""),"55791S5")</f>
        <v>55791S5</v>
      </c>
      <c r="AJ401" s="80" t="str">
        <f>IFERROR(__xludf.DUMMYFUNCTION("""COMPUTED_VALUE"""),"67921c063024b6e4110bfd1a")</f>
        <v>67921c063024b6e4110bfd1a</v>
      </c>
      <c r="AK401" s="80" t="str">
        <f>IFERROR(__xludf.DUMMYFUNCTION("""COMPUTED_VALUE"""),"dm55791s5")</f>
        <v>dm55791s5</v>
      </c>
      <c r="AL401" s="80" t="str">
        <f>IFERROR(__xludf.DUMMYFUNCTION("""COMPUTED_VALUE"""),"#55791Pos")</f>
        <v>#55791Pos</v>
      </c>
      <c r="AM401" s="80" t="str">
        <f>IFERROR(__xludf.DUMMYFUNCTION("""COMPUTED_VALUE"""),"KANTOR REGIONAL IV SEMARANG 50004")</f>
        <v>KANTOR REGIONAL IV SEMARANG 50004</v>
      </c>
      <c r="AN401" s="80" t="str">
        <f>IFERROR(__xludf.DUMMYFUNCTION("""COMPUTED_VALUE"""),"KC BANTUL 55700")</f>
        <v>KC BANTUL 55700</v>
      </c>
      <c r="AO401" s="80" t="str">
        <f>IFERROR(__xludf.DUMMYFUNCTION("""COMPUTED_VALUE"""),"1271000262053")</f>
        <v>1271000262053</v>
      </c>
      <c r="AP401" s="80" t="str">
        <f>IFERROR(__xludf.DUMMYFUNCTION("""COMPUTED_VALUE"""),"12710002620530001")</f>
        <v>12710002620530001</v>
      </c>
      <c r="AQ401" s="83"/>
      <c r="AR401" s="80"/>
      <c r="AS401" s="80"/>
      <c r="AT401" s="80" t="str">
        <f>IFERROR(__xludf.DUMMYFUNCTION("""COMPUTED_VALUE"""),"-7.89065")</f>
        <v>-7.89065</v>
      </c>
      <c r="AU401" s="80" t="str">
        <f>IFERROR(__xludf.DUMMYFUNCTION("""COMPUTED_VALUE"""),"110.41681")</f>
        <v>110.41681</v>
      </c>
      <c r="AV401" s="80"/>
      <c r="AW401" s="80"/>
      <c r="AX401" s="80" t="str">
        <f>IFERROR(__xludf.DUMMYFUNCTION("""COMPUTED_VALUE"""),"ü")</f>
        <v>ü</v>
      </c>
      <c r="AY401" s="80"/>
      <c r="AZ401" s="80"/>
      <c r="BA401" s="80"/>
      <c r="BB401" s="80"/>
      <c r="BC401" s="80"/>
      <c r="BD401" s="80"/>
      <c r="BE401" s="80"/>
      <c r="BF401" s="80"/>
      <c r="BG401" s="80"/>
      <c r="BH401" s="80"/>
      <c r="BI401" s="80"/>
      <c r="BJ401" s="80"/>
      <c r="BK401" s="80"/>
      <c r="BL401" s="80"/>
      <c r="BM401" s="80"/>
      <c r="BN401" s="80"/>
      <c r="BO401" s="80"/>
      <c r="BP401" s="80"/>
      <c r="BQ401" s="80"/>
      <c r="BR401" s="80"/>
      <c r="BS401" s="80"/>
      <c r="BT401" s="80"/>
      <c r="BU401" s="80"/>
      <c r="BV401" s="80"/>
      <c r="BW401" s="80"/>
      <c r="BX401" s="80"/>
      <c r="BY401" s="80"/>
      <c r="BZ401" s="80"/>
      <c r="CA401" s="80"/>
      <c r="CB401" s="80"/>
      <c r="CC401" s="80"/>
      <c r="CD401" s="80"/>
      <c r="CE401" s="80"/>
      <c r="CF401" s="80"/>
      <c r="CG401" s="80"/>
      <c r="CH401" s="80"/>
      <c r="CI401" s="80"/>
      <c r="CJ401" s="80"/>
      <c r="CK401" s="2"/>
    </row>
    <row r="402" ht="12.75" customHeight="1">
      <c r="A402" s="85">
        <f>IFERROR(__xludf.DUMMYFUNCTION("""COMPUTED_VALUE"""),399.0)</f>
        <v>399</v>
      </c>
      <c r="B402" s="85"/>
      <c r="C402" s="85"/>
      <c r="D402" s="86">
        <f>IFERROR(__xludf.DUMMYFUNCTION("""COMPUTED_VALUE"""),45670.0)</f>
        <v>45670</v>
      </c>
      <c r="E402" s="88"/>
      <c r="F402" s="85"/>
      <c r="G402" s="86">
        <f>IFERROR(__xludf.DUMMYFUNCTION("""COMPUTED_VALUE"""),45677.0)</f>
        <v>45677</v>
      </c>
      <c r="H402" s="85"/>
      <c r="I402" s="85"/>
      <c r="J402" s="85"/>
      <c r="K402" s="85"/>
      <c r="L402" s="85">
        <f>IFERROR(__xludf.DUMMYFUNCTION("""COMPUTED_VALUE"""),7.0)</f>
        <v>7</v>
      </c>
      <c r="M402" s="85" t="str">
        <f>IFERROR(__xludf.DUMMYFUNCTION("""COMPUTED_VALUE"""),"ü")</f>
        <v>ü</v>
      </c>
      <c r="N402" s="85"/>
      <c r="O402" s="85"/>
      <c r="P402" s="85" t="str">
        <f>IFERROR(__xludf.DUMMYFUNCTION("""COMPUTED_VALUE"""),"MUCSPA63080PSIND")</f>
        <v>MUCSPA63080PSIND</v>
      </c>
      <c r="Q402" s="85" t="str">
        <f>IFERROR(__xludf.DUMMYFUNCTION("""COMPUTED_VALUE"""),"MUC Pembangunan")</f>
        <v>MUC Pembangunan</v>
      </c>
      <c r="R402" s="85" t="str">
        <f>IFERROR(__xludf.DUMMYFUNCTION("""COMPUTED_VALUE"""),"MUC Pembangunan")</f>
        <v>MUC Pembangunan</v>
      </c>
      <c r="S402" s="85" t="str">
        <f>IFERROR(__xludf.DUMMYFUNCTION("""COMPUTED_VALUE"""),"SANDI PARDIANSAH")</f>
        <v>SANDI PARDIANSAH</v>
      </c>
      <c r="T402" s="85" t="str">
        <f>IFERROR(__xludf.DUMMYFUNCTION("""COMPUTED_VALUE"""),"KP. PANAWUAN RT.003 RW.011 KEL. SUKAJAYA KEC. TAROGONG KIDUL KAB.GARUT")</f>
        <v>KP. PANAWUAN RT.003 RW.011 KEL. SUKAJAYA KEC. TAROGONG KIDUL KAB.GARUT</v>
      </c>
      <c r="U402" s="85" t="str">
        <f>IFERROR(__xludf.DUMMYFUNCTION("""COMPUTED_VALUE"""),"Jl Pembangunan")</f>
        <v>Jl Pembangunan</v>
      </c>
      <c r="V402" s="85"/>
      <c r="W402" s="85" t="str">
        <f>IFERROR(__xludf.DUMMYFUNCTION("""COMPUTED_VALUE"""),"Sukagalih")</f>
        <v>Sukagalih</v>
      </c>
      <c r="X402" s="85" t="str">
        <f>IFERROR(__xludf.DUMMYFUNCTION("""COMPUTED_VALUE"""),"Tarogong Kidul")</f>
        <v>Tarogong Kidul</v>
      </c>
      <c r="Y402" s="85" t="str">
        <f>IFERROR(__xludf.DUMMYFUNCTION("""COMPUTED_VALUE"""),"Kab. Garut")</f>
        <v>Kab. Garut</v>
      </c>
      <c r="Z402" s="85" t="str">
        <f>IFERROR(__xludf.DUMMYFUNCTION("""COMPUTED_VALUE"""),"Jawa Barat")</f>
        <v>Jawa Barat</v>
      </c>
      <c r="AA402" s="85" t="str">
        <f>IFERROR(__xludf.DUMMYFUNCTION("""COMPUTED_VALUE"""),"44151")</f>
        <v>44151</v>
      </c>
      <c r="AB402" s="85" t="str">
        <f>IFERROR(__xludf.DUMMYFUNCTION("""COMPUTED_VALUE"""),"3205050902880001")</f>
        <v>3205050902880001</v>
      </c>
      <c r="AC402" s="85" t="str">
        <f>IFERROR(__xludf.DUMMYFUNCTION("""COMPUTED_VALUE"""),"86.645.522.3-443.000")</f>
        <v>86.645.522.3-443.000</v>
      </c>
      <c r="AD402" s="85" t="str">
        <f>IFERROR(__xludf.DUMMYFUNCTION("""COMPUTED_VALUE"""),"CUM - PS - NONKORGEN")</f>
        <v>CUM - PS - NONKORGEN</v>
      </c>
      <c r="AE402" s="85" t="str">
        <f>IFERROR(__xludf.DUMMYFUNCTION("""COMPUTED_VALUE"""),"BU DINA KC GARUT")</f>
        <v>BU DINA KC GARUT</v>
      </c>
      <c r="AF402" s="85" t="str">
        <f>IFERROR(__xludf.DUMMYFUNCTION("""COMPUTED_VALUE"""),"082127911795")</f>
        <v>082127911795</v>
      </c>
      <c r="AG402" s="85"/>
      <c r="AH402" s="85" t="str">
        <f>IFERROR(__xludf.DUMMYFUNCTION("""COMPUTED_VALUE"""),"sandy.dandru@gmail.com")</f>
        <v>sandy.dandru@gmail.com</v>
      </c>
      <c r="AI402" s="85" t="str">
        <f>IFERROR(__xludf.DUMMYFUNCTION("""COMPUTED_VALUE"""),"44125S1")</f>
        <v>44125S1</v>
      </c>
      <c r="AJ402" s="85" t="str">
        <f>IFERROR(__xludf.DUMMYFUNCTION("""COMPUTED_VALUE"""),"678dc39085fca7ecc20a7deb")</f>
        <v>678dc39085fca7ecc20a7deb</v>
      </c>
      <c r="AK402" s="85" t="str">
        <f>IFERROR(__xludf.DUMMYFUNCTION("""COMPUTED_VALUE"""),"dm44125s1")</f>
        <v>dm44125s1</v>
      </c>
      <c r="AL402" s="85" t="str">
        <f>IFERROR(__xludf.DUMMYFUNCTION("""COMPUTED_VALUE"""),"#44125Pos")</f>
        <v>#44125Pos</v>
      </c>
      <c r="AM402" s="85" t="str">
        <f>IFERROR(__xludf.DUMMYFUNCTION("""COMPUTED_VALUE"""),"KANTOR REGIONAL III BANDUNG 40004")</f>
        <v>KANTOR REGIONAL III BANDUNG 40004</v>
      </c>
      <c r="AN402" s="85" t="str">
        <f>IFERROR(__xludf.DUMMYFUNCTION("""COMPUTED_VALUE"""),"KC GARUT ")</f>
        <v>KC GARUT </v>
      </c>
      <c r="AO402" s="85" t="str">
        <f>IFERROR(__xludf.DUMMYFUNCTION("""COMPUTED_VALUE"""),"1001250045709")</f>
        <v>1001250045709</v>
      </c>
      <c r="AP402" s="85" t="str">
        <f>IFERROR(__xludf.DUMMYFUNCTION("""COMPUTED_VALUE"""),"10012500457090001 ")</f>
        <v>10012500457090001 </v>
      </c>
      <c r="AQ402" s="93"/>
      <c r="AR402" s="85"/>
      <c r="AS402" s="85"/>
      <c r="AT402" s="85" t="str">
        <f>IFERROR(__xludf.DUMMYFUNCTION("""COMPUTED_VALUE"""),"-7.202550")</f>
        <v>-7.202550</v>
      </c>
      <c r="AU402" s="85" t="str">
        <f>IFERROR(__xludf.DUMMYFUNCTION("""COMPUTED_VALUE"""),"107.887222")</f>
        <v>107.887222</v>
      </c>
      <c r="AV402" s="85"/>
      <c r="AW402" s="85"/>
      <c r="AX402" s="85" t="str">
        <f>IFERROR(__xludf.DUMMYFUNCTION("""COMPUTED_VALUE"""),"ü")</f>
        <v>ü</v>
      </c>
      <c r="AY402" s="85"/>
      <c r="AZ402" s="85"/>
      <c r="BA402" s="85"/>
      <c r="BB402" s="85"/>
      <c r="BC402" s="85"/>
      <c r="BD402" s="85"/>
      <c r="BE402" s="85"/>
      <c r="BF402" s="85"/>
      <c r="BG402" s="85"/>
      <c r="BH402" s="85"/>
      <c r="BI402" s="85"/>
      <c r="BJ402" s="85"/>
      <c r="BK402" s="85"/>
      <c r="BL402" s="85"/>
      <c r="BM402" s="85"/>
      <c r="BN402" s="85"/>
      <c r="BO402" s="85"/>
      <c r="BP402" s="85"/>
      <c r="BQ402" s="85"/>
      <c r="BR402" s="85"/>
      <c r="BS402" s="85"/>
      <c r="BT402" s="85"/>
      <c r="BU402" s="85"/>
      <c r="BV402" s="85"/>
      <c r="BW402" s="85"/>
      <c r="BX402" s="85"/>
      <c r="BY402" s="85"/>
      <c r="BZ402" s="85"/>
      <c r="CA402" s="85"/>
      <c r="CB402" s="85"/>
      <c r="CC402" s="85"/>
      <c r="CD402" s="85"/>
      <c r="CE402" s="85"/>
      <c r="CF402" s="85"/>
      <c r="CG402" s="85"/>
      <c r="CH402" s="85"/>
      <c r="CI402" s="85"/>
      <c r="CJ402" s="85"/>
      <c r="CK402" s="2"/>
    </row>
    <row r="403" ht="12.75" customHeight="1">
      <c r="A403" s="80">
        <f>IFERROR(__xludf.DUMMYFUNCTION("""COMPUTED_VALUE"""),400.0)</f>
        <v>400</v>
      </c>
      <c r="B403" s="80"/>
      <c r="C403" s="80"/>
      <c r="D403" s="81">
        <f>IFERROR(__xludf.DUMMYFUNCTION("""COMPUTED_VALUE"""),45670.0)</f>
        <v>45670</v>
      </c>
      <c r="E403" s="82"/>
      <c r="F403" s="80"/>
      <c r="G403" s="81">
        <f>IFERROR(__xludf.DUMMYFUNCTION("""COMPUTED_VALUE"""),45673.0)</f>
        <v>45673</v>
      </c>
      <c r="H403" s="80"/>
      <c r="I403" s="80"/>
      <c r="J403" s="80"/>
      <c r="K403" s="80"/>
      <c r="L403" s="80">
        <f>IFERROR(__xludf.DUMMYFUNCTION("""COMPUTED_VALUE"""),3.0)</f>
        <v>3</v>
      </c>
      <c r="M403" s="80" t="str">
        <f>IFERROR(__xludf.DUMMYFUNCTION("""COMPUTED_VALUE"""),"ü")</f>
        <v>ü</v>
      </c>
      <c r="N403" s="80"/>
      <c r="O403" s="80"/>
      <c r="P403" s="80" t="str">
        <f>IFERROR(__xludf.DUMMYFUNCTION("""COMPUTED_VALUE"""),"MUCSPA63081PSIND")</f>
        <v>MUCSPA63081PSIND</v>
      </c>
      <c r="Q403" s="80" t="str">
        <f>IFERROR(__xludf.DUMMYFUNCTION("""COMPUTED_VALUE"""),"MUC PRIMKOP KVB")</f>
        <v>MUC PRIMKOP KVB</v>
      </c>
      <c r="R403" s="80" t="str">
        <f>IFERROR(__xludf.DUMMYFUNCTION("""COMPUTED_VALUE"""),"MUC PRIMKOP KVB")</f>
        <v>MUC PRIMKOP KVB</v>
      </c>
      <c r="S403" s="80" t="str">
        <f>IFERROR(__xludf.DUMMYFUNCTION("""COMPUTED_VALUE"""),"MOH SAEFUL ANWAR")</f>
        <v>MOH SAEFUL ANWAR</v>
      </c>
      <c r="T403" s="80" t="str">
        <f>IFERROR(__xludf.DUMMYFUNCTION("""COMPUTED_VALUE"""),"JL. H MURSYID KP PARAKAN SALAM KEL. NYALINDUNG KEC. CIPATAT KAB. BANDUNG BARAT")</f>
        <v>JL. H MURSYID KP PARAKAN SALAM KEL. NYALINDUNG KEC. CIPATAT KAB. BANDUNG BARAT</v>
      </c>
      <c r="U403" s="80" t="str">
        <f>IFERROR(__xludf.DUMMYFUNCTION("""COMPUTED_VALUE"""),"JL. PONCOL SELATAN NO.24")</f>
        <v>JL. PONCOL SELATAN NO.24</v>
      </c>
      <c r="V403" s="80"/>
      <c r="W403" s="80" t="str">
        <f>IFERROR(__xludf.DUMMYFUNCTION("""COMPUTED_VALUE"""),"Karangmekar")</f>
        <v>Karangmekar</v>
      </c>
      <c r="X403" s="80" t="str">
        <f>IFERROR(__xludf.DUMMYFUNCTION("""COMPUTED_VALUE"""),"Cimahi Tengah")</f>
        <v>Cimahi Tengah</v>
      </c>
      <c r="Y403" s="80" t="str">
        <f>IFERROR(__xludf.DUMMYFUNCTION("""COMPUTED_VALUE"""),"Kota Cimahi")</f>
        <v>Kota Cimahi</v>
      </c>
      <c r="Z403" s="80" t="str">
        <f>IFERROR(__xludf.DUMMYFUNCTION("""COMPUTED_VALUE"""),"Jawa Barat")</f>
        <v>Jawa Barat</v>
      </c>
      <c r="AA403" s="80" t="str">
        <f>IFERROR(__xludf.DUMMYFUNCTION("""COMPUTED_VALUE"""),"40521")</f>
        <v>40521</v>
      </c>
      <c r="AB403" s="80" t="str">
        <f>IFERROR(__xludf.DUMMYFUNCTION("""COMPUTED_VALUE"""),"1171010801840005")</f>
        <v>1171010801840005</v>
      </c>
      <c r="AC403" s="80" t="str">
        <f>IFERROR(__xludf.DUMMYFUNCTION("""COMPUTED_VALUE"""),"68.963.068.9-101.000")</f>
        <v>68.963.068.9-101.000</v>
      </c>
      <c r="AD403" s="80" t="str">
        <f>IFERROR(__xludf.DUMMYFUNCTION("""COMPUTED_VALUE"""),"CUM - PS - ADS")</f>
        <v>CUM - PS - ADS</v>
      </c>
      <c r="AE403" s="80" t="str">
        <f>IFERROR(__xludf.DUMMYFUNCTION("""COMPUTED_VALUE"""),"SUB ADI SONJAYA POS")</f>
        <v>SUB ADI SONJAYA POS</v>
      </c>
      <c r="AF403" s="80" t="str">
        <f>IFERROR(__xludf.DUMMYFUNCTION("""COMPUTED_VALUE"""),"081221101772")</f>
        <v>081221101772</v>
      </c>
      <c r="AG403" s="80"/>
      <c r="AH403" s="80" t="str">
        <f>IFERROR(__xludf.DUMMYFUNCTION("""COMPUTED_VALUE"""),"primkopkartikaviyatabhakti@gmail.com")</f>
        <v>primkopkartikaviyatabhakti@gmail.com</v>
      </c>
      <c r="AI403" s="80" t="str">
        <f>IFERROR(__xludf.DUMMYFUNCTION("""COMPUTED_VALUE"""),"40523S3")</f>
        <v>40523S3</v>
      </c>
      <c r="AJ403" s="80" t="str">
        <f>IFERROR(__xludf.DUMMYFUNCTION("""COMPUTED_VALUE"""),"67877ce3f94175636d0b93bc")</f>
        <v>67877ce3f94175636d0b93bc</v>
      </c>
      <c r="AK403" s="80" t="str">
        <f>IFERROR(__xludf.DUMMYFUNCTION("""COMPUTED_VALUE"""),"dm40523s3")</f>
        <v>dm40523s3</v>
      </c>
      <c r="AL403" s="80" t="str">
        <f>IFERROR(__xludf.DUMMYFUNCTION("""COMPUTED_VALUE"""),"#40523Pos")</f>
        <v>#40523Pos</v>
      </c>
      <c r="AM403" s="80" t="str">
        <f>IFERROR(__xludf.DUMMYFUNCTION("""COMPUTED_VALUE"""),"KANTOR REGIONAL III BANDUNG 40004")</f>
        <v>KANTOR REGIONAL III BANDUNG 40004</v>
      </c>
      <c r="AN403" s="80" t="str">
        <f>IFERROR(__xludf.DUMMYFUNCTION("""COMPUTED_VALUE"""),"KC CIMAHI ")</f>
        <v>KC CIMAHI </v>
      </c>
      <c r="AO403" s="80" t="str">
        <f>IFERROR(__xludf.DUMMYFUNCTION("""COMPUTED_VALUE"""),"0220207350492")</f>
        <v>0220207350492</v>
      </c>
      <c r="AP403" s="80" t="str">
        <f>IFERROR(__xludf.DUMMYFUNCTION("""COMPUTED_VALUE"""),"02202073504920003 ")</f>
        <v>02202073504920003 </v>
      </c>
      <c r="AQ403" s="83"/>
      <c r="AR403" s="80"/>
      <c r="AS403" s="80"/>
      <c r="AT403" s="80" t="str">
        <f>IFERROR(__xludf.DUMMYFUNCTION("""COMPUTED_VALUE"""),"-6.888027")</f>
        <v>-6.888027</v>
      </c>
      <c r="AU403" s="80" t="str">
        <f>IFERROR(__xludf.DUMMYFUNCTION("""COMPUTED_VALUE"""),"107.544772")</f>
        <v>107.544772</v>
      </c>
      <c r="AV403" s="80"/>
      <c r="AW403" s="80"/>
      <c r="AX403" s="80" t="str">
        <f>IFERROR(__xludf.DUMMYFUNCTION("""COMPUTED_VALUE"""),"ü")</f>
        <v>ü</v>
      </c>
      <c r="AY403" s="80"/>
      <c r="AZ403" s="80"/>
      <c r="BA403" s="80"/>
      <c r="BB403" s="80"/>
      <c r="BC403" s="80"/>
      <c r="BD403" s="80"/>
      <c r="BE403" s="80"/>
      <c r="BF403" s="80"/>
      <c r="BG403" s="80"/>
      <c r="BH403" s="80"/>
      <c r="BI403" s="80"/>
      <c r="BJ403" s="80"/>
      <c r="BK403" s="80"/>
      <c r="BL403" s="80"/>
      <c r="BM403" s="80"/>
      <c r="BN403" s="80"/>
      <c r="BO403" s="80"/>
      <c r="BP403" s="80"/>
      <c r="BQ403" s="80"/>
      <c r="BR403" s="80"/>
      <c r="BS403" s="80"/>
      <c r="BT403" s="80"/>
      <c r="BU403" s="80"/>
      <c r="BV403" s="80"/>
      <c r="BW403" s="80"/>
      <c r="BX403" s="80"/>
      <c r="BY403" s="80"/>
      <c r="BZ403" s="80"/>
      <c r="CA403" s="80"/>
      <c r="CB403" s="80"/>
      <c r="CC403" s="80"/>
      <c r="CD403" s="80"/>
      <c r="CE403" s="80"/>
      <c r="CF403" s="80"/>
      <c r="CG403" s="80"/>
      <c r="CH403" s="80"/>
      <c r="CI403" s="80"/>
      <c r="CJ403" s="80"/>
      <c r="CK403" s="2"/>
    </row>
    <row r="404" ht="12.75" customHeight="1">
      <c r="A404" s="85">
        <f>IFERROR(__xludf.DUMMYFUNCTION("""COMPUTED_VALUE"""),401.0)</f>
        <v>401</v>
      </c>
      <c r="B404" s="85"/>
      <c r="C404" s="85"/>
      <c r="D404" s="86">
        <f>IFERROR(__xludf.DUMMYFUNCTION("""COMPUTED_VALUE"""),45671.0)</f>
        <v>45671</v>
      </c>
      <c r="E404" s="88"/>
      <c r="F404" s="85"/>
      <c r="G404" s="86">
        <f>IFERROR(__xludf.DUMMYFUNCTION("""COMPUTED_VALUE"""),45681.0)</f>
        <v>45681</v>
      </c>
      <c r="H404" s="85"/>
      <c r="I404" s="85"/>
      <c r="J404" s="85"/>
      <c r="K404" s="85"/>
      <c r="L404" s="85">
        <f>IFERROR(__xludf.DUMMYFUNCTION("""COMPUTED_VALUE"""),10.0)</f>
        <v>10</v>
      </c>
      <c r="M404" s="85" t="str">
        <f>IFERROR(__xludf.DUMMYFUNCTION("""COMPUTED_VALUE"""),"ü")</f>
        <v>ü</v>
      </c>
      <c r="N404" s="85"/>
      <c r="O404" s="85"/>
      <c r="P404" s="85" t="str">
        <f>IFERROR(__xludf.DUMMYFUNCTION("""COMPUTED_VALUE"""),"MUCSPA63082PSIND")</f>
        <v>MUCSPA63082PSIND</v>
      </c>
      <c r="Q404" s="85" t="str">
        <f>IFERROR(__xludf.DUMMYFUNCTION("""COMPUTED_VALUE"""),"MUC Lancar Barokah")</f>
        <v>MUC Lancar Barokah</v>
      </c>
      <c r="R404" s="85" t="str">
        <f>IFERROR(__xludf.DUMMYFUNCTION("""COMPUTED_VALUE"""),"MUC Lancar Barokah")</f>
        <v>MUC Lancar Barokah</v>
      </c>
      <c r="S404" s="85" t="str">
        <f>IFERROR(__xludf.DUMMYFUNCTION("""COMPUTED_VALUE"""),"TRIA MARDIANA")</f>
        <v>TRIA MARDIANA</v>
      </c>
      <c r="T404" s="85" t="str">
        <f>IFERROR(__xludf.DUMMYFUNCTION("""COMPUTED_VALUE"""),"JL. LINGKAR SELATAN RT.006 RW.008 KEL. TEGALKAMULYAN KEC.CILACAP SELATAN KAB.CILACAP JAWA TENGAH")</f>
        <v>JL. LINGKAR SELATAN RT.006 RW.008 KEL. TEGALKAMULYAN KEC.CILACAP SELATAN KAB.CILACAP JAWA TENGAH</v>
      </c>
      <c r="U404" s="85" t="str">
        <f>IFERROR(__xludf.DUMMYFUNCTION("""COMPUTED_VALUE"""),"JL. LINGKAR SELATAN RT.006 RW.008 ")</f>
        <v>JL. LINGKAR SELATAN RT.006 RW.008 </v>
      </c>
      <c r="V404" s="85"/>
      <c r="W404" s="85" t="str">
        <f>IFERROR(__xludf.DUMMYFUNCTION("""COMPUTED_VALUE"""),"TEGALKAMULYAN")</f>
        <v>TEGALKAMULYAN</v>
      </c>
      <c r="X404" s="85" t="str">
        <f>IFERROR(__xludf.DUMMYFUNCTION("""COMPUTED_VALUE"""),"CILACAP SELATAN")</f>
        <v>CILACAP SELATAN</v>
      </c>
      <c r="Y404" s="85" t="str">
        <f>IFERROR(__xludf.DUMMYFUNCTION("""COMPUTED_VALUE"""),"KAB. CILACAP")</f>
        <v>KAB. CILACAP</v>
      </c>
      <c r="Z404" s="85" t="str">
        <f>IFERROR(__xludf.DUMMYFUNCTION("""COMPUTED_VALUE"""),"JAWA TENGAH")</f>
        <v>JAWA TENGAH</v>
      </c>
      <c r="AA404" s="85" t="str">
        <f>IFERROR(__xludf.DUMMYFUNCTION("""COMPUTED_VALUE"""),"53215")</f>
        <v>53215</v>
      </c>
      <c r="AB404" s="85" t="str">
        <f>IFERROR(__xludf.DUMMYFUNCTION("""COMPUTED_VALUE"""),"3301215203850005")</f>
        <v>3301215203850005</v>
      </c>
      <c r="AC404" s="85" t="str">
        <f>IFERROR(__xludf.DUMMYFUNCTION("""COMPUTED_VALUE"""),"10.881.039.1-522.000")</f>
        <v>10.881.039.1-522.000</v>
      </c>
      <c r="AD404" s="85" t="str">
        <f>IFERROR(__xludf.DUMMYFUNCTION("""COMPUTED_VALUE"""),"CUM - PS - NVWT")</f>
        <v>CUM - PS - NVWT</v>
      </c>
      <c r="AE404" s="85" t="str">
        <f>IFERROR(__xludf.DUMMYFUNCTION("""COMPUTED_VALUE"""),"SUB NOVY POS")</f>
        <v>SUB NOVY POS</v>
      </c>
      <c r="AF404" s="85" t="str">
        <f>IFERROR(__xludf.DUMMYFUNCTION("""COMPUTED_VALUE"""),"082322888412")</f>
        <v>082322888412</v>
      </c>
      <c r="AG404" s="85"/>
      <c r="AH404" s="85" t="str">
        <f>IFERROR(__xludf.DUMMYFUNCTION("""COMPUTED_VALUE"""),"triamard85@gmail.com")</f>
        <v>triamard85@gmail.com</v>
      </c>
      <c r="AI404" s="85" t="str">
        <f>IFERROR(__xludf.DUMMYFUNCTION("""COMPUTED_VALUE"""),"53215S1")</f>
        <v>53215S1</v>
      </c>
      <c r="AJ404" s="85" t="str">
        <f>IFERROR(__xludf.DUMMYFUNCTION("""COMPUTED_VALUE"""),"6792143c4b7317055705e100")</f>
        <v>6792143c4b7317055705e100</v>
      </c>
      <c r="AK404" s="85" t="str">
        <f>IFERROR(__xludf.DUMMYFUNCTION("""COMPUTED_VALUE"""),"dm53215s1")</f>
        <v>dm53215s1</v>
      </c>
      <c r="AL404" s="85" t="str">
        <f>IFERROR(__xludf.DUMMYFUNCTION("""COMPUTED_VALUE"""),"#53215Pos")</f>
        <v>#53215Pos</v>
      </c>
      <c r="AM404" s="85" t="str">
        <f>IFERROR(__xludf.DUMMYFUNCTION("""COMPUTED_VALUE"""),"KANTOR REGIONAL IV SEMARANG 50004")</f>
        <v>KANTOR REGIONAL IV SEMARANG 50004</v>
      </c>
      <c r="AN404" s="85" t="str">
        <f>IFERROR(__xludf.DUMMYFUNCTION("""COMPUTED_VALUE"""),"KC CILACAP ")</f>
        <v>KC CILACAP </v>
      </c>
      <c r="AO404" s="85" t="str">
        <f>IFERROR(__xludf.DUMMYFUNCTION("""COMPUTED_VALUE"""),"1401250045526")</f>
        <v>1401250045526</v>
      </c>
      <c r="AP404" s="85" t="str">
        <f>IFERROR(__xludf.DUMMYFUNCTION("""COMPUTED_VALUE"""),"14012500455260001")</f>
        <v>14012500455260001</v>
      </c>
      <c r="AQ404" s="93"/>
      <c r="AR404" s="85"/>
      <c r="AS404" s="85"/>
      <c r="AT404" s="85" t="str">
        <f>IFERROR(__xludf.DUMMYFUNCTION("""COMPUTED_VALUE"""),"-7.716000 ")</f>
        <v>-7.716000 </v>
      </c>
      <c r="AU404" s="85" t="str">
        <f>IFERROR(__xludf.DUMMYFUNCTION("""COMPUTED_VALUE"""),"109.029023")</f>
        <v>109.029023</v>
      </c>
      <c r="AV404" s="85"/>
      <c r="AW404" s="85"/>
      <c r="AX404" s="85" t="str">
        <f>IFERROR(__xludf.DUMMYFUNCTION("""COMPUTED_VALUE"""),"ü")</f>
        <v>ü</v>
      </c>
      <c r="AY404" s="85"/>
      <c r="AZ404" s="85"/>
      <c r="BA404" s="85"/>
      <c r="BB404" s="85"/>
      <c r="BC404" s="85"/>
      <c r="BD404" s="85"/>
      <c r="BE404" s="85"/>
      <c r="BF404" s="85"/>
      <c r="BG404" s="85"/>
      <c r="BH404" s="85"/>
      <c r="BI404" s="85"/>
      <c r="BJ404" s="85"/>
      <c r="BK404" s="85"/>
      <c r="BL404" s="85"/>
      <c r="BM404" s="85"/>
      <c r="BN404" s="85"/>
      <c r="BO404" s="85"/>
      <c r="BP404" s="85"/>
      <c r="BQ404" s="85"/>
      <c r="BR404" s="85"/>
      <c r="BS404" s="85"/>
      <c r="BT404" s="85"/>
      <c r="BU404" s="85"/>
      <c r="BV404" s="85"/>
      <c r="BW404" s="85"/>
      <c r="BX404" s="85"/>
      <c r="BY404" s="85"/>
      <c r="BZ404" s="85"/>
      <c r="CA404" s="85"/>
      <c r="CB404" s="85"/>
      <c r="CC404" s="85"/>
      <c r="CD404" s="85"/>
      <c r="CE404" s="85"/>
      <c r="CF404" s="85"/>
      <c r="CG404" s="85"/>
      <c r="CH404" s="85"/>
      <c r="CI404" s="85"/>
      <c r="CJ404" s="85"/>
      <c r="CK404" s="2"/>
    </row>
    <row r="405" ht="12.75" customHeight="1">
      <c r="A405" s="80">
        <f>IFERROR(__xludf.DUMMYFUNCTION("""COMPUTED_VALUE"""),402.0)</f>
        <v>402</v>
      </c>
      <c r="B405" s="80"/>
      <c r="C405" s="80"/>
      <c r="D405" s="81">
        <f>IFERROR(__xludf.DUMMYFUNCTION("""COMPUTED_VALUE"""),45672.0)</f>
        <v>45672</v>
      </c>
      <c r="E405" s="82"/>
      <c r="F405" s="80"/>
      <c r="G405" s="81">
        <f>IFERROR(__xludf.DUMMYFUNCTION("""COMPUTED_VALUE"""),45677.0)</f>
        <v>45677</v>
      </c>
      <c r="H405" s="80"/>
      <c r="I405" s="80"/>
      <c r="J405" s="80"/>
      <c r="K405" s="80"/>
      <c r="L405" s="80">
        <f>IFERROR(__xludf.DUMMYFUNCTION("""COMPUTED_VALUE"""),5.0)</f>
        <v>5</v>
      </c>
      <c r="M405" s="80" t="str">
        <f>IFERROR(__xludf.DUMMYFUNCTION("""COMPUTED_VALUE"""),"ü")</f>
        <v>ü</v>
      </c>
      <c r="N405" s="80"/>
      <c r="O405" s="80"/>
      <c r="P405" s="80" t="str">
        <f>IFERROR(__xludf.DUMMYFUNCTION("""COMPUTED_VALUE"""),"53BSPA09172JBABD")</f>
        <v>53BSPA09172JBABD</v>
      </c>
      <c r="Q405" s="80" t="str">
        <f>IFERROR(__xludf.DUMMYFUNCTION("""COMPUTED_VALUE"""),"MUC JATI SMART TRAVEL")</f>
        <v>MUC JATI SMART TRAVEL</v>
      </c>
      <c r="R405" s="80" t="str">
        <f>IFERROR(__xludf.DUMMYFUNCTION("""COMPUTED_VALUE"""),"MUC JATI SMART TRAVEL")</f>
        <v>MUC JATI SMART TRAVEL</v>
      </c>
      <c r="S405" s="80" t="str">
        <f>IFERROR(__xludf.DUMMYFUNCTION("""COMPUTED_VALUE"""),"YEYET HIDAYAT")</f>
        <v>YEYET HIDAYAT</v>
      </c>
      <c r="T405" s="80" t="str">
        <f>IFERROR(__xludf.DUMMYFUNCTION("""COMPUTED_VALUE"""),"PERUM BUMI KILU PERMAI I BLOK A NO. 479 LINKUNGAN II MANADO")</f>
        <v>PERUM BUMI KILU PERMAI I BLOK A NO. 479 LINKUNGAN II MANADO</v>
      </c>
      <c r="U405" s="80" t="str">
        <f>IFERROR(__xludf.DUMMYFUNCTION("""COMPUTED_VALUE"""),"JL. BRAWIJAYA, JL. KERTAJATI-KADIPATEN")</f>
        <v>JL. BRAWIJAYA, JL. KERTAJATI-KADIPATEN</v>
      </c>
      <c r="V405" s="80"/>
      <c r="W405" s="80" t="str">
        <f>IFERROR(__xludf.DUMMYFUNCTION("""COMPUTED_VALUE"""),"KADIPATEN")</f>
        <v>KADIPATEN</v>
      </c>
      <c r="X405" s="80" t="str">
        <f>IFERROR(__xludf.DUMMYFUNCTION("""COMPUTED_VALUE"""),"KADIPATEN")</f>
        <v>KADIPATEN</v>
      </c>
      <c r="Y405" s="80" t="str">
        <f>IFERROR(__xludf.DUMMYFUNCTION("""COMPUTED_VALUE"""),"KAB. MAJALENGKA")</f>
        <v>KAB. MAJALENGKA</v>
      </c>
      <c r="Z405" s="80" t="str">
        <f>IFERROR(__xludf.DUMMYFUNCTION("""COMPUTED_VALUE"""),"JAWA BARAT")</f>
        <v>JAWA BARAT</v>
      </c>
      <c r="AA405" s="80" t="str">
        <f>IFERROR(__xludf.DUMMYFUNCTION("""COMPUTED_VALUE"""),"45452")</f>
        <v>45452</v>
      </c>
      <c r="AB405" s="80" t="str">
        <f>IFERROR(__xludf.DUMMYFUNCTION("""COMPUTED_VALUE"""),"7171080808660001")</f>
        <v>7171080808660001</v>
      </c>
      <c r="AC405" s="80" t="str">
        <f>IFERROR(__xludf.DUMMYFUNCTION("""COMPUTED_VALUE"""),"49.644.231.0-821.000")</f>
        <v>49.644.231.0-821.000</v>
      </c>
      <c r="AD405" s="80" t="str">
        <f>IFERROR(__xludf.DUMMYFUNCTION("""COMPUTED_VALUE"""),"CUM - ABD")</f>
        <v>CUM - ABD</v>
      </c>
      <c r="AE405" s="80" t="str">
        <f>IFERROR(__xludf.DUMMYFUNCTION("""COMPUTED_VALUE"""),"SUB ABDUL QODIR")</f>
        <v>SUB ABDUL QODIR</v>
      </c>
      <c r="AF405" s="80" t="str">
        <f>IFERROR(__xludf.DUMMYFUNCTION("""COMPUTED_VALUE"""),"081354853606")</f>
        <v>081354853606</v>
      </c>
      <c r="AG405" s="80"/>
      <c r="AH405" s="80" t="str">
        <f>IFERROR(__xludf.DUMMYFUNCTION("""COMPUTED_VALUE"""),"jetlhi866@gmail.com")</f>
        <v>jetlhi866@gmail.com</v>
      </c>
      <c r="AI405" s="80" t="str">
        <f>IFERROR(__xludf.DUMMYFUNCTION("""COMPUTED_VALUE"""),"45452S1")</f>
        <v>45452S1</v>
      </c>
      <c r="AJ405" s="80" t="str">
        <f>IFERROR(__xludf.DUMMYFUNCTION("""COMPUTED_VALUE"""),"678db9807697122a14064ae3")</f>
        <v>678db9807697122a14064ae3</v>
      </c>
      <c r="AK405" s="80" t="str">
        <f>IFERROR(__xludf.DUMMYFUNCTION("""COMPUTED_VALUE"""),"dm45452s1")</f>
        <v>dm45452s1</v>
      </c>
      <c r="AL405" s="80" t="str">
        <f>IFERROR(__xludf.DUMMYFUNCTION("""COMPUTED_VALUE"""),"#45452Pos")</f>
        <v>#45452Pos</v>
      </c>
      <c r="AM405" s="80" t="str">
        <f>IFERROR(__xludf.DUMMYFUNCTION("""COMPUTED_VALUE"""),"KANTOR REGIONAL III BANDUNG 40004")</f>
        <v>KANTOR REGIONAL III BANDUNG 40004</v>
      </c>
      <c r="AN405" s="80" t="str">
        <f>IFERROR(__xludf.DUMMYFUNCTION("""COMPUTED_VALUE"""),"KC MAJALENGKA")</f>
        <v>KC MAJALENGKA</v>
      </c>
      <c r="AO405" s="80" t="str">
        <f>IFERROR(__xludf.DUMMYFUNCTION("""COMPUTED_VALUE"""),"1501250052874")</f>
        <v>1501250052874</v>
      </c>
      <c r="AP405" s="80" t="str">
        <f>IFERROR(__xludf.DUMMYFUNCTION("""COMPUTED_VALUE"""),"15012500528740001")</f>
        <v>15012500528740001</v>
      </c>
      <c r="AQ405" s="83"/>
      <c r="AR405" s="80"/>
      <c r="AS405" s="80"/>
      <c r="AT405" s="80" t="str">
        <f>IFERROR(__xludf.DUMMYFUNCTION("""COMPUTED_VALUE"""),"-6.7614888")</f>
        <v>-6.7614888</v>
      </c>
      <c r="AU405" s="80" t="str">
        <f>IFERROR(__xludf.DUMMYFUNCTION("""COMPUTED_VALUE"""),"108.1665578")</f>
        <v>108.1665578</v>
      </c>
      <c r="AV405" s="80"/>
      <c r="AW405" s="80"/>
      <c r="AX405" s="80" t="str">
        <f>IFERROR(__xludf.DUMMYFUNCTION("""COMPUTED_VALUE"""),"ü")</f>
        <v>ü</v>
      </c>
      <c r="AY405" s="80"/>
      <c r="AZ405" s="80"/>
      <c r="BA405" s="80"/>
      <c r="BB405" s="80"/>
      <c r="BC405" s="80"/>
      <c r="BD405" s="80"/>
      <c r="BE405" s="80"/>
      <c r="BF405" s="80"/>
      <c r="BG405" s="80"/>
      <c r="BH405" s="80"/>
      <c r="BI405" s="80"/>
      <c r="BJ405" s="80"/>
      <c r="BK405" s="80"/>
      <c r="BL405" s="80"/>
      <c r="BM405" s="80"/>
      <c r="BN405" s="80"/>
      <c r="BO405" s="80"/>
      <c r="BP405" s="80"/>
      <c r="BQ405" s="80"/>
      <c r="BR405" s="80"/>
      <c r="BS405" s="80"/>
      <c r="BT405" s="80"/>
      <c r="BU405" s="80"/>
      <c r="BV405" s="80"/>
      <c r="BW405" s="80"/>
      <c r="BX405" s="80"/>
      <c r="BY405" s="80"/>
      <c r="BZ405" s="80"/>
      <c r="CA405" s="80"/>
      <c r="CB405" s="80"/>
      <c r="CC405" s="80"/>
      <c r="CD405" s="80"/>
      <c r="CE405" s="80"/>
      <c r="CF405" s="80"/>
      <c r="CG405" s="80"/>
      <c r="CH405" s="80"/>
      <c r="CI405" s="80"/>
      <c r="CJ405" s="80"/>
      <c r="CK405" s="2"/>
    </row>
    <row r="406" ht="12.75" customHeight="1">
      <c r="A406" s="85">
        <f>IFERROR(__xludf.DUMMYFUNCTION("""COMPUTED_VALUE"""),403.0)</f>
        <v>403</v>
      </c>
      <c r="B406" s="85"/>
      <c r="C406" s="85"/>
      <c r="D406" s="86">
        <f>IFERROR(__xludf.DUMMYFUNCTION("""COMPUTED_VALUE"""),45678.0)</f>
        <v>45678</v>
      </c>
      <c r="E406" s="88"/>
      <c r="F406" s="85"/>
      <c r="G406" s="86">
        <f>IFERROR(__xludf.DUMMYFUNCTION("""COMPUTED_VALUE"""),45691.0)</f>
        <v>45691</v>
      </c>
      <c r="H406" s="85"/>
      <c r="I406" s="85"/>
      <c r="J406" s="85"/>
      <c r="K406" s="85"/>
      <c r="L406" s="85">
        <f>IFERROR(__xludf.DUMMYFUNCTION("""COMPUTED_VALUE"""),13.0)</f>
        <v>13</v>
      </c>
      <c r="M406" s="85" t="str">
        <f>IFERROR(__xludf.DUMMYFUNCTION("""COMPUTED_VALUE"""),"ü")</f>
        <v>ü</v>
      </c>
      <c r="N406" s="85"/>
      <c r="O406" s="85"/>
      <c r="P406" s="85" t="str">
        <f>IFERROR(__xludf.DUMMYFUNCTION("""COMPUTED_VALUE"""),"53BSPA09344JBEEN")</f>
        <v>53BSPA09344JBEEN</v>
      </c>
      <c r="Q406" s="85" t="str">
        <f>IFERROR(__xludf.DUMMYFUNCTION("""COMPUTED_VALUE"""),"MUC Rays Shop")</f>
        <v>MUC Rays Shop</v>
      </c>
      <c r="R406" s="85" t="str">
        <f>IFERROR(__xludf.DUMMYFUNCTION("""COMPUTED_VALUE"""),"MUC Rays Shop")</f>
        <v>MUC Rays Shop</v>
      </c>
      <c r="S406" s="85" t="str">
        <f>IFERROR(__xludf.DUMMYFUNCTION("""COMPUTED_VALUE"""),"SISWANTI DIPA")</f>
        <v>SISWANTI DIPA</v>
      </c>
      <c r="T406" s="85" t="str">
        <f>IFERROR(__xludf.DUMMYFUNCTION("""COMPUTED_VALUE"""),"JL.SYARFA NO.83 J RT.007 RW.001 Kel. Ciganjur Kec. Jagakarja Jakarta Selatan")</f>
        <v>JL.SYARFA NO.83 J RT.007 RW.001 Kel. Ciganjur Kec. Jagakarja Jakarta Selatan</v>
      </c>
      <c r="U406" s="85" t="str">
        <f>IFERROR(__xludf.DUMMYFUNCTION("""COMPUTED_VALUE"""),"Jl Palakali No 19 Rt 4/4")</f>
        <v>Jl Palakali No 19 Rt 4/4</v>
      </c>
      <c r="V406" s="85"/>
      <c r="W406" s="85" t="str">
        <f>IFERROR(__xludf.DUMMYFUNCTION("""COMPUTED_VALUE"""),"Tanah Baru")</f>
        <v>Tanah Baru</v>
      </c>
      <c r="X406" s="85" t="str">
        <f>IFERROR(__xludf.DUMMYFUNCTION("""COMPUTED_VALUE"""),"Beji")</f>
        <v>Beji</v>
      </c>
      <c r="Y406" s="85" t="str">
        <f>IFERROR(__xludf.DUMMYFUNCTION("""COMPUTED_VALUE"""),"Kota Depok")</f>
        <v>Kota Depok</v>
      </c>
      <c r="Z406" s="85" t="str">
        <f>IFERROR(__xludf.DUMMYFUNCTION("""COMPUTED_VALUE"""),"Jawa Barat")</f>
        <v>Jawa Barat</v>
      </c>
      <c r="AA406" s="85" t="str">
        <f>IFERROR(__xludf.DUMMYFUNCTION("""COMPUTED_VALUE"""),"16426")</f>
        <v>16426</v>
      </c>
      <c r="AB406" s="85" t="str">
        <f>IFERROR(__xludf.DUMMYFUNCTION("""COMPUTED_VALUE"""),"3174095811750003")</f>
        <v>3174095811750003</v>
      </c>
      <c r="AC406" s="85" t="str">
        <f>IFERROR(__xludf.DUMMYFUNCTION("""COMPUTED_VALUE"""),"81.406.045.5-017.000")</f>
        <v>81.406.045.5-017.000</v>
      </c>
      <c r="AD406" s="85" t="str">
        <f>IFERROR(__xludf.DUMMYFUNCTION("""COMPUTED_VALUE"""),"CUM - EEN")</f>
        <v>CUM - EEN</v>
      </c>
      <c r="AE406" s="85" t="str">
        <f>IFERROR(__xludf.DUMMYFUNCTION("""COMPUTED_VALUE"""),"SUB EEN")</f>
        <v>SUB EEN</v>
      </c>
      <c r="AF406" s="85" t="str">
        <f>IFERROR(__xludf.DUMMYFUNCTION("""COMPUTED_VALUE"""),"081389172525")</f>
        <v>081389172525</v>
      </c>
      <c r="AG406" s="85"/>
      <c r="AH406" s="85" t="str">
        <f>IFERROR(__xludf.DUMMYFUNCTION("""COMPUTED_VALUE"""),"dhien070805@gmail.com")</f>
        <v>dhien070805@gmail.com</v>
      </c>
      <c r="AI406" s="85" t="str">
        <f>IFERROR(__xludf.DUMMYFUNCTION("""COMPUTED_VALUE"""),"16426S5")</f>
        <v>16426S5</v>
      </c>
      <c r="AJ406" s="85" t="str">
        <f>IFERROR(__xludf.DUMMYFUNCTION("""COMPUTED_VALUE"""),"679c9e2f9b2d5fac7c0c8947")</f>
        <v>679c9e2f9b2d5fac7c0c8947</v>
      </c>
      <c r="AK406" s="85" t="str">
        <f>IFERROR(__xludf.DUMMYFUNCTION("""COMPUTED_VALUE"""),"dm16426s5")</f>
        <v>dm16426s5</v>
      </c>
      <c r="AL406" s="85" t="str">
        <f>IFERROR(__xludf.DUMMYFUNCTION("""COMPUTED_VALUE"""),"#16426Pos")</f>
        <v>#16426Pos</v>
      </c>
      <c r="AM406" s="85" t="str">
        <f>IFERROR(__xludf.DUMMYFUNCTION("""COMPUTED_VALUE"""),"KANTOR REGIONAL II JAKARTA 10004")</f>
        <v>KANTOR REGIONAL II JAKARTA 10004</v>
      </c>
      <c r="AN406" s="85" t="str">
        <f>IFERROR(__xludf.DUMMYFUNCTION("""COMPUTED_VALUE"""),"KC DEPOK 16400")</f>
        <v>KC DEPOK 16400</v>
      </c>
      <c r="AO406" s="85" t="str">
        <f>IFERROR(__xludf.DUMMYFUNCTION("""COMPUTED_VALUE"""),"2001250089759")</f>
        <v>2001250089759</v>
      </c>
      <c r="AP406" s="85" t="str">
        <f>IFERROR(__xludf.DUMMYFUNCTION("""COMPUTED_VALUE"""),"20012500897590001")</f>
        <v>20012500897590001</v>
      </c>
      <c r="AQ406" s="93"/>
      <c r="AR406" s="85"/>
      <c r="AS406" s="85"/>
      <c r="AT406" s="85" t="str">
        <f>IFERROR(__xludf.DUMMYFUNCTION("""COMPUTED_VALUE"""),"-6.374656 ")</f>
        <v>-6.374656 </v>
      </c>
      <c r="AU406" s="85" t="str">
        <f>IFERROR(__xludf.DUMMYFUNCTION("""COMPUTED_VALUE"""),"106.805275")</f>
        <v>106.805275</v>
      </c>
      <c r="AV406" s="85"/>
      <c r="AW406" s="85"/>
      <c r="AX406" s="85" t="str">
        <f>IFERROR(__xludf.DUMMYFUNCTION("""COMPUTED_VALUE"""),"ü")</f>
        <v>ü</v>
      </c>
      <c r="AY406" s="85"/>
      <c r="AZ406" s="85"/>
      <c r="BA406" s="85"/>
      <c r="BB406" s="85"/>
      <c r="BC406" s="85"/>
      <c r="BD406" s="85"/>
      <c r="BE406" s="85"/>
      <c r="BF406" s="85"/>
      <c r="BG406" s="85"/>
      <c r="BH406" s="85"/>
      <c r="BI406" s="85"/>
      <c r="BJ406" s="85"/>
      <c r="BK406" s="85"/>
      <c r="BL406" s="85"/>
      <c r="BM406" s="85"/>
      <c r="BN406" s="85"/>
      <c r="BO406" s="85"/>
      <c r="BP406" s="85"/>
      <c r="BQ406" s="85"/>
      <c r="BR406" s="85"/>
      <c r="BS406" s="85"/>
      <c r="BT406" s="85"/>
      <c r="BU406" s="85"/>
      <c r="BV406" s="85"/>
      <c r="BW406" s="85"/>
      <c r="BX406" s="85"/>
      <c r="BY406" s="85"/>
      <c r="BZ406" s="85"/>
      <c r="CA406" s="85"/>
      <c r="CB406" s="85"/>
      <c r="CC406" s="85"/>
      <c r="CD406" s="85"/>
      <c r="CE406" s="85"/>
      <c r="CF406" s="85"/>
      <c r="CG406" s="85"/>
      <c r="CH406" s="85"/>
      <c r="CI406" s="85"/>
      <c r="CJ406" s="85"/>
      <c r="CK406" s="2"/>
    </row>
    <row r="407" ht="12.75" customHeight="1">
      <c r="A407" s="80">
        <f>IFERROR(__xludf.DUMMYFUNCTION("""COMPUTED_VALUE"""),404.0)</f>
        <v>404</v>
      </c>
      <c r="B407" s="80"/>
      <c r="C407" s="80"/>
      <c r="D407" s="81">
        <f>IFERROR(__xludf.DUMMYFUNCTION("""COMPUTED_VALUE"""),45679.0)</f>
        <v>45679</v>
      </c>
      <c r="E407" s="82"/>
      <c r="F407" s="80"/>
      <c r="G407" s="81">
        <f>IFERROR(__xludf.DUMMYFUNCTION("""COMPUTED_VALUE"""),45681.0)</f>
        <v>45681</v>
      </c>
      <c r="H407" s="80"/>
      <c r="I407" s="80"/>
      <c r="J407" s="80"/>
      <c r="K407" s="80"/>
      <c r="L407" s="80">
        <f>IFERROR(__xludf.DUMMYFUNCTION("""COMPUTED_VALUE"""),2.0)</f>
        <v>2</v>
      </c>
      <c r="M407" s="80" t="str">
        <f>IFERROR(__xludf.DUMMYFUNCTION("""COMPUTED_VALUE"""),"ü")</f>
        <v>ü</v>
      </c>
      <c r="N407" s="80"/>
      <c r="O407" s="80"/>
      <c r="P407" s="80" t="str">
        <f>IFERROR(__xludf.DUMMYFUNCTION("""COMPUTED_VALUE"""),"53BSPA09348JBEEN")</f>
        <v>53BSPA09348JBEEN</v>
      </c>
      <c r="Q407" s="80" t="str">
        <f>IFERROR(__xludf.DUMMYFUNCTION("""COMPUTED_VALUE"""),"MUC KEMBANGAN UTARA")</f>
        <v>MUC KEMBANGAN UTARA</v>
      </c>
      <c r="R407" s="80" t="str">
        <f>IFERROR(__xludf.DUMMYFUNCTION("""COMPUTED_VALUE"""),"MUC KEMBANGAN UTARA")</f>
        <v>MUC KEMBANGAN UTARA</v>
      </c>
      <c r="S407" s="80" t="str">
        <f>IFERROR(__xludf.DUMMYFUNCTION("""COMPUTED_VALUE"""),"MHD. BASTANTA PERANGIN ANGIN")</f>
        <v>MHD. BASTANTA PERANGIN ANGIN</v>
      </c>
      <c r="T407" s="80" t="str">
        <f>IFERROR(__xludf.DUMMYFUNCTION("""COMPUTED_VALUE"""),"KP. NAGRAK RT.004 RW.005 KEL. PERIUK KEC. PERIUK KOTA TANGERANG, BANTEN")</f>
        <v>KP. NAGRAK RT.004 RW.005 KEL. PERIUK KEC. PERIUK KOTA TANGERANG, BANTEN</v>
      </c>
      <c r="U407" s="80" t="str">
        <f>IFERROR(__xludf.DUMMYFUNCTION("""COMPUTED_VALUE"""),"JL. KEMBANGAN UTARA NO 19 ")</f>
        <v>JL. KEMBANGAN UTARA NO 19 </v>
      </c>
      <c r="V407" s="80"/>
      <c r="W407" s="80" t="str">
        <f>IFERROR(__xludf.DUMMYFUNCTION("""COMPUTED_VALUE"""),"KEMBANGAN UTARA")</f>
        <v>KEMBANGAN UTARA</v>
      </c>
      <c r="X407" s="80" t="str">
        <f>IFERROR(__xludf.DUMMYFUNCTION("""COMPUTED_VALUE"""),"KEMBANGAN")</f>
        <v>KEMBANGAN</v>
      </c>
      <c r="Y407" s="80" t="str">
        <f>IFERROR(__xludf.DUMMYFUNCTION("""COMPUTED_VALUE"""),"JAKARTA BARAT")</f>
        <v>JAKARTA BARAT</v>
      </c>
      <c r="Z407" s="80" t="str">
        <f>IFERROR(__xludf.DUMMYFUNCTION("""COMPUTED_VALUE"""),"DKI JAKARTA")</f>
        <v>DKI JAKARTA</v>
      </c>
      <c r="AA407" s="80" t="str">
        <f>IFERROR(__xludf.DUMMYFUNCTION("""COMPUTED_VALUE"""),"11610")</f>
        <v>11610</v>
      </c>
      <c r="AB407" s="80" t="str">
        <f>IFERROR(__xludf.DUMMYFUNCTION("""COMPUTED_VALUE"""),"1207061904040001")</f>
        <v>1207061904040001</v>
      </c>
      <c r="AC407" s="80" t="str">
        <f>IFERROR(__xludf.DUMMYFUNCTION("""COMPUTED_VALUE"""),"27.043.358.4-402.000")</f>
        <v>27.043.358.4-402.000</v>
      </c>
      <c r="AD407" s="80" t="str">
        <f>IFERROR(__xludf.DUMMYFUNCTION("""COMPUTED_VALUE"""),"CUM - EEN")</f>
        <v>CUM - EEN</v>
      </c>
      <c r="AE407" s="80" t="str">
        <f>IFERROR(__xludf.DUMMYFUNCTION("""COMPUTED_VALUE"""),"SUB EEN")</f>
        <v>SUB EEN</v>
      </c>
      <c r="AF407" s="80" t="str">
        <f>IFERROR(__xludf.DUMMYFUNCTION("""COMPUTED_VALUE"""),"089521410277")</f>
        <v>089521410277</v>
      </c>
      <c r="AG407" s="80"/>
      <c r="AH407" s="80" t="str">
        <f>IFERROR(__xludf.DUMMYFUNCTION("""COMPUTED_VALUE"""),"dropinmultilogistik002@gmail.com")</f>
        <v>dropinmultilogistik002@gmail.com</v>
      </c>
      <c r="AI407" s="80" t="str">
        <f>IFERROR(__xludf.DUMMYFUNCTION("""COMPUTED_VALUE"""),"11610S5")</f>
        <v>11610S5</v>
      </c>
      <c r="AJ407" s="80" t="str">
        <f>IFERROR(__xludf.DUMMYFUNCTION("""COMPUTED_VALUE"""),"6791e905b68339af2d0a5ebe")</f>
        <v>6791e905b68339af2d0a5ebe</v>
      </c>
      <c r="AK407" s="80" t="str">
        <f>IFERROR(__xludf.DUMMYFUNCTION("""COMPUTED_VALUE"""),"dm11610s5")</f>
        <v>dm11610s5</v>
      </c>
      <c r="AL407" s="80" t="str">
        <f>IFERROR(__xludf.DUMMYFUNCTION("""COMPUTED_VALUE"""),"#11610Pos")</f>
        <v>#11610Pos</v>
      </c>
      <c r="AM407" s="80" t="str">
        <f>IFERROR(__xludf.DUMMYFUNCTION("""COMPUTED_VALUE"""),"KANTOR REGIONAL II JAKARTA 10004")</f>
        <v>KANTOR REGIONAL II JAKARTA 10004</v>
      </c>
      <c r="AN407" s="80" t="str">
        <f>IFERROR(__xludf.DUMMYFUNCTION("""COMPUTED_VALUE"""),"KCU JAKARTAOCEANIA 11000")</f>
        <v>KCU JAKARTAOCEANIA 11000</v>
      </c>
      <c r="AO407" s="80" t="str">
        <f>IFERROR(__xludf.DUMMYFUNCTION("""COMPUTED_VALUE"""),"2201250034567")</f>
        <v>2201250034567</v>
      </c>
      <c r="AP407" s="80" t="str">
        <f>IFERROR(__xludf.DUMMYFUNCTION("""COMPUTED_VALUE"""),"22012500345670001")</f>
        <v>22012500345670001</v>
      </c>
      <c r="AQ407" s="83"/>
      <c r="AR407" s="80"/>
      <c r="AS407" s="80"/>
      <c r="AT407" s="80" t="str">
        <f>IFERROR(__xludf.DUMMYFUNCTION("""COMPUTED_VALUE"""),"-6.181689")</f>
        <v>-6.181689</v>
      </c>
      <c r="AU407" s="80" t="str">
        <f>IFERROR(__xludf.DUMMYFUNCTION("""COMPUTED_VALUE"""),"106.734519")</f>
        <v>106.734519</v>
      </c>
      <c r="AV407" s="80"/>
      <c r="AW407" s="80"/>
      <c r="AX407" s="80" t="str">
        <f>IFERROR(__xludf.DUMMYFUNCTION("""COMPUTED_VALUE"""),"ü")</f>
        <v>ü</v>
      </c>
      <c r="AY407" s="80"/>
      <c r="AZ407" s="80"/>
      <c r="BA407" s="80"/>
      <c r="BB407" s="80"/>
      <c r="BC407" s="80"/>
      <c r="BD407" s="80"/>
      <c r="BE407" s="80"/>
      <c r="BF407" s="80"/>
      <c r="BG407" s="80"/>
      <c r="BH407" s="80"/>
      <c r="BI407" s="80"/>
      <c r="BJ407" s="80"/>
      <c r="BK407" s="80"/>
      <c r="BL407" s="80"/>
      <c r="BM407" s="80"/>
      <c r="BN407" s="80"/>
      <c r="BO407" s="80"/>
      <c r="BP407" s="80"/>
      <c r="BQ407" s="80"/>
      <c r="BR407" s="80"/>
      <c r="BS407" s="80"/>
      <c r="BT407" s="80"/>
      <c r="BU407" s="80"/>
      <c r="BV407" s="80"/>
      <c r="BW407" s="80"/>
      <c r="BX407" s="80"/>
      <c r="BY407" s="80"/>
      <c r="BZ407" s="80"/>
      <c r="CA407" s="80"/>
      <c r="CB407" s="80"/>
      <c r="CC407" s="80"/>
      <c r="CD407" s="80"/>
      <c r="CE407" s="80"/>
      <c r="CF407" s="80"/>
      <c r="CG407" s="80"/>
      <c r="CH407" s="80"/>
      <c r="CI407" s="80"/>
      <c r="CJ407" s="80"/>
      <c r="CK407" s="2"/>
    </row>
    <row r="408" ht="12.75" customHeight="1">
      <c r="A408" s="85">
        <f>IFERROR(__xludf.DUMMYFUNCTION("""COMPUTED_VALUE"""),405.0)</f>
        <v>405</v>
      </c>
      <c r="B408" s="85"/>
      <c r="C408" s="85"/>
      <c r="D408" s="86">
        <f>IFERROR(__xludf.DUMMYFUNCTION("""COMPUTED_VALUE"""),45680.0)</f>
        <v>45680</v>
      </c>
      <c r="E408" s="88"/>
      <c r="F408" s="85"/>
      <c r="G408" s="86">
        <f>IFERROR(__xludf.DUMMYFUNCTION("""COMPUTED_VALUE"""),45688.0)</f>
        <v>45688</v>
      </c>
      <c r="H408" s="85"/>
      <c r="I408" s="85"/>
      <c r="J408" s="85"/>
      <c r="K408" s="85"/>
      <c r="L408" s="85">
        <f>IFERROR(__xludf.DUMMYFUNCTION("""COMPUTED_VALUE"""),8.0)</f>
        <v>8</v>
      </c>
      <c r="M408" s="85" t="str">
        <f>IFERROR(__xludf.DUMMYFUNCTION("""COMPUTED_VALUE"""),"ü")</f>
        <v>ü</v>
      </c>
      <c r="N408" s="85"/>
      <c r="O408" s="85"/>
      <c r="P408" s="85" t="str">
        <f>IFERROR(__xludf.DUMMYFUNCTION("""COMPUTED_VALUE"""),"MUCSPA63083PSIND")</f>
        <v>MUCSPA63083PSIND</v>
      </c>
      <c r="Q408" s="85" t="str">
        <f>IFERROR(__xludf.DUMMYFUNCTION("""COMPUTED_VALUE"""),"MUC Hijau Desa")</f>
        <v>MUC Hijau Desa</v>
      </c>
      <c r="R408" s="85" t="str">
        <f>IFERROR(__xludf.DUMMYFUNCTION("""COMPUTED_VALUE"""),"MUC Hijau Desa")</f>
        <v>MUC Hijau Desa</v>
      </c>
      <c r="S408" s="85" t="str">
        <f>IFERROR(__xludf.DUMMYFUNCTION("""COMPUTED_VALUE"""),"Farida")</f>
        <v>Farida</v>
      </c>
      <c r="T408" s="85" t="str">
        <f>IFERROR(__xludf.DUMMYFUNCTION("""COMPUTED_VALUE"""),"Cibogo Rt.006 Rw.009 Kelurahan Argasunya Kecamatan Harjamukti")</f>
        <v>Cibogo Rt.006 Rw.009 Kelurahan Argasunya Kecamatan Harjamukti</v>
      </c>
      <c r="U408" s="85" t="str">
        <f>IFERROR(__xludf.DUMMYFUNCTION("""COMPUTED_VALUE"""),"Jl. Jeunjing Karang Dawa No.Dusun, RT.006/RW.001")</f>
        <v>Jl. Jeunjing Karang Dawa No.Dusun, RT.006/RW.001</v>
      </c>
      <c r="V408" s="85"/>
      <c r="W408" s="85" t="str">
        <f>IFERROR(__xludf.DUMMYFUNCTION("""COMPUTED_VALUE"""),"Setupatok")</f>
        <v>Setupatok</v>
      </c>
      <c r="X408" s="85" t="str">
        <f>IFERROR(__xludf.DUMMYFUNCTION("""COMPUTED_VALUE"""),"Mundu")</f>
        <v>Mundu</v>
      </c>
      <c r="Y408" s="85" t="str">
        <f>IFERROR(__xludf.DUMMYFUNCTION("""COMPUTED_VALUE"""),"Cirebon")</f>
        <v>Cirebon</v>
      </c>
      <c r="Z408" s="85" t="str">
        <f>IFERROR(__xludf.DUMMYFUNCTION("""COMPUTED_VALUE"""),"Jawa Barat")</f>
        <v>Jawa Barat</v>
      </c>
      <c r="AA408" s="85" t="str">
        <f>IFERROR(__xludf.DUMMYFUNCTION("""COMPUTED_VALUE"""),"45173")</f>
        <v>45173</v>
      </c>
      <c r="AB408" s="85" t="str">
        <f>IFERROR(__xludf.DUMMYFUNCTION("""COMPUTED_VALUE"""),"3209145103740003")</f>
        <v>3209145103740003</v>
      </c>
      <c r="AC408" s="85" t="str">
        <f>IFERROR(__xludf.DUMMYFUNCTION("""COMPUTED_VALUE"""),"84.371.961.8-426.000")</f>
        <v>84.371.961.8-426.000</v>
      </c>
      <c r="AD408" s="85" t="str">
        <f>IFERROR(__xludf.DUMMYFUNCTION("""COMPUTED_VALUE"""),"CUM - PS - NUR")</f>
        <v>CUM - PS - NUR</v>
      </c>
      <c r="AE408" s="85" t="str">
        <f>IFERROR(__xludf.DUMMYFUNCTION("""COMPUTED_VALUE"""),"SUB NUR POS")</f>
        <v>SUB NUR POS</v>
      </c>
      <c r="AF408" s="85" t="str">
        <f>IFERROR(__xludf.DUMMYFUNCTION("""COMPUTED_VALUE"""),"087781011406")</f>
        <v>087781011406</v>
      </c>
      <c r="AG408" s="85"/>
      <c r="AH408" s="85" t="str">
        <f>IFERROR(__xludf.DUMMYFUNCTION("""COMPUTED_VALUE"""),"officialhijaudesa@gmail.com ")</f>
        <v>officialhijaudesa@gmail.com </v>
      </c>
      <c r="AI408" s="85" t="str">
        <f>IFERROR(__xludf.DUMMYFUNCTION("""COMPUTED_VALUE"""),"45673S4")</f>
        <v>45673S4</v>
      </c>
      <c r="AJ408" s="85" t="str">
        <f>IFERROR(__xludf.DUMMYFUNCTION("""COMPUTED_VALUE"""),"679c44be8c090db6fd0f86e7")</f>
        <v>679c44be8c090db6fd0f86e7</v>
      </c>
      <c r="AK408" s="85" t="str">
        <f>IFERROR(__xludf.DUMMYFUNCTION("""COMPUTED_VALUE"""),"dm45673s4")</f>
        <v>dm45673s4</v>
      </c>
      <c r="AL408" s="85" t="str">
        <f>IFERROR(__xludf.DUMMYFUNCTION("""COMPUTED_VALUE"""),"#45673Pos")</f>
        <v>#45673Pos</v>
      </c>
      <c r="AM408" s="85" t="str">
        <f>IFERROR(__xludf.DUMMYFUNCTION("""COMPUTED_VALUE"""),"KANTOR REGIONAL III BANDUNG 40004")</f>
        <v>KANTOR REGIONAL III BANDUNG 40004</v>
      </c>
      <c r="AN408" s="85" t="str">
        <f>IFERROR(__xludf.DUMMYFUNCTION("""COMPUTED_VALUE"""),"KCU CIREBON 45100")</f>
        <v>KCU CIREBON 45100</v>
      </c>
      <c r="AO408" s="85" t="str">
        <f>IFERROR(__xludf.DUMMYFUNCTION("""COMPUTED_VALUE"""),"0810240000346")</f>
        <v>0810240000346</v>
      </c>
      <c r="AP408" s="85" t="str">
        <f>IFERROR(__xludf.DUMMYFUNCTION("""COMPUTED_VALUE"""),"08102400003460003")</f>
        <v>08102400003460003</v>
      </c>
      <c r="AQ408" s="93"/>
      <c r="AR408" s="85"/>
      <c r="AS408" s="85"/>
      <c r="AT408" s="85" t="str">
        <f>IFERROR(__xludf.DUMMYFUNCTION("""COMPUTED_VALUE"""),"-6.780927")</f>
        <v>-6.780927</v>
      </c>
      <c r="AU408" s="85" t="str">
        <f>IFERROR(__xludf.DUMMYFUNCTION("""COMPUTED_VALUE"""),"108.555330")</f>
        <v>108.555330</v>
      </c>
      <c r="AV408" s="85"/>
      <c r="AW408" s="85"/>
      <c r="AX408" s="85" t="str">
        <f>IFERROR(__xludf.DUMMYFUNCTION("""COMPUTED_VALUE"""),"ü")</f>
        <v>ü</v>
      </c>
      <c r="AY408" s="85"/>
      <c r="AZ408" s="85"/>
      <c r="BA408" s="85"/>
      <c r="BB408" s="85"/>
      <c r="BC408" s="85"/>
      <c r="BD408" s="85"/>
      <c r="BE408" s="85"/>
      <c r="BF408" s="85"/>
      <c r="BG408" s="85"/>
      <c r="BH408" s="85"/>
      <c r="BI408" s="85"/>
      <c r="BJ408" s="85"/>
      <c r="BK408" s="85"/>
      <c r="BL408" s="85"/>
      <c r="BM408" s="85"/>
      <c r="BN408" s="85"/>
      <c r="BO408" s="85"/>
      <c r="BP408" s="85"/>
      <c r="BQ408" s="85"/>
      <c r="BR408" s="85"/>
      <c r="BS408" s="85"/>
      <c r="BT408" s="85"/>
      <c r="BU408" s="85"/>
      <c r="BV408" s="85"/>
      <c r="BW408" s="85"/>
      <c r="BX408" s="85"/>
      <c r="BY408" s="85"/>
      <c r="BZ408" s="85"/>
      <c r="CA408" s="85"/>
      <c r="CB408" s="85"/>
      <c r="CC408" s="85"/>
      <c r="CD408" s="85"/>
      <c r="CE408" s="85"/>
      <c r="CF408" s="85"/>
      <c r="CG408" s="85"/>
      <c r="CH408" s="85"/>
      <c r="CI408" s="85"/>
      <c r="CJ408" s="85"/>
      <c r="CK408" s="2"/>
    </row>
    <row r="409" ht="12.75" customHeight="1">
      <c r="A409" s="80">
        <f>IFERROR(__xludf.DUMMYFUNCTION("""COMPUTED_VALUE"""),406.0)</f>
        <v>406</v>
      </c>
      <c r="B409" s="80"/>
      <c r="C409" s="80"/>
      <c r="D409" s="81">
        <f>IFERROR(__xludf.DUMMYFUNCTION("""COMPUTED_VALUE"""),45687.0)</f>
        <v>45687</v>
      </c>
      <c r="E409" s="82"/>
      <c r="F409" s="80"/>
      <c r="G409" s="81">
        <f>IFERROR(__xludf.DUMMYFUNCTION("""COMPUTED_VALUE"""),45695.0)</f>
        <v>45695</v>
      </c>
      <c r="H409" s="80"/>
      <c r="I409" s="80"/>
      <c r="J409" s="80"/>
      <c r="K409" s="80"/>
      <c r="L409" s="80">
        <f>IFERROR(__xludf.DUMMYFUNCTION("""COMPUTED_VALUE"""),8.0)</f>
        <v>8</v>
      </c>
      <c r="M409" s="80" t="str">
        <f>IFERROR(__xludf.DUMMYFUNCTION("""COMPUTED_VALUE"""),"ü")</f>
        <v>ü</v>
      </c>
      <c r="N409" s="80"/>
      <c r="O409" s="80"/>
      <c r="P409" s="80" t="str">
        <f>IFERROR(__xludf.DUMMYFUNCTION("""COMPUTED_VALUE"""),"53BSPA09352JBEEN")</f>
        <v>53BSPA09352JBEEN</v>
      </c>
      <c r="Q409" s="80" t="str">
        <f>IFERROR(__xludf.DUMMYFUNCTION("""COMPUTED_VALUE"""),"MUC Expedisi Gading Arcadia")</f>
        <v>MUC Expedisi Gading Arcadia</v>
      </c>
      <c r="R409" s="80" t="str">
        <f>IFERROR(__xludf.DUMMYFUNCTION("""COMPUTED_VALUE"""),"MUC Expedisi Gading Arcadia")</f>
        <v>MUC Expedisi Gading Arcadia</v>
      </c>
      <c r="S409" s="80" t="str">
        <f>IFERROR(__xludf.DUMMYFUNCTION("""COMPUTED_VALUE"""),"Malvin Jitu")</f>
        <v>Malvin Jitu</v>
      </c>
      <c r="T409" s="80" t="str">
        <f>IFERROR(__xludf.DUMMYFUNCTION("""COMPUTED_VALUE"""),"PERUMAHAN GADING ARCADIA BLOK B NO.80 RT.009 RW.022 KEL. PEGANGSAAN DUA KEC. KELAPA GADING")</f>
        <v>PERUMAHAN GADING ARCADIA BLOK B NO.80 RT.009 RW.022 KEL. PEGANGSAAN DUA KEC. KELAPA GADING</v>
      </c>
      <c r="U409" s="80" t="str">
        <f>IFERROR(__xludf.DUMMYFUNCTION("""COMPUTED_VALUE"""),"VILA GADING HARAPAN BLOK AG 5 NO.2A")</f>
        <v>VILA GADING HARAPAN BLOK AG 5 NO.2A</v>
      </c>
      <c r="V409" s="80"/>
      <c r="W409" s="80" t="str">
        <f>IFERROR(__xludf.DUMMYFUNCTION("""COMPUTED_VALUE"""),"Pegangsaan Dua")</f>
        <v>Pegangsaan Dua</v>
      </c>
      <c r="X409" s="80" t="str">
        <f>IFERROR(__xludf.DUMMYFUNCTION("""COMPUTED_VALUE"""),"Kelapa Gading")</f>
        <v>Kelapa Gading</v>
      </c>
      <c r="Y409" s="80" t="str">
        <f>IFERROR(__xludf.DUMMYFUNCTION("""COMPUTED_VALUE"""),"Jakarta Utara")</f>
        <v>Jakarta Utara</v>
      </c>
      <c r="Z409" s="80" t="str">
        <f>IFERROR(__xludf.DUMMYFUNCTION("""COMPUTED_VALUE"""),"DKI Jakarta")</f>
        <v>DKI Jakarta</v>
      </c>
      <c r="AA409" s="80" t="str">
        <f>IFERROR(__xludf.DUMMYFUNCTION("""COMPUTED_VALUE"""),"14250")</f>
        <v>14250</v>
      </c>
      <c r="AB409" s="80" t="str">
        <f>IFERROR(__xludf.DUMMYFUNCTION("""COMPUTED_VALUE"""),"3175061411870002")</f>
        <v>3175061411870002</v>
      </c>
      <c r="AC409" s="80" t="str">
        <f>IFERROR(__xludf.DUMMYFUNCTION("""COMPUTED_VALUE"""),"09.451.237.3-005.000")</f>
        <v>09.451.237.3-005.000</v>
      </c>
      <c r="AD409" s="80" t="str">
        <f>IFERROR(__xludf.DUMMYFUNCTION("""COMPUTED_VALUE"""),"CUM - EEN")</f>
        <v>CUM - EEN</v>
      </c>
      <c r="AE409" s="80" t="str">
        <f>IFERROR(__xludf.DUMMYFUNCTION("""COMPUTED_VALUE"""),"SUB EEN")</f>
        <v>SUB EEN</v>
      </c>
      <c r="AF409" s="80" t="str">
        <f>IFERROR(__xludf.DUMMYFUNCTION("""COMPUTED_VALUE"""),"081384516454")</f>
        <v>081384516454</v>
      </c>
      <c r="AG409" s="80"/>
      <c r="AH409" s="80" t="str">
        <f>IFERROR(__xludf.DUMMYFUNCTION("""COMPUTED_VALUE"""),"jitumalvin@gmail.com")</f>
        <v>jitumalvin@gmail.com</v>
      </c>
      <c r="AI409" s="80" t="str">
        <f>IFERROR(__xludf.DUMMYFUNCTION("""COMPUTED_VALUE"""),"14250S4")</f>
        <v>14250S4</v>
      </c>
      <c r="AJ409" s="80" t="str">
        <f>IFERROR(__xludf.DUMMYFUNCTION("""COMPUTED_VALUE"""),"67a5cbea9cf774057d096a52")</f>
        <v>67a5cbea9cf774057d096a52</v>
      </c>
      <c r="AK409" s="80" t="str">
        <f>IFERROR(__xludf.DUMMYFUNCTION("""COMPUTED_VALUE"""),"dm14250s4")</f>
        <v>dm14250s4</v>
      </c>
      <c r="AL409" s="80" t="str">
        <f>IFERROR(__xludf.DUMMYFUNCTION("""COMPUTED_VALUE"""),"#14250Pos")</f>
        <v>#14250Pos</v>
      </c>
      <c r="AM409" s="80" t="str">
        <f>IFERROR(__xludf.DUMMYFUNCTION("""COMPUTED_VALUE"""),"KANTOR REGIONAL II JAKARTA 10004")</f>
        <v>KANTOR REGIONAL II JAKARTA 10004</v>
      </c>
      <c r="AN409" s="80" t="str">
        <f>IFERROR(__xludf.DUMMYFUNCTION("""COMPUTED_VALUE"""),"KCU JAKARTAPREMIER 13000")</f>
        <v>KCU JAKARTAPREMIER 13000</v>
      </c>
      <c r="AO409" s="80" t="str">
        <f>IFERROR(__xludf.DUMMYFUNCTION("""COMPUTED_VALUE"""),"1702220074158")</f>
        <v>1702220074158</v>
      </c>
      <c r="AP409" s="80" t="str">
        <f>IFERROR(__xludf.DUMMYFUNCTION("""COMPUTED_VALUE"""),"17022200741580001")</f>
        <v>17022200741580001</v>
      </c>
      <c r="AQ409" s="83"/>
      <c r="AR409" s="80"/>
      <c r="AS409" s="80"/>
      <c r="AT409" s="80"/>
      <c r="AU409" s="80"/>
      <c r="AV409" s="80"/>
      <c r="AW409" s="80"/>
      <c r="AX409" s="80" t="str">
        <f>IFERROR(__xludf.DUMMYFUNCTION("""COMPUTED_VALUE"""),"ü")</f>
        <v>ü</v>
      </c>
      <c r="AY409" s="80"/>
      <c r="AZ409" s="80"/>
      <c r="BA409" s="80"/>
      <c r="BB409" s="80"/>
      <c r="BC409" s="80"/>
      <c r="BD409" s="80"/>
      <c r="BE409" s="80"/>
      <c r="BF409" s="80"/>
      <c r="BG409" s="80"/>
      <c r="BH409" s="80"/>
      <c r="BI409" s="80"/>
      <c r="BJ409" s="80"/>
      <c r="BK409" s="80"/>
      <c r="BL409" s="80"/>
      <c r="BM409" s="80"/>
      <c r="BN409" s="80"/>
      <c r="BO409" s="80"/>
      <c r="BP409" s="80"/>
      <c r="BQ409" s="80"/>
      <c r="BR409" s="80"/>
      <c r="BS409" s="80"/>
      <c r="BT409" s="80"/>
      <c r="BU409" s="80"/>
      <c r="BV409" s="80"/>
      <c r="BW409" s="80"/>
      <c r="BX409" s="80"/>
      <c r="BY409" s="80"/>
      <c r="BZ409" s="80"/>
      <c r="CA409" s="80"/>
      <c r="CB409" s="80"/>
      <c r="CC409" s="80"/>
      <c r="CD409" s="80"/>
      <c r="CE409" s="80"/>
      <c r="CF409" s="80"/>
      <c r="CG409" s="80"/>
      <c r="CH409" s="80"/>
      <c r="CI409" s="80"/>
      <c r="CJ409" s="80"/>
      <c r="CK409" s="2"/>
    </row>
    <row r="410" ht="12.75" customHeight="1">
      <c r="A410" s="85">
        <f>IFERROR(__xludf.DUMMYFUNCTION("""COMPUTED_VALUE"""),407.0)</f>
        <v>407</v>
      </c>
      <c r="B410" s="85"/>
      <c r="C410" s="85"/>
      <c r="D410" s="86">
        <f>IFERROR(__xludf.DUMMYFUNCTION("""COMPUTED_VALUE"""),45687.0)</f>
        <v>45687</v>
      </c>
      <c r="E410" s="88"/>
      <c r="F410" s="85"/>
      <c r="G410" s="86">
        <f>IFERROR(__xludf.DUMMYFUNCTION("""COMPUTED_VALUE"""),45695.0)</f>
        <v>45695</v>
      </c>
      <c r="H410" s="85"/>
      <c r="I410" s="85"/>
      <c r="J410" s="85"/>
      <c r="K410" s="85"/>
      <c r="L410" s="85">
        <f>IFERROR(__xludf.DUMMYFUNCTION("""COMPUTED_VALUE"""),8.0)</f>
        <v>8</v>
      </c>
      <c r="M410" s="85" t="str">
        <f>IFERROR(__xludf.DUMMYFUNCTION("""COMPUTED_VALUE"""),"ü")</f>
        <v>ü</v>
      </c>
      <c r="N410" s="85"/>
      <c r="O410" s="85"/>
      <c r="P410" s="85" t="str">
        <f>IFERROR(__xludf.DUMMYFUNCTION("""COMPUTED_VALUE"""),"53BSPA09374JBEEN")</f>
        <v>53BSPA09374JBEEN</v>
      </c>
      <c r="Q410" s="85" t="str">
        <f>IFERROR(__xludf.DUMMYFUNCTION("""COMPUTED_VALUE"""),"MUC Shipping Centre")</f>
        <v>MUC Shipping Centre</v>
      </c>
      <c r="R410" s="85" t="str">
        <f>IFERROR(__xludf.DUMMYFUNCTION("""COMPUTED_VALUE"""),"MUC Shipping Centre")</f>
        <v>MUC Shipping Centre</v>
      </c>
      <c r="S410" s="85" t="str">
        <f>IFERROR(__xludf.DUMMYFUNCTION("""COMPUTED_VALUE"""),"ACHMAD FAIZAL DAHLAN")</f>
        <v>ACHMAD FAIZAL DAHLAN</v>
      </c>
      <c r="T410" s="85" t="str">
        <f>IFERROR(__xludf.DUMMYFUNCTION("""COMPUTED_VALUE"""),"PERUM TELAGA HARAPAN BLOK E. 8/9 RT.003 RW.012 KEL. TEGALMURNI KEC. CIKARANG BARAT KAB. BEKASI")</f>
        <v>PERUM TELAGA HARAPAN BLOK E. 8/9 RT.003 RW.012 KEL. TEGALMURNI KEC. CIKARANG BARAT KAB. BEKASI</v>
      </c>
      <c r="U410" s="85" t="str">
        <f>IFERROR(__xludf.DUMMYFUNCTION("""COMPUTED_VALUE"""),"Jl Raya Bojong Koneng No.15A")</f>
        <v>Jl Raya Bojong Koneng No.15A</v>
      </c>
      <c r="V410" s="85"/>
      <c r="W410" s="85" t="str">
        <f>IFERROR(__xludf.DUMMYFUNCTION("""COMPUTED_VALUE"""),"Telagamurni")</f>
        <v>Telagamurni</v>
      </c>
      <c r="X410" s="85" t="str">
        <f>IFERROR(__xludf.DUMMYFUNCTION("""COMPUTED_VALUE"""),"Cikarang Barat")</f>
        <v>Cikarang Barat</v>
      </c>
      <c r="Y410" s="85" t="str">
        <f>IFERROR(__xludf.DUMMYFUNCTION("""COMPUTED_VALUE"""),"Kabupaten Bekasi")</f>
        <v>Kabupaten Bekasi</v>
      </c>
      <c r="Z410" s="85" t="str">
        <f>IFERROR(__xludf.DUMMYFUNCTION("""COMPUTED_VALUE"""),"Jawa Barat")</f>
        <v>Jawa Barat</v>
      </c>
      <c r="AA410" s="85" t="str">
        <f>IFERROR(__xludf.DUMMYFUNCTION("""COMPUTED_VALUE"""),"17530")</f>
        <v>17530</v>
      </c>
      <c r="AB410" s="85" t="str">
        <f>IFERROR(__xludf.DUMMYFUNCTION("""COMPUTED_VALUE"""),"3216071709770014")</f>
        <v>3216071709770014</v>
      </c>
      <c r="AC410" s="85" t="str">
        <f>IFERROR(__xludf.DUMMYFUNCTION("""COMPUTED_VALUE"""),"87.380.828.1-017.000")</f>
        <v>87.380.828.1-017.000</v>
      </c>
      <c r="AD410" s="85" t="str">
        <f>IFERROR(__xludf.DUMMYFUNCTION("""COMPUTED_VALUE"""),"CUM - EEN")</f>
        <v>CUM - EEN</v>
      </c>
      <c r="AE410" s="85" t="str">
        <f>IFERROR(__xludf.DUMMYFUNCTION("""COMPUTED_VALUE"""),"SUB EEN")</f>
        <v>SUB EEN</v>
      </c>
      <c r="AF410" s="85" t="str">
        <f>IFERROR(__xludf.DUMMYFUNCTION("""COMPUTED_VALUE"""),"081372972273")</f>
        <v>081372972273</v>
      </c>
      <c r="AG410" s="85"/>
      <c r="AH410" s="85" t="str">
        <f>IFERROR(__xludf.DUMMYFUNCTION("""COMPUTED_VALUE"""),"achmadfaizaldahlan@gmail.com")</f>
        <v>achmadfaizaldahlan@gmail.com</v>
      </c>
      <c r="AI410" s="85" t="str">
        <f>IFERROR(__xludf.DUMMYFUNCTION("""COMPUTED_VALUE"""),"17849S7")</f>
        <v>17849S7</v>
      </c>
      <c r="AJ410" s="85" t="str">
        <f>IFERROR(__xludf.DUMMYFUNCTION("""COMPUTED_VALUE"""),"67a586a716481d944804b1ef")</f>
        <v>67a586a716481d944804b1ef</v>
      </c>
      <c r="AK410" s="85" t="str">
        <f>IFERROR(__xludf.DUMMYFUNCTION("""COMPUTED_VALUE"""),"dm17849s7")</f>
        <v>dm17849s7</v>
      </c>
      <c r="AL410" s="85" t="str">
        <f>IFERROR(__xludf.DUMMYFUNCTION("""COMPUTED_VALUE"""),"#17849Pos")</f>
        <v>#17849Pos</v>
      </c>
      <c r="AM410" s="85" t="str">
        <f>IFERROR(__xludf.DUMMYFUNCTION("""COMPUTED_VALUE"""),"KANTOR REGIONAL II JAKARTA 10004")</f>
        <v>KANTOR REGIONAL II JAKARTA 10004</v>
      </c>
      <c r="AN410" s="85" t="str">
        <f>IFERROR(__xludf.DUMMYFUNCTION("""COMPUTED_VALUE"""),"KC CIKARANG 17500")</f>
        <v>KC CIKARANG 17500</v>
      </c>
      <c r="AO410" s="85" t="str">
        <f>IFERROR(__xludf.DUMMYFUNCTION("""COMPUTED_VALUE"""),"0507230188136")</f>
        <v>0507230188136</v>
      </c>
      <c r="AP410" s="85" t="str">
        <f>IFERROR(__xludf.DUMMYFUNCTION("""COMPUTED_VALUE"""),"05072301881360002")</f>
        <v>05072301881360002</v>
      </c>
      <c r="AQ410" s="93"/>
      <c r="AR410" s="85"/>
      <c r="AS410" s="85"/>
      <c r="AT410" s="85" t="str">
        <f>IFERROR(__xludf.DUMMYFUNCTION("""COMPUTED_VALUE"""),"-6.264616")</f>
        <v>-6.264616</v>
      </c>
      <c r="AU410" s="85" t="str">
        <f>IFERROR(__xludf.DUMMYFUNCTION("""COMPUTED_VALUE"""),"107.114432")</f>
        <v>107.114432</v>
      </c>
      <c r="AV410" s="85"/>
      <c r="AW410" s="85"/>
      <c r="AX410" s="85" t="str">
        <f>IFERROR(__xludf.DUMMYFUNCTION("""COMPUTED_VALUE"""),"ü")</f>
        <v>ü</v>
      </c>
      <c r="AY410" s="85"/>
      <c r="AZ410" s="85"/>
      <c r="BA410" s="85"/>
      <c r="BB410" s="85"/>
      <c r="BC410" s="85"/>
      <c r="BD410" s="85"/>
      <c r="BE410" s="85"/>
      <c r="BF410" s="85"/>
      <c r="BG410" s="85"/>
      <c r="BH410" s="85"/>
      <c r="BI410" s="85"/>
      <c r="BJ410" s="85"/>
      <c r="BK410" s="85"/>
      <c r="BL410" s="85"/>
      <c r="BM410" s="85"/>
      <c r="BN410" s="85"/>
      <c r="BO410" s="85"/>
      <c r="BP410" s="85"/>
      <c r="BQ410" s="85"/>
      <c r="BR410" s="85"/>
      <c r="BS410" s="85"/>
      <c r="BT410" s="85"/>
      <c r="BU410" s="85"/>
      <c r="BV410" s="85"/>
      <c r="BW410" s="85"/>
      <c r="BX410" s="85"/>
      <c r="BY410" s="85"/>
      <c r="BZ410" s="85"/>
      <c r="CA410" s="85"/>
      <c r="CB410" s="85"/>
      <c r="CC410" s="85"/>
      <c r="CD410" s="85"/>
      <c r="CE410" s="85"/>
      <c r="CF410" s="85"/>
      <c r="CG410" s="85"/>
      <c r="CH410" s="85"/>
      <c r="CI410" s="85"/>
      <c r="CJ410" s="85"/>
      <c r="CK410" s="2"/>
    </row>
    <row r="411" ht="12.75" customHeight="1">
      <c r="A411" s="80">
        <f>IFERROR(__xludf.DUMMYFUNCTION("""COMPUTED_VALUE"""),408.0)</f>
        <v>408</v>
      </c>
      <c r="B411" s="80"/>
      <c r="C411" s="80"/>
      <c r="D411" s="81">
        <f>IFERROR(__xludf.DUMMYFUNCTION("""COMPUTED_VALUE"""),45687.0)</f>
        <v>45687</v>
      </c>
      <c r="E411" s="82"/>
      <c r="F411" s="80"/>
      <c r="G411" s="81">
        <f>IFERROR(__xludf.DUMMYFUNCTION("""COMPUTED_VALUE"""),45691.0)</f>
        <v>45691</v>
      </c>
      <c r="H411" s="80"/>
      <c r="I411" s="80"/>
      <c r="J411" s="80"/>
      <c r="K411" s="80"/>
      <c r="L411" s="80">
        <f>IFERROR(__xludf.DUMMYFUNCTION("""COMPUTED_VALUE"""),4.0)</f>
        <v>4</v>
      </c>
      <c r="M411" s="80" t="str">
        <f>IFERROR(__xludf.DUMMYFUNCTION("""COMPUTED_VALUE"""),"ü")</f>
        <v>ü</v>
      </c>
      <c r="N411" s="80"/>
      <c r="O411" s="80"/>
      <c r="P411" s="80" t="str">
        <f>IFERROR(__xludf.DUMMYFUNCTION("""COMPUTED_VALUE"""),"MUCSPA63084PSIND")</f>
        <v>MUCSPA63084PSIND</v>
      </c>
      <c r="Q411" s="80" t="str">
        <f>IFERROR(__xludf.DUMMYFUNCTION("""COMPUTED_VALUE"""),"MUC Febrian")</f>
        <v>MUC Febrian</v>
      </c>
      <c r="R411" s="80" t="str">
        <f>IFERROR(__xludf.DUMMYFUNCTION("""COMPUTED_VALUE"""),"MUC Febrian")</f>
        <v>MUC Febrian</v>
      </c>
      <c r="S411" s="80" t="str">
        <f>IFERROR(__xludf.DUMMYFUNCTION("""COMPUTED_VALUE"""),"FEBRIAN ADITYA")</f>
        <v>FEBRIAN ADITYA</v>
      </c>
      <c r="T411" s="80" t="str">
        <f>IFERROR(__xludf.DUMMYFUNCTION("""COMPUTED_VALUE"""),"PONDOK NURUL FIKRI JL.TUGU RAYA BLOK A5 RT.012/RW.007 KEL.TUGU KEC.CIMANGGIS KOTA DEPOK")</f>
        <v>PONDOK NURUL FIKRI JL.TUGU RAYA BLOK A5 RT.012/RW.007 KEL.TUGU KEC.CIMANGGIS KOTA DEPOK</v>
      </c>
      <c r="U411" s="80" t="str">
        <f>IFERROR(__xludf.DUMMYFUNCTION("""COMPUTED_VALUE"""),"Ruko PNF Jalan Tugu Raya No.11 Cimanggis RT/RW 012/007")</f>
        <v>Ruko PNF Jalan Tugu Raya No.11 Cimanggis RT/RW 012/007</v>
      </c>
      <c r="V411" s="80"/>
      <c r="W411" s="80" t="str">
        <f>IFERROR(__xludf.DUMMYFUNCTION("""COMPUTED_VALUE"""),"Tugu")</f>
        <v>Tugu</v>
      </c>
      <c r="X411" s="80" t="str">
        <f>IFERROR(__xludf.DUMMYFUNCTION("""COMPUTED_VALUE"""),"Cimanggis")</f>
        <v>Cimanggis</v>
      </c>
      <c r="Y411" s="80" t="str">
        <f>IFERROR(__xludf.DUMMYFUNCTION("""COMPUTED_VALUE"""),"Kota Depok")</f>
        <v>Kota Depok</v>
      </c>
      <c r="Z411" s="80" t="str">
        <f>IFERROR(__xludf.DUMMYFUNCTION("""COMPUTED_VALUE"""),"Jawa Barat")</f>
        <v>Jawa Barat</v>
      </c>
      <c r="AA411" s="80" t="str">
        <f>IFERROR(__xludf.DUMMYFUNCTION("""COMPUTED_VALUE"""),"16451")</f>
        <v>16451</v>
      </c>
      <c r="AB411" s="80" t="str">
        <f>IFERROR(__xludf.DUMMYFUNCTION("""COMPUTED_VALUE"""),"3275042002900009")</f>
        <v>3275042002900009</v>
      </c>
      <c r="AC411" s="80" t="str">
        <f>IFERROR(__xludf.DUMMYFUNCTION("""COMPUTED_VALUE"""),"66.425.907.4-432.000")</f>
        <v>66.425.907.4-432.000</v>
      </c>
      <c r="AD411" s="80" t="str">
        <f>IFERROR(__xludf.DUMMYFUNCTION("""COMPUTED_VALUE"""),"CUM - PS - HPR")</f>
        <v>CUM - PS - HPR</v>
      </c>
      <c r="AE411" s="80" t="str">
        <f>IFERROR(__xludf.DUMMYFUNCTION("""COMPUTED_VALUE"""),"SUB HADI POS")</f>
        <v>SUB HADI POS</v>
      </c>
      <c r="AF411" s="80" t="str">
        <f>IFERROR(__xludf.DUMMYFUNCTION("""COMPUTED_VALUE"""),"081908195561")</f>
        <v>081908195561</v>
      </c>
      <c r="AG411" s="80"/>
      <c r="AH411" s="80" t="str">
        <f>IFERROR(__xludf.DUMMYFUNCTION("""COMPUTED_VALUE"""),"ini.febrianaditya@gmail.com")</f>
        <v>ini.febrianaditya@gmail.com</v>
      </c>
      <c r="AI411" s="80" t="str">
        <f>IFERROR(__xludf.DUMMYFUNCTION("""COMPUTED_VALUE"""),"16451S6")</f>
        <v>16451S6</v>
      </c>
      <c r="AJ411" s="80" t="str">
        <f>IFERROR(__xludf.DUMMYFUNCTION("""COMPUTED_VALUE"""),"67a08dc09780bf7464042018")</f>
        <v>67a08dc09780bf7464042018</v>
      </c>
      <c r="AK411" s="80" t="str">
        <f>IFERROR(__xludf.DUMMYFUNCTION("""COMPUTED_VALUE"""),"dm16451s6")</f>
        <v>dm16451s6</v>
      </c>
      <c r="AL411" s="80" t="str">
        <f>IFERROR(__xludf.DUMMYFUNCTION("""COMPUTED_VALUE"""),"#16451Pos")</f>
        <v>#16451Pos</v>
      </c>
      <c r="AM411" s="80" t="str">
        <f>IFERROR(__xludf.DUMMYFUNCTION("""COMPUTED_VALUE"""),"KANTOR REGIONAL II JAKARTA 10004")</f>
        <v>KANTOR REGIONAL II JAKARTA 10004</v>
      </c>
      <c r="AN411" s="80" t="str">
        <f>IFERROR(__xludf.DUMMYFUNCTION("""COMPUTED_VALUE"""),"KC DEPOK 16400")</f>
        <v>KC DEPOK 16400</v>
      </c>
      <c r="AO411" s="80" t="str">
        <f>IFERROR(__xludf.DUMMYFUNCTION("""COMPUTED_VALUE"""),"0509230149012")</f>
        <v>0509230149012</v>
      </c>
      <c r="AP411" s="80" t="str">
        <f>IFERROR(__xludf.DUMMYFUNCTION("""COMPUTED_VALUE"""),"05092301490120001")</f>
        <v>05092301490120001</v>
      </c>
      <c r="AQ411" s="83"/>
      <c r="AR411" s="80"/>
      <c r="AS411" s="80"/>
      <c r="AT411" s="80" t="str">
        <f>IFERROR(__xludf.DUMMYFUNCTION("""COMPUTED_VALUE"""),"-6.360680")</f>
        <v>-6.360680</v>
      </c>
      <c r="AU411" s="80" t="str">
        <f>IFERROR(__xludf.DUMMYFUNCTION("""COMPUTED_VALUE"""),"106.848682")</f>
        <v>106.848682</v>
      </c>
      <c r="AV411" s="80"/>
      <c r="AW411" s="80"/>
      <c r="AX411" s="80" t="str">
        <f>IFERROR(__xludf.DUMMYFUNCTION("""COMPUTED_VALUE"""),"ü")</f>
        <v>ü</v>
      </c>
      <c r="AY411" s="80"/>
      <c r="AZ411" s="80"/>
      <c r="BA411" s="80"/>
      <c r="BB411" s="80"/>
      <c r="BC411" s="80"/>
      <c r="BD411" s="80"/>
      <c r="BE411" s="80"/>
      <c r="BF411" s="80"/>
      <c r="BG411" s="80"/>
      <c r="BH411" s="80"/>
      <c r="BI411" s="80"/>
      <c r="BJ411" s="80"/>
      <c r="BK411" s="80"/>
      <c r="BL411" s="80"/>
      <c r="BM411" s="80"/>
      <c r="BN411" s="80"/>
      <c r="BO411" s="80"/>
      <c r="BP411" s="80"/>
      <c r="BQ411" s="80"/>
      <c r="BR411" s="80"/>
      <c r="BS411" s="80"/>
      <c r="BT411" s="80"/>
      <c r="BU411" s="80"/>
      <c r="BV411" s="80"/>
      <c r="BW411" s="80"/>
      <c r="BX411" s="80"/>
      <c r="BY411" s="80"/>
      <c r="BZ411" s="80"/>
      <c r="CA411" s="80"/>
      <c r="CB411" s="80"/>
      <c r="CC411" s="80"/>
      <c r="CD411" s="80"/>
      <c r="CE411" s="80"/>
      <c r="CF411" s="80"/>
      <c r="CG411" s="80"/>
      <c r="CH411" s="80"/>
      <c r="CI411" s="80"/>
      <c r="CJ411" s="80"/>
      <c r="CK411" s="2"/>
    </row>
    <row r="412" ht="12.75" customHeight="1">
      <c r="A412" s="85">
        <f>IFERROR(__xludf.DUMMYFUNCTION("""COMPUTED_VALUE"""),409.0)</f>
        <v>409</v>
      </c>
      <c r="B412" s="85"/>
      <c r="C412" s="85"/>
      <c r="D412" s="86">
        <f>IFERROR(__xludf.DUMMYFUNCTION("""COMPUTED_VALUE"""),45688.0)</f>
        <v>45688</v>
      </c>
      <c r="E412" s="88"/>
      <c r="F412" s="85"/>
      <c r="G412" s="86">
        <f>IFERROR(__xludf.DUMMYFUNCTION("""COMPUTED_VALUE"""),45715.0)</f>
        <v>45715</v>
      </c>
      <c r="H412" s="85"/>
      <c r="I412" s="85"/>
      <c r="J412" s="85"/>
      <c r="K412" s="85"/>
      <c r="L412" s="85">
        <f>IFERROR(__xludf.DUMMYFUNCTION("""COMPUTED_VALUE"""),27.0)</f>
        <v>27</v>
      </c>
      <c r="M412" s="85"/>
      <c r="N412" s="85" t="str">
        <f>IFERROR(__xludf.DUMMYFUNCTION("""COMPUTED_VALUE"""),"ü")</f>
        <v>ü</v>
      </c>
      <c r="O412" s="85"/>
      <c r="P412" s="85" t="str">
        <f>IFERROR(__xludf.DUMMYFUNCTION("""COMPUTED_VALUE"""),"MUCSPA63085PSIND")</f>
        <v>MUCSPA63085PSIND</v>
      </c>
      <c r="Q412" s="85" t="str">
        <f>IFERROR(__xludf.DUMMYFUNCTION("""COMPUTED_VALUE"""),"MUC Bumdes Sekarwangi")</f>
        <v>MUC Bumdes Sekarwangi</v>
      </c>
      <c r="R412" s="85" t="str">
        <f>IFERROR(__xludf.DUMMYFUNCTION("""COMPUTED_VALUE"""),"MUC Bumdes Sekarwangi")</f>
        <v>MUC Bumdes Sekarwangi</v>
      </c>
      <c r="S412" s="85" t="str">
        <f>IFERROR(__xludf.DUMMYFUNCTION("""COMPUTED_VALUE"""),"ANGGA HARDIANTO")</f>
        <v>ANGGA HARDIANTO</v>
      </c>
      <c r="T412" s="85" t="str">
        <f>IFERROR(__xludf.DUMMYFUNCTION("""COMPUTED_VALUE"""),"RT.01RW. 01 DS. JUWONO, KERTOSONO, NGANJUK")</f>
        <v>RT.01RW. 01 DS. JUWONO, KERTOSONO, NGANJUK</v>
      </c>
      <c r="U412" s="85" t="str">
        <f>IFERROR(__xludf.DUMMYFUNCTION("""COMPUTED_VALUE"""),"RT.01 RW 01")</f>
        <v>RT.01 RW 01</v>
      </c>
      <c r="V412" s="85"/>
      <c r="W412" s="85" t="str">
        <f>IFERROR(__xludf.DUMMYFUNCTION("""COMPUTED_VALUE"""),"Juwono")</f>
        <v>Juwono</v>
      </c>
      <c r="X412" s="85" t="str">
        <f>IFERROR(__xludf.DUMMYFUNCTION("""COMPUTED_VALUE"""),"Kertosono")</f>
        <v>Kertosono</v>
      </c>
      <c r="Y412" s="85" t="str">
        <f>IFERROR(__xludf.DUMMYFUNCTION("""COMPUTED_VALUE"""),"Nganjuk")</f>
        <v>Nganjuk</v>
      </c>
      <c r="Z412" s="85" t="str">
        <f>IFERROR(__xludf.DUMMYFUNCTION("""COMPUTED_VALUE"""),"Jawa Timur")</f>
        <v>Jawa Timur</v>
      </c>
      <c r="AA412" s="85" t="str">
        <f>IFERROR(__xludf.DUMMYFUNCTION("""COMPUTED_VALUE"""),"64315")</f>
        <v>64315</v>
      </c>
      <c r="AB412" s="85" t="str">
        <f>IFERROR(__xludf.DUMMYFUNCTION("""COMPUTED_VALUE"""),"3518071109920003")</f>
        <v>3518071109920003</v>
      </c>
      <c r="AC412" s="85" t="str">
        <f>IFERROR(__xludf.DUMMYFUNCTION("""COMPUTED_VALUE"""),"53.092.164.2-655.000")</f>
        <v>53.092.164.2-655.000</v>
      </c>
      <c r="AD412" s="85" t="str">
        <f>IFERROR(__xludf.DUMMYFUNCTION("""COMPUTED_VALUE"""),"CUM - PS - STA")</f>
        <v>CUM - PS - STA</v>
      </c>
      <c r="AE412" s="85" t="str">
        <f>IFERROR(__xludf.DUMMYFUNCTION("""COMPUTED_VALUE"""),"SUB SUMITRO POS ")</f>
        <v>SUB SUMITRO POS </v>
      </c>
      <c r="AF412" s="85" t="str">
        <f>IFERROR(__xludf.DUMMYFUNCTION("""COMPUTED_VALUE"""),"085604439200")</f>
        <v>085604439200</v>
      </c>
      <c r="AG412" s="85"/>
      <c r="AH412" s="85" t="str">
        <f>IFERROR(__xludf.DUMMYFUNCTION("""COMPUTED_VALUE"""),"bumdessekarwangi7@gmail.com")</f>
        <v>bumdessekarwangi7@gmail.com</v>
      </c>
      <c r="AI412" s="85" t="str">
        <f>IFERROR(__xludf.DUMMYFUNCTION("""COMPUTED_VALUE"""),"64496S2")</f>
        <v>64496S2</v>
      </c>
      <c r="AJ412" s="85" t="str">
        <f>IFERROR(__xludf.DUMMYFUNCTION("""COMPUTED_VALUE"""),"67bed477be7fa84ba201bb2f")</f>
        <v>67bed477be7fa84ba201bb2f</v>
      </c>
      <c r="AK412" s="85" t="str">
        <f>IFERROR(__xludf.DUMMYFUNCTION("""COMPUTED_VALUE"""),"dm64496s2")</f>
        <v>dm64496s2</v>
      </c>
      <c r="AL412" s="85" t="str">
        <f>IFERROR(__xludf.DUMMYFUNCTION("""COMPUTED_VALUE"""),"#64496Pos")</f>
        <v>#64496Pos</v>
      </c>
      <c r="AM412" s="85" t="str">
        <f>IFERROR(__xludf.DUMMYFUNCTION("""COMPUTED_VALUE"""),"KANTOR REGIONAL V SURABAYA 60004")</f>
        <v>KANTOR REGIONAL V SURABAYA 60004</v>
      </c>
      <c r="AN412" s="85" t="str">
        <f>IFERROR(__xludf.DUMMYFUNCTION("""COMPUTED_VALUE"""),"KC NGANJUK")</f>
        <v>KC NGANJUK</v>
      </c>
      <c r="AO412" s="85" t="str">
        <f>IFERROR(__xludf.DUMMYFUNCTION("""COMPUTED_VALUE"""),"2301250071751")</f>
        <v>2301250071751</v>
      </c>
      <c r="AP412" s="85" t="str">
        <f>IFERROR(__xludf.DUMMYFUNCTION("""COMPUTED_VALUE"""),"23012500717510001")</f>
        <v>23012500717510001</v>
      </c>
      <c r="AQ412" s="93"/>
      <c r="AR412" s="85"/>
      <c r="AS412" s="85"/>
      <c r="AT412" s="85" t="str">
        <f>IFERROR(__xludf.DUMMYFUNCTION("""COMPUTED_VALUE"""),"-7.638771 ")</f>
        <v>-7.638771 </v>
      </c>
      <c r="AU412" s="85" t="str">
        <f>IFERROR(__xludf.DUMMYFUNCTION("""COMPUTED_VALUE"""),"112.093446")</f>
        <v>112.093446</v>
      </c>
      <c r="AV412" s="85"/>
      <c r="AW412" s="85"/>
      <c r="AX412" s="85" t="str">
        <f>IFERROR(__xludf.DUMMYFUNCTION("""COMPUTED_VALUE"""),"ü")</f>
        <v>ü</v>
      </c>
      <c r="AY412" s="85"/>
      <c r="AZ412" s="85"/>
      <c r="BA412" s="85"/>
      <c r="BB412" s="85"/>
      <c r="BC412" s="85"/>
      <c r="BD412" s="85"/>
      <c r="BE412" s="85"/>
      <c r="BF412" s="85"/>
      <c r="BG412" s="85"/>
      <c r="BH412" s="85"/>
      <c r="BI412" s="85"/>
      <c r="BJ412" s="85"/>
      <c r="BK412" s="85"/>
      <c r="BL412" s="85"/>
      <c r="BM412" s="85"/>
      <c r="BN412" s="85"/>
      <c r="BO412" s="85"/>
      <c r="BP412" s="85"/>
      <c r="BQ412" s="85"/>
      <c r="BR412" s="85"/>
      <c r="BS412" s="85"/>
      <c r="BT412" s="85"/>
      <c r="BU412" s="85"/>
      <c r="BV412" s="85"/>
      <c r="BW412" s="85"/>
      <c r="BX412" s="85"/>
      <c r="BY412" s="85"/>
      <c r="BZ412" s="85"/>
      <c r="CA412" s="85"/>
      <c r="CB412" s="85"/>
      <c r="CC412" s="85"/>
      <c r="CD412" s="85"/>
      <c r="CE412" s="85"/>
      <c r="CF412" s="85"/>
      <c r="CG412" s="85"/>
      <c r="CH412" s="85"/>
      <c r="CI412" s="85"/>
      <c r="CJ412" s="85"/>
      <c r="CK412" s="2"/>
    </row>
    <row r="413" ht="12.75" customHeight="1">
      <c r="A413" s="80">
        <f>IFERROR(__xludf.DUMMYFUNCTION("""COMPUTED_VALUE"""),410.0)</f>
        <v>410</v>
      </c>
      <c r="B413" s="80"/>
      <c r="C413" s="80"/>
      <c r="D413" s="81">
        <f>IFERROR(__xludf.DUMMYFUNCTION("""COMPUTED_VALUE"""),45688.0)</f>
        <v>45688</v>
      </c>
      <c r="E413" s="82"/>
      <c r="F413" s="80"/>
      <c r="G413" s="81">
        <f>IFERROR(__xludf.DUMMYFUNCTION("""COMPUTED_VALUE"""),45699.0)</f>
        <v>45699</v>
      </c>
      <c r="H413" s="80"/>
      <c r="I413" s="80"/>
      <c r="J413" s="80"/>
      <c r="K413" s="80"/>
      <c r="L413" s="80">
        <f>IFERROR(__xludf.DUMMYFUNCTION("""COMPUTED_VALUE"""),11.0)</f>
        <v>11</v>
      </c>
      <c r="M413" s="80" t="str">
        <f>IFERROR(__xludf.DUMMYFUNCTION("""COMPUTED_VALUE"""),"ü")</f>
        <v>ü</v>
      </c>
      <c r="N413" s="80"/>
      <c r="O413" s="80"/>
      <c r="P413" s="80" t="str">
        <f>IFERROR(__xludf.DUMMYFUNCTION("""COMPUTED_VALUE"""),"53BSPA09376JBEEN")</f>
        <v>53BSPA09376JBEEN</v>
      </c>
      <c r="Q413" s="80" t="str">
        <f>IFERROR(__xludf.DUMMYFUNCTION("""COMPUTED_VALUE"""),"MUC Gadiza s Corners")</f>
        <v>MUC Gadiza s Corners</v>
      </c>
      <c r="R413" s="80" t="str">
        <f>IFERROR(__xludf.DUMMYFUNCTION("""COMPUTED_VALUE"""),"MUC Gadiza s Corners")</f>
        <v>MUC Gadiza s Corners</v>
      </c>
      <c r="S413" s="80" t="str">
        <f>IFERROR(__xludf.DUMMYFUNCTION("""COMPUTED_VALUE"""),"Wawan Achmad Fauzie ")</f>
        <v>Wawan Achmad Fauzie </v>
      </c>
      <c r="T413" s="80" t="str">
        <f>IFERROR(__xludf.DUMMYFUNCTION("""COMPUTED_VALUE"""),"CILODONG NO.32 RT.001 RW.002 KEL.KALIBARU KEC.CILODONG KOTA DEPOK")</f>
        <v>CILODONG NO.32 RT.001 RW.002 KEL.KALIBARU KEC.CILODONG KOTA DEPOK</v>
      </c>
      <c r="U413" s="80" t="str">
        <f>IFERROR(__xludf.DUMMYFUNCTION("""COMPUTED_VALUE"""),"Jl. abdul Gani 1 Cilodong Kalibaru Depok")</f>
        <v>Jl. abdul Gani 1 Cilodong Kalibaru Depok</v>
      </c>
      <c r="V413" s="80"/>
      <c r="W413" s="80" t="str">
        <f>IFERROR(__xludf.DUMMYFUNCTION("""COMPUTED_VALUE"""),"Kalibaru")</f>
        <v>Kalibaru</v>
      </c>
      <c r="X413" s="80" t="str">
        <f>IFERROR(__xludf.DUMMYFUNCTION("""COMPUTED_VALUE"""),"Cilodong")</f>
        <v>Cilodong</v>
      </c>
      <c r="Y413" s="80" t="str">
        <f>IFERROR(__xludf.DUMMYFUNCTION("""COMPUTED_VALUE"""),"Depok")</f>
        <v>Depok</v>
      </c>
      <c r="Z413" s="80" t="str">
        <f>IFERROR(__xludf.DUMMYFUNCTION("""COMPUTED_VALUE"""),"Jawa Barat")</f>
        <v>Jawa Barat</v>
      </c>
      <c r="AA413" s="80" t="str">
        <f>IFERROR(__xludf.DUMMYFUNCTION("""COMPUTED_VALUE"""),"16414")</f>
        <v>16414</v>
      </c>
      <c r="AB413" s="80" t="str">
        <f>IFERROR(__xludf.DUMMYFUNCTION("""COMPUTED_VALUE"""),"3276051206790011")</f>
        <v>3276051206790011</v>
      </c>
      <c r="AC413" s="80" t="str">
        <f>IFERROR(__xludf.DUMMYFUNCTION("""COMPUTED_VALUE"""),"64.192.001.2-412.000")</f>
        <v>64.192.001.2-412.000</v>
      </c>
      <c r="AD413" s="80" t="str">
        <f>IFERROR(__xludf.DUMMYFUNCTION("""COMPUTED_VALUE"""),"CUM - EEN")</f>
        <v>CUM - EEN</v>
      </c>
      <c r="AE413" s="80" t="str">
        <f>IFERROR(__xludf.DUMMYFUNCTION("""COMPUTED_VALUE"""),"SUB EEN")</f>
        <v>SUB EEN</v>
      </c>
      <c r="AF413" s="80" t="str">
        <f>IFERROR(__xludf.DUMMYFUNCTION("""COMPUTED_VALUE"""),"085780691818")</f>
        <v>085780691818</v>
      </c>
      <c r="AG413" s="80"/>
      <c r="AH413" s="80" t="str">
        <f>IFERROR(__xludf.DUMMYFUNCTION("""COMPUTED_VALUE"""),"wawan88achmad@gmail.com")</f>
        <v>wawan88achmad@gmail.com</v>
      </c>
      <c r="AI413" s="80" t="str">
        <f>IFERROR(__xludf.DUMMYFUNCTION("""COMPUTED_VALUE"""),"16473S5")</f>
        <v>16473S5</v>
      </c>
      <c r="AJ413" s="80" t="str">
        <f>IFERROR(__xludf.DUMMYFUNCTION("""COMPUTED_VALUE"""),"67ab187f3e87a04b4002f5d1")</f>
        <v>67ab187f3e87a04b4002f5d1</v>
      </c>
      <c r="AK413" s="80" t="str">
        <f>IFERROR(__xludf.DUMMYFUNCTION("""COMPUTED_VALUE"""),"dm16473s5")</f>
        <v>dm16473s5</v>
      </c>
      <c r="AL413" s="80" t="str">
        <f>IFERROR(__xludf.DUMMYFUNCTION("""COMPUTED_VALUE"""),"#16473Pos")</f>
        <v>#16473Pos</v>
      </c>
      <c r="AM413" s="80" t="str">
        <f>IFERROR(__xludf.DUMMYFUNCTION("""COMPUTED_VALUE"""),"KANTOR REGIONAL II JAKARTA 10004")</f>
        <v>KANTOR REGIONAL II JAKARTA 10004</v>
      </c>
      <c r="AN413" s="80" t="str">
        <f>IFERROR(__xludf.DUMMYFUNCTION("""COMPUTED_VALUE"""),"KC DEPOK 16400")</f>
        <v>KC DEPOK 16400</v>
      </c>
      <c r="AO413" s="80" t="str">
        <f>IFERROR(__xludf.DUMMYFUNCTION("""COMPUTED_VALUE"""),"0209230032986")</f>
        <v>0209230032986</v>
      </c>
      <c r="AP413" s="80" t="str">
        <f>IFERROR(__xludf.DUMMYFUNCTION("""COMPUTED_VALUE"""),"02092300329860001")</f>
        <v>02092300329860001</v>
      </c>
      <c r="AQ413" s="83"/>
      <c r="AR413" s="80"/>
      <c r="AS413" s="80"/>
      <c r="AT413" s="80" t="str">
        <f>IFERROR(__xludf.DUMMYFUNCTION("""COMPUTED_VALUE"""),"-6.441700 ")</f>
        <v>-6.441700 </v>
      </c>
      <c r="AU413" s="80" t="str">
        <f>IFERROR(__xludf.DUMMYFUNCTION("""COMPUTED_VALUE"""),"106,842,800")</f>
        <v>106,842,800</v>
      </c>
      <c r="AV413" s="80"/>
      <c r="AW413" s="80"/>
      <c r="AX413" s="80" t="str">
        <f>IFERROR(__xludf.DUMMYFUNCTION("""COMPUTED_VALUE"""),"ü")</f>
        <v>ü</v>
      </c>
      <c r="AY413" s="80"/>
      <c r="AZ413" s="80"/>
      <c r="BA413" s="80"/>
      <c r="BB413" s="80"/>
      <c r="BC413" s="80"/>
      <c r="BD413" s="80"/>
      <c r="BE413" s="80"/>
      <c r="BF413" s="80"/>
      <c r="BG413" s="80"/>
      <c r="BH413" s="80"/>
      <c r="BI413" s="80"/>
      <c r="BJ413" s="80"/>
      <c r="BK413" s="80"/>
      <c r="BL413" s="80"/>
      <c r="BM413" s="80"/>
      <c r="BN413" s="80"/>
      <c r="BO413" s="80"/>
      <c r="BP413" s="80"/>
      <c r="BQ413" s="80"/>
      <c r="BR413" s="80"/>
      <c r="BS413" s="80"/>
      <c r="BT413" s="80"/>
      <c r="BU413" s="80"/>
      <c r="BV413" s="80"/>
      <c r="BW413" s="80"/>
      <c r="BX413" s="80"/>
      <c r="BY413" s="80"/>
      <c r="BZ413" s="80"/>
      <c r="CA413" s="80"/>
      <c r="CB413" s="80"/>
      <c r="CC413" s="80"/>
      <c r="CD413" s="80"/>
      <c r="CE413" s="80"/>
      <c r="CF413" s="80"/>
      <c r="CG413" s="80"/>
      <c r="CH413" s="80"/>
      <c r="CI413" s="80"/>
      <c r="CJ413" s="80"/>
      <c r="CK413" s="2"/>
    </row>
    <row r="414" ht="12.75" customHeight="1">
      <c r="A414" s="85">
        <f>IFERROR(__xludf.DUMMYFUNCTION("""COMPUTED_VALUE"""),411.0)</f>
        <v>411</v>
      </c>
      <c r="B414" s="85"/>
      <c r="C414" s="85"/>
      <c r="D414" s="86">
        <f>IFERROR(__xludf.DUMMYFUNCTION("""COMPUTED_VALUE"""),45691.0)</f>
        <v>45691</v>
      </c>
      <c r="E414" s="88"/>
      <c r="F414" s="85"/>
      <c r="G414" s="86">
        <f>IFERROR(__xludf.DUMMYFUNCTION("""COMPUTED_VALUE"""),45719.0)</f>
        <v>45719</v>
      </c>
      <c r="H414" s="85"/>
      <c r="I414" s="85"/>
      <c r="J414" s="85"/>
      <c r="K414" s="85"/>
      <c r="L414" s="85">
        <f>IFERROR(__xludf.DUMMYFUNCTION("""COMPUTED_VALUE"""),28.0)</f>
        <v>28</v>
      </c>
      <c r="M414" s="85" t="str">
        <f>IFERROR(__xludf.DUMMYFUNCTION("""COMPUTED_VALUE"""),"ü")</f>
        <v>ü</v>
      </c>
      <c r="N414" s="85"/>
      <c r="O414" s="85"/>
      <c r="P414" s="85" t="str">
        <f>IFERROR(__xludf.DUMMYFUNCTION("""COMPUTED_VALUE"""),"53BSPA09375JBEEN")</f>
        <v>53BSPA09375JBEEN</v>
      </c>
      <c r="Q414" s="85" t="str">
        <f>IFERROR(__xludf.DUMMYFUNCTION("""COMPUTED_VALUE"""),"MUC HENI")</f>
        <v>MUC HENI</v>
      </c>
      <c r="R414" s="85" t="str">
        <f>IFERROR(__xludf.DUMMYFUNCTION("""COMPUTED_VALUE"""),"MUC HENI")</f>
        <v>MUC HENI</v>
      </c>
      <c r="S414" s="85" t="str">
        <f>IFERROR(__xludf.DUMMYFUNCTION("""COMPUTED_VALUE"""),"HENI")</f>
        <v>HENI</v>
      </c>
      <c r="T414" s="85" t="str">
        <f>IFERROR(__xludf.DUMMYFUNCTION("""COMPUTED_VALUE"""),"KP.CIBOGO RT.004 RW.004 KEL.CILAKU KEC.TENJO KAB.BOGOR JAWA BARAT")</f>
        <v>KP.CIBOGO RT.004 RW.004 KEL.CILAKU KEC.TENJO KAB.BOGOR JAWA BARAT</v>
      </c>
      <c r="U414" s="85" t="str">
        <f>IFERROR(__xludf.DUMMYFUNCTION("""COMPUTED_VALUE"""),"Jl. Raya Tenjo, tegal, pondoh")</f>
        <v>Jl. Raya Tenjo, tegal, pondoh</v>
      </c>
      <c r="V414" s="85"/>
      <c r="W414" s="85" t="str">
        <f>IFERROR(__xludf.DUMMYFUNCTION("""COMPUTED_VALUE"""),"Cilaku")</f>
        <v>Cilaku</v>
      </c>
      <c r="X414" s="85" t="str">
        <f>IFERROR(__xludf.DUMMYFUNCTION("""COMPUTED_VALUE"""),"Tenjo")</f>
        <v>Tenjo</v>
      </c>
      <c r="Y414" s="85" t="str">
        <f>IFERROR(__xludf.DUMMYFUNCTION("""COMPUTED_VALUE"""),"Kab.Bogor")</f>
        <v>Kab.Bogor</v>
      </c>
      <c r="Z414" s="85" t="str">
        <f>IFERROR(__xludf.DUMMYFUNCTION("""COMPUTED_VALUE"""),"Jawa Barat")</f>
        <v>Jawa Barat</v>
      </c>
      <c r="AA414" s="85" t="str">
        <f>IFERROR(__xludf.DUMMYFUNCTION("""COMPUTED_VALUE"""),"16370")</f>
        <v>16370</v>
      </c>
      <c r="AB414" s="85" t="str">
        <f>IFERROR(__xludf.DUMMYFUNCTION("""COMPUTED_VALUE"""),"3201235706860004")</f>
        <v>3201235706860004</v>
      </c>
      <c r="AC414" s="85" t="str">
        <f>IFERROR(__xludf.DUMMYFUNCTION("""COMPUTED_VALUE"""),"44.865.247.9-434.000")</f>
        <v>44.865.247.9-434.000</v>
      </c>
      <c r="AD414" s="85" t="str">
        <f>IFERROR(__xludf.DUMMYFUNCTION("""COMPUTED_VALUE"""),"CUM - EEN")</f>
        <v>CUM - EEN</v>
      </c>
      <c r="AE414" s="85" t="str">
        <f>IFERROR(__xludf.DUMMYFUNCTION("""COMPUTED_VALUE"""),"SUB EEN")</f>
        <v>SUB EEN</v>
      </c>
      <c r="AF414" s="85" t="str">
        <f>IFERROR(__xludf.DUMMYFUNCTION("""COMPUTED_VALUE"""),"089610505219")</f>
        <v>089610505219</v>
      </c>
      <c r="AG414" s="85"/>
      <c r="AH414" s="85" t="str">
        <f>IFERROR(__xludf.DUMMYFUNCTION("""COMPUTED_VALUE"""),"Henitan@yahoo.com")</f>
        <v>Henitan@yahoo.com</v>
      </c>
      <c r="AI414" s="85" t="str">
        <f>IFERROR(__xludf.DUMMYFUNCTION("""COMPUTED_VALUE"""),"15922S1")</f>
        <v>15922S1</v>
      </c>
      <c r="AJ414" s="85" t="str">
        <f>IFERROR(__xludf.DUMMYFUNCTION("""COMPUTED_VALUE"""),"67c28a2dd5cdea52260901b0")</f>
        <v>67c28a2dd5cdea52260901b0</v>
      </c>
      <c r="AK414" s="85" t="str">
        <f>IFERROR(__xludf.DUMMYFUNCTION("""COMPUTED_VALUE"""),"dm15922s1")</f>
        <v>dm15922s1</v>
      </c>
      <c r="AL414" s="85" t="str">
        <f>IFERROR(__xludf.DUMMYFUNCTION("""COMPUTED_VALUE""")," #15922Pos")</f>
        <v> #15922Pos</v>
      </c>
      <c r="AM414" s="85" t="str">
        <f>IFERROR(__xludf.DUMMYFUNCTION("""COMPUTED_VALUE"""),"KANTOR REGIONAL II JAKARTA 10004")</f>
        <v>KANTOR REGIONAL II JAKARTA 10004</v>
      </c>
      <c r="AN414" s="85" t="str">
        <f>IFERROR(__xludf.DUMMYFUNCTION("""COMPUTED_VALUE"""),"KCU BOGOR 16000")</f>
        <v>KCU BOGOR 16000</v>
      </c>
      <c r="AO414" s="85" t="str">
        <f>IFERROR(__xludf.DUMMYFUNCTION("""COMPUTED_VALUE"""),"3101250021087")</f>
        <v>3101250021087</v>
      </c>
      <c r="AP414" s="85" t="str">
        <f>IFERROR(__xludf.DUMMYFUNCTION("""COMPUTED_VALUE"""),"31012500210870001")</f>
        <v>31012500210870001</v>
      </c>
      <c r="AQ414" s="93"/>
      <c r="AR414" s="85"/>
      <c r="AS414" s="85"/>
      <c r="AT414" s="85" t="str">
        <f>IFERROR(__xludf.DUMMYFUNCTION("""COMPUTED_VALUE"""),"-6.322991")</f>
        <v>-6.322991</v>
      </c>
      <c r="AU414" s="85" t="str">
        <f>IFERROR(__xludf.DUMMYFUNCTION("""COMPUTED_VALUE"""),"106.472566")</f>
        <v>106.472566</v>
      </c>
      <c r="AV414" s="85"/>
      <c r="AW414" s="85"/>
      <c r="AX414" s="85" t="str">
        <f>IFERROR(__xludf.DUMMYFUNCTION("""COMPUTED_VALUE"""),"ü")</f>
        <v>ü</v>
      </c>
      <c r="AY414" s="85"/>
      <c r="AZ414" s="85"/>
      <c r="BA414" s="85"/>
      <c r="BB414" s="85"/>
      <c r="BC414" s="85"/>
      <c r="BD414" s="85"/>
      <c r="BE414" s="85"/>
      <c r="BF414" s="85"/>
      <c r="BG414" s="85"/>
      <c r="BH414" s="85"/>
      <c r="BI414" s="85"/>
      <c r="BJ414" s="85"/>
      <c r="BK414" s="85"/>
      <c r="BL414" s="85"/>
      <c r="BM414" s="85"/>
      <c r="BN414" s="85"/>
      <c r="BO414" s="85"/>
      <c r="BP414" s="85"/>
      <c r="BQ414" s="85"/>
      <c r="BR414" s="85"/>
      <c r="BS414" s="85"/>
      <c r="BT414" s="85"/>
      <c r="BU414" s="85"/>
      <c r="BV414" s="85"/>
      <c r="BW414" s="85"/>
      <c r="BX414" s="85"/>
      <c r="BY414" s="85"/>
      <c r="BZ414" s="85"/>
      <c r="CA414" s="85"/>
      <c r="CB414" s="85"/>
      <c r="CC414" s="85"/>
      <c r="CD414" s="85"/>
      <c r="CE414" s="85"/>
      <c r="CF414" s="85"/>
      <c r="CG414" s="85"/>
      <c r="CH414" s="85"/>
      <c r="CI414" s="85"/>
      <c r="CJ414" s="85"/>
      <c r="CK414" s="2"/>
    </row>
    <row r="415" ht="12.75" customHeight="1">
      <c r="A415" s="80">
        <f>IFERROR(__xludf.DUMMYFUNCTION("""COMPUTED_VALUE"""),412.0)</f>
        <v>412</v>
      </c>
      <c r="B415" s="80"/>
      <c r="C415" s="80"/>
      <c r="D415" s="81">
        <f>IFERROR(__xludf.DUMMYFUNCTION("""COMPUTED_VALUE"""),45691.0)</f>
        <v>45691</v>
      </c>
      <c r="E415" s="82"/>
      <c r="F415" s="80"/>
      <c r="G415" s="81">
        <f>IFERROR(__xludf.DUMMYFUNCTION("""COMPUTED_VALUE"""),45700.0)</f>
        <v>45700</v>
      </c>
      <c r="H415" s="80"/>
      <c r="I415" s="80"/>
      <c r="J415" s="80"/>
      <c r="K415" s="80"/>
      <c r="L415" s="80">
        <f>IFERROR(__xludf.DUMMYFUNCTION("""COMPUTED_VALUE"""),9.0)</f>
        <v>9</v>
      </c>
      <c r="M415" s="80" t="str">
        <f>IFERROR(__xludf.DUMMYFUNCTION("""COMPUTED_VALUE"""),"ü")</f>
        <v>ü</v>
      </c>
      <c r="N415" s="80"/>
      <c r="O415" s="80"/>
      <c r="P415" s="80" t="str">
        <f>IFERROR(__xludf.DUMMYFUNCTION("""COMPUTED_VALUE"""),"MUCSPA63086PSIND")</f>
        <v>MUCSPA63086PSIND</v>
      </c>
      <c r="Q415" s="80" t="str">
        <f>IFERROR(__xludf.DUMMYFUNCTION("""COMPUTED_VALUE"""),"MUC Nurfida id")</f>
        <v>MUC Nurfida id</v>
      </c>
      <c r="R415" s="80" t="str">
        <f>IFERROR(__xludf.DUMMYFUNCTION("""COMPUTED_VALUE"""),"MUC Nurfida id")</f>
        <v>MUC Nurfida id</v>
      </c>
      <c r="S415" s="80" t="str">
        <f>IFERROR(__xludf.DUMMYFUNCTION("""COMPUTED_VALUE"""),"Haidar Izzul Islam")</f>
        <v>Haidar Izzul Islam</v>
      </c>
      <c r="T415" s="80" t="str">
        <f>IFERROR(__xludf.DUMMYFUNCTION("""COMPUTED_VALUE"""),"JL. KAPT. SAMADIKUN RT. 002/011 ")</f>
        <v>JL. KAPT. SAMADIKUN RT. 002/011 </v>
      </c>
      <c r="U415" s="80" t="str">
        <f>IFERROR(__xludf.DUMMYFUNCTION("""COMPUTED_VALUE"""),"jl kampung baru rt 07/01")</f>
        <v>jl kampung baru rt 07/01</v>
      </c>
      <c r="V415" s="80"/>
      <c r="W415" s="80" t="str">
        <f>IFERROR(__xludf.DUMMYFUNCTION("""COMPUTED_VALUE"""),"Kesenden")</f>
        <v>Kesenden</v>
      </c>
      <c r="X415" s="80" t="str">
        <f>IFERROR(__xludf.DUMMYFUNCTION("""COMPUTED_VALUE"""),"Kejaksan")</f>
        <v>Kejaksan</v>
      </c>
      <c r="Y415" s="80" t="str">
        <f>IFERROR(__xludf.DUMMYFUNCTION("""COMPUTED_VALUE"""),"Cirebon")</f>
        <v>Cirebon</v>
      </c>
      <c r="Z415" s="80" t="str">
        <f>IFERROR(__xludf.DUMMYFUNCTION("""COMPUTED_VALUE"""),"jawa Barat")</f>
        <v>jawa Barat</v>
      </c>
      <c r="AA415" s="80" t="str">
        <f>IFERROR(__xludf.DUMMYFUNCTION("""COMPUTED_VALUE"""),"45121")</f>
        <v>45121</v>
      </c>
      <c r="AB415" s="80" t="str">
        <f>IFERROR(__xludf.DUMMYFUNCTION("""COMPUTED_VALUE"""),"3274011409960004")</f>
        <v>3274011409960004</v>
      </c>
      <c r="AC415" s="80" t="str">
        <f>IFERROR(__xludf.DUMMYFUNCTION("""COMPUTED_VALUE"""),"74.202.817.8-426.000")</f>
        <v>74.202.817.8-426.000</v>
      </c>
      <c r="AD415" s="80" t="str">
        <f>IFERROR(__xludf.DUMMYFUNCTION("""COMPUTED_VALUE"""),"CUM - PS - NUR")</f>
        <v>CUM - PS - NUR</v>
      </c>
      <c r="AE415" s="80" t="str">
        <f>IFERROR(__xludf.DUMMYFUNCTION("""COMPUTED_VALUE"""),"SUB NUR POS")</f>
        <v>SUB NUR POS</v>
      </c>
      <c r="AF415" s="80" t="str">
        <f>IFERROR(__xludf.DUMMYFUNCTION("""COMPUTED_VALUE"""),"08987364628")</f>
        <v>08987364628</v>
      </c>
      <c r="AG415" s="80"/>
      <c r="AH415" s="80" t="str">
        <f>IFERROR(__xludf.DUMMYFUNCTION("""COMPUTED_VALUE"""),"haidar.izzul.islam@gmail.com")</f>
        <v>haidar.izzul.islam@gmail.com</v>
      </c>
      <c r="AI415" s="80" t="str">
        <f>IFERROR(__xludf.DUMMYFUNCTION("""COMPUTED_VALUE"""),"45121S2")</f>
        <v>45121S2</v>
      </c>
      <c r="AJ415" s="80" t="str">
        <f>IFERROR(__xludf.DUMMYFUNCTION("""COMPUTED_VALUE"""),"67ab5ac675ab37c564085459")</f>
        <v>67ab5ac675ab37c564085459</v>
      </c>
      <c r="AK415" s="80" t="str">
        <f>IFERROR(__xludf.DUMMYFUNCTION("""COMPUTED_VALUE"""),"dm45121s2")</f>
        <v>dm45121s2</v>
      </c>
      <c r="AL415" s="80" t="str">
        <f>IFERROR(__xludf.DUMMYFUNCTION("""COMPUTED_VALUE"""),"#45121Pos")</f>
        <v>#45121Pos</v>
      </c>
      <c r="AM415" s="80" t="str">
        <f>IFERROR(__xludf.DUMMYFUNCTION("""COMPUTED_VALUE"""),"KANTOR REGIONAL III BANDUNG 40004")</f>
        <v>KANTOR REGIONAL III BANDUNG 40004</v>
      </c>
      <c r="AN415" s="80" t="str">
        <f>IFERROR(__xludf.DUMMYFUNCTION("""COMPUTED_VALUE"""),"KCU CIREBON 45100")</f>
        <v>KCU CIREBON 45100</v>
      </c>
      <c r="AO415" s="80" t="str">
        <f>IFERROR(__xludf.DUMMYFUNCTION("""COMPUTED_VALUE"""),"1601250046972")</f>
        <v>1601250046972</v>
      </c>
      <c r="AP415" s="80" t="str">
        <f>IFERROR(__xludf.DUMMYFUNCTION("""COMPUTED_VALUE"""),"16012500469720001")</f>
        <v>16012500469720001</v>
      </c>
      <c r="AQ415" s="83"/>
      <c r="AR415" s="80"/>
      <c r="AS415" s="80"/>
      <c r="AT415" s="80" t="str">
        <f>IFERROR(__xludf.DUMMYFUNCTION("""COMPUTED_VALUE"""),"-6.698653 ")</f>
        <v>-6.698653 </v>
      </c>
      <c r="AU415" s="80" t="str">
        <f>IFERROR(__xludf.DUMMYFUNCTION("""COMPUTED_VALUE"""),"108.563316")</f>
        <v>108.563316</v>
      </c>
      <c r="AV415" s="80"/>
      <c r="AW415" s="80"/>
      <c r="AX415" s="80" t="str">
        <f>IFERROR(__xludf.DUMMYFUNCTION("""COMPUTED_VALUE"""),"ü")</f>
        <v>ü</v>
      </c>
      <c r="AY415" s="80"/>
      <c r="AZ415" s="80"/>
      <c r="BA415" s="80"/>
      <c r="BB415" s="80"/>
      <c r="BC415" s="80"/>
      <c r="BD415" s="80"/>
      <c r="BE415" s="80"/>
      <c r="BF415" s="80"/>
      <c r="BG415" s="80"/>
      <c r="BH415" s="80"/>
      <c r="BI415" s="80"/>
      <c r="BJ415" s="80"/>
      <c r="BK415" s="80"/>
      <c r="BL415" s="80"/>
      <c r="BM415" s="80"/>
      <c r="BN415" s="80"/>
      <c r="BO415" s="80"/>
      <c r="BP415" s="80"/>
      <c r="BQ415" s="80"/>
      <c r="BR415" s="80"/>
      <c r="BS415" s="80"/>
      <c r="BT415" s="80"/>
      <c r="BU415" s="80"/>
      <c r="BV415" s="80"/>
      <c r="BW415" s="80"/>
      <c r="BX415" s="80"/>
      <c r="BY415" s="80"/>
      <c r="BZ415" s="80"/>
      <c r="CA415" s="80"/>
      <c r="CB415" s="80"/>
      <c r="CC415" s="80"/>
      <c r="CD415" s="80"/>
      <c r="CE415" s="80"/>
      <c r="CF415" s="80"/>
      <c r="CG415" s="80"/>
      <c r="CH415" s="80"/>
      <c r="CI415" s="80"/>
      <c r="CJ415" s="80"/>
      <c r="CK415" s="2"/>
    </row>
    <row r="416" ht="12.75" customHeight="1">
      <c r="A416" s="85">
        <f>IFERROR(__xludf.DUMMYFUNCTION("""COMPUTED_VALUE"""),413.0)</f>
        <v>413</v>
      </c>
      <c r="B416" s="85"/>
      <c r="C416" s="85"/>
      <c r="D416" s="86">
        <f>IFERROR(__xludf.DUMMYFUNCTION("""COMPUTED_VALUE"""),45691.0)</f>
        <v>45691</v>
      </c>
      <c r="E416" s="88"/>
      <c r="F416" s="85"/>
      <c r="G416" s="86">
        <f>IFERROR(__xludf.DUMMYFUNCTION("""COMPUTED_VALUE"""),45694.0)</f>
        <v>45694</v>
      </c>
      <c r="H416" s="85"/>
      <c r="I416" s="85"/>
      <c r="J416" s="85"/>
      <c r="K416" s="85"/>
      <c r="L416" s="85">
        <f>IFERROR(__xludf.DUMMYFUNCTION("""COMPUTED_VALUE"""),3.0)</f>
        <v>3</v>
      </c>
      <c r="M416" s="85" t="str">
        <f>IFERROR(__xludf.DUMMYFUNCTION("""COMPUTED_VALUE"""),"ü")</f>
        <v>ü</v>
      </c>
      <c r="N416" s="85"/>
      <c r="O416" s="85"/>
      <c r="P416" s="85" t="str">
        <f>IFERROR(__xludf.DUMMYFUNCTION("""COMPUTED_VALUE"""),"MUCSPA63087PSIND")</f>
        <v>MUCSPA63087PSIND</v>
      </c>
      <c r="Q416" s="85" t="str">
        <f>IFERROR(__xludf.DUMMYFUNCTION("""COMPUTED_VALUE"""),"MUC Aldara Tanjung")</f>
        <v>MUC Aldara Tanjung</v>
      </c>
      <c r="R416" s="85" t="str">
        <f>IFERROR(__xludf.DUMMYFUNCTION("""COMPUTED_VALUE"""),"MUC Aldara Tanjung")</f>
        <v>MUC Aldara Tanjung</v>
      </c>
      <c r="S416" s="85" t="str">
        <f>IFERROR(__xludf.DUMMYFUNCTION("""COMPUTED_VALUE"""),"Ade Muhammad Syamkirana Putra")</f>
        <v>Ade Muhammad Syamkirana Putra</v>
      </c>
      <c r="T416" s="85" t="str">
        <f>IFERROR(__xludf.DUMMYFUNCTION("""COMPUTED_VALUE"""),"JL. Pamujan Timur No.282-283 RT.003/RW.010")</f>
        <v>JL. Pamujan Timur No.282-283 RT.003/RW.010</v>
      </c>
      <c r="U416" s="85" t="str">
        <f>IFERROR(__xludf.DUMMYFUNCTION("""COMPUTED_VALUE"""),"JL. Veteran No.2 RT.003/RW.004, ")</f>
        <v>JL. Veteran No.2 RT.003/RW.004, </v>
      </c>
      <c r="V416" s="85"/>
      <c r="W416" s="85" t="str">
        <f>IFERROR(__xludf.DUMMYFUNCTION("""COMPUTED_VALUE"""),"Tanjung")</f>
        <v>Tanjung</v>
      </c>
      <c r="X416" s="85" t="str">
        <f>IFERROR(__xludf.DUMMYFUNCTION("""COMPUTED_VALUE"""),"Purwokerto Selatan")</f>
        <v>Purwokerto Selatan</v>
      </c>
      <c r="Y416" s="85" t="str">
        <f>IFERROR(__xludf.DUMMYFUNCTION("""COMPUTED_VALUE"""),"Banyumas")</f>
        <v>Banyumas</v>
      </c>
      <c r="Z416" s="85" t="str">
        <f>IFERROR(__xludf.DUMMYFUNCTION("""COMPUTED_VALUE"""),"Jawa Tengah")</f>
        <v>Jawa Tengah</v>
      </c>
      <c r="AA416" s="85" t="str">
        <f>IFERROR(__xludf.DUMMYFUNCTION("""COMPUTED_VALUE"""),"53143")</f>
        <v>53143</v>
      </c>
      <c r="AB416" s="85" t="str">
        <f>IFERROR(__xludf.DUMMYFUNCTION("""COMPUTED_VALUE"""),"3302240804980002")</f>
        <v>3302240804980002</v>
      </c>
      <c r="AC416" s="85" t="str">
        <f>IFERROR(__xludf.DUMMYFUNCTION("""COMPUTED_VALUE"""),"42.499.949.8-521.000 ")</f>
        <v>42.499.949.8-521.000 </v>
      </c>
      <c r="AD416" s="85" t="str">
        <f>IFERROR(__xludf.DUMMYFUNCTION("""COMPUTED_VALUE"""),"CUM - PS - FDS")</f>
        <v>CUM - PS - FDS</v>
      </c>
      <c r="AE416" s="85" t="str">
        <f>IFERROR(__xludf.DUMMYFUNCTION("""COMPUTED_VALUE"""),"SUB FUAD POS")</f>
        <v>SUB FUAD POS</v>
      </c>
      <c r="AF416" s="85" t="str">
        <f>IFERROR(__xludf.DUMMYFUNCTION("""COMPUTED_VALUE"""),"089604048165")</f>
        <v>089604048165</v>
      </c>
      <c r="AG416" s="85"/>
      <c r="AH416" s="85" t="str">
        <f>IFERROR(__xludf.DUMMYFUNCTION("""COMPUTED_VALUE"""),"ademuhammad080498@gmail.com")</f>
        <v>ademuhammad080498@gmail.com</v>
      </c>
      <c r="AI416" s="85" t="str">
        <f>IFERROR(__xludf.DUMMYFUNCTION("""COMPUTED_VALUE"""),"53143S1")</f>
        <v>53143S1</v>
      </c>
      <c r="AJ416" s="85" t="str">
        <f>IFERROR(__xludf.DUMMYFUNCTION("""COMPUTED_VALUE"""),"67a355ce52c8ee8a710ad44b")</f>
        <v>67a355ce52c8ee8a710ad44b</v>
      </c>
      <c r="AK416" s="85" t="str">
        <f>IFERROR(__xludf.DUMMYFUNCTION("""COMPUTED_VALUE"""),"dm53143s1")</f>
        <v>dm53143s1</v>
      </c>
      <c r="AL416" s="85" t="str">
        <f>IFERROR(__xludf.DUMMYFUNCTION("""COMPUTED_VALUE"""),"#53143Pos")</f>
        <v>#53143Pos</v>
      </c>
      <c r="AM416" s="85" t="str">
        <f>IFERROR(__xludf.DUMMYFUNCTION("""COMPUTED_VALUE"""),"KANTOR REGIONAL IV SEMARANG 50004")</f>
        <v>KANTOR REGIONAL IV SEMARANG 50004</v>
      </c>
      <c r="AN416" s="85" t="str">
        <f>IFERROR(__xludf.DUMMYFUNCTION("""COMPUTED_VALUE"""),"KCU PURWOKERTO 53100")</f>
        <v>KCU PURWOKERTO 53100</v>
      </c>
      <c r="AO416" s="85" t="str">
        <f>IFERROR(__xludf.DUMMYFUNCTION("""COMPUTED_VALUE"""),"1804230019332")</f>
        <v>1804230019332</v>
      </c>
      <c r="AP416" s="85" t="str">
        <f>IFERROR(__xludf.DUMMYFUNCTION("""COMPUTED_VALUE"""),"18042300193320005")</f>
        <v>18042300193320005</v>
      </c>
      <c r="AQ416" s="93"/>
      <c r="AR416" s="85"/>
      <c r="AS416" s="85"/>
      <c r="AT416" s="85" t="str">
        <f>IFERROR(__xludf.DUMMYFUNCTION("""COMPUTED_VALUE"""),"-7.437741")</f>
        <v>-7.437741</v>
      </c>
      <c r="AU416" s="85" t="str">
        <f>IFERROR(__xludf.DUMMYFUNCTION("""COMPUTED_VALUE"""),"109.219194")</f>
        <v>109.219194</v>
      </c>
      <c r="AV416" s="85"/>
      <c r="AW416" s="85"/>
      <c r="AX416" s="85" t="str">
        <f>IFERROR(__xludf.DUMMYFUNCTION("""COMPUTED_VALUE"""),"ü")</f>
        <v>ü</v>
      </c>
      <c r="AY416" s="85"/>
      <c r="AZ416" s="85"/>
      <c r="BA416" s="85"/>
      <c r="BB416" s="85"/>
      <c r="BC416" s="85"/>
      <c r="BD416" s="85"/>
      <c r="BE416" s="85"/>
      <c r="BF416" s="85"/>
      <c r="BG416" s="85"/>
      <c r="BH416" s="85"/>
      <c r="BI416" s="85"/>
      <c r="BJ416" s="85"/>
      <c r="BK416" s="85"/>
      <c r="BL416" s="85"/>
      <c r="BM416" s="85"/>
      <c r="BN416" s="85"/>
      <c r="BO416" s="85"/>
      <c r="BP416" s="85"/>
      <c r="BQ416" s="85"/>
      <c r="BR416" s="85"/>
      <c r="BS416" s="85"/>
      <c r="BT416" s="85"/>
      <c r="BU416" s="85"/>
      <c r="BV416" s="85"/>
      <c r="BW416" s="85"/>
      <c r="BX416" s="85"/>
      <c r="BY416" s="85"/>
      <c r="BZ416" s="85"/>
      <c r="CA416" s="85"/>
      <c r="CB416" s="85"/>
      <c r="CC416" s="85"/>
      <c r="CD416" s="85"/>
      <c r="CE416" s="85"/>
      <c r="CF416" s="85"/>
      <c r="CG416" s="85"/>
      <c r="CH416" s="85"/>
      <c r="CI416" s="85"/>
      <c r="CJ416" s="85"/>
      <c r="CK416" s="2"/>
    </row>
    <row r="417" ht="12.75" customHeight="1">
      <c r="A417" s="80">
        <f>IFERROR(__xludf.DUMMYFUNCTION("""COMPUTED_VALUE"""),414.0)</f>
        <v>414</v>
      </c>
      <c r="B417" s="80"/>
      <c r="C417" s="80"/>
      <c r="D417" s="81">
        <f>IFERROR(__xludf.DUMMYFUNCTION("""COMPUTED_VALUE"""),45691.0)</f>
        <v>45691</v>
      </c>
      <c r="E417" s="82"/>
      <c r="F417" s="80"/>
      <c r="G417" s="81">
        <f>IFERROR(__xludf.DUMMYFUNCTION("""COMPUTED_VALUE"""),45726.0)</f>
        <v>45726</v>
      </c>
      <c r="H417" s="80"/>
      <c r="I417" s="80"/>
      <c r="J417" s="80"/>
      <c r="K417" s="80"/>
      <c r="L417" s="80">
        <f>IFERROR(__xludf.DUMMYFUNCTION("""COMPUTED_VALUE"""),35.0)</f>
        <v>35</v>
      </c>
      <c r="M417" s="80" t="str">
        <f>IFERROR(__xludf.DUMMYFUNCTION("""COMPUTED_VALUE"""),"ü")</f>
        <v>ü</v>
      </c>
      <c r="N417" s="80"/>
      <c r="O417" s="80"/>
      <c r="P417" s="80" t="str">
        <f>IFERROR(__xludf.DUMMYFUNCTION("""COMPUTED_VALUE"""),"53BSPA09377JBEEN")</f>
        <v>53BSPA09377JBEEN</v>
      </c>
      <c r="Q417" s="80" t="str">
        <f>IFERROR(__xludf.DUMMYFUNCTION("""COMPUTED_VALUE"""),"MUC Sagalaya")</f>
        <v>MUC Sagalaya</v>
      </c>
      <c r="R417" s="80" t="str">
        <f>IFERROR(__xludf.DUMMYFUNCTION("""COMPUTED_VALUE"""),"MUC Sagalaya")</f>
        <v>MUC Sagalaya</v>
      </c>
      <c r="S417" s="80" t="str">
        <f>IFERROR(__xludf.DUMMYFUNCTION("""COMPUTED_VALUE"""),"Sri Kamila Ekawati")</f>
        <v>Sri Kamila Ekawati</v>
      </c>
      <c r="T417" s="80" t="str">
        <f>IFERROR(__xludf.DUMMYFUNCTION("""COMPUTED_VALUE"""),"JL. BANGKA II / 37 RT.017 RW.003 KEL.PELA MAMPANG KEC.MAMPANG PRAPATAN JAKARTA SELATAN")</f>
        <v>JL. BANGKA II / 37 RT.017 RW.003 KEL.PELA MAMPANG KEC.MAMPANG PRAPATAN JAKARTA SELATAN</v>
      </c>
      <c r="U417" s="80" t="str">
        <f>IFERROR(__xludf.DUMMYFUNCTION("""COMPUTED_VALUE"""),"Gg. H. Abu Saman I No.37, RT.17/RW.3")</f>
        <v>Gg. H. Abu Saman I No.37, RT.17/RW.3</v>
      </c>
      <c r="V417" s="80"/>
      <c r="W417" s="80" t="str">
        <f>IFERROR(__xludf.DUMMYFUNCTION("""COMPUTED_VALUE"""),"Pela Mampang")</f>
        <v>Pela Mampang</v>
      </c>
      <c r="X417" s="80" t="str">
        <f>IFERROR(__xludf.DUMMYFUNCTION("""COMPUTED_VALUE"""),"Mampang Prapatan")</f>
        <v>Mampang Prapatan</v>
      </c>
      <c r="Y417" s="80" t="str">
        <f>IFERROR(__xludf.DUMMYFUNCTION("""COMPUTED_VALUE"""),"Jakarta Selatan")</f>
        <v>Jakarta Selatan</v>
      </c>
      <c r="Z417" s="80" t="str">
        <f>IFERROR(__xludf.DUMMYFUNCTION("""COMPUTED_VALUE"""),"DKI Jakarta")</f>
        <v>DKI Jakarta</v>
      </c>
      <c r="AA417" s="80" t="str">
        <f>IFERROR(__xludf.DUMMYFUNCTION("""COMPUTED_VALUE"""),"12720")</f>
        <v>12720</v>
      </c>
      <c r="AB417" s="80" t="str">
        <f>IFERROR(__xludf.DUMMYFUNCTION("""COMPUTED_VALUE"""),"3174035305760003")</f>
        <v>3174035305760003</v>
      </c>
      <c r="AC417" s="80" t="str">
        <f>IFERROR(__xludf.DUMMYFUNCTION("""COMPUTED_VALUE"""),"21.542.224.7-014.000")</f>
        <v>21.542.224.7-014.000</v>
      </c>
      <c r="AD417" s="80" t="str">
        <f>IFERROR(__xludf.DUMMYFUNCTION("""COMPUTED_VALUE"""),"CUM - EEN")</f>
        <v>CUM - EEN</v>
      </c>
      <c r="AE417" s="80" t="str">
        <f>IFERROR(__xludf.DUMMYFUNCTION("""COMPUTED_VALUE"""),"SUB EEN")</f>
        <v>SUB EEN</v>
      </c>
      <c r="AF417" s="80" t="str">
        <f>IFERROR(__xludf.DUMMYFUNCTION("""COMPUTED_VALUE"""),"085710993355")</f>
        <v>085710993355</v>
      </c>
      <c r="AG417" s="80"/>
      <c r="AH417" s="80" t="str">
        <f>IFERROR(__xludf.DUMMYFUNCTION("""COMPUTED_VALUE"""),"tazakkamila@gmail.com")</f>
        <v>tazakkamila@gmail.com</v>
      </c>
      <c r="AI417" s="80" t="str">
        <f>IFERROR(__xludf.DUMMYFUNCTION("""COMPUTED_VALUE"""),"12720S4")</f>
        <v>12720S4</v>
      </c>
      <c r="AJ417" s="80" t="str">
        <f>IFERROR(__xludf.DUMMYFUNCTION("""COMPUTED_VALUE"""),"67c2b2826b573853cb007460")</f>
        <v>67c2b2826b573853cb007460</v>
      </c>
      <c r="AK417" s="80" t="str">
        <f>IFERROR(__xludf.DUMMYFUNCTION("""COMPUTED_VALUE"""),"dm12720s4")</f>
        <v>dm12720s4</v>
      </c>
      <c r="AL417" s="80" t="str">
        <f>IFERROR(__xludf.DUMMYFUNCTION("""COMPUTED_VALUE"""),"#12720Pos")</f>
        <v>#12720Pos</v>
      </c>
      <c r="AM417" s="80" t="str">
        <f>IFERROR(__xludf.DUMMYFUNCTION("""COMPUTED_VALUE"""),"KANTOR REGIONAL II JAKARTA 10004")</f>
        <v>KANTOR REGIONAL II JAKARTA 10004</v>
      </c>
      <c r="AN417" s="80" t="str">
        <f>IFERROR(__xludf.DUMMYFUNCTION("""COMPUTED_VALUE"""),"KCU JAKARTAFLORA 12000")</f>
        <v>KCU JAKARTAFLORA 12000</v>
      </c>
      <c r="AO417" s="80" t="str">
        <f>IFERROR(__xludf.DUMMYFUNCTION("""COMPUTED_VALUE"""),"1212000643804")</f>
        <v>1212000643804</v>
      </c>
      <c r="AP417" s="80" t="str">
        <f>IFERROR(__xludf.DUMMYFUNCTION("""COMPUTED_VALUE"""),"12120006438040001")</f>
        <v>12120006438040001</v>
      </c>
      <c r="AQ417" s="83"/>
      <c r="AR417" s="80"/>
      <c r="AS417" s="80"/>
      <c r="AT417" s="80" t="str">
        <f>IFERROR(__xludf.DUMMYFUNCTION("""COMPUTED_VALUE"""),"-6.247205")</f>
        <v>-6.247205</v>
      </c>
      <c r="AU417" s="80" t="str">
        <f>IFERROR(__xludf.DUMMYFUNCTION("""COMPUTED_VALUE"""),"106.818548")</f>
        <v>106.818548</v>
      </c>
      <c r="AV417" s="80"/>
      <c r="AW417" s="80"/>
      <c r="AX417" s="80" t="str">
        <f>IFERROR(__xludf.DUMMYFUNCTION("""COMPUTED_VALUE"""),"ü")</f>
        <v>ü</v>
      </c>
      <c r="AY417" s="80"/>
      <c r="AZ417" s="80"/>
      <c r="BA417" s="80"/>
      <c r="BB417" s="80"/>
      <c r="BC417" s="80"/>
      <c r="BD417" s="80"/>
      <c r="BE417" s="80"/>
      <c r="BF417" s="80"/>
      <c r="BG417" s="80"/>
      <c r="BH417" s="80"/>
      <c r="BI417" s="80"/>
      <c r="BJ417" s="80"/>
      <c r="BK417" s="80"/>
      <c r="BL417" s="80"/>
      <c r="BM417" s="80"/>
      <c r="BN417" s="80"/>
      <c r="BO417" s="80"/>
      <c r="BP417" s="80"/>
      <c r="BQ417" s="80"/>
      <c r="BR417" s="80"/>
      <c r="BS417" s="80"/>
      <c r="BT417" s="80"/>
      <c r="BU417" s="80"/>
      <c r="BV417" s="80"/>
      <c r="BW417" s="80"/>
      <c r="BX417" s="80"/>
      <c r="BY417" s="80"/>
      <c r="BZ417" s="80"/>
      <c r="CA417" s="80"/>
      <c r="CB417" s="80"/>
      <c r="CC417" s="80"/>
      <c r="CD417" s="80"/>
      <c r="CE417" s="80"/>
      <c r="CF417" s="80"/>
      <c r="CG417" s="80"/>
      <c r="CH417" s="80"/>
      <c r="CI417" s="80"/>
      <c r="CJ417" s="80"/>
      <c r="CK417" s="2"/>
    </row>
    <row r="418" ht="12.75" customHeight="1">
      <c r="A418" s="85">
        <f>IFERROR(__xludf.DUMMYFUNCTION("""COMPUTED_VALUE"""),415.0)</f>
        <v>415</v>
      </c>
      <c r="B418" s="85"/>
      <c r="C418" s="85"/>
      <c r="D418" s="86">
        <f>IFERROR(__xludf.DUMMYFUNCTION("""COMPUTED_VALUE"""),45691.0)</f>
        <v>45691</v>
      </c>
      <c r="E418" s="88"/>
      <c r="F418" s="85"/>
      <c r="G418" s="86">
        <f>IFERROR(__xludf.DUMMYFUNCTION("""COMPUTED_VALUE"""),45694.0)</f>
        <v>45694</v>
      </c>
      <c r="H418" s="85"/>
      <c r="I418" s="85"/>
      <c r="J418" s="85"/>
      <c r="K418" s="85"/>
      <c r="L418" s="85">
        <f>IFERROR(__xludf.DUMMYFUNCTION("""COMPUTED_VALUE"""),3.0)</f>
        <v>3</v>
      </c>
      <c r="M418" s="85" t="str">
        <f>IFERROR(__xludf.DUMMYFUNCTION("""COMPUTED_VALUE"""),"ü")</f>
        <v>ü</v>
      </c>
      <c r="N418" s="85"/>
      <c r="O418" s="85"/>
      <c r="P418" s="85" t="str">
        <f>IFERROR(__xludf.DUMMYFUNCTION("""COMPUTED_VALUE"""),"MUCSPA63088PSIND")</f>
        <v>MUCSPA63088PSIND</v>
      </c>
      <c r="Q418" s="85" t="str">
        <f>IFERROR(__xludf.DUMMYFUNCTION("""COMPUTED_VALUE"""),"MUC KUSUMA")</f>
        <v>MUC KUSUMA</v>
      </c>
      <c r="R418" s="85" t="str">
        <f>IFERROR(__xludf.DUMMYFUNCTION("""COMPUTED_VALUE"""),"MUC KUSUMA")</f>
        <v>MUC KUSUMA</v>
      </c>
      <c r="S418" s="85" t="str">
        <f>IFERROR(__xludf.DUMMYFUNCTION("""COMPUTED_VALUE"""),"DWI KUSUMA DEWI")</f>
        <v>DWI KUSUMA DEWI</v>
      </c>
      <c r="T418" s="85" t="str">
        <f>IFERROR(__xludf.DUMMYFUNCTION("""COMPUTED_VALUE"""),"PINGIT RT.002 RW.009 KEL.BOLONG KEC.KARANGANYAR KAB.KARANGANYAR")</f>
        <v>PINGIT RT.002 RW.009 KEL.BOLONG KEC.KARANGANYAR KAB.KARANGANYAR</v>
      </c>
      <c r="U418" s="85" t="str">
        <f>IFERROR(__xludf.DUMMYFUNCTION("""COMPUTED_VALUE"""),"Surakarta")</f>
        <v>Surakarta</v>
      </c>
      <c r="V418" s="85"/>
      <c r="W418" s="85" t="str">
        <f>IFERROR(__xludf.DUMMYFUNCTION("""COMPUTED_VALUE"""),"Kampungbaru")</f>
        <v>Kampungbaru</v>
      </c>
      <c r="X418" s="85" t="str">
        <f>IFERROR(__xludf.DUMMYFUNCTION("""COMPUTED_VALUE"""),"Pasar Kliwon")</f>
        <v>Pasar Kliwon</v>
      </c>
      <c r="Y418" s="85" t="str">
        <f>IFERROR(__xludf.DUMMYFUNCTION("""COMPUTED_VALUE"""),"Kota Surakarta")</f>
        <v>Kota Surakarta</v>
      </c>
      <c r="Z418" s="85" t="str">
        <f>IFERROR(__xludf.DUMMYFUNCTION("""COMPUTED_VALUE"""),"Jawa Tengah")</f>
        <v>Jawa Tengah</v>
      </c>
      <c r="AA418" s="85" t="str">
        <f>IFERROR(__xludf.DUMMYFUNCTION("""COMPUTED_VALUE"""),"57133")</f>
        <v>57133</v>
      </c>
      <c r="AB418" s="85" t="str">
        <f>IFERROR(__xludf.DUMMYFUNCTION("""COMPUTED_VALUE"""),"3313093405920002")</f>
        <v>3313093405920002</v>
      </c>
      <c r="AC418" s="85" t="str">
        <f>IFERROR(__xludf.DUMMYFUNCTION("""COMPUTED_VALUE"""),"95.802.987.8-528.000")</f>
        <v>95.802.987.8-528.000</v>
      </c>
      <c r="AD418" s="85" t="str">
        <f>IFERROR(__xludf.DUMMYFUNCTION("""COMPUTED_VALUE"""),"CUM - PS - RFSI")</f>
        <v>CUM - PS - RFSI</v>
      </c>
      <c r="AE418" s="85" t="str">
        <f>IFERROR(__xludf.DUMMYFUNCTION("""COMPUTED_VALUE"""),"SUB RIZKI POS")</f>
        <v>SUB RIZKI POS</v>
      </c>
      <c r="AF418" s="85" t="str">
        <f>IFERROR(__xludf.DUMMYFUNCTION("""COMPUTED_VALUE"""),"085809049574")</f>
        <v>085809049574</v>
      </c>
      <c r="AG418" s="85"/>
      <c r="AH418" s="85" t="str">
        <f>IFERROR(__xludf.DUMMYFUNCTION("""COMPUTED_VALUE"""),"Romadhoniagussetiawan@gmail.com")</f>
        <v>Romadhoniagussetiawan@gmail.com</v>
      </c>
      <c r="AI418" s="85" t="str">
        <f>IFERROR(__xludf.DUMMYFUNCTION("""COMPUTED_VALUE"""),"57111S1")</f>
        <v>57111S1</v>
      </c>
      <c r="AJ418" s="85" t="str">
        <f>IFERROR(__xludf.DUMMYFUNCTION("""COMPUTED_VALUE"""),"67a36bf310edef79680b36a2")</f>
        <v>67a36bf310edef79680b36a2</v>
      </c>
      <c r="AK418" s="85" t="str">
        <f>IFERROR(__xludf.DUMMYFUNCTION("""COMPUTED_VALUE"""),"dm57111s1")</f>
        <v>dm57111s1</v>
      </c>
      <c r="AL418" s="85" t="str">
        <f>IFERROR(__xludf.DUMMYFUNCTION("""COMPUTED_VALUE"""),"#57111Pos")</f>
        <v>#57111Pos</v>
      </c>
      <c r="AM418" s="85" t="str">
        <f>IFERROR(__xludf.DUMMYFUNCTION("""COMPUTED_VALUE"""),"KANTOR REGIONAL IV SEMARANG 50004")</f>
        <v>KANTOR REGIONAL IV SEMARANG 50004</v>
      </c>
      <c r="AN418" s="85" t="str">
        <f>IFERROR(__xludf.DUMMYFUNCTION("""COMPUTED_VALUE"""),"KCU SOLO 57100")</f>
        <v>KCU SOLO 57100</v>
      </c>
      <c r="AO418" s="85" t="str">
        <f>IFERROR(__xludf.DUMMYFUNCTION("""COMPUTED_VALUE"""),"3001250033348")</f>
        <v>3001250033348</v>
      </c>
      <c r="AP418" s="85" t="str">
        <f>IFERROR(__xludf.DUMMYFUNCTION("""COMPUTED_VALUE"""),"30012500333480002")</f>
        <v>30012500333480002</v>
      </c>
      <c r="AQ418" s="93"/>
      <c r="AR418" s="85"/>
      <c r="AS418" s="85"/>
      <c r="AT418" s="85" t="str">
        <f>IFERROR(__xludf.DUMMYFUNCTION("""COMPUTED_VALUE"""),"-7.568717")</f>
        <v>-7.568717</v>
      </c>
      <c r="AU418" s="85" t="str">
        <f>IFERROR(__xludf.DUMMYFUNCTION("""COMPUTED_VALUE"""),"110.827588")</f>
        <v>110.827588</v>
      </c>
      <c r="AV418" s="85"/>
      <c r="AW418" s="85"/>
      <c r="AX418" s="85" t="str">
        <f>IFERROR(__xludf.DUMMYFUNCTION("""COMPUTED_VALUE"""),"ü")</f>
        <v>ü</v>
      </c>
      <c r="AY418" s="85"/>
      <c r="AZ418" s="85"/>
      <c r="BA418" s="85"/>
      <c r="BB418" s="85"/>
      <c r="BC418" s="85"/>
      <c r="BD418" s="85"/>
      <c r="BE418" s="85"/>
      <c r="BF418" s="85"/>
      <c r="BG418" s="85"/>
      <c r="BH418" s="85"/>
      <c r="BI418" s="85"/>
      <c r="BJ418" s="85"/>
      <c r="BK418" s="85"/>
      <c r="BL418" s="85"/>
      <c r="BM418" s="85"/>
      <c r="BN418" s="85"/>
      <c r="BO418" s="85"/>
      <c r="BP418" s="85"/>
      <c r="BQ418" s="85"/>
      <c r="BR418" s="85"/>
      <c r="BS418" s="85"/>
      <c r="BT418" s="85"/>
      <c r="BU418" s="85"/>
      <c r="BV418" s="85"/>
      <c r="BW418" s="85"/>
      <c r="BX418" s="85"/>
      <c r="BY418" s="85"/>
      <c r="BZ418" s="85"/>
      <c r="CA418" s="85"/>
      <c r="CB418" s="85"/>
      <c r="CC418" s="85"/>
      <c r="CD418" s="85"/>
      <c r="CE418" s="85"/>
      <c r="CF418" s="85"/>
      <c r="CG418" s="85"/>
      <c r="CH418" s="85"/>
      <c r="CI418" s="85"/>
      <c r="CJ418" s="85"/>
      <c r="CK418" s="2"/>
    </row>
    <row r="419" ht="12.75" customHeight="1">
      <c r="A419" s="80">
        <f>IFERROR(__xludf.DUMMYFUNCTION("""COMPUTED_VALUE"""),416.0)</f>
        <v>416</v>
      </c>
      <c r="B419" s="80"/>
      <c r="C419" s="80"/>
      <c r="D419" s="81">
        <f>IFERROR(__xludf.DUMMYFUNCTION("""COMPUTED_VALUE"""),45691.0)</f>
        <v>45691</v>
      </c>
      <c r="E419" s="82"/>
      <c r="F419" s="80"/>
      <c r="G419" s="81">
        <f>IFERROR(__xludf.DUMMYFUNCTION("""COMPUTED_VALUE"""),45708.0)</f>
        <v>45708</v>
      </c>
      <c r="H419" s="80"/>
      <c r="I419" s="80"/>
      <c r="J419" s="80"/>
      <c r="K419" s="80"/>
      <c r="L419" s="80">
        <f>IFERROR(__xludf.DUMMYFUNCTION("""COMPUTED_VALUE"""),17.0)</f>
        <v>17</v>
      </c>
      <c r="M419" s="80"/>
      <c r="N419" s="80" t="str">
        <f>IFERROR(__xludf.DUMMYFUNCTION("""COMPUTED_VALUE"""),"ü")</f>
        <v>ü</v>
      </c>
      <c r="O419" s="80"/>
      <c r="P419" s="80" t="str">
        <f>IFERROR(__xludf.DUMMYFUNCTION("""COMPUTED_VALUE"""),"MUCSPA63089PSIND")</f>
        <v>MUCSPA63089PSIND</v>
      </c>
      <c r="Q419" s="80" t="str">
        <f>IFERROR(__xludf.DUMMYFUNCTION("""COMPUTED_VALUE"""),"MUC AL HIKMAH")</f>
        <v>MUC AL HIKMAH</v>
      </c>
      <c r="R419" s="80" t="str">
        <f>IFERROR(__xludf.DUMMYFUNCTION("""COMPUTED_VALUE"""),"MUC AL HIKMAH")</f>
        <v>MUC AL HIKMAH</v>
      </c>
      <c r="S419" s="80" t="str">
        <f>IFERROR(__xludf.DUMMYFUNCTION("""COMPUTED_VALUE"""),"MUSHOFA ")</f>
        <v>MUSHOFA </v>
      </c>
      <c r="T419" s="80" t="str">
        <f>IFERROR(__xludf.DUMMYFUNCTION("""COMPUTED_VALUE"""),"BANJARHARJO RT 007 RW 002 ")</f>
        <v>BANJARHARJO RT 007 RW 002 </v>
      </c>
      <c r="U419" s="80" t="str">
        <f>IFERROR(__xludf.DUMMYFUNCTION("""COMPUTED_VALUE"""),"RT 007 RW 002 ")</f>
        <v>RT 007 RW 002 </v>
      </c>
      <c r="V419" s="80"/>
      <c r="W419" s="80" t="str">
        <f>IFERROR(__xludf.DUMMYFUNCTION("""COMPUTED_VALUE"""),"BANJARHARJO ")</f>
        <v>BANJARHARJO </v>
      </c>
      <c r="X419" s="80" t="str">
        <f>IFERROR(__xludf.DUMMYFUNCTION("""COMPUTED_VALUE"""),"BANJARHARJO ")</f>
        <v>BANJARHARJO </v>
      </c>
      <c r="Y419" s="80" t="str">
        <f>IFERROR(__xludf.DUMMYFUNCTION("""COMPUTED_VALUE"""),"BREBES ")</f>
        <v>BREBES </v>
      </c>
      <c r="Z419" s="80" t="str">
        <f>IFERROR(__xludf.DUMMYFUNCTION("""COMPUTED_VALUE"""),"JAWA TENGAH ")</f>
        <v>JAWA TENGAH </v>
      </c>
      <c r="AA419" s="80" t="str">
        <f>IFERROR(__xludf.DUMMYFUNCTION("""COMPUTED_VALUE"""),"52265")</f>
        <v>52265</v>
      </c>
      <c r="AB419" s="80" t="str">
        <f>IFERROR(__xludf.DUMMYFUNCTION("""COMPUTED_VALUE"""),"3329172004740002")</f>
        <v>3329172004740002</v>
      </c>
      <c r="AC419" s="80" t="str">
        <f>IFERROR(__xludf.DUMMYFUNCTION("""COMPUTED_VALUE"""),"72.522.664.1-501.000")</f>
        <v>72.522.664.1-501.000</v>
      </c>
      <c r="AD419" s="80" t="str">
        <f>IFERROR(__xludf.DUMMYFUNCTION("""COMPUTED_VALUE"""),"CUM - PS - ARFY")</f>
        <v>CUM - PS - ARFY</v>
      </c>
      <c r="AE419" s="80" t="str">
        <f>IFERROR(__xludf.DUMMYFUNCTION("""COMPUTED_VALUE"""),"SUB ARIFIYAN POS")</f>
        <v>SUB ARIFIYAN POS</v>
      </c>
      <c r="AF419" s="80" t="str">
        <f>IFERROR(__xludf.DUMMYFUNCTION("""COMPUTED_VALUE"""),"087860997537")</f>
        <v>087860997537</v>
      </c>
      <c r="AG419" s="80"/>
      <c r="AH419" s="80" t="str">
        <f>IFERROR(__xludf.DUMMYFUNCTION("""COMPUTED_VALUE"""),"sitifathiyahf@gmail.com")</f>
        <v>sitifathiyahf@gmail.com</v>
      </c>
      <c r="AI419" s="80" t="str">
        <f>IFERROR(__xludf.DUMMYFUNCTION("""COMPUTED_VALUE"""),"52265SG")</f>
        <v>52265SG</v>
      </c>
      <c r="AJ419" s="80" t="str">
        <f>IFERROR(__xludf.DUMMYFUNCTION("""COMPUTED_VALUE"""),"67aebb0d6ead3e3bd40f05cc")</f>
        <v>67aebb0d6ead3e3bd40f05cc</v>
      </c>
      <c r="AK419" s="80" t="str">
        <f>IFERROR(__xludf.DUMMYFUNCTION("""COMPUTED_VALUE"""),"dm52265sg")</f>
        <v>dm52265sg</v>
      </c>
      <c r="AL419" s="80" t="str">
        <f>IFERROR(__xludf.DUMMYFUNCTION("""COMPUTED_VALUE"""),"#52265Pos")</f>
        <v>#52265Pos</v>
      </c>
      <c r="AM419" s="80" t="str">
        <f>IFERROR(__xludf.DUMMYFUNCTION("""COMPUTED_VALUE"""),"KANTOR REGIONAL IV SEMARANG 50004")</f>
        <v>KANTOR REGIONAL IV SEMARANG 50004</v>
      </c>
      <c r="AN419" s="80" t="str">
        <f>IFERROR(__xludf.DUMMYFUNCTION("""COMPUTED_VALUE"""),"KC BREBES ")</f>
        <v>KC BREBES </v>
      </c>
      <c r="AO419" s="80" t="str">
        <f>IFERROR(__xludf.DUMMYFUNCTION("""COMPUTED_VALUE"""),"2202230035275")</f>
        <v>2202230035275</v>
      </c>
      <c r="AP419" s="80" t="str">
        <f>IFERROR(__xludf.DUMMYFUNCTION("""COMPUTED_VALUE"""),"22022300352750001")</f>
        <v>22022300352750001</v>
      </c>
      <c r="AQ419" s="83"/>
      <c r="AR419" s="80"/>
      <c r="AS419" s="80"/>
      <c r="AT419" s="80" t="str">
        <f>IFERROR(__xludf.DUMMYFUNCTION("""COMPUTED_VALUE"""),"-6.9264562")</f>
        <v>-6.9264562</v>
      </c>
      <c r="AU419" s="80" t="str">
        <f>IFERROR(__xludf.DUMMYFUNCTION("""COMPUTED_VALUE"""),"108.8630707")</f>
        <v>108.8630707</v>
      </c>
      <c r="AV419" s="80"/>
      <c r="AW419" s="80"/>
      <c r="AX419" s="80" t="str">
        <f>IFERROR(__xludf.DUMMYFUNCTION("""COMPUTED_VALUE"""),"ü")</f>
        <v>ü</v>
      </c>
      <c r="AY419" s="80"/>
      <c r="AZ419" s="80"/>
      <c r="BA419" s="80"/>
      <c r="BB419" s="80"/>
      <c r="BC419" s="80"/>
      <c r="BD419" s="80"/>
      <c r="BE419" s="80"/>
      <c r="BF419" s="80"/>
      <c r="BG419" s="80"/>
      <c r="BH419" s="80"/>
      <c r="BI419" s="80"/>
      <c r="BJ419" s="80"/>
      <c r="BK419" s="80"/>
      <c r="BL419" s="80"/>
      <c r="BM419" s="80"/>
      <c r="BN419" s="80"/>
      <c r="BO419" s="80"/>
      <c r="BP419" s="80"/>
      <c r="BQ419" s="80"/>
      <c r="BR419" s="80"/>
      <c r="BS419" s="80"/>
      <c r="BT419" s="80"/>
      <c r="BU419" s="80"/>
      <c r="BV419" s="80"/>
      <c r="BW419" s="80"/>
      <c r="BX419" s="80"/>
      <c r="BY419" s="80"/>
      <c r="BZ419" s="80"/>
      <c r="CA419" s="80"/>
      <c r="CB419" s="80"/>
      <c r="CC419" s="80"/>
      <c r="CD419" s="80"/>
      <c r="CE419" s="80"/>
      <c r="CF419" s="80"/>
      <c r="CG419" s="80"/>
      <c r="CH419" s="80"/>
      <c r="CI419" s="80"/>
      <c r="CJ419" s="80"/>
      <c r="CK419" s="2"/>
    </row>
    <row r="420" ht="12.75" customHeight="1">
      <c r="A420" s="85">
        <f>IFERROR(__xludf.DUMMYFUNCTION("""COMPUTED_VALUE"""),417.0)</f>
        <v>417</v>
      </c>
      <c r="B420" s="85"/>
      <c r="C420" s="85"/>
      <c r="D420" s="86">
        <f>IFERROR(__xludf.DUMMYFUNCTION("""COMPUTED_VALUE"""),45692.0)</f>
        <v>45692</v>
      </c>
      <c r="E420" s="88"/>
      <c r="F420" s="85"/>
      <c r="G420" s="86">
        <f>IFERROR(__xludf.DUMMYFUNCTION("""COMPUTED_VALUE"""),45712.0)</f>
        <v>45712</v>
      </c>
      <c r="H420" s="85"/>
      <c r="I420" s="85"/>
      <c r="J420" s="85"/>
      <c r="K420" s="85"/>
      <c r="L420" s="85">
        <f>IFERROR(__xludf.DUMMYFUNCTION("""COMPUTED_VALUE"""),20.0)</f>
        <v>20</v>
      </c>
      <c r="M420" s="85" t="str">
        <f>IFERROR(__xludf.DUMMYFUNCTION("""COMPUTED_VALUE"""),"ü")</f>
        <v>ü</v>
      </c>
      <c r="N420" s="85"/>
      <c r="O420" s="85"/>
      <c r="P420" s="85" t="str">
        <f>IFERROR(__xludf.DUMMYFUNCTION("""COMPUTED_VALUE"""),"53BSPA09204JBKTK")</f>
        <v>53BSPA09204JBKTK</v>
      </c>
      <c r="Q420" s="85" t="str">
        <f>IFERROR(__xludf.DUMMYFUNCTION("""COMPUTED_VALUE"""),"MUC Dropin Multilogistic Idn")</f>
        <v>MUC Dropin Multilogistic Idn</v>
      </c>
      <c r="R420" s="85" t="str">
        <f>IFERROR(__xludf.DUMMYFUNCTION("""COMPUTED_VALUE"""),"MUC Dropin Multilogistic Idn")</f>
        <v>MUC Dropin Multilogistic Idn</v>
      </c>
      <c r="S420" s="85" t="str">
        <f>IFERROR(__xludf.DUMMYFUNCTION("""COMPUTED_VALUE"""),"KHAIRATUNNISA AURORA")</f>
        <v>KHAIRATUNNISA AURORA</v>
      </c>
      <c r="T420" s="85" t="str">
        <f>IFERROR(__xludf.DUMMYFUNCTION("""COMPUTED_VALUE"""),"JL. GAMA XVII NO.15 RT.002 RW.008 KEL.CIMONE KEC.KARAWACI KOTA TANGERANG BANTEN")</f>
        <v>JL. GAMA XVII NO.15 RT.002 RW.008 KEL.CIMONE KEC.KARAWACI KOTA TANGERANG BANTEN</v>
      </c>
      <c r="U420" s="85" t="str">
        <f>IFERROR(__xludf.DUMMYFUNCTION("""COMPUTED_VALUE"""),"Jalan Gama 17")</f>
        <v>Jalan Gama 17</v>
      </c>
      <c r="V420" s="85"/>
      <c r="W420" s="85" t="str">
        <f>IFERROR(__xludf.DUMMYFUNCTION("""COMPUTED_VALUE"""),"Cimone")</f>
        <v>Cimone</v>
      </c>
      <c r="X420" s="85" t="str">
        <f>IFERROR(__xludf.DUMMYFUNCTION("""COMPUTED_VALUE"""),"Karawaci")</f>
        <v>Karawaci</v>
      </c>
      <c r="Y420" s="85" t="str">
        <f>IFERROR(__xludf.DUMMYFUNCTION("""COMPUTED_VALUE"""),"Kota Tangerang")</f>
        <v>Kota Tangerang</v>
      </c>
      <c r="Z420" s="85" t="str">
        <f>IFERROR(__xludf.DUMMYFUNCTION("""COMPUTED_VALUE"""),"Banten")</f>
        <v>Banten</v>
      </c>
      <c r="AA420" s="85" t="str">
        <f>IFERROR(__xludf.DUMMYFUNCTION("""COMPUTED_VALUE"""),"15114")</f>
        <v>15114</v>
      </c>
      <c r="AB420" s="85" t="str">
        <f>IFERROR(__xludf.DUMMYFUNCTION("""COMPUTED_VALUE"""),"3671076511960001")</f>
        <v>3671076511960001</v>
      </c>
      <c r="AC420" s="85" t="str">
        <f>IFERROR(__xludf.DUMMYFUNCTION("""COMPUTED_VALUE"""),"90.397.315.4-402.000")</f>
        <v>90.397.315.4-402.000</v>
      </c>
      <c r="AD420" s="85" t="str">
        <f>IFERROR(__xludf.DUMMYFUNCTION("""COMPUTED_VALUE"""),"CUM - KTK")</f>
        <v>CUM - KTK</v>
      </c>
      <c r="AE420" s="85" t="str">
        <f>IFERROR(__xludf.DUMMYFUNCTION("""COMPUTED_VALUE"""),"SUB KARTIKA")</f>
        <v>SUB KARTIKA</v>
      </c>
      <c r="AF420" s="85" t="str">
        <f>IFERROR(__xludf.DUMMYFUNCTION("""COMPUTED_VALUE"""),"085280009503")</f>
        <v>085280009503</v>
      </c>
      <c r="AG420" s="85"/>
      <c r="AH420" s="85" t="str">
        <f>IFERROR(__xludf.DUMMYFUNCTION("""COMPUTED_VALUE"""),"dropinmultilogistik@gmail.com")</f>
        <v>dropinmultilogistik@gmail.com</v>
      </c>
      <c r="AI420" s="85" t="str">
        <f>IFERROR(__xludf.DUMMYFUNCTION("""COMPUTED_VALUE"""),"15114S3")</f>
        <v>15114S3</v>
      </c>
      <c r="AJ420" s="85" t="str">
        <f>IFERROR(__xludf.DUMMYFUNCTION("""COMPUTED_VALUE"""),"67b7fa30e56af915ca05ed21")</f>
        <v>67b7fa30e56af915ca05ed21</v>
      </c>
      <c r="AK420" s="85" t="str">
        <f>IFERROR(__xludf.DUMMYFUNCTION("""COMPUTED_VALUE"""),"dm15114s3")</f>
        <v>dm15114s3</v>
      </c>
      <c r="AL420" s="85" t="str">
        <f>IFERROR(__xludf.DUMMYFUNCTION("""COMPUTED_VALUE"""),"#15114Pos")</f>
        <v>#15114Pos</v>
      </c>
      <c r="AM420" s="85" t="str">
        <f>IFERROR(__xludf.DUMMYFUNCTION("""COMPUTED_VALUE"""),"KANTOR REGIONAL II JAKARTA 10004")</f>
        <v>KANTOR REGIONAL II JAKARTA 10004</v>
      </c>
      <c r="AN420" s="85" t="str">
        <f>IFERROR(__xludf.DUMMYFUNCTION("""COMPUTED_VALUE"""),"KCU TANGERANG 15000")</f>
        <v>KCU TANGERANG 15000</v>
      </c>
      <c r="AO420" s="85" t="str">
        <f>IFERROR(__xludf.DUMMYFUNCTION("""COMPUTED_VALUE"""),"1202230010149")</f>
        <v>1202230010149</v>
      </c>
      <c r="AP420" s="85" t="str">
        <f>IFERROR(__xludf.DUMMYFUNCTION("""COMPUTED_VALUE"""),"12022300101490001")</f>
        <v>12022300101490001</v>
      </c>
      <c r="AQ420" s="93"/>
      <c r="AR420" s="85"/>
      <c r="AS420" s="85"/>
      <c r="AT420" s="85" t="str">
        <f>IFERROR(__xludf.DUMMYFUNCTION("""COMPUTED_VALUE"""),"-6.193983")</f>
        <v>-6.193983</v>
      </c>
      <c r="AU420" s="85" t="str">
        <f>IFERROR(__xludf.DUMMYFUNCTION("""COMPUTED_VALUE"""),"106.609313")</f>
        <v>106.609313</v>
      </c>
      <c r="AV420" s="85"/>
      <c r="AW420" s="85"/>
      <c r="AX420" s="85" t="str">
        <f>IFERROR(__xludf.DUMMYFUNCTION("""COMPUTED_VALUE"""),"ü")</f>
        <v>ü</v>
      </c>
      <c r="AY420" s="85"/>
      <c r="AZ420" s="85"/>
      <c r="BA420" s="85"/>
      <c r="BB420" s="85"/>
      <c r="BC420" s="85"/>
      <c r="BD420" s="85"/>
      <c r="BE420" s="85"/>
      <c r="BF420" s="85"/>
      <c r="BG420" s="85"/>
      <c r="BH420" s="85"/>
      <c r="BI420" s="85"/>
      <c r="BJ420" s="85"/>
      <c r="BK420" s="85"/>
      <c r="BL420" s="85"/>
      <c r="BM420" s="85"/>
      <c r="BN420" s="85"/>
      <c r="BO420" s="85"/>
      <c r="BP420" s="85"/>
      <c r="BQ420" s="85"/>
      <c r="BR420" s="85"/>
      <c r="BS420" s="85"/>
      <c r="BT420" s="85"/>
      <c r="BU420" s="85"/>
      <c r="BV420" s="85"/>
      <c r="BW420" s="85"/>
      <c r="BX420" s="85"/>
      <c r="BY420" s="85"/>
      <c r="BZ420" s="85"/>
      <c r="CA420" s="85"/>
      <c r="CB420" s="85"/>
      <c r="CC420" s="85"/>
      <c r="CD420" s="85"/>
      <c r="CE420" s="85"/>
      <c r="CF420" s="85"/>
      <c r="CG420" s="85"/>
      <c r="CH420" s="85"/>
      <c r="CI420" s="85"/>
      <c r="CJ420" s="85"/>
      <c r="CK420" s="2"/>
    </row>
    <row r="421" ht="12.75" customHeight="1">
      <c r="A421" s="80">
        <f>IFERROR(__xludf.DUMMYFUNCTION("""COMPUTED_VALUE"""),418.0)</f>
        <v>418</v>
      </c>
      <c r="B421" s="80"/>
      <c r="C421" s="80"/>
      <c r="D421" s="81">
        <f>IFERROR(__xludf.DUMMYFUNCTION("""COMPUTED_VALUE"""),45693.0)</f>
        <v>45693</v>
      </c>
      <c r="E421" s="82"/>
      <c r="F421" s="80"/>
      <c r="G421" s="81">
        <f>IFERROR(__xludf.DUMMYFUNCTION("""COMPUTED_VALUE"""),45700.0)</f>
        <v>45700</v>
      </c>
      <c r="H421" s="80"/>
      <c r="I421" s="80"/>
      <c r="J421" s="80"/>
      <c r="K421" s="80"/>
      <c r="L421" s="80">
        <f>IFERROR(__xludf.DUMMYFUNCTION("""COMPUTED_VALUE"""),7.0)</f>
        <v>7</v>
      </c>
      <c r="M421" s="80" t="str">
        <f>IFERROR(__xludf.DUMMYFUNCTION("""COMPUTED_VALUE"""),"ü")</f>
        <v>ü</v>
      </c>
      <c r="N421" s="80"/>
      <c r="O421" s="80"/>
      <c r="P421" s="80" t="str">
        <f>IFERROR(__xludf.DUMMYFUNCTION("""COMPUTED_VALUE"""),"MUCSPA63090PSIND")</f>
        <v>MUCSPA63090PSIND</v>
      </c>
      <c r="Q421" s="80" t="str">
        <f>IFERROR(__xludf.DUMMYFUNCTION("""COMPUTED_VALUE"""),"MUC STU Point")</f>
        <v>MUC STU Point</v>
      </c>
      <c r="R421" s="80" t="str">
        <f>IFERROR(__xludf.DUMMYFUNCTION("""COMPUTED_VALUE"""),"MUC STU Point")</f>
        <v>MUC STU Point</v>
      </c>
      <c r="S421" s="80" t="str">
        <f>IFERROR(__xludf.DUMMYFUNCTION("""COMPUTED_VALUE"""),"Awal Stusiawan")</f>
        <v>Awal Stusiawan</v>
      </c>
      <c r="T421" s="80" t="str">
        <f>IFERROR(__xludf.DUMMYFUNCTION("""COMPUTED_VALUE"""),"PERUM BUMYAGARA BLOK C 5/35 RT.002 RW.021 KEL.MUSTIKAJAYA KEC.MUSTIKAJAYA KOTA BEKASI JAWA BARAT")</f>
        <v>PERUM BUMYAGARA BLOK C 5/35 RT.002 RW.021 KEL.MUSTIKAJAYA KEC.MUSTIKAJAYA KOTA BEKASI JAWA BARAT</v>
      </c>
      <c r="U421" s="80" t="str">
        <f>IFERROR(__xludf.DUMMYFUNCTION("""COMPUTED_VALUE"""),"Jl. Taman Bumyagara, RT.002/RW.021")</f>
        <v>Jl. Taman Bumyagara, RT.002/RW.021</v>
      </c>
      <c r="V421" s="80"/>
      <c r="W421" s="80" t="str">
        <f>IFERROR(__xludf.DUMMYFUNCTION("""COMPUTED_VALUE"""),"Mustikajaya")</f>
        <v>Mustikajaya</v>
      </c>
      <c r="X421" s="80" t="str">
        <f>IFERROR(__xludf.DUMMYFUNCTION("""COMPUTED_VALUE"""),"Mustikajaya")</f>
        <v>Mustikajaya</v>
      </c>
      <c r="Y421" s="80" t="str">
        <f>IFERROR(__xludf.DUMMYFUNCTION("""COMPUTED_VALUE"""),"Kota Bekasi")</f>
        <v>Kota Bekasi</v>
      </c>
      <c r="Z421" s="80" t="str">
        <f>IFERROR(__xludf.DUMMYFUNCTION("""COMPUTED_VALUE"""),"Jawa Barat")</f>
        <v>Jawa Barat</v>
      </c>
      <c r="AA421" s="80" t="str">
        <f>IFERROR(__xludf.DUMMYFUNCTION("""COMPUTED_VALUE"""),"17158")</f>
        <v>17158</v>
      </c>
      <c r="AB421" s="80" t="str">
        <f>IFERROR(__xludf.DUMMYFUNCTION("""COMPUTED_VALUE"""),"3275111511680005")</f>
        <v>3275111511680005</v>
      </c>
      <c r="AC421" s="80" t="str">
        <f>IFERROR(__xludf.DUMMYFUNCTION("""COMPUTED_VALUE"""),"58.552.908.4-432.000")</f>
        <v>58.552.908.4-432.000</v>
      </c>
      <c r="AD421" s="80" t="str">
        <f>IFERROR(__xludf.DUMMYFUNCTION("""COMPUTED_VALUE"""),"CUM - PS - AYS")</f>
        <v>CUM - PS - AYS</v>
      </c>
      <c r="AE421" s="80" t="str">
        <f>IFERROR(__xludf.DUMMYFUNCTION("""COMPUTED_VALUE"""),"SUB YUNUS POS")</f>
        <v>SUB YUNUS POS</v>
      </c>
      <c r="AF421" s="80" t="str">
        <f>IFERROR(__xludf.DUMMYFUNCTION("""COMPUTED_VALUE"""),"082162620015")</f>
        <v>082162620015</v>
      </c>
      <c r="AG421" s="80"/>
      <c r="AH421" s="80" t="str">
        <f>IFERROR(__xludf.DUMMYFUNCTION("""COMPUTED_VALUE"""),"stupointexpedition@gmail.com")</f>
        <v>stupointexpedition@gmail.com</v>
      </c>
      <c r="AI421" s="80" t="str">
        <f>IFERROR(__xludf.DUMMYFUNCTION("""COMPUTED_VALUE"""),"17168S3")</f>
        <v>17168S3</v>
      </c>
      <c r="AJ421" s="80" t="str">
        <f>IFERROR(__xludf.DUMMYFUNCTION("""COMPUTED_VALUE"""),"67ab69dbc21378835509d8b8")</f>
        <v>67ab69dbc21378835509d8b8</v>
      </c>
      <c r="AK421" s="80" t="str">
        <f>IFERROR(__xludf.DUMMYFUNCTION("""COMPUTED_VALUE"""),"dm17168s3")</f>
        <v>dm17168s3</v>
      </c>
      <c r="AL421" s="80" t="str">
        <f>IFERROR(__xludf.DUMMYFUNCTION("""COMPUTED_VALUE"""),"#17168Pos")</f>
        <v>#17168Pos</v>
      </c>
      <c r="AM421" s="80" t="str">
        <f>IFERROR(__xludf.DUMMYFUNCTION("""COMPUTED_VALUE"""),"KANTOR REGIONAL II JAKARTA 10004")</f>
        <v>KANTOR REGIONAL II JAKARTA 10004</v>
      </c>
      <c r="AN421" s="80" t="str">
        <f>IFERROR(__xludf.DUMMYFUNCTION("""COMPUTED_VALUE"""),"KCU BEKASI 17000")</f>
        <v>KCU BEKASI 17000</v>
      </c>
      <c r="AO421" s="80" t="str">
        <f>IFERROR(__xludf.DUMMYFUNCTION("""COMPUTED_VALUE"""),"0402250130385")</f>
        <v>0402250130385</v>
      </c>
      <c r="AP421" s="80" t="str">
        <f>IFERROR(__xludf.DUMMYFUNCTION("""COMPUTED_VALUE"""),"04022501303850001")</f>
        <v>04022501303850001</v>
      </c>
      <c r="AQ421" s="83"/>
      <c r="AR421" s="80"/>
      <c r="AS421" s="80"/>
      <c r="AT421" s="80" t="str">
        <f>IFERROR(__xludf.DUMMYFUNCTION("""COMPUTED_VALUE"""),"-6.304636")</f>
        <v>-6.304636</v>
      </c>
      <c r="AU421" s="80" t="str">
        <f>IFERROR(__xludf.DUMMYFUNCTION("""COMPUTED_VALUE"""),"107.028325")</f>
        <v>107.028325</v>
      </c>
      <c r="AV421" s="80"/>
      <c r="AW421" s="80"/>
      <c r="AX421" s="80" t="str">
        <f>IFERROR(__xludf.DUMMYFUNCTION("""COMPUTED_VALUE"""),"ü")</f>
        <v>ü</v>
      </c>
      <c r="AY421" s="80"/>
      <c r="AZ421" s="80"/>
      <c r="BA421" s="80"/>
      <c r="BB421" s="80"/>
      <c r="BC421" s="80"/>
      <c r="BD421" s="80"/>
      <c r="BE421" s="80"/>
      <c r="BF421" s="80"/>
      <c r="BG421" s="80"/>
      <c r="BH421" s="80"/>
      <c r="BI421" s="80"/>
      <c r="BJ421" s="80"/>
      <c r="BK421" s="80"/>
      <c r="BL421" s="80"/>
      <c r="BM421" s="80"/>
      <c r="BN421" s="80"/>
      <c r="BO421" s="80"/>
      <c r="BP421" s="80"/>
      <c r="BQ421" s="80"/>
      <c r="BR421" s="80"/>
      <c r="BS421" s="80"/>
      <c r="BT421" s="80"/>
      <c r="BU421" s="80"/>
      <c r="BV421" s="80"/>
      <c r="BW421" s="80"/>
      <c r="BX421" s="80"/>
      <c r="BY421" s="80"/>
      <c r="BZ421" s="80"/>
      <c r="CA421" s="80"/>
      <c r="CB421" s="80"/>
      <c r="CC421" s="80"/>
      <c r="CD421" s="80"/>
      <c r="CE421" s="80"/>
      <c r="CF421" s="80"/>
      <c r="CG421" s="80"/>
      <c r="CH421" s="80"/>
      <c r="CI421" s="80"/>
      <c r="CJ421" s="80"/>
      <c r="CK421" s="2"/>
    </row>
    <row r="422" ht="12.75" customHeight="1">
      <c r="A422" s="85">
        <f>IFERROR(__xludf.DUMMYFUNCTION("""COMPUTED_VALUE"""),419.0)</f>
        <v>419</v>
      </c>
      <c r="B422" s="85"/>
      <c r="C422" s="85"/>
      <c r="D422" s="86">
        <f>IFERROR(__xludf.DUMMYFUNCTION("""COMPUTED_VALUE"""),45693.0)</f>
        <v>45693</v>
      </c>
      <c r="E422" s="88"/>
      <c r="F422" s="85"/>
      <c r="G422" s="86">
        <f>IFERROR(__xludf.DUMMYFUNCTION("""COMPUTED_VALUE"""),45708.0)</f>
        <v>45708</v>
      </c>
      <c r="H422" s="85"/>
      <c r="I422" s="85"/>
      <c r="J422" s="85"/>
      <c r="K422" s="85"/>
      <c r="L422" s="85">
        <f>IFERROR(__xludf.DUMMYFUNCTION("""COMPUTED_VALUE"""),15.0)</f>
        <v>15</v>
      </c>
      <c r="M422" s="85" t="str">
        <f>IFERROR(__xludf.DUMMYFUNCTION("""COMPUTED_VALUE"""),"ü")</f>
        <v>ü</v>
      </c>
      <c r="N422" s="85"/>
      <c r="O422" s="85"/>
      <c r="P422" s="85" t="str">
        <f>IFERROR(__xludf.DUMMYFUNCTION("""COMPUTED_VALUE"""),"MUCSPA63091PSIND")</f>
        <v>MUCSPA63091PSIND</v>
      </c>
      <c r="Q422" s="85" t="str">
        <f>IFERROR(__xludf.DUMMYFUNCTION("""COMPUTED_VALUE"""),"MUC Jayakerta")</f>
        <v>MUC Jayakerta</v>
      </c>
      <c r="R422" s="85" t="str">
        <f>IFERROR(__xludf.DUMMYFUNCTION("""COMPUTED_VALUE"""),"MUC Jayakerta")</f>
        <v>MUC Jayakerta</v>
      </c>
      <c r="S422" s="85" t="str">
        <f>IFERROR(__xludf.DUMMYFUNCTION("""COMPUTED_VALUE"""),"Ahmad")</f>
        <v>Ahmad</v>
      </c>
      <c r="T422" s="85" t="str">
        <f>IFERROR(__xludf.DUMMYFUNCTION("""COMPUTED_VALUE"""),"DUSUN KRAJAN B RT.004 RW.002 KEL.JAYAKERTA KEC.JAYAKERTA KAB.KARAWANG")</f>
        <v>DUSUN KRAJAN B RT.004 RW.002 KEL.JAYAKERTA KEC.JAYAKERTA KAB.KARAWANG</v>
      </c>
      <c r="U422" s="85" t="str">
        <f>IFERROR(__xludf.DUMMYFUNCTION("""COMPUTED_VALUE"""),"Dusun Karajan B ")</f>
        <v>Dusun Karajan B </v>
      </c>
      <c r="V422" s="85"/>
      <c r="W422" s="85" t="str">
        <f>IFERROR(__xludf.DUMMYFUNCTION("""COMPUTED_VALUE"""),"Jayakerta")</f>
        <v>Jayakerta</v>
      </c>
      <c r="X422" s="85" t="str">
        <f>IFERROR(__xludf.DUMMYFUNCTION("""COMPUTED_VALUE"""),"Jayakerta")</f>
        <v>Jayakerta</v>
      </c>
      <c r="Y422" s="85" t="str">
        <f>IFERROR(__xludf.DUMMYFUNCTION("""COMPUTED_VALUE"""),"Karawang")</f>
        <v>Karawang</v>
      </c>
      <c r="Z422" s="85" t="str">
        <f>IFERROR(__xludf.DUMMYFUNCTION("""COMPUTED_VALUE"""),"Jawa Barat")</f>
        <v>Jawa Barat</v>
      </c>
      <c r="AA422" s="85" t="str">
        <f>IFERROR(__xludf.DUMMYFUNCTION("""COMPUTED_VALUE"""),"41352")</f>
        <v>41352</v>
      </c>
      <c r="AB422" s="85" t="str">
        <f>IFERROR(__xludf.DUMMYFUNCTION("""COMPUTED_VALUE"""),"3215221109740002")</f>
        <v>3215221109740002</v>
      </c>
      <c r="AC422" s="85" t="str">
        <f>IFERROR(__xludf.DUMMYFUNCTION("""COMPUTED_VALUE"""),"80.379.698.6-408.000")</f>
        <v>80.379.698.6-408.000</v>
      </c>
      <c r="AD422" s="85" t="str">
        <f>IFERROR(__xludf.DUMMYFUNCTION("""COMPUTED_VALUE"""),"CUM - PS - SITIH")</f>
        <v>CUM - PS - SITIH</v>
      </c>
      <c r="AE422" s="85" t="str">
        <f>IFERROR(__xludf.DUMMYFUNCTION("""COMPUTED_VALUE"""),"SUB SITI POS")</f>
        <v>SUB SITI POS</v>
      </c>
      <c r="AF422" s="85" t="str">
        <f>IFERROR(__xludf.DUMMYFUNCTION("""COMPUTED_VALUE"""),"085694052774")</f>
        <v>085694052774</v>
      </c>
      <c r="AG422" s="85"/>
      <c r="AH422" s="85" t="str">
        <f>IFERROR(__xludf.DUMMYFUNCTION("""COMPUTED_VALUE"""),"ahmadjayakerta@gmail.com")</f>
        <v>ahmadjayakerta@gmail.com</v>
      </c>
      <c r="AI422" s="85" t="str">
        <f>IFERROR(__xludf.DUMMYFUNCTION("""COMPUTED_VALUE"""),"41359S1")</f>
        <v>41359S1</v>
      </c>
      <c r="AJ422" s="85" t="str">
        <f>IFERROR(__xludf.DUMMYFUNCTION("""COMPUTED_VALUE"""),"67b3f2fb0b0712d3670795c5")</f>
        <v>67b3f2fb0b0712d3670795c5</v>
      </c>
      <c r="AK422" s="85" t="str">
        <f>IFERROR(__xludf.DUMMYFUNCTION("""COMPUTED_VALUE"""),"dm41359s1")</f>
        <v>dm41359s1</v>
      </c>
      <c r="AL422" s="85" t="str">
        <f>IFERROR(__xludf.DUMMYFUNCTION("""COMPUTED_VALUE"""),"#41359Pos")</f>
        <v>#41359Pos</v>
      </c>
      <c r="AM422" s="85" t="str">
        <f>IFERROR(__xludf.DUMMYFUNCTION("""COMPUTED_VALUE"""),"KANTOR REGIONAL III BANDUNG 40004")</f>
        <v>KANTOR REGIONAL III BANDUNG 40004</v>
      </c>
      <c r="AN422" s="85" t="str">
        <f>IFERROR(__xludf.DUMMYFUNCTION("""COMPUTED_VALUE"""),"KCU KARAWANG 41300")</f>
        <v>KCU KARAWANG 41300</v>
      </c>
      <c r="AO422" s="85" t="str">
        <f>IFERROR(__xludf.DUMMYFUNCTION("""COMPUTED_VALUE"""),"0812230075049")</f>
        <v>0812230075049</v>
      </c>
      <c r="AP422" s="85" t="str">
        <f>IFERROR(__xludf.DUMMYFUNCTION("""COMPUTED_VALUE"""),"08122300750490001")</f>
        <v>08122300750490001</v>
      </c>
      <c r="AQ422" s="93"/>
      <c r="AR422" s="85"/>
      <c r="AS422" s="85"/>
      <c r="AT422" s="85" t="str">
        <f>IFERROR(__xludf.DUMMYFUNCTION("""COMPUTED_VALUE"""),"-6.090219")</f>
        <v>-6.090219</v>
      </c>
      <c r="AU422" s="85" t="str">
        <f>IFERROR(__xludf.DUMMYFUNCTION("""COMPUTED_VALUE"""),"107.310725")</f>
        <v>107.310725</v>
      </c>
      <c r="AV422" s="85"/>
      <c r="AW422" s="85"/>
      <c r="AX422" s="85" t="str">
        <f>IFERROR(__xludf.DUMMYFUNCTION("""COMPUTED_VALUE"""),"ü")</f>
        <v>ü</v>
      </c>
      <c r="AY422" s="85"/>
      <c r="AZ422" s="85"/>
      <c r="BA422" s="85"/>
      <c r="BB422" s="85"/>
      <c r="BC422" s="85"/>
      <c r="BD422" s="85"/>
      <c r="BE422" s="85"/>
      <c r="BF422" s="85"/>
      <c r="BG422" s="85"/>
      <c r="BH422" s="85"/>
      <c r="BI422" s="85"/>
      <c r="BJ422" s="85"/>
      <c r="BK422" s="85"/>
      <c r="BL422" s="85"/>
      <c r="BM422" s="85"/>
      <c r="BN422" s="85"/>
      <c r="BO422" s="85"/>
      <c r="BP422" s="85"/>
      <c r="BQ422" s="85"/>
      <c r="BR422" s="85"/>
      <c r="BS422" s="85"/>
      <c r="BT422" s="85"/>
      <c r="BU422" s="85"/>
      <c r="BV422" s="85"/>
      <c r="BW422" s="85"/>
      <c r="BX422" s="85"/>
      <c r="BY422" s="85"/>
      <c r="BZ422" s="85"/>
      <c r="CA422" s="85"/>
      <c r="CB422" s="85"/>
      <c r="CC422" s="85"/>
      <c r="CD422" s="85"/>
      <c r="CE422" s="85"/>
      <c r="CF422" s="85"/>
      <c r="CG422" s="85"/>
      <c r="CH422" s="85"/>
      <c r="CI422" s="85"/>
      <c r="CJ422" s="85"/>
      <c r="CK422" s="2"/>
    </row>
    <row r="423" ht="12.75" customHeight="1">
      <c r="A423" s="80">
        <f>IFERROR(__xludf.DUMMYFUNCTION("""COMPUTED_VALUE"""),420.0)</f>
        <v>420</v>
      </c>
      <c r="B423" s="80"/>
      <c r="C423" s="80"/>
      <c r="D423" s="81">
        <f>IFERROR(__xludf.DUMMYFUNCTION("""COMPUTED_VALUE"""),45694.0)</f>
        <v>45694</v>
      </c>
      <c r="E423" s="82"/>
      <c r="F423" s="80"/>
      <c r="G423" s="81">
        <f>IFERROR(__xludf.DUMMYFUNCTION("""COMPUTED_VALUE"""),45698.0)</f>
        <v>45698</v>
      </c>
      <c r="H423" s="80"/>
      <c r="I423" s="80"/>
      <c r="J423" s="80"/>
      <c r="K423" s="80"/>
      <c r="L423" s="80">
        <f>IFERROR(__xludf.DUMMYFUNCTION("""COMPUTED_VALUE"""),4.0)</f>
        <v>4</v>
      </c>
      <c r="M423" s="80" t="str">
        <f>IFERROR(__xludf.DUMMYFUNCTION("""COMPUTED_VALUE"""),"ü")</f>
        <v>ü</v>
      </c>
      <c r="N423" s="80"/>
      <c r="O423" s="80"/>
      <c r="P423" s="80" t="str">
        <f>IFERROR(__xludf.DUMMYFUNCTION("""COMPUTED_VALUE"""),"MUCSPA63092PSIND")</f>
        <v>MUCSPA63092PSIND</v>
      </c>
      <c r="Q423" s="80" t="str">
        <f>IFERROR(__xludf.DUMMYFUNCTION("""COMPUTED_VALUE"""),"MUC PCC Express")</f>
        <v>MUC PCC Express</v>
      </c>
      <c r="R423" s="80" t="str">
        <f>IFERROR(__xludf.DUMMYFUNCTION("""COMPUTED_VALUE"""),"MUC PCC Express")</f>
        <v>MUC PCC Express</v>
      </c>
      <c r="S423" s="80" t="str">
        <f>IFERROR(__xludf.DUMMYFUNCTION("""COMPUTED_VALUE"""),"BASKORO BAYUDI")</f>
        <v>BASKORO BAYUDI</v>
      </c>
      <c r="T423" s="80" t="str">
        <f>IFERROR(__xludf.DUMMYFUNCTION("""COMPUTED_VALUE"""),"JL. NYI ADISARI GG.KENANGA KG I/621 B RT.037 RW.012 KEL.REJOWINANGUN KEC.KOTAGEDE KOTA YOGYAKARTA ")</f>
        <v>JL. NYI ADISARI GG.KENANGA KG I/621 B RT.037 RW.012 KEL.REJOWINANGUN KEC.KOTAGEDE KOTA YOGYAKARTA </v>
      </c>
      <c r="U423" s="80" t="str">
        <f>IFERROR(__xludf.DUMMYFUNCTION("""COMPUTED_VALUE"""),"Jalan Padjajaran Nomor 5 Ringroad")</f>
        <v>Jalan Padjajaran Nomor 5 Ringroad</v>
      </c>
      <c r="V423" s="80"/>
      <c r="W423" s="80" t="str">
        <f>IFERROR(__xludf.DUMMYFUNCTION("""COMPUTED_VALUE"""),"Maguwoharjo")</f>
        <v>Maguwoharjo</v>
      </c>
      <c r="X423" s="80" t="str">
        <f>IFERROR(__xludf.DUMMYFUNCTION("""COMPUTED_VALUE"""),"Depok")</f>
        <v>Depok</v>
      </c>
      <c r="Y423" s="80" t="str">
        <f>IFERROR(__xludf.DUMMYFUNCTION("""COMPUTED_VALUE"""),"Kab. Sleman")</f>
        <v>Kab. Sleman</v>
      </c>
      <c r="Z423" s="80" t="str">
        <f>IFERROR(__xludf.DUMMYFUNCTION("""COMPUTED_VALUE"""),"Daerah Istimewa Yogyakarta")</f>
        <v>Daerah Istimewa Yogyakarta</v>
      </c>
      <c r="AA423" s="80" t="str">
        <f>IFERROR(__xludf.DUMMYFUNCTION("""COMPUTED_VALUE"""),"55282")</f>
        <v>55282</v>
      </c>
      <c r="AB423" s="80" t="str">
        <f>IFERROR(__xludf.DUMMYFUNCTION("""COMPUTED_VALUE"""),"2171091804829003")</f>
        <v>2171091804829003</v>
      </c>
      <c r="AC423" s="80" t="str">
        <f>IFERROR(__xludf.DUMMYFUNCTION("""COMPUTED_VALUE"""),"21.390.310.7-542.000")</f>
        <v>21.390.310.7-542.000</v>
      </c>
      <c r="AD423" s="80" t="str">
        <f>IFERROR(__xludf.DUMMYFUNCTION("""COMPUTED_VALUE"""),"CUM - PS - BTW")</f>
        <v>CUM - PS - BTW</v>
      </c>
      <c r="AE423" s="80" t="str">
        <f>IFERROR(__xludf.DUMMYFUNCTION("""COMPUTED_VALUE"""),"SUB BONU POS")</f>
        <v>SUB BONU POS</v>
      </c>
      <c r="AF423" s="80" t="str">
        <f>IFERROR(__xludf.DUMMYFUNCTION("""COMPUTED_VALUE"""),"081328047082")</f>
        <v>081328047082</v>
      </c>
      <c r="AG423" s="80"/>
      <c r="AH423" s="80" t="str">
        <f>IFERROR(__xludf.DUMMYFUNCTION("""COMPUTED_VALUE"""),"cahayanusabayudi@gmail.com")</f>
        <v>cahayanusabayudi@gmail.com</v>
      </c>
      <c r="AI423" s="80" t="str">
        <f>IFERROR(__xludf.DUMMYFUNCTION("""COMPUTED_VALUE"""),"55598SK")</f>
        <v>55598SK</v>
      </c>
      <c r="AJ423" s="80" t="str">
        <f>IFERROR(__xludf.DUMMYFUNCTION("""COMPUTED_VALUE"""),"67a99ebedcbbe0d76a031476")</f>
        <v>67a99ebedcbbe0d76a031476</v>
      </c>
      <c r="AK423" s="80" t="str">
        <f>IFERROR(__xludf.DUMMYFUNCTION("""COMPUTED_VALUE"""),"dm55598sk")</f>
        <v>dm55598sk</v>
      </c>
      <c r="AL423" s="80" t="str">
        <f>IFERROR(__xludf.DUMMYFUNCTION("""COMPUTED_VALUE"""),"#55598Pos")</f>
        <v>#55598Pos</v>
      </c>
      <c r="AM423" s="80" t="str">
        <f>IFERROR(__xludf.DUMMYFUNCTION("""COMPUTED_VALUE"""),"KANTOR REGIONAL IV SEMARANG 50004")</f>
        <v>KANTOR REGIONAL IV SEMARANG 50004</v>
      </c>
      <c r="AN423" s="80" t="str">
        <f>IFERROR(__xludf.DUMMYFUNCTION("""COMPUTED_VALUE"""),"KCU YOGYAKARTA 55000")</f>
        <v>KCU YOGYAKARTA 55000</v>
      </c>
      <c r="AO423" s="80" t="str">
        <f>IFERROR(__xludf.DUMMYFUNCTION("""COMPUTED_VALUE"""),"1707240101325")</f>
        <v>1707240101325</v>
      </c>
      <c r="AP423" s="80" t="str">
        <f>IFERROR(__xludf.DUMMYFUNCTION("""COMPUTED_VALUE"""),"17072401013250002")</f>
        <v>17072401013250002</v>
      </c>
      <c r="AQ423" s="83"/>
      <c r="AR423" s="80"/>
      <c r="AS423" s="80"/>
      <c r="AT423" s="80" t="str">
        <f>IFERROR(__xludf.DUMMYFUNCTION("""COMPUTED_VALUE"""),"-7.782337")</f>
        <v>-7.782337</v>
      </c>
      <c r="AU423" s="80" t="str">
        <f>IFERROR(__xludf.DUMMYFUNCTION("""COMPUTED_VALUE"""),"110.429715")</f>
        <v>110.429715</v>
      </c>
      <c r="AV423" s="80"/>
      <c r="AW423" s="80"/>
      <c r="AX423" s="80" t="str">
        <f>IFERROR(__xludf.DUMMYFUNCTION("""COMPUTED_VALUE"""),"ü")</f>
        <v>ü</v>
      </c>
      <c r="AY423" s="80"/>
      <c r="AZ423" s="80"/>
      <c r="BA423" s="80"/>
      <c r="BB423" s="80"/>
      <c r="BC423" s="80"/>
      <c r="BD423" s="80"/>
      <c r="BE423" s="80"/>
      <c r="BF423" s="80"/>
      <c r="BG423" s="80"/>
      <c r="BH423" s="80"/>
      <c r="BI423" s="80"/>
      <c r="BJ423" s="80"/>
      <c r="BK423" s="80"/>
      <c r="BL423" s="80"/>
      <c r="BM423" s="80"/>
      <c r="BN423" s="80"/>
      <c r="BO423" s="80"/>
      <c r="BP423" s="80"/>
      <c r="BQ423" s="80"/>
      <c r="BR423" s="80"/>
      <c r="BS423" s="80"/>
      <c r="BT423" s="80"/>
      <c r="BU423" s="80"/>
      <c r="BV423" s="80"/>
      <c r="BW423" s="80"/>
      <c r="BX423" s="80"/>
      <c r="BY423" s="80"/>
      <c r="BZ423" s="80"/>
      <c r="CA423" s="80"/>
      <c r="CB423" s="80"/>
      <c r="CC423" s="80"/>
      <c r="CD423" s="80"/>
      <c r="CE423" s="80"/>
      <c r="CF423" s="80"/>
      <c r="CG423" s="80"/>
      <c r="CH423" s="80"/>
      <c r="CI423" s="80"/>
      <c r="CJ423" s="80"/>
      <c r="CK423" s="2"/>
    </row>
    <row r="424" ht="12.75" customHeight="1">
      <c r="A424" s="85">
        <f>IFERROR(__xludf.DUMMYFUNCTION("""COMPUTED_VALUE"""),421.0)</f>
        <v>421</v>
      </c>
      <c r="B424" s="85"/>
      <c r="C424" s="85"/>
      <c r="D424" s="86">
        <f>IFERROR(__xludf.DUMMYFUNCTION("""COMPUTED_VALUE"""),45694.0)</f>
        <v>45694</v>
      </c>
      <c r="E424" s="88"/>
      <c r="F424" s="85"/>
      <c r="G424" s="86">
        <f>IFERROR(__xludf.DUMMYFUNCTION("""COMPUTED_VALUE"""),45708.0)</f>
        <v>45708</v>
      </c>
      <c r="H424" s="85"/>
      <c r="I424" s="85"/>
      <c r="J424" s="85"/>
      <c r="K424" s="85"/>
      <c r="L424" s="85">
        <f>IFERROR(__xludf.DUMMYFUNCTION("""COMPUTED_VALUE"""),14.0)</f>
        <v>14</v>
      </c>
      <c r="M424" s="85" t="str">
        <f>IFERROR(__xludf.DUMMYFUNCTION("""COMPUTED_VALUE"""),"ü")</f>
        <v>ü</v>
      </c>
      <c r="N424" s="85"/>
      <c r="O424" s="85"/>
      <c r="P424" s="85" t="str">
        <f>IFERROR(__xludf.DUMMYFUNCTION("""COMPUTED_VALUE"""),"MUCSPA63093PSIND")</f>
        <v>MUCSPA63093PSIND</v>
      </c>
      <c r="Q424" s="85" t="str">
        <f>IFERROR(__xludf.DUMMYFUNCTION("""COMPUTED_VALUE"""),"MUC Falisha MS")</f>
        <v>MUC Falisha MS</v>
      </c>
      <c r="R424" s="85" t="str">
        <f>IFERROR(__xludf.DUMMYFUNCTION("""COMPUTED_VALUE"""),"MUC Falisha MS")</f>
        <v>MUC Falisha MS</v>
      </c>
      <c r="S424" s="85" t="str">
        <f>IFERROR(__xludf.DUMMYFUNCTION("""COMPUTED_VALUE"""),"Intan Novianti Dewi")</f>
        <v>Intan Novianti Dewi</v>
      </c>
      <c r="T424" s="85" t="str">
        <f>IFERROR(__xludf.DUMMYFUNCTION("""COMPUTED_VALUE"""),"Kp. Bojong RT 001 RW 012 Kel.Cipari Kec. Mangkubumi Kota    Tasikmalaya")</f>
        <v>Kp. Bojong RT 001 RW 012 Kel.Cipari Kec. Mangkubumi Kota    Tasikmalaya</v>
      </c>
      <c r="U424" s="85" t="str">
        <f>IFERROR(__xludf.DUMMYFUNCTION("""COMPUTED_VALUE"""),"Perum Tata Lestari Regency Blok 28")</f>
        <v>Perum Tata Lestari Regency Blok 28</v>
      </c>
      <c r="V424" s="85"/>
      <c r="W424" s="85" t="str">
        <f>IFERROR(__xludf.DUMMYFUNCTION("""COMPUTED_VALUE"""),"Cikadongdong ")</f>
        <v>Cikadongdong </v>
      </c>
      <c r="X424" s="85" t="str">
        <f>IFERROR(__xludf.DUMMYFUNCTION("""COMPUTED_VALUE"""),"Singaparna")</f>
        <v>Singaparna</v>
      </c>
      <c r="Y424" s="85" t="str">
        <f>IFERROR(__xludf.DUMMYFUNCTION("""COMPUTED_VALUE"""),"Tasikmalaya")</f>
        <v>Tasikmalaya</v>
      </c>
      <c r="Z424" s="85" t="str">
        <f>IFERROR(__xludf.DUMMYFUNCTION("""COMPUTED_VALUE"""),"Jawa Barat")</f>
        <v>Jawa Barat</v>
      </c>
      <c r="AA424" s="85" t="str">
        <f>IFERROR(__xludf.DUMMYFUNCTION("""COMPUTED_VALUE"""),"46418 ")</f>
        <v>46418 </v>
      </c>
      <c r="AB424" s="85" t="str">
        <f>IFERROR(__xludf.DUMMYFUNCTION("""COMPUTED_VALUE"""),"3278086311920007")</f>
        <v>3278086311920007</v>
      </c>
      <c r="AC424" s="85" t="str">
        <f>IFERROR(__xludf.DUMMYFUNCTION("""COMPUTED_VALUE"""),"65.593.215.0-425.000 ")</f>
        <v>65.593.215.0-425.000 </v>
      </c>
      <c r="AD424" s="85" t="str">
        <f>IFERROR(__xludf.DUMMYFUNCTION("""COMPUTED_VALUE"""),"CUM - NOV")</f>
        <v>CUM - NOV</v>
      </c>
      <c r="AE424" s="85" t="str">
        <f>IFERROR(__xludf.DUMMYFUNCTION("""COMPUTED_VALUE"""),"SUB NOVI")</f>
        <v>SUB NOVI</v>
      </c>
      <c r="AF424" s="85" t="str">
        <f>IFERROR(__xludf.DUMMYFUNCTION("""COMPUTED_VALUE"""),"082118853458 ")</f>
        <v>082118853458 </v>
      </c>
      <c r="AG424" s="85"/>
      <c r="AH424" s="85" t="str">
        <f>IFERROR(__xludf.DUMMYFUNCTION("""COMPUTED_VALUE"""),"intannoviantidewi1992@gmail.com")</f>
        <v>intannoviantidewi1992@gmail.com</v>
      </c>
      <c r="AI424" s="85" t="str">
        <f>IFERROR(__xludf.DUMMYFUNCTION("""COMPUTED_VALUE"""),"46418S1")</f>
        <v>46418S1</v>
      </c>
      <c r="AJ424" s="85" t="str">
        <f>IFERROR(__xludf.DUMMYFUNCTION("""COMPUTED_VALUE"""),"67b3017157a00ea331088ef9")</f>
        <v>67b3017157a00ea331088ef9</v>
      </c>
      <c r="AK424" s="85" t="str">
        <f>IFERROR(__xludf.DUMMYFUNCTION("""COMPUTED_VALUE"""),"dm46418s1")</f>
        <v>dm46418s1</v>
      </c>
      <c r="AL424" s="85" t="str">
        <f>IFERROR(__xludf.DUMMYFUNCTION("""COMPUTED_VALUE"""),"#46418Pos")</f>
        <v>#46418Pos</v>
      </c>
      <c r="AM424" s="85" t="str">
        <f>IFERROR(__xludf.DUMMYFUNCTION("""COMPUTED_VALUE"""),"KANTOR REGIONAL III BANDUNG 40004")</f>
        <v>KANTOR REGIONAL III BANDUNG 40004</v>
      </c>
      <c r="AN424" s="85" t="str">
        <f>IFERROR(__xludf.DUMMYFUNCTION("""COMPUTED_VALUE"""),"KC TASIKMALAYA")</f>
        <v>KC TASIKMALAYA</v>
      </c>
      <c r="AO424" s="85" t="str">
        <f>IFERROR(__xludf.DUMMYFUNCTION("""COMPUTED_VALUE"""),"0908240080091")</f>
        <v>0908240080091</v>
      </c>
      <c r="AP424" s="85" t="str">
        <f>IFERROR(__xludf.DUMMYFUNCTION("""COMPUTED_VALUE"""),"09082400800910001")</f>
        <v>09082400800910001</v>
      </c>
      <c r="AQ424" s="93"/>
      <c r="AR424" s="85"/>
      <c r="AS424" s="85"/>
      <c r="AT424" s="85" t="str">
        <f>IFERROR(__xludf.DUMMYFUNCTION("""COMPUTED_VALUE"""),"-7.345148")</f>
        <v>-7.345148</v>
      </c>
      <c r="AU424" s="85" t="str">
        <f>IFERROR(__xludf.DUMMYFUNCTION("""COMPUTED_VALUE"""),"108.162299")</f>
        <v>108.162299</v>
      </c>
      <c r="AV424" s="85"/>
      <c r="AW424" s="85"/>
      <c r="AX424" s="85" t="str">
        <f>IFERROR(__xludf.DUMMYFUNCTION("""COMPUTED_VALUE"""),"ü")</f>
        <v>ü</v>
      </c>
      <c r="AY424" s="85"/>
      <c r="AZ424" s="85"/>
      <c r="BA424" s="85"/>
      <c r="BB424" s="85"/>
      <c r="BC424" s="85"/>
      <c r="BD424" s="85"/>
      <c r="BE424" s="85"/>
      <c r="BF424" s="85"/>
      <c r="BG424" s="85"/>
      <c r="BH424" s="85"/>
      <c r="BI424" s="85"/>
      <c r="BJ424" s="85"/>
      <c r="BK424" s="85"/>
      <c r="BL424" s="85"/>
      <c r="BM424" s="85"/>
      <c r="BN424" s="85"/>
      <c r="BO424" s="85"/>
      <c r="BP424" s="85"/>
      <c r="BQ424" s="85"/>
      <c r="BR424" s="85"/>
      <c r="BS424" s="85"/>
      <c r="BT424" s="85"/>
      <c r="BU424" s="85"/>
      <c r="BV424" s="85"/>
      <c r="BW424" s="85"/>
      <c r="BX424" s="85"/>
      <c r="BY424" s="85"/>
      <c r="BZ424" s="85"/>
      <c r="CA424" s="85"/>
      <c r="CB424" s="85"/>
      <c r="CC424" s="85"/>
      <c r="CD424" s="85"/>
      <c r="CE424" s="85"/>
      <c r="CF424" s="85"/>
      <c r="CG424" s="85"/>
      <c r="CH424" s="85"/>
      <c r="CI424" s="85"/>
      <c r="CJ424" s="85"/>
      <c r="CK424" s="2"/>
    </row>
    <row r="425" ht="12.75" customHeight="1">
      <c r="A425" s="80">
        <f>IFERROR(__xludf.DUMMYFUNCTION("""COMPUTED_VALUE"""),422.0)</f>
        <v>422</v>
      </c>
      <c r="B425" s="80"/>
      <c r="C425" s="80"/>
      <c r="D425" s="81">
        <f>IFERROR(__xludf.DUMMYFUNCTION("""COMPUTED_VALUE"""),45698.0)</f>
        <v>45698</v>
      </c>
      <c r="E425" s="82"/>
      <c r="F425" s="80"/>
      <c r="G425" s="81">
        <f>IFERROR(__xludf.DUMMYFUNCTION("""COMPUTED_VALUE"""),45708.0)</f>
        <v>45708</v>
      </c>
      <c r="H425" s="80"/>
      <c r="I425" s="80"/>
      <c r="J425" s="80"/>
      <c r="K425" s="80"/>
      <c r="L425" s="80">
        <f>IFERROR(__xludf.DUMMYFUNCTION("""COMPUTED_VALUE"""),10.0)</f>
        <v>10</v>
      </c>
      <c r="M425" s="80" t="str">
        <f>IFERROR(__xludf.DUMMYFUNCTION("""COMPUTED_VALUE"""),"ü")</f>
        <v>ü</v>
      </c>
      <c r="N425" s="80"/>
      <c r="O425" s="80"/>
      <c r="P425" s="80" t="str">
        <f>IFERROR(__xludf.DUMMYFUNCTION("""COMPUTED_VALUE"""),"53BSPA09378JBEEN")</f>
        <v>53BSPA09378JBEEN</v>
      </c>
      <c r="Q425" s="80" t="str">
        <f>IFERROR(__xludf.DUMMYFUNCTION("""COMPUTED_VALUE"""),"MUC Point Kalbaru Raya ")</f>
        <v>MUC Point Kalbaru Raya </v>
      </c>
      <c r="R425" s="80" t="str">
        <f>IFERROR(__xludf.DUMMYFUNCTION("""COMPUTED_VALUE"""),"MUC Point Kalbaru Raya ")</f>
        <v>MUC Point Kalbaru Raya </v>
      </c>
      <c r="S425" s="80" t="str">
        <f>IFERROR(__xludf.DUMMYFUNCTION("""COMPUTED_VALUE"""),"ARIS DARMAWAN")</f>
        <v>ARIS DARMAWAN</v>
      </c>
      <c r="T425" s="80" t="str">
        <f>IFERROR(__xludf.DUMMYFUNCTION("""COMPUTED_VALUE"""),"JL. HR. RASUNA SAID RT.002 RW.002 KEL.CIPETE KEC.PINANG KOTA TANGERANG")</f>
        <v>JL. HR. RASUNA SAID RT.002 RW.002 KEL.CIPETE KEC.PINANG KOTA TANGERANG</v>
      </c>
      <c r="U425" s="80" t="str">
        <f>IFERROR(__xludf.DUMMYFUNCTION("""COMPUTED_VALUE"""),"Jl. Raya Kali Baru")</f>
        <v>Jl. Raya Kali Baru</v>
      </c>
      <c r="V425" s="80"/>
      <c r="W425" s="80" t="str">
        <f>IFERROR(__xludf.DUMMYFUNCTION("""COMPUTED_VALUE"""),"Kalibaru")</f>
        <v>Kalibaru</v>
      </c>
      <c r="X425" s="80" t="str">
        <f>IFERROR(__xludf.DUMMYFUNCTION("""COMPUTED_VALUE"""),"Pakuhaji")</f>
        <v>Pakuhaji</v>
      </c>
      <c r="Y425" s="80" t="str">
        <f>IFERROR(__xludf.DUMMYFUNCTION("""COMPUTED_VALUE"""),"Kab.Tangerang")</f>
        <v>Kab.Tangerang</v>
      </c>
      <c r="Z425" s="80" t="str">
        <f>IFERROR(__xludf.DUMMYFUNCTION("""COMPUTED_VALUE"""),"Banten")</f>
        <v>Banten</v>
      </c>
      <c r="AA425" s="80" t="str">
        <f>IFERROR(__xludf.DUMMYFUNCTION("""COMPUTED_VALUE"""),"15570")</f>
        <v>15570</v>
      </c>
      <c r="AB425" s="80" t="str">
        <f>IFERROR(__xludf.DUMMYFUNCTION("""COMPUTED_VALUE"""),"3173052303950009")</f>
        <v>3173052303950009</v>
      </c>
      <c r="AC425" s="80" t="str">
        <f>IFERROR(__xludf.DUMMYFUNCTION("""COMPUTED_VALUE"""),"82.560.489.5-085.000")</f>
        <v>82.560.489.5-085.000</v>
      </c>
      <c r="AD425" s="80" t="str">
        <f>IFERROR(__xludf.DUMMYFUNCTION("""COMPUTED_VALUE"""),"CUM - EEN")</f>
        <v>CUM - EEN</v>
      </c>
      <c r="AE425" s="80" t="str">
        <f>IFERROR(__xludf.DUMMYFUNCTION("""COMPUTED_VALUE"""),"SUB EEN")</f>
        <v>SUB EEN</v>
      </c>
      <c r="AF425" s="80" t="str">
        <f>IFERROR(__xludf.DUMMYFUNCTION("""COMPUTED_VALUE"""),"082111050678")</f>
        <v>082111050678</v>
      </c>
      <c r="AG425" s="80"/>
      <c r="AH425" s="80" t="str">
        <f>IFERROR(__xludf.DUMMYFUNCTION("""COMPUTED_VALUE"""),"aris.darmawan8888@gmail.com")</f>
        <v>aris.darmawan8888@gmail.com</v>
      </c>
      <c r="AI425" s="80" t="str">
        <f>IFERROR(__xludf.DUMMYFUNCTION("""COMPUTED_VALUE"""),"15575S1")</f>
        <v>15575S1</v>
      </c>
      <c r="AJ425" s="80" t="str">
        <f>IFERROR(__xludf.DUMMYFUNCTION("""COMPUTED_VALUE"""),"67b5b7db7304144e7303f2f4")</f>
        <v>67b5b7db7304144e7303f2f4</v>
      </c>
      <c r="AK425" s="80" t="str">
        <f>IFERROR(__xludf.DUMMYFUNCTION("""COMPUTED_VALUE"""),"dm15575s1")</f>
        <v>dm15575s1</v>
      </c>
      <c r="AL425" s="80" t="str">
        <f>IFERROR(__xludf.DUMMYFUNCTION("""COMPUTED_VALUE"""),"#15575Pos")</f>
        <v>#15575Pos</v>
      </c>
      <c r="AM425" s="80" t="str">
        <f>IFERROR(__xludf.DUMMYFUNCTION("""COMPUTED_VALUE"""),"KANTOR REGIONAL II JAKARTA 10004")</f>
        <v>KANTOR REGIONAL II JAKARTA 10004</v>
      </c>
      <c r="AN425" s="80" t="str">
        <f>IFERROR(__xludf.DUMMYFUNCTION("""COMPUTED_VALUE"""),"KCU TANGERANG 15000")</f>
        <v>KCU TANGERANG 15000</v>
      </c>
      <c r="AO425" s="80" t="str">
        <f>IFERROR(__xludf.DUMMYFUNCTION("""COMPUTED_VALUE"""),"0602250106155")</f>
        <v>0602250106155</v>
      </c>
      <c r="AP425" s="80" t="str">
        <f>IFERROR(__xludf.DUMMYFUNCTION("""COMPUTED_VALUE"""),"06022501061550001")</f>
        <v>06022501061550001</v>
      </c>
      <c r="AQ425" s="83"/>
      <c r="AR425" s="80"/>
      <c r="AS425" s="80"/>
      <c r="AT425" s="80" t="str">
        <f>IFERROR(__xludf.DUMMYFUNCTION("""COMPUTED_VALUE"""),"-6.055903")</f>
        <v>-6.055903</v>
      </c>
      <c r="AU425" s="80" t="str">
        <f>IFERROR(__xludf.DUMMYFUNCTION("""COMPUTED_VALUE"""),"106.614500")</f>
        <v>106.614500</v>
      </c>
      <c r="AV425" s="80"/>
      <c r="AW425" s="80"/>
      <c r="AX425" s="80" t="str">
        <f>IFERROR(__xludf.DUMMYFUNCTION("""COMPUTED_VALUE"""),"ü")</f>
        <v>ü</v>
      </c>
      <c r="AY425" s="80"/>
      <c r="AZ425" s="80"/>
      <c r="BA425" s="80"/>
      <c r="BB425" s="80"/>
      <c r="BC425" s="80"/>
      <c r="BD425" s="80"/>
      <c r="BE425" s="80"/>
      <c r="BF425" s="80"/>
      <c r="BG425" s="80"/>
      <c r="BH425" s="80"/>
      <c r="BI425" s="80"/>
      <c r="BJ425" s="80"/>
      <c r="BK425" s="80"/>
      <c r="BL425" s="80"/>
      <c r="BM425" s="80"/>
      <c r="BN425" s="80"/>
      <c r="BO425" s="80"/>
      <c r="BP425" s="80"/>
      <c r="BQ425" s="80"/>
      <c r="BR425" s="80"/>
      <c r="BS425" s="80"/>
      <c r="BT425" s="80"/>
      <c r="BU425" s="80"/>
      <c r="BV425" s="80"/>
      <c r="BW425" s="80"/>
      <c r="BX425" s="80"/>
      <c r="BY425" s="80"/>
      <c r="BZ425" s="80"/>
      <c r="CA425" s="80"/>
      <c r="CB425" s="80"/>
      <c r="CC425" s="80"/>
      <c r="CD425" s="80"/>
      <c r="CE425" s="80"/>
      <c r="CF425" s="80"/>
      <c r="CG425" s="80"/>
      <c r="CH425" s="80"/>
      <c r="CI425" s="80"/>
      <c r="CJ425" s="80"/>
      <c r="CK425" s="2"/>
    </row>
    <row r="426" ht="12.75" customHeight="1">
      <c r="A426" s="85">
        <f>IFERROR(__xludf.DUMMYFUNCTION("""COMPUTED_VALUE"""),423.0)</f>
        <v>423</v>
      </c>
      <c r="B426" s="85"/>
      <c r="C426" s="85"/>
      <c r="D426" s="86">
        <f>IFERROR(__xludf.DUMMYFUNCTION("""COMPUTED_VALUE"""),45699.0)</f>
        <v>45699</v>
      </c>
      <c r="E426" s="88"/>
      <c r="F426" s="85"/>
      <c r="G426" s="86">
        <f>IFERROR(__xludf.DUMMYFUNCTION("""COMPUTED_VALUE"""),45708.0)</f>
        <v>45708</v>
      </c>
      <c r="H426" s="85"/>
      <c r="I426" s="85"/>
      <c r="J426" s="85"/>
      <c r="K426" s="85"/>
      <c r="L426" s="85">
        <f>IFERROR(__xludf.DUMMYFUNCTION("""COMPUTED_VALUE"""),9.0)</f>
        <v>9</v>
      </c>
      <c r="M426" s="85" t="str">
        <f>IFERROR(__xludf.DUMMYFUNCTION("""COMPUTED_VALUE"""),"ü")</f>
        <v>ü</v>
      </c>
      <c r="N426" s="85"/>
      <c r="O426" s="85"/>
      <c r="P426" s="85" t="str">
        <f>IFERROR(__xludf.DUMMYFUNCTION("""COMPUTED_VALUE"""),"53BSPA09380JBEEN")</f>
        <v>53BSPA09380JBEEN</v>
      </c>
      <c r="Q426" s="85" t="str">
        <f>IFERROR(__xludf.DUMMYFUNCTION("""COMPUTED_VALUE"""),"MUC CIRONGGENG")</f>
        <v>MUC CIRONGGENG</v>
      </c>
      <c r="R426" s="85" t="str">
        <f>IFERROR(__xludf.DUMMYFUNCTION("""COMPUTED_VALUE"""),"MUC CIRONGGENG")</f>
        <v>MUC CIRONGGENG</v>
      </c>
      <c r="S426" s="85" t="str">
        <f>IFERROR(__xludf.DUMMYFUNCTION("""COMPUTED_VALUE"""),"ALIPI")</f>
        <v>ALIPI</v>
      </c>
      <c r="T426" s="85" t="str">
        <f>IFERROR(__xludf.DUMMYFUNCTION("""COMPUTED_VALUE"""),"KP SELANG CIRONGGENG RT.003 RW.004 KEL.WANAJAYA KEC.CIBITUNG KAB.BEKASI")</f>
        <v>KP SELANG CIRONGGENG RT.003 RW.004 KEL.WANAJAYA KEC.CIBITUNG KAB.BEKASI</v>
      </c>
      <c r="U426" s="85" t="str">
        <f>IFERROR(__xludf.DUMMYFUNCTION("""COMPUTED_VALUE"""),"Ruko Mustika Grande (1)")</f>
        <v>Ruko Mustika Grande (1)</v>
      </c>
      <c r="V426" s="85"/>
      <c r="W426" s="85" t="str">
        <f>IFERROR(__xludf.DUMMYFUNCTION("""COMPUTED_VALUE"""),"Burangkeng")</f>
        <v>Burangkeng</v>
      </c>
      <c r="X426" s="85" t="str">
        <f>IFERROR(__xludf.DUMMYFUNCTION("""COMPUTED_VALUE"""),"Setu")</f>
        <v>Setu</v>
      </c>
      <c r="Y426" s="85" t="str">
        <f>IFERROR(__xludf.DUMMYFUNCTION("""COMPUTED_VALUE"""),"Kab.Bekasi")</f>
        <v>Kab.Bekasi</v>
      </c>
      <c r="Z426" s="85" t="str">
        <f>IFERROR(__xludf.DUMMYFUNCTION("""COMPUTED_VALUE"""),"Jawa Barat")</f>
        <v>Jawa Barat</v>
      </c>
      <c r="AA426" s="85" t="str">
        <f>IFERROR(__xludf.DUMMYFUNCTION("""COMPUTED_VALUE"""),"17320")</f>
        <v>17320</v>
      </c>
      <c r="AB426" s="85" t="str">
        <f>IFERROR(__xludf.DUMMYFUNCTION("""COMPUTED_VALUE"""),"3275061405900010")</f>
        <v>3275061405900010</v>
      </c>
      <c r="AC426" s="85" t="str">
        <f>IFERROR(__xludf.DUMMYFUNCTION("""COMPUTED_VALUE"""),"89.604/548.1-407.000")</f>
        <v>89.604/548.1-407.000</v>
      </c>
      <c r="AD426" s="85" t="str">
        <f>IFERROR(__xludf.DUMMYFUNCTION("""COMPUTED_VALUE"""),"CUM - EEN")</f>
        <v>CUM - EEN</v>
      </c>
      <c r="AE426" s="85" t="str">
        <f>IFERROR(__xludf.DUMMYFUNCTION("""COMPUTED_VALUE"""),"SUB EEN")</f>
        <v>SUB EEN</v>
      </c>
      <c r="AF426" s="85" t="str">
        <f>IFERROR(__xludf.DUMMYFUNCTION("""COMPUTED_VALUE"""),"085715821161")</f>
        <v>085715821161</v>
      </c>
      <c r="AG426" s="85"/>
      <c r="AH426" s="85" t="str">
        <f>IFERROR(__xludf.DUMMYFUNCTION("""COMPUTED_VALUE"""),"alipinathan@gmail.com")</f>
        <v>alipinathan@gmail.com</v>
      </c>
      <c r="AI426" s="85" t="str">
        <f>IFERROR(__xludf.DUMMYFUNCTION("""COMPUTED_VALUE"""),"17323S2")</f>
        <v>17323S2</v>
      </c>
      <c r="AJ426" s="85" t="str">
        <f>IFERROR(__xludf.DUMMYFUNCTION("""COMPUTED_VALUE"""),"67b5abe573a670af0207d779")</f>
        <v>67b5abe573a670af0207d779</v>
      </c>
      <c r="AK426" s="85" t="str">
        <f>IFERROR(__xludf.DUMMYFUNCTION("""COMPUTED_VALUE"""),"dm17323s2")</f>
        <v>dm17323s2</v>
      </c>
      <c r="AL426" s="85" t="str">
        <f>IFERROR(__xludf.DUMMYFUNCTION("""COMPUTED_VALUE"""),"#17323Pos")</f>
        <v>#17323Pos</v>
      </c>
      <c r="AM426" s="85" t="str">
        <f>IFERROR(__xludf.DUMMYFUNCTION("""COMPUTED_VALUE"""),"KANTOR REGIONAL II JAKARTA 10004")</f>
        <v>KANTOR REGIONAL II JAKARTA 10004</v>
      </c>
      <c r="AN426" s="85" t="str">
        <f>IFERROR(__xludf.DUMMYFUNCTION("""COMPUTED_VALUE"""),"KC CIKARANG 17500")</f>
        <v>KC CIKARANG 17500</v>
      </c>
      <c r="AO426" s="85" t="str">
        <f>IFERROR(__xludf.DUMMYFUNCTION("""COMPUTED_VALUE"""),"8120310112275")</f>
        <v>8120310112275</v>
      </c>
      <c r="AP426" s="85" t="str">
        <f>IFERROR(__xludf.DUMMYFUNCTION("""COMPUTED_VALUE"""),"81203101122750001")</f>
        <v>81203101122750001</v>
      </c>
      <c r="AQ426" s="93"/>
      <c r="AR426" s="85"/>
      <c r="AS426" s="85"/>
      <c r="AT426" s="85" t="str">
        <f>IFERROR(__xludf.DUMMYFUNCTION("""COMPUTED_VALUE"""),"-6.344144")</f>
        <v>-6.344144</v>
      </c>
      <c r="AU426" s="85" t="str">
        <f>IFERROR(__xludf.DUMMYFUNCTION("""COMPUTED_VALUE"""),"107.026066")</f>
        <v>107.026066</v>
      </c>
      <c r="AV426" s="85"/>
      <c r="AW426" s="85"/>
      <c r="AX426" s="85" t="str">
        <f>IFERROR(__xludf.DUMMYFUNCTION("""COMPUTED_VALUE"""),"ü")</f>
        <v>ü</v>
      </c>
      <c r="AY426" s="85"/>
      <c r="AZ426" s="85"/>
      <c r="BA426" s="85"/>
      <c r="BB426" s="85"/>
      <c r="BC426" s="85"/>
      <c r="BD426" s="85"/>
      <c r="BE426" s="85"/>
      <c r="BF426" s="85"/>
      <c r="BG426" s="85"/>
      <c r="BH426" s="85"/>
      <c r="BI426" s="85"/>
      <c r="BJ426" s="85"/>
      <c r="BK426" s="85"/>
      <c r="BL426" s="85"/>
      <c r="BM426" s="85"/>
      <c r="BN426" s="85"/>
      <c r="BO426" s="85"/>
      <c r="BP426" s="85"/>
      <c r="BQ426" s="85"/>
      <c r="BR426" s="85"/>
      <c r="BS426" s="85"/>
      <c r="BT426" s="85"/>
      <c r="BU426" s="85"/>
      <c r="BV426" s="85"/>
      <c r="BW426" s="85"/>
      <c r="BX426" s="85"/>
      <c r="BY426" s="85"/>
      <c r="BZ426" s="85"/>
      <c r="CA426" s="85"/>
      <c r="CB426" s="85"/>
      <c r="CC426" s="85"/>
      <c r="CD426" s="85"/>
      <c r="CE426" s="85"/>
      <c r="CF426" s="85"/>
      <c r="CG426" s="85"/>
      <c r="CH426" s="85"/>
      <c r="CI426" s="85"/>
      <c r="CJ426" s="85"/>
      <c r="CK426" s="2"/>
    </row>
    <row r="427" ht="12.75" customHeight="1">
      <c r="A427" s="80">
        <f>IFERROR(__xludf.DUMMYFUNCTION("""COMPUTED_VALUE"""),424.0)</f>
        <v>424</v>
      </c>
      <c r="B427" s="80"/>
      <c r="C427" s="80"/>
      <c r="D427" s="81">
        <f>IFERROR(__xludf.DUMMYFUNCTION("""COMPUTED_VALUE"""),45701.0)</f>
        <v>45701</v>
      </c>
      <c r="E427" s="82"/>
      <c r="F427" s="80"/>
      <c r="G427" s="81">
        <f>IFERROR(__xludf.DUMMYFUNCTION("""COMPUTED_VALUE"""),45715.0)</f>
        <v>45715</v>
      </c>
      <c r="H427" s="80"/>
      <c r="I427" s="80"/>
      <c r="J427" s="80"/>
      <c r="K427" s="80"/>
      <c r="L427" s="80">
        <f>IFERROR(__xludf.DUMMYFUNCTION("""COMPUTED_VALUE"""),14.0)</f>
        <v>14</v>
      </c>
      <c r="M427" s="80" t="str">
        <f>IFERROR(__xludf.DUMMYFUNCTION("""COMPUTED_VALUE"""),"ü")</f>
        <v>ü</v>
      </c>
      <c r="N427" s="80"/>
      <c r="O427" s="80"/>
      <c r="P427" s="80" t="str">
        <f>IFERROR(__xludf.DUMMYFUNCTION("""COMPUTED_VALUE"""),"MUCSPA63094PSIND")</f>
        <v>MUCSPA63094PSIND</v>
      </c>
      <c r="Q427" s="80" t="str">
        <f>IFERROR(__xludf.DUMMYFUNCTION("""COMPUTED_VALUE"""),"MUC Asyifa Cell")</f>
        <v>MUC Asyifa Cell</v>
      </c>
      <c r="R427" s="80" t="str">
        <f>IFERROR(__xludf.DUMMYFUNCTION("""COMPUTED_VALUE"""),"MUC Asyifa Cell")</f>
        <v>MUC Asyifa Cell</v>
      </c>
      <c r="S427" s="80" t="str">
        <f>IFERROR(__xludf.DUMMYFUNCTION("""COMPUTED_VALUE"""),"Rendi Yuli Hirawan Satria")</f>
        <v>Rendi Yuli Hirawan Satria</v>
      </c>
      <c r="T427" s="80" t="str">
        <f>IFERROR(__xludf.DUMMYFUNCTION("""COMPUTED_VALUE"""),"Pekauman rt02/01 Pekauman, Madukara, Banjarnegara")</f>
        <v>Pekauman rt02/01 Pekauman, Madukara, Banjarnegara</v>
      </c>
      <c r="U427" s="80" t="str">
        <f>IFERROR(__xludf.DUMMYFUNCTION("""COMPUTED_VALUE"""),"Pekauman Rt.03/Rw.01")</f>
        <v>Pekauman Rt.03/Rw.01</v>
      </c>
      <c r="V427" s="80"/>
      <c r="W427" s="80" t="str">
        <f>IFERROR(__xludf.DUMMYFUNCTION("""COMPUTED_VALUE"""),"Pekauman")</f>
        <v>Pekauman</v>
      </c>
      <c r="X427" s="80" t="str">
        <f>IFERROR(__xludf.DUMMYFUNCTION("""COMPUTED_VALUE"""),"Madukara")</f>
        <v>Madukara</v>
      </c>
      <c r="Y427" s="80" t="str">
        <f>IFERROR(__xludf.DUMMYFUNCTION("""COMPUTED_VALUE"""),"Banjarnegara")</f>
        <v>Banjarnegara</v>
      </c>
      <c r="Z427" s="80" t="str">
        <f>IFERROR(__xludf.DUMMYFUNCTION("""COMPUTED_VALUE"""),"Jawa Tengah")</f>
        <v>Jawa Tengah</v>
      </c>
      <c r="AA427" s="80" t="str">
        <f>IFERROR(__xludf.DUMMYFUNCTION("""COMPUTED_VALUE"""),"53482")</f>
        <v>53482</v>
      </c>
      <c r="AB427" s="80" t="str">
        <f>IFERROR(__xludf.DUMMYFUNCTION("""COMPUTED_VALUE"""),"3304081507930001")</f>
        <v>3304081507930001</v>
      </c>
      <c r="AC427" s="80" t="str">
        <f>IFERROR(__xludf.DUMMYFUNCTION("""COMPUTED_VALUE"""),"85.710.264.4-529.000")</f>
        <v>85.710.264.4-529.000</v>
      </c>
      <c r="AD427" s="80" t="str">
        <f>IFERROR(__xludf.DUMMYFUNCTION("""COMPUTED_VALUE"""),"CUM - PS - AMU")</f>
        <v>CUM - PS - AMU</v>
      </c>
      <c r="AE427" s="80" t="str">
        <f>IFERROR(__xludf.DUMMYFUNCTION("""COMPUTED_VALUE"""),"SUB MUJI POS")</f>
        <v>SUB MUJI POS</v>
      </c>
      <c r="AF427" s="80" t="str">
        <f>IFERROR(__xludf.DUMMYFUNCTION("""COMPUTED_VALUE"""),"085726292346")</f>
        <v>085726292346</v>
      </c>
      <c r="AG427" s="80"/>
      <c r="AH427" s="80" t="str">
        <f>IFERROR(__xludf.DUMMYFUNCTION("""COMPUTED_VALUE"""),"rendy.satria624@gmail.com")</f>
        <v>rendy.satria624@gmail.com</v>
      </c>
      <c r="AI427" s="80" t="str">
        <f>IFERROR(__xludf.DUMMYFUNCTION("""COMPUTED_VALUE"""),"53482S1")</f>
        <v>53482S1</v>
      </c>
      <c r="AJ427" s="80" t="str">
        <f>IFERROR(__xludf.DUMMYFUNCTION("""COMPUTED_VALUE"""),"67bec91f2392b5340d0e4353")</f>
        <v>67bec91f2392b5340d0e4353</v>
      </c>
      <c r="AK427" s="80" t="str">
        <f>IFERROR(__xludf.DUMMYFUNCTION("""COMPUTED_VALUE"""),"dm53482s1")</f>
        <v>dm53482s1</v>
      </c>
      <c r="AL427" s="80" t="str">
        <f>IFERROR(__xludf.DUMMYFUNCTION("""COMPUTED_VALUE"""),"#53482Pos")</f>
        <v>#53482Pos</v>
      </c>
      <c r="AM427" s="80" t="str">
        <f>IFERROR(__xludf.DUMMYFUNCTION("""COMPUTED_VALUE"""),"KANTOR REGIONAL IV SEMARANG 50004")</f>
        <v>KANTOR REGIONAL IV SEMARANG 50004</v>
      </c>
      <c r="AN427" s="80" t="str">
        <f>IFERROR(__xludf.DUMMYFUNCTION("""COMPUTED_VALUE"""),"KC BANJARNEGARA")</f>
        <v>KC BANJARNEGARA</v>
      </c>
      <c r="AO427" s="80" t="str">
        <f>IFERROR(__xludf.DUMMYFUNCTION("""COMPUTED_VALUE"""),"1212000643804")</f>
        <v>1212000643804</v>
      </c>
      <c r="AP427" s="80" t="str">
        <f>IFERROR(__xludf.DUMMYFUNCTION("""COMPUTED_VALUE"""),"12120006438040001")</f>
        <v>12120006438040001</v>
      </c>
      <c r="AQ427" s="83"/>
      <c r="AR427" s="80"/>
      <c r="AS427" s="80"/>
      <c r="AT427" s="80" t="str">
        <f>IFERROR(__xludf.DUMMYFUNCTION("""COMPUTED_VALUE"""),"-7.378076")</f>
        <v>-7.378076</v>
      </c>
      <c r="AU427" s="80" t="str">
        <f>IFERROR(__xludf.DUMMYFUNCTION("""COMPUTED_VALUE"""),"109.744146")</f>
        <v>109.744146</v>
      </c>
      <c r="AV427" s="80"/>
      <c r="AW427" s="80"/>
      <c r="AX427" s="80" t="str">
        <f>IFERROR(__xludf.DUMMYFUNCTION("""COMPUTED_VALUE"""),"ü")</f>
        <v>ü</v>
      </c>
      <c r="AY427" s="80"/>
      <c r="AZ427" s="80"/>
      <c r="BA427" s="80"/>
      <c r="BB427" s="80"/>
      <c r="BC427" s="80"/>
      <c r="BD427" s="80"/>
      <c r="BE427" s="80"/>
      <c r="BF427" s="80"/>
      <c r="BG427" s="80"/>
      <c r="BH427" s="80"/>
      <c r="BI427" s="80"/>
      <c r="BJ427" s="80"/>
      <c r="BK427" s="80"/>
      <c r="BL427" s="80"/>
      <c r="BM427" s="80"/>
      <c r="BN427" s="80"/>
      <c r="BO427" s="80"/>
      <c r="BP427" s="80"/>
      <c r="BQ427" s="80"/>
      <c r="BR427" s="80"/>
      <c r="BS427" s="80"/>
      <c r="BT427" s="80"/>
      <c r="BU427" s="80"/>
      <c r="BV427" s="80"/>
      <c r="BW427" s="80"/>
      <c r="BX427" s="80"/>
      <c r="BY427" s="80"/>
      <c r="BZ427" s="80"/>
      <c r="CA427" s="80"/>
      <c r="CB427" s="80"/>
      <c r="CC427" s="80"/>
      <c r="CD427" s="80"/>
      <c r="CE427" s="80"/>
      <c r="CF427" s="80"/>
      <c r="CG427" s="80"/>
      <c r="CH427" s="80"/>
      <c r="CI427" s="80"/>
      <c r="CJ427" s="80"/>
      <c r="CK427" s="2"/>
    </row>
    <row r="428" ht="12.75" customHeight="1">
      <c r="A428" s="85">
        <f>IFERROR(__xludf.DUMMYFUNCTION("""COMPUTED_VALUE"""),425.0)</f>
        <v>425</v>
      </c>
      <c r="B428" s="85"/>
      <c r="C428" s="85"/>
      <c r="D428" s="86">
        <f>IFERROR(__xludf.DUMMYFUNCTION("""COMPUTED_VALUE"""),45702.0)</f>
        <v>45702</v>
      </c>
      <c r="E428" s="88"/>
      <c r="F428" s="85"/>
      <c r="G428" s="86"/>
      <c r="H428" s="85"/>
      <c r="I428" s="85"/>
      <c r="J428" s="85"/>
      <c r="K428" s="85"/>
      <c r="L428" s="85"/>
      <c r="M428" s="85" t="str">
        <f>IFERROR(__xludf.DUMMYFUNCTION("""COMPUTED_VALUE"""),"ü")</f>
        <v>ü</v>
      </c>
      <c r="N428" s="85"/>
      <c r="O428" s="85"/>
      <c r="P428" s="85" t="str">
        <f>IFERROR(__xludf.DUMMYFUNCTION("""COMPUTED_VALUE"""),"MUCSPA63095PSIND")</f>
        <v>MUCSPA63095PSIND</v>
      </c>
      <c r="Q428" s="85" t="str">
        <f>IFERROR(__xludf.DUMMYFUNCTION("""COMPUTED_VALUE"""),"MUC SIANTURI POST")</f>
        <v>MUC SIANTURI POST</v>
      </c>
      <c r="R428" s="85" t="str">
        <f>IFERROR(__xludf.DUMMYFUNCTION("""COMPUTED_VALUE"""),"MUC SIANTURI POST")</f>
        <v>MUC SIANTURI POST</v>
      </c>
      <c r="S428" s="85" t="str">
        <f>IFERROR(__xludf.DUMMYFUNCTION("""COMPUTED_VALUE"""),"JEFFRY SANDRIA")</f>
        <v>JEFFRY SANDRIA</v>
      </c>
      <c r="T428" s="85" t="str">
        <f>IFERROR(__xludf.DUMMYFUNCTION("""COMPUTED_VALUE"""),"JL. PASIR SALAM VIII NO. 362 RT 004 RW 009 40254")</f>
        <v>JL. PASIR SALAM VIII NO. 362 RT 004 RW 009 40254</v>
      </c>
      <c r="U428" s="85" t="str">
        <f>IFERROR(__xludf.DUMMYFUNCTION("""COMPUTED_VALUE"""),"KOMP. BUMI PANYILEUKAN 16-07 RT.003 RW.008 CIPADUNG KIDUL , PANYILEUKAN, KOTA BANDUNG  ")</f>
        <v>KOMP. BUMI PANYILEUKAN 16-07 RT.003 RW.008 CIPADUNG KIDUL , PANYILEUKAN, KOTA BANDUNG  </v>
      </c>
      <c r="V428" s="85"/>
      <c r="W428" s="85" t="str">
        <f>IFERROR(__xludf.DUMMYFUNCTION("""COMPUTED_VALUE"""),"CIPADUNG KIDUL")</f>
        <v>CIPADUNG KIDUL</v>
      </c>
      <c r="X428" s="85" t="str">
        <f>IFERROR(__xludf.DUMMYFUNCTION("""COMPUTED_VALUE"""),"PANYILEUKAN")</f>
        <v>PANYILEUKAN</v>
      </c>
      <c r="Y428" s="85" t="str">
        <f>IFERROR(__xludf.DUMMYFUNCTION("""COMPUTED_VALUE"""),"BANDUNG")</f>
        <v>BANDUNG</v>
      </c>
      <c r="Z428" s="85" t="str">
        <f>IFERROR(__xludf.DUMMYFUNCTION("""COMPUTED_VALUE"""),"JAWA BARAT")</f>
        <v>JAWA BARAT</v>
      </c>
      <c r="AA428" s="85" t="str">
        <f>IFERROR(__xludf.DUMMYFUNCTION("""COMPUTED_VALUE"""),"40614")</f>
        <v>40614</v>
      </c>
      <c r="AB428" s="85" t="str">
        <f>IFERROR(__xludf.DUMMYFUNCTION("""COMPUTED_VALUE"""),"3273111107950001")</f>
        <v>3273111107950001</v>
      </c>
      <c r="AC428" s="85" t="str">
        <f>IFERROR(__xludf.DUMMYFUNCTION("""COMPUTED_VALUE"""),"92.023.827.6-424.000")</f>
        <v>92.023.827.6-424.000</v>
      </c>
      <c r="AD428" s="85" t="str">
        <f>IFERROR(__xludf.DUMMYFUNCTION("""COMPUTED_VALUE"""),"CUM - NONKORGEN")</f>
        <v>CUM - NONKORGEN</v>
      </c>
      <c r="AE428" s="85" t="str">
        <f>IFERROR(__xludf.DUMMYFUNCTION("""COMPUTED_VALUE"""),"PAK TAUFIK KC UBER")</f>
        <v>PAK TAUFIK KC UBER</v>
      </c>
      <c r="AF428" s="85" t="str">
        <f>IFERROR(__xludf.DUMMYFUNCTION("""COMPUTED_VALUE"""),"089665915110  ")</f>
        <v>089665915110  </v>
      </c>
      <c r="AG428" s="85"/>
      <c r="AH428" s="85" t="str">
        <f>IFERROR(__xludf.DUMMYFUNCTION("""COMPUTED_VALUE"""),"jeffrysandria@gmail.com")</f>
        <v>jeffrysandria@gmail.com</v>
      </c>
      <c r="AI428" s="85"/>
      <c r="AJ428" s="85"/>
      <c r="AK428" s="85"/>
      <c r="AL428" s="85"/>
      <c r="AM428" s="85" t="str">
        <f>IFERROR(__xludf.DUMMYFUNCTION("""COMPUTED_VALUE"""),"KANTOR REGIONAL III BANDUNG 40004")</f>
        <v>KANTOR REGIONAL III BANDUNG 40004</v>
      </c>
      <c r="AN428" s="85" t="str">
        <f>IFERROR(__xludf.DUMMYFUNCTION("""COMPUTED_VALUE"""),"KC UJUNGBERUNG ")</f>
        <v>KC UJUNGBERUNG </v>
      </c>
      <c r="AO428" s="85" t="str">
        <f>IFERROR(__xludf.DUMMYFUNCTION("""COMPUTED_VALUE"""),"1402250021449")</f>
        <v>1402250021449</v>
      </c>
      <c r="AP428" s="85" t="str">
        <f>IFERROR(__xludf.DUMMYFUNCTION("""COMPUTED_VALUE"""),"14022500214490001")</f>
        <v>14022500214490001</v>
      </c>
      <c r="AQ428" s="93"/>
      <c r="AR428" s="85"/>
      <c r="AS428" s="85"/>
      <c r="AT428" s="85" t="str">
        <f>IFERROR(__xludf.DUMMYFUNCTION("""COMPUTED_VALUE"""),"-6.9476152")</f>
        <v>-6.9476152</v>
      </c>
      <c r="AU428" s="85" t="str">
        <f>IFERROR(__xludf.DUMMYFUNCTION("""COMPUTED_VALUE"""),"107.7106458")</f>
        <v>107.7106458</v>
      </c>
      <c r="AV428" s="85"/>
      <c r="AW428" s="85"/>
      <c r="AX428" s="85" t="str">
        <f>IFERROR(__xludf.DUMMYFUNCTION("""COMPUTED_VALUE"""),"ü")</f>
        <v>ü</v>
      </c>
      <c r="AY428" s="85"/>
      <c r="AZ428" s="85"/>
      <c r="BA428" s="85"/>
      <c r="BB428" s="85"/>
      <c r="BC428" s="85"/>
      <c r="BD428" s="85"/>
      <c r="BE428" s="85"/>
      <c r="BF428" s="85"/>
      <c r="BG428" s="85"/>
      <c r="BH428" s="85"/>
      <c r="BI428" s="85"/>
      <c r="BJ428" s="85"/>
      <c r="BK428" s="85"/>
      <c r="BL428" s="85"/>
      <c r="BM428" s="85"/>
      <c r="BN428" s="85"/>
      <c r="BO428" s="85"/>
      <c r="BP428" s="85"/>
      <c r="BQ428" s="85"/>
      <c r="BR428" s="85"/>
      <c r="BS428" s="85"/>
      <c r="BT428" s="85"/>
      <c r="BU428" s="85"/>
      <c r="BV428" s="85"/>
      <c r="BW428" s="85"/>
      <c r="BX428" s="85"/>
      <c r="BY428" s="85"/>
      <c r="BZ428" s="85"/>
      <c r="CA428" s="85"/>
      <c r="CB428" s="85"/>
      <c r="CC428" s="85"/>
      <c r="CD428" s="85"/>
      <c r="CE428" s="85"/>
      <c r="CF428" s="85"/>
      <c r="CG428" s="85"/>
      <c r="CH428" s="85"/>
      <c r="CI428" s="85"/>
      <c r="CJ428" s="85"/>
      <c r="CK428" s="2"/>
    </row>
    <row r="429" ht="12.75" customHeight="1">
      <c r="A429" s="80">
        <f>IFERROR(__xludf.DUMMYFUNCTION("""COMPUTED_VALUE"""),426.0)</f>
        <v>426</v>
      </c>
      <c r="B429" s="80"/>
      <c r="C429" s="80"/>
      <c r="D429" s="81">
        <f>IFERROR(__xludf.DUMMYFUNCTION("""COMPUTED_VALUE"""),45702.0)</f>
        <v>45702</v>
      </c>
      <c r="E429" s="82"/>
      <c r="F429" s="80"/>
      <c r="G429" s="81">
        <f>IFERROR(__xludf.DUMMYFUNCTION("""COMPUTED_VALUE"""),45710.0)</f>
        <v>45710</v>
      </c>
      <c r="H429" s="80"/>
      <c r="I429" s="80"/>
      <c r="J429" s="80"/>
      <c r="K429" s="80"/>
      <c r="L429" s="80">
        <f>IFERROR(__xludf.DUMMYFUNCTION("""COMPUTED_VALUE"""),8.0)</f>
        <v>8</v>
      </c>
      <c r="M429" s="80" t="str">
        <f>IFERROR(__xludf.DUMMYFUNCTION("""COMPUTED_VALUE"""),"ü")</f>
        <v>ü</v>
      </c>
      <c r="N429" s="80"/>
      <c r="O429" s="80"/>
      <c r="P429" s="80" t="str">
        <f>IFERROR(__xludf.DUMMYFUNCTION("""COMPUTED_VALUE"""),"MUCSPA63096PSIND")</f>
        <v>MUCSPA63096PSIND</v>
      </c>
      <c r="Q429" s="80" t="str">
        <f>IFERROR(__xludf.DUMMYFUNCTION("""COMPUTED_VALUE"""),"MUC RR Jastip")</f>
        <v>MUC RR Jastip</v>
      </c>
      <c r="R429" s="80" t="str">
        <f>IFERROR(__xludf.DUMMYFUNCTION("""COMPUTED_VALUE"""),"MUC RR Jastip")</f>
        <v>MUC RR Jastip</v>
      </c>
      <c r="S429" s="80" t="str">
        <f>IFERROR(__xludf.DUMMYFUNCTION("""COMPUTED_VALUE"""),"MURSID ILHAM")</f>
        <v>MURSID ILHAM</v>
      </c>
      <c r="T429" s="80" t="str">
        <f>IFERROR(__xludf.DUMMYFUNCTION("""COMPUTED_VALUE"""),"PADASAN RT.002 RW.007 KEL. MRANGGEN KEC. POLOKARTO KAB. SUKOHARJO JAWA TENGAH")</f>
        <v>PADASAN RT.002 RW.007 KEL. MRANGGEN KEC. POLOKARTO KAB. SUKOHARJO JAWA TENGAH</v>
      </c>
      <c r="U429" s="80" t="str">
        <f>IFERROR(__xludf.DUMMYFUNCTION("""COMPUTED_VALUE"""),"Jebres")</f>
        <v>Jebres</v>
      </c>
      <c r="V429" s="80"/>
      <c r="W429" s="80" t="str">
        <f>IFERROR(__xludf.DUMMYFUNCTION("""COMPUTED_VALUE"""),"Jebres")</f>
        <v>Jebres</v>
      </c>
      <c r="X429" s="80" t="str">
        <f>IFERROR(__xludf.DUMMYFUNCTION("""COMPUTED_VALUE"""),"Jebres")</f>
        <v>Jebres</v>
      </c>
      <c r="Y429" s="80" t="str">
        <f>IFERROR(__xludf.DUMMYFUNCTION("""COMPUTED_VALUE"""),"Kota Surakarta")</f>
        <v>Kota Surakarta</v>
      </c>
      <c r="Z429" s="80" t="str">
        <f>IFERROR(__xludf.DUMMYFUNCTION("""COMPUTED_VALUE"""),"Jawa Tengah")</f>
        <v>Jawa Tengah</v>
      </c>
      <c r="AA429" s="80" t="str">
        <f>IFERROR(__xludf.DUMMYFUNCTION("""COMPUTED_VALUE"""),"57126")</f>
        <v>57126</v>
      </c>
      <c r="AB429" s="80" t="str">
        <f>IFERROR(__xludf.DUMMYFUNCTION("""COMPUTED_VALUE"""),"3311091102840004")</f>
        <v>3311091102840004</v>
      </c>
      <c r="AC429" s="80" t="str">
        <f>IFERROR(__xludf.DUMMYFUNCTION("""COMPUTED_VALUE"""),"64.211.107.4-532.000")</f>
        <v>64.211.107.4-532.000</v>
      </c>
      <c r="AD429" s="80" t="str">
        <f>IFERROR(__xludf.DUMMYFUNCTION("""COMPUTED_VALUE"""),"CUM - PS - RFSI")</f>
        <v>CUM - PS - RFSI</v>
      </c>
      <c r="AE429" s="80" t="str">
        <f>IFERROR(__xludf.DUMMYFUNCTION("""COMPUTED_VALUE"""),"SUB RIZKI POS")</f>
        <v>SUB RIZKI POS</v>
      </c>
      <c r="AF429" s="80" t="str">
        <f>IFERROR(__xludf.DUMMYFUNCTION("""COMPUTED_VALUE"""),"083178701678")</f>
        <v>083178701678</v>
      </c>
      <c r="AG429" s="80"/>
      <c r="AH429" s="80" t="str">
        <f>IFERROR(__xludf.DUMMYFUNCTION("""COMPUTED_VALUE"""),"lalawidi1981@gmail.com")</f>
        <v>lalawidi1981@gmail.com</v>
      </c>
      <c r="AI429" s="80" t="str">
        <f>IFERROR(__xludf.DUMMYFUNCTION("""COMPUTED_VALUE"""),"57126S5")</f>
        <v>57126S5</v>
      </c>
      <c r="AJ429" s="80" t="str">
        <f>IFERROR(__xludf.DUMMYFUNCTION("""COMPUTED_VALUE"""),"67b5495481ac0d90ac0e133c")</f>
        <v>67b5495481ac0d90ac0e133c</v>
      </c>
      <c r="AK429" s="80" t="str">
        <f>IFERROR(__xludf.DUMMYFUNCTION("""COMPUTED_VALUE"""),"dm57126s5")</f>
        <v>dm57126s5</v>
      </c>
      <c r="AL429" s="80" t="str">
        <f>IFERROR(__xludf.DUMMYFUNCTION("""COMPUTED_VALUE"""),"#57126Pos")</f>
        <v>#57126Pos</v>
      </c>
      <c r="AM429" s="80" t="str">
        <f>IFERROR(__xludf.DUMMYFUNCTION("""COMPUTED_VALUE"""),"KANTOR REGIONAL IV SEMARANG 50004")</f>
        <v>KANTOR REGIONAL IV SEMARANG 50004</v>
      </c>
      <c r="AN429" s="80" t="str">
        <f>IFERROR(__xludf.DUMMYFUNCTION("""COMPUTED_VALUE"""),"KCU SOLO")</f>
        <v>KCU SOLO</v>
      </c>
      <c r="AO429" s="80" t="str">
        <f>IFERROR(__xludf.DUMMYFUNCTION("""COMPUTED_VALUE"""),"1202250068249")</f>
        <v>1202250068249</v>
      </c>
      <c r="AP429" s="80" t="str">
        <f>IFERROR(__xludf.DUMMYFUNCTION("""COMPUTED_VALUE"""),"12022500682490001")</f>
        <v>12022500682490001</v>
      </c>
      <c r="AQ429" s="83"/>
      <c r="AR429" s="80"/>
      <c r="AS429" s="80"/>
      <c r="AT429" s="80" t="str">
        <f>IFERROR(__xludf.DUMMYFUNCTION("""COMPUTED_VALUE"""),"-7.557959025963029")</f>
        <v>-7.557959025963029</v>
      </c>
      <c r="AU429" s="80" t="str">
        <f>IFERROR(__xludf.DUMMYFUNCTION("""COMPUTED_VALUE"""),"110.86568945513596")</f>
        <v>110.86568945513596</v>
      </c>
      <c r="AV429" s="80"/>
      <c r="AW429" s="80"/>
      <c r="AX429" s="80" t="str">
        <f>IFERROR(__xludf.DUMMYFUNCTION("""COMPUTED_VALUE"""),"ü")</f>
        <v>ü</v>
      </c>
      <c r="AY429" s="80"/>
      <c r="AZ429" s="80"/>
      <c r="BA429" s="80"/>
      <c r="BB429" s="80"/>
      <c r="BC429" s="80"/>
      <c r="BD429" s="80"/>
      <c r="BE429" s="80"/>
      <c r="BF429" s="80"/>
      <c r="BG429" s="80"/>
      <c r="BH429" s="80"/>
      <c r="BI429" s="80"/>
      <c r="BJ429" s="80"/>
      <c r="BK429" s="80"/>
      <c r="BL429" s="80"/>
      <c r="BM429" s="80"/>
      <c r="BN429" s="80"/>
      <c r="BO429" s="80"/>
      <c r="BP429" s="80"/>
      <c r="BQ429" s="80"/>
      <c r="BR429" s="80"/>
      <c r="BS429" s="80"/>
      <c r="BT429" s="80"/>
      <c r="BU429" s="80"/>
      <c r="BV429" s="80"/>
      <c r="BW429" s="80"/>
      <c r="BX429" s="80"/>
      <c r="BY429" s="80"/>
      <c r="BZ429" s="80"/>
      <c r="CA429" s="80"/>
      <c r="CB429" s="80"/>
      <c r="CC429" s="80"/>
      <c r="CD429" s="80"/>
      <c r="CE429" s="80"/>
      <c r="CF429" s="80"/>
      <c r="CG429" s="80"/>
      <c r="CH429" s="80"/>
      <c r="CI429" s="80"/>
      <c r="CJ429" s="80"/>
      <c r="CK429" s="2"/>
    </row>
    <row r="430" ht="12.75" customHeight="1">
      <c r="A430" s="85">
        <f>IFERROR(__xludf.DUMMYFUNCTION("""COMPUTED_VALUE"""),427.0)</f>
        <v>427</v>
      </c>
      <c r="B430" s="85"/>
      <c r="C430" s="85"/>
      <c r="D430" s="86">
        <f>IFERROR(__xludf.DUMMYFUNCTION("""COMPUTED_VALUE"""),45707.0)</f>
        <v>45707</v>
      </c>
      <c r="E430" s="88"/>
      <c r="F430" s="85"/>
      <c r="G430" s="86">
        <f>IFERROR(__xludf.DUMMYFUNCTION("""COMPUTED_VALUE"""),45719.0)</f>
        <v>45719</v>
      </c>
      <c r="H430" s="85"/>
      <c r="I430" s="85"/>
      <c r="J430" s="85"/>
      <c r="K430" s="85"/>
      <c r="L430" s="85">
        <f>IFERROR(__xludf.DUMMYFUNCTION("""COMPUTED_VALUE"""),12.0)</f>
        <v>12</v>
      </c>
      <c r="M430" s="85" t="str">
        <f>IFERROR(__xludf.DUMMYFUNCTION("""COMPUTED_VALUE"""),"ü")</f>
        <v>ü</v>
      </c>
      <c r="N430" s="85"/>
      <c r="O430" s="85"/>
      <c r="P430" s="85" t="str">
        <f>IFERROR(__xludf.DUMMYFUNCTION("""COMPUTED_VALUE"""),"52BSPA07671JTAMD")</f>
        <v>52BSPA07671JTAMD</v>
      </c>
      <c r="Q430" s="85" t="str">
        <f>IFERROR(__xludf.DUMMYFUNCTION("""COMPUTED_VALUE"""),"MUC DENIO CANDIREJO")</f>
        <v>MUC DENIO CANDIREJO</v>
      </c>
      <c r="R430" s="85" t="str">
        <f>IFERROR(__xludf.DUMMYFUNCTION("""COMPUTED_VALUE"""),"MUC DENIO CANDIREJO")</f>
        <v>MUC DENIO CANDIREJO</v>
      </c>
      <c r="S430" s="85" t="str">
        <f>IFERROR(__xludf.DUMMYFUNCTION("""COMPUTED_VALUE"""),"HANI DIAH PUSPA DEWI")</f>
        <v>HANI DIAH PUSPA DEWI</v>
      </c>
      <c r="T430" s="85" t="str">
        <f>IFERROR(__xludf.DUMMYFUNCTION("""COMPUTED_VALUE"""),"KEMIRI RT.023 RW.010 CANDIREJO, NGAWEN KAB. KLATEN")</f>
        <v>KEMIRI RT.023 RW.010 CANDIREJO, NGAWEN KAB. KLATEN</v>
      </c>
      <c r="U430" s="85" t="str">
        <f>IFERROR(__xludf.DUMMYFUNCTION("""COMPUTED_VALUE"""),"Kemiri 021/010")</f>
        <v>Kemiri 021/010</v>
      </c>
      <c r="V430" s="85"/>
      <c r="W430" s="85" t="str">
        <f>IFERROR(__xludf.DUMMYFUNCTION("""COMPUTED_VALUE"""),"Candirejo")</f>
        <v>Candirejo</v>
      </c>
      <c r="X430" s="85" t="str">
        <f>IFERROR(__xludf.DUMMYFUNCTION("""COMPUTED_VALUE"""),"Ngawen")</f>
        <v>Ngawen</v>
      </c>
      <c r="Y430" s="85" t="str">
        <f>IFERROR(__xludf.DUMMYFUNCTION("""COMPUTED_VALUE"""),"Kab. Klaten")</f>
        <v>Kab. Klaten</v>
      </c>
      <c r="Z430" s="85" t="str">
        <f>IFERROR(__xludf.DUMMYFUNCTION("""COMPUTED_VALUE"""),"Jawa Tengah")</f>
        <v>Jawa Tengah</v>
      </c>
      <c r="AA430" s="85" t="str">
        <f>IFERROR(__xludf.DUMMYFUNCTION("""COMPUTED_VALUE"""),"57466")</f>
        <v>57466</v>
      </c>
      <c r="AB430" s="85" t="str">
        <f>IFERROR(__xludf.DUMMYFUNCTION("""COMPUTED_VALUE"""),"3310245706830005")</f>
        <v>3310245706830005</v>
      </c>
      <c r="AC430" s="85" t="str">
        <f>IFERROR(__xludf.DUMMYFUNCTION("""COMPUTED_VALUE"""),"08.936.691.8-525.000")</f>
        <v>08.936.691.8-525.000</v>
      </c>
      <c r="AD430" s="85" t="str">
        <f>IFERROR(__xludf.DUMMYFUNCTION("""COMPUTED_VALUE"""),"CUM - AMI")</f>
        <v>CUM - AMI</v>
      </c>
      <c r="AE430" s="85" t="str">
        <f>IFERROR(__xludf.DUMMYFUNCTION("""COMPUTED_VALUE"""),"SUB AMINUDDIN")</f>
        <v>SUB AMINUDDIN</v>
      </c>
      <c r="AF430" s="85" t="str">
        <f>IFERROR(__xludf.DUMMYFUNCTION("""COMPUTED_VALUE"""),"089648825062")</f>
        <v>089648825062</v>
      </c>
      <c r="AG430" s="85"/>
      <c r="AH430" s="85" t="str">
        <f>IFERROR(__xludf.DUMMYFUNCTION("""COMPUTED_VALUE"""),"aurelazahra17@gmail.com")</f>
        <v>aurelazahra17@gmail.com</v>
      </c>
      <c r="AI430" s="85" t="str">
        <f>IFERROR(__xludf.DUMMYFUNCTION("""COMPUTED_VALUE"""),"57466S1")</f>
        <v>57466S1</v>
      </c>
      <c r="AJ430" s="85" t="str">
        <f>IFERROR(__xludf.DUMMYFUNCTION("""COMPUTED_VALUE"""),"67c2a3646abdcbeda3038e83")</f>
        <v>67c2a3646abdcbeda3038e83</v>
      </c>
      <c r="AK430" s="85" t="str">
        <f>IFERROR(__xludf.DUMMYFUNCTION("""COMPUTED_VALUE"""),"dm57466s1")</f>
        <v>dm57466s1</v>
      </c>
      <c r="AL430" s="85" t="str">
        <f>IFERROR(__xludf.DUMMYFUNCTION("""COMPUTED_VALUE"""),"#57466Pos")</f>
        <v>#57466Pos</v>
      </c>
      <c r="AM430" s="85" t="str">
        <f>IFERROR(__xludf.DUMMYFUNCTION("""COMPUTED_VALUE"""),"KANTOR REGIONAL IV SEMARANG 50004")</f>
        <v>KANTOR REGIONAL IV SEMARANG 50004</v>
      </c>
      <c r="AN430" s="85" t="str">
        <f>IFERROR(__xludf.DUMMYFUNCTION("""COMPUTED_VALUE"""),"KC KLATEN 57400")</f>
        <v>KC KLATEN 57400</v>
      </c>
      <c r="AO430" s="85" t="str">
        <f>IFERROR(__xludf.DUMMYFUNCTION("""COMPUTED_VALUE"""),"2006230017582")</f>
        <v>2006230017582</v>
      </c>
      <c r="AP430" s="85" t="str">
        <f>IFERROR(__xludf.DUMMYFUNCTION("""COMPUTED_VALUE"""),"20062300175820001")</f>
        <v>20062300175820001</v>
      </c>
      <c r="AQ430" s="93"/>
      <c r="AR430" s="85"/>
      <c r="AS430" s="85"/>
      <c r="AT430" s="85" t="str">
        <f>IFERROR(__xludf.DUMMYFUNCTION("""COMPUTED_VALUE"""),"-7.667517")</f>
        <v>-7.667517</v>
      </c>
      <c r="AU430" s="85" t="str">
        <f>IFERROR(__xludf.DUMMYFUNCTION("""COMPUTED_VALUE"""),"110.633536")</f>
        <v>110.633536</v>
      </c>
      <c r="AV430" s="85"/>
      <c r="AW430" s="85"/>
      <c r="AX430" s="85" t="str">
        <f>IFERROR(__xludf.DUMMYFUNCTION("""COMPUTED_VALUE"""),"ü")</f>
        <v>ü</v>
      </c>
      <c r="AY430" s="85"/>
      <c r="AZ430" s="85"/>
      <c r="BA430" s="85"/>
      <c r="BB430" s="85"/>
      <c r="BC430" s="85"/>
      <c r="BD430" s="85"/>
      <c r="BE430" s="85"/>
      <c r="BF430" s="85"/>
      <c r="BG430" s="85"/>
      <c r="BH430" s="85"/>
      <c r="BI430" s="85"/>
      <c r="BJ430" s="85"/>
      <c r="BK430" s="85"/>
      <c r="BL430" s="85"/>
      <c r="BM430" s="85"/>
      <c r="BN430" s="85"/>
      <c r="BO430" s="85"/>
      <c r="BP430" s="85"/>
      <c r="BQ430" s="85"/>
      <c r="BR430" s="85"/>
      <c r="BS430" s="85"/>
      <c r="BT430" s="85"/>
      <c r="BU430" s="85"/>
      <c r="BV430" s="85"/>
      <c r="BW430" s="85"/>
      <c r="BX430" s="85"/>
      <c r="BY430" s="85"/>
      <c r="BZ430" s="85"/>
      <c r="CA430" s="85"/>
      <c r="CB430" s="85"/>
      <c r="CC430" s="85"/>
      <c r="CD430" s="85"/>
      <c r="CE430" s="85"/>
      <c r="CF430" s="85"/>
      <c r="CG430" s="85"/>
      <c r="CH430" s="85"/>
      <c r="CI430" s="85"/>
      <c r="CJ430" s="85"/>
      <c r="CK430" s="2"/>
    </row>
    <row r="431" ht="12.75" customHeight="1">
      <c r="A431" s="80">
        <f>IFERROR(__xludf.DUMMYFUNCTION("""COMPUTED_VALUE"""),428.0)</f>
        <v>428</v>
      </c>
      <c r="B431" s="80"/>
      <c r="C431" s="80"/>
      <c r="D431" s="81">
        <f>IFERROR(__xludf.DUMMYFUNCTION("""COMPUTED_VALUE"""),45708.0)</f>
        <v>45708</v>
      </c>
      <c r="E431" s="82"/>
      <c r="F431" s="80"/>
      <c r="G431" s="81">
        <f>IFERROR(__xludf.DUMMYFUNCTION("""COMPUTED_VALUE"""),45715.0)</f>
        <v>45715</v>
      </c>
      <c r="H431" s="80"/>
      <c r="I431" s="80"/>
      <c r="J431" s="80"/>
      <c r="K431" s="80"/>
      <c r="L431" s="80">
        <f>IFERROR(__xludf.DUMMYFUNCTION("""COMPUTED_VALUE"""),7.0)</f>
        <v>7</v>
      </c>
      <c r="M431" s="80" t="str">
        <f>IFERROR(__xludf.DUMMYFUNCTION("""COMPUTED_VALUE"""),"ü")</f>
        <v>ü</v>
      </c>
      <c r="N431" s="80"/>
      <c r="O431" s="80"/>
      <c r="P431" s="80" t="str">
        <f>IFERROR(__xludf.DUMMYFUNCTION("""COMPUTED_VALUE"""),"MUCSPA63097PSIND")</f>
        <v>MUCSPA63097PSIND</v>
      </c>
      <c r="Q431" s="80" t="str">
        <f>IFERROR(__xludf.DUMMYFUNCTION("""COMPUTED_VALUE"""),"MUC YUMI STORE")</f>
        <v>MUC YUMI STORE</v>
      </c>
      <c r="R431" s="80" t="str">
        <f>IFERROR(__xludf.DUMMYFUNCTION("""COMPUTED_VALUE"""),"MUC YUMI STORE")</f>
        <v>MUC YUMI STORE</v>
      </c>
      <c r="S431" s="80" t="str">
        <f>IFERROR(__xludf.DUMMYFUNCTION("""COMPUTED_VALUE"""),"Moh Maulana Yusuf ")</f>
        <v>Moh Maulana Yusuf </v>
      </c>
      <c r="T431" s="80" t="str">
        <f>IFERROR(__xludf.DUMMYFUNCTION("""COMPUTED_VALUE"""),"Dusun III RT 001 RW 005 desa guwa kidul kec kaliwedi cirebon ")</f>
        <v>Dusun III RT 001 RW 005 desa guwa kidul kec kaliwedi cirebon </v>
      </c>
      <c r="U431" s="80" t="str">
        <f>IFERROR(__xludf.DUMMYFUNCTION("""COMPUTED_VALUE"""),"Dusun 3 RT 001 RW 005")</f>
        <v>Dusun 3 RT 001 RW 005</v>
      </c>
      <c r="V431" s="80"/>
      <c r="W431" s="80" t="str">
        <f>IFERROR(__xludf.DUMMYFUNCTION("""COMPUTED_VALUE"""),"guwa kidul ")</f>
        <v>guwa kidul </v>
      </c>
      <c r="X431" s="80" t="str">
        <f>IFERROR(__xludf.DUMMYFUNCTION("""COMPUTED_VALUE"""),"kaliwedi ")</f>
        <v>kaliwedi </v>
      </c>
      <c r="Y431" s="80" t="str">
        <f>IFERROR(__xludf.DUMMYFUNCTION("""COMPUTED_VALUE"""),"Cirebon ")</f>
        <v>Cirebon </v>
      </c>
      <c r="Z431" s="80" t="str">
        <f>IFERROR(__xludf.DUMMYFUNCTION("""COMPUTED_VALUE"""),"jawa barat")</f>
        <v>jawa barat</v>
      </c>
      <c r="AA431" s="80" t="str">
        <f>IFERROR(__xludf.DUMMYFUNCTION("""COMPUTED_VALUE"""),"45165")</f>
        <v>45165</v>
      </c>
      <c r="AB431" s="80" t="str">
        <f>IFERROR(__xludf.DUMMYFUNCTION("""COMPUTED_VALUE"""),"3209293110960001")</f>
        <v>3209293110960001</v>
      </c>
      <c r="AC431" s="80" t="str">
        <f>IFERROR(__xludf.DUMMYFUNCTION("""COMPUTED_VALUE"""),"70.705.944.0-426.000")</f>
        <v>70.705.944.0-426.000</v>
      </c>
      <c r="AD431" s="80" t="str">
        <f>IFERROR(__xludf.DUMMYFUNCTION("""COMPUTED_VALUE"""),"CUM - PS - NUR")</f>
        <v>CUM - PS - NUR</v>
      </c>
      <c r="AE431" s="80" t="str">
        <f>IFERROR(__xludf.DUMMYFUNCTION("""COMPUTED_VALUE"""),"SUB NUR POS")</f>
        <v>SUB NUR POS</v>
      </c>
      <c r="AF431" s="80" t="str">
        <f>IFERROR(__xludf.DUMMYFUNCTION("""COMPUTED_VALUE"""),"0882001871023")</f>
        <v>0882001871023</v>
      </c>
      <c r="AG431" s="80"/>
      <c r="AH431" s="80" t="str">
        <f>IFERROR(__xludf.DUMMYFUNCTION("""COMPUTED_VALUE"""),"maulanay724@gmail.com")</f>
        <v>maulanay724@gmail.com</v>
      </c>
      <c r="AI431" s="80" t="str">
        <f>IFERROR(__xludf.DUMMYFUNCTION("""COMPUTED_VALUE"""),"45665S3")</f>
        <v>45665S3</v>
      </c>
      <c r="AJ431" s="80" t="str">
        <f>IFERROR(__xludf.DUMMYFUNCTION("""COMPUTED_VALUE"""),"67c00d6ccedcb8525e0c2f61")</f>
        <v>67c00d6ccedcb8525e0c2f61</v>
      </c>
      <c r="AK431" s="80" t="str">
        <f>IFERROR(__xludf.DUMMYFUNCTION("""COMPUTED_VALUE"""),"dm45665s3")</f>
        <v>dm45665s3</v>
      </c>
      <c r="AL431" s="80" t="str">
        <f>IFERROR(__xludf.DUMMYFUNCTION("""COMPUTED_VALUE"""),"#45665Pos")</f>
        <v>#45665Pos</v>
      </c>
      <c r="AM431" s="80" t="str">
        <f>IFERROR(__xludf.DUMMYFUNCTION("""COMPUTED_VALUE"""),"KANTOR REGIONAL III BANDUNG 40004")</f>
        <v>KANTOR REGIONAL III BANDUNG 40004</v>
      </c>
      <c r="AN431" s="80" t="str">
        <f>IFERROR(__xludf.DUMMYFUNCTION("""COMPUTED_VALUE"""),"KCU CIREBON 45100")</f>
        <v>KCU CIREBON 45100</v>
      </c>
      <c r="AO431" s="80" t="str">
        <f>IFERROR(__xludf.DUMMYFUNCTION("""COMPUTED_VALUE"""),"0712210060126")</f>
        <v>0712210060126</v>
      </c>
      <c r="AP431" s="80" t="str">
        <f>IFERROR(__xludf.DUMMYFUNCTION("""COMPUTED_VALUE"""),"07122100601260001")</f>
        <v>07122100601260001</v>
      </c>
      <c r="AQ431" s="83"/>
      <c r="AR431" s="80"/>
      <c r="AS431" s="80"/>
      <c r="AT431" s="80" t="str">
        <f>IFERROR(__xludf.DUMMYFUNCTION("""COMPUTED_VALUE"""),"-6.563246")</f>
        <v>-6.563246</v>
      </c>
      <c r="AU431" s="80" t="str">
        <f>IFERROR(__xludf.DUMMYFUNCTION("""COMPUTED_VALUE"""),"108.378541")</f>
        <v>108.378541</v>
      </c>
      <c r="AV431" s="80"/>
      <c r="AW431" s="80"/>
      <c r="AX431" s="80" t="str">
        <f>IFERROR(__xludf.DUMMYFUNCTION("""COMPUTED_VALUE"""),"ü")</f>
        <v>ü</v>
      </c>
      <c r="AY431" s="80"/>
      <c r="AZ431" s="80"/>
      <c r="BA431" s="80"/>
      <c r="BB431" s="80"/>
      <c r="BC431" s="80"/>
      <c r="BD431" s="80"/>
      <c r="BE431" s="80"/>
      <c r="BF431" s="80"/>
      <c r="BG431" s="80"/>
      <c r="BH431" s="80"/>
      <c r="BI431" s="80"/>
      <c r="BJ431" s="80"/>
      <c r="BK431" s="80"/>
      <c r="BL431" s="80"/>
      <c r="BM431" s="80"/>
      <c r="BN431" s="80"/>
      <c r="BO431" s="80"/>
      <c r="BP431" s="80"/>
      <c r="BQ431" s="80"/>
      <c r="BR431" s="80"/>
      <c r="BS431" s="80"/>
      <c r="BT431" s="80"/>
      <c r="BU431" s="80"/>
      <c r="BV431" s="80"/>
      <c r="BW431" s="80"/>
      <c r="BX431" s="80"/>
      <c r="BY431" s="80"/>
      <c r="BZ431" s="80"/>
      <c r="CA431" s="80"/>
      <c r="CB431" s="80"/>
      <c r="CC431" s="80"/>
      <c r="CD431" s="80"/>
      <c r="CE431" s="80"/>
      <c r="CF431" s="80"/>
      <c r="CG431" s="80"/>
      <c r="CH431" s="80"/>
      <c r="CI431" s="80"/>
      <c r="CJ431" s="80"/>
      <c r="CK431" s="2"/>
    </row>
    <row r="432" ht="12.75" customHeight="1">
      <c r="A432" s="85">
        <f>IFERROR(__xludf.DUMMYFUNCTION("""COMPUTED_VALUE"""),429.0)</f>
        <v>429</v>
      </c>
      <c r="B432" s="85"/>
      <c r="C432" s="85"/>
      <c r="D432" s="86">
        <f>IFERROR(__xludf.DUMMYFUNCTION("""COMPUTED_VALUE"""),45708.0)</f>
        <v>45708</v>
      </c>
      <c r="E432" s="88"/>
      <c r="F432" s="85"/>
      <c r="G432" s="86">
        <f>IFERROR(__xludf.DUMMYFUNCTION("""COMPUTED_VALUE"""),45726.0)</f>
        <v>45726</v>
      </c>
      <c r="H432" s="85"/>
      <c r="I432" s="85"/>
      <c r="J432" s="85"/>
      <c r="K432" s="85"/>
      <c r="L432" s="85">
        <f>IFERROR(__xludf.DUMMYFUNCTION("""COMPUTED_VALUE"""),18.0)</f>
        <v>18</v>
      </c>
      <c r="M432" s="85" t="str">
        <f>IFERROR(__xludf.DUMMYFUNCTION("""COMPUTED_VALUE"""),"ü")</f>
        <v>ü</v>
      </c>
      <c r="N432" s="85"/>
      <c r="O432" s="85"/>
      <c r="P432" s="85" t="str">
        <f>IFERROR(__xludf.DUMMYFUNCTION("""COMPUTED_VALUE"""),"MUCSPA63098PSIND")</f>
        <v>MUCSPA63098PSIND</v>
      </c>
      <c r="Q432" s="85" t="str">
        <f>IFERROR(__xludf.DUMMYFUNCTION("""COMPUTED_VALUE"""),"MUC DIRGAHAYU")</f>
        <v>MUC DIRGAHAYU</v>
      </c>
      <c r="R432" s="85" t="str">
        <f>IFERROR(__xludf.DUMMYFUNCTION("""COMPUTED_VALUE"""),"MUC DIRGAHAYU")</f>
        <v>MUC DIRGAHAYU</v>
      </c>
      <c r="S432" s="85" t="str">
        <f>IFERROR(__xludf.DUMMYFUNCTION("""COMPUTED_VALUE"""),"HUJNI HAWA IJI")</f>
        <v>HUJNI HAWA IJI</v>
      </c>
      <c r="T432" s="85" t="str">
        <f>IFERROR(__xludf.DUMMYFUNCTION("""COMPUTED_VALUE"""),"KP CISAMPIH RT.002 RW.003 DESA KADUPAYUNG KECAMATAN MENES PANDEGLANG BANTEN")</f>
        <v>KP CISAMPIH RT.002 RW.003 DESA KADUPAYUNG KECAMATAN MENES PANDEGLANG BANTEN</v>
      </c>
      <c r="U432" s="85" t="str">
        <f>IFERROR(__xludf.DUMMYFUNCTION("""COMPUTED_VALUE"""),"Alun-alun menes RT 002 RW 006")</f>
        <v>Alun-alun menes RT 002 RW 006</v>
      </c>
      <c r="V432" s="85"/>
      <c r="W432" s="85" t="str">
        <f>IFERROR(__xludf.DUMMYFUNCTION("""COMPUTED_VALUE"""),"PURWARAJA")</f>
        <v>PURWARAJA</v>
      </c>
      <c r="X432" s="85" t="str">
        <f>IFERROR(__xludf.DUMMYFUNCTION("""COMPUTED_VALUE"""),"MENES")</f>
        <v>MENES</v>
      </c>
      <c r="Y432" s="85" t="str">
        <f>IFERROR(__xludf.DUMMYFUNCTION("""COMPUTED_VALUE"""),"PANDEGLANG")</f>
        <v>PANDEGLANG</v>
      </c>
      <c r="Z432" s="85" t="str">
        <f>IFERROR(__xludf.DUMMYFUNCTION("""COMPUTED_VALUE"""),"BANTEN")</f>
        <v>BANTEN</v>
      </c>
      <c r="AA432" s="85" t="str">
        <f>IFERROR(__xludf.DUMMYFUNCTION("""COMPUTED_VALUE"""),"42262 ")</f>
        <v>42262 </v>
      </c>
      <c r="AB432" s="85" t="str">
        <f>IFERROR(__xludf.DUMMYFUNCTION("""COMPUTED_VALUE"""),"3601132212940001")</f>
        <v>3601132212940001</v>
      </c>
      <c r="AC432" s="85" t="str">
        <f>IFERROR(__xludf.DUMMYFUNCTION("""COMPUTED_VALUE"""),"76.860.452.2-419.000")</f>
        <v>76.860.452.2-419.000</v>
      </c>
      <c r="AD432" s="85" t="str">
        <f>IFERROR(__xludf.DUMMYFUNCTION("""COMPUTED_VALUE"""),"CUM NONKORGEN")</f>
        <v>CUM NONKORGEN</v>
      </c>
      <c r="AE432" s="85" t="str">
        <f>IFERROR(__xludf.DUMMYFUNCTION("""COMPUTED_VALUE"""),"SUB NON KORGEN")</f>
        <v>SUB NON KORGEN</v>
      </c>
      <c r="AF432" s="85" t="str">
        <f>IFERROR(__xludf.DUMMYFUNCTION("""COMPUTED_VALUE"""),"085210445554")</f>
        <v>085210445554</v>
      </c>
      <c r="AG432" s="85"/>
      <c r="AH432" s="85" t="str">
        <f>IFERROR(__xludf.DUMMYFUNCTION("""COMPUTED_VALUE"""),"hujnihawaiji55@gmail.com")</f>
        <v>hujnihawaiji55@gmail.com</v>
      </c>
      <c r="AI432" s="85" t="str">
        <f>IFERROR(__xludf.DUMMYFUNCTION("""COMPUTED_VALUE"""),"42262S1")</f>
        <v>42262S1</v>
      </c>
      <c r="AJ432" s="85" t="str">
        <f>IFERROR(__xludf.DUMMYFUNCTION("""COMPUTED_VALUE"""),"67c680c4f3b871a9f8025720")</f>
        <v>67c680c4f3b871a9f8025720</v>
      </c>
      <c r="AK432" s="85" t="str">
        <f>IFERROR(__xludf.DUMMYFUNCTION("""COMPUTED_VALUE"""),"dm42262s1")</f>
        <v>dm42262s1</v>
      </c>
      <c r="AL432" s="85" t="str">
        <f>IFERROR(__xludf.DUMMYFUNCTION("""COMPUTED_VALUE"""),"#42262Pos")</f>
        <v>#42262Pos</v>
      </c>
      <c r="AM432" s="85" t="str">
        <f>IFERROR(__xludf.DUMMYFUNCTION("""COMPUTED_VALUE"""),"KANTOR REGIONAL II JAKARTA 10004")</f>
        <v>KANTOR REGIONAL II JAKARTA 10004</v>
      </c>
      <c r="AN432" s="85" t="str">
        <f>IFERROR(__xludf.DUMMYFUNCTION("""COMPUTED_VALUE"""),"KC PANDEGLANG ")</f>
        <v>KC PANDEGLANG </v>
      </c>
      <c r="AO432" s="85" t="str">
        <f>IFERROR(__xludf.DUMMYFUNCTION("""COMPUTED_VALUE"""),"1702220078976")</f>
        <v>1702220078976</v>
      </c>
      <c r="AP432" s="85" t="str">
        <f>IFERROR(__xludf.DUMMYFUNCTION("""COMPUTED_VALUE"""),"17022200789760001")</f>
        <v>17022200789760001</v>
      </c>
      <c r="AQ432" s="93"/>
      <c r="AR432" s="85"/>
      <c r="AS432" s="85"/>
      <c r="AT432" s="85" t="str">
        <f>IFERROR(__xludf.DUMMYFUNCTION("""COMPUTED_VALUE"""),"-6.374333")</f>
        <v>-6.374333</v>
      </c>
      <c r="AU432" s="85" t="str">
        <f>IFERROR(__xludf.DUMMYFUNCTION("""COMPUTED_VALUE"""),"105.920040")</f>
        <v>105.920040</v>
      </c>
      <c r="AV432" s="85"/>
      <c r="AW432" s="85"/>
      <c r="AX432" s="85" t="str">
        <f>IFERROR(__xludf.DUMMYFUNCTION("""COMPUTED_VALUE"""),"ü")</f>
        <v>ü</v>
      </c>
      <c r="AY432" s="85"/>
      <c r="AZ432" s="85"/>
      <c r="BA432" s="85"/>
      <c r="BB432" s="85"/>
      <c r="BC432" s="85"/>
      <c r="BD432" s="85"/>
      <c r="BE432" s="85"/>
      <c r="BF432" s="85"/>
      <c r="BG432" s="85"/>
      <c r="BH432" s="85"/>
      <c r="BI432" s="85"/>
      <c r="BJ432" s="85"/>
      <c r="BK432" s="85"/>
      <c r="BL432" s="85"/>
      <c r="BM432" s="85"/>
      <c r="BN432" s="85"/>
      <c r="BO432" s="85"/>
      <c r="BP432" s="85"/>
      <c r="BQ432" s="85"/>
      <c r="BR432" s="85"/>
      <c r="BS432" s="85"/>
      <c r="BT432" s="85"/>
      <c r="BU432" s="85"/>
      <c r="BV432" s="85"/>
      <c r="BW432" s="85"/>
      <c r="BX432" s="85"/>
      <c r="BY432" s="85"/>
      <c r="BZ432" s="85"/>
      <c r="CA432" s="85"/>
      <c r="CB432" s="85"/>
      <c r="CC432" s="85"/>
      <c r="CD432" s="85"/>
      <c r="CE432" s="85"/>
      <c r="CF432" s="85"/>
      <c r="CG432" s="85"/>
      <c r="CH432" s="85"/>
      <c r="CI432" s="85"/>
      <c r="CJ432" s="85"/>
      <c r="CK432" s="2"/>
    </row>
    <row r="433" ht="12.75" customHeight="1">
      <c r="A433" s="80">
        <f>IFERROR(__xludf.DUMMYFUNCTION("""COMPUTED_VALUE"""),430.0)</f>
        <v>430</v>
      </c>
      <c r="B433" s="80"/>
      <c r="C433" s="80"/>
      <c r="D433" s="81">
        <f>IFERROR(__xludf.DUMMYFUNCTION("""COMPUTED_VALUE"""),45708.0)</f>
        <v>45708</v>
      </c>
      <c r="E433" s="82"/>
      <c r="F433" s="80"/>
      <c r="G433" s="81">
        <f>IFERROR(__xludf.DUMMYFUNCTION("""COMPUTED_VALUE"""),45756.0)</f>
        <v>45756</v>
      </c>
      <c r="H433" s="80"/>
      <c r="I433" s="80"/>
      <c r="J433" s="80"/>
      <c r="K433" s="80"/>
      <c r="L433" s="80">
        <f>IFERROR(__xludf.DUMMYFUNCTION("""COMPUTED_VALUE"""),48.0)</f>
        <v>48</v>
      </c>
      <c r="M433" s="80" t="str">
        <f>IFERROR(__xludf.DUMMYFUNCTION("""COMPUTED_VALUE"""),"ü")</f>
        <v>ü</v>
      </c>
      <c r="N433" s="80"/>
      <c r="O433" s="80"/>
      <c r="P433" s="80" t="str">
        <f>IFERROR(__xludf.DUMMYFUNCTION("""COMPUTED_VALUE"""),"MUCSPA63099PSIND")</f>
        <v>MUCSPA63099PSIND</v>
      </c>
      <c r="Q433" s="80" t="str">
        <f>IFERROR(__xludf.DUMMYFUNCTION("""COMPUTED_VALUE"""),"MUC Kebulen")</f>
        <v>MUC Kebulen</v>
      </c>
      <c r="R433" s="80" t="str">
        <f>IFERROR(__xludf.DUMMYFUNCTION("""COMPUTED_VALUE"""),"MUC Kebulen")</f>
        <v>MUC Kebulen</v>
      </c>
      <c r="S433" s="80" t="str">
        <f>IFERROR(__xludf.DUMMYFUNCTION("""COMPUTED_VALUE"""),"Meylina Puspitawati ")</f>
        <v>Meylina Puspitawati </v>
      </c>
      <c r="T433" s="80" t="str">
        <f>IFERROR(__xludf.DUMMYFUNCTION("""COMPUTED_VALUE"""),"BLOK SAWO RT 12 RW 03 kec Jatibarang Indramayu ")</f>
        <v>BLOK SAWO RT 12 RW 03 kec Jatibarang Indramayu </v>
      </c>
      <c r="U433" s="80" t="str">
        <f>IFERROR(__xludf.DUMMYFUNCTION("""COMPUTED_VALUE"""),"BLOK SAWO RT,12 RW.03")</f>
        <v>BLOK SAWO RT,12 RW.03</v>
      </c>
      <c r="V433" s="80"/>
      <c r="W433" s="80" t="str">
        <f>IFERROR(__xludf.DUMMYFUNCTION("""COMPUTED_VALUE"""),"Kebulen")</f>
        <v>Kebulen</v>
      </c>
      <c r="X433" s="80" t="str">
        <f>IFERROR(__xludf.DUMMYFUNCTION("""COMPUTED_VALUE"""),"Jatibarang ")</f>
        <v>Jatibarang </v>
      </c>
      <c r="Y433" s="80" t="str">
        <f>IFERROR(__xludf.DUMMYFUNCTION("""COMPUTED_VALUE"""),"Indramayu ")</f>
        <v>Indramayu </v>
      </c>
      <c r="Z433" s="80" t="str">
        <f>IFERROR(__xludf.DUMMYFUNCTION("""COMPUTED_VALUE"""),"Jawa Barat ")</f>
        <v>Jawa Barat </v>
      </c>
      <c r="AA433" s="80" t="str">
        <f>IFERROR(__xludf.DUMMYFUNCTION("""COMPUTED_VALUE"""),"45273")</f>
        <v>45273</v>
      </c>
      <c r="AB433" s="80" t="str">
        <f>IFERROR(__xludf.DUMMYFUNCTION("""COMPUTED_VALUE"""),"3212134306030003")</f>
        <v>3212134306030003</v>
      </c>
      <c r="AC433" s="80" t="str">
        <f>IFERROR(__xludf.DUMMYFUNCTION("""COMPUTED_VALUE"""),"61.247.177.1-437.000")</f>
        <v>61.247.177.1-437.000</v>
      </c>
      <c r="AD433" s="80" t="str">
        <f>IFERROR(__xludf.DUMMYFUNCTION("""COMPUTED_VALUE"""),"CUM - PS - WENDY")</f>
        <v>CUM - PS - WENDY</v>
      </c>
      <c r="AE433" s="80" t="str">
        <f>IFERROR(__xludf.DUMMYFUNCTION("""COMPUTED_VALUE"""),"SUB WENDY")</f>
        <v>SUB WENDY</v>
      </c>
      <c r="AF433" s="80" t="str">
        <f>IFERROR(__xludf.DUMMYFUNCTION("""COMPUTED_VALUE"""),"089527477258")</f>
        <v>089527477258</v>
      </c>
      <c r="AG433" s="80"/>
      <c r="AH433" s="80" t="str">
        <f>IFERROR(__xludf.DUMMYFUNCTION("""COMPUTED_VALUE"""),"mellymeylina7@gmail.com")</f>
        <v>mellymeylina7@gmail.com</v>
      </c>
      <c r="AI433" s="80" t="str">
        <f>IFERROR(__xludf.DUMMYFUNCTION("""COMPUTED_VALUE"""),"45273S2")</f>
        <v>45273S2</v>
      </c>
      <c r="AJ433" s="80" t="str">
        <f>IFERROR(__xludf.DUMMYFUNCTION("""COMPUTED_VALUE"""),"67f62ddb2e36b87f3b0449c7")</f>
        <v>67f62ddb2e36b87f3b0449c7</v>
      </c>
      <c r="AK433" s="80" t="str">
        <f>IFERROR(__xludf.DUMMYFUNCTION("""COMPUTED_VALUE"""),"dm45273s2")</f>
        <v>dm45273s2</v>
      </c>
      <c r="AL433" s="80" t="str">
        <f>IFERROR(__xludf.DUMMYFUNCTION("""COMPUTED_VALUE"""),"#45273Pos")</f>
        <v>#45273Pos</v>
      </c>
      <c r="AM433" s="80" t="str">
        <f>IFERROR(__xludf.DUMMYFUNCTION("""COMPUTED_VALUE"""),"KANTOR REGIONAL III BANDUNG 40004")</f>
        <v>KANTOR REGIONAL III BANDUNG 40004</v>
      </c>
      <c r="AN433" s="80" t="str">
        <f>IFERROR(__xludf.DUMMYFUNCTION("""COMPUTED_VALUE"""),"KC INDRAMAYU")</f>
        <v>KC INDRAMAYU</v>
      </c>
      <c r="AO433" s="80" t="str">
        <f>IFERROR(__xludf.DUMMYFUNCTION("""COMPUTED_VALUE"""),"2002250076124")</f>
        <v>2002250076124</v>
      </c>
      <c r="AP433" s="80" t="str">
        <f>IFERROR(__xludf.DUMMYFUNCTION("""COMPUTED_VALUE"""),"20022500761240001")</f>
        <v>20022500761240001</v>
      </c>
      <c r="AQ433" s="83"/>
      <c r="AR433" s="80"/>
      <c r="AS433" s="80"/>
      <c r="AT433" s="80" t="str">
        <f>IFERROR(__xludf.DUMMYFUNCTION("""COMPUTED_VALUE"""),"-6.453702609143828")</f>
        <v>-6.453702609143828</v>
      </c>
      <c r="AU433" s="80" t="str">
        <f>IFERROR(__xludf.DUMMYFUNCTION("""COMPUTED_VALUE"""),"108.3061529648124")</f>
        <v>108.3061529648124</v>
      </c>
      <c r="AV433" s="80"/>
      <c r="AW433" s="80"/>
      <c r="AX433" s="80" t="str">
        <f>IFERROR(__xludf.DUMMYFUNCTION("""COMPUTED_VALUE"""),"ü")</f>
        <v>ü</v>
      </c>
      <c r="AY433" s="80"/>
      <c r="AZ433" s="80"/>
      <c r="BA433" s="80"/>
      <c r="BB433" s="80"/>
      <c r="BC433" s="80"/>
      <c r="BD433" s="80"/>
      <c r="BE433" s="80"/>
      <c r="BF433" s="80"/>
      <c r="BG433" s="80"/>
      <c r="BH433" s="80"/>
      <c r="BI433" s="80"/>
      <c r="BJ433" s="80"/>
      <c r="BK433" s="80"/>
      <c r="BL433" s="80"/>
      <c r="BM433" s="80"/>
      <c r="BN433" s="80"/>
      <c r="BO433" s="80"/>
      <c r="BP433" s="80"/>
      <c r="BQ433" s="80"/>
      <c r="BR433" s="80"/>
      <c r="BS433" s="80"/>
      <c r="BT433" s="80"/>
      <c r="BU433" s="80"/>
      <c r="BV433" s="80"/>
      <c r="BW433" s="80"/>
      <c r="BX433" s="80"/>
      <c r="BY433" s="80"/>
      <c r="BZ433" s="80"/>
      <c r="CA433" s="80"/>
      <c r="CB433" s="80"/>
      <c r="CC433" s="80"/>
      <c r="CD433" s="80"/>
      <c r="CE433" s="80"/>
      <c r="CF433" s="80"/>
      <c r="CG433" s="80"/>
      <c r="CH433" s="80"/>
      <c r="CI433" s="80"/>
      <c r="CJ433" s="80"/>
      <c r="CK433" s="2"/>
    </row>
    <row r="434" ht="12.75" customHeight="1">
      <c r="A434" s="85">
        <f>IFERROR(__xludf.DUMMYFUNCTION("""COMPUTED_VALUE"""),431.0)</f>
        <v>431</v>
      </c>
      <c r="B434" s="85"/>
      <c r="C434" s="85"/>
      <c r="D434" s="86">
        <f>IFERROR(__xludf.DUMMYFUNCTION("""COMPUTED_VALUE"""),45712.0)</f>
        <v>45712</v>
      </c>
      <c r="E434" s="88"/>
      <c r="F434" s="85"/>
      <c r="G434" s="86">
        <f>IFERROR(__xludf.DUMMYFUNCTION("""COMPUTED_VALUE"""),45726.0)</f>
        <v>45726</v>
      </c>
      <c r="H434" s="85"/>
      <c r="I434" s="85"/>
      <c r="J434" s="85"/>
      <c r="K434" s="85"/>
      <c r="L434" s="85">
        <f>IFERROR(__xludf.DUMMYFUNCTION("""COMPUTED_VALUE"""),14.0)</f>
        <v>14</v>
      </c>
      <c r="M434" s="85" t="str">
        <f>IFERROR(__xludf.DUMMYFUNCTION("""COMPUTED_VALUE"""),"ü")</f>
        <v>ü</v>
      </c>
      <c r="N434" s="85"/>
      <c r="O434" s="85"/>
      <c r="P434" s="85" t="str">
        <f>IFERROR(__xludf.DUMMYFUNCTION("""COMPUTED_VALUE"""),"MUCSPA63101PSIND")</f>
        <v>MUCSPA63101PSIND</v>
      </c>
      <c r="Q434" s="85" t="str">
        <f>IFERROR(__xludf.DUMMYFUNCTION("""COMPUTED_VALUE"""),"MUC LeRes")</f>
        <v>MUC LeRes</v>
      </c>
      <c r="R434" s="85" t="str">
        <f>IFERROR(__xludf.DUMMYFUNCTION("""COMPUTED_VALUE"""),"MUC LeRes")</f>
        <v>MUC LeRes</v>
      </c>
      <c r="S434" s="85" t="str">
        <f>IFERROR(__xludf.DUMMYFUNCTION("""COMPUTED_VALUE"""),"SUDIYANTO")</f>
        <v>SUDIYANTO</v>
      </c>
      <c r="T434" s="85" t="str">
        <f>IFERROR(__xludf.DUMMYFUNCTION("""COMPUTED_VALUE"""),"JL. GISIKSARI III/26 RT.003 RW.006 DESA. BARUSARI KEC. SEMARANG SELATAN KOTA SEMARANG")</f>
        <v>JL. GISIKSARI III/26 RT.003 RW.006 DESA. BARUSARI KEC. SEMARANG SELATAN KOTA SEMARANG</v>
      </c>
      <c r="U434" s="85" t="str">
        <f>IFERROR(__xludf.DUMMYFUNCTION("""COMPUTED_VALUE"""),"JL. GISIKSARI III/26 RT.003 RW.006 ")</f>
        <v>JL. GISIKSARI III/26 RT.003 RW.006 </v>
      </c>
      <c r="V434" s="85"/>
      <c r="W434" s="85" t="str">
        <f>IFERROR(__xludf.DUMMYFUNCTION("""COMPUTED_VALUE"""),"BARUSARI ")</f>
        <v>BARUSARI </v>
      </c>
      <c r="X434" s="85" t="str">
        <f>IFERROR(__xludf.DUMMYFUNCTION("""COMPUTED_VALUE"""),"SEMARANG SELATAN ")</f>
        <v>SEMARANG SELATAN </v>
      </c>
      <c r="Y434" s="85" t="str">
        <f>IFERROR(__xludf.DUMMYFUNCTION("""COMPUTED_VALUE"""),"KOTA SEMARANG")</f>
        <v>KOTA SEMARANG</v>
      </c>
      <c r="Z434" s="85" t="str">
        <f>IFERROR(__xludf.DUMMYFUNCTION("""COMPUTED_VALUE"""),"JAWA TENGAH")</f>
        <v>JAWA TENGAH</v>
      </c>
      <c r="AA434" s="85" t="str">
        <f>IFERROR(__xludf.DUMMYFUNCTION("""COMPUTED_VALUE"""),"50245")</f>
        <v>50245</v>
      </c>
      <c r="AB434" s="85" t="str">
        <f>IFERROR(__xludf.DUMMYFUNCTION("""COMPUTED_VALUE"""),"3321012504650005")</f>
        <v>3321012504650005</v>
      </c>
      <c r="AC434" s="85" t="str">
        <f>IFERROR(__xludf.DUMMYFUNCTION("""COMPUTED_VALUE"""),"47.495.536.6-515.000")</f>
        <v>47.495.536.6-515.000</v>
      </c>
      <c r="AD434" s="85" t="str">
        <f>IFERROR(__xludf.DUMMYFUNCTION("""COMPUTED_VALUE"""),"CUM - PS - PDW")</f>
        <v>CUM - PS - PDW</v>
      </c>
      <c r="AE434" s="85" t="str">
        <f>IFERROR(__xludf.DUMMYFUNCTION("""COMPUTED_VALUE"""),"SUB BOWO POS")</f>
        <v>SUB BOWO POS</v>
      </c>
      <c r="AF434" s="85" t="str">
        <f>IFERROR(__xludf.DUMMYFUNCTION("""COMPUTED_VALUE"""),"081225185977")</f>
        <v>081225185977</v>
      </c>
      <c r="AG434" s="85"/>
      <c r="AH434" s="85" t="str">
        <f>IFERROR(__xludf.DUMMYFUNCTION("""COMPUTED_VALUE"""),"sudiyanto186@gmail.com")</f>
        <v>sudiyanto186@gmail.com</v>
      </c>
      <c r="AI434" s="85" t="str">
        <f>IFERROR(__xludf.DUMMYFUNCTION("""COMPUTED_VALUE"""),"50245S1")</f>
        <v>50245S1</v>
      </c>
      <c r="AJ434" s="85" t="str">
        <f>IFERROR(__xludf.DUMMYFUNCTION("""COMPUTED_VALUE"""),"67c2ce4c93e11537bd0407f3")</f>
        <v>67c2ce4c93e11537bd0407f3</v>
      </c>
      <c r="AK434" s="85" t="str">
        <f>IFERROR(__xludf.DUMMYFUNCTION("""COMPUTED_VALUE"""),"dm50245s1")</f>
        <v>dm50245s1</v>
      </c>
      <c r="AL434" s="85" t="str">
        <f>IFERROR(__xludf.DUMMYFUNCTION("""COMPUTED_VALUE"""),"#50245Pos")</f>
        <v>#50245Pos</v>
      </c>
      <c r="AM434" s="85" t="str">
        <f>IFERROR(__xludf.DUMMYFUNCTION("""COMPUTED_VALUE"""),"KANTOR REGIONAL IV SEMARANG 50004")</f>
        <v>KANTOR REGIONAL IV SEMARANG 50004</v>
      </c>
      <c r="AN434" s="85" t="str">
        <f>IFERROR(__xludf.DUMMYFUNCTION("""COMPUTED_VALUE"""),"KCU SEMARANG 50000")</f>
        <v>KCU SEMARANG 50000</v>
      </c>
      <c r="AO434" s="85" t="str">
        <f>IFERROR(__xludf.DUMMYFUNCTION("""COMPUTED_VALUE"""),"2209230021479")</f>
        <v>2209230021479</v>
      </c>
      <c r="AP434" s="85" t="str">
        <f>IFERROR(__xludf.DUMMYFUNCTION("""COMPUTED_VALUE"""),"22092300214790003")</f>
        <v>22092300214790003</v>
      </c>
      <c r="AQ434" s="93"/>
      <c r="AR434" s="85"/>
      <c r="AS434" s="85"/>
      <c r="AT434" s="85" t="str">
        <f>IFERROR(__xludf.DUMMYFUNCTION("""COMPUTED_VALUE"""),"-6.994484")</f>
        <v>-6.994484</v>
      </c>
      <c r="AU434" s="85" t="str">
        <f>IFERROR(__xludf.DUMMYFUNCTION("""COMPUTED_VALUE"""),"110.403984")</f>
        <v>110.403984</v>
      </c>
      <c r="AV434" s="85"/>
      <c r="AW434" s="85"/>
      <c r="AX434" s="85" t="str">
        <f>IFERROR(__xludf.DUMMYFUNCTION("""COMPUTED_VALUE"""),"ü")</f>
        <v>ü</v>
      </c>
      <c r="AY434" s="85"/>
      <c r="AZ434" s="85"/>
      <c r="BA434" s="85"/>
      <c r="BB434" s="85"/>
      <c r="BC434" s="85"/>
      <c r="BD434" s="85"/>
      <c r="BE434" s="85"/>
      <c r="BF434" s="85"/>
      <c r="BG434" s="85"/>
      <c r="BH434" s="85"/>
      <c r="BI434" s="85"/>
      <c r="BJ434" s="85"/>
      <c r="BK434" s="85"/>
      <c r="BL434" s="85"/>
      <c r="BM434" s="85"/>
      <c r="BN434" s="85"/>
      <c r="BO434" s="85"/>
      <c r="BP434" s="85"/>
      <c r="BQ434" s="85"/>
      <c r="BR434" s="85"/>
      <c r="BS434" s="85"/>
      <c r="BT434" s="85"/>
      <c r="BU434" s="85"/>
      <c r="BV434" s="85"/>
      <c r="BW434" s="85"/>
      <c r="BX434" s="85"/>
      <c r="BY434" s="85"/>
      <c r="BZ434" s="85"/>
      <c r="CA434" s="85"/>
      <c r="CB434" s="85"/>
      <c r="CC434" s="85"/>
      <c r="CD434" s="85"/>
      <c r="CE434" s="85"/>
      <c r="CF434" s="85"/>
      <c r="CG434" s="85"/>
      <c r="CH434" s="85"/>
      <c r="CI434" s="85"/>
      <c r="CJ434" s="85"/>
      <c r="CK434" s="2"/>
    </row>
    <row r="435" ht="12.75" customHeight="1">
      <c r="A435" s="80">
        <f>IFERROR(__xludf.DUMMYFUNCTION("""COMPUTED_VALUE"""),432.0)</f>
        <v>432</v>
      </c>
      <c r="B435" s="80"/>
      <c r="C435" s="80"/>
      <c r="D435" s="81">
        <f>IFERROR(__xludf.DUMMYFUNCTION("""COMPUTED_VALUE"""),45712.0)</f>
        <v>45712</v>
      </c>
      <c r="E435" s="82"/>
      <c r="F435" s="80"/>
      <c r="G435" s="81">
        <f>IFERROR(__xludf.DUMMYFUNCTION("""COMPUTED_VALUE"""),45715.0)</f>
        <v>45715</v>
      </c>
      <c r="H435" s="80"/>
      <c r="I435" s="80"/>
      <c r="J435" s="80"/>
      <c r="K435" s="80"/>
      <c r="L435" s="80">
        <f>IFERROR(__xludf.DUMMYFUNCTION("""COMPUTED_VALUE"""),3.0)</f>
        <v>3</v>
      </c>
      <c r="M435" s="80" t="str">
        <f>IFERROR(__xludf.DUMMYFUNCTION("""COMPUTED_VALUE"""),"ü")</f>
        <v>ü</v>
      </c>
      <c r="N435" s="80"/>
      <c r="O435" s="80"/>
      <c r="P435" s="80" t="str">
        <f>IFERROR(__xludf.DUMMYFUNCTION("""COMPUTED_VALUE"""),"MUCSPA63102PSIND")</f>
        <v>MUCSPA63102PSIND</v>
      </c>
      <c r="Q435" s="80" t="str">
        <f>IFERROR(__xludf.DUMMYFUNCTION("""COMPUTED_VALUE"""),"MUC Riyu Post")</f>
        <v>MUC Riyu Post</v>
      </c>
      <c r="R435" s="80" t="str">
        <f>IFERROR(__xludf.DUMMYFUNCTION("""COMPUTED_VALUE"""),"MUC Riyu Post")</f>
        <v>MUC Riyu Post</v>
      </c>
      <c r="S435" s="80" t="str">
        <f>IFERROR(__xludf.DUMMYFUNCTION("""COMPUTED_VALUE"""),"Ayu Wulandari ")</f>
        <v>Ayu Wulandari </v>
      </c>
      <c r="T435" s="80" t="str">
        <f>IFERROR(__xludf.DUMMYFUNCTION("""COMPUTED_VALUE"""),"Perumahan Bumi Inti Persada C9/1, GG Bima RT 28/9, Cibening, Bungursari Purwakarta Pemilik : Ayu Wulandari ")</f>
        <v>Perumahan Bumi Inti Persada C9/1, GG Bima RT 28/9, Cibening, Bungursari Purwakarta Pemilik : Ayu Wulandari </v>
      </c>
      <c r="U435" s="80" t="str">
        <f>IFERROR(__xludf.DUMMYFUNCTION("""COMPUTED_VALUE"""),"DUSUN SEBELIK RT.01/01 DESA BANYUASIN KEMBARAN")</f>
        <v>DUSUN SEBELIK RT.01/01 DESA BANYUASIN KEMBARAN</v>
      </c>
      <c r="V435" s="80"/>
      <c r="W435" s="80" t="str">
        <f>IFERROR(__xludf.DUMMYFUNCTION("""COMPUTED_VALUE"""),"Banyuasin Kembaran ")</f>
        <v>Banyuasin Kembaran </v>
      </c>
      <c r="X435" s="80" t="str">
        <f>IFERROR(__xludf.DUMMYFUNCTION("""COMPUTED_VALUE"""),"Loano")</f>
        <v>Loano</v>
      </c>
      <c r="Y435" s="80" t="str">
        <f>IFERROR(__xludf.DUMMYFUNCTION("""COMPUTED_VALUE"""),"Purworejo ")</f>
        <v>Purworejo </v>
      </c>
      <c r="Z435" s="80" t="str">
        <f>IFERROR(__xludf.DUMMYFUNCTION("""COMPUTED_VALUE"""),"Jawa Tengah ")</f>
        <v>Jawa Tengah </v>
      </c>
      <c r="AA435" s="80" t="str">
        <f>IFERROR(__xludf.DUMMYFUNCTION("""COMPUTED_VALUE"""),"54181")</f>
        <v>54181</v>
      </c>
      <c r="AB435" s="80" t="str">
        <f>IFERROR(__xludf.DUMMYFUNCTION("""COMPUTED_VALUE"""),"3306156204920001")</f>
        <v>3306156204920001</v>
      </c>
      <c r="AC435" s="80" t="str">
        <f>IFERROR(__xludf.DUMMYFUNCTION("""COMPUTED_VALUE"""),"71.977.269.1-531.000")</f>
        <v>71.977.269.1-531.000</v>
      </c>
      <c r="AD435" s="80" t="str">
        <f>IFERROR(__xludf.DUMMYFUNCTION("""COMPUTED_VALUE"""),"CUM NONKORGEN")</f>
        <v>CUM NONKORGEN</v>
      </c>
      <c r="AE435" s="80" t="str">
        <f>IFERROR(__xludf.DUMMYFUNCTION("""COMPUTED_VALUE"""),"SUB NON KORGEN bu Uzma")</f>
        <v>SUB NON KORGEN bu Uzma</v>
      </c>
      <c r="AF435" s="80" t="str">
        <f>IFERROR(__xludf.DUMMYFUNCTION("""COMPUTED_VALUE"""),"085624210563")</f>
        <v>085624210563</v>
      </c>
      <c r="AG435" s="80"/>
      <c r="AH435" s="80" t="str">
        <f>IFERROR(__xludf.DUMMYFUNCTION("""COMPUTED_VALUE"""),"ayuriyu92@gmail.com")</f>
        <v>ayuriyu92@gmail.com</v>
      </c>
      <c r="AI435" s="80" t="str">
        <f>IFERROR(__xludf.DUMMYFUNCTION("""COMPUTED_VALUE"""),"54181S1")</f>
        <v>54181S1</v>
      </c>
      <c r="AJ435" s="80" t="str">
        <f>IFERROR(__xludf.DUMMYFUNCTION("""COMPUTED_VALUE"""),"67c01bdb86975a13060f9069")</f>
        <v>67c01bdb86975a13060f9069</v>
      </c>
      <c r="AK435" s="80" t="str">
        <f>IFERROR(__xludf.DUMMYFUNCTION("""COMPUTED_VALUE"""),"dm54181s1")</f>
        <v>dm54181s1</v>
      </c>
      <c r="AL435" s="80" t="str">
        <f>IFERROR(__xludf.DUMMYFUNCTION("""COMPUTED_VALUE"""),"#54181Pos")</f>
        <v>#54181Pos</v>
      </c>
      <c r="AM435" s="80" t="str">
        <f>IFERROR(__xludf.DUMMYFUNCTION("""COMPUTED_VALUE"""),"KANTOR REGIONAL IV SEMARANG 50004")</f>
        <v>KANTOR REGIONAL IV SEMARANG 50004</v>
      </c>
      <c r="AN435" s="80" t="str">
        <f>IFERROR(__xludf.DUMMYFUNCTION("""COMPUTED_VALUE"""),"KC PURWOREJO 54100")</f>
        <v>KC PURWOREJO 54100</v>
      </c>
      <c r="AO435" s="80" t="str">
        <f>IFERROR(__xludf.DUMMYFUNCTION("""COMPUTED_VALUE"""),"1612220001743")</f>
        <v>1612220001743</v>
      </c>
      <c r="AP435" s="80" t="str">
        <f>IFERROR(__xludf.DUMMYFUNCTION("""COMPUTED_VALUE"""),"16122200017430002 ")</f>
        <v>16122200017430002 </v>
      </c>
      <c r="AQ435" s="83"/>
      <c r="AR435" s="80"/>
      <c r="AS435" s="80"/>
      <c r="AT435" s="80" t="str">
        <f>IFERROR(__xludf.DUMMYFUNCTION("""COMPUTED_VALUE"""),"-7.664876")</f>
        <v>-7.664876</v>
      </c>
      <c r="AU435" s="80" t="str">
        <f>IFERROR(__xludf.DUMMYFUNCTION("""COMPUTED_VALUE"""),"110.100906")</f>
        <v>110.100906</v>
      </c>
      <c r="AV435" s="80"/>
      <c r="AW435" s="80"/>
      <c r="AX435" s="80" t="str">
        <f>IFERROR(__xludf.DUMMYFUNCTION("""COMPUTED_VALUE"""),"ü")</f>
        <v>ü</v>
      </c>
      <c r="AY435" s="80"/>
      <c r="AZ435" s="80"/>
      <c r="BA435" s="80"/>
      <c r="BB435" s="80"/>
      <c r="BC435" s="80"/>
      <c r="BD435" s="80"/>
      <c r="BE435" s="80"/>
      <c r="BF435" s="80"/>
      <c r="BG435" s="80"/>
      <c r="BH435" s="80"/>
      <c r="BI435" s="80"/>
      <c r="BJ435" s="80"/>
      <c r="BK435" s="80"/>
      <c r="BL435" s="80"/>
      <c r="BM435" s="80"/>
      <c r="BN435" s="80"/>
      <c r="BO435" s="80"/>
      <c r="BP435" s="80"/>
      <c r="BQ435" s="80"/>
      <c r="BR435" s="80"/>
      <c r="BS435" s="80"/>
      <c r="BT435" s="80"/>
      <c r="BU435" s="80"/>
      <c r="BV435" s="80"/>
      <c r="BW435" s="80"/>
      <c r="BX435" s="80"/>
      <c r="BY435" s="80"/>
      <c r="BZ435" s="80"/>
      <c r="CA435" s="80"/>
      <c r="CB435" s="80"/>
      <c r="CC435" s="80"/>
      <c r="CD435" s="80"/>
      <c r="CE435" s="80"/>
      <c r="CF435" s="80"/>
      <c r="CG435" s="80"/>
      <c r="CH435" s="80"/>
      <c r="CI435" s="80"/>
      <c r="CJ435" s="80"/>
      <c r="CK435" s="2"/>
    </row>
    <row r="436" ht="12.75" customHeight="1">
      <c r="A436" s="85">
        <f>IFERROR(__xludf.DUMMYFUNCTION("""COMPUTED_VALUE"""),433.0)</f>
        <v>433</v>
      </c>
      <c r="B436" s="85"/>
      <c r="C436" s="85"/>
      <c r="D436" s="86">
        <f>IFERROR(__xludf.DUMMYFUNCTION("""COMPUTED_VALUE"""),45712.0)</f>
        <v>45712</v>
      </c>
      <c r="E436" s="88"/>
      <c r="F436" s="85"/>
      <c r="G436" s="86">
        <f>IFERROR(__xludf.DUMMYFUNCTION("""COMPUTED_VALUE"""),45726.0)</f>
        <v>45726</v>
      </c>
      <c r="H436" s="85"/>
      <c r="I436" s="85"/>
      <c r="J436" s="85"/>
      <c r="K436" s="85"/>
      <c r="L436" s="85">
        <f>IFERROR(__xludf.DUMMYFUNCTION("""COMPUTED_VALUE"""),14.0)</f>
        <v>14</v>
      </c>
      <c r="M436" s="85" t="str">
        <f>IFERROR(__xludf.DUMMYFUNCTION("""COMPUTED_VALUE"""),"ü")</f>
        <v>ü</v>
      </c>
      <c r="N436" s="85"/>
      <c r="O436" s="85"/>
      <c r="P436" s="85" t="str">
        <f>IFERROR(__xludf.DUMMYFUNCTION("""COMPUTED_VALUE"""),"53BSPA09101JBCUM")</f>
        <v>53BSPA09101JBCUM</v>
      </c>
      <c r="Q436" s="85" t="str">
        <f>IFERROR(__xludf.DUMMYFUNCTION("""COMPUTED_VALUE"""),"MUC Stasiun Cell")</f>
        <v>MUC Stasiun Cell</v>
      </c>
      <c r="R436" s="85" t="str">
        <f>IFERROR(__xludf.DUMMYFUNCTION("""COMPUTED_VALUE"""),"MUC Stasiun Cell")</f>
        <v>MUC Stasiun Cell</v>
      </c>
      <c r="S436" s="85" t="str">
        <f>IFERROR(__xludf.DUMMYFUNCTION("""COMPUTED_VALUE"""),"Ria Agustin")</f>
        <v>Ria Agustin</v>
      </c>
      <c r="T436" s="85" t="str">
        <f>IFERROR(__xludf.DUMMYFUNCTION("""COMPUTED_VALUE"""),"taman hasna pamengkang blok n5")</f>
        <v>taman hasna pamengkang blok n5</v>
      </c>
      <c r="U436" s="85" t="str">
        <f>IFERROR(__xludf.DUMMYFUNCTION("""COMPUTED_VALUE"""),"jl pangeran sutajaya dusun 04 rt/rw 001/007 desa babakan")</f>
        <v>jl pangeran sutajaya dusun 04 rt/rw 001/007 desa babakan</v>
      </c>
      <c r="V436" s="85"/>
      <c r="W436" s="85" t="str">
        <f>IFERROR(__xludf.DUMMYFUNCTION("""COMPUTED_VALUE"""),"babakan")</f>
        <v>babakan</v>
      </c>
      <c r="X436" s="85" t="str">
        <f>IFERROR(__xludf.DUMMYFUNCTION("""COMPUTED_VALUE"""),"babakan")</f>
        <v>babakan</v>
      </c>
      <c r="Y436" s="85" t="str">
        <f>IFERROR(__xludf.DUMMYFUNCTION("""COMPUTED_VALUE"""),"cirebon")</f>
        <v>cirebon</v>
      </c>
      <c r="Z436" s="85" t="str">
        <f>IFERROR(__xludf.DUMMYFUNCTION("""COMPUTED_VALUE"""),"jawa barat")</f>
        <v>jawa barat</v>
      </c>
      <c r="AA436" s="85" t="str">
        <f>IFERROR(__xludf.DUMMYFUNCTION("""COMPUTED_VALUE"""),"45191")</f>
        <v>45191</v>
      </c>
      <c r="AB436" s="85" t="str">
        <f>IFERROR(__xludf.DUMMYFUNCTION("""COMPUTED_VALUE"""),"3209055808930002")</f>
        <v>3209055808930002</v>
      </c>
      <c r="AC436" s="85" t="str">
        <f>IFERROR(__xludf.DUMMYFUNCTION("""COMPUTED_VALUE"""),"92.813.975.7455.000")</f>
        <v>92.813.975.7455.000</v>
      </c>
      <c r="AD436" s="85" t="str">
        <f>IFERROR(__xludf.DUMMYFUNCTION("""COMPUTED_VALUE"""),"CUM")</f>
        <v>CUM</v>
      </c>
      <c r="AE436" s="85" t="str">
        <f>IFERROR(__xludf.DUMMYFUNCTION("""COMPUTED_VALUE"""),"CUM")</f>
        <v>CUM</v>
      </c>
      <c r="AF436" s="85" t="str">
        <f>IFERROR(__xludf.DUMMYFUNCTION("""COMPUTED_VALUE"""),"081337999891")</f>
        <v>081337999891</v>
      </c>
      <c r="AG436" s="85"/>
      <c r="AH436" s="85" t="str">
        <f>IFERROR(__xludf.DUMMYFUNCTION("""COMPUTED_VALUE"""),"riariaariaa@gmail.com")</f>
        <v>riariaariaa@gmail.com</v>
      </c>
      <c r="AI436" s="85" t="str">
        <f>IFERROR(__xludf.DUMMYFUNCTION("""COMPUTED_VALUE"""),"45691S4")</f>
        <v>45691S4</v>
      </c>
      <c r="AJ436" s="85" t="str">
        <f>IFERROR(__xludf.DUMMYFUNCTION("""COMPUTED_VALUE"""),"67c7bb426564872a650fc7c9")</f>
        <v>67c7bb426564872a650fc7c9</v>
      </c>
      <c r="AK436" s="85" t="str">
        <f>IFERROR(__xludf.DUMMYFUNCTION("""COMPUTED_VALUE"""),"dm45691s4")</f>
        <v>dm45691s4</v>
      </c>
      <c r="AL436" s="85" t="str">
        <f>IFERROR(__xludf.DUMMYFUNCTION("""COMPUTED_VALUE"""),"#45691Pos")</f>
        <v>#45691Pos</v>
      </c>
      <c r="AM436" s="85" t="str">
        <f>IFERROR(__xludf.DUMMYFUNCTION("""COMPUTED_VALUE"""),"KANTOR REGIONAL III BANDUNG 40004")</f>
        <v>KANTOR REGIONAL III BANDUNG 40004</v>
      </c>
      <c r="AN436" s="85" t="str">
        <f>IFERROR(__xludf.DUMMYFUNCTION("""COMPUTED_VALUE"""),"KCU CIREBON 45100")</f>
        <v>KCU CIREBON 45100</v>
      </c>
      <c r="AO436" s="85" t="str">
        <f>IFERROR(__xludf.DUMMYFUNCTION("""COMPUTED_VALUE"""),"2402250085275")</f>
        <v>2402250085275</v>
      </c>
      <c r="AP436" s="85" t="str">
        <f>IFERROR(__xludf.DUMMYFUNCTION("""COMPUTED_VALUE"""),"24022500852750001")</f>
        <v>24022500852750001</v>
      </c>
      <c r="AQ436" s="93"/>
      <c r="AR436" s="85"/>
      <c r="AS436" s="85"/>
      <c r="AT436" s="85" t="str">
        <f>IFERROR(__xludf.DUMMYFUNCTION("""COMPUTED_VALUE"""),"-6.861416 ")</f>
        <v>-6.861416 </v>
      </c>
      <c r="AU436" s="85" t="str">
        <f>IFERROR(__xludf.DUMMYFUNCTION("""COMPUTED_VALUE"""),"108.722497")</f>
        <v>108.722497</v>
      </c>
      <c r="AV436" s="85"/>
      <c r="AW436" s="85"/>
      <c r="AX436" s="85" t="str">
        <f>IFERROR(__xludf.DUMMYFUNCTION("""COMPUTED_VALUE"""),"ü")</f>
        <v>ü</v>
      </c>
      <c r="AY436" s="85"/>
      <c r="AZ436" s="85"/>
      <c r="BA436" s="85"/>
      <c r="BB436" s="85"/>
      <c r="BC436" s="85"/>
      <c r="BD436" s="85"/>
      <c r="BE436" s="85"/>
      <c r="BF436" s="85"/>
      <c r="BG436" s="85"/>
      <c r="BH436" s="85"/>
      <c r="BI436" s="85"/>
      <c r="BJ436" s="85"/>
      <c r="BK436" s="85"/>
      <c r="BL436" s="85"/>
      <c r="BM436" s="85"/>
      <c r="BN436" s="85"/>
      <c r="BO436" s="85"/>
      <c r="BP436" s="85"/>
      <c r="BQ436" s="85"/>
      <c r="BR436" s="85"/>
      <c r="BS436" s="85"/>
      <c r="BT436" s="85"/>
      <c r="BU436" s="85"/>
      <c r="BV436" s="85"/>
      <c r="BW436" s="85"/>
      <c r="BX436" s="85"/>
      <c r="BY436" s="85"/>
      <c r="BZ436" s="85"/>
      <c r="CA436" s="85"/>
      <c r="CB436" s="85"/>
      <c r="CC436" s="85"/>
      <c r="CD436" s="85"/>
      <c r="CE436" s="85"/>
      <c r="CF436" s="85"/>
      <c r="CG436" s="85"/>
      <c r="CH436" s="85"/>
      <c r="CI436" s="85"/>
      <c r="CJ436" s="85"/>
      <c r="CK436" s="2"/>
    </row>
    <row r="437" ht="12.75" customHeight="1">
      <c r="A437" s="80">
        <f>IFERROR(__xludf.DUMMYFUNCTION("""COMPUTED_VALUE"""),434.0)</f>
        <v>434</v>
      </c>
      <c r="B437" s="80"/>
      <c r="C437" s="80"/>
      <c r="D437" s="81">
        <f>IFERROR(__xludf.DUMMYFUNCTION("""COMPUTED_VALUE"""),45713.0)</f>
        <v>45713</v>
      </c>
      <c r="E437" s="82"/>
      <c r="F437" s="80"/>
      <c r="G437" s="81">
        <f>IFERROR(__xludf.DUMMYFUNCTION("""COMPUTED_VALUE"""),45726.0)</f>
        <v>45726</v>
      </c>
      <c r="H437" s="80"/>
      <c r="I437" s="80"/>
      <c r="J437" s="80"/>
      <c r="K437" s="80"/>
      <c r="L437" s="80">
        <f>IFERROR(__xludf.DUMMYFUNCTION("""COMPUTED_VALUE"""),13.0)</f>
        <v>13</v>
      </c>
      <c r="M437" s="80" t="str">
        <f>IFERROR(__xludf.DUMMYFUNCTION("""COMPUTED_VALUE"""),"ü")</f>
        <v>ü</v>
      </c>
      <c r="N437" s="80"/>
      <c r="O437" s="80"/>
      <c r="P437" s="80" t="str">
        <f>IFERROR(__xludf.DUMMYFUNCTION("""COMPUTED_VALUE"""),"MUCSPA63103PSIND")</f>
        <v>MUCSPA63103PSIND</v>
      </c>
      <c r="Q437" s="80" t="str">
        <f>IFERROR(__xludf.DUMMYFUNCTION("""COMPUTED_VALUE"""),"MUC BNBSUS")</f>
        <v>MUC BNBSUS</v>
      </c>
      <c r="R437" s="80" t="str">
        <f>IFERROR(__xludf.DUMMYFUNCTION("""COMPUTED_VALUE"""),"MUC BNBSUS")</f>
        <v>MUC BNBSUS</v>
      </c>
      <c r="S437" s="80" t="str">
        <f>IFERROR(__xludf.DUMMYFUNCTION("""COMPUTED_VALUE"""),"SUSMIATI")</f>
        <v>SUSMIATI</v>
      </c>
      <c r="T437" s="80" t="str">
        <f>IFERROR(__xludf.DUMMYFUNCTION("""COMPUTED_VALUE"""),"GRIYA KLIPANG PERMAI BLOK N-9 NO.1 RT.011 RW.23")</f>
        <v>GRIYA KLIPANG PERMAI BLOK N-9 NO.1 RT.011 RW.23</v>
      </c>
      <c r="U437" s="80" t="str">
        <f>IFERROR(__xludf.DUMMYFUNCTION("""COMPUTED_VALUE"""),"Griya Klipang Permai Blok N 9 No 1 RT 11 RW 23")</f>
        <v>Griya Klipang Permai Blok N 9 No 1 RT 11 RW 23</v>
      </c>
      <c r="V437" s="80"/>
      <c r="W437" s="80" t="str">
        <f>IFERROR(__xludf.DUMMYFUNCTION("""COMPUTED_VALUE"""),"Sendangmulyo")</f>
        <v>Sendangmulyo</v>
      </c>
      <c r="X437" s="80" t="str">
        <f>IFERROR(__xludf.DUMMYFUNCTION("""COMPUTED_VALUE"""),"Tembalang ")</f>
        <v>Tembalang </v>
      </c>
      <c r="Y437" s="80" t="str">
        <f>IFERROR(__xludf.DUMMYFUNCTION("""COMPUTED_VALUE"""),"Semarang ")</f>
        <v>Semarang </v>
      </c>
      <c r="Z437" s="80" t="str">
        <f>IFERROR(__xludf.DUMMYFUNCTION("""COMPUTED_VALUE"""),"JAWA TENGAH")</f>
        <v>JAWA TENGAH</v>
      </c>
      <c r="AA437" s="80" t="str">
        <f>IFERROR(__xludf.DUMMYFUNCTION("""COMPUTED_VALUE"""),"50272")</f>
        <v>50272</v>
      </c>
      <c r="AB437" s="80" t="str">
        <f>IFERROR(__xludf.DUMMYFUNCTION("""COMPUTED_VALUE"""),"3374104906690005 ")</f>
        <v>3374104906690005 </v>
      </c>
      <c r="AC437" s="80" t="str">
        <f>IFERROR(__xludf.DUMMYFUNCTION("""COMPUTED_VALUE"""),"47.492.805.8-517.000")</f>
        <v>47.492.805.8-517.000</v>
      </c>
      <c r="AD437" s="80" t="str">
        <f>IFERROR(__xludf.DUMMYFUNCTION("""COMPUTED_VALUE"""),"CUM - PS - PDW")</f>
        <v>CUM - PS - PDW</v>
      </c>
      <c r="AE437" s="80" t="str">
        <f>IFERROR(__xludf.DUMMYFUNCTION("""COMPUTED_VALUE"""),"SUB BOWO POS")</f>
        <v>SUB BOWO POS</v>
      </c>
      <c r="AF437" s="80" t="str">
        <f>IFERROR(__xludf.DUMMYFUNCTION("""COMPUTED_VALUE"""),"08170714532")</f>
        <v>08170714532</v>
      </c>
      <c r="AG437" s="80"/>
      <c r="AH437" s="80" t="str">
        <f>IFERROR(__xludf.DUMMYFUNCTION("""COMPUTED_VALUE"""),"susiebnb@gmail.Com")</f>
        <v>susiebnb@gmail.Com</v>
      </c>
      <c r="AI437" s="80" t="str">
        <f>IFERROR(__xludf.DUMMYFUNCTION("""COMPUTED_VALUE"""),"50272SC")</f>
        <v>50272SC</v>
      </c>
      <c r="AJ437" s="80" t="str">
        <f>IFERROR(__xludf.DUMMYFUNCTION("""COMPUTED_VALUE"""),"67c5425adbc20bf7300151ec")</f>
        <v>67c5425adbc20bf7300151ec</v>
      </c>
      <c r="AK437" s="80" t="str">
        <f>IFERROR(__xludf.DUMMYFUNCTION("""COMPUTED_VALUE"""),"dm50272sc")</f>
        <v>dm50272sc</v>
      </c>
      <c r="AL437" s="80" t="str">
        <f>IFERROR(__xludf.DUMMYFUNCTION("""COMPUTED_VALUE"""),"#50272Pos")</f>
        <v>#50272Pos</v>
      </c>
      <c r="AM437" s="80" t="str">
        <f>IFERROR(__xludf.DUMMYFUNCTION("""COMPUTED_VALUE"""),"KANTOR REGIONAL IV SEMARANG 50004")</f>
        <v>KANTOR REGIONAL IV SEMARANG 50004</v>
      </c>
      <c r="AN437" s="80" t="str">
        <f>IFERROR(__xludf.DUMMYFUNCTION("""COMPUTED_VALUE"""),"KCU SEMARANG 50000")</f>
        <v>KCU SEMARANG 50000</v>
      </c>
      <c r="AO437" s="80" t="str">
        <f>IFERROR(__xludf.DUMMYFUNCTION("""COMPUTED_VALUE"""),"0909240086313")</f>
        <v>0909240086313</v>
      </c>
      <c r="AP437" s="80" t="str">
        <f>IFERROR(__xludf.DUMMYFUNCTION("""COMPUTED_VALUE"""),"09092400863130002")</f>
        <v>09092400863130002</v>
      </c>
      <c r="AQ437" s="83"/>
      <c r="AR437" s="80"/>
      <c r="AS437" s="80"/>
      <c r="AT437" s="80" t="str">
        <f>IFERROR(__xludf.DUMMYFUNCTION("""COMPUTED_VALUE"""),"-7.040581")</f>
        <v>-7.040581</v>
      </c>
      <c r="AU437" s="80" t="str">
        <f>IFERROR(__xludf.DUMMYFUNCTION("""COMPUTED_VALUE"""),"110.481672")</f>
        <v>110.481672</v>
      </c>
      <c r="AV437" s="80"/>
      <c r="AW437" s="80"/>
      <c r="AX437" s="80" t="str">
        <f>IFERROR(__xludf.DUMMYFUNCTION("""COMPUTED_VALUE"""),"ü")</f>
        <v>ü</v>
      </c>
      <c r="AY437" s="80"/>
      <c r="AZ437" s="80"/>
      <c r="BA437" s="80"/>
      <c r="BB437" s="80"/>
      <c r="BC437" s="80"/>
      <c r="BD437" s="80"/>
      <c r="BE437" s="80"/>
      <c r="BF437" s="80"/>
      <c r="BG437" s="80"/>
      <c r="BH437" s="80"/>
      <c r="BI437" s="80"/>
      <c r="BJ437" s="80"/>
      <c r="BK437" s="80"/>
      <c r="BL437" s="80"/>
      <c r="BM437" s="80"/>
      <c r="BN437" s="80"/>
      <c r="BO437" s="80"/>
      <c r="BP437" s="80"/>
      <c r="BQ437" s="80"/>
      <c r="BR437" s="80"/>
      <c r="BS437" s="80"/>
      <c r="BT437" s="80"/>
      <c r="BU437" s="80"/>
      <c r="BV437" s="80"/>
      <c r="BW437" s="80"/>
      <c r="BX437" s="80"/>
      <c r="BY437" s="80"/>
      <c r="BZ437" s="80"/>
      <c r="CA437" s="80"/>
      <c r="CB437" s="80"/>
      <c r="CC437" s="80"/>
      <c r="CD437" s="80"/>
      <c r="CE437" s="80"/>
      <c r="CF437" s="80"/>
      <c r="CG437" s="80"/>
      <c r="CH437" s="80"/>
      <c r="CI437" s="80"/>
      <c r="CJ437" s="80"/>
      <c r="CK437" s="2"/>
    </row>
    <row r="438" ht="12.75" customHeight="1">
      <c r="A438" s="85">
        <f>IFERROR(__xludf.DUMMYFUNCTION("""COMPUTED_VALUE"""),435.0)</f>
        <v>435</v>
      </c>
      <c r="B438" s="85"/>
      <c r="C438" s="85"/>
      <c r="D438" s="86">
        <f>IFERROR(__xludf.DUMMYFUNCTION("""COMPUTED_VALUE"""),45714.0)</f>
        <v>45714</v>
      </c>
      <c r="E438" s="88"/>
      <c r="F438" s="85"/>
      <c r="G438" s="86">
        <f>IFERROR(__xludf.DUMMYFUNCTION("""COMPUTED_VALUE"""),45721.0)</f>
        <v>45721</v>
      </c>
      <c r="H438" s="85"/>
      <c r="I438" s="85"/>
      <c r="J438" s="85"/>
      <c r="K438" s="85"/>
      <c r="L438" s="85">
        <f>IFERROR(__xludf.DUMMYFUNCTION("""COMPUTED_VALUE"""),7.0)</f>
        <v>7</v>
      </c>
      <c r="M438" s="85" t="str">
        <f>IFERROR(__xludf.DUMMYFUNCTION("""COMPUTED_VALUE"""),"ü")</f>
        <v>ü</v>
      </c>
      <c r="N438" s="85"/>
      <c r="O438" s="85"/>
      <c r="P438" s="85" t="str">
        <f>IFERROR(__xludf.DUMMYFUNCTION("""COMPUTED_VALUE"""),"MUCSPA63104PSIND")</f>
        <v>MUCSPA63104PSIND</v>
      </c>
      <c r="Q438" s="85" t="str">
        <f>IFERROR(__xludf.DUMMYFUNCTION("""COMPUTED_VALUE"""),"MUC Berkah Lancar Jaya ")</f>
        <v>MUC Berkah Lancar Jaya </v>
      </c>
      <c r="R438" s="85" t="str">
        <f>IFERROR(__xludf.DUMMYFUNCTION("""COMPUTED_VALUE"""),"MUC Berkah Lancar Jaya ")</f>
        <v>MUC Berkah Lancar Jaya </v>
      </c>
      <c r="S438" s="85" t="str">
        <f>IFERROR(__xludf.DUMMYFUNCTION("""COMPUTED_VALUE"""),"SUJIYATI")</f>
        <v>SUJIYATI</v>
      </c>
      <c r="T438" s="85" t="str">
        <f>IFERROR(__xludf.DUMMYFUNCTION("""COMPUTED_VALUE"""),"Jalan kalicawang No. 26 RT 04/16")</f>
        <v>Jalan kalicawang No. 26 RT 04/16</v>
      </c>
      <c r="U438" s="85" t="str">
        <f>IFERROR(__xludf.DUMMYFUNCTION("""COMPUTED_VALUE"""),"Jalan kali cawang No. 52 RT. 04/16")</f>
        <v>Jalan kali cawang No. 52 RT. 04/16</v>
      </c>
      <c r="V438" s="85"/>
      <c r="W438" s="85" t="str">
        <f>IFERROR(__xludf.DUMMYFUNCTION("""COMPUTED_VALUE"""),"Donan ")</f>
        <v>Donan </v>
      </c>
      <c r="X438" s="85" t="str">
        <f>IFERROR(__xludf.DUMMYFUNCTION("""COMPUTED_VALUE"""),"Cilacap Tengah")</f>
        <v>Cilacap Tengah</v>
      </c>
      <c r="Y438" s="85" t="str">
        <f>IFERROR(__xludf.DUMMYFUNCTION("""COMPUTED_VALUE"""),"Cilacap ")</f>
        <v>Cilacap </v>
      </c>
      <c r="Z438" s="85" t="str">
        <f>IFERROR(__xludf.DUMMYFUNCTION("""COMPUTED_VALUE"""),"Jawa Tengah")</f>
        <v>Jawa Tengah</v>
      </c>
      <c r="AA438" s="85" t="str">
        <f>IFERROR(__xludf.DUMMYFUNCTION("""COMPUTED_VALUE"""),"53222")</f>
        <v>53222</v>
      </c>
      <c r="AB438" s="85" t="str">
        <f>IFERROR(__xludf.DUMMYFUNCTION("""COMPUTED_VALUE"""),"3301226509900003")</f>
        <v>3301226509900003</v>
      </c>
      <c r="AC438" s="85" t="str">
        <f>IFERROR(__xludf.DUMMYFUNCTION("""COMPUTED_VALUE"""),"71.899.064.1-522.000")</f>
        <v>71.899.064.1-522.000</v>
      </c>
      <c r="AD438" s="85" t="str">
        <f>IFERROR(__xludf.DUMMYFUNCTION("""COMPUTED_VALUE"""),"CUM - PS - NVWT")</f>
        <v>CUM - PS - NVWT</v>
      </c>
      <c r="AE438" s="85" t="str">
        <f>IFERROR(__xludf.DUMMYFUNCTION("""COMPUTED_VALUE"""),"SUB NOVY POS")</f>
        <v>SUB NOVY POS</v>
      </c>
      <c r="AF438" s="85" t="str">
        <f>IFERROR(__xludf.DUMMYFUNCTION("""COMPUTED_VALUE"""),"081227885343")</f>
        <v>081227885343</v>
      </c>
      <c r="AG438" s="85"/>
      <c r="AH438" s="85" t="str">
        <f>IFERROR(__xludf.DUMMYFUNCTION("""COMPUTED_VALUE"""),"sujiyatisujie@gmail.com")</f>
        <v>sujiyatisujie@gmail.com</v>
      </c>
      <c r="AI438" s="85" t="str">
        <f>IFERROR(__xludf.DUMMYFUNCTION("""COMPUTED_VALUE"""),"53222S3")</f>
        <v>53222S3</v>
      </c>
      <c r="AJ438" s="85" t="str">
        <f>IFERROR(__xludf.DUMMYFUNCTION("""COMPUTED_VALUE"""),"67c169b5bd39a4f8dc05d10e")</f>
        <v>67c169b5bd39a4f8dc05d10e</v>
      </c>
      <c r="AK438" s="85" t="str">
        <f>IFERROR(__xludf.DUMMYFUNCTION("""COMPUTED_VALUE"""),"dm53222s3")</f>
        <v>dm53222s3</v>
      </c>
      <c r="AL438" s="85" t="str">
        <f>IFERROR(__xludf.DUMMYFUNCTION("""COMPUTED_VALUE"""),"#53222Pos")</f>
        <v>#53222Pos</v>
      </c>
      <c r="AM438" s="85" t="str">
        <f>IFERROR(__xludf.DUMMYFUNCTION("""COMPUTED_VALUE"""),"KANTOR REGIONAL IV SEMARANG 50004")</f>
        <v>KANTOR REGIONAL IV SEMARANG 50004</v>
      </c>
      <c r="AN438" s="85" t="str">
        <f>IFERROR(__xludf.DUMMYFUNCTION("""COMPUTED_VALUE"""),"KC CILACAP ")</f>
        <v>KC CILACAP </v>
      </c>
      <c r="AO438" s="85" t="str">
        <f>IFERROR(__xludf.DUMMYFUNCTION("""COMPUTED_VALUE"""),"2602250029582")</f>
        <v>2602250029582</v>
      </c>
      <c r="AP438" s="85" t="str">
        <f>IFERROR(__xludf.DUMMYFUNCTION("""COMPUTED_VALUE"""),"26022500295820001")</f>
        <v>26022500295820001</v>
      </c>
      <c r="AQ438" s="93"/>
      <c r="AR438" s="85"/>
      <c r="AS438" s="85"/>
      <c r="AT438" s="85" t="str">
        <f>IFERROR(__xludf.DUMMYFUNCTION("""COMPUTED_VALUE"""),"-7.713138")</f>
        <v>-7.713138</v>
      </c>
      <c r="AU438" s="85" t="str">
        <f>IFERROR(__xludf.DUMMYFUNCTION("""COMPUTED_VALUE"""),"108.999514")</f>
        <v>108.999514</v>
      </c>
      <c r="AV438" s="85"/>
      <c r="AW438" s="85"/>
      <c r="AX438" s="85" t="str">
        <f>IFERROR(__xludf.DUMMYFUNCTION("""COMPUTED_VALUE"""),"h")</f>
        <v>h</v>
      </c>
      <c r="AY438" s="85"/>
      <c r="AZ438" s="85"/>
      <c r="BA438" s="85"/>
      <c r="BB438" s="85"/>
      <c r="BC438" s="85"/>
      <c r="BD438" s="85"/>
      <c r="BE438" s="85"/>
      <c r="BF438" s="85"/>
      <c r="BG438" s="85"/>
      <c r="BH438" s="85"/>
      <c r="BI438" s="85"/>
      <c r="BJ438" s="85"/>
      <c r="BK438" s="85"/>
      <c r="BL438" s="85"/>
      <c r="BM438" s="85"/>
      <c r="BN438" s="85"/>
      <c r="BO438" s="85"/>
      <c r="BP438" s="85"/>
      <c r="BQ438" s="85"/>
      <c r="BR438" s="85"/>
      <c r="BS438" s="85"/>
      <c r="BT438" s="85"/>
      <c r="BU438" s="85"/>
      <c r="BV438" s="85"/>
      <c r="BW438" s="85"/>
      <c r="BX438" s="85"/>
      <c r="BY438" s="85"/>
      <c r="BZ438" s="85"/>
      <c r="CA438" s="85"/>
      <c r="CB438" s="85"/>
      <c r="CC438" s="85"/>
      <c r="CD438" s="85"/>
      <c r="CE438" s="85"/>
      <c r="CF438" s="85"/>
      <c r="CG438" s="85"/>
      <c r="CH438" s="85"/>
      <c r="CI438" s="85"/>
      <c r="CJ438" s="85"/>
      <c r="CK438" s="2"/>
    </row>
    <row r="439" ht="12.75" customHeight="1">
      <c r="A439" s="80">
        <f>IFERROR(__xludf.DUMMYFUNCTION("""COMPUTED_VALUE"""),436.0)</f>
        <v>436</v>
      </c>
      <c r="B439" s="80"/>
      <c r="C439" s="80"/>
      <c r="D439" s="81">
        <f>IFERROR(__xludf.DUMMYFUNCTION("""COMPUTED_VALUE"""),45716.0)</f>
        <v>45716</v>
      </c>
      <c r="E439" s="82"/>
      <c r="F439" s="80"/>
      <c r="G439" s="81">
        <f>IFERROR(__xludf.DUMMYFUNCTION("""COMPUTED_VALUE"""),45724.0)</f>
        <v>45724</v>
      </c>
      <c r="H439" s="80"/>
      <c r="I439" s="80"/>
      <c r="J439" s="80"/>
      <c r="K439" s="80"/>
      <c r="L439" s="80">
        <f>IFERROR(__xludf.DUMMYFUNCTION("""COMPUTED_VALUE"""),8.0)</f>
        <v>8</v>
      </c>
      <c r="M439" s="80" t="str">
        <f>IFERROR(__xludf.DUMMYFUNCTION("""COMPUTED_VALUE"""),"ü")</f>
        <v>ü</v>
      </c>
      <c r="N439" s="80"/>
      <c r="O439" s="80"/>
      <c r="P439" s="80" t="str">
        <f>IFERROR(__xludf.DUMMYFUNCTION("""COMPUTED_VALUE"""),"MUCSPA63105PSIND")</f>
        <v>MUCSPA63105PSIND</v>
      </c>
      <c r="Q439" s="80" t="str">
        <f>IFERROR(__xludf.DUMMYFUNCTION("""COMPUTED_VALUE"""),"MUC 3christ Post")</f>
        <v>MUC 3christ Post</v>
      </c>
      <c r="R439" s="80" t="str">
        <f>IFERROR(__xludf.DUMMYFUNCTION("""COMPUTED_VALUE"""),"MUC 3christ Post")</f>
        <v>MUC 3christ Post</v>
      </c>
      <c r="S439" s="80" t="str">
        <f>IFERROR(__xludf.DUMMYFUNCTION("""COMPUTED_VALUE"""),"TINAWATY HANDOKO")</f>
        <v>TINAWATY HANDOKO</v>
      </c>
      <c r="T439" s="80" t="str">
        <f>IFERROR(__xludf.DUMMYFUNCTION("""COMPUTED_VALUE"""),"APARTEMEN ROBINSON LT.16 NO.56 KEL.PEJAGALAN KEC.PENJARINGAN JAKARTA UTARA")</f>
        <v>APARTEMEN ROBINSON LT.16 NO.56 KEL.PEJAGALAN KEC.PENJARINGAN JAKARTA UTARA</v>
      </c>
      <c r="U439" s="80" t="str">
        <f>IFERROR(__xludf.DUMMYFUNCTION("""COMPUTED_VALUE"""),"Pasar Jembatan Dua lt 1 no 12/15/16 ")</f>
        <v>Pasar Jembatan Dua lt 1 no 12/15/16 </v>
      </c>
      <c r="V439" s="80"/>
      <c r="W439" s="80" t="str">
        <f>IFERROR(__xludf.DUMMYFUNCTION("""COMPUTED_VALUE"""),"Angke")</f>
        <v>Angke</v>
      </c>
      <c r="X439" s="80" t="str">
        <f>IFERROR(__xludf.DUMMYFUNCTION("""COMPUTED_VALUE"""),"Tambora")</f>
        <v>Tambora</v>
      </c>
      <c r="Y439" s="80" t="str">
        <f>IFERROR(__xludf.DUMMYFUNCTION("""COMPUTED_VALUE"""),"Jakarta Barat")</f>
        <v>Jakarta Barat</v>
      </c>
      <c r="Z439" s="80" t="str">
        <f>IFERROR(__xludf.DUMMYFUNCTION("""COMPUTED_VALUE"""),"DKI Jakarta")</f>
        <v>DKI Jakarta</v>
      </c>
      <c r="AA439" s="80" t="str">
        <f>IFERROR(__xludf.DUMMYFUNCTION("""COMPUTED_VALUE"""),"11330")</f>
        <v>11330</v>
      </c>
      <c r="AB439" s="80" t="str">
        <f>IFERROR(__xludf.DUMMYFUNCTION("""COMPUTED_VALUE"""),"3172016503680002")</f>
        <v>3172016503680002</v>
      </c>
      <c r="AC439" s="80" t="str">
        <f>IFERROR(__xludf.DUMMYFUNCTION("""COMPUTED_VALUE"""),"57.647.486.0-047.000")</f>
        <v>57.647.486.0-047.000</v>
      </c>
      <c r="AD439" s="80" t="str">
        <f>IFERROR(__xludf.DUMMYFUNCTION("""COMPUTED_VALUE"""),"CUM - PS - SUSU")</f>
        <v>CUM - PS - SUSU</v>
      </c>
      <c r="AE439" s="80" t="str">
        <f>IFERROR(__xludf.DUMMYFUNCTION("""COMPUTED_VALUE"""),"SUB SUGENG POS")</f>
        <v>SUB SUGENG POS</v>
      </c>
      <c r="AF439" s="80" t="str">
        <f>IFERROR(__xludf.DUMMYFUNCTION("""COMPUTED_VALUE"""),"085693372335")</f>
        <v>085693372335</v>
      </c>
      <c r="AG439" s="80"/>
      <c r="AH439" s="80" t="str">
        <f>IFERROR(__xludf.DUMMYFUNCTION("""COMPUTED_VALUE"""),"Tinawatyhandoko@gmail.com")</f>
        <v>Tinawatyhandoko@gmail.com</v>
      </c>
      <c r="AI439" s="80" t="str">
        <f>IFERROR(__xludf.DUMMYFUNCTION("""COMPUTED_VALUE"""),"11330S3")</f>
        <v>11330S3</v>
      </c>
      <c r="AJ439" s="80" t="str">
        <f>IFERROR(__xludf.DUMMYFUNCTION("""COMPUTED_VALUE"""),"67c7f8be24e019eeec094513")</f>
        <v>67c7f8be24e019eeec094513</v>
      </c>
      <c r="AK439" s="80" t="str">
        <f>IFERROR(__xludf.DUMMYFUNCTION("""COMPUTED_VALUE"""),"dm11330s3")</f>
        <v>dm11330s3</v>
      </c>
      <c r="AL439" s="80" t="str">
        <f>IFERROR(__xludf.DUMMYFUNCTION("""COMPUTED_VALUE"""),"#11330Pos")</f>
        <v>#11330Pos</v>
      </c>
      <c r="AM439" s="80" t="str">
        <f>IFERROR(__xludf.DUMMYFUNCTION("""COMPUTED_VALUE"""),"KANTOR REGIONAL II JAKARTA 10004")</f>
        <v>KANTOR REGIONAL II JAKARTA 10004</v>
      </c>
      <c r="AN439" s="80" t="str">
        <f>IFERROR(__xludf.DUMMYFUNCTION("""COMPUTED_VALUE"""),"KCU JAKARTAOCEANIA 11000")</f>
        <v>KCU JAKARTAOCEANIA 11000</v>
      </c>
      <c r="AO439" s="80" t="str">
        <f>IFERROR(__xludf.DUMMYFUNCTION("""COMPUTED_VALUE"""),"2402250107865")</f>
        <v>2402250107865</v>
      </c>
      <c r="AP439" s="80" t="str">
        <f>IFERROR(__xludf.DUMMYFUNCTION("""COMPUTED_VALUE"""),"24022501078650001")</f>
        <v>24022501078650001</v>
      </c>
      <c r="AQ439" s="83"/>
      <c r="AR439" s="80"/>
      <c r="AS439" s="80"/>
      <c r="AT439" s="80" t="str">
        <f>IFERROR(__xludf.DUMMYFUNCTION("""COMPUTED_VALUE"""),"-6.143260")</f>
        <v>-6.143260</v>
      </c>
      <c r="AU439" s="80" t="str">
        <f>IFERROR(__xludf.DUMMYFUNCTION("""COMPUTED_VALUE"""),"106.792205")</f>
        <v>106.792205</v>
      </c>
      <c r="AV439" s="80"/>
      <c r="AW439" s="80"/>
      <c r="AX439" s="80" t="str">
        <f>IFERROR(__xludf.DUMMYFUNCTION("""COMPUTED_VALUE"""),"h")</f>
        <v>h</v>
      </c>
      <c r="AY439" s="80"/>
      <c r="AZ439" s="80"/>
      <c r="BA439" s="80"/>
      <c r="BB439" s="80"/>
      <c r="BC439" s="80"/>
      <c r="BD439" s="80"/>
      <c r="BE439" s="80"/>
      <c r="BF439" s="80"/>
      <c r="BG439" s="80"/>
      <c r="BH439" s="80"/>
      <c r="BI439" s="80"/>
      <c r="BJ439" s="80"/>
      <c r="BK439" s="80"/>
      <c r="BL439" s="80"/>
      <c r="BM439" s="80"/>
      <c r="BN439" s="80"/>
      <c r="BO439" s="80"/>
      <c r="BP439" s="80"/>
      <c r="BQ439" s="80"/>
      <c r="BR439" s="80"/>
      <c r="BS439" s="80"/>
      <c r="BT439" s="80"/>
      <c r="BU439" s="80"/>
      <c r="BV439" s="80"/>
      <c r="BW439" s="80"/>
      <c r="BX439" s="80"/>
      <c r="BY439" s="80"/>
      <c r="BZ439" s="80"/>
      <c r="CA439" s="80"/>
      <c r="CB439" s="80"/>
      <c r="CC439" s="80"/>
      <c r="CD439" s="80"/>
      <c r="CE439" s="80"/>
      <c r="CF439" s="80"/>
      <c r="CG439" s="80"/>
      <c r="CH439" s="80"/>
      <c r="CI439" s="80"/>
      <c r="CJ439" s="80"/>
      <c r="CK439" s="2"/>
    </row>
    <row r="440" ht="12.75" customHeight="1">
      <c r="A440" s="85">
        <f>IFERROR(__xludf.DUMMYFUNCTION("""COMPUTED_VALUE"""),437.0)</f>
        <v>437</v>
      </c>
      <c r="B440" s="85"/>
      <c r="C440" s="85"/>
      <c r="D440" s="86">
        <f>IFERROR(__xludf.DUMMYFUNCTION("""COMPUTED_VALUE"""),45719.0)</f>
        <v>45719</v>
      </c>
      <c r="E440" s="88"/>
      <c r="F440" s="85"/>
      <c r="G440" s="86">
        <f>IFERROR(__xludf.DUMMYFUNCTION("""COMPUTED_VALUE"""),45733.0)</f>
        <v>45733</v>
      </c>
      <c r="H440" s="85"/>
      <c r="I440" s="85"/>
      <c r="J440" s="85"/>
      <c r="K440" s="85"/>
      <c r="L440" s="85">
        <f>IFERROR(__xludf.DUMMYFUNCTION("""COMPUTED_VALUE"""),14.0)</f>
        <v>14</v>
      </c>
      <c r="M440" s="85" t="str">
        <f>IFERROR(__xludf.DUMMYFUNCTION("""COMPUTED_VALUE"""),"ü")</f>
        <v>ü</v>
      </c>
      <c r="N440" s="85"/>
      <c r="O440" s="85"/>
      <c r="P440" s="85" t="str">
        <f>IFERROR(__xludf.DUMMYFUNCTION("""COMPUTED_VALUE"""),"MUCSPA63106PSIND")</f>
        <v>MUCSPA63106PSIND</v>
      </c>
      <c r="Q440" s="85" t="str">
        <f>IFERROR(__xludf.DUMMYFUNCTION("""COMPUTED_VALUE"""),"MUC YOGA PRATAMA")</f>
        <v>MUC YOGA PRATAMA</v>
      </c>
      <c r="R440" s="85" t="str">
        <f>IFERROR(__xludf.DUMMYFUNCTION("""COMPUTED_VALUE"""),"MUC YOGA PRATAMA")</f>
        <v>MUC YOGA PRATAMA</v>
      </c>
      <c r="S440" s="85" t="str">
        <f>IFERROR(__xludf.DUMMYFUNCTION("""COMPUTED_VALUE"""),"ERIK NUR YUSUP")</f>
        <v>ERIK NUR YUSUP</v>
      </c>
      <c r="T440" s="85" t="str">
        <f>IFERROR(__xludf.DUMMYFUNCTION("""COMPUTED_VALUE"""),"KP CIKOPO RT 001 RW 001 DESA BABAKAN PEUTEUY KECAMATAN CICALENGKA KAB.BANDUNG")</f>
        <v>KP CIKOPO RT 001 RW 001 DESA BABAKAN PEUTEUY KECAMATAN CICALENGKA KAB.BANDUNG</v>
      </c>
      <c r="U440" s="85" t="str">
        <f>IFERROR(__xludf.DUMMYFUNCTION("""COMPUTED_VALUE"""),"JL. H. DARHAM NO. 37 CIKOPO RT 003 RW 001")</f>
        <v>JL. H. DARHAM NO. 37 CIKOPO RT 003 RW 001</v>
      </c>
      <c r="V440" s="85"/>
      <c r="W440" s="85" t="str">
        <f>IFERROR(__xludf.DUMMYFUNCTION("""COMPUTED_VALUE"""),"BABAKAN PEUTEUY")</f>
        <v>BABAKAN PEUTEUY</v>
      </c>
      <c r="X440" s="85" t="str">
        <f>IFERROR(__xludf.DUMMYFUNCTION("""COMPUTED_VALUE"""),"CICALENGKA")</f>
        <v>CICALENGKA</v>
      </c>
      <c r="Y440" s="85" t="str">
        <f>IFERROR(__xludf.DUMMYFUNCTION("""COMPUTED_VALUE"""),"BANDUNG")</f>
        <v>BANDUNG</v>
      </c>
      <c r="Z440" s="85" t="str">
        <f>IFERROR(__xludf.DUMMYFUNCTION("""COMPUTED_VALUE"""),"JAWA BARAT")</f>
        <v>JAWA BARAT</v>
      </c>
      <c r="AA440" s="85" t="str">
        <f>IFERROR(__xludf.DUMMYFUNCTION("""COMPUTED_VALUE"""),"40395")</f>
        <v>40395</v>
      </c>
      <c r="AB440" s="85" t="str">
        <f>IFERROR(__xludf.DUMMYFUNCTION("""COMPUTED_VALUE"""),"3204250607940011")</f>
        <v>3204250607940011</v>
      </c>
      <c r="AC440" s="85" t="str">
        <f>IFERROR(__xludf.DUMMYFUNCTION("""COMPUTED_VALUE"""),"43.187.603.6-444.000")</f>
        <v>43.187.603.6-444.000</v>
      </c>
      <c r="AD440" s="85" t="str">
        <f>IFERROR(__xludf.DUMMYFUNCTION("""COMPUTED_VALUE"""),"CUM - PS - THI")</f>
        <v>CUM - PS - THI</v>
      </c>
      <c r="AE440" s="85" t="str">
        <f>IFERROR(__xludf.DUMMYFUNCTION("""COMPUTED_VALUE"""),"SUB THIO POS")</f>
        <v>SUB THIO POS</v>
      </c>
      <c r="AF440" s="85" t="str">
        <f>IFERROR(__xludf.DUMMYFUNCTION("""COMPUTED_VALUE"""),"08886229268")</f>
        <v>08886229268</v>
      </c>
      <c r="AG440" s="85"/>
      <c r="AH440" s="85" t="str">
        <f>IFERROR(__xludf.DUMMYFUNCTION("""COMPUTED_VALUE"""),"nuryusuferik@gmai.com")</f>
        <v>nuryusuferik@gmai.com</v>
      </c>
      <c r="AI440" s="85" t="str">
        <f>IFERROR(__xludf.DUMMYFUNCTION("""COMPUTED_VALUE"""),"40395S1")</f>
        <v>40395S1</v>
      </c>
      <c r="AJ440" s="85" t="str">
        <f>IFERROR(__xludf.DUMMYFUNCTION("""COMPUTED_VALUE"""),"67d5328a979aeb778e07b293")</f>
        <v>67d5328a979aeb778e07b293</v>
      </c>
      <c r="AK440" s="85" t="str">
        <f>IFERROR(__xludf.DUMMYFUNCTION("""COMPUTED_VALUE"""),"dm40395s1")</f>
        <v>dm40395s1</v>
      </c>
      <c r="AL440" s="85" t="str">
        <f>IFERROR(__xludf.DUMMYFUNCTION("""COMPUTED_VALUE"""),"#40395Pos")</f>
        <v>#40395Pos</v>
      </c>
      <c r="AM440" s="85" t="str">
        <f>IFERROR(__xludf.DUMMYFUNCTION("""COMPUTED_VALUE"""),"KANTOR REGIONAL III BANDUNG 40004")</f>
        <v>KANTOR REGIONAL III BANDUNG 40004</v>
      </c>
      <c r="AN440" s="85" t="str">
        <f>IFERROR(__xludf.DUMMYFUNCTION("""COMPUTED_VALUE"""),"KC UJUNGBERUNG ")</f>
        <v>KC UJUNGBERUNG </v>
      </c>
      <c r="AO440" s="85" t="str">
        <f>IFERROR(__xludf.DUMMYFUNCTION("""COMPUTED_VALUE"""),"0303250021448")</f>
        <v>0303250021448</v>
      </c>
      <c r="AP440" s="85" t="str">
        <f>IFERROR(__xludf.DUMMYFUNCTION("""COMPUTED_VALUE"""),"03032500214480001")</f>
        <v>03032500214480001</v>
      </c>
      <c r="AQ440" s="93"/>
      <c r="AR440" s="85"/>
      <c r="AS440" s="85"/>
      <c r="AT440" s="85" t="str">
        <f>IFERROR(__xludf.DUMMYFUNCTION("""COMPUTED_VALUE"""),"-6.984170")</f>
        <v>-6.984170</v>
      </c>
      <c r="AU440" s="85" t="str">
        <f>IFERROR(__xludf.DUMMYFUNCTION("""COMPUTED_VALUE"""),"107.841159")</f>
        <v>107.841159</v>
      </c>
      <c r="AV440" s="85"/>
      <c r="AW440" s="85"/>
      <c r="AX440" s="85" t="str">
        <f>IFERROR(__xludf.DUMMYFUNCTION("""COMPUTED_VALUE"""),"h")</f>
        <v>h</v>
      </c>
      <c r="AY440" s="85"/>
      <c r="AZ440" s="85"/>
      <c r="BA440" s="85"/>
      <c r="BB440" s="85"/>
      <c r="BC440" s="85"/>
      <c r="BD440" s="85"/>
      <c r="BE440" s="85"/>
      <c r="BF440" s="85"/>
      <c r="BG440" s="85"/>
      <c r="BH440" s="85"/>
      <c r="BI440" s="85"/>
      <c r="BJ440" s="85"/>
      <c r="BK440" s="85"/>
      <c r="BL440" s="85"/>
      <c r="BM440" s="85"/>
      <c r="BN440" s="85"/>
      <c r="BO440" s="85"/>
      <c r="BP440" s="85"/>
      <c r="BQ440" s="85"/>
      <c r="BR440" s="85"/>
      <c r="BS440" s="85"/>
      <c r="BT440" s="85"/>
      <c r="BU440" s="85"/>
      <c r="BV440" s="85"/>
      <c r="BW440" s="85"/>
      <c r="BX440" s="85"/>
      <c r="BY440" s="85"/>
      <c r="BZ440" s="85"/>
      <c r="CA440" s="85"/>
      <c r="CB440" s="85"/>
      <c r="CC440" s="85"/>
      <c r="CD440" s="85"/>
      <c r="CE440" s="85"/>
      <c r="CF440" s="85"/>
      <c r="CG440" s="85"/>
      <c r="CH440" s="85"/>
      <c r="CI440" s="85"/>
      <c r="CJ440" s="85"/>
      <c r="CK440" s="2"/>
    </row>
    <row r="441" ht="12.75" customHeight="1">
      <c r="A441" s="80">
        <f>IFERROR(__xludf.DUMMYFUNCTION("""COMPUTED_VALUE"""),438.0)</f>
        <v>438</v>
      </c>
      <c r="B441" s="80"/>
      <c r="C441" s="80"/>
      <c r="D441" s="81">
        <f>IFERROR(__xludf.DUMMYFUNCTION("""COMPUTED_VALUE"""),45720.0)</f>
        <v>45720</v>
      </c>
      <c r="E441" s="82"/>
      <c r="F441" s="80"/>
      <c r="G441" s="81">
        <f>IFERROR(__xludf.DUMMYFUNCTION("""COMPUTED_VALUE"""),45724.0)</f>
        <v>45724</v>
      </c>
      <c r="H441" s="80"/>
      <c r="I441" s="80"/>
      <c r="J441" s="80"/>
      <c r="K441" s="80"/>
      <c r="L441" s="80">
        <f>IFERROR(__xludf.DUMMYFUNCTION("""COMPUTED_VALUE"""),4.0)</f>
        <v>4</v>
      </c>
      <c r="M441" s="80" t="str">
        <f>IFERROR(__xludf.DUMMYFUNCTION("""COMPUTED_VALUE"""),"ü")</f>
        <v>ü</v>
      </c>
      <c r="N441" s="80"/>
      <c r="O441" s="80"/>
      <c r="P441" s="80" t="str">
        <f>IFERROR(__xludf.DUMMYFUNCTION("""COMPUTED_VALUE"""),"53BSPA09349JBEEN")</f>
        <v>53BSPA09349JBEEN</v>
      </c>
      <c r="Q441" s="80" t="str">
        <f>IFERROR(__xludf.DUMMYFUNCTION("""COMPUTED_VALUE"""),"MUC MUTIA")</f>
        <v>MUC MUTIA</v>
      </c>
      <c r="R441" s="80" t="str">
        <f>IFERROR(__xludf.DUMMYFUNCTION("""COMPUTED_VALUE"""),"MUC MUTIA")</f>
        <v>MUC MUTIA</v>
      </c>
      <c r="S441" s="80" t="str">
        <f>IFERROR(__xludf.DUMMYFUNCTION("""COMPUTED_VALUE"""),"Muhammad Taufik")</f>
        <v>Muhammad Taufik</v>
      </c>
      <c r="T441" s="80" t="str">
        <f>IFERROR(__xludf.DUMMYFUNCTION("""COMPUTED_VALUE"""),"PERUM TAMAN PERMATA INDAH BLOK.B4 NO.42 RT.002 RW.008 KEL.WARINGINJAYA KEC. KEDUNGWARINGIN KAB BEKASI")</f>
        <v>PERUM TAMAN PERMATA INDAH BLOK.B4 NO.42 RT.002 RW.008 KEL.WARINGINJAYA KEC. KEDUNGWARINGIN KAB BEKASI</v>
      </c>
      <c r="U441" s="80" t="str">
        <f>IFERROR(__xludf.DUMMYFUNCTION("""COMPUTED_VALUE"""),"Perum Taman Permata Indah Blok G4 No. 31")</f>
        <v>Perum Taman Permata Indah Blok G4 No. 31</v>
      </c>
      <c r="V441" s="80"/>
      <c r="W441" s="80" t="str">
        <f>IFERROR(__xludf.DUMMYFUNCTION("""COMPUTED_VALUE"""),"Waringinjaya")</f>
        <v>Waringinjaya</v>
      </c>
      <c r="X441" s="80" t="str">
        <f>IFERROR(__xludf.DUMMYFUNCTION("""COMPUTED_VALUE"""),"Kedung Waringin")</f>
        <v>Kedung Waringin</v>
      </c>
      <c r="Y441" s="80" t="str">
        <f>IFERROR(__xludf.DUMMYFUNCTION("""COMPUTED_VALUE"""),"Kab. Bekasi")</f>
        <v>Kab. Bekasi</v>
      </c>
      <c r="Z441" s="80" t="str">
        <f>IFERROR(__xludf.DUMMYFUNCTION("""COMPUTED_VALUE"""),"Jawa Barat")</f>
        <v>Jawa Barat</v>
      </c>
      <c r="AA441" s="80" t="str">
        <f>IFERROR(__xludf.DUMMYFUNCTION("""COMPUTED_VALUE"""),"17540")</f>
        <v>17540</v>
      </c>
      <c r="AB441" s="80" t="str">
        <f>IFERROR(__xludf.DUMMYFUNCTION("""COMPUTED_VALUE"""),"3201012309790010")</f>
        <v>3201012309790010</v>
      </c>
      <c r="AC441" s="80" t="str">
        <f>IFERROR(__xludf.DUMMYFUNCTION("""COMPUTED_VALUE"""),"67.092.906.6-403.000")</f>
        <v>67.092.906.6-403.000</v>
      </c>
      <c r="AD441" s="80" t="str">
        <f>IFERROR(__xludf.DUMMYFUNCTION("""COMPUTED_VALUE"""),"CUM - EEN")</f>
        <v>CUM - EEN</v>
      </c>
      <c r="AE441" s="80" t="str">
        <f>IFERROR(__xludf.DUMMYFUNCTION("""COMPUTED_VALUE"""),"SUB EEN")</f>
        <v>SUB EEN</v>
      </c>
      <c r="AF441" s="80" t="str">
        <f>IFERROR(__xludf.DUMMYFUNCTION("""COMPUTED_VALUE"""),"089521994499")</f>
        <v>089521994499</v>
      </c>
      <c r="AG441" s="80"/>
      <c r="AH441" s="80" t="str">
        <f>IFERROR(__xludf.DUMMYFUNCTION("""COMPUTED_VALUE"""),"muh.taufik@hotmail.com")</f>
        <v>muh.taufik@hotmail.com</v>
      </c>
      <c r="AI441" s="80" t="str">
        <f>IFERROR(__xludf.DUMMYFUNCTION("""COMPUTED_VALUE"""),"17546S5")</f>
        <v>17546S5</v>
      </c>
      <c r="AJ441" s="80" t="str">
        <f>IFERROR(__xludf.DUMMYFUNCTION("""COMPUTED_VALUE"""),"67cbb09d33f630302c09bb2b")</f>
        <v>67cbb09d33f630302c09bb2b</v>
      </c>
      <c r="AK441" s="80" t="str">
        <f>IFERROR(__xludf.DUMMYFUNCTION("""COMPUTED_VALUE"""),"dm17546s5")</f>
        <v>dm17546s5</v>
      </c>
      <c r="AL441" s="80" t="str">
        <f>IFERROR(__xludf.DUMMYFUNCTION("""COMPUTED_VALUE""")," #17546Pos")</f>
        <v> #17546Pos</v>
      </c>
      <c r="AM441" s="80" t="str">
        <f>IFERROR(__xludf.DUMMYFUNCTION("""COMPUTED_VALUE"""),"KANTOR REGIONAL II JAKARTA 10004")</f>
        <v>KANTOR REGIONAL II JAKARTA 10004</v>
      </c>
      <c r="AN441" s="80" t="str">
        <f>IFERROR(__xludf.DUMMYFUNCTION("""COMPUTED_VALUE"""),"KC CIKARANG 17500")</f>
        <v>KC CIKARANG 17500</v>
      </c>
      <c r="AO441" s="80" t="str">
        <f>IFERROR(__xludf.DUMMYFUNCTION("""COMPUTED_VALUE"""),"0703220010855")</f>
        <v>0703220010855</v>
      </c>
      <c r="AP441" s="80" t="str">
        <f>IFERROR(__xludf.DUMMYFUNCTION("""COMPUTED_VALUE"""),"07032200108550002")</f>
        <v>07032200108550002</v>
      </c>
      <c r="AQ441" s="83"/>
      <c r="AR441" s="80"/>
      <c r="AS441" s="80"/>
      <c r="AT441" s="80" t="str">
        <f>IFERROR(__xludf.DUMMYFUNCTION("""COMPUTED_VALUE"""),"-6.256488")</f>
        <v>-6.256488</v>
      </c>
      <c r="AU441" s="80" t="str">
        <f>IFERROR(__xludf.DUMMYFUNCTION("""COMPUTED_VALUE"""),"107.234913")</f>
        <v>107.234913</v>
      </c>
      <c r="AV441" s="80"/>
      <c r="AW441" s="80"/>
      <c r="AX441" s="80" t="str">
        <f>IFERROR(__xludf.DUMMYFUNCTION("""COMPUTED_VALUE"""),"h")</f>
        <v>h</v>
      </c>
      <c r="AY441" s="80"/>
      <c r="AZ441" s="80"/>
      <c r="BA441" s="80"/>
      <c r="BB441" s="80"/>
      <c r="BC441" s="80"/>
      <c r="BD441" s="80"/>
      <c r="BE441" s="80"/>
      <c r="BF441" s="80"/>
      <c r="BG441" s="80"/>
      <c r="BH441" s="80"/>
      <c r="BI441" s="80"/>
      <c r="BJ441" s="80"/>
      <c r="BK441" s="80"/>
      <c r="BL441" s="80"/>
      <c r="BM441" s="80"/>
      <c r="BN441" s="80"/>
      <c r="BO441" s="80"/>
      <c r="BP441" s="80"/>
      <c r="BQ441" s="80"/>
      <c r="BR441" s="80"/>
      <c r="BS441" s="80"/>
      <c r="BT441" s="80"/>
      <c r="BU441" s="80"/>
      <c r="BV441" s="80"/>
      <c r="BW441" s="80"/>
      <c r="BX441" s="80"/>
      <c r="BY441" s="80"/>
      <c r="BZ441" s="80"/>
      <c r="CA441" s="80"/>
      <c r="CB441" s="80"/>
      <c r="CC441" s="80" t="str">
        <f>IFERROR(__xludf.DUMMYFUNCTION("""COMPUTED_VALUE"""),"JNT CARGO")</f>
        <v>JNT CARGO</v>
      </c>
      <c r="CD441" s="80"/>
      <c r="CE441" s="80" t="str">
        <f>IFERROR(__xludf.DUMMYFUNCTION("""COMPUTED_VALUE"""),"SICEPAT")</f>
        <v>SICEPAT</v>
      </c>
      <c r="CF441" s="80"/>
      <c r="CG441" s="80"/>
      <c r="CH441" s="80" t="str">
        <f>IFERROR(__xludf.DUMMYFUNCTION("""COMPUTED_VALUE"""),"SAP")</f>
        <v>SAP</v>
      </c>
      <c r="CI441" s="80"/>
      <c r="CJ441" s="80" t="str">
        <f>IFERROR(__xludf.DUMMYFUNCTION("""COMPUTED_VALUE"""),"ANTERAJA")</f>
        <v>ANTERAJA</v>
      </c>
      <c r="CK441" s="2" t="str">
        <f>IFERROR(__xludf.DUMMYFUNCTION("""COMPUTED_VALUE"""),"CENTRAL CARGO")</f>
        <v>CENTRAL CARGO</v>
      </c>
    </row>
    <row r="442" ht="12.75" customHeight="1">
      <c r="A442" s="85">
        <f>IFERROR(__xludf.DUMMYFUNCTION("""COMPUTED_VALUE"""),439.0)</f>
        <v>439</v>
      </c>
      <c r="B442" s="85"/>
      <c r="C442" s="85"/>
      <c r="D442" s="86">
        <f>IFERROR(__xludf.DUMMYFUNCTION("""COMPUTED_VALUE"""),45729.0)</f>
        <v>45729</v>
      </c>
      <c r="E442" s="88"/>
      <c r="F442" s="85"/>
      <c r="G442" s="86">
        <f>IFERROR(__xludf.DUMMYFUNCTION("""COMPUTED_VALUE"""),45735.0)</f>
        <v>45735</v>
      </c>
      <c r="H442" s="85"/>
      <c r="I442" s="85"/>
      <c r="J442" s="85"/>
      <c r="K442" s="85"/>
      <c r="L442" s="85">
        <f>IFERROR(__xludf.DUMMYFUNCTION("""COMPUTED_VALUE"""),6.0)</f>
        <v>6</v>
      </c>
      <c r="M442" s="85" t="str">
        <f>IFERROR(__xludf.DUMMYFUNCTION("""COMPUTED_VALUE"""),"ü")</f>
        <v>ü</v>
      </c>
      <c r="N442" s="85"/>
      <c r="O442" s="85"/>
      <c r="P442" s="85" t="str">
        <f>IFERROR(__xludf.DUMMYFUNCTION("""COMPUTED_VALUE"""),"53BSPA09437JBEEN")</f>
        <v>53BSPA09437JBEEN</v>
      </c>
      <c r="Q442" s="85" t="str">
        <f>IFERROR(__xludf.DUMMYFUNCTION("""COMPUTED_VALUE"""),"MUC Metland Cibitung")</f>
        <v>MUC Metland Cibitung</v>
      </c>
      <c r="R442" s="85" t="str">
        <f>IFERROR(__xludf.DUMMYFUNCTION("""COMPUTED_VALUE"""),"MUC Metland Cibitung")</f>
        <v>MUC Metland Cibitung</v>
      </c>
      <c r="S442" s="85" t="str">
        <f>IFERROR(__xludf.DUMMYFUNCTION("""COMPUTED_VALUE"""),"Niko Laus Horianto")</f>
        <v>Niko Laus Horianto</v>
      </c>
      <c r="T442" s="85" t="str">
        <f>IFERROR(__xludf.DUMMYFUNCTION("""COMPUTED_VALUE"""),"METLAND CIBITUNG CLUSTER DE AZZURRA AD 6 NO.26 RT.004 RW.022, TELAGA MURNI, CIKARANG BARAT, KAB.BEKASI")</f>
        <v>METLAND CIBITUNG CLUSTER DE AZZURRA AD 6 NO.26 RT.004 RW.022, TELAGA MURNI, CIKARANG BARAT, KAB.BEKASI</v>
      </c>
      <c r="U442" s="85" t="str">
        <f>IFERROR(__xludf.DUMMYFUNCTION("""COMPUTED_VALUE"""),"Jl. Raya Metland Cibitung Ruko Nagoya 2 Blok C2B No.7")</f>
        <v>Jl. Raya Metland Cibitung Ruko Nagoya 2 Blok C2B No.7</v>
      </c>
      <c r="V442" s="85"/>
      <c r="W442" s="85" t="str">
        <f>IFERROR(__xludf.DUMMYFUNCTION("""COMPUTED_VALUE"""),"Telagamurni")</f>
        <v>Telagamurni</v>
      </c>
      <c r="X442" s="85" t="str">
        <f>IFERROR(__xludf.DUMMYFUNCTION("""COMPUTED_VALUE"""),"Cikarang Barat")</f>
        <v>Cikarang Barat</v>
      </c>
      <c r="Y442" s="85" t="str">
        <f>IFERROR(__xludf.DUMMYFUNCTION("""COMPUTED_VALUE"""),"Kab. Bekasi")</f>
        <v>Kab. Bekasi</v>
      </c>
      <c r="Z442" s="85" t="str">
        <f>IFERROR(__xludf.DUMMYFUNCTION("""COMPUTED_VALUE"""),"Jawa Barat")</f>
        <v>Jawa Barat</v>
      </c>
      <c r="AA442" s="85" t="str">
        <f>IFERROR(__xludf.DUMMYFUNCTION("""COMPUTED_VALUE"""),"175030")</f>
        <v>175030</v>
      </c>
      <c r="AB442" s="85" t="str">
        <f>IFERROR(__xludf.DUMMYFUNCTION("""COMPUTED_VALUE"""),"3172051102930002")</f>
        <v>3172051102930002</v>
      </c>
      <c r="AC442" s="85" t="str">
        <f>IFERROR(__xludf.DUMMYFUNCTION("""COMPUTED_VALUE"""),"54.880.161.2-044.000")</f>
        <v>54.880.161.2-044.000</v>
      </c>
      <c r="AD442" s="85" t="str">
        <f>IFERROR(__xludf.DUMMYFUNCTION("""COMPUTED_VALUE"""),"CUM - EEN")</f>
        <v>CUM - EEN</v>
      </c>
      <c r="AE442" s="85" t="str">
        <f>IFERROR(__xludf.DUMMYFUNCTION("""COMPUTED_VALUE"""),"SUB EEN")</f>
        <v>SUB EEN</v>
      </c>
      <c r="AF442" s="85" t="str">
        <f>IFERROR(__xludf.DUMMYFUNCTION("""COMPUTED_VALUE"""),"085158599987")</f>
        <v>085158599987</v>
      </c>
      <c r="AG442" s="85"/>
      <c r="AH442" s="85" t="str">
        <f>IFERROR(__xludf.DUMMYFUNCTION("""COMPUTED_VALUE"""),"nlausho@gmail.com")</f>
        <v>nlausho@gmail.com</v>
      </c>
      <c r="AI442" s="85" t="str">
        <f>IFERROR(__xludf.DUMMYFUNCTION("""COMPUTED_VALUE"""),"17849S8")</f>
        <v>17849S8</v>
      </c>
      <c r="AJ442" s="85" t="str">
        <f>IFERROR(__xludf.DUMMYFUNCTION("""COMPUTED_VALUE"""),"67da335e93646fa7d3083cb7")</f>
        <v>67da335e93646fa7d3083cb7</v>
      </c>
      <c r="AK442" s="85" t="str">
        <f>IFERROR(__xludf.DUMMYFUNCTION("""COMPUTED_VALUE"""),"dm17849s8")</f>
        <v>dm17849s8</v>
      </c>
      <c r="AL442" s="85" t="str">
        <f>IFERROR(__xludf.DUMMYFUNCTION("""COMPUTED_VALUE"""),"#17849Pos")</f>
        <v>#17849Pos</v>
      </c>
      <c r="AM442" s="85" t="str">
        <f>IFERROR(__xludf.DUMMYFUNCTION("""COMPUTED_VALUE"""),"KANTOR REGIONAL II JAKARTA 10004")</f>
        <v>KANTOR REGIONAL II JAKARTA 10004</v>
      </c>
      <c r="AN442" s="85" t="str">
        <f>IFERROR(__xludf.DUMMYFUNCTION("""COMPUTED_VALUE"""),"KC CIKARANG 17500")</f>
        <v>KC CIKARANG 17500</v>
      </c>
      <c r="AO442" s="85" t="str">
        <f>IFERROR(__xludf.DUMMYFUNCTION("""COMPUTED_VALUE"""),"0220203212209")</f>
        <v>0220203212209</v>
      </c>
      <c r="AP442" s="85" t="str">
        <f>IFERROR(__xludf.DUMMYFUNCTION("""COMPUTED_VALUE"""),"02202032122090002")</f>
        <v>02202032122090002</v>
      </c>
      <c r="AQ442" s="93"/>
      <c r="AR442" s="85"/>
      <c r="AS442" s="85"/>
      <c r="AT442" s="85" t="str">
        <f>IFERROR(__xludf.DUMMYFUNCTION("""COMPUTED_VALUE"""),"-6.252376")</f>
        <v>-6.252376</v>
      </c>
      <c r="AU442" s="85" t="str">
        <f>IFERROR(__xludf.DUMMYFUNCTION("""COMPUTED_VALUE"""),"107.119057")</f>
        <v>107.119057</v>
      </c>
      <c r="AV442" s="85"/>
      <c r="AW442" s="85"/>
      <c r="AX442" s="85" t="str">
        <f>IFERROR(__xludf.DUMMYFUNCTION("""COMPUTED_VALUE"""),"h")</f>
        <v>h</v>
      </c>
      <c r="AY442" s="85"/>
      <c r="AZ442" s="85"/>
      <c r="BA442" s="85"/>
      <c r="BB442" s="85"/>
      <c r="BC442" s="85"/>
      <c r="BD442" s="85"/>
      <c r="BE442" s="85"/>
      <c r="BF442" s="85"/>
      <c r="BG442" s="85"/>
      <c r="BH442" s="85"/>
      <c r="BI442" s="85"/>
      <c r="BJ442" s="85"/>
      <c r="BK442" s="85"/>
      <c r="BL442" s="85"/>
      <c r="BM442" s="85"/>
      <c r="BN442" s="85"/>
      <c r="BO442" s="85"/>
      <c r="BP442" s="85"/>
      <c r="BQ442" s="85"/>
      <c r="BR442" s="85"/>
      <c r="BS442" s="85"/>
      <c r="BT442" s="85"/>
      <c r="BU442" s="85"/>
      <c r="BV442" s="85"/>
      <c r="BW442" s="85"/>
      <c r="BX442" s="85"/>
      <c r="BY442" s="85"/>
      <c r="BZ442" s="85"/>
      <c r="CA442" s="85" t="str">
        <f>IFERROR(__xludf.DUMMYFUNCTION("""COMPUTED_VALUE"""),"LION PARCEL")</f>
        <v>LION PARCEL</v>
      </c>
      <c r="CB442" s="85" t="str">
        <f>IFERROR(__xludf.DUMMYFUNCTION("""COMPUTED_VALUE"""),"WAHANA")</f>
        <v>WAHANA</v>
      </c>
      <c r="CC442" s="85" t="str">
        <f>IFERROR(__xludf.DUMMYFUNCTION("""COMPUTED_VALUE"""),"JNT CARGO")</f>
        <v>JNT CARGO</v>
      </c>
      <c r="CD442" s="85"/>
      <c r="CE442" s="85" t="str">
        <f>IFERROR(__xludf.DUMMYFUNCTION("""COMPUTED_VALUE"""),"SICEPAT")</f>
        <v>SICEPAT</v>
      </c>
      <c r="CF442" s="85" t="str">
        <f>IFERROR(__xludf.DUMMYFUNCTION("""COMPUTED_VALUE"""),"JNE")</f>
        <v>JNE</v>
      </c>
      <c r="CG442" s="85"/>
      <c r="CH442" s="85" t="str">
        <f>IFERROR(__xludf.DUMMYFUNCTION("""COMPUTED_VALUE"""),"SAP")</f>
        <v>SAP</v>
      </c>
      <c r="CI442" s="85" t="str">
        <f>IFERROR(__xludf.DUMMYFUNCTION("""COMPUTED_VALUE"""),"ID EXPRESS")</f>
        <v>ID EXPRESS</v>
      </c>
      <c r="CJ442" s="85"/>
      <c r="CK442" s="2"/>
    </row>
    <row r="443" ht="12.75" customHeight="1">
      <c r="A443" s="80">
        <f>IFERROR(__xludf.DUMMYFUNCTION("""COMPUTED_VALUE"""),440.0)</f>
        <v>440</v>
      </c>
      <c r="B443" s="80"/>
      <c r="C443" s="80"/>
      <c r="D443" s="81">
        <f>IFERROR(__xludf.DUMMYFUNCTION("""COMPUTED_VALUE"""),45733.0)</f>
        <v>45733</v>
      </c>
      <c r="E443" s="82"/>
      <c r="F443" s="80"/>
      <c r="G443" s="81">
        <f>IFERROR(__xludf.DUMMYFUNCTION("""COMPUTED_VALUE"""),45736.0)</f>
        <v>45736</v>
      </c>
      <c r="H443" s="80"/>
      <c r="I443" s="80"/>
      <c r="J443" s="80"/>
      <c r="K443" s="80"/>
      <c r="L443" s="80">
        <f>IFERROR(__xludf.DUMMYFUNCTION("""COMPUTED_VALUE"""),3.0)</f>
        <v>3</v>
      </c>
      <c r="M443" s="80"/>
      <c r="N443" s="80" t="str">
        <f>IFERROR(__xludf.DUMMYFUNCTION("""COMPUTED_VALUE"""),"ü")</f>
        <v>ü</v>
      </c>
      <c r="O443" s="80"/>
      <c r="P443" s="80" t="str">
        <f>IFERROR(__xludf.DUMMYFUNCTION("""COMPUTED_VALUE"""),"MLO5500026CUMAYS")</f>
        <v>MLO5500026CUMAYS</v>
      </c>
      <c r="Q443" s="80" t="str">
        <f>IFERROR(__xludf.DUMMYFUNCTION("""COMPUTED_VALUE"""),"MUC Buana")</f>
        <v>MUC Buana</v>
      </c>
      <c r="R443" s="80" t="str">
        <f>IFERROR(__xludf.DUMMYFUNCTION("""COMPUTED_VALUE"""),"MUC Buana")</f>
        <v>MUC Buana</v>
      </c>
      <c r="S443" s="80" t="str">
        <f>IFERROR(__xludf.DUMMYFUNCTION("""COMPUTED_VALUE"""),"Fenta Anita")</f>
        <v>Fenta Anita</v>
      </c>
      <c r="T443" s="80" t="str">
        <f>IFERROR(__xludf.DUMMYFUNCTION("""COMPUTED_VALUE"""),"JL. ANGGREK ROSLIANA FII/26 RT.006 RW.005 KEL.KEMANGGISAN KEC.PALMERAH JAKARTA BARAT")</f>
        <v>JL. ANGGREK ROSLIANA FII/26 RT.006 RW.005 KEL.KEMANGGISAN KEC.PALMERAH JAKARTA BARAT</v>
      </c>
      <c r="U443" s="80" t="str">
        <f>IFERROR(__xludf.DUMMYFUNCTION("""COMPUTED_VALUE"""),"Jl. Wahana Pd. Ungu No.1 blok D8")</f>
        <v>Jl. Wahana Pd. Ungu No.1 blok D8</v>
      </c>
      <c r="V443" s="80"/>
      <c r="W443" s="80" t="str">
        <f>IFERROR(__xludf.DUMMYFUNCTION("""COMPUTED_VALUE"""),"Babelankota")</f>
        <v>Babelankota</v>
      </c>
      <c r="X443" s="80" t="str">
        <f>IFERROR(__xludf.DUMMYFUNCTION("""COMPUTED_VALUE"""),"Babelan")</f>
        <v>Babelan</v>
      </c>
      <c r="Y443" s="80" t="str">
        <f>IFERROR(__xludf.DUMMYFUNCTION("""COMPUTED_VALUE"""),"Kab.Bekasi")</f>
        <v>Kab.Bekasi</v>
      </c>
      <c r="Z443" s="80" t="str">
        <f>IFERROR(__xludf.DUMMYFUNCTION("""COMPUTED_VALUE"""),"Jawa Barat")</f>
        <v>Jawa Barat</v>
      </c>
      <c r="AA443" s="80" t="str">
        <f>IFERROR(__xludf.DUMMYFUNCTION("""COMPUTED_VALUE"""),"17610")</f>
        <v>17610</v>
      </c>
      <c r="AB443" s="80" t="str">
        <f>IFERROR(__xludf.DUMMYFUNCTION("""COMPUTED_VALUE"""),"3603125502760009")</f>
        <v>3603125502760009</v>
      </c>
      <c r="AC443" s="80" t="str">
        <f>IFERROR(__xludf.DUMMYFUNCTION("""COMPUTED_VALUE"""),"44.726.097.7-418.000")</f>
        <v>44.726.097.7-418.000</v>
      </c>
      <c r="AD443" s="80" t="str">
        <f>IFERROR(__xludf.DUMMYFUNCTION("""COMPUTED_VALUE"""),"CUM - PS - AYS")</f>
        <v>CUM - PS - AYS</v>
      </c>
      <c r="AE443" s="80" t="str">
        <f>IFERROR(__xludf.DUMMYFUNCTION("""COMPUTED_VALUE"""),"SUB YUNUS POS")</f>
        <v>SUB YUNUS POS</v>
      </c>
      <c r="AF443" s="80" t="str">
        <f>IFERROR(__xludf.DUMMYFUNCTION("""COMPUTED_VALUE"""),"085210262591")</f>
        <v>085210262591</v>
      </c>
      <c r="AG443" s="80"/>
      <c r="AH443" s="80" t="str">
        <f>IFERROR(__xludf.DUMMYFUNCTION("""COMPUTED_VALUE"""),"buanatravel67@gmail.com")</f>
        <v>buanatravel67@gmail.com</v>
      </c>
      <c r="AI443" s="80" t="str">
        <f>IFERROR(__xludf.DUMMYFUNCTION("""COMPUTED_VALUE"""),"17611S1")</f>
        <v>17611S1</v>
      </c>
      <c r="AJ443" s="80" t="str">
        <f>IFERROR(__xludf.DUMMYFUNCTION("""COMPUTED_VALUE"""),"67d9169ca47e8b0f4b0254ea")</f>
        <v>67d9169ca47e8b0f4b0254ea</v>
      </c>
      <c r="AK443" s="80" t="str">
        <f>IFERROR(__xludf.DUMMYFUNCTION("""COMPUTED_VALUE"""),"dm17611s1")</f>
        <v>dm17611s1</v>
      </c>
      <c r="AL443" s="80" t="str">
        <f>IFERROR(__xludf.DUMMYFUNCTION("""COMPUTED_VALUE"""),"#17611Pos")</f>
        <v>#17611Pos</v>
      </c>
      <c r="AM443" s="80" t="str">
        <f>IFERROR(__xludf.DUMMYFUNCTION("""COMPUTED_VALUE"""),"KANTOR REGIONAL II JAKARTA 10004")</f>
        <v>KANTOR REGIONAL II JAKARTA 10004</v>
      </c>
      <c r="AN443" s="80" t="str">
        <f>IFERROR(__xludf.DUMMYFUNCTION("""COMPUTED_VALUE"""),"KCU BEKASI 17000")</f>
        <v>KCU BEKASI 17000</v>
      </c>
      <c r="AO443" s="80" t="str">
        <f>IFERROR(__xludf.DUMMYFUNCTION("""COMPUTED_VALUE"""),"1502240057216")</f>
        <v>1502240057216</v>
      </c>
      <c r="AP443" s="80" t="str">
        <f>IFERROR(__xludf.DUMMYFUNCTION("""COMPUTED_VALUE"""),"15022400572160003")</f>
        <v>15022400572160003</v>
      </c>
      <c r="AQ443" s="83"/>
      <c r="AR443" s="80"/>
      <c r="AS443" s="80"/>
      <c r="AT443" s="80" t="str">
        <f>IFERROR(__xludf.DUMMYFUNCTION("""COMPUTED_VALUE"""),"-6.156931")</f>
        <v>-6.156931</v>
      </c>
      <c r="AU443" s="80" t="str">
        <f>IFERROR(__xludf.DUMMYFUNCTION("""COMPUTED_VALUE"""),"107.019834")</f>
        <v>107.019834</v>
      </c>
      <c r="AV443" s="80"/>
      <c r="AW443" s="80"/>
      <c r="AX443" s="80" t="str">
        <f>IFERROR(__xludf.DUMMYFUNCTION("""COMPUTED_VALUE"""),"h")</f>
        <v>h</v>
      </c>
      <c r="AY443" s="80"/>
      <c r="AZ443" s="80"/>
      <c r="BA443" s="80"/>
      <c r="BB443" s="80"/>
      <c r="BC443" s="80"/>
      <c r="BD443" s="80"/>
      <c r="BE443" s="80"/>
      <c r="BF443" s="80"/>
      <c r="BG443" s="80"/>
      <c r="BH443" s="80"/>
      <c r="BI443" s="80"/>
      <c r="BJ443" s="80"/>
      <c r="BK443" s="80"/>
      <c r="BL443" s="80"/>
      <c r="BM443" s="80"/>
      <c r="BN443" s="80"/>
      <c r="BO443" s="80"/>
      <c r="BP443" s="80"/>
      <c r="BQ443" s="80"/>
      <c r="BR443" s="80"/>
      <c r="BS443" s="80"/>
      <c r="BT443" s="80"/>
      <c r="BU443" s="80"/>
      <c r="BV443" s="80"/>
      <c r="BW443" s="80"/>
      <c r="BX443" s="80"/>
      <c r="BY443" s="80" t="str">
        <f>IFERROR(__xludf.DUMMYFUNCTION("""COMPUTED_VALUE"""),"POS")</f>
        <v>POS</v>
      </c>
      <c r="BZ443" s="80"/>
      <c r="CA443" s="80"/>
      <c r="CB443" s="80"/>
      <c r="CC443" s="80"/>
      <c r="CD443" s="80"/>
      <c r="CE443" s="80"/>
      <c r="CF443" s="80"/>
      <c r="CG443" s="80"/>
      <c r="CH443" s="80"/>
      <c r="CI443" s="80"/>
      <c r="CJ443" s="80"/>
      <c r="CK443" s="2"/>
    </row>
    <row r="444" ht="12.75" customHeight="1">
      <c r="A444" s="85">
        <f>IFERROR(__xludf.DUMMYFUNCTION("""COMPUTED_VALUE"""),441.0)</f>
        <v>441</v>
      </c>
      <c r="B444" s="85"/>
      <c r="C444" s="85"/>
      <c r="D444" s="86">
        <f>IFERROR(__xludf.DUMMYFUNCTION("""COMPUTED_VALUE"""),45733.0)</f>
        <v>45733</v>
      </c>
      <c r="E444" s="88"/>
      <c r="F444" s="85"/>
      <c r="G444" s="86">
        <f>IFERROR(__xludf.DUMMYFUNCTION("""COMPUTED_VALUE"""),45736.0)</f>
        <v>45736</v>
      </c>
      <c r="H444" s="85"/>
      <c r="I444" s="85"/>
      <c r="J444" s="85"/>
      <c r="K444" s="85"/>
      <c r="L444" s="85">
        <f>IFERROR(__xludf.DUMMYFUNCTION("""COMPUTED_VALUE"""),3.0)</f>
        <v>3</v>
      </c>
      <c r="M444" s="85" t="str">
        <f>IFERROR(__xludf.DUMMYFUNCTION("""COMPUTED_VALUE"""),"ü")</f>
        <v>ü</v>
      </c>
      <c r="N444" s="85"/>
      <c r="O444" s="85"/>
      <c r="P444" s="85" t="str">
        <f>IFERROR(__xludf.DUMMYFUNCTION("""COMPUTED_VALUE"""),"MUCSPA63107PSIND")</f>
        <v>MUCSPA63107PSIND</v>
      </c>
      <c r="Q444" s="85" t="str">
        <f>IFERROR(__xludf.DUMMYFUNCTION("""COMPUTED_VALUE"""),"MUC NONO CARGO")</f>
        <v>MUC NONO CARGO</v>
      </c>
      <c r="R444" s="85" t="str">
        <f>IFERROR(__xludf.DUMMYFUNCTION("""COMPUTED_VALUE"""),"MUC NONO CARGO")</f>
        <v>MUC NONO CARGO</v>
      </c>
      <c r="S444" s="85" t="str">
        <f>IFERROR(__xludf.DUMMYFUNCTION("""COMPUTED_VALUE"""),"PRIYONO")</f>
        <v>PRIYONO</v>
      </c>
      <c r="T444" s="85" t="str">
        <f>IFERROR(__xludf.DUMMYFUNCTION("""COMPUTED_VALUE"""),"DUSUN SEDAYU RT 005 RW 004 BALEREJO KALIANGKRIK KAB. MAGELANG")</f>
        <v>DUSUN SEDAYU RT 005 RW 004 BALEREJO KALIANGKRIK KAB. MAGELANG</v>
      </c>
      <c r="U444" s="85" t="str">
        <f>IFERROR(__xludf.DUMMYFUNCTION("""COMPUTED_VALUE"""),"DUSUN SEDAYU RT 005 RW 004")</f>
        <v>DUSUN SEDAYU RT 005 RW 004</v>
      </c>
      <c r="V444" s="85"/>
      <c r="W444" s="85" t="str">
        <f>IFERROR(__xludf.DUMMYFUNCTION("""COMPUTED_VALUE"""),"BALEREJO")</f>
        <v>BALEREJO</v>
      </c>
      <c r="X444" s="85" t="str">
        <f>IFERROR(__xludf.DUMMYFUNCTION("""COMPUTED_VALUE"""),"KALIANGKRIK")</f>
        <v>KALIANGKRIK</v>
      </c>
      <c r="Y444" s="85" t="str">
        <f>IFERROR(__xludf.DUMMYFUNCTION("""COMPUTED_VALUE"""),"KAB. MAGELANG")</f>
        <v>KAB. MAGELANG</v>
      </c>
      <c r="Z444" s="85" t="str">
        <f>IFERROR(__xludf.DUMMYFUNCTION("""COMPUTED_VALUE"""),"JAWA TENGAH ")</f>
        <v>JAWA TENGAH </v>
      </c>
      <c r="AA444" s="85" t="str">
        <f>IFERROR(__xludf.DUMMYFUNCTION("""COMPUTED_VALUE"""),"56153")</f>
        <v>56153</v>
      </c>
      <c r="AB444" s="85" t="str">
        <f>IFERROR(__xludf.DUMMYFUNCTION("""COMPUTED_VALUE"""),"3308131103990001")</f>
        <v>3308131103990001</v>
      </c>
      <c r="AC444" s="85" t="str">
        <f>IFERROR(__xludf.DUMMYFUNCTION("""COMPUTED_VALUE"""),"3308 1311 0399 0001")</f>
        <v>3308 1311 0399 0001</v>
      </c>
      <c r="AD444" s="85" t="str">
        <f>IFERROR(__xludf.DUMMYFUNCTION("""COMPUTED_VALUE"""),"CUM - PS - AMIA")</f>
        <v>CUM - PS - AMIA</v>
      </c>
      <c r="AE444" s="85" t="str">
        <f>IFERROR(__xludf.DUMMYFUNCTION("""COMPUTED_VALUE"""),"SUB AMILDA POS")</f>
        <v>SUB AMILDA POS</v>
      </c>
      <c r="AF444" s="85" t="str">
        <f>IFERROR(__xludf.DUMMYFUNCTION("""COMPUTED_VALUE"""),"085801326553")</f>
        <v>085801326553</v>
      </c>
      <c r="AG444" s="85"/>
      <c r="AH444" s="85" t="str">
        <f>IFERROR(__xludf.DUMMYFUNCTION("""COMPUTED_VALUE"""),"ppriyono092@gmail.com")</f>
        <v>ppriyono092@gmail.com</v>
      </c>
      <c r="AI444" s="85" t="str">
        <f>IFERROR(__xludf.DUMMYFUNCTION("""COMPUTED_VALUE"""),"56564S2")</f>
        <v>56564S2</v>
      </c>
      <c r="AJ444" s="85" t="str">
        <f>IFERROR(__xludf.DUMMYFUNCTION("""COMPUTED_VALUE"""),"67dbc31a2511f6f9e708c996")</f>
        <v>67dbc31a2511f6f9e708c996</v>
      </c>
      <c r="AK444" s="85" t="str">
        <f>IFERROR(__xludf.DUMMYFUNCTION("""COMPUTED_VALUE"""),"dm56564s2")</f>
        <v>dm56564s2</v>
      </c>
      <c r="AL444" s="85" t="str">
        <f>IFERROR(__xludf.DUMMYFUNCTION("""COMPUTED_VALUE"""),"#56564Pos")</f>
        <v>#56564Pos</v>
      </c>
      <c r="AM444" s="85" t="str">
        <f>IFERROR(__xludf.DUMMYFUNCTION("""COMPUTED_VALUE"""),"KANTOR REGIONAL IV SEMARANG 50004")</f>
        <v>KANTOR REGIONAL IV SEMARANG 50004</v>
      </c>
      <c r="AN444" s="85" t="str">
        <f>IFERROR(__xludf.DUMMYFUNCTION("""COMPUTED_VALUE"""),"KC MAGELANG 56100")</f>
        <v>KC MAGELANG 56100</v>
      </c>
      <c r="AO444" s="85" t="str">
        <f>IFERROR(__xludf.DUMMYFUNCTION("""COMPUTED_VALUE"""),"1703250021648")</f>
        <v>1703250021648</v>
      </c>
      <c r="AP444" s="85" t="str">
        <f>IFERROR(__xludf.DUMMYFUNCTION("""COMPUTED_VALUE"""),"17032500216480001")</f>
        <v>17032500216480001</v>
      </c>
      <c r="AQ444" s="93"/>
      <c r="AR444" s="85"/>
      <c r="AS444" s="85"/>
      <c r="AT444" s="85" t="str">
        <f>IFERROR(__xludf.DUMMYFUNCTION("""COMPUTED_VALUE"""),"-7.4353049")</f>
        <v>-7.4353049</v>
      </c>
      <c r="AU444" s="85" t="str">
        <f>IFERROR(__xludf.DUMMYFUNCTION("""COMPUTED_VALUE"""),"110.1307351")</f>
        <v>110.1307351</v>
      </c>
      <c r="AV444" s="85"/>
      <c r="AW444" s="85"/>
      <c r="AX444" s="85" t="str">
        <f>IFERROR(__xludf.DUMMYFUNCTION("""COMPUTED_VALUE"""),"h")</f>
        <v>h</v>
      </c>
      <c r="AY444" s="85"/>
      <c r="AZ444" s="85"/>
      <c r="BA444" s="85"/>
      <c r="BB444" s="85"/>
      <c r="BC444" s="85"/>
      <c r="BD444" s="85"/>
      <c r="BE444" s="85"/>
      <c r="BF444" s="85"/>
      <c r="BG444" s="85"/>
      <c r="BH444" s="85"/>
      <c r="BI444" s="85"/>
      <c r="BJ444" s="85"/>
      <c r="BK444" s="85"/>
      <c r="BL444" s="85"/>
      <c r="BM444" s="85"/>
      <c r="BN444" s="85"/>
      <c r="BO444" s="85"/>
      <c r="BP444" s="85"/>
      <c r="BQ444" s="85"/>
      <c r="BR444" s="85"/>
      <c r="BS444" s="85"/>
      <c r="BT444" s="85"/>
      <c r="BU444" s="85"/>
      <c r="BV444" s="85"/>
      <c r="BW444" s="85"/>
      <c r="BX444" s="85" t="str">
        <f>IFERROR(__xludf.DUMMYFUNCTION("""COMPUTED_VALUE"""),"NEWBIE PEBISOL")</f>
        <v>NEWBIE PEBISOL</v>
      </c>
      <c r="BY444" s="85"/>
      <c r="BZ444" s="85"/>
      <c r="CA444" s="85"/>
      <c r="CB444" s="85"/>
      <c r="CC444" s="85"/>
      <c r="CD444" s="85"/>
      <c r="CE444" s="85"/>
      <c r="CF444" s="85"/>
      <c r="CG444" s="85"/>
      <c r="CH444" s="85"/>
      <c r="CI444" s="85"/>
      <c r="CJ444" s="85"/>
      <c r="CK444" s="2"/>
    </row>
    <row r="445" ht="12.75" customHeight="1">
      <c r="A445" s="80">
        <f>IFERROR(__xludf.DUMMYFUNCTION("""COMPUTED_VALUE"""),442.0)</f>
        <v>442</v>
      </c>
      <c r="B445" s="80"/>
      <c r="C445" s="80"/>
      <c r="D445" s="81">
        <f>IFERROR(__xludf.DUMMYFUNCTION("""COMPUTED_VALUE"""),45733.0)</f>
        <v>45733</v>
      </c>
      <c r="E445" s="82"/>
      <c r="F445" s="80"/>
      <c r="G445" s="81">
        <f>IFERROR(__xludf.DUMMYFUNCTION("""COMPUTED_VALUE"""),45735.0)</f>
        <v>45735</v>
      </c>
      <c r="H445" s="80"/>
      <c r="I445" s="80"/>
      <c r="J445" s="80"/>
      <c r="K445" s="80"/>
      <c r="L445" s="80">
        <f>IFERROR(__xludf.DUMMYFUNCTION("""COMPUTED_VALUE"""),2.0)</f>
        <v>2</v>
      </c>
      <c r="M445" s="80"/>
      <c r="N445" s="80" t="str">
        <f>IFERROR(__xludf.DUMMYFUNCTION("""COMPUTED_VALUE"""),"ü")</f>
        <v>ü</v>
      </c>
      <c r="O445" s="80"/>
      <c r="P445" s="80" t="str">
        <f>IFERROR(__xludf.DUMMYFUNCTION("""COMPUTED_VALUE"""),"MLO5500027CUMBPK")</f>
        <v>MLO5500027CUMBPK</v>
      </c>
      <c r="Q445" s="80" t="str">
        <f>IFERROR(__xludf.DUMMYFUNCTION("""COMPUTED_VALUE"""),"MUC Pojok Sedan")</f>
        <v>MUC Pojok Sedan</v>
      </c>
      <c r="R445" s="80" t="str">
        <f>IFERROR(__xludf.DUMMYFUNCTION("""COMPUTED_VALUE"""),"MUC Pojok Sedan")</f>
        <v>MUC Pojok Sedan</v>
      </c>
      <c r="S445" s="80" t="str">
        <f>IFERROR(__xludf.DUMMYFUNCTION("""COMPUTED_VALUE"""),"MAARIF MUNAWAR")</f>
        <v>MAARIF MUNAWAR</v>
      </c>
      <c r="T445" s="80" t="str">
        <f>IFERROR(__xludf.DUMMYFUNCTION("""COMPUTED_VALUE"""),"SEDAN RT.002 RW.033 KEL.SARIHARJO KEC. NGAGLIK KAB.SLEMAN DAERAH ISTIMEWA YOGYAKARTA")</f>
        <v>SEDAN RT.002 RW.033 KEL.SARIHARJO KEC. NGAGLIK KAB.SLEMAN DAERAH ISTIMEWA YOGYAKARTA</v>
      </c>
      <c r="U445" s="80" t="str">
        <f>IFERROR(__xludf.DUMMYFUNCTION("""COMPUTED_VALUE"""),"Jl. Sedan RT.002 RW.033")</f>
        <v>Jl. Sedan RT.002 RW.033</v>
      </c>
      <c r="V445" s="80"/>
      <c r="W445" s="80" t="str">
        <f>IFERROR(__xludf.DUMMYFUNCTION("""COMPUTED_VALUE"""),"Sariharjo")</f>
        <v>Sariharjo</v>
      </c>
      <c r="X445" s="80" t="str">
        <f>IFERROR(__xludf.DUMMYFUNCTION("""COMPUTED_VALUE"""),"Ngaglik")</f>
        <v>Ngaglik</v>
      </c>
      <c r="Y445" s="80" t="str">
        <f>IFERROR(__xludf.DUMMYFUNCTION("""COMPUTED_VALUE"""),"Kab. Sleman")</f>
        <v>Kab. Sleman</v>
      </c>
      <c r="Z445" s="80" t="str">
        <f>IFERROR(__xludf.DUMMYFUNCTION("""COMPUTED_VALUE"""),"Yogyakarta")</f>
        <v>Yogyakarta</v>
      </c>
      <c r="AA445" s="80" t="str">
        <f>IFERROR(__xludf.DUMMYFUNCTION("""COMPUTED_VALUE"""),"55581")</f>
        <v>55581</v>
      </c>
      <c r="AB445" s="80" t="str">
        <f>IFERROR(__xludf.DUMMYFUNCTION("""COMPUTED_VALUE"""),"3402052804880002")</f>
        <v>3402052804880002</v>
      </c>
      <c r="AC445" s="80" t="str">
        <f>IFERROR(__xludf.DUMMYFUNCTION("""COMPUTED_VALUE"""),"76.000.931.6-542.000")</f>
        <v>76.000.931.6-542.000</v>
      </c>
      <c r="AD445" s="80" t="str">
        <f>IFERROR(__xludf.DUMMYFUNCTION("""COMPUTED_VALUE"""),"CUM - PS - BPKT")</f>
        <v>CUM - PS - BPKT</v>
      </c>
      <c r="AE445" s="80" t="str">
        <f>IFERROR(__xludf.DUMMYFUNCTION("""COMPUTED_VALUE"""),"SUB PURBO POS")</f>
        <v>SUB PURBO POS</v>
      </c>
      <c r="AF445" s="80" t="str">
        <f>IFERROR(__xludf.DUMMYFUNCTION("""COMPUTED_VALUE"""),"083843344540")</f>
        <v>083843344540</v>
      </c>
      <c r="AG445" s="80"/>
      <c r="AH445" s="80" t="str">
        <f>IFERROR(__xludf.DUMMYFUNCTION("""COMPUTED_VALUE"""),"munawarmaarif@gmail.com")</f>
        <v>munawarmaarif@gmail.com</v>
      </c>
      <c r="AI445" s="80" t="str">
        <f>IFERROR(__xludf.DUMMYFUNCTION("""COMPUTED_VALUE"""),"55581SA")</f>
        <v>55581SA</v>
      </c>
      <c r="AJ445" s="80" t="str">
        <f>IFERROR(__xludf.DUMMYFUNCTION("""COMPUTED_VALUE"""),"67da4bc3f0ba68b5de04f396")</f>
        <v>67da4bc3f0ba68b5de04f396</v>
      </c>
      <c r="AK445" s="80" t="str">
        <f>IFERROR(__xludf.DUMMYFUNCTION("""COMPUTED_VALUE"""),"dm55581sa")</f>
        <v>dm55581sa</v>
      </c>
      <c r="AL445" s="80" t="str">
        <f>IFERROR(__xludf.DUMMYFUNCTION("""COMPUTED_VALUE"""),"#55581Pos")</f>
        <v>#55581Pos</v>
      </c>
      <c r="AM445" s="80" t="str">
        <f>IFERROR(__xludf.DUMMYFUNCTION("""COMPUTED_VALUE"""),"KANTOR REGIONAL IV SEMARANG 50004")</f>
        <v>KANTOR REGIONAL IV SEMARANG 50004</v>
      </c>
      <c r="AN445" s="80" t="str">
        <f>IFERROR(__xludf.DUMMYFUNCTION("""COMPUTED_VALUE"""),"KCU YOGYAKARTA 55000")</f>
        <v>KCU YOGYAKARTA 55000</v>
      </c>
      <c r="AO445" s="80" t="str">
        <f>IFERROR(__xludf.DUMMYFUNCTION("""COMPUTED_VALUE"""),"1703250066053")</f>
        <v>1703250066053</v>
      </c>
      <c r="AP445" s="80" t="str">
        <f>IFERROR(__xludf.DUMMYFUNCTION("""COMPUTED_VALUE"""),"17032500660530001")</f>
        <v>17032500660530001</v>
      </c>
      <c r="AQ445" s="83"/>
      <c r="AR445" s="80"/>
      <c r="AS445" s="80"/>
      <c r="AT445" s="80" t="str">
        <f>IFERROR(__xludf.DUMMYFUNCTION("""COMPUTED_VALUE"""),"-7.744338")</f>
        <v>-7.744338</v>
      </c>
      <c r="AU445" s="80" t="str">
        <f>IFERROR(__xludf.DUMMYFUNCTION("""COMPUTED_VALUE"""),"110.369964")</f>
        <v>110.369964</v>
      </c>
      <c r="AV445" s="80"/>
      <c r="AW445" s="80"/>
      <c r="AX445" s="80" t="str">
        <f>IFERROR(__xludf.DUMMYFUNCTION("""COMPUTED_VALUE"""),"h")</f>
        <v>h</v>
      </c>
      <c r="AY445" s="80"/>
      <c r="AZ445" s="80"/>
      <c r="BA445" s="80"/>
      <c r="BB445" s="80"/>
      <c r="BC445" s="80"/>
      <c r="BD445" s="80"/>
      <c r="BE445" s="80"/>
      <c r="BF445" s="80"/>
      <c r="BG445" s="80"/>
      <c r="BH445" s="80"/>
      <c r="BI445" s="80"/>
      <c r="BJ445" s="80"/>
      <c r="BK445" s="80"/>
      <c r="BL445" s="80"/>
      <c r="BM445" s="80"/>
      <c r="BN445" s="80"/>
      <c r="BO445" s="80"/>
      <c r="BP445" s="80"/>
      <c r="BQ445" s="80"/>
      <c r="BR445" s="80"/>
      <c r="BS445" s="80"/>
      <c r="BT445" s="80"/>
      <c r="BU445" s="80"/>
      <c r="BV445" s="80"/>
      <c r="BW445" s="80"/>
      <c r="BX445" s="80"/>
      <c r="BY445" s="80" t="str">
        <f>IFERROR(__xludf.DUMMYFUNCTION("""COMPUTED_VALUE"""),"POS")</f>
        <v>POS</v>
      </c>
      <c r="BZ445" s="80"/>
      <c r="CA445" s="80"/>
      <c r="CB445" s="80"/>
      <c r="CC445" s="80"/>
      <c r="CD445" s="80"/>
      <c r="CE445" s="80"/>
      <c r="CF445" s="80"/>
      <c r="CG445" s="80"/>
      <c r="CH445" s="80"/>
      <c r="CI445" s="80"/>
      <c r="CJ445" s="80"/>
      <c r="CK445" s="2"/>
    </row>
    <row r="446" ht="12.75" customHeight="1">
      <c r="A446" s="85">
        <f>IFERROR(__xludf.DUMMYFUNCTION("""COMPUTED_VALUE"""),443.0)</f>
        <v>443</v>
      </c>
      <c r="B446" s="85"/>
      <c r="C446" s="85"/>
      <c r="D446" s="86">
        <f>IFERROR(__xludf.DUMMYFUNCTION("""COMPUTED_VALUE"""),45734.0)</f>
        <v>45734</v>
      </c>
      <c r="E446" s="88"/>
      <c r="F446" s="85"/>
      <c r="G446" s="86">
        <f>IFERROR(__xludf.DUMMYFUNCTION("""COMPUTED_VALUE"""),45736.0)</f>
        <v>45736</v>
      </c>
      <c r="H446" s="85"/>
      <c r="I446" s="85"/>
      <c r="J446" s="85"/>
      <c r="K446" s="85"/>
      <c r="L446" s="85">
        <f>IFERROR(__xludf.DUMMYFUNCTION("""COMPUTED_VALUE"""),2.0)</f>
        <v>2</v>
      </c>
      <c r="M446" s="85" t="str">
        <f>IFERROR(__xludf.DUMMYFUNCTION("""COMPUTED_VALUE"""),"ü")</f>
        <v>ü</v>
      </c>
      <c r="N446" s="85"/>
      <c r="O446" s="85"/>
      <c r="P446" s="85" t="str">
        <f>IFERROR(__xludf.DUMMYFUNCTION("""COMPUTED_VALUE"""),"MUCSPA63108PSIND")</f>
        <v>MUCSPA63108PSIND</v>
      </c>
      <c r="Q446" s="85" t="str">
        <f>IFERROR(__xludf.DUMMYFUNCTION("""COMPUTED_VALUE"""),"MUC Wicp Caringin")</f>
        <v>MUC Wicp Caringin</v>
      </c>
      <c r="R446" s="85" t="str">
        <f>IFERROR(__xludf.DUMMYFUNCTION("""COMPUTED_VALUE"""),"MUC Wicp Caringin")</f>
        <v>MUC Wicp Caringin</v>
      </c>
      <c r="S446" s="85" t="str">
        <f>IFERROR(__xludf.DUMMYFUNCTION("""COMPUTED_VALUE"""),"ANDREAS")</f>
        <v>ANDREAS</v>
      </c>
      <c r="T446" s="85" t="str">
        <f>IFERROR(__xludf.DUMMYFUNCTION("""COMPUTED_VALUE"""),"JL.SRIBENTANG NO.37 RT.003 RW.002 KEL. CIGERELENG KEC. REGOL KOTA BANDUNG JAWA BARAT")</f>
        <v>JL.SRIBENTANG NO.37 RT.003 RW.002 KEL. CIGERELENG KEC. REGOL KOTA BANDUNG JAWA BARAT</v>
      </c>
      <c r="U446" s="85" t="str">
        <f>IFERROR(__xludf.DUMMYFUNCTION("""COMPUTED_VALUE"""),"Jl. Caringin no 119C")</f>
        <v>Jl. Caringin no 119C</v>
      </c>
      <c r="V446" s="85"/>
      <c r="W446" s="85" t="str">
        <f>IFERROR(__xludf.DUMMYFUNCTION("""COMPUTED_VALUE"""),"Babakan Ciparay")</f>
        <v>Babakan Ciparay</v>
      </c>
      <c r="X446" s="85" t="str">
        <f>IFERROR(__xludf.DUMMYFUNCTION("""COMPUTED_VALUE"""),"Babakan Ciparay")</f>
        <v>Babakan Ciparay</v>
      </c>
      <c r="Y446" s="85" t="str">
        <f>IFERROR(__xludf.DUMMYFUNCTION("""COMPUTED_VALUE"""),"Bandung")</f>
        <v>Bandung</v>
      </c>
      <c r="Z446" s="85" t="str">
        <f>IFERROR(__xludf.DUMMYFUNCTION("""COMPUTED_VALUE"""),"Jawa Barat")</f>
        <v>Jawa Barat</v>
      </c>
      <c r="AA446" s="85" t="str">
        <f>IFERROR(__xludf.DUMMYFUNCTION("""COMPUTED_VALUE"""),"40221")</f>
        <v>40221</v>
      </c>
      <c r="AB446" s="85" t="str">
        <f>IFERROR(__xludf.DUMMYFUNCTION("""COMPUTED_VALUE"""),"3273111504750002")</f>
        <v>3273111504750002</v>
      </c>
      <c r="AC446" s="85" t="str">
        <f>IFERROR(__xludf.DUMMYFUNCTION("""COMPUTED_VALUE"""),"47.372.727.9-424.000")</f>
        <v>47.372.727.9-424.000</v>
      </c>
      <c r="AD446" s="85" t="str">
        <f>IFERROR(__xludf.DUMMYFUNCTION("""COMPUTED_VALUE"""),"CUM - PS - RRI")</f>
        <v>CUM - PS - RRI</v>
      </c>
      <c r="AE446" s="85" t="str">
        <f>IFERROR(__xludf.DUMMYFUNCTION("""COMPUTED_VALUE"""),"SUB RIRIN POS")</f>
        <v>SUB RIRIN POS</v>
      </c>
      <c r="AF446" s="85" t="str">
        <f>IFERROR(__xludf.DUMMYFUNCTION("""COMPUTED_VALUE"""),"085101166635")</f>
        <v>085101166635</v>
      </c>
      <c r="AG446" s="85"/>
      <c r="AH446" s="85" t="str">
        <f>IFERROR(__xludf.DUMMYFUNCTION("""COMPUTED_VALUE"""),"keimotor.bdg@gmail.com")</f>
        <v>keimotor.bdg@gmail.com</v>
      </c>
      <c r="AI446" s="85" t="str">
        <f>IFERROR(__xludf.DUMMYFUNCTION("""COMPUTED_VALUE"""),"40223S1")</f>
        <v>40223S1</v>
      </c>
      <c r="AJ446" s="85" t="str">
        <f>IFERROR(__xludf.DUMMYFUNCTION("""COMPUTED_VALUE"""),"67dbd6b6f172204d8703db46")</f>
        <v>67dbd6b6f172204d8703db46</v>
      </c>
      <c r="AK446" s="85" t="str">
        <f>IFERROR(__xludf.DUMMYFUNCTION("""COMPUTED_VALUE"""),"dm40223s1")</f>
        <v>dm40223s1</v>
      </c>
      <c r="AL446" s="85" t="str">
        <f>IFERROR(__xludf.DUMMYFUNCTION("""COMPUTED_VALUE"""),"#40223Pos")</f>
        <v>#40223Pos</v>
      </c>
      <c r="AM446" s="85" t="str">
        <f>IFERROR(__xludf.DUMMYFUNCTION("""COMPUTED_VALUE"""),"KANTOR REGIONAL III BANDUNG 40004")</f>
        <v>KANTOR REGIONAL III BANDUNG 40004</v>
      </c>
      <c r="AN446" s="85" t="str">
        <f>IFERROR(__xludf.DUMMYFUNCTION("""COMPUTED_VALUE"""),"KCU BANDUNG 40000")</f>
        <v>KCU BANDUNG 40000</v>
      </c>
      <c r="AO446" s="85" t="str">
        <f>IFERROR(__xludf.DUMMYFUNCTION("""COMPUTED_VALUE"""),"1803250032348")</f>
        <v>1803250032348</v>
      </c>
      <c r="AP446" s="85" t="str">
        <f>IFERROR(__xludf.DUMMYFUNCTION("""COMPUTED_VALUE"""),"18032500323480001")</f>
        <v>18032500323480001</v>
      </c>
      <c r="AQ446" s="93"/>
      <c r="AR446" s="85"/>
      <c r="AS446" s="85"/>
      <c r="AT446" s="85" t="str">
        <f>IFERROR(__xludf.DUMMYFUNCTION("""COMPUTED_VALUE"""),"-6.944031")</f>
        <v>-6.944031</v>
      </c>
      <c r="AU446" s="85" t="str">
        <f>IFERROR(__xludf.DUMMYFUNCTION("""COMPUTED_VALUE"""),"107.581680")</f>
        <v>107.581680</v>
      </c>
      <c r="AV446" s="85"/>
      <c r="AW446" s="85"/>
      <c r="AX446" s="85" t="str">
        <f>IFERROR(__xludf.DUMMYFUNCTION("""COMPUTED_VALUE"""),"h")</f>
        <v>h</v>
      </c>
      <c r="AY446" s="85"/>
      <c r="AZ446" s="85"/>
      <c r="BA446" s="85"/>
      <c r="BB446" s="85"/>
      <c r="BC446" s="85"/>
      <c r="BD446" s="85"/>
      <c r="BE446" s="85"/>
      <c r="BF446" s="85"/>
      <c r="BG446" s="85"/>
      <c r="BH446" s="85"/>
      <c r="BI446" s="85"/>
      <c r="BJ446" s="85"/>
      <c r="BK446" s="85"/>
      <c r="BL446" s="85"/>
      <c r="BM446" s="85"/>
      <c r="BN446" s="85"/>
      <c r="BO446" s="85"/>
      <c r="BP446" s="85"/>
      <c r="BQ446" s="85"/>
      <c r="BR446" s="85"/>
      <c r="BS446" s="85"/>
      <c r="BT446" s="85"/>
      <c r="BU446" s="85"/>
      <c r="BV446" s="85"/>
      <c r="BW446" s="85"/>
      <c r="BX446" s="85"/>
      <c r="BY446" s="85"/>
      <c r="BZ446" s="85"/>
      <c r="CA446" s="85" t="str">
        <f>IFERROR(__xludf.DUMMYFUNCTION("""COMPUTED_VALUE"""),"LION PARCEL")</f>
        <v>LION PARCEL</v>
      </c>
      <c r="CB446" s="85"/>
      <c r="CC446" s="85" t="str">
        <f>IFERROR(__xludf.DUMMYFUNCTION("""COMPUTED_VALUE"""),"JNT CARGO")</f>
        <v>JNT CARGO</v>
      </c>
      <c r="CD446" s="85" t="str">
        <f>IFERROR(__xludf.DUMMYFUNCTION("""COMPUTED_VALUE"""),"JNT EXSPRESS")</f>
        <v>JNT EXSPRESS</v>
      </c>
      <c r="CE446" s="85"/>
      <c r="CF446" s="85"/>
      <c r="CG446" s="85"/>
      <c r="CH446" s="85"/>
      <c r="CI446" s="85"/>
      <c r="CJ446" s="85"/>
      <c r="CK446" s="2"/>
    </row>
    <row r="447" ht="12.75" customHeight="1">
      <c r="A447" s="80">
        <f>IFERROR(__xludf.DUMMYFUNCTION("""COMPUTED_VALUE"""),444.0)</f>
        <v>444</v>
      </c>
      <c r="B447" s="80"/>
      <c r="C447" s="80"/>
      <c r="D447" s="81">
        <f>IFERROR(__xludf.DUMMYFUNCTION("""COMPUTED_VALUE"""),45737.0)</f>
        <v>45737</v>
      </c>
      <c r="E447" s="82"/>
      <c r="F447" s="80"/>
      <c r="G447" s="81">
        <f>IFERROR(__xludf.DUMMYFUNCTION("""COMPUTED_VALUE"""),45756.0)</f>
        <v>45756</v>
      </c>
      <c r="H447" s="80"/>
      <c r="I447" s="80"/>
      <c r="J447" s="80"/>
      <c r="K447" s="80"/>
      <c r="L447" s="80">
        <f>IFERROR(__xludf.DUMMYFUNCTION("""COMPUTED_VALUE"""),19.0)</f>
        <v>19</v>
      </c>
      <c r="M447" s="80"/>
      <c r="N447" s="80" t="str">
        <f>IFERROR(__xludf.DUMMYFUNCTION("""COMPUTED_VALUE"""),"ü")</f>
        <v>ü</v>
      </c>
      <c r="O447" s="80"/>
      <c r="P447" s="80" t="str">
        <f>IFERROR(__xludf.DUMMYFUNCTION("""COMPUTED_VALUE"""),"53BSPA09427JBKTK")</f>
        <v>53BSPA09427JBKTK</v>
      </c>
      <c r="Q447" s="80" t="str">
        <f>IFERROR(__xludf.DUMMYFUNCTION("""COMPUTED_VALUE"""),"MUC Akio Expedisi")</f>
        <v>MUC Akio Expedisi</v>
      </c>
      <c r="R447" s="80" t="str">
        <f>IFERROR(__xludf.DUMMYFUNCTION("""COMPUTED_VALUE"""),"MUC Akio Expedisi")</f>
        <v>MUC Akio Expedisi</v>
      </c>
      <c r="S447" s="80" t="str">
        <f>IFERROR(__xludf.DUMMYFUNCTION("""COMPUTED_VALUE"""),"Risman Wijayadi Permana")</f>
        <v>Risman Wijayadi Permana</v>
      </c>
      <c r="T447" s="80" t="str">
        <f>IFERROR(__xludf.DUMMYFUNCTION("""COMPUTED_VALUE"""),"Gg Hajiyasin 7 no 222 Rt.05 Rw.02 Kel. sukabungah Kec. Sukajadi bandung 40162")</f>
        <v>Gg Hajiyasin 7 no 222 Rt.05 Rw.02 Kel. sukabungah Kec. Sukajadi bandung 40162</v>
      </c>
      <c r="U447" s="80" t="str">
        <f>IFERROR(__xludf.DUMMYFUNCTION("""COMPUTED_VALUE"""),"jln Leuwigajah No.91 Rt.07 Rw.08 Kelurahan Cigugur tengah Kecamatan Cimahi tengah 40522")</f>
        <v>jln Leuwigajah No.91 Rt.07 Rw.08 Kelurahan Cigugur tengah Kecamatan Cimahi tengah 40522</v>
      </c>
      <c r="V447" s="80"/>
      <c r="W447" s="80" t="str">
        <f>IFERROR(__xludf.DUMMYFUNCTION("""COMPUTED_VALUE"""),"Cigugur tengah")</f>
        <v>Cigugur tengah</v>
      </c>
      <c r="X447" s="80" t="str">
        <f>IFERROR(__xludf.DUMMYFUNCTION("""COMPUTED_VALUE"""),"Cimahi tengah")</f>
        <v>Cimahi tengah</v>
      </c>
      <c r="Y447" s="80" t="str">
        <f>IFERROR(__xludf.DUMMYFUNCTION("""COMPUTED_VALUE"""),"Cimahi")</f>
        <v>Cimahi</v>
      </c>
      <c r="Z447" s="80" t="str">
        <f>IFERROR(__xludf.DUMMYFUNCTION("""COMPUTED_VALUE"""),"Jawa Barat")</f>
        <v>Jawa Barat</v>
      </c>
      <c r="AA447" s="80" t="str">
        <f>IFERROR(__xludf.DUMMYFUNCTION("""COMPUTED_VALUE"""),"40522")</f>
        <v>40522</v>
      </c>
      <c r="AB447" s="80" t="str">
        <f>IFERROR(__xludf.DUMMYFUNCTION("""COMPUTED_VALUE"""),"3273072502950001")</f>
        <v>3273072502950001</v>
      </c>
      <c r="AC447" s="80" t="str">
        <f>IFERROR(__xludf.DUMMYFUNCTION("""COMPUTED_VALUE"""),"94.046.675.8-428.000")</f>
        <v>94.046.675.8-428.000</v>
      </c>
      <c r="AD447" s="80" t="str">
        <f>IFERROR(__xludf.DUMMYFUNCTION("""COMPUTED_VALUE"""),"CUM - KTK")</f>
        <v>CUM - KTK</v>
      </c>
      <c r="AE447" s="80" t="str">
        <f>IFERROR(__xludf.DUMMYFUNCTION("""COMPUTED_VALUE"""),"SUB KARTIKA")</f>
        <v>SUB KARTIKA</v>
      </c>
      <c r="AF447" s="80" t="str">
        <f>IFERROR(__xludf.DUMMYFUNCTION("""COMPUTED_VALUE"""),"081214818043")</f>
        <v>081214818043</v>
      </c>
      <c r="AG447" s="80"/>
      <c r="AH447" s="80" t="str">
        <f>IFERROR(__xludf.DUMMYFUNCTION("""COMPUTED_VALUE"""),"rismanwijayadi@gmail.com")</f>
        <v>rismanwijayadi@gmail.com</v>
      </c>
      <c r="AI447" s="80" t="str">
        <f>IFERROR(__xludf.DUMMYFUNCTION("""COMPUTED_VALUE"""),"40522S2")</f>
        <v>40522S2</v>
      </c>
      <c r="AJ447" s="80" t="str">
        <f>IFERROR(__xludf.DUMMYFUNCTION("""COMPUTED_VALUE"""),"67f5dab022051910b2049d61")</f>
        <v>67f5dab022051910b2049d61</v>
      </c>
      <c r="AK447" s="80" t="str">
        <f>IFERROR(__xludf.DUMMYFUNCTION("""COMPUTED_VALUE"""),"dm40522s2")</f>
        <v>dm40522s2</v>
      </c>
      <c r="AL447" s="80" t="str">
        <f>IFERROR(__xludf.DUMMYFUNCTION("""COMPUTED_VALUE"""),"#40522Pos")</f>
        <v>#40522Pos</v>
      </c>
      <c r="AM447" s="80" t="str">
        <f>IFERROR(__xludf.DUMMYFUNCTION("""COMPUTED_VALUE"""),"KANTOR REGIONAL III BANDUNG 40004")</f>
        <v>KANTOR REGIONAL III BANDUNG 40004</v>
      </c>
      <c r="AN447" s="80" t="str">
        <f>IFERROR(__xludf.DUMMYFUNCTION("""COMPUTED_VALUE"""),"KC CIMAHI ")</f>
        <v>KC CIMAHI </v>
      </c>
      <c r="AO447" s="80" t="str">
        <f>IFERROR(__xludf.DUMMYFUNCTION("""COMPUTED_VALUE"""),"0912230025348")</f>
        <v>0912230025348</v>
      </c>
      <c r="AP447" s="80" t="str">
        <f>IFERROR(__xludf.DUMMYFUNCTION("""COMPUTED_VALUE"""),"09122300253480001")</f>
        <v>09122300253480001</v>
      </c>
      <c r="AQ447" s="83"/>
      <c r="AR447" s="80"/>
      <c r="AS447" s="80"/>
      <c r="AT447" s="80" t="str">
        <f>IFERROR(__xludf.DUMMYFUNCTION("""COMPUTED_VALUE"""),"-6.898597")</f>
        <v>-6.898597</v>
      </c>
      <c r="AU447" s="80" t="str">
        <f>IFERROR(__xludf.DUMMYFUNCTION("""COMPUTED_VALUE"""),"107.553963")</f>
        <v>107.553963</v>
      </c>
      <c r="AV447" s="80"/>
      <c r="AW447" s="80"/>
      <c r="AX447" s="80" t="str">
        <f>IFERROR(__xludf.DUMMYFUNCTION("""COMPUTED_VALUE"""),"h")</f>
        <v>h</v>
      </c>
      <c r="AY447" s="80"/>
      <c r="AZ447" s="80"/>
      <c r="BA447" s="80"/>
      <c r="BB447" s="80"/>
      <c r="BC447" s="80"/>
      <c r="BD447" s="80"/>
      <c r="BE447" s="80"/>
      <c r="BF447" s="80"/>
      <c r="BG447" s="80"/>
      <c r="BH447" s="80"/>
      <c r="BI447" s="80"/>
      <c r="BJ447" s="80"/>
      <c r="BK447" s="80"/>
      <c r="BL447" s="80"/>
      <c r="BM447" s="80"/>
      <c r="BN447" s="80"/>
      <c r="BO447" s="80"/>
      <c r="BP447" s="80"/>
      <c r="BQ447" s="80"/>
      <c r="BR447" s="80"/>
      <c r="BS447" s="80"/>
      <c r="BT447" s="80"/>
      <c r="BU447" s="80"/>
      <c r="BV447" s="80"/>
      <c r="BW447" s="80"/>
      <c r="BX447" s="80" t="str">
        <f>IFERROR(__xludf.DUMMYFUNCTION("""COMPUTED_VALUE"""),"NEWBIE")</f>
        <v>NEWBIE</v>
      </c>
      <c r="BY447" s="80"/>
      <c r="BZ447" s="80"/>
      <c r="CA447" s="80"/>
      <c r="CB447" s="80"/>
      <c r="CC447" s="80"/>
      <c r="CD447" s="80"/>
      <c r="CE447" s="80"/>
      <c r="CF447" s="80"/>
      <c r="CG447" s="80"/>
      <c r="CH447" s="80"/>
      <c r="CI447" s="80"/>
      <c r="CJ447" s="80"/>
      <c r="CK447" s="2"/>
    </row>
    <row r="448" ht="12.75" customHeight="1">
      <c r="A448" s="85">
        <f>IFERROR(__xludf.DUMMYFUNCTION("""COMPUTED_VALUE"""),445.0)</f>
        <v>445</v>
      </c>
      <c r="B448" s="85"/>
      <c r="C448" s="85"/>
      <c r="D448" s="86">
        <f>IFERROR(__xludf.DUMMYFUNCTION("""COMPUTED_VALUE"""),45741.0)</f>
        <v>45741</v>
      </c>
      <c r="E448" s="88"/>
      <c r="F448" s="85"/>
      <c r="G448" s="86">
        <f>IFERROR(__xludf.DUMMYFUNCTION("""COMPUTED_VALUE"""),45763.0)</f>
        <v>45763</v>
      </c>
      <c r="H448" s="85"/>
      <c r="I448" s="85"/>
      <c r="J448" s="85"/>
      <c r="K448" s="85"/>
      <c r="L448" s="85">
        <f>IFERROR(__xludf.DUMMYFUNCTION("""COMPUTED_VALUE"""),22.0)</f>
        <v>22</v>
      </c>
      <c r="M448" s="85" t="str">
        <f>IFERROR(__xludf.DUMMYFUNCTION("""COMPUTED_VALUE"""),"ü")</f>
        <v>ü</v>
      </c>
      <c r="N448" s="85"/>
      <c r="O448" s="85"/>
      <c r="P448" s="85" t="str">
        <f>IFERROR(__xludf.DUMMYFUNCTION("""COMPUTED_VALUE"""),"MUCSPA63109PSIND")</f>
        <v>MUCSPA63109PSIND</v>
      </c>
      <c r="Q448" s="85" t="str">
        <f>IFERROR(__xludf.DUMMYFUNCTION("""COMPUTED_VALUE"""),"MUC RAFA")</f>
        <v>MUC RAFA</v>
      </c>
      <c r="R448" s="85" t="str">
        <f>IFERROR(__xludf.DUMMYFUNCTION("""COMPUTED_VALUE"""),"MUC RAFA")</f>
        <v>MUC RAFA</v>
      </c>
      <c r="S448" s="85" t="str">
        <f>IFERROR(__xludf.DUMMYFUNCTION("""COMPUTED_VALUE"""),"DEWI APRIYANTI SE")</f>
        <v>DEWI APRIYANTI SE</v>
      </c>
      <c r="T448" s="85" t="str">
        <f>IFERROR(__xludf.DUMMYFUNCTION("""COMPUTED_VALUE"""),"JL. RAYA KEDONGDONG RT.003 RW.018 KEL.MANGUNJAYA KEC. TAMBUN SELATAN KAB BEKASI")</f>
        <v>JL. RAYA KEDONGDONG RT.003 RW.018 KEL.MANGUNJAYA KEC. TAMBUN SELATAN KAB BEKASI</v>
      </c>
      <c r="U448" s="85" t="str">
        <f>IFERROR(__xludf.DUMMYFUNCTION("""COMPUTED_VALUE"""),"Jl. Raya Kedondong Rt.03. Rw.18 No. 211")</f>
        <v>Jl. Raya Kedondong Rt.03. Rw.18 No. 211</v>
      </c>
      <c r="V448" s="85"/>
      <c r="W448" s="85" t="str">
        <f>IFERROR(__xludf.DUMMYFUNCTION("""COMPUTED_VALUE"""),"Mangunjaya")</f>
        <v>Mangunjaya</v>
      </c>
      <c r="X448" s="85" t="str">
        <f>IFERROR(__xludf.DUMMYFUNCTION("""COMPUTED_VALUE"""),"Tambun Selatan")</f>
        <v>Tambun Selatan</v>
      </c>
      <c r="Y448" s="85" t="str">
        <f>IFERROR(__xludf.DUMMYFUNCTION("""COMPUTED_VALUE"""),"Kab. Bekasi")</f>
        <v>Kab. Bekasi</v>
      </c>
      <c r="Z448" s="85" t="str">
        <f>IFERROR(__xludf.DUMMYFUNCTION("""COMPUTED_VALUE"""),"Jawa Barat")</f>
        <v>Jawa Barat</v>
      </c>
      <c r="AA448" s="85" t="str">
        <f>IFERROR(__xludf.DUMMYFUNCTION("""COMPUTED_VALUE"""),"17510")</f>
        <v>17510</v>
      </c>
      <c r="AB448" s="85" t="str">
        <f>IFERROR(__xludf.DUMMYFUNCTION("""COMPUTED_VALUE"""),"3175066004780005")</f>
        <v>3175066004780005</v>
      </c>
      <c r="AC448" s="85" t="str">
        <f>IFERROR(__xludf.DUMMYFUNCTION("""COMPUTED_VALUE"""),"13.831.355.6-435.000")</f>
        <v>13.831.355.6-435.000</v>
      </c>
      <c r="AD448" s="85" t="str">
        <f>IFERROR(__xludf.DUMMYFUNCTION("""COMPUTED_VALUE"""),"CUM - PS - AYS")</f>
        <v>CUM - PS - AYS</v>
      </c>
      <c r="AE448" s="85" t="str">
        <f>IFERROR(__xludf.DUMMYFUNCTION("""COMPUTED_VALUE"""),"SUB YUNUS POS")</f>
        <v>SUB YUNUS POS</v>
      </c>
      <c r="AF448" s="85" t="str">
        <f>IFERROR(__xludf.DUMMYFUNCTION("""COMPUTED_VALUE"""),"089659049066")</f>
        <v>089659049066</v>
      </c>
      <c r="AG448" s="85"/>
      <c r="AH448" s="85" t="str">
        <f>IFERROR(__xludf.DUMMYFUNCTION("""COMPUTED_VALUE"""),"rafalink78@gmail.com")</f>
        <v>rafalink78@gmail.com</v>
      </c>
      <c r="AI448" s="85" t="str">
        <f>IFERROR(__xludf.DUMMYFUNCTION("""COMPUTED_VALUE"""),"17517S6")</f>
        <v>17517S6</v>
      </c>
      <c r="AJ448" s="85" t="str">
        <f>IFERROR(__xludf.DUMMYFUNCTION("""COMPUTED_VALUE"""),"67ff4fae0f100a3c370f9878")</f>
        <v>67ff4fae0f100a3c370f9878</v>
      </c>
      <c r="AK448" s="85" t="str">
        <f>IFERROR(__xludf.DUMMYFUNCTION("""COMPUTED_VALUE"""),"dm17517s6")</f>
        <v>dm17517s6</v>
      </c>
      <c r="AL448" s="85" t="str">
        <f>IFERROR(__xludf.DUMMYFUNCTION("""COMPUTED_VALUE"""),"#17517Pos")</f>
        <v>#17517Pos</v>
      </c>
      <c r="AM448" s="85" t="str">
        <f>IFERROR(__xludf.DUMMYFUNCTION("""COMPUTED_VALUE"""),"KANTOR REGIONAL II JAKARTA 10004")</f>
        <v>KANTOR REGIONAL II JAKARTA 10004</v>
      </c>
      <c r="AN448" s="85" t="str">
        <f>IFERROR(__xludf.DUMMYFUNCTION("""COMPUTED_VALUE"""),"KC CIKARANG 17500")</f>
        <v>KC CIKARANG 17500</v>
      </c>
      <c r="AO448" s="85" t="str">
        <f>IFERROR(__xludf.DUMMYFUNCTION("""COMPUTED_VALUE"""),"2103240366783")</f>
        <v>2103240366783</v>
      </c>
      <c r="AP448" s="85" t="str">
        <f>IFERROR(__xludf.DUMMYFUNCTION("""COMPUTED_VALUE"""),"21032403667830003")</f>
        <v>21032403667830003</v>
      </c>
      <c r="AQ448" s="93"/>
      <c r="AR448" s="85"/>
      <c r="AS448" s="85"/>
      <c r="AT448" s="85" t="str">
        <f>IFERROR(__xludf.DUMMYFUNCTION("""COMPUTED_VALUE"""),"-6.241059")</f>
        <v>-6.241059</v>
      </c>
      <c r="AU448" s="85" t="str">
        <f>IFERROR(__xludf.DUMMYFUNCTION("""COMPUTED_VALUE"""),"107.057191")</f>
        <v>107.057191</v>
      </c>
      <c r="AV448" s="85"/>
      <c r="AW448" s="85"/>
      <c r="AX448" s="85" t="str">
        <f>IFERROR(__xludf.DUMMYFUNCTION("""COMPUTED_VALUE"""),"h")</f>
        <v>h</v>
      </c>
      <c r="AY448" s="85"/>
      <c r="AZ448" s="85"/>
      <c r="BA448" s="85"/>
      <c r="BB448" s="85"/>
      <c r="BC448" s="85"/>
      <c r="BD448" s="85"/>
      <c r="BE448" s="85"/>
      <c r="BF448" s="85"/>
      <c r="BG448" s="85"/>
      <c r="BH448" s="85"/>
      <c r="BI448" s="85"/>
      <c r="BJ448" s="85"/>
      <c r="BK448" s="85"/>
      <c r="BL448" s="85"/>
      <c r="BM448" s="85"/>
      <c r="BN448" s="85"/>
      <c r="BO448" s="85"/>
      <c r="BP448" s="85"/>
      <c r="BQ448" s="85"/>
      <c r="BR448" s="85"/>
      <c r="BS448" s="85"/>
      <c r="BT448" s="85"/>
      <c r="BU448" s="85"/>
      <c r="BV448" s="85"/>
      <c r="BW448" s="85"/>
      <c r="BX448" s="85" t="str">
        <f>IFERROR(__xludf.DUMMYFUNCTION("""COMPUTED_VALUE"""),"NEWBIE TOKO SRC")</f>
        <v>NEWBIE TOKO SRC</v>
      </c>
      <c r="BY448" s="85"/>
      <c r="BZ448" s="85"/>
      <c r="CA448" s="85"/>
      <c r="CB448" s="85"/>
      <c r="CC448" s="85"/>
      <c r="CD448" s="85"/>
      <c r="CE448" s="85"/>
      <c r="CF448" s="85"/>
      <c r="CG448" s="85"/>
      <c r="CH448" s="85"/>
      <c r="CI448" s="85"/>
      <c r="CJ448" s="85"/>
      <c r="CK448" s="2"/>
    </row>
    <row r="449" ht="12.75" customHeight="1">
      <c r="A449" s="80">
        <f>IFERROR(__xludf.DUMMYFUNCTION("""COMPUTED_VALUE"""),446.0)</f>
        <v>446</v>
      </c>
      <c r="B449" s="80"/>
      <c r="C449" s="80"/>
      <c r="D449" s="81">
        <f>IFERROR(__xludf.DUMMYFUNCTION("""COMPUTED_VALUE"""),45755.0)</f>
        <v>45755</v>
      </c>
      <c r="E449" s="82"/>
      <c r="F449" s="80"/>
      <c r="G449" s="81">
        <f>IFERROR(__xludf.DUMMYFUNCTION("""COMPUTED_VALUE"""),45761.0)</f>
        <v>45761</v>
      </c>
      <c r="H449" s="80"/>
      <c r="I449" s="80"/>
      <c r="J449" s="80"/>
      <c r="K449" s="80"/>
      <c r="L449" s="80">
        <f>IFERROR(__xludf.DUMMYFUNCTION("""COMPUTED_VALUE"""),6.0)</f>
        <v>6</v>
      </c>
      <c r="M449" s="80" t="str">
        <f>IFERROR(__xludf.DUMMYFUNCTION("""COMPUTED_VALUE"""),"ü")</f>
        <v>ü</v>
      </c>
      <c r="N449" s="80"/>
      <c r="O449" s="80"/>
      <c r="P449" s="80" t="str">
        <f>IFERROR(__xludf.DUMMYFUNCTION("""COMPUTED_VALUE"""),"MUCSPA63110PSIND")</f>
        <v>MUCSPA63110PSIND</v>
      </c>
      <c r="Q449" s="80" t="str">
        <f>IFERROR(__xludf.DUMMYFUNCTION("""COMPUTED_VALUE"""),"MUC TRILAS")</f>
        <v>MUC TRILAS</v>
      </c>
      <c r="R449" s="80" t="str">
        <f>IFERROR(__xludf.DUMMYFUNCTION("""COMPUTED_VALUE"""),"MUC TRILAS")</f>
        <v>MUC TRILAS</v>
      </c>
      <c r="S449" s="80" t="str">
        <f>IFERROR(__xludf.DUMMYFUNCTION("""COMPUTED_VALUE"""),"RITA")</f>
        <v>RITA</v>
      </c>
      <c r="T449" s="80" t="str">
        <f>IFERROR(__xludf.DUMMYFUNCTION("""COMPUTED_VALUE"""),"JL. CAMAR ATAS NO.35 RT.004 RW.003 KEL. BENDA BARU KEC. PAMULANG KOTA TANGERANG SELATAN")</f>
        <v>JL. CAMAR ATAS NO.35 RT.004 RW.003 KEL. BENDA BARU KEC. PAMULANG KOTA TANGERANG SELATAN</v>
      </c>
      <c r="U449" s="80" t="str">
        <f>IFERROR(__xludf.DUMMYFUNCTION("""COMPUTED_VALUE"""),"Jl. Kebagusan III No.71 - 90, RT.3/RW.5 ")</f>
        <v>Jl. Kebagusan III No.71 - 90, RT.3/RW.5 </v>
      </c>
      <c r="V449" s="80"/>
      <c r="W449" s="80" t="str">
        <f>IFERROR(__xludf.DUMMYFUNCTION("""COMPUTED_VALUE"""),"Kebagusan")</f>
        <v>Kebagusan</v>
      </c>
      <c r="X449" s="80" t="str">
        <f>IFERROR(__xludf.DUMMYFUNCTION("""COMPUTED_VALUE"""),"Pasar Minggu")</f>
        <v>Pasar Minggu</v>
      </c>
      <c r="Y449" s="80" t="str">
        <f>IFERROR(__xludf.DUMMYFUNCTION("""COMPUTED_VALUE"""),"Jakarta Selatan")</f>
        <v>Jakarta Selatan</v>
      </c>
      <c r="Z449" s="80" t="str">
        <f>IFERROR(__xludf.DUMMYFUNCTION("""COMPUTED_VALUE"""),"DKI Jakarta")</f>
        <v>DKI Jakarta</v>
      </c>
      <c r="AA449" s="80" t="str">
        <f>IFERROR(__xludf.DUMMYFUNCTION("""COMPUTED_VALUE"""),"12520")</f>
        <v>12520</v>
      </c>
      <c r="AB449" s="80" t="str">
        <f>IFERROR(__xludf.DUMMYFUNCTION("""COMPUTED_VALUE"""),"3173055502710003")</f>
        <v>3173055502710003</v>
      </c>
      <c r="AC449" s="80" t="str">
        <f>IFERROR(__xludf.DUMMYFUNCTION("""COMPUTED_VALUE"""),"12.724.153.7-453.000")</f>
        <v>12.724.153.7-453.000</v>
      </c>
      <c r="AD449" s="80" t="str">
        <f>IFERROR(__xludf.DUMMYFUNCTION("""COMPUTED_VALUE"""),"CUM - PS - MIRS")</f>
        <v>CUM - PS - MIRS</v>
      </c>
      <c r="AE449" s="80" t="str">
        <f>IFERROR(__xludf.DUMMYFUNCTION("""COMPUTED_VALUE"""),"SUB ANGGA POS")</f>
        <v>SUB ANGGA POS</v>
      </c>
      <c r="AF449" s="80" t="str">
        <f>IFERROR(__xludf.DUMMYFUNCTION("""COMPUTED_VALUE"""),"081316259145")</f>
        <v>081316259145</v>
      </c>
      <c r="AG449" s="80"/>
      <c r="AH449" s="80" t="str">
        <f>IFERROR(__xludf.DUMMYFUNCTION("""COMPUTED_VALUE"""),"trilasprimamandiri@gmail.com")</f>
        <v>trilasprimamandiri@gmail.com</v>
      </c>
      <c r="AI449" s="80" t="str">
        <f>IFERROR(__xludf.DUMMYFUNCTION("""COMPUTED_VALUE"""),"12520S2")</f>
        <v>12520S2</v>
      </c>
      <c r="AJ449" s="80" t="str">
        <f>IFERROR(__xludf.DUMMYFUNCTION("""COMPUTED_VALUE"""),"67f9dbbff25f8aae88002777")</f>
        <v>67f9dbbff25f8aae88002777</v>
      </c>
      <c r="AK449" s="80" t="str">
        <f>IFERROR(__xludf.DUMMYFUNCTION("""COMPUTED_VALUE"""),"dm12520s2")</f>
        <v>dm12520s2</v>
      </c>
      <c r="AL449" s="80" t="str">
        <f>IFERROR(__xludf.DUMMYFUNCTION("""COMPUTED_VALUE"""),"#12520Pos")</f>
        <v>#12520Pos</v>
      </c>
      <c r="AM449" s="80" t="str">
        <f>IFERROR(__xludf.DUMMYFUNCTION("""COMPUTED_VALUE"""),"KANTOR REGIONAL II JAKARTA 10004")</f>
        <v>KANTOR REGIONAL II JAKARTA 10004</v>
      </c>
      <c r="AN449" s="80" t="str">
        <f>IFERROR(__xludf.DUMMYFUNCTION("""COMPUTED_VALUE"""),"KCU JAKARTAFLORA 12000")</f>
        <v>KCU JAKARTAFLORA 12000</v>
      </c>
      <c r="AO449" s="80" t="str">
        <f>IFERROR(__xludf.DUMMYFUNCTION("""COMPUTED_VALUE"""),"2503250047141")</f>
        <v>2503250047141</v>
      </c>
      <c r="AP449" s="80" t="str">
        <f>IFERROR(__xludf.DUMMYFUNCTION("""COMPUTED_VALUE"""),"25032500471410001")</f>
        <v>25032500471410001</v>
      </c>
      <c r="AQ449" s="83"/>
      <c r="AR449" s="80"/>
      <c r="AS449" s="80"/>
      <c r="AT449" s="80" t="str">
        <f>IFERROR(__xludf.DUMMYFUNCTION("""COMPUTED_VALUE"""),"-6.310722")</f>
        <v>-6.310722</v>
      </c>
      <c r="AU449" s="80" t="str">
        <f>IFERROR(__xludf.DUMMYFUNCTION("""COMPUTED_VALUE"""),"106.830747")</f>
        <v>106.830747</v>
      </c>
      <c r="AV449" s="80"/>
      <c r="AW449" s="80"/>
      <c r="AX449" s="80" t="str">
        <f>IFERROR(__xludf.DUMMYFUNCTION("""COMPUTED_VALUE"""),"h")</f>
        <v>h</v>
      </c>
      <c r="AY449" s="80"/>
      <c r="AZ449" s="80"/>
      <c r="BA449" s="80"/>
      <c r="BB449" s="80"/>
      <c r="BC449" s="80"/>
      <c r="BD449" s="80"/>
      <c r="BE449" s="80"/>
      <c r="BF449" s="80"/>
      <c r="BG449" s="80"/>
      <c r="BH449" s="80"/>
      <c r="BI449" s="80"/>
      <c r="BJ449" s="80"/>
      <c r="BK449" s="80"/>
      <c r="BL449" s="80"/>
      <c r="BM449" s="80"/>
      <c r="BN449" s="80"/>
      <c r="BO449" s="80"/>
      <c r="BP449" s="80"/>
      <c r="BQ449" s="80"/>
      <c r="BR449" s="80"/>
      <c r="BS449" s="80"/>
      <c r="BT449" s="80"/>
      <c r="BU449" s="80"/>
      <c r="BV449" s="80"/>
      <c r="BW449" s="80"/>
      <c r="BX449" s="80" t="str">
        <f>IFERROR(__xludf.DUMMYFUNCTION("""COMPUTED_VALUE"""),"EXPEDISI PRIBADI")</f>
        <v>EXPEDISI PRIBADI</v>
      </c>
      <c r="BY449" s="80"/>
      <c r="BZ449" s="80"/>
      <c r="CA449" s="80"/>
      <c r="CB449" s="80"/>
      <c r="CC449" s="80"/>
      <c r="CD449" s="80"/>
      <c r="CE449" s="80"/>
      <c r="CF449" s="80"/>
      <c r="CG449" s="80"/>
      <c r="CH449" s="80"/>
      <c r="CI449" s="80"/>
      <c r="CJ449" s="80"/>
      <c r="CK449" s="2"/>
    </row>
    <row r="450" ht="12.75" customHeight="1">
      <c r="A450" s="85">
        <f>IFERROR(__xludf.DUMMYFUNCTION("""COMPUTED_VALUE"""),447.0)</f>
        <v>447</v>
      </c>
      <c r="B450" s="85"/>
      <c r="C450" s="85"/>
      <c r="D450" s="86">
        <f>IFERROR(__xludf.DUMMYFUNCTION("""COMPUTED_VALUE"""),45755.0)</f>
        <v>45755</v>
      </c>
      <c r="E450" s="88"/>
      <c r="F450" s="85"/>
      <c r="G450" s="86">
        <f>IFERROR(__xludf.DUMMYFUNCTION("""COMPUTED_VALUE"""),45758.0)</f>
        <v>45758</v>
      </c>
      <c r="H450" s="85"/>
      <c r="I450" s="85"/>
      <c r="J450" s="85"/>
      <c r="K450" s="85"/>
      <c r="L450" s="85">
        <f>IFERROR(__xludf.DUMMYFUNCTION("""COMPUTED_VALUE"""),3.0)</f>
        <v>3</v>
      </c>
      <c r="M450" s="85" t="str">
        <f>IFERROR(__xludf.DUMMYFUNCTION("""COMPUTED_VALUE"""),"ü")</f>
        <v>ü</v>
      </c>
      <c r="N450" s="85"/>
      <c r="O450" s="85"/>
      <c r="P450" s="85" t="str">
        <f>IFERROR(__xludf.DUMMYFUNCTION("""COMPUTED_VALUE"""),"MUCSPA63111PSIND")</f>
        <v>MUCSPA63111PSIND</v>
      </c>
      <c r="Q450" s="85" t="str">
        <f>IFERROR(__xludf.DUMMYFUNCTION("""COMPUTED_VALUE"""),"MUC SILIWANGI SLEMAN")</f>
        <v>MUC SILIWANGI SLEMAN</v>
      </c>
      <c r="R450" s="85" t="str">
        <f>IFERROR(__xludf.DUMMYFUNCTION("""COMPUTED_VALUE"""),"MUC SILIWANGI SLEMAN")</f>
        <v>MUC SILIWANGI SLEMAN</v>
      </c>
      <c r="S450" s="85" t="str">
        <f>IFERROR(__xludf.DUMMYFUNCTION("""COMPUTED_VALUE"""),"R. BAKER BERGER OMBARA SH")</f>
        <v>R. BAKER BERGER OMBARA SH</v>
      </c>
      <c r="T450" s="85" t="str">
        <f>IFERROR(__xludf.DUMMYFUNCTION("""COMPUTED_VALUE"""),"JL. KALIURANG KM.5,8 NO.26 RT.002 RW.001, CATURTUNGGAL, DEPOK, KAB.SLEMAN")</f>
        <v>JL. KALIURANG KM.5,8 NO.26 RT.002 RW.001, CATURTUNGGAL, DEPOK, KAB.SLEMAN</v>
      </c>
      <c r="U450" s="85" t="str">
        <f>IFERROR(__xludf.DUMMYFUNCTION("""COMPUTED_VALUE"""),"JL. SILIWANGI KIOS NO. 1-3 (BARAT KAMPUS UTY JOMBOR)")</f>
        <v>JL. SILIWANGI KIOS NO. 1-3 (BARAT KAMPUS UTY JOMBOR)</v>
      </c>
      <c r="V450" s="85"/>
      <c r="W450" s="85" t="str">
        <f>IFERROR(__xludf.DUMMYFUNCTION("""COMPUTED_VALUE"""),"SENDANGADI")</f>
        <v>SENDANGADI</v>
      </c>
      <c r="X450" s="85" t="str">
        <f>IFERROR(__xludf.DUMMYFUNCTION("""COMPUTED_VALUE"""),"MLATI")</f>
        <v>MLATI</v>
      </c>
      <c r="Y450" s="85" t="str">
        <f>IFERROR(__xludf.DUMMYFUNCTION("""COMPUTED_VALUE"""),"KAB. SLEMAN")</f>
        <v>KAB. SLEMAN</v>
      </c>
      <c r="Z450" s="85" t="str">
        <f>IFERROR(__xludf.DUMMYFUNCTION("""COMPUTED_VALUE"""),"DI Yogyakarta")</f>
        <v>DI Yogyakarta</v>
      </c>
      <c r="AA450" s="85" t="str">
        <f>IFERROR(__xludf.DUMMYFUNCTION("""COMPUTED_VALUE"""),"55285")</f>
        <v>55285</v>
      </c>
      <c r="AB450" s="85" t="str">
        <f>IFERROR(__xludf.DUMMYFUNCTION("""COMPUTED_VALUE"""),"3404071904880005")</f>
        <v>3404071904880005</v>
      </c>
      <c r="AC450" s="85" t="str">
        <f>IFERROR(__xludf.DUMMYFUNCTION("""COMPUTED_VALUE"""),"71.171.168.9-542.000")</f>
        <v>71.171.168.9-542.000</v>
      </c>
      <c r="AD450" s="85" t="str">
        <f>IFERROR(__xludf.DUMMYFUNCTION("""COMPUTED_VALUE"""),"CUM - PS - BTW")</f>
        <v>CUM - PS - BTW</v>
      </c>
      <c r="AE450" s="85" t="str">
        <f>IFERROR(__xludf.DUMMYFUNCTION("""COMPUTED_VALUE"""),"SUB BONU POS")</f>
        <v>SUB BONU POS</v>
      </c>
      <c r="AF450" s="85" t="str">
        <f>IFERROR(__xludf.DUMMYFUNCTION("""COMPUTED_VALUE"""),"085117345775")</f>
        <v>085117345775</v>
      </c>
      <c r="AG450" s="85"/>
      <c r="AH450" s="85" t="str">
        <f>IFERROR(__xludf.DUMMYFUNCTION("""COMPUTED_VALUE"""),"posindsiliwangisleman@gmail.com")</f>
        <v>posindsiliwangisleman@gmail.com</v>
      </c>
      <c r="AI450" s="85" t="str">
        <f>IFERROR(__xludf.DUMMYFUNCTION("""COMPUTED_VALUE"""),"55597S4")</f>
        <v>55597S4</v>
      </c>
      <c r="AJ450" s="85" t="str">
        <f>IFERROR(__xludf.DUMMYFUNCTION("""COMPUTED_VALUE"""),"67f687ed62eebb50e30ead87")</f>
        <v>67f687ed62eebb50e30ead87</v>
      </c>
      <c r="AK450" s="85" t="str">
        <f>IFERROR(__xludf.DUMMYFUNCTION("""COMPUTED_VALUE"""),"dm55597s4")</f>
        <v>dm55597s4</v>
      </c>
      <c r="AL450" s="85" t="str">
        <f>IFERROR(__xludf.DUMMYFUNCTION("""COMPUTED_VALUE"""),"#55597Pos")</f>
        <v>#55597Pos</v>
      </c>
      <c r="AM450" s="85" t="str">
        <f>IFERROR(__xludf.DUMMYFUNCTION("""COMPUTED_VALUE"""),"KANTOR REGIONAL IV SEMARANG 50004")</f>
        <v>KANTOR REGIONAL IV SEMARANG 50004</v>
      </c>
      <c r="AN450" s="85" t="str">
        <f>IFERROR(__xludf.DUMMYFUNCTION("""COMPUTED_VALUE"""),"KCU YOGYAKARTA 55000")</f>
        <v>KCU YOGYAKARTA 55000</v>
      </c>
      <c r="AO450" s="85" t="str">
        <f>IFERROR(__xludf.DUMMYFUNCTION("""COMPUTED_VALUE"""),"1503220024418")</f>
        <v>1503220024418</v>
      </c>
      <c r="AP450" s="85" t="str">
        <f>IFERROR(__xludf.DUMMYFUNCTION("""COMPUTED_VALUE"""),"15032200244180001")</f>
        <v>15032200244180001</v>
      </c>
      <c r="AQ450" s="93"/>
      <c r="AR450" s="85"/>
      <c r="AS450" s="85"/>
      <c r="AT450" s="85" t="str">
        <f>IFERROR(__xludf.DUMMYFUNCTION("""COMPUTED_VALUE"""),"-7.7469213")</f>
        <v>-7.7469213</v>
      </c>
      <c r="AU450" s="85" t="str">
        <f>IFERROR(__xludf.DUMMYFUNCTION("""COMPUTED_VALUE"""),"110.3549692")</f>
        <v>110.3549692</v>
      </c>
      <c r="AV450" s="85"/>
      <c r="AW450" s="85"/>
      <c r="AX450" s="85" t="str">
        <f>IFERROR(__xludf.DUMMYFUNCTION("""COMPUTED_VALUE"""),"h")</f>
        <v>h</v>
      </c>
      <c r="AY450" s="85"/>
      <c r="AZ450" s="85"/>
      <c r="BA450" s="85"/>
      <c r="BB450" s="85"/>
      <c r="BC450" s="85"/>
      <c r="BD450" s="85"/>
      <c r="BE450" s="85"/>
      <c r="BF450" s="85"/>
      <c r="BG450" s="85"/>
      <c r="BH450" s="85"/>
      <c r="BI450" s="85"/>
      <c r="BJ450" s="85"/>
      <c r="BK450" s="85"/>
      <c r="BL450" s="85"/>
      <c r="BM450" s="85"/>
      <c r="BN450" s="85"/>
      <c r="BO450" s="85"/>
      <c r="BP450" s="85"/>
      <c r="BQ450" s="85"/>
      <c r="BR450" s="85"/>
      <c r="BS450" s="85"/>
      <c r="BT450" s="85"/>
      <c r="BU450" s="85"/>
      <c r="BV450" s="85"/>
      <c r="BW450" s="85"/>
      <c r="BX450" s="85"/>
      <c r="BY450" s="85"/>
      <c r="BZ450" s="85"/>
      <c r="CA450" s="85" t="str">
        <f>IFERROR(__xludf.DUMMYFUNCTION("""COMPUTED_VALUE"""),"LION PARCEL")</f>
        <v>LION PARCEL</v>
      </c>
      <c r="CB450" s="85"/>
      <c r="CC450" s="85" t="str">
        <f>IFERROR(__xludf.DUMMYFUNCTION("""COMPUTED_VALUE"""),"JNT CARGO")</f>
        <v>JNT CARGO</v>
      </c>
      <c r="CD450" s="85"/>
      <c r="CE450" s="85"/>
      <c r="CF450" s="85"/>
      <c r="CG450" s="85"/>
      <c r="CH450" s="85"/>
      <c r="CI450" s="85"/>
      <c r="CJ450" s="85"/>
      <c r="CK450" s="2"/>
    </row>
    <row r="451" ht="12.75" customHeight="1">
      <c r="A451" s="80">
        <f>IFERROR(__xludf.DUMMYFUNCTION("""COMPUTED_VALUE"""),448.0)</f>
        <v>448</v>
      </c>
      <c r="B451" s="80"/>
      <c r="C451" s="80"/>
      <c r="D451" s="81">
        <f>IFERROR(__xludf.DUMMYFUNCTION("""COMPUTED_VALUE"""),45755.0)</f>
        <v>45755</v>
      </c>
      <c r="E451" s="82"/>
      <c r="F451" s="80"/>
      <c r="G451" s="81">
        <f>IFERROR(__xludf.DUMMYFUNCTION("""COMPUTED_VALUE"""),45762.0)</f>
        <v>45762</v>
      </c>
      <c r="H451" s="80"/>
      <c r="I451" s="80"/>
      <c r="J451" s="80"/>
      <c r="K451" s="80"/>
      <c r="L451" s="80">
        <f>IFERROR(__xludf.DUMMYFUNCTION("""COMPUTED_VALUE"""),7.0)</f>
        <v>7</v>
      </c>
      <c r="M451" s="80" t="str">
        <f>IFERROR(__xludf.DUMMYFUNCTION("""COMPUTED_VALUE"""),"ü")</f>
        <v>ü</v>
      </c>
      <c r="N451" s="80"/>
      <c r="O451" s="80"/>
      <c r="P451" s="80" t="str">
        <f>IFERROR(__xludf.DUMMYFUNCTION("""COMPUTED_VALUE"""),"53BSPA09440JBEEN")</f>
        <v>53BSPA09440JBEEN</v>
      </c>
      <c r="Q451" s="80" t="str">
        <f>IFERROR(__xludf.DUMMYFUNCTION("""COMPUTED_VALUE"""),"MUC MAK CI")</f>
        <v>MUC MAK CI</v>
      </c>
      <c r="R451" s="80" t="str">
        <f>IFERROR(__xludf.DUMMYFUNCTION("""COMPUTED_VALUE"""),"MUC MAK CI")</f>
        <v>MUC MAK CI</v>
      </c>
      <c r="S451" s="80" t="str">
        <f>IFERROR(__xludf.DUMMYFUNCTION("""COMPUTED_VALUE"""),"CATHRINE MERYANI WIJAYA")</f>
        <v>CATHRINE MERYANI WIJAYA</v>
      </c>
      <c r="T451" s="80" t="str">
        <f>IFERROR(__xludf.DUMMYFUNCTION("""COMPUTED_VALUE"""),"JL. BUKIT WOLIO PERMAI ET.003 RW. 001, KADOLO, KOKALUKUNA KOTA BAU BAU")</f>
        <v>JL. BUKIT WOLIO PERMAI ET.003 RW. 001, KADOLO, KOKALUKUNA KOTA BAU BAU</v>
      </c>
      <c r="U451" s="80" t="str">
        <f>IFERROR(__xludf.DUMMYFUNCTION("""COMPUTED_VALUE"""),"Jl. Utan Raya RT.005 RW.04")</f>
        <v>Jl. Utan Raya RT.005 RW.04</v>
      </c>
      <c r="V451" s="80"/>
      <c r="W451" s="80" t="str">
        <f>IFERROR(__xludf.DUMMYFUNCTION("""COMPUTED_VALUE"""),"Depok")</f>
        <v>Depok</v>
      </c>
      <c r="X451" s="80" t="str">
        <f>IFERROR(__xludf.DUMMYFUNCTION("""COMPUTED_VALUE"""),"Pancoran Mas")</f>
        <v>Pancoran Mas</v>
      </c>
      <c r="Y451" s="80" t="str">
        <f>IFERROR(__xludf.DUMMYFUNCTION("""COMPUTED_VALUE"""),"Kota Depok")</f>
        <v>Kota Depok</v>
      </c>
      <c r="Z451" s="80" t="str">
        <f>IFERROR(__xludf.DUMMYFUNCTION("""COMPUTED_VALUE"""),"Jawa Barat")</f>
        <v>Jawa Barat</v>
      </c>
      <c r="AA451" s="80" t="str">
        <f>IFERROR(__xludf.DUMMYFUNCTION("""COMPUTED_VALUE"""),"16431")</f>
        <v>16431</v>
      </c>
      <c r="AB451" s="80" t="str">
        <f>IFERROR(__xludf.DUMMYFUNCTION("""COMPUTED_VALUE"""),"7472056212870001")</f>
        <v>7472056212870001</v>
      </c>
      <c r="AC451" s="80" t="str">
        <f>IFERROR(__xludf.DUMMYFUNCTION("""COMPUTED_VALUE"""),"66.735.559.8-801.000")</f>
        <v>66.735.559.8-801.000</v>
      </c>
      <c r="AD451" s="80" t="str">
        <f>IFERROR(__xludf.DUMMYFUNCTION("""COMPUTED_VALUE"""),"CUM - EEN")</f>
        <v>CUM - EEN</v>
      </c>
      <c r="AE451" s="80" t="str">
        <f>IFERROR(__xludf.DUMMYFUNCTION("""COMPUTED_VALUE"""),"SUB EEN")</f>
        <v>SUB EEN</v>
      </c>
      <c r="AF451" s="80" t="str">
        <f>IFERROR(__xludf.DUMMYFUNCTION("""COMPUTED_VALUE"""),"089507418011")</f>
        <v>089507418011</v>
      </c>
      <c r="AG451" s="80"/>
      <c r="AH451" s="80" t="str">
        <f>IFERROR(__xludf.DUMMYFUNCTION("""COMPUTED_VALUE"""),"cathrinemeryani@gmail.com")</f>
        <v>cathrinemeryani@gmail.com</v>
      </c>
      <c r="AI451" s="80" t="str">
        <f>IFERROR(__xludf.DUMMYFUNCTION("""COMPUTED_VALUE"""),"16431S2")</f>
        <v>16431S2</v>
      </c>
      <c r="AJ451" s="80" t="str">
        <f>IFERROR(__xludf.DUMMYFUNCTION("""COMPUTED_VALUE"""),"67fddc0d39654e50a80aa0a7")</f>
        <v>67fddc0d39654e50a80aa0a7</v>
      </c>
      <c r="AK451" s="80" t="str">
        <f>IFERROR(__xludf.DUMMYFUNCTION("""COMPUTED_VALUE"""),"dm16431s2")</f>
        <v>dm16431s2</v>
      </c>
      <c r="AL451" s="80" t="str">
        <f>IFERROR(__xludf.DUMMYFUNCTION("""COMPUTED_VALUE"""),"#16431Pos")</f>
        <v>#16431Pos</v>
      </c>
      <c r="AM451" s="80" t="str">
        <f>IFERROR(__xludf.DUMMYFUNCTION("""COMPUTED_VALUE"""),"KANTOR REGIONAL II JAKARTA 10004")</f>
        <v>KANTOR REGIONAL II JAKARTA 10004</v>
      </c>
      <c r="AN451" s="80" t="str">
        <f>IFERROR(__xludf.DUMMYFUNCTION("""COMPUTED_VALUE"""),"KC DEPOK 16400")</f>
        <v>KC DEPOK 16400</v>
      </c>
      <c r="AO451" s="80" t="str">
        <f>IFERROR(__xludf.DUMMYFUNCTION("""COMPUTED_VALUE"""),"0206230044964")</f>
        <v>0206230044964</v>
      </c>
      <c r="AP451" s="80" t="str">
        <f>IFERROR(__xludf.DUMMYFUNCTION("""COMPUTED_VALUE"""),"02062300449640002")</f>
        <v>02062300449640002</v>
      </c>
      <c r="AQ451" s="83"/>
      <c r="AR451" s="80"/>
      <c r="AS451" s="80"/>
      <c r="AT451" s="80" t="str">
        <f>IFERROR(__xludf.DUMMYFUNCTION("""COMPUTED_VALUE"""),"-6.448445 ")</f>
        <v>-6.448445 </v>
      </c>
      <c r="AU451" s="80" t="str">
        <f>IFERROR(__xludf.DUMMYFUNCTION("""COMPUTED_VALUE"""),"106.803950")</f>
        <v>106.803950</v>
      </c>
      <c r="AV451" s="80"/>
      <c r="AW451" s="80"/>
      <c r="AX451" s="80" t="str">
        <f>IFERROR(__xludf.DUMMYFUNCTION("""COMPUTED_VALUE"""),"h")</f>
        <v>h</v>
      </c>
      <c r="AY451" s="80"/>
      <c r="AZ451" s="80"/>
      <c r="BA451" s="80"/>
      <c r="BB451" s="80"/>
      <c r="BC451" s="80"/>
      <c r="BD451" s="80"/>
      <c r="BE451" s="80"/>
      <c r="BF451" s="80"/>
      <c r="BG451" s="80"/>
      <c r="BH451" s="80"/>
      <c r="BI451" s="80"/>
      <c r="BJ451" s="80"/>
      <c r="BK451" s="80"/>
      <c r="BL451" s="80"/>
      <c r="BM451" s="80"/>
      <c r="BN451" s="80"/>
      <c r="BO451" s="80"/>
      <c r="BP451" s="80"/>
      <c r="BQ451" s="80"/>
      <c r="BR451" s="80"/>
      <c r="BS451" s="80"/>
      <c r="BT451" s="80"/>
      <c r="BU451" s="80"/>
      <c r="BV451" s="80"/>
      <c r="BW451" s="80"/>
      <c r="BX451" s="80" t="str">
        <f>IFERROR(__xludf.DUMMYFUNCTION("""COMPUTED_VALUE"""),"NEWBIE, LAUNDRY DAN BRILINK")</f>
        <v>NEWBIE, LAUNDRY DAN BRILINK</v>
      </c>
      <c r="BY451" s="80"/>
      <c r="BZ451" s="80"/>
      <c r="CA451" s="80"/>
      <c r="CB451" s="80"/>
      <c r="CC451" s="80"/>
      <c r="CD451" s="80"/>
      <c r="CE451" s="80"/>
      <c r="CF451" s="80"/>
      <c r="CG451" s="80"/>
      <c r="CH451" s="80"/>
      <c r="CI451" s="80"/>
      <c r="CJ451" s="80"/>
      <c r="CK451" s="2"/>
    </row>
    <row r="452" ht="12.75" customHeight="1">
      <c r="A452" s="85">
        <f>IFERROR(__xludf.DUMMYFUNCTION("""COMPUTED_VALUE"""),449.0)</f>
        <v>449</v>
      </c>
      <c r="B452" s="85"/>
      <c r="C452" s="85"/>
      <c r="D452" s="86">
        <f>IFERROR(__xludf.DUMMYFUNCTION("""COMPUTED_VALUE"""),45756.0)</f>
        <v>45756</v>
      </c>
      <c r="E452" s="88"/>
      <c r="F452" s="85"/>
      <c r="G452" s="86">
        <f>IFERROR(__xludf.DUMMYFUNCTION("""COMPUTED_VALUE"""),45761.0)</f>
        <v>45761</v>
      </c>
      <c r="H452" s="85"/>
      <c r="I452" s="85"/>
      <c r="J452" s="85"/>
      <c r="K452" s="85"/>
      <c r="L452" s="85">
        <f>IFERROR(__xludf.DUMMYFUNCTION("""COMPUTED_VALUE"""),5.0)</f>
        <v>5</v>
      </c>
      <c r="M452" s="85" t="str">
        <f>IFERROR(__xludf.DUMMYFUNCTION("""COMPUTED_VALUE"""),"ü")</f>
        <v>ü</v>
      </c>
      <c r="N452" s="85"/>
      <c r="O452" s="85"/>
      <c r="P452" s="85" t="str">
        <f>IFERROR(__xludf.DUMMYFUNCTION("""COMPUTED_VALUE"""),"MUCSPA63112PSIND")</f>
        <v>MUCSPA63112PSIND</v>
      </c>
      <c r="Q452" s="85" t="str">
        <f>IFERROR(__xludf.DUMMYFUNCTION("""COMPUTED_VALUE"""),"MUC D-POST")</f>
        <v>MUC D-POST</v>
      </c>
      <c r="R452" s="85" t="str">
        <f>IFERROR(__xludf.DUMMYFUNCTION("""COMPUTED_VALUE"""),"MUC D-POST")</f>
        <v>MUC D-POST</v>
      </c>
      <c r="S452" s="85" t="str">
        <f>IFERROR(__xludf.DUMMYFUNCTION("""COMPUTED_VALUE"""),"DEDE WAHYUDI")</f>
        <v>DEDE WAHYUDI</v>
      </c>
      <c r="T452" s="85" t="str">
        <f>IFERROR(__xludf.DUMMYFUNCTION("""COMPUTED_VALUE"""),"JL. KRAMAT LONTAR VIII RT.005 RW.001, PASEBAN, SENEN, JAKARTA PUSAT")</f>
        <v>JL. KRAMAT LONTAR VIII RT.005 RW.001, PASEBAN, SENEN, JAKARTA PUSAT</v>
      </c>
      <c r="U452" s="85" t="str">
        <f>IFERROR(__xludf.DUMMYFUNCTION("""COMPUTED_VALUE"""),"RUMAH BATU RAWA BUNGA JL.BEKASI BARAT 1 NO.14")</f>
        <v>RUMAH BATU RAWA BUNGA JL.BEKASI BARAT 1 NO.14</v>
      </c>
      <c r="V452" s="85"/>
      <c r="W452" s="85" t="str">
        <f>IFERROR(__xludf.DUMMYFUNCTION("""COMPUTED_VALUE"""),"Rawa Bunga")</f>
        <v>Rawa Bunga</v>
      </c>
      <c r="X452" s="85" t="str">
        <f>IFERROR(__xludf.DUMMYFUNCTION("""COMPUTED_VALUE"""),"Jatinegara")</f>
        <v>Jatinegara</v>
      </c>
      <c r="Y452" s="85" t="str">
        <f>IFERROR(__xludf.DUMMYFUNCTION("""COMPUTED_VALUE"""),"Jakarta Timur")</f>
        <v>Jakarta Timur</v>
      </c>
      <c r="Z452" s="85" t="str">
        <f>IFERROR(__xludf.DUMMYFUNCTION("""COMPUTED_VALUE"""),"DKI Jakarta")</f>
        <v>DKI Jakarta</v>
      </c>
      <c r="AA452" s="85" t="str">
        <f>IFERROR(__xludf.DUMMYFUNCTION("""COMPUTED_VALUE"""),"13350")</f>
        <v>13350</v>
      </c>
      <c r="AB452" s="85" t="str">
        <f>IFERROR(__xludf.DUMMYFUNCTION("""COMPUTED_VALUE"""),"3174091503800007")</f>
        <v>3174091503800007</v>
      </c>
      <c r="AC452" s="85" t="str">
        <f>IFERROR(__xludf.DUMMYFUNCTION("""COMPUTED_VALUE"""),"73.968.082.5-017.000")</f>
        <v>73.968.082.5-017.000</v>
      </c>
      <c r="AD452" s="85" t="str">
        <f>IFERROR(__xludf.DUMMYFUNCTION("""COMPUTED_VALUE"""),"CUM - PS - ARKT")</f>
        <v>CUM - PS - ARKT</v>
      </c>
      <c r="AE452" s="85" t="str">
        <f>IFERROR(__xludf.DUMMYFUNCTION("""COMPUTED_VALUE"""),"SUB ARIS POS")</f>
        <v>SUB ARIS POS</v>
      </c>
      <c r="AF452" s="85" t="str">
        <f>IFERROR(__xludf.DUMMYFUNCTION("""COMPUTED_VALUE"""),"08811740532")</f>
        <v>08811740532</v>
      </c>
      <c r="AG452" s="85"/>
      <c r="AH452" s="85" t="str">
        <f>IFERROR(__xludf.DUMMYFUNCTION("""COMPUTED_VALUE"""),"pheri1800@gmail.com")</f>
        <v>pheri1800@gmail.com</v>
      </c>
      <c r="AI452" s="85" t="str">
        <f>IFERROR(__xludf.DUMMYFUNCTION("""COMPUTED_VALUE"""),"13350S1")</f>
        <v>13350S1</v>
      </c>
      <c r="AJ452" s="85" t="str">
        <f>IFERROR(__xludf.DUMMYFUNCTION("""COMPUTED_VALUE"""),"67fb2a695070e9ae180bdc22")</f>
        <v>67fb2a695070e9ae180bdc22</v>
      </c>
      <c r="AK452" s="85" t="str">
        <f>IFERROR(__xludf.DUMMYFUNCTION("""COMPUTED_VALUE"""),"dm13350s1")</f>
        <v>dm13350s1</v>
      </c>
      <c r="AL452" s="85" t="str">
        <f>IFERROR(__xludf.DUMMYFUNCTION("""COMPUTED_VALUE"""),"#13350Pos")</f>
        <v>#13350Pos</v>
      </c>
      <c r="AM452" s="85" t="str">
        <f>IFERROR(__xludf.DUMMYFUNCTION("""COMPUTED_VALUE"""),"KANTOR REGIONAL II JAKARTA 10004")</f>
        <v>KANTOR REGIONAL II JAKARTA 10004</v>
      </c>
      <c r="AN452" s="85" t="str">
        <f>IFERROR(__xludf.DUMMYFUNCTION("""COMPUTED_VALUE"""),"KCU JAKARTAPREMIER 13000")</f>
        <v>KCU JAKARTAPREMIER 13000</v>
      </c>
      <c r="AO452" s="85" t="str">
        <f>IFERROR(__xludf.DUMMYFUNCTION("""COMPUTED_VALUE"""),"0304250006138")</f>
        <v>0304250006138</v>
      </c>
      <c r="AP452" s="85" t="str">
        <f>IFERROR(__xludf.DUMMYFUNCTION("""COMPUTED_VALUE"""),"03042500061380001 ")</f>
        <v>03042500061380001 </v>
      </c>
      <c r="AQ452" s="93"/>
      <c r="AR452" s="85"/>
      <c r="AS452" s="85"/>
      <c r="AT452" s="85" t="str">
        <f>IFERROR(__xludf.DUMMYFUNCTION("""COMPUTED_VALUE"""),"-6.217829 ")</f>
        <v>-6.217829 </v>
      </c>
      <c r="AU452" s="85" t="str">
        <f>IFERROR(__xludf.DUMMYFUNCTION("""COMPUTED_VALUE"""),"106.870213")</f>
        <v>106.870213</v>
      </c>
      <c r="AV452" s="85"/>
      <c r="AW452" s="85"/>
      <c r="AX452" s="85" t="str">
        <f>IFERROR(__xludf.DUMMYFUNCTION("""COMPUTED_VALUE"""),"h")</f>
        <v>h</v>
      </c>
      <c r="AY452" s="85"/>
      <c r="AZ452" s="85"/>
      <c r="BA452" s="85"/>
      <c r="BB452" s="85"/>
      <c r="BC452" s="85"/>
      <c r="BD452" s="85"/>
      <c r="BE452" s="85"/>
      <c r="BF452" s="85"/>
      <c r="BG452" s="85"/>
      <c r="BH452" s="85"/>
      <c r="BI452" s="85"/>
      <c r="BJ452" s="85"/>
      <c r="BK452" s="85"/>
      <c r="BL452" s="85"/>
      <c r="BM452" s="85"/>
      <c r="BN452" s="85"/>
      <c r="BO452" s="85"/>
      <c r="BP452" s="85"/>
      <c r="BQ452" s="85"/>
      <c r="BR452" s="85"/>
      <c r="BS452" s="85"/>
      <c r="BT452" s="85"/>
      <c r="BU452" s="85"/>
      <c r="BV452" s="85"/>
      <c r="BW452" s="85"/>
      <c r="BX452" s="85"/>
      <c r="BY452" s="85" t="str">
        <f>IFERROR(__xludf.DUMMYFUNCTION("""COMPUTED_VALUE"""),"POS ORANGER")</f>
        <v>POS ORANGER</v>
      </c>
      <c r="BZ452" s="85"/>
      <c r="CA452" s="85"/>
      <c r="CB452" s="85"/>
      <c r="CC452" s="85"/>
      <c r="CD452" s="85"/>
      <c r="CE452" s="85"/>
      <c r="CF452" s="85"/>
      <c r="CG452" s="85"/>
      <c r="CH452" s="85"/>
      <c r="CI452" s="85"/>
      <c r="CJ452" s="85"/>
      <c r="CK452" s="2"/>
    </row>
    <row r="453" ht="12.75" customHeight="1">
      <c r="A453" s="80">
        <f>IFERROR(__xludf.DUMMYFUNCTION("""COMPUTED_VALUE"""),450.0)</f>
        <v>450</v>
      </c>
      <c r="B453" s="80"/>
      <c r="C453" s="80"/>
      <c r="D453" s="81">
        <f>IFERROR(__xludf.DUMMYFUNCTION("""COMPUTED_VALUE"""),45756.0)</f>
        <v>45756</v>
      </c>
      <c r="E453" s="82"/>
      <c r="F453" s="80"/>
      <c r="G453" s="81">
        <f>IFERROR(__xludf.DUMMYFUNCTION("""COMPUTED_VALUE"""),45762.0)</f>
        <v>45762</v>
      </c>
      <c r="H453" s="80"/>
      <c r="I453" s="80"/>
      <c r="J453" s="80"/>
      <c r="K453" s="80"/>
      <c r="L453" s="80">
        <f>IFERROR(__xludf.DUMMYFUNCTION("""COMPUTED_VALUE"""),6.0)</f>
        <v>6</v>
      </c>
      <c r="M453" s="80" t="str">
        <f>IFERROR(__xludf.DUMMYFUNCTION("""COMPUTED_VALUE"""),"ü")</f>
        <v>ü</v>
      </c>
      <c r="N453" s="80"/>
      <c r="O453" s="80"/>
      <c r="P453" s="80" t="str">
        <f>IFERROR(__xludf.DUMMYFUNCTION("""COMPUTED_VALUE"""),"MUCSPA63113PSIND")</f>
        <v>MUCSPA63113PSIND</v>
      </c>
      <c r="Q453" s="80" t="str">
        <f>IFERROR(__xludf.DUMMYFUNCTION("""COMPUTED_VALUE"""),"MUC RADEN SALEH 45")</f>
        <v>MUC RADEN SALEH 45</v>
      </c>
      <c r="R453" s="80" t="str">
        <f>IFERROR(__xludf.DUMMYFUNCTION("""COMPUTED_VALUE"""),"MUC RADEN SALEH 45")</f>
        <v>MUC RADEN SALEH 45</v>
      </c>
      <c r="S453" s="80" t="str">
        <f>IFERROR(__xludf.DUMMYFUNCTION("""COMPUTED_VALUE"""),"RIAN ARIANDI")</f>
        <v>RIAN ARIANDI</v>
      </c>
      <c r="T453" s="80" t="str">
        <f>IFERROR(__xludf.DUMMYFUNCTION("""COMPUTED_VALUE"""),"JL. STUDIO ALAM TVRI RT.002 RW.008 SUKMAJAYA, SUKMAJAYA, KOTA DEPOK")</f>
        <v>JL. STUDIO ALAM TVRI RT.002 RW.008 SUKMAJAYA, SUKMAJAYA, KOTA DEPOK</v>
      </c>
      <c r="U453" s="80" t="str">
        <f>IFERROR(__xludf.DUMMYFUNCTION("""COMPUTED_VALUE"""),"JL. Raden Saleh No. 45, Samping Gerbang SMA 3 Negeri Depok")</f>
        <v>JL. Raden Saleh No. 45, Samping Gerbang SMA 3 Negeri Depok</v>
      </c>
      <c r="V453" s="80"/>
      <c r="W453" s="80" t="str">
        <f>IFERROR(__xludf.DUMMYFUNCTION("""COMPUTED_VALUE"""),"Sukmajaya")</f>
        <v>Sukmajaya</v>
      </c>
      <c r="X453" s="80" t="str">
        <f>IFERROR(__xludf.DUMMYFUNCTION("""COMPUTED_VALUE"""),"Sukmajaya")</f>
        <v>Sukmajaya</v>
      </c>
      <c r="Y453" s="80" t="str">
        <f>IFERROR(__xludf.DUMMYFUNCTION("""COMPUTED_VALUE"""),"Kota Depok")</f>
        <v>Kota Depok</v>
      </c>
      <c r="Z453" s="80" t="str">
        <f>IFERROR(__xludf.DUMMYFUNCTION("""COMPUTED_VALUE"""),"Jawa Barat")</f>
        <v>Jawa Barat</v>
      </c>
      <c r="AA453" s="80" t="str">
        <f>IFERROR(__xludf.DUMMYFUNCTION("""COMPUTED_VALUE"""),"16412")</f>
        <v>16412</v>
      </c>
      <c r="AB453" s="80" t="str">
        <f>IFERROR(__xludf.DUMMYFUNCTION("""COMPUTED_VALUE"""),"3276050101900010")</f>
        <v>3276050101900010</v>
      </c>
      <c r="AC453" s="80" t="str">
        <f>IFERROR(__xludf.DUMMYFUNCTION("""COMPUTED_VALUE"""),"46.162.588.1-412.000")</f>
        <v>46.162.588.1-412.000</v>
      </c>
      <c r="AD453" s="80" t="str">
        <f>IFERROR(__xludf.DUMMYFUNCTION("""COMPUTED_VALUE"""),"CUM - PS - HPR")</f>
        <v>CUM - PS - HPR</v>
      </c>
      <c r="AE453" s="80" t="str">
        <f>IFERROR(__xludf.DUMMYFUNCTION("""COMPUTED_VALUE"""),"SUB HADI POS")</f>
        <v>SUB HADI POS</v>
      </c>
      <c r="AF453" s="80" t="str">
        <f>IFERROR(__xludf.DUMMYFUNCTION("""COMPUTED_VALUE"""),"08561776600")</f>
        <v>08561776600</v>
      </c>
      <c r="AG453" s="80"/>
      <c r="AH453" s="80" t="str">
        <f>IFERROR(__xludf.DUMMYFUNCTION("""COMPUTED_VALUE"""),"ranzcelldepok@gmail.com")</f>
        <v>ranzcelldepok@gmail.com</v>
      </c>
      <c r="AI453" s="80" t="str">
        <f>IFERROR(__xludf.DUMMYFUNCTION("""COMPUTED_VALUE"""),"16412SB")</f>
        <v>16412SB</v>
      </c>
      <c r="AJ453" s="80" t="str">
        <f>IFERROR(__xludf.DUMMYFUNCTION("""COMPUTED_VALUE"""),"67fde1d7f0354de03d069f9d")</f>
        <v>67fde1d7f0354de03d069f9d</v>
      </c>
      <c r="AK453" s="80" t="str">
        <f>IFERROR(__xludf.DUMMYFUNCTION("""COMPUTED_VALUE"""),"dm16412sb")</f>
        <v>dm16412sb</v>
      </c>
      <c r="AL453" s="80" t="str">
        <f>IFERROR(__xludf.DUMMYFUNCTION("""COMPUTED_VALUE"""),"#16412Pos")</f>
        <v>#16412Pos</v>
      </c>
      <c r="AM453" s="80" t="str">
        <f>IFERROR(__xludf.DUMMYFUNCTION("""COMPUTED_VALUE"""),"KANTOR REGIONAL II JAKARTA 10004")</f>
        <v>KANTOR REGIONAL II JAKARTA 10004</v>
      </c>
      <c r="AN453" s="80" t="str">
        <f>IFERROR(__xludf.DUMMYFUNCTION("""COMPUTED_VALUE"""),"KC DEPOK 16400")</f>
        <v>KC DEPOK 16400</v>
      </c>
      <c r="AO453" s="80" t="str">
        <f>IFERROR(__xludf.DUMMYFUNCTION("""COMPUTED_VALUE"""),"0108240071527")</f>
        <v>0108240071527</v>
      </c>
      <c r="AP453" s="80" t="str">
        <f>IFERROR(__xludf.DUMMYFUNCTION("""COMPUTED_VALUE"""),"01082400715270001")</f>
        <v>01082400715270001</v>
      </c>
      <c r="AQ453" s="83"/>
      <c r="AR453" s="80"/>
      <c r="AS453" s="80"/>
      <c r="AT453" s="80" t="str">
        <f>IFERROR(__xludf.DUMMYFUNCTION("""COMPUTED_VALUE"""),"-6.407398")</f>
        <v>-6.407398</v>
      </c>
      <c r="AU453" s="80" t="str">
        <f>IFERROR(__xludf.DUMMYFUNCTION("""COMPUTED_VALUE"""),"106.840891")</f>
        <v>106.840891</v>
      </c>
      <c r="AV453" s="80"/>
      <c r="AW453" s="80"/>
      <c r="AX453" s="80" t="str">
        <f>IFERROR(__xludf.DUMMYFUNCTION("""COMPUTED_VALUE"""),"h")</f>
        <v>h</v>
      </c>
      <c r="AY453" s="80"/>
      <c r="AZ453" s="80"/>
      <c r="BA453" s="80"/>
      <c r="BB453" s="80"/>
      <c r="BC453" s="80"/>
      <c r="BD453" s="80"/>
      <c r="BE453" s="80"/>
      <c r="BF453" s="80"/>
      <c r="BG453" s="80"/>
      <c r="BH453" s="80"/>
      <c r="BI453" s="80"/>
      <c r="BJ453" s="80"/>
      <c r="BK453" s="80"/>
      <c r="BL453" s="80"/>
      <c r="BM453" s="80"/>
      <c r="BN453" s="80"/>
      <c r="BO453" s="80"/>
      <c r="BP453" s="80"/>
      <c r="BQ453" s="80"/>
      <c r="BR453" s="80"/>
      <c r="BS453" s="80"/>
      <c r="BT453" s="80"/>
      <c r="BU453" s="80"/>
      <c r="BV453" s="80"/>
      <c r="BW453" s="80"/>
      <c r="BX453" s="80"/>
      <c r="BY453" s="80"/>
      <c r="BZ453" s="80" t="str">
        <f>IFERROR(__xludf.DUMMYFUNCTION("""COMPUTED_VALUE"""),"SPX")</f>
        <v>SPX</v>
      </c>
      <c r="CA453" s="80"/>
      <c r="CB453" s="80" t="str">
        <f>IFERROR(__xludf.DUMMYFUNCTION("""COMPUTED_VALUE"""),"WAHANA")</f>
        <v>WAHANA</v>
      </c>
      <c r="CC453" s="80" t="str">
        <f>IFERROR(__xludf.DUMMYFUNCTION("""COMPUTED_VALUE"""),"JNT CARGO")</f>
        <v>JNT CARGO</v>
      </c>
      <c r="CD453" s="80"/>
      <c r="CE453" s="80"/>
      <c r="CF453" s="80"/>
      <c r="CG453" s="80"/>
      <c r="CH453" s="80"/>
      <c r="CI453" s="80" t="str">
        <f>IFERROR(__xludf.DUMMYFUNCTION("""COMPUTED_VALUE"""),"ID EXPRESS")</f>
        <v>ID EXPRESS</v>
      </c>
      <c r="CJ453" s="80" t="str">
        <f>IFERROR(__xludf.DUMMYFUNCTION("""COMPUTED_VALUE"""),"ANTERAJA")</f>
        <v>ANTERAJA</v>
      </c>
      <c r="CK453" s="2"/>
    </row>
    <row r="454" ht="12.75" customHeight="1">
      <c r="A454" s="85">
        <f>IFERROR(__xludf.DUMMYFUNCTION("""COMPUTED_VALUE"""),451.0)</f>
        <v>451</v>
      </c>
      <c r="B454" s="85"/>
      <c r="C454" s="85"/>
      <c r="D454" s="86">
        <f>IFERROR(__xludf.DUMMYFUNCTION("""COMPUTED_VALUE"""),45761.0)</f>
        <v>45761</v>
      </c>
      <c r="E454" s="88"/>
      <c r="F454" s="85"/>
      <c r="G454" s="86">
        <f>IFERROR(__xludf.DUMMYFUNCTION("""COMPUTED_VALUE"""),45771.0)</f>
        <v>45771</v>
      </c>
      <c r="H454" s="85"/>
      <c r="I454" s="85"/>
      <c r="J454" s="85"/>
      <c r="K454" s="85"/>
      <c r="L454" s="85">
        <f>IFERROR(__xludf.DUMMYFUNCTION("""COMPUTED_VALUE"""),10.0)</f>
        <v>10</v>
      </c>
      <c r="M454" s="85" t="str">
        <f>IFERROR(__xludf.DUMMYFUNCTION("""COMPUTED_VALUE"""),"ü")</f>
        <v>ü</v>
      </c>
      <c r="N454" s="85"/>
      <c r="O454" s="85"/>
      <c r="P454" s="85" t="str">
        <f>IFERROR(__xludf.DUMMYFUNCTION("""COMPUTED_VALUE"""),"53BSPA09472JBEEN")</f>
        <v>53BSPA09472JBEEN</v>
      </c>
      <c r="Q454" s="85" t="str">
        <f>IFERROR(__xludf.DUMMYFUNCTION("""COMPUTED_VALUE"""),"MUC PAMSER EKSPEDISI")</f>
        <v>MUC PAMSER EKSPEDISI</v>
      </c>
      <c r="R454" s="85" t="str">
        <f>IFERROR(__xludf.DUMMYFUNCTION("""COMPUTED_VALUE"""),"MUC PAMSER EKSPEDISI")</f>
        <v>MUC PAMSER EKSPEDISI</v>
      </c>
      <c r="S454" s="85" t="str">
        <f>IFERROR(__xludf.DUMMYFUNCTION("""COMPUTED_VALUE"""),"SAPAR")</f>
        <v>SAPAR</v>
      </c>
      <c r="T454" s="85" t="str">
        <f>IFERROR(__xludf.DUMMYFUNCTION("""COMPUTED_VALUE"""),"PERMATA MANSION CLUSTER EMERALD BLOK EA-2 NO. 12B RT.001 RW.010 KEL. SERUA KEC. BOJONGSARI KOTA DEPOK")</f>
        <v>PERMATA MANSION CLUSTER EMERALD BLOK EA-2 NO. 12B RT.001 RW.010 KEL. SERUA KEC. BOJONGSARI KOTA DEPOK</v>
      </c>
      <c r="U454" s="85" t="str">
        <f>IFERROR(__xludf.DUMMYFUNCTION("""COMPUTED_VALUE"""),"Jl. H Nawi Malik RT. 06/02")</f>
        <v>Jl. H Nawi Malik RT. 06/02</v>
      </c>
      <c r="V454" s="85"/>
      <c r="W454" s="85" t="str">
        <f>IFERROR(__xludf.DUMMYFUNCTION("""COMPUTED_VALUE"""),"Serua")</f>
        <v>Serua</v>
      </c>
      <c r="X454" s="85" t="str">
        <f>IFERROR(__xludf.DUMMYFUNCTION("""COMPUTED_VALUE"""),"Bojongsari")</f>
        <v>Bojongsari</v>
      </c>
      <c r="Y454" s="85" t="str">
        <f>IFERROR(__xludf.DUMMYFUNCTION("""COMPUTED_VALUE"""),"Kota Depok")</f>
        <v>Kota Depok</v>
      </c>
      <c r="Z454" s="85" t="str">
        <f>IFERROR(__xludf.DUMMYFUNCTION("""COMPUTED_VALUE"""),"Jawa Barat")</f>
        <v>Jawa Barat</v>
      </c>
      <c r="AA454" s="85" t="str">
        <f>IFERROR(__xludf.DUMMYFUNCTION("""COMPUTED_VALUE"""),"16517")</f>
        <v>16517</v>
      </c>
      <c r="AB454" s="85" t="str">
        <f>IFERROR(__xludf.DUMMYFUNCTION("""COMPUTED_VALUE"""),"3174051501780004")</f>
        <v>3174051501780004</v>
      </c>
      <c r="AC454" s="85" t="str">
        <f>IFERROR(__xludf.DUMMYFUNCTION("""COMPUTED_VALUE"""),"47.541.710.1-013.000")</f>
        <v>47.541.710.1-013.000</v>
      </c>
      <c r="AD454" s="85" t="str">
        <f>IFERROR(__xludf.DUMMYFUNCTION("""COMPUTED_VALUE"""),"CUM - EEN")</f>
        <v>CUM - EEN</v>
      </c>
      <c r="AE454" s="85" t="str">
        <f>IFERROR(__xludf.DUMMYFUNCTION("""COMPUTED_VALUE"""),"SUB EEN")</f>
        <v>SUB EEN</v>
      </c>
      <c r="AF454" s="85" t="str">
        <f>IFERROR(__xludf.DUMMYFUNCTION("""COMPUTED_VALUE"""),"085282357324")</f>
        <v>085282357324</v>
      </c>
      <c r="AG454" s="85"/>
      <c r="AH454" s="85" t="str">
        <f>IFERROR(__xludf.DUMMYFUNCTION("""COMPUTED_VALUE"""),"novaria.19@gmail.com")</f>
        <v>novaria.19@gmail.com</v>
      </c>
      <c r="AI454" s="85" t="str">
        <f>IFERROR(__xludf.DUMMYFUNCTION("""COMPUTED_VALUE"""),"16523S3")</f>
        <v>16523S3</v>
      </c>
      <c r="AJ454" s="85" t="str">
        <f>IFERROR(__xludf.DUMMYFUNCTION("""COMPUTED_VALUE"""),"6808a9f3c7cfd08fa2052d29")</f>
        <v>6808a9f3c7cfd08fa2052d29</v>
      </c>
      <c r="AK454" s="85" t="str">
        <f>IFERROR(__xludf.DUMMYFUNCTION("""COMPUTED_VALUE"""),"dm16523s3")</f>
        <v>dm16523s3</v>
      </c>
      <c r="AL454" s="85" t="str">
        <f>IFERROR(__xludf.DUMMYFUNCTION("""COMPUTED_VALUE"""),"#16523Pos")</f>
        <v>#16523Pos</v>
      </c>
      <c r="AM454" s="85" t="str">
        <f>IFERROR(__xludf.DUMMYFUNCTION("""COMPUTED_VALUE"""),"KANTOR REGIONAL II JAKARTA 10004")</f>
        <v>KANTOR REGIONAL II JAKARTA 10004</v>
      </c>
      <c r="AN454" s="85" t="str">
        <f>IFERROR(__xludf.DUMMYFUNCTION("""COMPUTED_VALUE"""),"KC DEPOK 16400")</f>
        <v>KC DEPOK 16400</v>
      </c>
      <c r="AO454" s="85" t="str">
        <f>IFERROR(__xludf.DUMMYFUNCTION("""COMPUTED_VALUE"""),"1404250025617")</f>
        <v>1404250025617</v>
      </c>
      <c r="AP454" s="85" t="str">
        <f>IFERROR(__xludf.DUMMYFUNCTION("""COMPUTED_VALUE"""),"14042500256170001")</f>
        <v>14042500256170001</v>
      </c>
      <c r="AQ454" s="93"/>
      <c r="AR454" s="85"/>
      <c r="AS454" s="85"/>
      <c r="AT454" s="85" t="str">
        <f>IFERROR(__xludf.DUMMYFUNCTION("""COMPUTED_VALUE"""),"-6.365030")</f>
        <v>-6.365030</v>
      </c>
      <c r="AU454" s="85" t="str">
        <f>IFERROR(__xludf.DUMMYFUNCTION("""COMPUTED_VALUE"""),"106.732103")</f>
        <v>106.732103</v>
      </c>
      <c r="AV454" s="85"/>
      <c r="AW454" s="85"/>
      <c r="AX454" s="85" t="str">
        <f>IFERROR(__xludf.DUMMYFUNCTION("""COMPUTED_VALUE"""),"h")</f>
        <v>h</v>
      </c>
      <c r="AY454" s="85"/>
      <c r="AZ454" s="85"/>
      <c r="BA454" s="85"/>
      <c r="BB454" s="85"/>
      <c r="BC454" s="85"/>
      <c r="BD454" s="85"/>
      <c r="BE454" s="85"/>
      <c r="BF454" s="85"/>
      <c r="BG454" s="85"/>
      <c r="BH454" s="85"/>
      <c r="BI454" s="85"/>
      <c r="BJ454" s="85"/>
      <c r="BK454" s="85"/>
      <c r="BL454" s="85"/>
      <c r="BM454" s="85"/>
      <c r="BN454" s="85"/>
      <c r="BO454" s="85"/>
      <c r="BP454" s="85"/>
      <c r="BQ454" s="85"/>
      <c r="BR454" s="85"/>
      <c r="BS454" s="85"/>
      <c r="BT454" s="85"/>
      <c r="BU454" s="85"/>
      <c r="BV454" s="85"/>
      <c r="BW454" s="85"/>
      <c r="BX454" s="85"/>
      <c r="BY454" s="85"/>
      <c r="BZ454" s="85" t="str">
        <f>IFERROR(__xludf.DUMMYFUNCTION("""COMPUTED_VALUE"""),"SPX")</f>
        <v>SPX</v>
      </c>
      <c r="CA454" s="85" t="str">
        <f>IFERROR(__xludf.DUMMYFUNCTION("""COMPUTED_VALUE"""),"LION PARCEL")</f>
        <v>LION PARCEL</v>
      </c>
      <c r="CB454" s="85" t="str">
        <f>IFERROR(__xludf.DUMMYFUNCTION("""COMPUTED_VALUE"""),"WAHANA")</f>
        <v>WAHANA</v>
      </c>
      <c r="CC454" s="85"/>
      <c r="CD454" s="85"/>
      <c r="CE454" s="85"/>
      <c r="CF454" s="85"/>
      <c r="CG454" s="85"/>
      <c r="CH454" s="85"/>
      <c r="CI454" s="85"/>
      <c r="CJ454" s="85"/>
      <c r="CK454" s="2"/>
    </row>
    <row r="455" ht="12.75" customHeight="1">
      <c r="A455" s="80">
        <f>IFERROR(__xludf.DUMMYFUNCTION("""COMPUTED_VALUE"""),452.0)</f>
        <v>452</v>
      </c>
      <c r="B455" s="80"/>
      <c r="C455" s="80"/>
      <c r="D455" s="81">
        <f>IFERROR(__xludf.DUMMYFUNCTION("""COMPUTED_VALUE"""),45761.0)</f>
        <v>45761</v>
      </c>
      <c r="E455" s="82"/>
      <c r="F455" s="80"/>
      <c r="G455" s="81">
        <f>IFERROR(__xludf.DUMMYFUNCTION("""COMPUTED_VALUE"""),45762.0)</f>
        <v>45762</v>
      </c>
      <c r="H455" s="80"/>
      <c r="I455" s="80"/>
      <c r="J455" s="80"/>
      <c r="K455" s="80"/>
      <c r="L455" s="80">
        <f>IFERROR(__xludf.DUMMYFUNCTION("""COMPUTED_VALUE"""),1.0)</f>
        <v>1</v>
      </c>
      <c r="M455" s="80" t="str">
        <f>IFERROR(__xludf.DUMMYFUNCTION("""COMPUTED_VALUE"""),"ü")</f>
        <v>ü</v>
      </c>
      <c r="N455" s="80"/>
      <c r="O455" s="80"/>
      <c r="P455" s="80" t="str">
        <f>IFERROR(__xludf.DUMMYFUNCTION("""COMPUTED_VALUE"""),"53BSPA09445JBEEN")</f>
        <v>53BSPA09445JBEEN</v>
      </c>
      <c r="Q455" s="80" t="str">
        <f>IFERROR(__xludf.DUMMYFUNCTION("""COMPUTED_VALUE"""),"MUC BTR 3 Malachit")</f>
        <v>MUC BTR 3 Malachit</v>
      </c>
      <c r="R455" s="80" t="str">
        <f>IFERROR(__xludf.DUMMYFUNCTION("""COMPUTED_VALUE"""),"MUC BTR 3 Malachit")</f>
        <v>MUC BTR 3 Malachit</v>
      </c>
      <c r="S455" s="80" t="str">
        <f>IFERROR(__xludf.DUMMYFUNCTION("""COMPUTED_VALUE"""),"Mega Mawarni Juwita")</f>
        <v>Mega Mawarni Juwita</v>
      </c>
      <c r="T455" s="80" t="str">
        <f>IFERROR(__xludf.DUMMYFUNCTION("""COMPUTED_VALUE"""),"BEKASI TIMUR REGENSI 3 CLUSTER MALACHITE M3/1 RT.007 RW.022 KEL. CIMUNING KEC. MUSTIKA JAYA KOTA BEKASI")</f>
        <v>BEKASI TIMUR REGENSI 3 CLUSTER MALACHITE M3/1 RT.007 RW.022 KEL. CIMUNING KEC. MUSTIKA JAYA KOTA BEKASI</v>
      </c>
      <c r="U455" s="80" t="str">
        <f>IFERROR(__xludf.DUMMYFUNCTION("""COMPUTED_VALUE"""),"BTR 3 Cluster Malachit M3 No.1")</f>
        <v>BTR 3 Cluster Malachit M3 No.1</v>
      </c>
      <c r="V455" s="80"/>
      <c r="W455" s="80" t="str">
        <f>IFERROR(__xludf.DUMMYFUNCTION("""COMPUTED_VALUE"""),"Cimuning")</f>
        <v>Cimuning</v>
      </c>
      <c r="X455" s="80" t="str">
        <f>IFERROR(__xludf.DUMMYFUNCTION("""COMPUTED_VALUE"""),"Mustikajaya")</f>
        <v>Mustikajaya</v>
      </c>
      <c r="Y455" s="80" t="str">
        <f>IFERROR(__xludf.DUMMYFUNCTION("""COMPUTED_VALUE"""),"Kota Bekasi")</f>
        <v>Kota Bekasi</v>
      </c>
      <c r="Z455" s="80" t="str">
        <f>IFERROR(__xludf.DUMMYFUNCTION("""COMPUTED_VALUE"""),"Jawa Barat")</f>
        <v>Jawa Barat</v>
      </c>
      <c r="AA455" s="80" t="str">
        <f>IFERROR(__xludf.DUMMYFUNCTION("""COMPUTED_VALUE"""),"17155")</f>
        <v>17155</v>
      </c>
      <c r="AB455" s="80" t="str">
        <f>IFERROR(__xludf.DUMMYFUNCTION("""COMPUTED_VALUE"""),"3273115605920003")</f>
        <v>3273115605920003</v>
      </c>
      <c r="AC455" s="80" t="str">
        <f>IFERROR(__xludf.DUMMYFUNCTION("""COMPUTED_VALUE"""),"26.941.247.4-407.000")</f>
        <v>26.941.247.4-407.000</v>
      </c>
      <c r="AD455" s="80" t="str">
        <f>IFERROR(__xludf.DUMMYFUNCTION("""COMPUTED_VALUE"""),"CUM - EEN")</f>
        <v>CUM - EEN</v>
      </c>
      <c r="AE455" s="80" t="str">
        <f>IFERROR(__xludf.DUMMYFUNCTION("""COMPUTED_VALUE"""),"SUB EEN")</f>
        <v>SUB EEN</v>
      </c>
      <c r="AF455" s="80" t="str">
        <f>IFERROR(__xludf.DUMMYFUNCTION("""COMPUTED_VALUE"""),"081212060281")</f>
        <v>081212060281</v>
      </c>
      <c r="AG455" s="80"/>
      <c r="AH455" s="80" t="str">
        <f>IFERROR(__xludf.DUMMYFUNCTION("""COMPUTED_VALUE"""),"mawarnie.mm@gmail.com")</f>
        <v>mawarnie.mm@gmail.com</v>
      </c>
      <c r="AI455" s="80" t="str">
        <f>IFERROR(__xludf.DUMMYFUNCTION("""COMPUTED_VALUE"""),"17165S5")</f>
        <v>17165S5</v>
      </c>
      <c r="AJ455" s="80" t="str">
        <f>IFERROR(__xludf.DUMMYFUNCTION("""COMPUTED_VALUE"""),"67fdf70e714e543caa05ca24")</f>
        <v>67fdf70e714e543caa05ca24</v>
      </c>
      <c r="AK455" s="80" t="str">
        <f>IFERROR(__xludf.DUMMYFUNCTION("""COMPUTED_VALUE"""),"dm17165s5")</f>
        <v>dm17165s5</v>
      </c>
      <c r="AL455" s="80" t="str">
        <f>IFERROR(__xludf.DUMMYFUNCTION("""COMPUTED_VALUE"""),"#17165Pos")</f>
        <v>#17165Pos</v>
      </c>
      <c r="AM455" s="80" t="str">
        <f>IFERROR(__xludf.DUMMYFUNCTION("""COMPUTED_VALUE"""),"KANTOR REGIONAL II JAKARTA 10004")</f>
        <v>KANTOR REGIONAL II JAKARTA 10004</v>
      </c>
      <c r="AN455" s="80" t="str">
        <f>IFERROR(__xludf.DUMMYFUNCTION("""COMPUTED_VALUE"""),"KCU BEKASI 17000")</f>
        <v>KCU BEKASI 17000</v>
      </c>
      <c r="AO455" s="80" t="str">
        <f>IFERROR(__xludf.DUMMYFUNCTION("""COMPUTED_VALUE"""),"1404250036204")</f>
        <v>1404250036204</v>
      </c>
      <c r="AP455" s="80" t="str">
        <f>IFERROR(__xludf.DUMMYFUNCTION("""COMPUTED_VALUE"""),"14042500362040001")</f>
        <v>14042500362040001</v>
      </c>
      <c r="AQ455" s="83"/>
      <c r="AR455" s="80"/>
      <c r="AS455" s="80"/>
      <c r="AT455" s="80" t="str">
        <f>IFERROR(__xludf.DUMMYFUNCTION("""COMPUTED_VALUE"""),"-6.331220 ")</f>
        <v>-6.331220 </v>
      </c>
      <c r="AU455" s="80" t="str">
        <f>IFERROR(__xludf.DUMMYFUNCTION("""COMPUTED_VALUE"""),"107.006853")</f>
        <v>107.006853</v>
      </c>
      <c r="AV455" s="80"/>
      <c r="AW455" s="80"/>
      <c r="AX455" s="80" t="str">
        <f>IFERROR(__xludf.DUMMYFUNCTION("""COMPUTED_VALUE"""),"h")</f>
        <v>h</v>
      </c>
      <c r="AY455" s="80"/>
      <c r="AZ455" s="80"/>
      <c r="BA455" s="80"/>
      <c r="BB455" s="80"/>
      <c r="BC455" s="80"/>
      <c r="BD455" s="80"/>
      <c r="BE455" s="80"/>
      <c r="BF455" s="80"/>
      <c r="BG455" s="80"/>
      <c r="BH455" s="80"/>
      <c r="BI455" s="80"/>
      <c r="BJ455" s="80"/>
      <c r="BK455" s="80"/>
      <c r="BL455" s="80"/>
      <c r="BM455" s="80"/>
      <c r="BN455" s="80"/>
      <c r="BO455" s="80"/>
      <c r="BP455" s="80"/>
      <c r="BQ455" s="80"/>
      <c r="BR455" s="80"/>
      <c r="BS455" s="80"/>
      <c r="BT455" s="80"/>
      <c r="BU455" s="80"/>
      <c r="BV455" s="80"/>
      <c r="BW455" s="80"/>
      <c r="BX455" s="80"/>
      <c r="BY455" s="80"/>
      <c r="BZ455" s="80" t="str">
        <f>IFERROR(__xludf.DUMMYFUNCTION("""COMPUTED_VALUE"""),"SPX")</f>
        <v>SPX</v>
      </c>
      <c r="CA455" s="80"/>
      <c r="CB455" s="80" t="str">
        <f>IFERROR(__xludf.DUMMYFUNCTION("""COMPUTED_VALUE"""),"WAHANA")</f>
        <v>WAHANA</v>
      </c>
      <c r="CC455" s="80"/>
      <c r="CD455" s="80"/>
      <c r="CE455" s="80"/>
      <c r="CF455" s="80"/>
      <c r="CG455" s="80"/>
      <c r="CH455" s="80"/>
      <c r="CI455" s="80"/>
      <c r="CJ455" s="80"/>
      <c r="CK455" s="2"/>
    </row>
    <row r="456" ht="12.75" customHeight="1">
      <c r="A456" s="85">
        <f>IFERROR(__xludf.DUMMYFUNCTION("""COMPUTED_VALUE"""),453.0)</f>
        <v>453</v>
      </c>
      <c r="B456" s="85"/>
      <c r="C456" s="85"/>
      <c r="D456" s="86">
        <f>IFERROR(__xludf.DUMMYFUNCTION("""COMPUTED_VALUE"""),45761.0)</f>
        <v>45761</v>
      </c>
      <c r="E456" s="88"/>
      <c r="F456" s="85"/>
      <c r="G456" s="86">
        <f>IFERROR(__xludf.DUMMYFUNCTION("""COMPUTED_VALUE"""),45768.0)</f>
        <v>45768</v>
      </c>
      <c r="H456" s="85"/>
      <c r="I456" s="85"/>
      <c r="J456" s="85"/>
      <c r="K456" s="85"/>
      <c r="L456" s="85">
        <f>IFERROR(__xludf.DUMMYFUNCTION("""COMPUTED_VALUE"""),7.0)</f>
        <v>7</v>
      </c>
      <c r="M456" s="85" t="str">
        <f>IFERROR(__xludf.DUMMYFUNCTION("""COMPUTED_VALUE"""),"ü")</f>
        <v>ü</v>
      </c>
      <c r="N456" s="85"/>
      <c r="O456" s="85"/>
      <c r="P456" s="85" t="str">
        <f>IFERROR(__xludf.DUMMYFUNCTION("""COMPUTED_VALUE"""),"53BSPA09473JBEEN")</f>
        <v>53BSPA09473JBEEN</v>
      </c>
      <c r="Q456" s="85" t="str">
        <f>IFERROR(__xludf.DUMMYFUNCTION("""COMPUTED_VALUE"""),"MUC Mitra Post")</f>
        <v>MUC Mitra Post</v>
      </c>
      <c r="R456" s="85" t="str">
        <f>IFERROR(__xludf.DUMMYFUNCTION("""COMPUTED_VALUE"""),"MUC Mitra Post")</f>
        <v>MUC Mitra Post</v>
      </c>
      <c r="S456" s="85" t="str">
        <f>IFERROR(__xludf.DUMMYFUNCTION("""COMPUTED_VALUE"""),"HJ. UMISIH")</f>
        <v>HJ. UMISIH</v>
      </c>
      <c r="T456" s="85" t="str">
        <f>IFERROR(__xludf.DUMMYFUNCTION("""COMPUTED_VALUE"""),"LEMBAH HIJAU GOBEL BLOK. D.11 NO.5 RT.008 RW.013 KEL.MEKARSARI KEC. CIMANGGIS KOTA DEPOK")</f>
        <v>LEMBAH HIJAU GOBEL BLOK. D.11 NO.5 RT.008 RW.013 KEL.MEKARSARI KEC. CIMANGGIS KOTA DEPOK</v>
      </c>
      <c r="U456" s="85" t="str">
        <f>IFERROR(__xludf.DUMMYFUNCTION("""COMPUTED_VALUE"""),"JALAN PADI TRAKTOR RAYA UJUNG NOMOR 141")</f>
        <v>JALAN PADI TRAKTOR RAYA UJUNG NOMOR 141</v>
      </c>
      <c r="V456" s="85"/>
      <c r="W456" s="85" t="str">
        <f>IFERROR(__xludf.DUMMYFUNCTION("""COMPUTED_VALUE"""),"Mekarsari")</f>
        <v>Mekarsari</v>
      </c>
      <c r="X456" s="85" t="str">
        <f>IFERROR(__xludf.DUMMYFUNCTION("""COMPUTED_VALUE"""),"Cimanggis")</f>
        <v>Cimanggis</v>
      </c>
      <c r="Y456" s="85" t="str">
        <f>IFERROR(__xludf.DUMMYFUNCTION("""COMPUTED_VALUE"""),"Kota Depok")</f>
        <v>Kota Depok</v>
      </c>
      <c r="Z456" s="85" t="str">
        <f>IFERROR(__xludf.DUMMYFUNCTION("""COMPUTED_VALUE"""),"Jawa Barat")</f>
        <v>Jawa Barat</v>
      </c>
      <c r="AA456" s="85" t="str">
        <f>IFERROR(__xludf.DUMMYFUNCTION("""COMPUTED_VALUE"""),"16452")</f>
        <v>16452</v>
      </c>
      <c r="AB456" s="85" t="str">
        <f>IFERROR(__xludf.DUMMYFUNCTION("""COMPUTED_VALUE"""),"3276026910660002")</f>
        <v>3276026910660002</v>
      </c>
      <c r="AC456" s="85" t="str">
        <f>IFERROR(__xludf.DUMMYFUNCTION("""COMPUTED_VALUE"""),"25.450.509.2-412.000")</f>
        <v>25.450.509.2-412.000</v>
      </c>
      <c r="AD456" s="85" t="str">
        <f>IFERROR(__xludf.DUMMYFUNCTION("""COMPUTED_VALUE"""),"CUM - EEN")</f>
        <v>CUM - EEN</v>
      </c>
      <c r="AE456" s="85" t="str">
        <f>IFERROR(__xludf.DUMMYFUNCTION("""COMPUTED_VALUE"""),"SUB EEN")</f>
        <v>SUB EEN</v>
      </c>
      <c r="AF456" s="85" t="str">
        <f>IFERROR(__xludf.DUMMYFUNCTION("""COMPUTED_VALUE"""),"0811931932")</f>
        <v>0811931932</v>
      </c>
      <c r="AG456" s="85"/>
      <c r="AH456" s="85" t="str">
        <f>IFERROR(__xludf.DUMMYFUNCTION("""COMPUTED_VALUE"""),"umisih.2910@gmail.com")</f>
        <v>umisih.2910@gmail.com</v>
      </c>
      <c r="AI456" s="85" t="str">
        <f>IFERROR(__xludf.DUMMYFUNCTION("""COMPUTED_VALUE"""),"16452S2")</f>
        <v>16452S2</v>
      </c>
      <c r="AJ456" s="85" t="str">
        <f>IFERROR(__xludf.DUMMYFUNCTION("""COMPUTED_VALUE"""),"6805cbce46638fe6d50ebad1")</f>
        <v>6805cbce46638fe6d50ebad1</v>
      </c>
      <c r="AK456" s="85" t="str">
        <f>IFERROR(__xludf.DUMMYFUNCTION("""COMPUTED_VALUE"""),"dm16452s2")</f>
        <v>dm16452s2</v>
      </c>
      <c r="AL456" s="85" t="str">
        <f>IFERROR(__xludf.DUMMYFUNCTION("""COMPUTED_VALUE"""),"#16452Pos")</f>
        <v>#16452Pos</v>
      </c>
      <c r="AM456" s="85" t="str">
        <f>IFERROR(__xludf.DUMMYFUNCTION("""COMPUTED_VALUE"""),"KANTOR REGIONAL II JAKARTA 10004")</f>
        <v>KANTOR REGIONAL II JAKARTA 10004</v>
      </c>
      <c r="AN456" s="85" t="str">
        <f>IFERROR(__xludf.DUMMYFUNCTION("""COMPUTED_VALUE"""),"KC DEPOK 16400")</f>
        <v>KC DEPOK 16400</v>
      </c>
      <c r="AO456" s="85" t="str">
        <f>IFERROR(__xludf.DUMMYFUNCTION("""COMPUTED_VALUE"""),"1903250002673")</f>
        <v>1903250002673</v>
      </c>
      <c r="AP456" s="85" t="str">
        <f>IFERROR(__xludf.DUMMYFUNCTION("""COMPUTED_VALUE"""),"19032500026730001 ")</f>
        <v>19032500026730001 </v>
      </c>
      <c r="AQ456" s="93"/>
      <c r="AR456" s="85"/>
      <c r="AS456" s="85"/>
      <c r="AT456" s="85" t="str">
        <f>IFERROR(__xludf.DUMMYFUNCTION("""COMPUTED_VALUE"""),"-6.363103")</f>
        <v>-6.363103</v>
      </c>
      <c r="AU456" s="85" t="str">
        <f>IFERROR(__xludf.DUMMYFUNCTION("""COMPUTED_VALUE"""),"106.871500")</f>
        <v>106.871500</v>
      </c>
      <c r="AV456" s="85"/>
      <c r="AW456" s="85"/>
      <c r="AX456" s="85" t="str">
        <f>IFERROR(__xludf.DUMMYFUNCTION("""COMPUTED_VALUE"""),"h")</f>
        <v>h</v>
      </c>
      <c r="AY456" s="85"/>
      <c r="AZ456" s="85"/>
      <c r="BA456" s="85"/>
      <c r="BB456" s="85"/>
      <c r="BC456" s="85"/>
      <c r="BD456" s="85"/>
      <c r="BE456" s="85"/>
      <c r="BF456" s="85"/>
      <c r="BG456" s="85"/>
      <c r="BH456" s="85"/>
      <c r="BI456" s="85"/>
      <c r="BJ456" s="85"/>
      <c r="BK456" s="85"/>
      <c r="BL456" s="85"/>
      <c r="BM456" s="85"/>
      <c r="BN456" s="85"/>
      <c r="BO456" s="85"/>
      <c r="BP456" s="85"/>
      <c r="BQ456" s="85"/>
      <c r="BR456" s="85"/>
      <c r="BS456" s="85"/>
      <c r="BT456" s="85"/>
      <c r="BU456" s="85"/>
      <c r="BV456" s="85"/>
      <c r="BW456" s="85"/>
      <c r="BX456" s="85"/>
      <c r="BY456" s="85"/>
      <c r="BZ456" s="85"/>
      <c r="CA456" s="85"/>
      <c r="CB456" s="85"/>
      <c r="CC456" s="85" t="str">
        <f>IFERROR(__xludf.DUMMYFUNCTION("""COMPUTED_VALUE"""),"JNT CARGO")</f>
        <v>JNT CARGO</v>
      </c>
      <c r="CD456" s="85"/>
      <c r="CE456" s="85"/>
      <c r="CF456" s="85"/>
      <c r="CG456" s="85"/>
      <c r="CH456" s="85"/>
      <c r="CI456" s="85"/>
      <c r="CJ456" s="85"/>
      <c r="CK456" s="2"/>
    </row>
    <row r="457" ht="12.75" customHeight="1">
      <c r="A457" s="80">
        <f>IFERROR(__xludf.DUMMYFUNCTION("""COMPUTED_VALUE"""),454.0)</f>
        <v>454</v>
      </c>
      <c r="B457" s="80"/>
      <c r="C457" s="80"/>
      <c r="D457" s="81">
        <f>IFERROR(__xludf.DUMMYFUNCTION("""COMPUTED_VALUE"""),45761.0)</f>
        <v>45761</v>
      </c>
      <c r="E457" s="82"/>
      <c r="F457" s="80"/>
      <c r="G457" s="81">
        <f>IFERROR(__xludf.DUMMYFUNCTION("""COMPUTED_VALUE"""),45768.0)</f>
        <v>45768</v>
      </c>
      <c r="H457" s="80"/>
      <c r="I457" s="80"/>
      <c r="J457" s="80"/>
      <c r="K457" s="80"/>
      <c r="L457" s="80">
        <f>IFERROR(__xludf.DUMMYFUNCTION("""COMPUTED_VALUE"""),7.0)</f>
        <v>7</v>
      </c>
      <c r="M457" s="80" t="str">
        <f>IFERROR(__xludf.DUMMYFUNCTION("""COMPUTED_VALUE"""),"ü")</f>
        <v>ü</v>
      </c>
      <c r="N457" s="80"/>
      <c r="O457" s="80"/>
      <c r="P457" s="80" t="str">
        <f>IFERROR(__xludf.DUMMYFUNCTION("""COMPUTED_VALUE"""),"53BSPA09474JBEEN")</f>
        <v>53BSPA09474JBEEN</v>
      </c>
      <c r="Q457" s="80" t="str">
        <f>IFERROR(__xludf.DUMMYFUNCTION("""COMPUTED_VALUE"""),"MUC POST KAMLAY")</f>
        <v>MUC POST KAMLAY</v>
      </c>
      <c r="R457" s="80" t="str">
        <f>IFERROR(__xludf.DUMMYFUNCTION("""COMPUTED_VALUE"""),"MUC POST KAMLAY")</f>
        <v>MUC POST KAMLAY</v>
      </c>
      <c r="S457" s="80" t="str">
        <f>IFERROR(__xludf.DUMMYFUNCTION("""COMPUTED_VALUE"""),"MOHAMMAD ISYAM RAMDAN")</f>
        <v>MOHAMMAD ISYAM RAMDAN</v>
      </c>
      <c r="T457" s="80" t="str">
        <f>IFERROR(__xludf.DUMMYFUNCTION("""COMPUTED_VALUE"""),"KP. KARANG ANYAR RT.003 RW.012 KEL. KARANG SARI KEC. NEGLASARI KOTA TANGERANG")</f>
        <v>KP. KARANG ANYAR RT.003 RW.012 KEL. KARANG SARI KEC. NEGLASARI KOTA TANGERANG</v>
      </c>
      <c r="U457" s="80" t="str">
        <f>IFERROR(__xludf.DUMMYFUNCTION("""COMPUTED_VALUE"""),"Kp. Melayu Barat")</f>
        <v>Kp. Melayu Barat</v>
      </c>
      <c r="V457" s="80"/>
      <c r="W457" s="80" t="str">
        <f>IFERROR(__xludf.DUMMYFUNCTION("""COMPUTED_VALUE"""),"Teluknaga")</f>
        <v>Teluknaga</v>
      </c>
      <c r="X457" s="80" t="str">
        <f>IFERROR(__xludf.DUMMYFUNCTION("""COMPUTED_VALUE"""),"Teluknaga")</f>
        <v>Teluknaga</v>
      </c>
      <c r="Y457" s="80" t="str">
        <f>IFERROR(__xludf.DUMMYFUNCTION("""COMPUTED_VALUE"""),"Kab. Tangerang")</f>
        <v>Kab. Tangerang</v>
      </c>
      <c r="Z457" s="80" t="str">
        <f>IFERROR(__xludf.DUMMYFUNCTION("""COMPUTED_VALUE"""),"Banten")</f>
        <v>Banten</v>
      </c>
      <c r="AA457" s="80" t="str">
        <f>IFERROR(__xludf.DUMMYFUNCTION("""COMPUTED_VALUE"""),"15510")</f>
        <v>15510</v>
      </c>
      <c r="AB457" s="80" t="str">
        <f>IFERROR(__xludf.DUMMYFUNCTION("""COMPUTED_VALUE"""),"3274030411020008")</f>
        <v>3274030411020008</v>
      </c>
      <c r="AC457" s="80" t="str">
        <f>IFERROR(__xludf.DUMMYFUNCTION("""COMPUTED_VALUE"""),"60.847.096.9-426.000")</f>
        <v>60.847.096.9-426.000</v>
      </c>
      <c r="AD457" s="80" t="str">
        <f>IFERROR(__xludf.DUMMYFUNCTION("""COMPUTED_VALUE"""),"CUM - EEN")</f>
        <v>CUM - EEN</v>
      </c>
      <c r="AE457" s="80" t="str">
        <f>IFERROR(__xludf.DUMMYFUNCTION("""COMPUTED_VALUE"""),"SUB EEN")</f>
        <v>SUB EEN</v>
      </c>
      <c r="AF457" s="80" t="str">
        <f>IFERROR(__xludf.DUMMYFUNCTION("""COMPUTED_VALUE"""),"08976045100")</f>
        <v>08976045100</v>
      </c>
      <c r="AG457" s="80"/>
      <c r="AH457" s="80" t="str">
        <f>IFERROR(__xludf.DUMMYFUNCTION("""COMPUTED_VALUE"""),"mohammadisyamramdan@gmail.com")</f>
        <v>mohammadisyamramdan@gmail.com</v>
      </c>
      <c r="AI457" s="80" t="str">
        <f>IFERROR(__xludf.DUMMYFUNCTION("""COMPUTED_VALUE"""),"15511S2")</f>
        <v>15511S2</v>
      </c>
      <c r="AJ457" s="80" t="str">
        <f>IFERROR(__xludf.DUMMYFUNCTION("""COMPUTED_VALUE"""),"6805b31e1b8ea27acb050330")</f>
        <v>6805b31e1b8ea27acb050330</v>
      </c>
      <c r="AK457" s="80" t="str">
        <f>IFERROR(__xludf.DUMMYFUNCTION("""COMPUTED_VALUE"""),"dm15511s2")</f>
        <v>dm15511s2</v>
      </c>
      <c r="AL457" s="80" t="str">
        <f>IFERROR(__xludf.DUMMYFUNCTION("""COMPUTED_VALUE"""),"#15511Pos")</f>
        <v>#15511Pos</v>
      </c>
      <c r="AM457" s="80" t="str">
        <f>IFERROR(__xludf.DUMMYFUNCTION("""COMPUTED_VALUE"""),"KANTOR REGIONAL II JAKARTA 10004")</f>
        <v>KANTOR REGIONAL II JAKARTA 10004</v>
      </c>
      <c r="AN457" s="80" t="str">
        <f>IFERROR(__xludf.DUMMYFUNCTION("""COMPUTED_VALUE"""),"KCU TANGERANG 15000")</f>
        <v>KCU TANGERANG 15000</v>
      </c>
      <c r="AO457" s="80" t="str">
        <f>IFERROR(__xludf.DUMMYFUNCTION("""COMPUTED_VALUE"""),"1404250090619")</f>
        <v>1404250090619</v>
      </c>
      <c r="AP457" s="80" t="str">
        <f>IFERROR(__xludf.DUMMYFUNCTION("""COMPUTED_VALUE"""),"14042500906190001")</f>
        <v>14042500906190001</v>
      </c>
      <c r="AQ457" s="83"/>
      <c r="AR457" s="80"/>
      <c r="AS457" s="80"/>
      <c r="AT457" s="80" t="str">
        <f>IFERROR(__xludf.DUMMYFUNCTION("""COMPUTED_VALUE"""),"-6.074895")</f>
        <v>-6.074895</v>
      </c>
      <c r="AU457" s="80" t="str">
        <f>IFERROR(__xludf.DUMMYFUNCTION("""COMPUTED_VALUE"""),"106.645943")</f>
        <v>106.645943</v>
      </c>
      <c r="AV457" s="80"/>
      <c r="AW457" s="80"/>
      <c r="AX457" s="80" t="str">
        <f>IFERROR(__xludf.DUMMYFUNCTION("""COMPUTED_VALUE"""),"h")</f>
        <v>h</v>
      </c>
      <c r="AY457" s="80"/>
      <c r="AZ457" s="80"/>
      <c r="BA457" s="80"/>
      <c r="BB457" s="80"/>
      <c r="BC457" s="80"/>
      <c r="BD457" s="80"/>
      <c r="BE457" s="80"/>
      <c r="BF457" s="80"/>
      <c r="BG457" s="80"/>
      <c r="BH457" s="80"/>
      <c r="BI457" s="80"/>
      <c r="BJ457" s="80"/>
      <c r="BK457" s="80"/>
      <c r="BL457" s="80"/>
      <c r="BM457" s="80"/>
      <c r="BN457" s="80"/>
      <c r="BO457" s="80"/>
      <c r="BP457" s="80"/>
      <c r="BQ457" s="80"/>
      <c r="BR457" s="80"/>
      <c r="BS457" s="80"/>
      <c r="BT457" s="80"/>
      <c r="BU457" s="80"/>
      <c r="BV457" s="80"/>
      <c r="BW457" s="80"/>
      <c r="BX457" s="80"/>
      <c r="BY457" s="80"/>
      <c r="BZ457" s="80"/>
      <c r="CA457" s="80" t="str">
        <f>IFERROR(__xludf.DUMMYFUNCTION("""COMPUTED_VALUE"""),"LION PARCEL")</f>
        <v>LION PARCEL</v>
      </c>
      <c r="CB457" s="80"/>
      <c r="CC457" s="80"/>
      <c r="CD457" s="80"/>
      <c r="CE457" s="80"/>
      <c r="CF457" s="80"/>
      <c r="CG457" s="80"/>
      <c r="CH457" s="80"/>
      <c r="CI457" s="80"/>
      <c r="CJ457" s="80"/>
      <c r="CK457" s="2"/>
    </row>
    <row r="458" ht="12.75" customHeight="1">
      <c r="A458" s="85">
        <f>IFERROR(__xludf.DUMMYFUNCTION("""COMPUTED_VALUE"""),455.0)</f>
        <v>455</v>
      </c>
      <c r="B458" s="85"/>
      <c r="C458" s="85"/>
      <c r="D458" s="86">
        <f>IFERROR(__xludf.DUMMYFUNCTION("""COMPUTED_VALUE"""),45762.0)</f>
        <v>45762</v>
      </c>
      <c r="E458" s="88"/>
      <c r="F458" s="85"/>
      <c r="G458" s="86">
        <f>IFERROR(__xludf.DUMMYFUNCTION("""COMPUTED_VALUE"""),45771.0)</f>
        <v>45771</v>
      </c>
      <c r="H458" s="85"/>
      <c r="I458" s="85"/>
      <c r="J458" s="85"/>
      <c r="K458" s="85"/>
      <c r="L458" s="85">
        <f>IFERROR(__xludf.DUMMYFUNCTION("""COMPUTED_VALUE"""),9.0)</f>
        <v>9</v>
      </c>
      <c r="M458" s="85"/>
      <c r="N458" s="85" t="str">
        <f>IFERROR(__xludf.DUMMYFUNCTION("""COMPUTED_VALUE"""),"ü")</f>
        <v>ü</v>
      </c>
      <c r="O458" s="85"/>
      <c r="P458" s="85" t="str">
        <f>IFERROR(__xludf.DUMMYFUNCTION("""COMPUTED_VALUE"""),"MUCSPA63114PSIND")</f>
        <v>MUCSPA63114PSIND</v>
      </c>
      <c r="Q458" s="85" t="str">
        <f>IFERROR(__xludf.DUMMYFUNCTION("""COMPUTED_VALUE"""),"MUC PURNAMA ")</f>
        <v>MUC PURNAMA </v>
      </c>
      <c r="R458" s="85" t="str">
        <f>IFERROR(__xludf.DUMMYFUNCTION("""COMPUTED_VALUE"""),"MUC PURNAMA ")</f>
        <v>MUC PURNAMA </v>
      </c>
      <c r="S458" s="85" t="str">
        <f>IFERROR(__xludf.DUMMYFUNCTION("""COMPUTED_VALUE"""),"MUHAMAD DAVI PURNAMA")</f>
        <v>MUHAMAD DAVI PURNAMA</v>
      </c>
      <c r="T458" s="85" t="str">
        <f>IFERROR(__xludf.DUMMYFUNCTION("""COMPUTED_VALUE"""),"KP. SALAKOPI RT 006 RW 010")</f>
        <v>KP. SALAKOPI RT 006 RW 010</v>
      </c>
      <c r="U458" s="85" t="str">
        <f>IFERROR(__xludf.DUMMYFUNCTION("""COMPUTED_VALUE"""),"KP. SALAKOPI RT 006 RW 010")</f>
        <v>KP. SALAKOPI RT 006 RW 010</v>
      </c>
      <c r="V458" s="85"/>
      <c r="W458" s="85" t="str">
        <f>IFERROR(__xludf.DUMMYFUNCTION("""COMPUTED_VALUE"""),"CIHAMPELAS ")</f>
        <v>CIHAMPELAS </v>
      </c>
      <c r="X458" s="85" t="str">
        <f>IFERROR(__xludf.DUMMYFUNCTION("""COMPUTED_VALUE"""),"CIHAMPELAS ")</f>
        <v>CIHAMPELAS </v>
      </c>
      <c r="Y458" s="85" t="str">
        <f>IFERROR(__xludf.DUMMYFUNCTION("""COMPUTED_VALUE"""),"KAB. BANDUNG BARAT ")</f>
        <v>KAB. BANDUNG BARAT </v>
      </c>
      <c r="Z458" s="85" t="str">
        <f>IFERROR(__xludf.DUMMYFUNCTION("""COMPUTED_VALUE"""),"JAWA BARAT ")</f>
        <v>JAWA BARAT </v>
      </c>
      <c r="AA458" s="85" t="str">
        <f>IFERROR(__xludf.DUMMYFUNCTION("""COMPUTED_VALUE"""),"40562")</f>
        <v>40562</v>
      </c>
      <c r="AB458" s="85" t="str">
        <f>IFERROR(__xludf.DUMMYFUNCTION("""COMPUTED_VALUE"""),"3217103112040003")</f>
        <v>3217103112040003</v>
      </c>
      <c r="AC458" s="85" t="str">
        <f>IFERROR(__xludf.DUMMYFUNCTION("""COMPUTED_VALUE"""),"3217 1031 1204 0003")</f>
        <v>3217 1031 1204 0003</v>
      </c>
      <c r="AD458" s="85" t="str">
        <f>IFERROR(__xludf.DUMMYFUNCTION("""COMPUTED_VALUE"""),"CUM - PS - ADS")</f>
        <v>CUM - PS - ADS</v>
      </c>
      <c r="AE458" s="85" t="str">
        <f>IFERROR(__xludf.DUMMYFUNCTION("""COMPUTED_VALUE"""),"SUB ADI SONJAYA POS")</f>
        <v>SUB ADI SONJAYA POS</v>
      </c>
      <c r="AF458" s="85" t="str">
        <f>IFERROR(__xludf.DUMMYFUNCTION("""COMPUTED_VALUE"""),"083175444215")</f>
        <v>083175444215</v>
      </c>
      <c r="AG458" s="85"/>
      <c r="AH458" s="85" t="str">
        <f>IFERROR(__xludf.DUMMYFUNCTION("""COMPUTED_VALUE"""),"davipurnama81@gmail.com")</f>
        <v>davipurnama81@gmail.com</v>
      </c>
      <c r="AI458" s="85" t="str">
        <f>IFERROR(__xludf.DUMMYFUNCTION("""COMPUTED_VALUE"""),"40767S3")</f>
        <v>40767S3</v>
      </c>
      <c r="AJ458" s="85" t="str">
        <f>IFERROR(__xludf.DUMMYFUNCTION("""COMPUTED_VALUE"""),"680890be84f11e767700e206")</f>
        <v>680890be84f11e767700e206</v>
      </c>
      <c r="AK458" s="85" t="str">
        <f>IFERROR(__xludf.DUMMYFUNCTION("""COMPUTED_VALUE"""),"dm40767s3")</f>
        <v>dm40767s3</v>
      </c>
      <c r="AL458" s="85" t="str">
        <f>IFERROR(__xludf.DUMMYFUNCTION("""COMPUTED_VALUE"""),"#40767Pos")</f>
        <v>#40767Pos</v>
      </c>
      <c r="AM458" s="85" t="str">
        <f>IFERROR(__xludf.DUMMYFUNCTION("""COMPUTED_VALUE"""),"KANTOR REGIONAL III BANDUNG 40004")</f>
        <v>KANTOR REGIONAL III BANDUNG 40004</v>
      </c>
      <c r="AN458" s="85" t="str">
        <f>IFERROR(__xludf.DUMMYFUNCTION("""COMPUTED_VALUE"""),"KC CIMAHI ")</f>
        <v>KC CIMAHI </v>
      </c>
      <c r="AO458" s="85" t="str">
        <f>IFERROR(__xludf.DUMMYFUNCTION("""COMPUTED_VALUE"""),"0904250040056")</f>
        <v>0904250040056</v>
      </c>
      <c r="AP458" s="85" t="str">
        <f>IFERROR(__xludf.DUMMYFUNCTION("""COMPUTED_VALUE"""),"09042500400560001")</f>
        <v>09042500400560001</v>
      </c>
      <c r="AQ458" s="93"/>
      <c r="AR458" s="85"/>
      <c r="AS458" s="85"/>
      <c r="AT458" s="85" t="str">
        <f>IFERROR(__xludf.DUMMYFUNCTION("""COMPUTED_VALUE"""),"-6.911989 ")</f>
        <v>-6.911989 </v>
      </c>
      <c r="AU458" s="85" t="str">
        <f>IFERROR(__xludf.DUMMYFUNCTION("""COMPUTED_VALUE"""),"107.453837")</f>
        <v>107.453837</v>
      </c>
      <c r="AV458" s="85"/>
      <c r="AW458" s="85"/>
      <c r="AX458" s="85" t="str">
        <f>IFERROR(__xludf.DUMMYFUNCTION("""COMPUTED_VALUE"""),"h")</f>
        <v>h</v>
      </c>
      <c r="AY458" s="85"/>
      <c r="AZ458" s="85"/>
      <c r="BA458" s="85"/>
      <c r="BB458" s="85"/>
      <c r="BC458" s="85"/>
      <c r="BD458" s="85"/>
      <c r="BE458" s="85"/>
      <c r="BF458" s="85"/>
      <c r="BG458" s="85"/>
      <c r="BH458" s="85"/>
      <c r="BI458" s="85"/>
      <c r="BJ458" s="85"/>
      <c r="BK458" s="85"/>
      <c r="BL458" s="85"/>
      <c r="BM458" s="85"/>
      <c r="BN458" s="85"/>
      <c r="BO458" s="85"/>
      <c r="BP458" s="85"/>
      <c r="BQ458" s="85"/>
      <c r="BR458" s="85"/>
      <c r="BS458" s="85"/>
      <c r="BT458" s="85"/>
      <c r="BU458" s="85"/>
      <c r="BV458" s="85"/>
      <c r="BW458" s="85"/>
      <c r="BX458" s="85" t="str">
        <f>IFERROR(__xludf.DUMMYFUNCTION("""COMPUTED_VALUE"""),"NEW")</f>
        <v>NEW</v>
      </c>
      <c r="BY458" s="85"/>
      <c r="BZ458" s="85"/>
      <c r="CA458" s="85"/>
      <c r="CB458" s="85"/>
      <c r="CC458" s="85"/>
      <c r="CD458" s="85"/>
      <c r="CE458" s="85"/>
      <c r="CF458" s="85"/>
      <c r="CG458" s="85"/>
      <c r="CH458" s="85"/>
      <c r="CI458" s="85"/>
      <c r="CJ458" s="85"/>
      <c r="CK458" s="2"/>
    </row>
    <row r="459" ht="12.75" customHeight="1">
      <c r="A459" s="80">
        <f>IFERROR(__xludf.DUMMYFUNCTION("""COMPUTED_VALUE"""),456.0)</f>
        <v>456</v>
      </c>
      <c r="B459" s="80"/>
      <c r="C459" s="80"/>
      <c r="D459" s="81">
        <f>IFERROR(__xludf.DUMMYFUNCTION("""COMPUTED_VALUE"""),45762.0)</f>
        <v>45762</v>
      </c>
      <c r="E459" s="82"/>
      <c r="F459" s="80"/>
      <c r="G459" s="81">
        <f>IFERROR(__xludf.DUMMYFUNCTION("""COMPUTED_VALUE"""),45771.0)</f>
        <v>45771</v>
      </c>
      <c r="H459" s="80"/>
      <c r="I459" s="80"/>
      <c r="J459" s="80"/>
      <c r="K459" s="80"/>
      <c r="L459" s="80">
        <f>IFERROR(__xludf.DUMMYFUNCTION("""COMPUTED_VALUE"""),9.0)</f>
        <v>9</v>
      </c>
      <c r="M459" s="80" t="str">
        <f>IFERROR(__xludf.DUMMYFUNCTION("""COMPUTED_VALUE"""),"ü")</f>
        <v>ü</v>
      </c>
      <c r="N459" s="80"/>
      <c r="O459" s="80"/>
      <c r="P459" s="80" t="str">
        <f>IFERROR(__xludf.DUMMYFUNCTION("""COMPUTED_VALUE"""),"MUCSPA63115PSIND")</f>
        <v>MUCSPA63115PSIND</v>
      </c>
      <c r="Q459" s="80" t="str">
        <f>IFERROR(__xludf.DUMMYFUNCTION("""COMPUTED_VALUE"""),"MUC CIA POST")</f>
        <v>MUC CIA POST</v>
      </c>
      <c r="R459" s="80" t="str">
        <f>IFERROR(__xludf.DUMMYFUNCTION("""COMPUTED_VALUE"""),"MUC CIA POST")</f>
        <v>MUC CIA POST</v>
      </c>
      <c r="S459" s="80" t="str">
        <f>IFERROR(__xludf.DUMMYFUNCTION("""COMPUTED_VALUE"""),"ADI HENDRO CAHYONO")</f>
        <v>ADI HENDRO CAHYONO</v>
      </c>
      <c r="T459" s="80" t="str">
        <f>IFERROR(__xludf.DUMMYFUNCTION("""COMPUTED_VALUE"""),"JL. PERUM SAGA BARU RT 002 RW 005 KEL. BANTARSOKA KE. PURWOKERTO BARAT ")</f>
        <v>JL. PERUM SAGA BARU RT 002 RW 005 KEL. BANTARSOKA KE. PURWOKERTO BARAT </v>
      </c>
      <c r="U459" s="80" t="str">
        <f>IFERROR(__xludf.DUMMYFUNCTION("""COMPUTED_VALUE"""),"JL. GUNUNG MURIA NO. 997/6 RT 004 RW 008 ")</f>
        <v>JL. GUNUNG MURIA NO. 997/6 RT 004 RW 008 </v>
      </c>
      <c r="V459" s="80"/>
      <c r="W459" s="80" t="str">
        <f>IFERROR(__xludf.DUMMYFUNCTION("""COMPUTED_VALUE"""),"GRENDENG")</f>
        <v>GRENDENG</v>
      </c>
      <c r="X459" s="80" t="str">
        <f>IFERROR(__xludf.DUMMYFUNCTION("""COMPUTED_VALUE"""),"PURWOKERTO UTARA")</f>
        <v>PURWOKERTO UTARA</v>
      </c>
      <c r="Y459" s="80" t="str">
        <f>IFERROR(__xludf.DUMMYFUNCTION("""COMPUTED_VALUE"""),"KAB. BANYUMAS ")</f>
        <v>KAB. BANYUMAS </v>
      </c>
      <c r="Z459" s="80" t="str">
        <f>IFERROR(__xludf.DUMMYFUNCTION("""COMPUTED_VALUE"""),"JAWA TENGAH ")</f>
        <v>JAWA TENGAH </v>
      </c>
      <c r="AA459" s="80" t="str">
        <f>IFERROR(__xludf.DUMMYFUNCTION("""COMPUTED_VALUE"""),"53122")</f>
        <v>53122</v>
      </c>
      <c r="AB459" s="80" t="str">
        <f>IFERROR(__xludf.DUMMYFUNCTION("""COMPUTED_VALUE"""),"3302251602710001")</f>
        <v>3302251602710001</v>
      </c>
      <c r="AC459" s="80" t="str">
        <f>IFERROR(__xludf.DUMMYFUNCTION("""COMPUTED_VALUE"""),"92.362.799.6-521.000")</f>
        <v>92.362.799.6-521.000</v>
      </c>
      <c r="AD459" s="80" t="str">
        <f>IFERROR(__xludf.DUMMYFUNCTION("""COMPUTED_VALUE"""),"CUM - PS - HTR")</f>
        <v>CUM - PS - HTR</v>
      </c>
      <c r="AE459" s="80" t="str">
        <f>IFERROR(__xludf.DUMMYFUNCTION("""COMPUTED_VALUE"""),"PAK HENRI")</f>
        <v>PAK HENRI</v>
      </c>
      <c r="AF459" s="80" t="str">
        <f>IFERROR(__xludf.DUMMYFUNCTION("""COMPUTED_VALUE"""),"085923273638")</f>
        <v>085923273638</v>
      </c>
      <c r="AG459" s="80"/>
      <c r="AH459" s="80" t="str">
        <f>IFERROR(__xludf.DUMMYFUNCTION("""COMPUTED_VALUE"""),"adihendrocahyono@gmail.com")</f>
        <v>adihendrocahyono@gmail.com</v>
      </c>
      <c r="AI459" s="80" t="str">
        <f>IFERROR(__xludf.DUMMYFUNCTION("""COMPUTED_VALUE"""),"53122S2")</f>
        <v>53122S2</v>
      </c>
      <c r="AJ459" s="80" t="str">
        <f>IFERROR(__xludf.DUMMYFUNCTION("""COMPUTED_VALUE"""),"6808969b358ee9a208025856")</f>
        <v>6808969b358ee9a208025856</v>
      </c>
      <c r="AK459" s="80" t="str">
        <f>IFERROR(__xludf.DUMMYFUNCTION("""COMPUTED_VALUE"""),"dm53122s2")</f>
        <v>dm53122s2</v>
      </c>
      <c r="AL459" s="80" t="str">
        <f>IFERROR(__xludf.DUMMYFUNCTION("""COMPUTED_VALUE"""),"#53122Pos")</f>
        <v>#53122Pos</v>
      </c>
      <c r="AM459" s="80" t="str">
        <f>IFERROR(__xludf.DUMMYFUNCTION("""COMPUTED_VALUE"""),"KANTOR REGIONAL IV SEMARANG 50004")</f>
        <v>KANTOR REGIONAL IV SEMARANG 50004</v>
      </c>
      <c r="AN459" s="80" t="str">
        <f>IFERROR(__xludf.DUMMYFUNCTION("""COMPUTED_VALUE"""),"KCU PURWOKERTO 53100")</f>
        <v>KCU PURWOKERTO 53100</v>
      </c>
      <c r="AO459" s="80" t="str">
        <f>IFERROR(__xludf.DUMMYFUNCTION("""COMPUTED_VALUE"""),"1404250041229")</f>
        <v>1404250041229</v>
      </c>
      <c r="AP459" s="80" t="str">
        <f>IFERROR(__xludf.DUMMYFUNCTION("""COMPUTED_VALUE"""),"14042500412290001 ")</f>
        <v>14042500412290001 </v>
      </c>
      <c r="AQ459" s="83"/>
      <c r="AR459" s="80"/>
      <c r="AS459" s="80"/>
      <c r="AT459" s="80" t="str">
        <f>IFERROR(__xludf.DUMMYFUNCTION("""COMPUTED_VALUE"""),"-7.406575")</f>
        <v>-7.406575</v>
      </c>
      <c r="AU459" s="80" t="str">
        <f>IFERROR(__xludf.DUMMYFUNCTION("""COMPUTED_VALUE"""),"109.2488173")</f>
        <v>109.2488173</v>
      </c>
      <c r="AV459" s="80"/>
      <c r="AW459" s="80"/>
      <c r="AX459" s="80" t="str">
        <f>IFERROR(__xludf.DUMMYFUNCTION("""COMPUTED_VALUE"""),"h")</f>
        <v>h</v>
      </c>
      <c r="AY459" s="80"/>
      <c r="AZ459" s="80"/>
      <c r="BA459" s="80"/>
      <c r="BB459" s="80"/>
      <c r="BC459" s="80"/>
      <c r="BD459" s="80"/>
      <c r="BE459" s="80"/>
      <c r="BF459" s="80"/>
      <c r="BG459" s="80"/>
      <c r="BH459" s="80"/>
      <c r="BI459" s="80"/>
      <c r="BJ459" s="80"/>
      <c r="BK459" s="80"/>
      <c r="BL459" s="80"/>
      <c r="BM459" s="80"/>
      <c r="BN459" s="80"/>
      <c r="BO459" s="80"/>
      <c r="BP459" s="80"/>
      <c r="BQ459" s="80"/>
      <c r="BR459" s="80"/>
      <c r="BS459" s="80"/>
      <c r="BT459" s="80"/>
      <c r="BU459" s="80"/>
      <c r="BV459" s="80"/>
      <c r="BW459" s="80"/>
      <c r="BX459" s="80"/>
      <c r="BY459" s="80"/>
      <c r="BZ459" s="80"/>
      <c r="CA459" s="80"/>
      <c r="CB459" s="80"/>
      <c r="CC459" s="80"/>
      <c r="CD459" s="80"/>
      <c r="CE459" s="80"/>
      <c r="CF459" s="80"/>
      <c r="CG459" s="80"/>
      <c r="CH459" s="80"/>
      <c r="CI459" s="80"/>
      <c r="CJ459" s="80"/>
      <c r="CK459" s="2"/>
    </row>
    <row r="460" ht="12.75" customHeight="1">
      <c r="A460" s="85">
        <f>IFERROR(__xludf.DUMMYFUNCTION("""COMPUTED_VALUE"""),457.0)</f>
        <v>457</v>
      </c>
      <c r="B460" s="85"/>
      <c r="C460" s="85"/>
      <c r="D460" s="86">
        <f>IFERROR(__xludf.DUMMYFUNCTION("""COMPUTED_VALUE"""),45762.0)</f>
        <v>45762</v>
      </c>
      <c r="E460" s="88"/>
      <c r="F460" s="85"/>
      <c r="G460" s="86">
        <f>IFERROR(__xludf.DUMMYFUNCTION("""COMPUTED_VALUE"""),45768.0)</f>
        <v>45768</v>
      </c>
      <c r="H460" s="85"/>
      <c r="I460" s="85"/>
      <c r="J460" s="85"/>
      <c r="K460" s="85"/>
      <c r="L460" s="85">
        <f>IFERROR(__xludf.DUMMYFUNCTION("""COMPUTED_VALUE"""),6.0)</f>
        <v>6</v>
      </c>
      <c r="M460" s="85" t="str">
        <f>IFERROR(__xludf.DUMMYFUNCTION("""COMPUTED_VALUE"""),"ü")</f>
        <v>ü</v>
      </c>
      <c r="N460" s="85"/>
      <c r="O460" s="85"/>
      <c r="P460" s="85" t="str">
        <f>IFERROR(__xludf.DUMMYFUNCTION("""COMPUTED_VALUE"""),"53BSPA09338JBHDT")</f>
        <v>53BSPA09338JBHDT</v>
      </c>
      <c r="Q460" s="85" t="str">
        <f>IFERROR(__xludf.DUMMYFUNCTION("""COMPUTED_VALUE"""),"MUC ROCK HOLIC")</f>
        <v>MUC ROCK HOLIC</v>
      </c>
      <c r="R460" s="85" t="str">
        <f>IFERROR(__xludf.DUMMYFUNCTION("""COMPUTED_VALUE"""),"MUC ROCK HOLIC")</f>
        <v>MUC ROCK HOLIC</v>
      </c>
      <c r="S460" s="85" t="str">
        <f>IFERROR(__xludf.DUMMYFUNCTION("""COMPUTED_VALUE"""),"Ardhy Kirana")</f>
        <v>Ardhy Kirana</v>
      </c>
      <c r="T460" s="85" t="str">
        <f>IFERROR(__xludf.DUMMYFUNCTION("""COMPUTED_VALUE"""),"Jl.Arum Sari V No.12 RT.03/12 Kel.Babakansari Kec.Kiaracondong Kota Bandung 40283")</f>
        <v>Jl.Arum Sari V No.12 RT.03/12 Kel.Babakansari Kec.Kiaracondong Kota Bandung 40283</v>
      </c>
      <c r="U460" s="85" t="str">
        <f>IFERROR(__xludf.DUMMYFUNCTION("""COMPUTED_VALUE"""),"Jl.Arum Sari V No.12 RT.03/12 ")</f>
        <v>Jl.Arum Sari V No.12 RT.03/12 </v>
      </c>
      <c r="V460" s="85"/>
      <c r="W460" s="85" t="str">
        <f>IFERROR(__xludf.DUMMYFUNCTION("""COMPUTED_VALUE"""),"Babakansari")</f>
        <v>Babakansari</v>
      </c>
      <c r="X460" s="85" t="str">
        <f>IFERROR(__xludf.DUMMYFUNCTION("""COMPUTED_VALUE"""),"Kiaracondong")</f>
        <v>Kiaracondong</v>
      </c>
      <c r="Y460" s="85" t="str">
        <f>IFERROR(__xludf.DUMMYFUNCTION("""COMPUTED_VALUE"""),"Kota Bandung")</f>
        <v>Kota Bandung</v>
      </c>
      <c r="Z460" s="85" t="str">
        <f>IFERROR(__xludf.DUMMYFUNCTION("""COMPUTED_VALUE"""),"Jawa Barat")</f>
        <v>Jawa Barat</v>
      </c>
      <c r="AA460" s="85" t="str">
        <f>IFERROR(__xludf.DUMMYFUNCTION("""COMPUTED_VALUE"""),"40283")</f>
        <v>40283</v>
      </c>
      <c r="AB460" s="85" t="str">
        <f>IFERROR(__xludf.DUMMYFUNCTION("""COMPUTED_VALUE"""),"3604050403840002")</f>
        <v>3604050403840002</v>
      </c>
      <c r="AC460" s="85" t="str">
        <f>IFERROR(__xludf.DUMMYFUNCTION("""COMPUTED_VALUE"""),"34.647.856.3-424.000")</f>
        <v>34.647.856.3-424.000</v>
      </c>
      <c r="AD460" s="85" t="str">
        <f>IFERROR(__xludf.DUMMYFUNCTION("""COMPUTED_VALUE"""),"CUM - HDT")</f>
        <v>CUM - HDT</v>
      </c>
      <c r="AE460" s="85" t="str">
        <f>IFERROR(__xludf.DUMMYFUNCTION("""COMPUTED_VALUE"""),"SUB HDT")</f>
        <v>SUB HDT</v>
      </c>
      <c r="AF460" s="85" t="str">
        <f>IFERROR(__xludf.DUMMYFUNCTION("""COMPUTED_VALUE"""),"081220817640")</f>
        <v>081220817640</v>
      </c>
      <c r="AG460" s="85"/>
      <c r="AH460" s="85" t="str">
        <f>IFERROR(__xludf.DUMMYFUNCTION("""COMPUTED_VALUE"""),"Ardhy.kirana84@gmail.com")</f>
        <v>Ardhy.kirana84@gmail.com</v>
      </c>
      <c r="AI460" s="85" t="str">
        <f>IFERROR(__xludf.DUMMYFUNCTION("""COMPUTED_VALUE"""),"40283S2")</f>
        <v>40283S2</v>
      </c>
      <c r="AJ460" s="85" t="str">
        <f>IFERROR(__xludf.DUMMYFUNCTION("""COMPUTED_VALUE"""),"6805e89467269c82bc031603")</f>
        <v>6805e89467269c82bc031603</v>
      </c>
      <c r="AK460" s="85" t="str">
        <f>IFERROR(__xludf.DUMMYFUNCTION("""COMPUTED_VALUE"""),"dm40283s2")</f>
        <v>dm40283s2</v>
      </c>
      <c r="AL460" s="85" t="str">
        <f>IFERROR(__xludf.DUMMYFUNCTION("""COMPUTED_VALUE"""),"#40283Pos")</f>
        <v>#40283Pos</v>
      </c>
      <c r="AM460" s="85" t="str">
        <f>IFERROR(__xludf.DUMMYFUNCTION("""COMPUTED_VALUE"""),"KANTOR REGIONAL III BANDUNG 40004")</f>
        <v>KANTOR REGIONAL III BANDUNG 40004</v>
      </c>
      <c r="AN460" s="85" t="str">
        <f>IFERROR(__xludf.DUMMYFUNCTION("""COMPUTED_VALUE"""),"KCU BANDUNG 40000")</f>
        <v>KCU BANDUNG 40000</v>
      </c>
      <c r="AO460" s="85" t="str">
        <f>IFERROR(__xludf.DUMMYFUNCTION("""COMPUTED_VALUE"""),"1404250088009")</f>
        <v>1404250088009</v>
      </c>
      <c r="AP460" s="85" t="str">
        <f>IFERROR(__xludf.DUMMYFUNCTION("""COMPUTED_VALUE"""),"14042500880090001")</f>
        <v>14042500880090001</v>
      </c>
      <c r="AQ460" s="93"/>
      <c r="AR460" s="85"/>
      <c r="AS460" s="85"/>
      <c r="AT460" s="85" t="str">
        <f>IFERROR(__xludf.DUMMYFUNCTION("""COMPUTED_VALUE"""),"-6.924126")</f>
        <v>-6.924126</v>
      </c>
      <c r="AU460" s="85" t="str">
        <f>IFERROR(__xludf.DUMMYFUNCTION("""COMPUTED_VALUE"""),"107.652573")</f>
        <v>107.652573</v>
      </c>
      <c r="AV460" s="85"/>
      <c r="AW460" s="85"/>
      <c r="AX460" s="85" t="str">
        <f>IFERROR(__xludf.DUMMYFUNCTION("""COMPUTED_VALUE"""),"h")</f>
        <v>h</v>
      </c>
      <c r="AY460" s="85"/>
      <c r="AZ460" s="85"/>
      <c r="BA460" s="85"/>
      <c r="BB460" s="85"/>
      <c r="BC460" s="85"/>
      <c r="BD460" s="85"/>
      <c r="BE460" s="85"/>
      <c r="BF460" s="85"/>
      <c r="BG460" s="85"/>
      <c r="BH460" s="85"/>
      <c r="BI460" s="85"/>
      <c r="BJ460" s="85"/>
      <c r="BK460" s="85"/>
      <c r="BL460" s="85"/>
      <c r="BM460" s="85"/>
      <c r="BN460" s="85"/>
      <c r="BO460" s="85"/>
      <c r="BP460" s="85"/>
      <c r="BQ460" s="85"/>
      <c r="BR460" s="85"/>
      <c r="BS460" s="85"/>
      <c r="BT460" s="85"/>
      <c r="BU460" s="85"/>
      <c r="BV460" s="85"/>
      <c r="BW460" s="85"/>
      <c r="BX460" s="85" t="str">
        <f>IFERROR(__xludf.DUMMYFUNCTION("""COMPUTED_VALUE"""),"NEWBIE OLSHOP")</f>
        <v>NEWBIE OLSHOP</v>
      </c>
      <c r="BY460" s="85"/>
      <c r="BZ460" s="85"/>
      <c r="CA460" s="85"/>
      <c r="CB460" s="85"/>
      <c r="CC460" s="85"/>
      <c r="CD460" s="85"/>
      <c r="CE460" s="85"/>
      <c r="CF460" s="85"/>
      <c r="CG460" s="85"/>
      <c r="CH460" s="85"/>
      <c r="CI460" s="85"/>
      <c r="CJ460" s="85"/>
      <c r="CK460" s="2"/>
    </row>
    <row r="461" ht="12.75" customHeight="1">
      <c r="A461" s="80">
        <f>IFERROR(__xludf.DUMMYFUNCTION("""COMPUTED_VALUE"""),458.0)</f>
        <v>458</v>
      </c>
      <c r="B461" s="80"/>
      <c r="C461" s="80"/>
      <c r="D461" s="81">
        <f>IFERROR(__xludf.DUMMYFUNCTION("""COMPUTED_VALUE"""),45763.0)</f>
        <v>45763</v>
      </c>
      <c r="E461" s="82"/>
      <c r="F461" s="80"/>
      <c r="G461" s="81">
        <f>IFERROR(__xludf.DUMMYFUNCTION("""COMPUTED_VALUE"""),45783.0)</f>
        <v>45783</v>
      </c>
      <c r="H461" s="80"/>
      <c r="I461" s="80"/>
      <c r="J461" s="80"/>
      <c r="K461" s="80"/>
      <c r="L461" s="80">
        <f>IFERROR(__xludf.DUMMYFUNCTION("""COMPUTED_VALUE"""),20.0)</f>
        <v>20</v>
      </c>
      <c r="M461" s="80" t="str">
        <f>IFERROR(__xludf.DUMMYFUNCTION("""COMPUTED_VALUE"""),"ü")</f>
        <v>ü</v>
      </c>
      <c r="N461" s="80"/>
      <c r="O461" s="80"/>
      <c r="P461" s="80" t="str">
        <f>IFERROR(__xludf.DUMMYFUNCTION("""COMPUTED_VALUE"""),"53BSPA09476JBEEN")</f>
        <v>53BSPA09476JBEEN</v>
      </c>
      <c r="Q461" s="80" t="str">
        <f>IFERROR(__xludf.DUMMYFUNCTION("""COMPUTED_VALUE"""),"MUC Kecipik Masangan Kulon")</f>
        <v>MUC Kecipik Masangan Kulon</v>
      </c>
      <c r="R461" s="80" t="str">
        <f>IFERROR(__xludf.DUMMYFUNCTION("""COMPUTED_VALUE"""),"MUC Kecipik Masangan Kulon")</f>
        <v>MUC Kecipik Masangan Kulon</v>
      </c>
      <c r="S461" s="80" t="str">
        <f>IFERROR(__xludf.DUMMYFUNCTION("""COMPUTED_VALUE"""),"Aidatur Rohmah")</f>
        <v>Aidatur Rohmah</v>
      </c>
      <c r="T461" s="80" t="str">
        <f>IFERROR(__xludf.DUMMYFUNCTION("""COMPUTED_VALUE"""),"JL. KOL SUGIONO NO.94 RT.004 RW.002 KEL. KUREKSARI KEC. WARU KAB. SIDOARJO")</f>
        <v>JL. KOL SUGIONO NO.94 RT.004 RW.002 KEL. KUREKSARI KEC. WARU KAB. SIDOARJO</v>
      </c>
      <c r="U461" s="80" t="str">
        <f>IFERROR(__xludf.DUMMYFUNCTION("""COMPUTED_VALUE"""),"Jl. Raya Griya Bhayangkara RT.12 RW.04 Desa Kecipik")</f>
        <v>Jl. Raya Griya Bhayangkara RT.12 RW.04 Desa Kecipik</v>
      </c>
      <c r="V461" s="80"/>
      <c r="W461" s="80" t="str">
        <f>IFERROR(__xludf.DUMMYFUNCTION("""COMPUTED_VALUE"""),"Masangankulon")</f>
        <v>Masangankulon</v>
      </c>
      <c r="X461" s="80" t="str">
        <f>IFERROR(__xludf.DUMMYFUNCTION("""COMPUTED_VALUE"""),"Sukodono")</f>
        <v>Sukodono</v>
      </c>
      <c r="Y461" s="80" t="str">
        <f>IFERROR(__xludf.DUMMYFUNCTION("""COMPUTED_VALUE"""),"Kab. Sidoarjo")</f>
        <v>Kab. Sidoarjo</v>
      </c>
      <c r="Z461" s="80" t="str">
        <f>IFERROR(__xludf.DUMMYFUNCTION("""COMPUTED_VALUE"""),"Jawa Timur")</f>
        <v>Jawa Timur</v>
      </c>
      <c r="AA461" s="80" t="str">
        <f>IFERROR(__xludf.DUMMYFUNCTION("""COMPUTED_VALUE"""),"61258")</f>
        <v>61258</v>
      </c>
      <c r="AB461" s="80" t="str">
        <f>IFERROR(__xludf.DUMMYFUNCTION("""COMPUTED_VALUE"""),"3516086604880001 ")</f>
        <v>3516086604880001 </v>
      </c>
      <c r="AC461" s="80" t="str">
        <f>IFERROR(__xludf.DUMMYFUNCTION("""COMPUTED_VALUE"""),"98.182.131.7-602.000")</f>
        <v>98.182.131.7-602.000</v>
      </c>
      <c r="AD461" s="80" t="str">
        <f>IFERROR(__xludf.DUMMYFUNCTION("""COMPUTED_VALUE"""),"CUM - EEN")</f>
        <v>CUM - EEN</v>
      </c>
      <c r="AE461" s="80" t="str">
        <f>IFERROR(__xludf.DUMMYFUNCTION("""COMPUTED_VALUE"""),"SUB EEN")</f>
        <v>SUB EEN</v>
      </c>
      <c r="AF461" s="80" t="str">
        <f>IFERROR(__xludf.DUMMYFUNCTION("""COMPUTED_VALUE"""),"087856047742")</f>
        <v>087856047742</v>
      </c>
      <c r="AG461" s="80"/>
      <c r="AH461" s="80" t="str">
        <f>IFERROR(__xludf.DUMMYFUNCTION("""COMPUTED_VALUE"""),"rahmaaida88@gmail.com")</f>
        <v>rahmaaida88@gmail.com</v>
      </c>
      <c r="AI461" s="80" t="str">
        <f>IFERROR(__xludf.DUMMYFUNCTION("""COMPUTED_VALUE"""),"61258SR")</f>
        <v>61258SR</v>
      </c>
      <c r="AJ461" s="80" t="str">
        <f>IFERROR(__xludf.DUMMYFUNCTION("""COMPUTED_VALUE"""),"6818d7b04ce91ca72b04cc36")</f>
        <v>6818d7b04ce91ca72b04cc36</v>
      </c>
      <c r="AK461" s="80" t="str">
        <f>IFERROR(__xludf.DUMMYFUNCTION("""COMPUTED_VALUE"""),"dm61258sr")</f>
        <v>dm61258sr</v>
      </c>
      <c r="AL461" s="80" t="str">
        <f>IFERROR(__xludf.DUMMYFUNCTION("""COMPUTED_VALUE"""),"#61258Pos")</f>
        <v>#61258Pos</v>
      </c>
      <c r="AM461" s="80" t="str">
        <f>IFERROR(__xludf.DUMMYFUNCTION("""COMPUTED_VALUE"""),"KANTOR REGIONAL V SURABAYA 60004")</f>
        <v>KANTOR REGIONAL V SURABAYA 60004</v>
      </c>
      <c r="AN461" s="80" t="str">
        <f>IFERROR(__xludf.DUMMYFUNCTION("""COMPUTED_VALUE"""),"KC SIDOARJO")</f>
        <v>KC SIDOARJO</v>
      </c>
      <c r="AO461" s="80" t="str">
        <f>IFERROR(__xludf.DUMMYFUNCTION("""COMPUTED_VALUE"""),"1504250090418")</f>
        <v>1504250090418</v>
      </c>
      <c r="AP461" s="80" t="str">
        <f>IFERROR(__xludf.DUMMYFUNCTION("""COMPUTED_VALUE"""),"15042500904180001")</f>
        <v>15042500904180001</v>
      </c>
      <c r="AQ461" s="83"/>
      <c r="AR461" s="80"/>
      <c r="AS461" s="80"/>
      <c r="AT461" s="80" t="str">
        <f>IFERROR(__xludf.DUMMYFUNCTION("""COMPUTED_VALUE"""),"-7.376174")</f>
        <v>-7.376174</v>
      </c>
      <c r="AU461" s="80" t="str">
        <f>IFERROR(__xludf.DUMMYFUNCTION("""COMPUTED_VALUE"""),"112.685272")</f>
        <v>112.685272</v>
      </c>
      <c r="AV461" s="80"/>
      <c r="AW461" s="80"/>
      <c r="AX461" s="80" t="str">
        <f>IFERROR(__xludf.DUMMYFUNCTION("""COMPUTED_VALUE"""),"h")</f>
        <v>h</v>
      </c>
      <c r="AY461" s="80"/>
      <c r="AZ461" s="80"/>
      <c r="BA461" s="80"/>
      <c r="BB461" s="80"/>
      <c r="BC461" s="80"/>
      <c r="BD461" s="80"/>
      <c r="BE461" s="80"/>
      <c r="BF461" s="80"/>
      <c r="BG461" s="80"/>
      <c r="BH461" s="80"/>
      <c r="BI461" s="80"/>
      <c r="BJ461" s="80"/>
      <c r="BK461" s="80"/>
      <c r="BL461" s="80"/>
      <c r="BM461" s="80"/>
      <c r="BN461" s="80"/>
      <c r="BO461" s="80"/>
      <c r="BP461" s="80"/>
      <c r="BQ461" s="80"/>
      <c r="BR461" s="80"/>
      <c r="BS461" s="80"/>
      <c r="BT461" s="80"/>
      <c r="BU461" s="80"/>
      <c r="BV461" s="80"/>
      <c r="BW461" s="80"/>
      <c r="BX461" s="80"/>
      <c r="BY461" s="80"/>
      <c r="BZ461" s="80" t="str">
        <f>IFERROR(__xludf.DUMMYFUNCTION("""COMPUTED_VALUE"""),"SPX")</f>
        <v>SPX</v>
      </c>
      <c r="CA461" s="80"/>
      <c r="CB461" s="80" t="str">
        <f>IFERROR(__xludf.DUMMYFUNCTION("""COMPUTED_VALUE"""),"WAHANA")</f>
        <v>WAHANA</v>
      </c>
      <c r="CC461" s="80"/>
      <c r="CD461" s="80"/>
      <c r="CE461" s="80"/>
      <c r="CF461" s="80"/>
      <c r="CG461" s="80"/>
      <c r="CH461" s="80"/>
      <c r="CI461" s="80"/>
      <c r="CJ461" s="80"/>
      <c r="CK461" s="2"/>
    </row>
    <row r="462" ht="12.75" customHeight="1">
      <c r="A462" s="85">
        <f>IFERROR(__xludf.DUMMYFUNCTION("""COMPUTED_VALUE"""),459.0)</f>
        <v>459</v>
      </c>
      <c r="B462" s="85"/>
      <c r="C462" s="85"/>
      <c r="D462" s="86">
        <f>IFERROR(__xludf.DUMMYFUNCTION("""COMPUTED_VALUE"""),45764.0)</f>
        <v>45764</v>
      </c>
      <c r="E462" s="88"/>
      <c r="F462" s="85"/>
      <c r="G462" s="86">
        <f>IFERROR(__xludf.DUMMYFUNCTION("""COMPUTED_VALUE"""),45768.0)</f>
        <v>45768</v>
      </c>
      <c r="H462" s="85"/>
      <c r="I462" s="85"/>
      <c r="J462" s="85"/>
      <c r="K462" s="85"/>
      <c r="L462" s="85">
        <f>IFERROR(__xludf.DUMMYFUNCTION("""COMPUTED_VALUE"""),4.0)</f>
        <v>4</v>
      </c>
      <c r="M462" s="85" t="str">
        <f>IFERROR(__xludf.DUMMYFUNCTION("""COMPUTED_VALUE"""),"ü")</f>
        <v>ü</v>
      </c>
      <c r="N462" s="85"/>
      <c r="O462" s="85"/>
      <c r="P462" s="85" t="str">
        <f>IFERROR(__xludf.DUMMYFUNCTION("""COMPUTED_VALUE"""),"53BSPA09339JBHDT")</f>
        <v>53BSPA09339JBHDT</v>
      </c>
      <c r="Q462" s="85" t="str">
        <f>IFERROR(__xludf.DUMMYFUNCTION("""COMPUTED_VALUE"""),"MUC NEIF COLLECTION")</f>
        <v>MUC NEIF COLLECTION</v>
      </c>
      <c r="R462" s="85" t="str">
        <f>IFERROR(__xludf.DUMMYFUNCTION("""COMPUTED_VALUE"""),"MUC NEIF COLLECTION")</f>
        <v>MUC NEIF COLLECTION</v>
      </c>
      <c r="S462" s="85" t="str">
        <f>IFERROR(__xludf.DUMMYFUNCTION("""COMPUTED_VALUE"""),"IRFAN SOPIAN")</f>
        <v>IRFAN SOPIAN</v>
      </c>
      <c r="T462" s="85" t="str">
        <f>IFERROR(__xludf.DUMMYFUNCTION("""COMPUTED_VALUE"""),"KP.BABAKAN RT.002 RW.009 KEL.RANCAMANYAR KEC.BALEENDAH KAB.BANDUNG")</f>
        <v>KP.BABAKAN RT.002 RW.009 KEL.RANCAMANYAR KEC.BALEENDAH KAB.BANDUNG</v>
      </c>
      <c r="U462" s="85" t="str">
        <f>IFERROR(__xludf.DUMMYFUNCTION("""COMPUTED_VALUE"""),"KP.BABAKAN RT.002 RW.009 KEL.RANCAMANYAR KEC.BALEENDAH KAB.BANDUNG")</f>
        <v>KP.BABAKAN RT.002 RW.009 KEL.RANCAMANYAR KEC.BALEENDAH KAB.BANDUNG</v>
      </c>
      <c r="V462" s="85"/>
      <c r="W462" s="85" t="str">
        <f>IFERROR(__xludf.DUMMYFUNCTION("""COMPUTED_VALUE"""),"RANCAMANYAR")</f>
        <v>RANCAMANYAR</v>
      </c>
      <c r="X462" s="85" t="str">
        <f>IFERROR(__xludf.DUMMYFUNCTION("""COMPUTED_VALUE"""),"BALEENDAH")</f>
        <v>BALEENDAH</v>
      </c>
      <c r="Y462" s="85" t="str">
        <f>IFERROR(__xludf.DUMMYFUNCTION("""COMPUTED_VALUE"""),"KAB. BANDUNG")</f>
        <v>KAB. BANDUNG</v>
      </c>
      <c r="Z462" s="85" t="str">
        <f>IFERROR(__xludf.DUMMYFUNCTION("""COMPUTED_VALUE"""),"JAWA BARAT")</f>
        <v>JAWA BARAT</v>
      </c>
      <c r="AA462" s="85" t="str">
        <f>IFERROR(__xludf.DUMMYFUNCTION("""COMPUTED_VALUE"""),"40375")</f>
        <v>40375</v>
      </c>
      <c r="AB462" s="85" t="str">
        <f>IFERROR(__xludf.DUMMYFUNCTION("""COMPUTED_VALUE"""),"3204320205960012")</f>
        <v>3204320205960012</v>
      </c>
      <c r="AC462" s="85" t="str">
        <f>IFERROR(__xludf.DUMMYFUNCTION("""COMPUTED_VALUE"""),"83.873.918.3-424.000")</f>
        <v>83.873.918.3-424.000</v>
      </c>
      <c r="AD462" s="85" t="str">
        <f>IFERROR(__xludf.DUMMYFUNCTION("""COMPUTED_VALUE"""),"CUM - HDT")</f>
        <v>CUM - HDT</v>
      </c>
      <c r="AE462" s="85" t="str">
        <f>IFERROR(__xludf.DUMMYFUNCTION("""COMPUTED_VALUE"""),"SUB HDT")</f>
        <v>SUB HDT</v>
      </c>
      <c r="AF462" s="85" t="str">
        <f>IFERROR(__xludf.DUMMYFUNCTION("""COMPUTED_VALUE"""),"089505217612")</f>
        <v>089505217612</v>
      </c>
      <c r="AG462" s="85"/>
      <c r="AH462" s="85" t="str">
        <f>IFERROR(__xludf.DUMMYFUNCTION("""COMPUTED_VALUE"""),"carollinefrisca@gmail.com")</f>
        <v>carollinefrisca@gmail.com</v>
      </c>
      <c r="AI462" s="85" t="str">
        <f>IFERROR(__xludf.DUMMYFUNCTION("""COMPUTED_VALUE"""),"40375SA")</f>
        <v>40375SA</v>
      </c>
      <c r="AJ462" s="85" t="str">
        <f>IFERROR(__xludf.DUMMYFUNCTION("""COMPUTED_VALUE"""),"680439516f2aa5a67d08957f")</f>
        <v>680439516f2aa5a67d08957f</v>
      </c>
      <c r="AK462" s="85" t="str">
        <f>IFERROR(__xludf.DUMMYFUNCTION("""COMPUTED_VALUE"""),"dm40375sa")</f>
        <v>dm40375sa</v>
      </c>
      <c r="AL462" s="85" t="str">
        <f>IFERROR(__xludf.DUMMYFUNCTION("""COMPUTED_VALUE"""),"#40375Pos")</f>
        <v>#40375Pos</v>
      </c>
      <c r="AM462" s="85" t="str">
        <f>IFERROR(__xludf.DUMMYFUNCTION("""COMPUTED_VALUE"""),"KANTOR REGIONAL III BANDUNG 40004")</f>
        <v>KANTOR REGIONAL III BANDUNG 40004</v>
      </c>
      <c r="AN462" s="85" t="str">
        <f>IFERROR(__xludf.DUMMYFUNCTION("""COMPUTED_VALUE"""),"KC SOREANG 40900")</f>
        <v>KC SOREANG 40900</v>
      </c>
      <c r="AO462" s="85" t="str">
        <f>IFERROR(__xludf.DUMMYFUNCTION("""COMPUTED_VALUE"""),"1604250089174")</f>
        <v>1604250089174</v>
      </c>
      <c r="AP462" s="85" t="str">
        <f>IFERROR(__xludf.DUMMYFUNCTION("""COMPUTED_VALUE"""),"16042500891740001")</f>
        <v>16042500891740001</v>
      </c>
      <c r="AQ462" s="93"/>
      <c r="AR462" s="85"/>
      <c r="AS462" s="85"/>
      <c r="AT462" s="85" t="str">
        <f>IFERROR(__xludf.DUMMYFUNCTION("""COMPUTED_VALUE"""),"-6.9861391")</f>
        <v>-6.9861391</v>
      </c>
      <c r="AU462" s="85" t="str">
        <f>IFERROR(__xludf.DUMMYFUNCTION("""COMPUTED_VALUE"""),"107.5934286")</f>
        <v>107.5934286</v>
      </c>
      <c r="AV462" s="85"/>
      <c r="AW462" s="85"/>
      <c r="AX462" s="85" t="str">
        <f>IFERROR(__xludf.DUMMYFUNCTION("""COMPUTED_VALUE"""),"h")</f>
        <v>h</v>
      </c>
      <c r="AY462" s="85"/>
      <c r="AZ462" s="85"/>
      <c r="BA462" s="85"/>
      <c r="BB462" s="85"/>
      <c r="BC462" s="85"/>
      <c r="BD462" s="85"/>
      <c r="BE462" s="85"/>
      <c r="BF462" s="85"/>
      <c r="BG462" s="85"/>
      <c r="BH462" s="85"/>
      <c r="BI462" s="85"/>
      <c r="BJ462" s="85"/>
      <c r="BK462" s="85"/>
      <c r="BL462" s="85"/>
      <c r="BM462" s="85"/>
      <c r="BN462" s="85"/>
      <c r="BO462" s="85"/>
      <c r="BP462" s="85"/>
      <c r="BQ462" s="85"/>
      <c r="BR462" s="85"/>
      <c r="BS462" s="85"/>
      <c r="BT462" s="85"/>
      <c r="BU462" s="85"/>
      <c r="BV462" s="85"/>
      <c r="BW462" s="85"/>
      <c r="BX462" s="85" t="str">
        <f>IFERROR(__xludf.DUMMYFUNCTION("""COMPUTED_VALUE"""),"NEWBIE TOKO KELONTONG")</f>
        <v>NEWBIE TOKO KELONTONG</v>
      </c>
      <c r="BY462" s="85"/>
      <c r="BZ462" s="85"/>
      <c r="CA462" s="85"/>
      <c r="CB462" s="85"/>
      <c r="CC462" s="85"/>
      <c r="CD462" s="85"/>
      <c r="CE462" s="85"/>
      <c r="CF462" s="85"/>
      <c r="CG462" s="85"/>
      <c r="CH462" s="85"/>
      <c r="CI462" s="85"/>
      <c r="CJ462" s="85"/>
      <c r="CK462" s="2"/>
    </row>
    <row r="463" ht="12.75" customHeight="1">
      <c r="A463" s="80">
        <f>IFERROR(__xludf.DUMMYFUNCTION("""COMPUTED_VALUE"""),460.0)</f>
        <v>460</v>
      </c>
      <c r="B463" s="80"/>
      <c r="C463" s="80"/>
      <c r="D463" s="81">
        <f>IFERROR(__xludf.DUMMYFUNCTION("""COMPUTED_VALUE"""),45768.0)</f>
        <v>45768</v>
      </c>
      <c r="E463" s="82"/>
      <c r="F463" s="80"/>
      <c r="G463" s="81">
        <f>IFERROR(__xludf.DUMMYFUNCTION("""COMPUTED_VALUE"""),45783.0)</f>
        <v>45783</v>
      </c>
      <c r="H463" s="80"/>
      <c r="I463" s="80"/>
      <c r="J463" s="80"/>
      <c r="K463" s="80"/>
      <c r="L463" s="80">
        <f>IFERROR(__xludf.DUMMYFUNCTION("""COMPUTED_VALUE"""),15.0)</f>
        <v>15</v>
      </c>
      <c r="M463" s="80"/>
      <c r="N463" s="80" t="str">
        <f>IFERROR(__xludf.DUMMYFUNCTION("""COMPUTED_VALUE"""),"ü")</f>
        <v>ü</v>
      </c>
      <c r="O463" s="80"/>
      <c r="P463" s="80" t="str">
        <f>IFERROR(__xludf.DUMMYFUNCTION("""COMPUTED_VALUE"""),"MUCSPA63116PSIND")</f>
        <v>MUCSPA63116PSIND</v>
      </c>
      <c r="Q463" s="80" t="str">
        <f>IFERROR(__xludf.DUMMYFUNCTION("""COMPUTED_VALUE"""),"MUC YOUR POST")</f>
        <v>MUC YOUR POST</v>
      </c>
      <c r="R463" s="80" t="str">
        <f>IFERROR(__xludf.DUMMYFUNCTION("""COMPUTED_VALUE"""),"MUC YOUR POST")</f>
        <v>MUC YOUR POST</v>
      </c>
      <c r="S463" s="80" t="str">
        <f>IFERROR(__xludf.DUMMYFUNCTION("""COMPUTED_VALUE"""),"Qashiratuttharafi")</f>
        <v>Qashiratuttharafi</v>
      </c>
      <c r="T463" s="80" t="str">
        <f>IFERROR(__xludf.DUMMYFUNCTION("""COMPUTED_VALUE"""),"Dusun Pelulan RT 003 Desa  Kuripan Utara Kecapamatan Kuripan Kabupaten Lombok Barat Provinsi NTB")</f>
        <v>Dusun Pelulan RT 003 Desa  Kuripan Utara Kecapamatan Kuripan Kabupaten Lombok Barat Provinsi NTB</v>
      </c>
      <c r="U463" s="80" t="str">
        <f>IFERROR(__xludf.DUMMYFUNCTION("""COMPUTED_VALUE"""),"Perumahan Polinesia Blok B 12, Jl. Raden Abdul Rahman Desa Bagek Polak  ")</f>
        <v>Perumahan Polinesia Blok B 12, Jl. Raden Abdul Rahman Desa Bagek Polak  </v>
      </c>
      <c r="V463" s="80"/>
      <c r="W463" s="80" t="str">
        <f>IFERROR(__xludf.DUMMYFUNCTION("""COMPUTED_VALUE"""),"Bagek Polak")</f>
        <v>Bagek Polak</v>
      </c>
      <c r="X463" s="80" t="str">
        <f>IFERROR(__xludf.DUMMYFUNCTION("""COMPUTED_VALUE"""),"Labuapi")</f>
        <v>Labuapi</v>
      </c>
      <c r="Y463" s="80" t="str">
        <f>IFERROR(__xludf.DUMMYFUNCTION("""COMPUTED_VALUE"""),"Lombok Barat")</f>
        <v>Lombok Barat</v>
      </c>
      <c r="Z463" s="80" t="str">
        <f>IFERROR(__xludf.DUMMYFUNCTION("""COMPUTED_VALUE"""),"NTB")</f>
        <v>NTB</v>
      </c>
      <c r="AA463" s="80" t="str">
        <f>IFERROR(__xludf.DUMMYFUNCTION("""COMPUTED_VALUE"""),"83361")</f>
        <v>83361</v>
      </c>
      <c r="AB463" s="80" t="str">
        <f>IFERROR(__xludf.DUMMYFUNCTION("""COMPUTED_VALUE"""),"5204065912900002")</f>
        <v>5204065912900002</v>
      </c>
      <c r="AC463" s="80" t="str">
        <f>IFERROR(__xludf.DUMMYFUNCTION("""COMPUTED_VALUE"""),"93.313.628.5-913.000")</f>
        <v>93.313.628.5-913.000</v>
      </c>
      <c r="AD463" s="80" t="str">
        <f>IFERROR(__xludf.DUMMYFUNCTION("""COMPUTED_VALUE"""),"CUM - NONKORGEN")</f>
        <v>CUM - NONKORGEN</v>
      </c>
      <c r="AE463" s="80" t="str">
        <f>IFERROR(__xludf.DUMMYFUNCTION("""COMPUTED_VALUE"""),"SUB NON KORGEN/ PAKSUDIRMAN")</f>
        <v>SUB NON KORGEN/ PAKSUDIRMAN</v>
      </c>
      <c r="AF463" s="80" t="str">
        <f>IFERROR(__xludf.DUMMYFUNCTION("""COMPUTED_VALUE"""),"081915910864")</f>
        <v>081915910864</v>
      </c>
      <c r="AG463" s="80"/>
      <c r="AH463" s="80" t="str">
        <f>IFERROR(__xludf.DUMMYFUNCTION("""COMPUTED_VALUE"""),"loyalfairy@gmail.com")</f>
        <v>loyalfairy@gmail.com</v>
      </c>
      <c r="AI463" s="80" t="str">
        <f>IFERROR(__xludf.DUMMYFUNCTION("""COMPUTED_VALUE"""),"83361S2")</f>
        <v>83361S2</v>
      </c>
      <c r="AJ463" s="80" t="str">
        <f>IFERROR(__xludf.DUMMYFUNCTION("""COMPUTED_VALUE"""),"68182d48f73776aaf10f343f")</f>
        <v>68182d48f73776aaf10f343f</v>
      </c>
      <c r="AK463" s="80" t="str">
        <f>IFERROR(__xludf.DUMMYFUNCTION("""COMPUTED_VALUE"""),"dm83361s2")</f>
        <v>dm83361s2</v>
      </c>
      <c r="AL463" s="80" t="str">
        <f>IFERROR(__xludf.DUMMYFUNCTION("""COMPUTED_VALUE"""),"#83361Pos")</f>
        <v>#83361Pos</v>
      </c>
      <c r="AM463" s="80" t="str">
        <f>IFERROR(__xludf.DUMMYFUNCTION("""COMPUTED_VALUE"""),"KANTOR REGIONAL V SURABAYA 60004")</f>
        <v>KANTOR REGIONAL V SURABAYA 60004</v>
      </c>
      <c r="AN463" s="80" t="str">
        <f>IFERROR(__xludf.DUMMYFUNCTION("""COMPUTED_VALUE"""),"KCU MATARAM")</f>
        <v>KCU MATARAM</v>
      </c>
      <c r="AO463" s="80" t="str">
        <f>IFERROR(__xludf.DUMMYFUNCTION("""COMPUTED_VALUE"""),"0203010031521")</f>
        <v>0203010031521</v>
      </c>
      <c r="AP463" s="80" t="str">
        <f>IFERROR(__xludf.DUMMYFUNCTION("""COMPUTED_VALUE"""),"02030100315210001")</f>
        <v>02030100315210001</v>
      </c>
      <c r="AQ463" s="83"/>
      <c r="AR463" s="80"/>
      <c r="AS463" s="80"/>
      <c r="AT463" s="80" t="str">
        <f>IFERROR(__xludf.DUMMYFUNCTION("""COMPUTED_VALUE"""),"-8.6257526")</f>
        <v>-8.6257526</v>
      </c>
      <c r="AU463" s="80" t="str">
        <f>IFERROR(__xludf.DUMMYFUNCTION("""COMPUTED_VALUE"""),"116.1294683")</f>
        <v>116.1294683</v>
      </c>
      <c r="AV463" s="80"/>
      <c r="AW463" s="80"/>
      <c r="AX463" s="80" t="str">
        <f>IFERROR(__xludf.DUMMYFUNCTION("""COMPUTED_VALUE"""),"h")</f>
        <v>h</v>
      </c>
      <c r="AY463" s="80"/>
      <c r="AZ463" s="80"/>
      <c r="BA463" s="80"/>
      <c r="BB463" s="80"/>
      <c r="BC463" s="80"/>
      <c r="BD463" s="80"/>
      <c r="BE463" s="80"/>
      <c r="BF463" s="80"/>
      <c r="BG463" s="80"/>
      <c r="BH463" s="80"/>
      <c r="BI463" s="80"/>
      <c r="BJ463" s="80"/>
      <c r="BK463" s="80"/>
      <c r="BL463" s="80"/>
      <c r="BM463" s="80"/>
      <c r="BN463" s="80"/>
      <c r="BO463" s="80"/>
      <c r="BP463" s="80"/>
      <c r="BQ463" s="80"/>
      <c r="BR463" s="80"/>
      <c r="BS463" s="80"/>
      <c r="BT463" s="80"/>
      <c r="BU463" s="80"/>
      <c r="BV463" s="80"/>
      <c r="BW463" s="80"/>
      <c r="BX463" s="80" t="str">
        <f>IFERROR(__xludf.DUMMYFUNCTION("""COMPUTED_VALUE"""),"NEWBIE")</f>
        <v>NEWBIE</v>
      </c>
      <c r="BY463" s="80"/>
      <c r="BZ463" s="80"/>
      <c r="CA463" s="80"/>
      <c r="CB463" s="80"/>
      <c r="CC463" s="80"/>
      <c r="CD463" s="80"/>
      <c r="CE463" s="80"/>
      <c r="CF463" s="80"/>
      <c r="CG463" s="80"/>
      <c r="CH463" s="80"/>
      <c r="CI463" s="80"/>
      <c r="CJ463" s="80"/>
      <c r="CK463" s="2"/>
    </row>
    <row r="464" ht="14.25" customHeight="1">
      <c r="A464" s="85">
        <f>IFERROR(__xludf.DUMMYFUNCTION("""COMPUTED_VALUE"""),461.0)</f>
        <v>461</v>
      </c>
      <c r="B464" s="85"/>
      <c r="C464" s="85"/>
      <c r="D464" s="86">
        <f>IFERROR(__xludf.DUMMYFUNCTION("""COMPUTED_VALUE"""),45768.0)</f>
        <v>45768</v>
      </c>
      <c r="E464" s="88"/>
      <c r="F464" s="85"/>
      <c r="G464" s="86">
        <f>IFERROR(__xludf.DUMMYFUNCTION("""COMPUTED_VALUE"""),45775.0)</f>
        <v>45775</v>
      </c>
      <c r="H464" s="85"/>
      <c r="I464" s="85"/>
      <c r="J464" s="85"/>
      <c r="K464" s="85"/>
      <c r="L464" s="85">
        <f>IFERROR(__xludf.DUMMYFUNCTION("""COMPUTED_VALUE"""),7.0)</f>
        <v>7</v>
      </c>
      <c r="M464" s="85" t="str">
        <f>IFERROR(__xludf.DUMMYFUNCTION("""COMPUTED_VALUE"""),"ü")</f>
        <v>ü</v>
      </c>
      <c r="N464" s="85"/>
      <c r="O464" s="85"/>
      <c r="P464" s="85" t="str">
        <f>IFERROR(__xludf.DUMMYFUNCTION("""COMPUTED_VALUE"""),"MUCSPA63117PSIND")</f>
        <v>MUCSPA63117PSIND</v>
      </c>
      <c r="Q464" s="85" t="str">
        <f>IFERROR(__xludf.DUMMYFUNCTION("""COMPUTED_VALUE"""),"MUC Nguter Post")</f>
        <v>MUC Nguter Post</v>
      </c>
      <c r="R464" s="85" t="str">
        <f>IFERROR(__xludf.DUMMYFUNCTION("""COMPUTED_VALUE"""),"MUC Nguter Post")</f>
        <v>MUC Nguter Post</v>
      </c>
      <c r="S464" s="85" t="str">
        <f>IFERROR(__xludf.DUMMYFUNCTION("""COMPUTED_VALUE"""),"Jaidhi Aliq Zaini, S.Sos")</f>
        <v>Jaidhi Aliq Zaini, S.Sos</v>
      </c>
      <c r="T464" s="85" t="str">
        <f>IFERROR(__xludf.DUMMYFUNCTION("""COMPUTED_VALUE"""),"Jl. Rusa VI No. 7, RT 004, RW 09, Kel. Cibodas Baru, Kec. Cibodas, Kita Tangerang 15138, Banten ")</f>
        <v>Jl. Rusa VI No. 7, RT 004, RW 09, Kel. Cibodas Baru, Kec. Cibodas, Kita Tangerang 15138, Banten </v>
      </c>
      <c r="U464" s="85" t="str">
        <f>IFERROR(__xludf.DUMMYFUNCTION("""COMPUTED_VALUE"""),"Nguter RT 002, RW 06")</f>
        <v>Nguter RT 002, RW 06</v>
      </c>
      <c r="V464" s="85"/>
      <c r="W464" s="85" t="str">
        <f>IFERROR(__xludf.DUMMYFUNCTION("""COMPUTED_VALUE"""),"Nguter ")</f>
        <v>Nguter </v>
      </c>
      <c r="X464" s="85" t="str">
        <f>IFERROR(__xludf.DUMMYFUNCTION("""COMPUTED_VALUE"""),"Nguter ")</f>
        <v>Nguter </v>
      </c>
      <c r="Y464" s="85" t="str">
        <f>IFERROR(__xludf.DUMMYFUNCTION("""COMPUTED_VALUE"""),"Sukoharjo ")</f>
        <v>Sukoharjo </v>
      </c>
      <c r="Z464" s="85" t="str">
        <f>IFERROR(__xludf.DUMMYFUNCTION("""COMPUTED_VALUE"""),"Jawa Tengah ")</f>
        <v>Jawa Tengah </v>
      </c>
      <c r="AA464" s="85" t="str">
        <f>IFERROR(__xludf.DUMMYFUNCTION("""COMPUTED_VALUE"""),"57571")</f>
        <v>57571</v>
      </c>
      <c r="AB464" s="85" t="str">
        <f>IFERROR(__xludf.DUMMYFUNCTION("""COMPUTED_VALUE"""),"3671091205600001")</f>
        <v>3671091205600001</v>
      </c>
      <c r="AC464" s="85" t="str">
        <f>IFERROR(__xludf.DUMMYFUNCTION("""COMPUTED_VALUE"""),"49.877.330.8-402.000")</f>
        <v>49.877.330.8-402.000</v>
      </c>
      <c r="AD464" s="85" t="str">
        <f>IFERROR(__xludf.DUMMYFUNCTION("""COMPUTED_VALUE"""),"CUM - NONKORGEN")</f>
        <v>CUM - NONKORGEN</v>
      </c>
      <c r="AE464" s="85" t="str">
        <f>IFERROR(__xludf.DUMMYFUNCTION("""COMPUTED_VALUE"""),"SUB NON KORGEN/ BU RUSTINA")</f>
        <v>SUB NON KORGEN/ BU RUSTINA</v>
      </c>
      <c r="AF464" s="85" t="str">
        <f>IFERROR(__xludf.DUMMYFUNCTION("""COMPUTED_VALUE"""),"081288531198")</f>
        <v>081288531198</v>
      </c>
      <c r="AG464" s="85"/>
      <c r="AH464" s="85" t="str">
        <f>IFERROR(__xludf.DUMMYFUNCTION("""COMPUTED_VALUE"""),"jaidhialiq@gmail.co.id")</f>
        <v>jaidhialiq@gmail.co.id</v>
      </c>
      <c r="AI464" s="85" t="str">
        <f>IFERROR(__xludf.DUMMYFUNCTION("""COMPUTED_VALUE"""),"57571S2")</f>
        <v>57571S2</v>
      </c>
      <c r="AJ464" s="85" t="str">
        <f>IFERROR(__xludf.DUMMYFUNCTION("""COMPUTED_VALUE"""),"680b264968cdd2a5d2020ca2")</f>
        <v>680b264968cdd2a5d2020ca2</v>
      </c>
      <c r="AK464" s="85" t="str">
        <f>IFERROR(__xludf.DUMMYFUNCTION("""COMPUTED_VALUE"""),"dm57571s2")</f>
        <v>dm57571s2</v>
      </c>
      <c r="AL464" s="85" t="str">
        <f>IFERROR(__xludf.DUMMYFUNCTION("""COMPUTED_VALUE"""),"#57571Pos")</f>
        <v>#57571Pos</v>
      </c>
      <c r="AM464" s="85" t="str">
        <f>IFERROR(__xludf.DUMMYFUNCTION("""COMPUTED_VALUE"""),"KANTOR REGIONAL IV SEMARANG 50004")</f>
        <v>KANTOR REGIONAL IV SEMARANG 50004</v>
      </c>
      <c r="AN464" s="85" t="str">
        <f>IFERROR(__xludf.DUMMYFUNCTION("""COMPUTED_VALUE"""),"KC SUKOHARJO")</f>
        <v>KC SUKOHARJO</v>
      </c>
      <c r="AO464" s="85" t="str">
        <f>IFERROR(__xludf.DUMMYFUNCTION("""COMPUTED_VALUE"""),"0312240026906")</f>
        <v>0312240026906</v>
      </c>
      <c r="AP464" s="85" t="str">
        <f>IFERROR(__xludf.DUMMYFUNCTION("""COMPUTED_VALUE"""),"03122400269060001")</f>
        <v>03122400269060001</v>
      </c>
      <c r="AQ464" s="93"/>
      <c r="AR464" s="85"/>
      <c r="AS464" s="85"/>
      <c r="AT464" s="85" t="str">
        <f>IFERROR(__xludf.DUMMYFUNCTION("""COMPUTED_VALUE"""),"-7.743775 ")</f>
        <v>-7.743775 </v>
      </c>
      <c r="AU464" s="85" t="str">
        <f>IFERROR(__xludf.DUMMYFUNCTION("""COMPUTED_VALUE"""),"110.876274")</f>
        <v>110.876274</v>
      </c>
      <c r="AV464" s="85"/>
      <c r="AW464" s="85"/>
      <c r="AX464" s="85" t="str">
        <f>IFERROR(__xludf.DUMMYFUNCTION("""COMPUTED_VALUE"""),"h")</f>
        <v>h</v>
      </c>
      <c r="AY464" s="85"/>
      <c r="AZ464" s="85"/>
      <c r="BA464" s="85"/>
      <c r="BB464" s="85"/>
      <c r="BC464" s="85"/>
      <c r="BD464" s="85"/>
      <c r="BE464" s="85"/>
      <c r="BF464" s="85"/>
      <c r="BG464" s="85"/>
      <c r="BH464" s="85"/>
      <c r="BI464" s="85"/>
      <c r="BJ464" s="85"/>
      <c r="BK464" s="85"/>
      <c r="BL464" s="85"/>
      <c r="BM464" s="85"/>
      <c r="BN464" s="85"/>
      <c r="BO464" s="85"/>
      <c r="BP464" s="85"/>
      <c r="BQ464" s="85"/>
      <c r="BR464" s="85"/>
      <c r="BS464" s="85"/>
      <c r="BT464" s="85"/>
      <c r="BU464" s="85"/>
      <c r="BV464" s="85"/>
      <c r="BW464" s="85"/>
      <c r="BX464" s="85" t="str">
        <f>IFERROR(__xludf.DUMMYFUNCTION("""COMPUTED_VALUE"""),"NEWBIE")</f>
        <v>NEWBIE</v>
      </c>
      <c r="BY464" s="85"/>
      <c r="BZ464" s="85"/>
      <c r="CA464" s="85"/>
      <c r="CB464" s="85"/>
      <c r="CC464" s="85"/>
      <c r="CD464" s="85"/>
      <c r="CE464" s="85"/>
      <c r="CF464" s="85"/>
      <c r="CG464" s="85"/>
      <c r="CH464" s="85"/>
      <c r="CI464" s="85"/>
      <c r="CJ464" s="85"/>
      <c r="CK464" s="2"/>
    </row>
    <row r="465" ht="12.75" customHeight="1">
      <c r="A465" s="80">
        <f>IFERROR(__xludf.DUMMYFUNCTION("""COMPUTED_VALUE"""),462.0)</f>
        <v>462</v>
      </c>
      <c r="B465" s="80"/>
      <c r="C465" s="80"/>
      <c r="D465" s="81">
        <f>IFERROR(__xludf.DUMMYFUNCTION("""COMPUTED_VALUE"""),45769.0)</f>
        <v>45769</v>
      </c>
      <c r="E465" s="82"/>
      <c r="F465" s="80"/>
      <c r="G465" s="81">
        <f>IFERROR(__xludf.DUMMYFUNCTION("""COMPUTED_VALUE"""),45771.0)</f>
        <v>45771</v>
      </c>
      <c r="H465" s="80"/>
      <c r="I465" s="80"/>
      <c r="J465" s="80"/>
      <c r="K465" s="80"/>
      <c r="L465" s="80">
        <f>IFERROR(__xludf.DUMMYFUNCTION("""COMPUTED_VALUE"""),2.0)</f>
        <v>2</v>
      </c>
      <c r="M465" s="80" t="str">
        <f>IFERROR(__xludf.DUMMYFUNCTION("""COMPUTED_VALUE"""),"ü")</f>
        <v>ü</v>
      </c>
      <c r="N465" s="80"/>
      <c r="O465" s="80"/>
      <c r="P465" s="80" t="str">
        <f>IFERROR(__xludf.DUMMYFUNCTION("""COMPUTED_VALUE"""),"MUCSPA63118PSIND")</f>
        <v>MUCSPA63118PSIND</v>
      </c>
      <c r="Q465" s="80" t="str">
        <f>IFERROR(__xludf.DUMMYFUNCTION("""COMPUTED_VALUE"""),"MUC Pameuntasan")</f>
        <v>MUC Pameuntasan</v>
      </c>
      <c r="R465" s="80" t="str">
        <f>IFERROR(__xludf.DUMMYFUNCTION("""COMPUTED_VALUE"""),"MUC Pameuntasan")</f>
        <v>MUC Pameuntasan</v>
      </c>
      <c r="S465" s="80" t="str">
        <f>IFERROR(__xludf.DUMMYFUNCTION("""COMPUTED_VALUE"""),"Rendy Krisbiantoro")</f>
        <v>Rendy Krisbiantoro</v>
      </c>
      <c r="T465" s="80" t="str">
        <f>IFERROR(__xludf.DUMMYFUNCTION("""COMPUTED_VALUE"""),"JL. CIBUNTU SELATAN RT.007 RW.005 BABAKAN, BABAKAN CIPARAY, KOTA BANDUNG ")</f>
        <v>JL. CIBUNTU SELATAN RT.007 RW.005 BABAKAN, BABAKAN CIPARAY, KOTA BANDUNG </v>
      </c>
      <c r="U465" s="80" t="str">
        <f>IFERROR(__xludf.DUMMYFUNCTION("""COMPUTED_VALUE"""),"Jl. Pameuntasan No. 9C Kp. Sukalilah")</f>
        <v>Jl. Pameuntasan No. 9C Kp. Sukalilah</v>
      </c>
      <c r="V465" s="80"/>
      <c r="W465" s="80" t="str">
        <f>IFERROR(__xludf.DUMMYFUNCTION("""COMPUTED_VALUE"""),"Pameuntasan")</f>
        <v>Pameuntasan</v>
      </c>
      <c r="X465" s="80" t="str">
        <f>IFERROR(__xludf.DUMMYFUNCTION("""COMPUTED_VALUE"""),"Kutawaringin")</f>
        <v>Kutawaringin</v>
      </c>
      <c r="Y465" s="80" t="str">
        <f>IFERROR(__xludf.DUMMYFUNCTION("""COMPUTED_VALUE"""),"Kab. Bandung")</f>
        <v>Kab. Bandung</v>
      </c>
      <c r="Z465" s="80" t="str">
        <f>IFERROR(__xludf.DUMMYFUNCTION("""COMPUTED_VALUE"""),"Jawa Barat")</f>
        <v>Jawa Barat</v>
      </c>
      <c r="AA465" s="80" t="str">
        <f>IFERROR(__xludf.DUMMYFUNCTION("""COMPUTED_VALUE"""),"40911")</f>
        <v>40911</v>
      </c>
      <c r="AB465" s="80" t="str">
        <f>IFERROR(__xludf.DUMMYFUNCTION("""COMPUTED_VALUE"""),"3518140206880001")</f>
        <v>3518140206880001</v>
      </c>
      <c r="AC465" s="80" t="str">
        <f>IFERROR(__xludf.DUMMYFUNCTION("""COMPUTED_VALUE"""),"46.252.810.0-721.000")</f>
        <v>46.252.810.0-721.000</v>
      </c>
      <c r="AD465" s="80" t="str">
        <f>IFERROR(__xludf.DUMMYFUNCTION("""COMPUTED_VALUE"""),"CUM - PS - RSS")</f>
        <v>CUM - PS - RSS</v>
      </c>
      <c r="AE465" s="80" t="str">
        <f>IFERROR(__xludf.DUMMYFUNCTION("""COMPUTED_VALUE"""),"SUB RONY POS")</f>
        <v>SUB RONY POS</v>
      </c>
      <c r="AF465" s="80" t="str">
        <f>IFERROR(__xludf.DUMMYFUNCTION("""COMPUTED_VALUE"""),"08112220220")</f>
        <v>08112220220</v>
      </c>
      <c r="AG465" s="80"/>
      <c r="AH465" s="80" t="str">
        <f>IFERROR(__xludf.DUMMYFUNCTION("""COMPUTED_VALUE"""),"rendykrisbiantoro@gmail.com")</f>
        <v>rendykrisbiantoro@gmail.com</v>
      </c>
      <c r="AI465" s="80" t="str">
        <f>IFERROR(__xludf.DUMMYFUNCTION("""COMPUTED_VALUE"""),"40356S2")</f>
        <v>40356S2</v>
      </c>
      <c r="AJ465" s="80" t="str">
        <f>IFERROR(__xludf.DUMMYFUNCTION("""COMPUTED_VALUE"""),"68086736941ed5c400054161")</f>
        <v>68086736941ed5c400054161</v>
      </c>
      <c r="AK465" s="80" t="str">
        <f>IFERROR(__xludf.DUMMYFUNCTION("""COMPUTED_VALUE"""),"dm40356s2")</f>
        <v>dm40356s2</v>
      </c>
      <c r="AL465" s="80" t="str">
        <f>IFERROR(__xludf.DUMMYFUNCTION("""COMPUTED_VALUE"""),"#40356Pos")</f>
        <v>#40356Pos</v>
      </c>
      <c r="AM465" s="80" t="str">
        <f>IFERROR(__xludf.DUMMYFUNCTION("""COMPUTED_VALUE"""),"KANTOR REGIONAL III BANDUNG 40004")</f>
        <v>KANTOR REGIONAL III BANDUNG 40004</v>
      </c>
      <c r="AN465" s="80" t="str">
        <f>IFERROR(__xludf.DUMMYFUNCTION("""COMPUTED_VALUE"""),"KC SOREANG 40900")</f>
        <v>KC SOREANG 40900</v>
      </c>
      <c r="AO465" s="80" t="str">
        <f>IFERROR(__xludf.DUMMYFUNCTION("""COMPUTED_VALUE"""),"2104250091225")</f>
        <v>2104250091225</v>
      </c>
      <c r="AP465" s="80" t="str">
        <f>IFERROR(__xludf.DUMMYFUNCTION("""COMPUTED_VALUE"""),"21042500912250001")</f>
        <v>21042500912250001</v>
      </c>
      <c r="AQ465" s="83"/>
      <c r="AR465" s="80"/>
      <c r="AS465" s="80"/>
      <c r="AT465" s="80" t="str">
        <f>IFERROR(__xludf.DUMMYFUNCTION("""COMPUTED_VALUE"""),"-6.975134")</f>
        <v>-6.975134</v>
      </c>
      <c r="AU465" s="80" t="str">
        <f>IFERROR(__xludf.DUMMYFUNCTION("""COMPUTED_VALUE"""),"107.5468203")</f>
        <v>107.5468203</v>
      </c>
      <c r="AV465" s="80"/>
      <c r="AW465" s="80"/>
      <c r="AX465" s="80" t="str">
        <f>IFERROR(__xludf.DUMMYFUNCTION("""COMPUTED_VALUE"""),"h")</f>
        <v>h</v>
      </c>
      <c r="AY465" s="80"/>
      <c r="AZ465" s="80"/>
      <c r="BA465" s="80"/>
      <c r="BB465" s="80"/>
      <c r="BC465" s="80"/>
      <c r="BD465" s="80"/>
      <c r="BE465" s="80"/>
      <c r="BF465" s="80"/>
      <c r="BG465" s="80"/>
      <c r="BH465" s="80"/>
      <c r="BI465" s="80"/>
      <c r="BJ465" s="80"/>
      <c r="BK465" s="80"/>
      <c r="BL465" s="80"/>
      <c r="BM465" s="80"/>
      <c r="BN465" s="80"/>
      <c r="BO465" s="80"/>
      <c r="BP465" s="80"/>
      <c r="BQ465" s="80"/>
      <c r="BR465" s="80"/>
      <c r="BS465" s="80"/>
      <c r="BT465" s="80"/>
      <c r="BU465" s="80"/>
      <c r="BV465" s="80"/>
      <c r="BW465" s="80"/>
      <c r="BX465" s="80"/>
      <c r="BY465" s="80"/>
      <c r="BZ465" s="80"/>
      <c r="CA465" s="80"/>
      <c r="CB465" s="80"/>
      <c r="CC465" s="80"/>
      <c r="CD465" s="80"/>
      <c r="CE465" s="80"/>
      <c r="CF465" s="80"/>
      <c r="CG465" s="80"/>
      <c r="CH465" s="80"/>
      <c r="CI465" s="80"/>
      <c r="CJ465" s="80"/>
      <c r="CK465" s="2"/>
    </row>
    <row r="466" ht="12.75" customHeight="1">
      <c r="A466" s="85">
        <f>IFERROR(__xludf.DUMMYFUNCTION("""COMPUTED_VALUE"""),463.0)</f>
        <v>463</v>
      </c>
      <c r="B466" s="85"/>
      <c r="C466" s="85"/>
      <c r="D466" s="86">
        <f>IFERROR(__xludf.DUMMYFUNCTION("""COMPUTED_VALUE"""),45770.0)</f>
        <v>45770</v>
      </c>
      <c r="E466" s="88"/>
      <c r="F466" s="85"/>
      <c r="G466" s="86">
        <f>IFERROR(__xludf.DUMMYFUNCTION("""COMPUTED_VALUE"""),45775.0)</f>
        <v>45775</v>
      </c>
      <c r="H466" s="85"/>
      <c r="I466" s="85"/>
      <c r="J466" s="85"/>
      <c r="K466" s="85"/>
      <c r="L466" s="85">
        <f>IFERROR(__xludf.DUMMYFUNCTION("""COMPUTED_VALUE"""),5.0)</f>
        <v>5</v>
      </c>
      <c r="M466" s="85" t="str">
        <f>IFERROR(__xludf.DUMMYFUNCTION("""COMPUTED_VALUE"""),"ü")</f>
        <v>ü</v>
      </c>
      <c r="N466" s="85"/>
      <c r="O466" s="85"/>
      <c r="P466" s="85" t="str">
        <f>IFERROR(__xludf.DUMMYFUNCTION("""COMPUTED_VALUE"""),"MUCSPA63119PSIND")</f>
        <v>MUCSPA63119PSIND</v>
      </c>
      <c r="Q466" s="85" t="str">
        <f>IFERROR(__xludf.DUMMYFUNCTION("""COMPUTED_VALUE"""),"MUC Pondok Surya Mandala")</f>
        <v>MUC Pondok Surya Mandala</v>
      </c>
      <c r="R466" s="85" t="str">
        <f>IFERROR(__xludf.DUMMYFUNCTION("""COMPUTED_VALUE"""),"MUC Pondok Surya Mandala")</f>
        <v>MUC Pondok Surya Mandala</v>
      </c>
      <c r="S466" s="85" t="str">
        <f>IFERROR(__xludf.DUMMYFUNCTION("""COMPUTED_VALUE"""),"POLTAK SIMANJUNTAK")</f>
        <v>POLTAK SIMANJUNTAK</v>
      </c>
      <c r="T466" s="85" t="str">
        <f>IFERROR(__xludf.DUMMYFUNCTION("""COMPUTED_VALUE"""),"KP.CIKUNIR BULAK NO.140 RT.004 RW.003 KEL. JAKA MULYA, BEKASI SELATAN KOTA BEKASI")</f>
        <v>KP.CIKUNIR BULAK NO.140 RT.004 RW.003 KEL. JAKA MULYA, BEKASI SELATAN KOTA BEKASI</v>
      </c>
      <c r="U466" s="85" t="str">
        <f>IFERROR(__xludf.DUMMYFUNCTION("""COMPUTED_VALUE"""),"Jl. Surya Utama No.140, RT.004/RW.3")</f>
        <v>Jl. Surya Utama No.140, RT.004/RW.3</v>
      </c>
      <c r="V466" s="85"/>
      <c r="W466" s="85" t="str">
        <f>IFERROR(__xludf.DUMMYFUNCTION("""COMPUTED_VALUE"""),"Jaka Mulya")</f>
        <v>Jaka Mulya</v>
      </c>
      <c r="X466" s="85" t="str">
        <f>IFERROR(__xludf.DUMMYFUNCTION("""COMPUTED_VALUE"""),"Bekasi Selatan")</f>
        <v>Bekasi Selatan</v>
      </c>
      <c r="Y466" s="85" t="str">
        <f>IFERROR(__xludf.DUMMYFUNCTION("""COMPUTED_VALUE"""),"Kota Bekasi")</f>
        <v>Kota Bekasi</v>
      </c>
      <c r="Z466" s="85" t="str">
        <f>IFERROR(__xludf.DUMMYFUNCTION("""COMPUTED_VALUE"""),"Jawa Barat ")</f>
        <v>Jawa Barat </v>
      </c>
      <c r="AA466" s="85" t="str">
        <f>IFERROR(__xludf.DUMMYFUNCTION("""COMPUTED_VALUE"""),"17146")</f>
        <v>17146</v>
      </c>
      <c r="AB466" s="85" t="str">
        <f>IFERROR(__xludf.DUMMYFUNCTION("""COMPUTED_VALUE"""),"3275042309790031")</f>
        <v>3275042309790031</v>
      </c>
      <c r="AC466" s="85" t="str">
        <f>IFERROR(__xludf.DUMMYFUNCTION("""COMPUTED_VALUE"""),"82.512.138.4-432.000")</f>
        <v>82.512.138.4-432.000</v>
      </c>
      <c r="AD466" s="85" t="str">
        <f>IFERROR(__xludf.DUMMYFUNCTION("""COMPUTED_VALUE"""),"CUM - PS - AYS")</f>
        <v>CUM - PS - AYS</v>
      </c>
      <c r="AE466" s="85" t="str">
        <f>IFERROR(__xludf.DUMMYFUNCTION("""COMPUTED_VALUE"""),"SUB YUNUS POS")</f>
        <v>SUB YUNUS POS</v>
      </c>
      <c r="AF466" s="85" t="str">
        <f>IFERROR(__xludf.DUMMYFUNCTION("""COMPUTED_VALUE"""),"085692237004")</f>
        <v>085692237004</v>
      </c>
      <c r="AG466" s="85"/>
      <c r="AH466" s="85" t="str">
        <f>IFERROR(__xludf.DUMMYFUNCTION("""COMPUTED_VALUE"""),"jtan90222@gmail.com")</f>
        <v>jtan90222@gmail.com</v>
      </c>
      <c r="AI466" s="85" t="str">
        <f>IFERROR(__xludf.DUMMYFUNCTION("""COMPUTED_VALUE"""),"17146S6")</f>
        <v>17146S6</v>
      </c>
      <c r="AJ466" s="85" t="str">
        <f>IFERROR(__xludf.DUMMYFUNCTION("""COMPUTED_VALUE"""),"6809b89ab22abd098d0bf9f0")</f>
        <v>6809b89ab22abd098d0bf9f0</v>
      </c>
      <c r="AK466" s="85" t="str">
        <f>IFERROR(__xludf.DUMMYFUNCTION("""COMPUTED_VALUE"""),"dm17146s6")</f>
        <v>dm17146s6</v>
      </c>
      <c r="AL466" s="85" t="str">
        <f>IFERROR(__xludf.DUMMYFUNCTION("""COMPUTED_VALUE"""),"#17146Pos")</f>
        <v>#17146Pos</v>
      </c>
      <c r="AM466" s="85" t="str">
        <f>IFERROR(__xludf.DUMMYFUNCTION("""COMPUTED_VALUE"""),"KANTOR REGIONAL II JAKARTA 10004")</f>
        <v>KANTOR REGIONAL II JAKARTA 10004</v>
      </c>
      <c r="AN466" s="85" t="str">
        <f>IFERROR(__xludf.DUMMYFUNCTION("""COMPUTED_VALUE"""),"KCU BEKASI 17000")</f>
        <v>KCU BEKASI 17000</v>
      </c>
      <c r="AO466" s="85" t="str">
        <f>IFERROR(__xludf.DUMMYFUNCTION("""COMPUTED_VALUE"""),"2304250092206")</f>
        <v>2304250092206</v>
      </c>
      <c r="AP466" s="85" t="str">
        <f>IFERROR(__xludf.DUMMYFUNCTION("""COMPUTED_VALUE"""),"23042500922060001")</f>
        <v>23042500922060001</v>
      </c>
      <c r="AQ466" s="93"/>
      <c r="AR466" s="85"/>
      <c r="AS466" s="85"/>
      <c r="AT466" s="85" t="str">
        <f>IFERROR(__xludf.DUMMYFUNCTION("""COMPUTED_VALUE"""),"-6.280832")</f>
        <v>-6.280832</v>
      </c>
      <c r="AU466" s="85" t="str">
        <f>IFERROR(__xludf.DUMMYFUNCTION("""COMPUTED_VALUE"""),"106.969075")</f>
        <v>106.969075</v>
      </c>
      <c r="AV466" s="85"/>
      <c r="AW466" s="85"/>
      <c r="AX466" s="85" t="str">
        <f>IFERROR(__xludf.DUMMYFUNCTION("""COMPUTED_VALUE"""),"h")</f>
        <v>h</v>
      </c>
      <c r="AY466" s="85"/>
      <c r="AZ466" s="85"/>
      <c r="BA466" s="85"/>
      <c r="BB466" s="85"/>
      <c r="BC466" s="85"/>
      <c r="BD466" s="85"/>
      <c r="BE466" s="85"/>
      <c r="BF466" s="85"/>
      <c r="BG466" s="85"/>
      <c r="BH466" s="85"/>
      <c r="BI466" s="85"/>
      <c r="BJ466" s="85"/>
      <c r="BK466" s="85"/>
      <c r="BL466" s="85"/>
      <c r="BM466" s="85"/>
      <c r="BN466" s="85"/>
      <c r="BO466" s="85"/>
      <c r="BP466" s="85"/>
      <c r="BQ466" s="85"/>
      <c r="BR466" s="85"/>
      <c r="BS466" s="85"/>
      <c r="BT466" s="85"/>
      <c r="BU466" s="85"/>
      <c r="BV466" s="85"/>
      <c r="BW466" s="85"/>
      <c r="BX466" s="85"/>
      <c r="BY466" s="85"/>
      <c r="BZ466" s="85"/>
      <c r="CA466" s="85"/>
      <c r="CB466" s="85"/>
      <c r="CC466" s="85"/>
      <c r="CD466" s="85"/>
      <c r="CE466" s="85"/>
      <c r="CF466" s="85"/>
      <c r="CG466" s="85" t="str">
        <f>IFERROR(__xludf.DUMMYFUNCTION("""COMPUTED_VALUE"""),"TIKI")</f>
        <v>TIKI</v>
      </c>
      <c r="CH466" s="85"/>
      <c r="CI466" s="85"/>
      <c r="CJ466" s="85"/>
      <c r="CK466" s="2"/>
    </row>
    <row r="467" ht="12.75" customHeight="1">
      <c r="A467" s="80">
        <f>IFERROR(__xludf.DUMMYFUNCTION("""COMPUTED_VALUE"""),464.0)</f>
        <v>464</v>
      </c>
      <c r="B467" s="80"/>
      <c r="C467" s="80"/>
      <c r="D467" s="81">
        <f>IFERROR(__xludf.DUMMYFUNCTION("""COMPUTED_VALUE"""),45771.0)</f>
        <v>45771</v>
      </c>
      <c r="E467" s="82"/>
      <c r="F467" s="80"/>
      <c r="G467" s="81">
        <f>IFERROR(__xludf.DUMMYFUNCTION("""COMPUTED_VALUE"""),45775.0)</f>
        <v>45775</v>
      </c>
      <c r="H467" s="80"/>
      <c r="I467" s="80"/>
      <c r="J467" s="80"/>
      <c r="K467" s="80"/>
      <c r="L467" s="80">
        <f>IFERROR(__xludf.DUMMYFUNCTION("""COMPUTED_VALUE"""),4.0)</f>
        <v>4</v>
      </c>
      <c r="M467" s="80"/>
      <c r="N467" s="80" t="str">
        <f>IFERROR(__xludf.DUMMYFUNCTION("""COMPUTED_VALUE"""),"ü")</f>
        <v>ü</v>
      </c>
      <c r="O467" s="80"/>
      <c r="P467" s="80" t="str">
        <f>IFERROR(__xludf.DUMMYFUNCTION("""COMPUTED_VALUE"""),"MLO5500028CUMBPK")</f>
        <v>MLO5500028CUMBPK</v>
      </c>
      <c r="Q467" s="80" t="str">
        <f>IFERROR(__xludf.DUMMYFUNCTION("""COMPUTED_VALUE"""),"MUC WARUNG PRAWIROTAMAN ")</f>
        <v>MUC WARUNG PRAWIROTAMAN </v>
      </c>
      <c r="R467" s="80" t="str">
        <f>IFERROR(__xludf.DUMMYFUNCTION("""COMPUTED_VALUE"""),"MUC WARUNG PRAWIROTAMAN ")</f>
        <v>MUC WARUNG PRAWIROTAMAN </v>
      </c>
      <c r="S467" s="80" t="str">
        <f>IFERROR(__xludf.DUMMYFUNCTION("""COMPUTED_VALUE"""),"WISNU DHARMAWAN")</f>
        <v>WISNU DHARMAWAN</v>
      </c>
      <c r="T467" s="80" t="str">
        <f>IFERROR(__xludf.DUMMYFUNCTION("""COMPUTED_VALUE"""),"PRAWIROTAMAN MG III/654 RT 034 RW 009 ")</f>
        <v>PRAWIROTAMAN MG III/654 RT 034 RW 009 </v>
      </c>
      <c r="U467" s="80" t="str">
        <f>IFERROR(__xludf.DUMMYFUNCTION("""COMPUTED_VALUE"""),"JL. PARANGTRITIS NO. 125")</f>
        <v>JL. PARANGTRITIS NO. 125</v>
      </c>
      <c r="V467" s="80"/>
      <c r="W467" s="80" t="str">
        <f>IFERROR(__xludf.DUMMYFUNCTION("""COMPUTED_VALUE"""),"BRONTOKUSUMAN ")</f>
        <v>BRONTOKUSUMAN </v>
      </c>
      <c r="X467" s="80" t="str">
        <f>IFERROR(__xludf.DUMMYFUNCTION("""COMPUTED_VALUE"""),"MERGANGSAN")</f>
        <v>MERGANGSAN</v>
      </c>
      <c r="Y467" s="80" t="str">
        <f>IFERROR(__xludf.DUMMYFUNCTION("""COMPUTED_VALUE"""),"YOGYAKARTA ")</f>
        <v>YOGYAKARTA </v>
      </c>
      <c r="Z467" s="80" t="str">
        <f>IFERROR(__xludf.DUMMYFUNCTION("""COMPUTED_VALUE"""),"YOGYAKARTA")</f>
        <v>YOGYAKARTA</v>
      </c>
      <c r="AA467" s="80" t="str">
        <f>IFERROR(__xludf.DUMMYFUNCTION("""COMPUTED_VALUE"""),"55153")</f>
        <v>55153</v>
      </c>
      <c r="AB467" s="80" t="str">
        <f>IFERROR(__xludf.DUMMYFUNCTION("""COMPUTED_VALUE"""),"3471122203760001")</f>
        <v>3471122203760001</v>
      </c>
      <c r="AC467" s="80" t="str">
        <f>IFERROR(__xludf.DUMMYFUNCTION("""COMPUTED_VALUE"""),"08.969.598.5-541.000")</f>
        <v>08.969.598.5-541.000</v>
      </c>
      <c r="AD467" s="80" t="str">
        <f>IFERROR(__xludf.DUMMYFUNCTION("""COMPUTED_VALUE"""),"CUM - PS - BPKT")</f>
        <v>CUM - PS - BPKT</v>
      </c>
      <c r="AE467" s="80" t="str">
        <f>IFERROR(__xludf.DUMMYFUNCTION("""COMPUTED_VALUE"""),"SUB PURBO POS")</f>
        <v>SUB PURBO POS</v>
      </c>
      <c r="AF467" s="80" t="str">
        <f>IFERROR(__xludf.DUMMYFUNCTION("""COMPUTED_VALUE"""),"081392317759")</f>
        <v>081392317759</v>
      </c>
      <c r="AG467" s="80"/>
      <c r="AH467" s="80" t="str">
        <f>IFERROR(__xludf.DUMMYFUNCTION("""COMPUTED_VALUE"""),"dwishnew76@gmail.com")</f>
        <v>dwishnew76@gmail.com</v>
      </c>
      <c r="AI467" s="80" t="str">
        <f>IFERROR(__xludf.DUMMYFUNCTION("""COMPUTED_VALUE"""),"55153S1")</f>
        <v>55153S1</v>
      </c>
      <c r="AJ467" s="80" t="str">
        <f>IFERROR(__xludf.DUMMYFUNCTION("""COMPUTED_VALUE"""),"680a46fdbaf8fa201306296d")</f>
        <v>680a46fdbaf8fa201306296d</v>
      </c>
      <c r="AK467" s="80" t="str">
        <f>IFERROR(__xludf.DUMMYFUNCTION("""COMPUTED_VALUE"""),"dm55153s1")</f>
        <v>dm55153s1</v>
      </c>
      <c r="AL467" s="80" t="str">
        <f>IFERROR(__xludf.DUMMYFUNCTION("""COMPUTED_VALUE"""),"#55153Pos")</f>
        <v>#55153Pos</v>
      </c>
      <c r="AM467" s="80" t="str">
        <f>IFERROR(__xludf.DUMMYFUNCTION("""COMPUTED_VALUE"""),"KANTOR REGIONAL IV SEMARANG 50004")</f>
        <v>KANTOR REGIONAL IV SEMARANG 50004</v>
      </c>
      <c r="AN467" s="80" t="str">
        <f>IFERROR(__xludf.DUMMYFUNCTION("""COMPUTED_VALUE"""),"KCU YOGYAKARTA 55000")</f>
        <v>KCU YOGYAKARTA 55000</v>
      </c>
      <c r="AO467" s="80" t="str">
        <f>IFERROR(__xludf.DUMMYFUNCTION("""COMPUTED_VALUE"""),"2404250034969")</f>
        <v>2404250034969</v>
      </c>
      <c r="AP467" s="80" t="str">
        <f>IFERROR(__xludf.DUMMYFUNCTION("""COMPUTED_VALUE"""),"24042500349690001")</f>
        <v>24042500349690001</v>
      </c>
      <c r="AQ467" s="83"/>
      <c r="AR467" s="80"/>
      <c r="AS467" s="80"/>
      <c r="AT467" s="80" t="str">
        <f>IFERROR(__xludf.DUMMYFUNCTION("""COMPUTED_VALUE"""),"-7.822177")</f>
        <v>-7.822177</v>
      </c>
      <c r="AU467" s="80" t="str">
        <f>IFERROR(__xludf.DUMMYFUNCTION("""COMPUTED_VALUE"""),"110.3681931")</f>
        <v>110.3681931</v>
      </c>
      <c r="AV467" s="80"/>
      <c r="AW467" s="80"/>
      <c r="AX467" s="80" t="str">
        <f>IFERROR(__xludf.DUMMYFUNCTION("""COMPUTED_VALUE"""),"h")</f>
        <v>h</v>
      </c>
      <c r="AY467" s="80"/>
      <c r="AZ467" s="80"/>
      <c r="BA467" s="80"/>
      <c r="BB467" s="80"/>
      <c r="BC467" s="80"/>
      <c r="BD467" s="80"/>
      <c r="BE467" s="80"/>
      <c r="BF467" s="80"/>
      <c r="BG467" s="80"/>
      <c r="BH467" s="80"/>
      <c r="BI467" s="80"/>
      <c r="BJ467" s="80"/>
      <c r="BK467" s="80"/>
      <c r="BL467" s="80"/>
      <c r="BM467" s="80"/>
      <c r="BN467" s="80"/>
      <c r="BO467" s="80"/>
      <c r="BP467" s="80"/>
      <c r="BQ467" s="80"/>
      <c r="BR467" s="80"/>
      <c r="BS467" s="80"/>
      <c r="BT467" s="80"/>
      <c r="BU467" s="80"/>
      <c r="BV467" s="80"/>
      <c r="BW467" s="80"/>
      <c r="BX467" s="80"/>
      <c r="BY467" s="80" t="str">
        <f>IFERROR(__xludf.DUMMYFUNCTION("""COMPUTED_VALUE"""),"POS ORANGER")</f>
        <v>POS ORANGER</v>
      </c>
      <c r="BZ467" s="80"/>
      <c r="CA467" s="80"/>
      <c r="CB467" s="80"/>
      <c r="CC467" s="80"/>
      <c r="CD467" s="80"/>
      <c r="CE467" s="80"/>
      <c r="CF467" s="80"/>
      <c r="CG467" s="80"/>
      <c r="CH467" s="80"/>
      <c r="CI467" s="80"/>
      <c r="CJ467" s="80"/>
      <c r="CK467" s="2"/>
    </row>
    <row r="468" ht="12.75" customHeight="1">
      <c r="A468" s="85">
        <f>IFERROR(__xludf.DUMMYFUNCTION("""COMPUTED_VALUE"""),465.0)</f>
        <v>465</v>
      </c>
      <c r="B468" s="85"/>
      <c r="C468" s="85"/>
      <c r="D468" s="86">
        <f>IFERROR(__xludf.DUMMYFUNCTION("""COMPUTED_VALUE"""),45771.0)</f>
        <v>45771</v>
      </c>
      <c r="E468" s="88"/>
      <c r="F468" s="85"/>
      <c r="G468" s="86">
        <f>IFERROR(__xludf.DUMMYFUNCTION("""COMPUTED_VALUE"""),45783.0)</f>
        <v>45783</v>
      </c>
      <c r="H468" s="85"/>
      <c r="I468" s="85"/>
      <c r="J468" s="85"/>
      <c r="K468" s="85"/>
      <c r="L468" s="85">
        <f>IFERROR(__xludf.DUMMYFUNCTION("""COMPUTED_VALUE"""),12.0)</f>
        <v>12</v>
      </c>
      <c r="M468" s="85" t="str">
        <f>IFERROR(__xludf.DUMMYFUNCTION("""COMPUTED_VALUE"""),"ü")</f>
        <v>ü</v>
      </c>
      <c r="N468" s="85"/>
      <c r="O468" s="85"/>
      <c r="P468" s="85" t="str">
        <f>IFERROR(__xludf.DUMMYFUNCTION("""COMPUTED_VALUE"""),"MUCSPA63120PSIND")</f>
        <v>MUCSPA63120PSIND</v>
      </c>
      <c r="Q468" s="85" t="str">
        <f>IFERROR(__xludf.DUMMYFUNCTION("""COMPUTED_VALUE"""),"MUC POST PATTIMURA GETAS")</f>
        <v>MUC POST PATTIMURA GETAS</v>
      </c>
      <c r="R468" s="85" t="str">
        <f>IFERROR(__xludf.DUMMYFUNCTION("""COMPUTED_VALUE"""),"MUC POST PATTIMURA GETAS")</f>
        <v>MUC POST PATTIMURA GETAS</v>
      </c>
      <c r="S468" s="85" t="str">
        <f>IFERROR(__xludf.DUMMYFUNCTION("""COMPUTED_VALUE"""),"NABIT FADLLA")</f>
        <v>NABIT FADLLA</v>
      </c>
      <c r="T468" s="85" t="str">
        <f>IFERROR(__xludf.DUMMYFUNCTION("""COMPUTED_VALUE"""),"LORAM KULON RT.001 RW.002 KEL. LORAM KULON KEC. JATI KAB KUDUS")</f>
        <v>LORAM KULON RT.001 RW.002 KEL. LORAM KULON KEC. JATI KAB KUDUS</v>
      </c>
      <c r="U468" s="85" t="str">
        <f>IFERROR(__xludf.DUMMYFUNCTION("""COMPUTED_VALUE"""),"Jl. Pattimura Getas Pejaten Rt.02 Rw.03")</f>
        <v>Jl. Pattimura Getas Pejaten Rt.02 Rw.03</v>
      </c>
      <c r="V468" s="85"/>
      <c r="W468" s="85" t="str">
        <f>IFERROR(__xludf.DUMMYFUNCTION("""COMPUTED_VALUE"""),"Getaspejaten")</f>
        <v>Getaspejaten</v>
      </c>
      <c r="X468" s="85" t="str">
        <f>IFERROR(__xludf.DUMMYFUNCTION("""COMPUTED_VALUE"""),"Jati")</f>
        <v>Jati</v>
      </c>
      <c r="Y468" s="85" t="str">
        <f>IFERROR(__xludf.DUMMYFUNCTION("""COMPUTED_VALUE"""),"Kab.Kudus")</f>
        <v>Kab.Kudus</v>
      </c>
      <c r="Z468" s="85" t="str">
        <f>IFERROR(__xludf.DUMMYFUNCTION("""COMPUTED_VALUE"""),"Jawa Tengah")</f>
        <v>Jawa Tengah</v>
      </c>
      <c r="AA468" s="85" t="str">
        <f>IFERROR(__xludf.DUMMYFUNCTION("""COMPUTED_VALUE"""),"59343")</f>
        <v>59343</v>
      </c>
      <c r="AB468" s="85" t="str">
        <f>IFERROR(__xludf.DUMMYFUNCTION("""COMPUTED_VALUE"""),"3319032206000005")</f>
        <v>3319032206000005</v>
      </c>
      <c r="AC468" s="85" t="str">
        <f>IFERROR(__xludf.DUMMYFUNCTION("""COMPUTED_VALUE"""),"3319 0322 0600 0005")</f>
        <v>3319 0322 0600 0005</v>
      </c>
      <c r="AD468" s="85" t="str">
        <f>IFERROR(__xludf.DUMMYFUNCTION("""COMPUTED_VALUE"""),"CUM - PS - NONKORGEN")</f>
        <v>CUM - PS - NONKORGEN</v>
      </c>
      <c r="AE468" s="85" t="str">
        <f>IFERROR(__xludf.DUMMYFUNCTION("""COMPUTED_VALUE"""),"SUB NONKORGEN/ PAK ADI")</f>
        <v>SUB NONKORGEN/ PAK ADI</v>
      </c>
      <c r="AF468" s="85" t="str">
        <f>IFERROR(__xludf.DUMMYFUNCTION("""COMPUTED_VALUE"""),"089662819669")</f>
        <v>089662819669</v>
      </c>
      <c r="AG468" s="85"/>
      <c r="AH468" s="85" t="str">
        <f>IFERROR(__xludf.DUMMYFUNCTION("""COMPUTED_VALUE"""),"nabitfad22@gmail.com")</f>
        <v>nabitfad22@gmail.com</v>
      </c>
      <c r="AI468" s="85" t="str">
        <f>IFERROR(__xludf.DUMMYFUNCTION("""COMPUTED_VALUE"""),"59343S3")</f>
        <v>59343S3</v>
      </c>
      <c r="AJ468" s="85" t="str">
        <f>IFERROR(__xludf.DUMMYFUNCTION("""COMPUTED_VALUE"""),"6811a9aa9da81486d80f15e3")</f>
        <v>6811a9aa9da81486d80f15e3</v>
      </c>
      <c r="AK468" s="85" t="str">
        <f>IFERROR(__xludf.DUMMYFUNCTION("""COMPUTED_VALUE"""),"dm59343s3")</f>
        <v>dm59343s3</v>
      </c>
      <c r="AL468" s="85" t="str">
        <f>IFERROR(__xludf.DUMMYFUNCTION("""COMPUTED_VALUE"""),"#59343Pos")</f>
        <v>#59343Pos</v>
      </c>
      <c r="AM468" s="85" t="str">
        <f>IFERROR(__xludf.DUMMYFUNCTION("""COMPUTED_VALUE"""),"KANTOR REGIONAL IV SEMARANG 50004")</f>
        <v>KANTOR REGIONAL IV SEMARANG 50004</v>
      </c>
      <c r="AN468" s="85" t="str">
        <f>IFERROR(__xludf.DUMMYFUNCTION("""COMPUTED_VALUE"""),"KC KUDUS")</f>
        <v>KC KUDUS</v>
      </c>
      <c r="AO468" s="85" t="str">
        <f>IFERROR(__xludf.DUMMYFUNCTION("""COMPUTED_VALUE"""),"2504250020546")</f>
        <v>2504250020546</v>
      </c>
      <c r="AP468" s="85" t="str">
        <f>IFERROR(__xludf.DUMMYFUNCTION("""COMPUTED_VALUE"""),"25042500205460001")</f>
        <v>25042500205460001</v>
      </c>
      <c r="AQ468" s="93"/>
      <c r="AR468" s="85"/>
      <c r="AS468" s="85"/>
      <c r="AT468" s="85" t="str">
        <f>IFERROR(__xludf.DUMMYFUNCTION("""COMPUTED_VALUE"""),"-6.827308")</f>
        <v>-6.827308</v>
      </c>
      <c r="AU468" s="85" t="str">
        <f>IFERROR(__xludf.DUMMYFUNCTION("""COMPUTED_VALUE"""),"110.841504")</f>
        <v>110.841504</v>
      </c>
      <c r="AV468" s="85"/>
      <c r="AW468" s="85"/>
      <c r="AX468" s="85" t="str">
        <f>IFERROR(__xludf.DUMMYFUNCTION("""COMPUTED_VALUE"""),"h")</f>
        <v>h</v>
      </c>
      <c r="AY468" s="85"/>
      <c r="AZ468" s="85"/>
      <c r="BA468" s="85"/>
      <c r="BB468" s="85"/>
      <c r="BC468" s="85"/>
      <c r="BD468" s="85"/>
      <c r="BE468" s="85"/>
      <c r="BF468" s="85"/>
      <c r="BG468" s="85"/>
      <c r="BH468" s="85"/>
      <c r="BI468" s="85"/>
      <c r="BJ468" s="85"/>
      <c r="BK468" s="85"/>
      <c r="BL468" s="85"/>
      <c r="BM468" s="85"/>
      <c r="BN468" s="85"/>
      <c r="BO468" s="85"/>
      <c r="BP468" s="85"/>
      <c r="BQ468" s="85"/>
      <c r="BR468" s="85"/>
      <c r="BS468" s="85"/>
      <c r="BT468" s="85"/>
      <c r="BU468" s="85"/>
      <c r="BV468" s="85"/>
      <c r="BW468" s="85"/>
      <c r="BX468" s="85" t="str">
        <f>IFERROR(__xludf.DUMMYFUNCTION("""COMPUTED_VALUE"""),"NEWBIE FOTOCOPY")</f>
        <v>NEWBIE FOTOCOPY</v>
      </c>
      <c r="BY468" s="85"/>
      <c r="BZ468" s="85"/>
      <c r="CA468" s="85"/>
      <c r="CB468" s="85"/>
      <c r="CC468" s="85"/>
      <c r="CD468" s="85"/>
      <c r="CE468" s="85"/>
      <c r="CF468" s="85"/>
      <c r="CG468" s="85"/>
      <c r="CH468" s="85"/>
      <c r="CI468" s="85"/>
      <c r="CJ468" s="85"/>
      <c r="CK468" s="2"/>
    </row>
    <row r="469" ht="12.75" customHeight="1">
      <c r="A469" s="80">
        <f>IFERROR(__xludf.DUMMYFUNCTION("""COMPUTED_VALUE"""),466.0)</f>
        <v>466</v>
      </c>
      <c r="B469" s="80"/>
      <c r="C469" s="80"/>
      <c r="D469" s="81">
        <f>IFERROR(__xludf.DUMMYFUNCTION("""COMPUTED_VALUE"""),45775.0)</f>
        <v>45775</v>
      </c>
      <c r="E469" s="82"/>
      <c r="F469" s="80"/>
      <c r="G469" s="81">
        <f>IFERROR(__xludf.DUMMYFUNCTION("""COMPUTED_VALUE"""),45783.0)</f>
        <v>45783</v>
      </c>
      <c r="H469" s="80"/>
      <c r="I469" s="80"/>
      <c r="J469" s="80"/>
      <c r="K469" s="80"/>
      <c r="L469" s="80">
        <f>IFERROR(__xludf.DUMMYFUNCTION("""COMPUTED_VALUE"""),8.0)</f>
        <v>8</v>
      </c>
      <c r="M469" s="80" t="str">
        <f>IFERROR(__xludf.DUMMYFUNCTION("""COMPUTED_VALUE"""),"ü")</f>
        <v>ü</v>
      </c>
      <c r="N469" s="80"/>
      <c r="O469" s="80"/>
      <c r="P469" s="80" t="str">
        <f>IFERROR(__xludf.DUMMYFUNCTION("""COMPUTED_VALUE"""),"MUCSPA63121PSIND")</f>
        <v>MUCSPA63121PSIND</v>
      </c>
      <c r="Q469" s="80" t="str">
        <f>IFERROR(__xludf.DUMMYFUNCTION("""COMPUTED_VALUE"""),"MUC Satu Agen Jatihandap")</f>
        <v>MUC Satu Agen Jatihandap</v>
      </c>
      <c r="R469" s="80" t="str">
        <f>IFERROR(__xludf.DUMMYFUNCTION("""COMPUTED_VALUE"""),"MUC Satu Agen Jatihandap")</f>
        <v>MUC Satu Agen Jatihandap</v>
      </c>
      <c r="S469" s="80" t="str">
        <f>IFERROR(__xludf.DUMMYFUNCTION("""COMPUTED_VALUE"""),"LAZARO LEGINA")</f>
        <v>LAZARO LEGINA</v>
      </c>
      <c r="T469" s="80" t="str">
        <f>IFERROR(__xludf.DUMMYFUNCTION("""COMPUTED_VALUE"""),"TAMAN PESONA MEDITERAN BLOK G.8")</f>
        <v>TAMAN PESONA MEDITERAN BLOK G.8</v>
      </c>
      <c r="U469" s="80" t="str">
        <f>IFERROR(__xludf.DUMMYFUNCTION("""COMPUTED_VALUE"""),"Jalan Jatihandap Nomor 260, RT.006 RW 008")</f>
        <v>Jalan Jatihandap Nomor 260, RT.006 RW 008</v>
      </c>
      <c r="V469" s="80"/>
      <c r="W469" s="80" t="str">
        <f>IFERROR(__xludf.DUMMYFUNCTION("""COMPUTED_VALUE"""),"Jatihandap")</f>
        <v>Jatihandap</v>
      </c>
      <c r="X469" s="80" t="str">
        <f>IFERROR(__xludf.DUMMYFUNCTION("""COMPUTED_VALUE"""),"Mandalajati")</f>
        <v>Mandalajati</v>
      </c>
      <c r="Y469" s="80" t="str">
        <f>IFERROR(__xludf.DUMMYFUNCTION("""COMPUTED_VALUE"""),"Bandung")</f>
        <v>Bandung</v>
      </c>
      <c r="Z469" s="80" t="str">
        <f>IFERROR(__xludf.DUMMYFUNCTION("""COMPUTED_VALUE"""),"Jawa Barat")</f>
        <v>Jawa Barat</v>
      </c>
      <c r="AA469" s="80" t="str">
        <f>IFERROR(__xludf.DUMMYFUNCTION("""COMPUTED_VALUE"""),"40195")</f>
        <v>40195</v>
      </c>
      <c r="AB469" s="80" t="str">
        <f>IFERROR(__xludf.DUMMYFUNCTION("""COMPUTED_VALUE"""),"3329121010880011")</f>
        <v>3329121010880011</v>
      </c>
      <c r="AC469" s="80" t="str">
        <f>IFERROR(__xludf.DUMMYFUNCTION("""COMPUTED_VALUE"""),"20.731.839.5-429.000")</f>
        <v>20.731.839.5-429.000</v>
      </c>
      <c r="AD469" s="80" t="str">
        <f>IFERROR(__xludf.DUMMYFUNCTION("""COMPUTED_VALUE"""),"CUM - PS - RRI")</f>
        <v>CUM - PS - RRI</v>
      </c>
      <c r="AE469" s="80" t="str">
        <f>IFERROR(__xludf.DUMMYFUNCTION("""COMPUTED_VALUE"""),"SUB RIRIN POS")</f>
        <v>SUB RIRIN POS</v>
      </c>
      <c r="AF469" s="80" t="str">
        <f>IFERROR(__xludf.DUMMYFUNCTION("""COMPUTED_VALUE"""),"0811112381")</f>
        <v>0811112381</v>
      </c>
      <c r="AG469" s="80"/>
      <c r="AH469" s="80" t="str">
        <f>IFERROR(__xludf.DUMMYFUNCTION("""COMPUTED_VALUE"""),"satutransferbersama@gmail.com")</f>
        <v>satutransferbersama@gmail.com</v>
      </c>
      <c r="AI469" s="80" t="str">
        <f>IFERROR(__xludf.DUMMYFUNCTION("""COMPUTED_VALUE"""),"40193S4")</f>
        <v>40193S4</v>
      </c>
      <c r="AJ469" s="80" t="str">
        <f>IFERROR(__xludf.DUMMYFUNCTION("""COMPUTED_VALUE"""),"6818449ec6c002dc350a0759")</f>
        <v>6818449ec6c002dc350a0759</v>
      </c>
      <c r="AK469" s="80" t="str">
        <f>IFERROR(__xludf.DUMMYFUNCTION("""COMPUTED_VALUE"""),"dm40193s4")</f>
        <v>dm40193s4</v>
      </c>
      <c r="AL469" s="80" t="str">
        <f>IFERROR(__xludf.DUMMYFUNCTION("""COMPUTED_VALUE"""),"#40193Pos")</f>
        <v>#40193Pos</v>
      </c>
      <c r="AM469" s="80" t="str">
        <f>IFERROR(__xludf.DUMMYFUNCTION("""COMPUTED_VALUE"""),"KANTOR REGIONAL III BANDUNG 40004")</f>
        <v>KANTOR REGIONAL III BANDUNG 40004</v>
      </c>
      <c r="AN469" s="80" t="str">
        <f>IFERROR(__xludf.DUMMYFUNCTION("""COMPUTED_VALUE"""),"KCU BANDUNG 40000")</f>
        <v>KCU BANDUNG 40000</v>
      </c>
      <c r="AO469" s="80" t="str">
        <f>IFERROR(__xludf.DUMMYFUNCTION("""COMPUTED_VALUE"""),"0404240011834")</f>
        <v>0404240011834</v>
      </c>
      <c r="AP469" s="80" t="str">
        <f>IFERROR(__xludf.DUMMYFUNCTION("""COMPUTED_VALUE"""),"04042400118340001")</f>
        <v>04042400118340001</v>
      </c>
      <c r="AQ469" s="83"/>
      <c r="AR469" s="80"/>
      <c r="AS469" s="80"/>
      <c r="AT469" s="80" t="str">
        <f>IFERROR(__xludf.DUMMYFUNCTION("""COMPUTED_VALUE"""),"-6.895626")</f>
        <v>-6.895626</v>
      </c>
      <c r="AU469" s="80" t="str">
        <f>IFERROR(__xludf.DUMMYFUNCTION("""COMPUTED_VALUE"""),"107.659284")</f>
        <v>107.659284</v>
      </c>
      <c r="AV469" s="80"/>
      <c r="AW469" s="80"/>
      <c r="AX469" s="80" t="str">
        <f>IFERROR(__xludf.DUMMYFUNCTION("""COMPUTED_VALUE"""),"h")</f>
        <v>h</v>
      </c>
      <c r="AY469" s="80"/>
      <c r="AZ469" s="80"/>
      <c r="BA469" s="80"/>
      <c r="BB469" s="80"/>
      <c r="BC469" s="80"/>
      <c r="BD469" s="80"/>
      <c r="BE469" s="80"/>
      <c r="BF469" s="80"/>
      <c r="BG469" s="80"/>
      <c r="BH469" s="80"/>
      <c r="BI469" s="80"/>
      <c r="BJ469" s="80"/>
      <c r="BK469" s="80"/>
      <c r="BL469" s="80"/>
      <c r="BM469" s="80"/>
      <c r="BN469" s="80"/>
      <c r="BO469" s="80"/>
      <c r="BP469" s="80"/>
      <c r="BQ469" s="80"/>
      <c r="BR469" s="80"/>
      <c r="BS469" s="80"/>
      <c r="BT469" s="80"/>
      <c r="BU469" s="80"/>
      <c r="BV469" s="80"/>
      <c r="BW469" s="80"/>
      <c r="BX469" s="80"/>
      <c r="BY469" s="80"/>
      <c r="BZ469" s="80"/>
      <c r="CA469" s="80"/>
      <c r="CB469" s="80"/>
      <c r="CC469" s="80"/>
      <c r="CD469" s="80"/>
      <c r="CE469" s="80"/>
      <c r="CF469" s="80" t="str">
        <f>IFERROR(__xludf.DUMMYFUNCTION("""COMPUTED_VALUE"""),"JNE")</f>
        <v>JNE</v>
      </c>
      <c r="CG469" s="80"/>
      <c r="CH469" s="80"/>
      <c r="CI469" s="80"/>
      <c r="CJ469" s="80"/>
      <c r="CK469" s="2"/>
    </row>
    <row r="470" ht="12.75" customHeight="1">
      <c r="A470" s="85">
        <f>IFERROR(__xludf.DUMMYFUNCTION("""COMPUTED_VALUE"""),467.0)</f>
        <v>467</v>
      </c>
      <c r="B470" s="85"/>
      <c r="C470" s="85"/>
      <c r="D470" s="86">
        <f>IFERROR(__xludf.DUMMYFUNCTION("""COMPUTED_VALUE"""),45775.0)</f>
        <v>45775</v>
      </c>
      <c r="E470" s="88"/>
      <c r="F470" s="85"/>
      <c r="G470" s="86">
        <f>IFERROR(__xludf.DUMMYFUNCTION("""COMPUTED_VALUE"""),45775.0)</f>
        <v>45775</v>
      </c>
      <c r="H470" s="85"/>
      <c r="I470" s="85"/>
      <c r="J470" s="85"/>
      <c r="K470" s="85"/>
      <c r="L470" s="85">
        <f>IFERROR(__xludf.DUMMYFUNCTION("""COMPUTED_VALUE"""),0.0)</f>
        <v>0</v>
      </c>
      <c r="M470" s="85" t="str">
        <f>IFERROR(__xludf.DUMMYFUNCTION("""COMPUTED_VALUE"""),"ü")</f>
        <v>ü</v>
      </c>
      <c r="N470" s="85"/>
      <c r="O470" s="85"/>
      <c r="P470" s="85" t="str">
        <f>IFERROR(__xludf.DUMMYFUNCTION("""COMPUTED_VALUE"""),"53BSPA09340JBHDT")</f>
        <v>53BSPA09340JBHDT</v>
      </c>
      <c r="Q470" s="85" t="str">
        <f>IFERROR(__xludf.DUMMYFUNCTION("""COMPUTED_VALUE"""),"MUARO TALANG EXPEDIISI")</f>
        <v>MUARO TALANG EXPEDIISI</v>
      </c>
      <c r="R470" s="85" t="str">
        <f>IFERROR(__xludf.DUMMYFUNCTION("""COMPUTED_VALUE"""),"MUARO TALANG EXPEDIISI")</f>
        <v>MUARO TALANG EXPEDIISI</v>
      </c>
      <c r="S470" s="85" t="str">
        <f>IFERROR(__xludf.DUMMYFUNCTION("""COMPUTED_VALUE"""),"Rusmen Oktoviandinata")</f>
        <v>Rusmen Oktoviandinata</v>
      </c>
      <c r="T470" s="85" t="str">
        <f>IFERROR(__xludf.DUMMYFUNCTION("""COMPUTED_VALUE"""),"GG. Kaum Tengah no 8/15A rt 01 rw 01 kel balonggede kec regol")</f>
        <v>GG. Kaum Tengah no 8/15A rt 01 rw 01 kel balonggede kec regol</v>
      </c>
      <c r="U470" s="85" t="str">
        <f>IFERROR(__xludf.DUMMYFUNCTION("""COMPUTED_VALUE"""),"GG. Kaum Tengah no 8/15A rt 01 rw 01 kel balonggede kec regol")</f>
        <v>GG. Kaum Tengah no 8/15A rt 01 rw 01 kel balonggede kec regol</v>
      </c>
      <c r="V470" s="85"/>
      <c r="W470" s="85" t="str">
        <f>IFERROR(__xludf.DUMMYFUNCTION("""COMPUTED_VALUE"""),"Balonggede")</f>
        <v>Balonggede</v>
      </c>
      <c r="X470" s="85" t="str">
        <f>IFERROR(__xludf.DUMMYFUNCTION("""COMPUTED_VALUE"""),"regol")</f>
        <v>regol</v>
      </c>
      <c r="Y470" s="85" t="str">
        <f>IFERROR(__xludf.DUMMYFUNCTION("""COMPUTED_VALUE"""),"bandung")</f>
        <v>bandung</v>
      </c>
      <c r="Z470" s="85" t="str">
        <f>IFERROR(__xludf.DUMMYFUNCTION("""COMPUTED_VALUE"""),"Jawa Barat")</f>
        <v>Jawa Barat</v>
      </c>
      <c r="AA470" s="85" t="str">
        <f>IFERROR(__xludf.DUMMYFUNCTION("""COMPUTED_VALUE"""),"40251")</f>
        <v>40251</v>
      </c>
      <c r="AB470" s="85" t="str">
        <f>IFERROR(__xludf.DUMMYFUNCTION("""COMPUTED_VALUE"""),"3273110505770004")</f>
        <v>3273110505770004</v>
      </c>
      <c r="AC470" s="85" t="str">
        <f>IFERROR(__xludf.DUMMYFUNCTION("""COMPUTED_VALUE"""),"-")</f>
        <v>-</v>
      </c>
      <c r="AD470" s="85" t="str">
        <f>IFERROR(__xludf.DUMMYFUNCTION("""COMPUTED_VALUE"""),"CUM - HDT")</f>
        <v>CUM - HDT</v>
      </c>
      <c r="AE470" s="85" t="str">
        <f>IFERROR(__xludf.DUMMYFUNCTION("""COMPUTED_VALUE"""),"SUB HDT")</f>
        <v>SUB HDT</v>
      </c>
      <c r="AF470" s="85" t="str">
        <f>IFERROR(__xludf.DUMMYFUNCTION("""COMPUTED_VALUE"""),"082125555423")</f>
        <v>082125555423</v>
      </c>
      <c r="AG470" s="85"/>
      <c r="AH470" s="85" t="str">
        <f>IFERROR(__xludf.DUMMYFUNCTION("""COMPUTED_VALUE"""),"rajorusmen@gmail.com")</f>
        <v>rajorusmen@gmail.com</v>
      </c>
      <c r="AI470" s="85" t="str">
        <f>IFERROR(__xludf.DUMMYFUNCTION("""COMPUTED_VALUE"""),"40352S5")</f>
        <v>40352S5</v>
      </c>
      <c r="AJ470" s="85" t="str">
        <f>IFERROR(__xludf.DUMMYFUNCTION("""COMPUTED_VALUE"""),"64968edc5b81774f1805f804")</f>
        <v>64968edc5b81774f1805f804</v>
      </c>
      <c r="AK470" s="85"/>
      <c r="AL470" s="85"/>
      <c r="AM470" s="85" t="str">
        <f>IFERROR(__xludf.DUMMYFUNCTION("""COMPUTED_VALUE"""),"KANTOR REGIONAL III BANDUNG 40004")</f>
        <v>KANTOR REGIONAL III BANDUNG 40004</v>
      </c>
      <c r="AN470" s="85" t="str">
        <f>IFERROR(__xludf.DUMMYFUNCTION("""COMPUTED_VALUE"""),"KCU BANDUNG 40000")</f>
        <v>KCU BANDUNG 40000</v>
      </c>
      <c r="AO470" s="85" t="str">
        <f>IFERROR(__xludf.DUMMYFUNCTION("""COMPUTED_VALUE"""),"-")</f>
        <v>-</v>
      </c>
      <c r="AP470" s="85" t="str">
        <f>IFERROR(__xludf.DUMMYFUNCTION("""COMPUTED_VALUE"""),"-")</f>
        <v>-</v>
      </c>
      <c r="AQ470" s="93"/>
      <c r="AR470" s="85"/>
      <c r="AS470" s="85"/>
      <c r="AT470" s="85" t="str">
        <f>IFERROR(__xludf.DUMMYFUNCTION("""COMPUTED_VALUE"""),"-6.9216479")</f>
        <v>-6.9216479</v>
      </c>
      <c r="AU470" s="85" t="str">
        <f>IFERROR(__xludf.DUMMYFUNCTION("""COMPUTED_VALUE"""),";107.6042094")</f>
        <v>;107.6042094</v>
      </c>
      <c r="AV470" s="85"/>
      <c r="AW470" s="85"/>
      <c r="AX470" s="85" t="str">
        <f>IFERROR(__xludf.DUMMYFUNCTION("""COMPUTED_VALUE"""),"h")</f>
        <v>h</v>
      </c>
      <c r="AY470" s="85"/>
      <c r="AZ470" s="85"/>
      <c r="BA470" s="85"/>
      <c r="BB470" s="85"/>
      <c r="BC470" s="85"/>
      <c r="BD470" s="85"/>
      <c r="BE470" s="85"/>
      <c r="BF470" s="85"/>
      <c r="BG470" s="85"/>
      <c r="BH470" s="85"/>
      <c r="BI470" s="85"/>
      <c r="BJ470" s="85"/>
      <c r="BK470" s="85"/>
      <c r="BL470" s="85"/>
      <c r="BM470" s="85"/>
      <c r="BN470" s="85"/>
      <c r="BO470" s="85"/>
      <c r="BP470" s="85"/>
      <c r="BQ470" s="85"/>
      <c r="BR470" s="85"/>
      <c r="BS470" s="85"/>
      <c r="BT470" s="85"/>
      <c r="BU470" s="85"/>
      <c r="BV470" s="85"/>
      <c r="BW470" s="85"/>
      <c r="BX470" s="85"/>
      <c r="BY470" s="85"/>
      <c r="BZ470" s="85"/>
      <c r="CA470" s="85"/>
      <c r="CB470" s="85"/>
      <c r="CC470" s="85"/>
      <c r="CD470" s="85"/>
      <c r="CE470" s="85"/>
      <c r="CF470" s="85"/>
      <c r="CG470" s="85"/>
      <c r="CH470" s="85"/>
      <c r="CI470" s="85"/>
      <c r="CJ470" s="85"/>
      <c r="CK470" s="2"/>
    </row>
    <row r="471" ht="12.75" customHeight="1">
      <c r="A471" s="80">
        <f>IFERROR(__xludf.DUMMYFUNCTION("""COMPUTED_VALUE"""),468.0)</f>
        <v>468</v>
      </c>
      <c r="B471" s="80"/>
      <c r="C471" s="80"/>
      <c r="D471" s="81">
        <f>IFERROR(__xludf.DUMMYFUNCTION("""COMPUTED_VALUE"""),45776.0)</f>
        <v>45776</v>
      </c>
      <c r="E471" s="82"/>
      <c r="F471" s="80"/>
      <c r="G471" s="81">
        <f>IFERROR(__xludf.DUMMYFUNCTION("""COMPUTED_VALUE"""),45783.0)</f>
        <v>45783</v>
      </c>
      <c r="H471" s="80"/>
      <c r="I471" s="80"/>
      <c r="J471" s="80"/>
      <c r="K471" s="80"/>
      <c r="L471" s="80">
        <f>IFERROR(__xludf.DUMMYFUNCTION("""COMPUTED_VALUE"""),7.0)</f>
        <v>7</v>
      </c>
      <c r="M471" s="80" t="str">
        <f>IFERROR(__xludf.DUMMYFUNCTION("""COMPUTED_VALUE"""),"ü")</f>
        <v>ü</v>
      </c>
      <c r="N471" s="80"/>
      <c r="O471" s="80"/>
      <c r="P471" s="80" t="str">
        <f>IFERROR(__xludf.DUMMYFUNCTION("""COMPUTED_VALUE"""),"MUCSPA63122PSIND")</f>
        <v>MUCSPA63122PSIND</v>
      </c>
      <c r="Q471" s="80" t="str">
        <f>IFERROR(__xludf.DUMMYFUNCTION("""COMPUTED_VALUE"""),"MUC Amanah")</f>
        <v>MUC Amanah</v>
      </c>
      <c r="R471" s="80" t="str">
        <f>IFERROR(__xludf.DUMMYFUNCTION("""COMPUTED_VALUE"""),"MUC Amanah")</f>
        <v>MUC Amanah</v>
      </c>
      <c r="S471" s="80" t="str">
        <f>IFERROR(__xludf.DUMMYFUNCTION("""COMPUTED_VALUE"""),"Budi Joko Santosa ")</f>
        <v>Budi Joko Santosa </v>
      </c>
      <c r="T471" s="80" t="str">
        <f>IFERROR(__xludf.DUMMYFUNCTION("""COMPUTED_VALUE"""),"KRAJAN LOR 02/02 Gintungan, Gebang, Purworejo.")</f>
        <v>KRAJAN LOR 02/02 Gintungan, Gebang, Purworejo.</v>
      </c>
      <c r="U471" s="80" t="str">
        <f>IFERROR(__xludf.DUMMYFUNCTION("""COMPUTED_VALUE"""),"Tritis lor")</f>
        <v>Tritis lor</v>
      </c>
      <c r="V471" s="80"/>
      <c r="W471" s="80" t="str">
        <f>IFERROR(__xludf.DUMMYFUNCTION("""COMPUTED_VALUE"""),"SucenJuruTengah")</f>
        <v>SucenJuruTengah</v>
      </c>
      <c r="X471" s="80" t="str">
        <f>IFERROR(__xludf.DUMMYFUNCTION("""COMPUTED_VALUE"""),"Bayan")</f>
        <v>Bayan</v>
      </c>
      <c r="Y471" s="80" t="str">
        <f>IFERROR(__xludf.DUMMYFUNCTION("""COMPUTED_VALUE"""),"Purworejo")</f>
        <v>Purworejo</v>
      </c>
      <c r="Z471" s="80" t="str">
        <f>IFERROR(__xludf.DUMMYFUNCTION("""COMPUTED_VALUE"""),"Jawa Tengah")</f>
        <v>Jawa Tengah</v>
      </c>
      <c r="AA471" s="80" t="str">
        <f>IFERROR(__xludf.DUMMYFUNCTION("""COMPUTED_VALUE"""),"54224")</f>
        <v>54224</v>
      </c>
      <c r="AB471" s="80" t="str">
        <f>IFERROR(__xludf.DUMMYFUNCTION("""COMPUTED_VALUE"""),"3306142512610001")</f>
        <v>3306142512610001</v>
      </c>
      <c r="AC471" s="80" t="str">
        <f>IFERROR(__xludf.DUMMYFUNCTION("""COMPUTED_VALUE"""),"07.818.506.3.531.000")</f>
        <v>07.818.506.3.531.000</v>
      </c>
      <c r="AD471" s="80" t="str">
        <f>IFERROR(__xludf.DUMMYFUNCTION("""COMPUTED_VALUE"""),"CUM - PS - NONKORGEN")</f>
        <v>CUM - PS - NONKORGEN</v>
      </c>
      <c r="AE471" s="80" t="str">
        <f>IFERROR(__xludf.DUMMYFUNCTION("""COMPUTED_VALUE"""),"SUB NONKORGEN/ BU UZMA")</f>
        <v>SUB NONKORGEN/ BU UZMA</v>
      </c>
      <c r="AF471" s="80" t="str">
        <f>IFERROR(__xludf.DUMMYFUNCTION("""COMPUTED_VALUE"""),"081578128682")</f>
        <v>081578128682</v>
      </c>
      <c r="AG471" s="80"/>
      <c r="AH471" s="80" t="str">
        <f>IFERROR(__xludf.DUMMYFUNCTION("""COMPUTED_VALUE"""),"budijokosantosa14@gmail.com")</f>
        <v>budijokosantosa14@gmail.com</v>
      </c>
      <c r="AI471" s="80" t="str">
        <f>IFERROR(__xludf.DUMMYFUNCTION("""COMPUTED_VALUE"""),"54152S1")</f>
        <v>54152S1</v>
      </c>
      <c r="AJ471" s="80" t="str">
        <f>IFERROR(__xludf.DUMMYFUNCTION("""COMPUTED_VALUE"""),"6818e4bf9378f29ccd0fac1e")</f>
        <v>6818e4bf9378f29ccd0fac1e</v>
      </c>
      <c r="AK471" s="80" t="str">
        <f>IFERROR(__xludf.DUMMYFUNCTION("""COMPUTED_VALUE"""),"dm54152s1")</f>
        <v>dm54152s1</v>
      </c>
      <c r="AL471" s="80" t="str">
        <f>IFERROR(__xludf.DUMMYFUNCTION("""COMPUTED_VALUE"""),"#54152Pos")</f>
        <v>#54152Pos</v>
      </c>
      <c r="AM471" s="80" t="str">
        <f>IFERROR(__xludf.DUMMYFUNCTION("""COMPUTED_VALUE"""),"KANTOR REGIONAL IV SEMARANG 50004")</f>
        <v>KANTOR REGIONAL IV SEMARANG 50004</v>
      </c>
      <c r="AN471" s="80" t="str">
        <f>IFERROR(__xludf.DUMMYFUNCTION("""COMPUTED_VALUE"""),"KC PURWOREJO 54100")</f>
        <v>KC PURWOREJO 54100</v>
      </c>
      <c r="AO471" s="80" t="str">
        <f>IFERROR(__xludf.DUMMYFUNCTION("""COMPUTED_VALUE"""),"3105220026218")</f>
        <v>3105220026218</v>
      </c>
      <c r="AP471" s="80" t="str">
        <f>IFERROR(__xludf.DUMMYFUNCTION("""COMPUTED_VALUE"""),"31052200262180001")</f>
        <v>31052200262180001</v>
      </c>
      <c r="AQ471" s="83"/>
      <c r="AR471" s="80"/>
      <c r="AS471" s="80"/>
      <c r="AT471" s="80" t="str">
        <f>IFERROR(__xludf.DUMMYFUNCTION("""COMPUTED_VALUE"""),"-7.699348 ")</f>
        <v>-7.699348 </v>
      </c>
      <c r="AU471" s="80" t="str">
        <f>IFERROR(__xludf.DUMMYFUNCTION("""COMPUTED_VALUE"""),"109.977823")</f>
        <v>109.977823</v>
      </c>
      <c r="AV471" s="80"/>
      <c r="AW471" s="80"/>
      <c r="AX471" s="80" t="str">
        <f>IFERROR(__xludf.DUMMYFUNCTION("""COMPUTED_VALUE"""),"h")</f>
        <v>h</v>
      </c>
      <c r="AY471" s="80"/>
      <c r="AZ471" s="80"/>
      <c r="BA471" s="80"/>
      <c r="BB471" s="80"/>
      <c r="BC471" s="80"/>
      <c r="BD471" s="80"/>
      <c r="BE471" s="80"/>
      <c r="BF471" s="80"/>
      <c r="BG471" s="80"/>
      <c r="BH471" s="80"/>
      <c r="BI471" s="80"/>
      <c r="BJ471" s="80"/>
      <c r="BK471" s="80"/>
      <c r="BL471" s="80"/>
      <c r="BM471" s="80"/>
      <c r="BN471" s="80"/>
      <c r="BO471" s="80"/>
      <c r="BP471" s="80"/>
      <c r="BQ471" s="80"/>
      <c r="BR471" s="80"/>
      <c r="BS471" s="80"/>
      <c r="BT471" s="80"/>
      <c r="BU471" s="80"/>
      <c r="BV471" s="80"/>
      <c r="BW471" s="80"/>
      <c r="BX471" s="80" t="str">
        <f>IFERROR(__xludf.DUMMYFUNCTION("""COMPUTED_VALUE"""),"NEWBIE TOKO KELONTONG")</f>
        <v>NEWBIE TOKO KELONTONG</v>
      </c>
      <c r="BY471" s="80"/>
      <c r="BZ471" s="80"/>
      <c r="CA471" s="80"/>
      <c r="CB471" s="80"/>
      <c r="CC471" s="80"/>
      <c r="CD471" s="80"/>
      <c r="CE471" s="80"/>
      <c r="CF471" s="80"/>
      <c r="CG471" s="80"/>
      <c r="CH471" s="80"/>
      <c r="CI471" s="80"/>
      <c r="CJ471" s="80"/>
      <c r="CK471" s="2"/>
    </row>
    <row r="472" ht="12.75" customHeight="1">
      <c r="A472" s="85">
        <f>IFERROR(__xludf.DUMMYFUNCTION("""COMPUTED_VALUE"""),469.0)</f>
        <v>469</v>
      </c>
      <c r="B472" s="85"/>
      <c r="C472" s="85"/>
      <c r="D472" s="86">
        <f>IFERROR(__xludf.DUMMYFUNCTION("""COMPUTED_VALUE"""),45776.0)</f>
        <v>45776</v>
      </c>
      <c r="E472" s="88"/>
      <c r="F472" s="85"/>
      <c r="G472" s="86">
        <f>IFERROR(__xludf.DUMMYFUNCTION("""COMPUTED_VALUE"""),45792.0)</f>
        <v>45792</v>
      </c>
      <c r="H472" s="85"/>
      <c r="I472" s="85"/>
      <c r="J472" s="85"/>
      <c r="K472" s="85"/>
      <c r="L472" s="85">
        <f>IFERROR(__xludf.DUMMYFUNCTION("""COMPUTED_VALUE"""),16.0)</f>
        <v>16</v>
      </c>
      <c r="M472" s="85" t="str">
        <f>IFERROR(__xludf.DUMMYFUNCTION("""COMPUTED_VALUE"""),"ü")</f>
        <v>ü</v>
      </c>
      <c r="N472" s="85"/>
      <c r="O472" s="85"/>
      <c r="P472" s="85" t="str">
        <f>IFERROR(__xludf.DUMMYFUNCTION("""COMPUTED_VALUE"""),"MUCSPA63123PSIND")</f>
        <v>MUCSPA63123PSIND</v>
      </c>
      <c r="Q472" s="85" t="str">
        <f>IFERROR(__xludf.DUMMYFUNCTION("""COMPUTED_VALUE"""),"MUC Hesa Jaya")</f>
        <v>MUC Hesa Jaya</v>
      </c>
      <c r="R472" s="85" t="str">
        <f>IFERROR(__xludf.DUMMYFUNCTION("""COMPUTED_VALUE"""),"MUC Hesa Jaya")</f>
        <v>MUC Hesa Jaya</v>
      </c>
      <c r="S472" s="85" t="str">
        <f>IFERROR(__xludf.DUMMYFUNCTION("""COMPUTED_VALUE"""),"HERI SETIAWAN")</f>
        <v>HERI SETIAWAN</v>
      </c>
      <c r="T472" s="85" t="str">
        <f>IFERROR(__xludf.DUMMYFUNCTION("""COMPUTED_VALUE"""),"KP. SOGE 04/10 KEL.PANIMBANGJAYA KEC.PANIMBANG KAB.PANDEGLANG BANTEN")</f>
        <v>KP. SOGE 04/10 KEL.PANIMBANGJAYA KEC.PANIMBANG KAB.PANDEGLANG BANTEN</v>
      </c>
      <c r="U472" s="85" t="str">
        <f>IFERROR(__xludf.DUMMYFUNCTION("""COMPUTED_VALUE"""),"Kp. Soge Timur RT.04 RW.10")</f>
        <v>Kp. Soge Timur RT.04 RW.10</v>
      </c>
      <c r="V472" s="85"/>
      <c r="W472" s="85" t="str">
        <f>IFERROR(__xludf.DUMMYFUNCTION("""COMPUTED_VALUE"""),"Panimbangaya")</f>
        <v>Panimbangaya</v>
      </c>
      <c r="X472" s="85" t="str">
        <f>IFERROR(__xludf.DUMMYFUNCTION("""COMPUTED_VALUE"""),"Panimbang")</f>
        <v>Panimbang</v>
      </c>
      <c r="Y472" s="85" t="str">
        <f>IFERROR(__xludf.DUMMYFUNCTION("""COMPUTED_VALUE"""),"Kab. Pandeglang")</f>
        <v>Kab. Pandeglang</v>
      </c>
      <c r="Z472" s="85" t="str">
        <f>IFERROR(__xludf.DUMMYFUNCTION("""COMPUTED_VALUE"""),"Banten")</f>
        <v>Banten</v>
      </c>
      <c r="AA472" s="85" t="str">
        <f>IFERROR(__xludf.DUMMYFUNCTION("""COMPUTED_VALUE"""),"42281")</f>
        <v>42281</v>
      </c>
      <c r="AB472" s="85" t="str">
        <f>IFERROR(__xludf.DUMMYFUNCTION("""COMPUTED_VALUE"""),"3601062606950001")</f>
        <v>3601062606950001</v>
      </c>
      <c r="AC472" s="85" t="str">
        <f>IFERROR(__xludf.DUMMYFUNCTION("""COMPUTED_VALUE"""),"95.674.589.7-419.000")</f>
        <v>95.674.589.7-419.000</v>
      </c>
      <c r="AD472" s="85" t="str">
        <f>IFERROR(__xludf.DUMMYFUNCTION("""COMPUTED_VALUE"""),"CUM - PS - NONKORGEN")</f>
        <v>CUM - PS - NONKORGEN</v>
      </c>
      <c r="AE472" s="85" t="str">
        <f>IFERROR(__xludf.DUMMYFUNCTION("""COMPUTED_VALUE"""),"SUB NONKORGEN/ pak singgih")</f>
        <v>SUB NONKORGEN/ pak singgih</v>
      </c>
      <c r="AF472" s="85" t="str">
        <f>IFERROR(__xludf.DUMMYFUNCTION("""COMPUTED_VALUE"""),"083813356127")</f>
        <v>083813356127</v>
      </c>
      <c r="AG472" s="85"/>
      <c r="AH472" s="85" t="str">
        <f>IFERROR(__xludf.DUMMYFUNCTION("""COMPUTED_VALUE"""),"hery.rhie.setya@gmail.com")</f>
        <v>hery.rhie.setya@gmail.com</v>
      </c>
      <c r="AI472" s="85" t="str">
        <f>IFERROR(__xludf.DUMMYFUNCTION("""COMPUTED_VALUE"""),"42281S1")</f>
        <v>42281S1</v>
      </c>
      <c r="AJ472" s="85" t="str">
        <f>IFERROR(__xludf.DUMMYFUNCTION("""COMPUTED_VALUE"""),"681e05615f946f8c690ec879")</f>
        <v>681e05615f946f8c690ec879</v>
      </c>
      <c r="AK472" s="85" t="str">
        <f>IFERROR(__xludf.DUMMYFUNCTION("""COMPUTED_VALUE"""),"dm42281s1")</f>
        <v>dm42281s1</v>
      </c>
      <c r="AL472" s="85" t="str">
        <f>IFERROR(__xludf.DUMMYFUNCTION("""COMPUTED_VALUE"""),"#42281Pos")</f>
        <v>#42281Pos</v>
      </c>
      <c r="AM472" s="85" t="str">
        <f>IFERROR(__xludf.DUMMYFUNCTION("""COMPUTED_VALUE"""),"KANTOR REGIONAL II JAKARTA 10004")</f>
        <v>KANTOR REGIONAL II JAKARTA 10004</v>
      </c>
      <c r="AN472" s="85" t="str">
        <f>IFERROR(__xludf.DUMMYFUNCTION("""COMPUTED_VALUE"""),"KC PANDEGLANG ")</f>
        <v>KC PANDEGLANG </v>
      </c>
      <c r="AO472" s="85" t="str">
        <f>IFERROR(__xludf.DUMMYFUNCTION("""COMPUTED_VALUE"""),"0239011052382")</f>
        <v>0239011052382</v>
      </c>
      <c r="AP472" s="85" t="str">
        <f>IFERROR(__xludf.DUMMYFUNCTION("""COMPUTED_VALUE"""),"02390110523820001")</f>
        <v>02390110523820001</v>
      </c>
      <c r="AQ472" s="93"/>
      <c r="AR472" s="85"/>
      <c r="AS472" s="85"/>
      <c r="AT472" s="85" t="str">
        <f>IFERROR(__xludf.DUMMYFUNCTION("""COMPUTED_VALUE"""),"-6.491414")</f>
        <v>-6.491414</v>
      </c>
      <c r="AU472" s="85" t="str">
        <f>IFERROR(__xludf.DUMMYFUNCTION("""COMPUTED_VALUE"""),"105.807767")</f>
        <v>105.807767</v>
      </c>
      <c r="AV472" s="85"/>
      <c r="AW472" s="85"/>
      <c r="AX472" s="85" t="str">
        <f>IFERROR(__xludf.DUMMYFUNCTION("""COMPUTED_VALUE"""),"h")</f>
        <v>h</v>
      </c>
      <c r="AY472" s="85"/>
      <c r="AZ472" s="85"/>
      <c r="BA472" s="85"/>
      <c r="BB472" s="85"/>
      <c r="BC472" s="85"/>
      <c r="BD472" s="85"/>
      <c r="BE472" s="85"/>
      <c r="BF472" s="85"/>
      <c r="BG472" s="85"/>
      <c r="BH472" s="85"/>
      <c r="BI472" s="85"/>
      <c r="BJ472" s="85"/>
      <c r="BK472" s="85"/>
      <c r="BL472" s="85"/>
      <c r="BM472" s="85"/>
      <c r="BN472" s="85"/>
      <c r="BO472" s="85"/>
      <c r="BP472" s="85"/>
      <c r="BQ472" s="85"/>
      <c r="BR472" s="85"/>
      <c r="BS472" s="85"/>
      <c r="BT472" s="85"/>
      <c r="BU472" s="85"/>
      <c r="BV472" s="85"/>
      <c r="BW472" s="85"/>
      <c r="BX472" s="85" t="str">
        <f>IFERROR(__xludf.DUMMYFUNCTION("""COMPUTED_VALUE"""),"NEWBIE FOTOCOPY")</f>
        <v>NEWBIE FOTOCOPY</v>
      </c>
      <c r="BY472" s="85"/>
      <c r="BZ472" s="85"/>
      <c r="CA472" s="85"/>
      <c r="CB472" s="85"/>
      <c r="CC472" s="85"/>
      <c r="CD472" s="85"/>
      <c r="CE472" s="85"/>
      <c r="CF472" s="85"/>
      <c r="CG472" s="85"/>
      <c r="CH472" s="85"/>
      <c r="CI472" s="85"/>
      <c r="CJ472" s="85"/>
      <c r="CK472" s="2"/>
    </row>
    <row r="473" ht="12.75" customHeight="1">
      <c r="A473" s="80">
        <f>IFERROR(__xludf.DUMMYFUNCTION("""COMPUTED_VALUE"""),470.0)</f>
        <v>470</v>
      </c>
      <c r="B473" s="80"/>
      <c r="C473" s="80"/>
      <c r="D473" s="81">
        <f>IFERROR(__xludf.DUMMYFUNCTION("""COMPUTED_VALUE"""),45776.0)</f>
        <v>45776</v>
      </c>
      <c r="E473" s="82"/>
      <c r="F473" s="80"/>
      <c r="G473" s="81">
        <f>IFERROR(__xludf.DUMMYFUNCTION("""COMPUTED_VALUE"""),45783.0)</f>
        <v>45783</v>
      </c>
      <c r="H473" s="80"/>
      <c r="I473" s="80"/>
      <c r="J473" s="80"/>
      <c r="K473" s="80"/>
      <c r="L473" s="80">
        <f>IFERROR(__xludf.DUMMYFUNCTION("""COMPUTED_VALUE"""),7.0)</f>
        <v>7</v>
      </c>
      <c r="M473" s="80" t="str">
        <f>IFERROR(__xludf.DUMMYFUNCTION("""COMPUTED_VALUE"""),"ü")</f>
        <v>ü</v>
      </c>
      <c r="N473" s="80"/>
      <c r="O473" s="80"/>
      <c r="P473" s="80" t="str">
        <f>IFERROR(__xludf.DUMMYFUNCTION("""COMPUTED_VALUE"""),"53BSPA09479JBEEN")</f>
        <v>53BSPA09479JBEEN</v>
      </c>
      <c r="Q473" s="80" t="str">
        <f>IFERROR(__xludf.DUMMYFUNCTION("""COMPUTED_VALUE"""),"MUC Post Arifa Jakasetia")</f>
        <v>MUC Post Arifa Jakasetia</v>
      </c>
      <c r="R473" s="80" t="str">
        <f>IFERROR(__xludf.DUMMYFUNCTION("""COMPUTED_VALUE"""),"MUC Post Arifa Jakasetia")</f>
        <v>MUC Post Arifa Jakasetia</v>
      </c>
      <c r="S473" s="80" t="str">
        <f>IFERROR(__xludf.DUMMYFUNCTION("""COMPUTED_VALUE"""),"Andri Purnomo")</f>
        <v>Andri Purnomo</v>
      </c>
      <c r="T473" s="80" t="str">
        <f>IFERROR(__xludf.DUMMYFUNCTION("""COMPUTED_VALUE"""),"PERUM.PEMDA JL.SEMAR I/06 RT.005 RW.001 JATIASIH,JATIASIH, KOTA BEKASI")</f>
        <v>PERUM.PEMDA JL.SEMAR I/06 RT.005 RW.001 JATIASIH,JATIASIH, KOTA BEKASI</v>
      </c>
      <c r="U473" s="80" t="str">
        <f>IFERROR(__xludf.DUMMYFUNCTION("""COMPUTED_VALUE"""),"Jl. R. H. Umar, RT.001/RW.018")</f>
        <v>Jl. R. H. Umar, RT.001/RW.018</v>
      </c>
      <c r="V473" s="80"/>
      <c r="W473" s="80" t="str">
        <f>IFERROR(__xludf.DUMMYFUNCTION("""COMPUTED_VALUE"""),"Jaka Setia")</f>
        <v>Jaka Setia</v>
      </c>
      <c r="X473" s="80" t="str">
        <f>IFERROR(__xludf.DUMMYFUNCTION("""COMPUTED_VALUE"""),"Bekasi Selatan")</f>
        <v>Bekasi Selatan</v>
      </c>
      <c r="Y473" s="80" t="str">
        <f>IFERROR(__xludf.DUMMYFUNCTION("""COMPUTED_VALUE"""),"Kota Bekasi")</f>
        <v>Kota Bekasi</v>
      </c>
      <c r="Z473" s="80" t="str">
        <f>IFERROR(__xludf.DUMMYFUNCTION("""COMPUTED_VALUE"""),"Jawa Barat ")</f>
        <v>Jawa Barat </v>
      </c>
      <c r="AA473" s="80" t="str">
        <f>IFERROR(__xludf.DUMMYFUNCTION("""COMPUTED_VALUE"""),"17147")</f>
        <v>17147</v>
      </c>
      <c r="AB473" s="80" t="str">
        <f>IFERROR(__xludf.DUMMYFUNCTION("""COMPUTED_VALUE"""),"3275092004700014")</f>
        <v>3275092004700014</v>
      </c>
      <c r="AC473" s="80" t="str">
        <f>IFERROR(__xludf.DUMMYFUNCTION("""COMPUTED_VALUE"""),"48.708.927.8-432.000")</f>
        <v>48.708.927.8-432.000</v>
      </c>
      <c r="AD473" s="80" t="str">
        <f>IFERROR(__xludf.DUMMYFUNCTION("""COMPUTED_VALUE"""),"CUM - EEN")</f>
        <v>CUM - EEN</v>
      </c>
      <c r="AE473" s="80" t="str">
        <f>IFERROR(__xludf.DUMMYFUNCTION("""COMPUTED_VALUE"""),"SUB EEN")</f>
        <v>SUB EEN</v>
      </c>
      <c r="AF473" s="80" t="str">
        <f>IFERROR(__xludf.DUMMYFUNCTION("""COMPUTED_VALUE"""),"085754972717")</f>
        <v>085754972717</v>
      </c>
      <c r="AG473" s="80"/>
      <c r="AH473" s="80" t="str">
        <f>IFERROR(__xludf.DUMMYFUNCTION("""COMPUTED_VALUE"""),"arifalaskardalam@gmail.com")</f>
        <v>arifalaskardalam@gmail.com</v>
      </c>
      <c r="AI473" s="80" t="str">
        <f>IFERROR(__xludf.DUMMYFUNCTION("""COMPUTED_VALUE"""),"17147S3")</f>
        <v>17147S3</v>
      </c>
      <c r="AJ473" s="80" t="str">
        <f>IFERROR(__xludf.DUMMYFUNCTION("""COMPUTED_VALUE"""),"68157984ecc6384d4a0a8002")</f>
        <v>68157984ecc6384d4a0a8002</v>
      </c>
      <c r="AK473" s="80" t="str">
        <f>IFERROR(__xludf.DUMMYFUNCTION("""COMPUTED_VALUE"""),"dm17147s3")</f>
        <v>dm17147s3</v>
      </c>
      <c r="AL473" s="80" t="str">
        <f>IFERROR(__xludf.DUMMYFUNCTION("""COMPUTED_VALUE"""),"#17147Pos")</f>
        <v>#17147Pos</v>
      </c>
      <c r="AM473" s="80" t="str">
        <f>IFERROR(__xludf.DUMMYFUNCTION("""COMPUTED_VALUE"""),"KANTOR REGIONAL II JAKARTA 10004")</f>
        <v>KANTOR REGIONAL II JAKARTA 10004</v>
      </c>
      <c r="AN473" s="80" t="str">
        <f>IFERROR(__xludf.DUMMYFUNCTION("""COMPUTED_VALUE"""),"KCU BEKASI 17000")</f>
        <v>KCU BEKASI 17000</v>
      </c>
      <c r="AO473" s="80" t="str">
        <f>IFERROR(__xludf.DUMMYFUNCTION("""COMPUTED_VALUE"""),"2904250037213")</f>
        <v>2904250037213</v>
      </c>
      <c r="AP473" s="80" t="str">
        <f>IFERROR(__xludf.DUMMYFUNCTION("""COMPUTED_VALUE"""),"29042500372130001")</f>
        <v>29042500372130001</v>
      </c>
      <c r="AQ473" s="83"/>
      <c r="AR473" s="80"/>
      <c r="AS473" s="80"/>
      <c r="AT473" s="80" t="str">
        <f>IFERROR(__xludf.DUMMYFUNCTION("""COMPUTED_VALUE"""),"-6.275314")</f>
        <v>-6.275314</v>
      </c>
      <c r="AU473" s="80" t="str">
        <f>IFERROR(__xludf.DUMMYFUNCTION("""COMPUTED_VALUE"""),"106.971709")</f>
        <v>106.971709</v>
      </c>
      <c r="AV473" s="80"/>
      <c r="AW473" s="80"/>
      <c r="AX473" s="80" t="str">
        <f>IFERROR(__xludf.DUMMYFUNCTION("""COMPUTED_VALUE"""),"h")</f>
        <v>h</v>
      </c>
      <c r="AY473" s="80"/>
      <c r="AZ473" s="80"/>
      <c r="BA473" s="80"/>
      <c r="BB473" s="80"/>
      <c r="BC473" s="80"/>
      <c r="BD473" s="80"/>
      <c r="BE473" s="80"/>
      <c r="BF473" s="80"/>
      <c r="BG473" s="80"/>
      <c r="BH473" s="80"/>
      <c r="BI473" s="80"/>
      <c r="BJ473" s="80"/>
      <c r="BK473" s="80"/>
      <c r="BL473" s="80"/>
      <c r="BM473" s="80"/>
      <c r="BN473" s="80"/>
      <c r="BO473" s="80"/>
      <c r="BP473" s="80"/>
      <c r="BQ473" s="80"/>
      <c r="BR473" s="80"/>
      <c r="BS473" s="80"/>
      <c r="BT473" s="80"/>
      <c r="BU473" s="80"/>
      <c r="BV473" s="80"/>
      <c r="BW473" s="80"/>
      <c r="BX473" s="80"/>
      <c r="BY473" s="80"/>
      <c r="BZ473" s="80"/>
      <c r="CA473" s="80" t="str">
        <f>IFERROR(__xludf.DUMMYFUNCTION("""COMPUTED_VALUE"""),"LION PARCEL")</f>
        <v>LION PARCEL</v>
      </c>
      <c r="CB473" s="80"/>
      <c r="CC473" s="80"/>
      <c r="CD473" s="80" t="str">
        <f>IFERROR(__xludf.DUMMYFUNCTION("""COMPUTED_VALUE"""),"JNT EXPRESS")</f>
        <v>JNT EXPRESS</v>
      </c>
      <c r="CE473" s="80" t="str">
        <f>IFERROR(__xludf.DUMMYFUNCTION("""COMPUTED_VALUE"""),"SICEPAT")</f>
        <v>SICEPAT</v>
      </c>
      <c r="CF473" s="80"/>
      <c r="CG473" s="80"/>
      <c r="CH473" s="80" t="str">
        <f>IFERROR(__xludf.DUMMYFUNCTION("""COMPUTED_VALUE"""),"SAP")</f>
        <v>SAP</v>
      </c>
      <c r="CI473" s="80"/>
      <c r="CJ473" s="80"/>
      <c r="CK473" s="2"/>
    </row>
    <row r="474" ht="12.75" customHeight="1">
      <c r="A474" s="85">
        <f>IFERROR(__xludf.DUMMYFUNCTION("""COMPUTED_VALUE"""),471.0)</f>
        <v>471</v>
      </c>
      <c r="B474" s="85"/>
      <c r="C474" s="85"/>
      <c r="D474" s="86">
        <f>IFERROR(__xludf.DUMMYFUNCTION("""COMPUTED_VALUE"""),45776.0)</f>
        <v>45776</v>
      </c>
      <c r="E474" s="88"/>
      <c r="F474" s="85"/>
      <c r="G474" s="86">
        <f>IFERROR(__xludf.DUMMYFUNCTION("""COMPUTED_VALUE"""),45784.0)</f>
        <v>45784</v>
      </c>
      <c r="H474" s="85"/>
      <c r="I474" s="85"/>
      <c r="J474" s="85"/>
      <c r="K474" s="85"/>
      <c r="L474" s="85">
        <f>IFERROR(__xludf.DUMMYFUNCTION("""COMPUTED_VALUE"""),8.0)</f>
        <v>8</v>
      </c>
      <c r="M474" s="85"/>
      <c r="N474" s="85" t="str">
        <f>IFERROR(__xludf.DUMMYFUNCTION("""COMPUTED_VALUE"""),"ü")</f>
        <v>ü</v>
      </c>
      <c r="O474" s="85"/>
      <c r="P474" s="85" t="str">
        <f>IFERROR(__xludf.DUMMYFUNCTION("""COMPUTED_VALUE"""),"MUCSPA63124PSIND")</f>
        <v>MUCSPA63124PSIND</v>
      </c>
      <c r="Q474" s="85" t="str">
        <f>IFERROR(__xludf.DUMMYFUNCTION("""COMPUTED_VALUE"""),"MUC Satu Agen")</f>
        <v>MUC Satu Agen</v>
      </c>
      <c r="R474" s="85" t="str">
        <f>IFERROR(__xludf.DUMMYFUNCTION("""COMPUTED_VALUE"""),"MUC Satu Agen")</f>
        <v>MUC Satu Agen</v>
      </c>
      <c r="S474" s="85" t="str">
        <f>IFERROR(__xludf.DUMMYFUNCTION("""COMPUTED_VALUE"""),"Prastyo Widyantoro")</f>
        <v>Prastyo Widyantoro</v>
      </c>
      <c r="T474" s="85" t="str">
        <f>IFERROR(__xludf.DUMMYFUNCTION("""COMPUTED_VALUE"""),"Losari Lor 01/01 Losari Lor, Losari, Kab.Brebes")</f>
        <v>Losari Lor 01/01 Losari Lor, Losari, Kab.Brebes</v>
      </c>
      <c r="U474" s="85" t="str">
        <f>IFERROR(__xludf.DUMMYFUNCTION("""COMPUTED_VALUE"""),"Jl. Kosar No.63, Pasir Endah, Kec. Ujung Berung, Kota Bandung, Jawa Barat 40612")</f>
        <v>Jl. Kosar No.63, Pasir Endah, Kec. Ujung Berung, Kota Bandung, Jawa Barat 40612</v>
      </c>
      <c r="V474" s="85"/>
      <c r="W474" s="85" t="str">
        <f>IFERROR(__xludf.DUMMYFUNCTION("""COMPUTED_VALUE"""),"Pasir Endah")</f>
        <v>Pasir Endah</v>
      </c>
      <c r="X474" s="85" t="str">
        <f>IFERROR(__xludf.DUMMYFUNCTION("""COMPUTED_VALUE"""),"Ujung Berung")</f>
        <v>Ujung Berung</v>
      </c>
      <c r="Y474" s="85" t="str">
        <f>IFERROR(__xludf.DUMMYFUNCTION("""COMPUTED_VALUE"""),"Bandung")</f>
        <v>Bandung</v>
      </c>
      <c r="Z474" s="85" t="str">
        <f>IFERROR(__xludf.DUMMYFUNCTION("""COMPUTED_VALUE"""),"Jawa Barat")</f>
        <v>Jawa Barat</v>
      </c>
      <c r="AA474" s="85" t="str">
        <f>IFERROR(__xludf.DUMMYFUNCTION("""COMPUTED_VALUE"""),"40612")</f>
        <v>40612</v>
      </c>
      <c r="AB474" s="85" t="str">
        <f>IFERROR(__xludf.DUMMYFUNCTION("""COMPUTED_VALUE"""),"3329120808900007")</f>
        <v>3329120808900007</v>
      </c>
      <c r="AC474" s="85" t="str">
        <f>IFERROR(__xludf.DUMMYFUNCTION("""COMPUTED_VALUE"""),"3329 1208 0890 0007")</f>
        <v>3329 1208 0890 0007</v>
      </c>
      <c r="AD474" s="85" t="str">
        <f>IFERROR(__xludf.DUMMYFUNCTION("""COMPUTED_VALUE"""),"CUM - PS - THI")</f>
        <v>CUM - PS - THI</v>
      </c>
      <c r="AE474" s="85" t="str">
        <f>IFERROR(__xludf.DUMMYFUNCTION("""COMPUTED_VALUE"""),"SUB THIO POS")</f>
        <v>SUB THIO POS</v>
      </c>
      <c r="AF474" s="85" t="str">
        <f>IFERROR(__xludf.DUMMYFUNCTION("""COMPUTED_VALUE"""),"085176948424")</f>
        <v>085176948424</v>
      </c>
      <c r="AG474" s="85"/>
      <c r="AH474" s="85" t="str">
        <f>IFERROR(__xludf.DUMMYFUNCTION("""COMPUTED_VALUE"""),"Lazaromanagement@gmail.com")</f>
        <v>Lazaromanagement@gmail.com</v>
      </c>
      <c r="AI474" s="85" t="str">
        <f>IFERROR(__xludf.DUMMYFUNCTION("""COMPUTED_VALUE"""),"40199S2")</f>
        <v>40199S2</v>
      </c>
      <c r="AJ474" s="85" t="str">
        <f>IFERROR(__xludf.DUMMYFUNCTION("""COMPUTED_VALUE"""),"681a0797a612a81fd7075a3a")</f>
        <v>681a0797a612a81fd7075a3a</v>
      </c>
      <c r="AK474" s="85" t="str">
        <f>IFERROR(__xludf.DUMMYFUNCTION("""COMPUTED_VALUE"""),"dm40199s2")</f>
        <v>dm40199s2</v>
      </c>
      <c r="AL474" s="85" t="str">
        <f>IFERROR(__xludf.DUMMYFUNCTION("""COMPUTED_VALUE"""),"#40199Pos")</f>
        <v>#40199Pos</v>
      </c>
      <c r="AM474" s="85" t="str">
        <f>IFERROR(__xludf.DUMMYFUNCTION("""COMPUTED_VALUE"""),"KANTOR REGIONAL III BANDUNG 40004")</f>
        <v>KANTOR REGIONAL III BANDUNG 40004</v>
      </c>
      <c r="AN474" s="85" t="str">
        <f>IFERROR(__xludf.DUMMYFUNCTION("""COMPUTED_VALUE"""),"KC UJUNGBERUNG ")</f>
        <v>KC UJUNGBERUNG </v>
      </c>
      <c r="AO474" s="85" t="str">
        <f>IFERROR(__xludf.DUMMYFUNCTION("""COMPUTED_VALUE"""),"2904250070221")</f>
        <v>2904250070221</v>
      </c>
      <c r="AP474" s="85" t="str">
        <f>IFERROR(__xludf.DUMMYFUNCTION("""COMPUTED_VALUE"""),"29042500702210001")</f>
        <v>29042500702210001</v>
      </c>
      <c r="AQ474" s="93"/>
      <c r="AR474" s="85"/>
      <c r="AS474" s="85"/>
      <c r="AT474" s="85" t="str">
        <f>IFERROR(__xludf.DUMMYFUNCTION("""COMPUTED_VALUE"""),"-6.902556")</f>
        <v>-6.902556</v>
      </c>
      <c r="AU474" s="85" t="str">
        <f>IFERROR(__xludf.DUMMYFUNCTION("""COMPUTED_VALUE"""),"107.691186")</f>
        <v>107.691186</v>
      </c>
      <c r="AV474" s="85"/>
      <c r="AW474" s="85"/>
      <c r="AX474" s="85" t="str">
        <f>IFERROR(__xludf.DUMMYFUNCTION("""COMPUTED_VALUE"""),"h")</f>
        <v>h</v>
      </c>
      <c r="AY474" s="85"/>
      <c r="AZ474" s="85"/>
      <c r="BA474" s="85"/>
      <c r="BB474" s="85"/>
      <c r="BC474" s="85"/>
      <c r="BD474" s="85"/>
      <c r="BE474" s="85"/>
      <c r="BF474" s="85"/>
      <c r="BG474" s="85"/>
      <c r="BH474" s="85"/>
      <c r="BI474" s="85"/>
      <c r="BJ474" s="85"/>
      <c r="BK474" s="85"/>
      <c r="BL474" s="85"/>
      <c r="BM474" s="85"/>
      <c r="BN474" s="85"/>
      <c r="BO474" s="85"/>
      <c r="BP474" s="85"/>
      <c r="BQ474" s="85"/>
      <c r="BR474" s="85"/>
      <c r="BS474" s="85"/>
      <c r="BT474" s="85"/>
      <c r="BU474" s="85"/>
      <c r="BV474" s="85"/>
      <c r="BW474" s="85"/>
      <c r="BX474" s="85"/>
      <c r="BY474" s="85"/>
      <c r="BZ474" s="85"/>
      <c r="CA474" s="85"/>
      <c r="CB474" s="85"/>
      <c r="CC474" s="85"/>
      <c r="CD474" s="85"/>
      <c r="CE474" s="85"/>
      <c r="CF474" s="85"/>
      <c r="CG474" s="85"/>
      <c r="CH474" s="85"/>
      <c r="CI474" s="85"/>
      <c r="CJ474" s="85"/>
      <c r="CK474" s="2"/>
    </row>
    <row r="475" ht="12.75" customHeight="1">
      <c r="A475" s="80">
        <f>IFERROR(__xludf.DUMMYFUNCTION("""COMPUTED_VALUE"""),472.0)</f>
        <v>472</v>
      </c>
      <c r="B475" s="80"/>
      <c r="C475" s="80"/>
      <c r="D475" s="81">
        <f>IFERROR(__xludf.DUMMYFUNCTION("""COMPUTED_VALUE"""),45777.0)</f>
        <v>45777</v>
      </c>
      <c r="E475" s="82"/>
      <c r="F475" s="80"/>
      <c r="G475" s="81">
        <f>IFERROR(__xludf.DUMMYFUNCTION("""COMPUTED_VALUE"""),45777.0)</f>
        <v>45777</v>
      </c>
      <c r="H475" s="80"/>
      <c r="I475" s="80"/>
      <c r="J475" s="80"/>
      <c r="K475" s="80"/>
      <c r="L475" s="80">
        <f>IFERROR(__xludf.DUMMYFUNCTION("""COMPUTED_VALUE"""),0.0)</f>
        <v>0</v>
      </c>
      <c r="M475" s="80"/>
      <c r="N475" s="80" t="str">
        <f>IFERROR(__xludf.DUMMYFUNCTION("""COMPUTED_VALUE"""),"ü")</f>
        <v>ü</v>
      </c>
      <c r="O475" s="80"/>
      <c r="P475" s="80" t="str">
        <f>IFERROR(__xludf.DUMMYFUNCTION("""COMPUTED_VALUE"""),"MLO5500029CUMBPK")</f>
        <v>MLO5500029CUMBPK</v>
      </c>
      <c r="Q475" s="80" t="str">
        <f>IFERROR(__xludf.DUMMYFUNCTION("""COMPUTED_VALUE"""),"MUC DOP DAMAI II")</f>
        <v>MUC DOP DAMAI II</v>
      </c>
      <c r="R475" s="80" t="str">
        <f>IFERROR(__xludf.DUMMYFUNCTION("""COMPUTED_VALUE"""),"MUC DOP DAMAI II")</f>
        <v>MUC DOP DAMAI II</v>
      </c>
      <c r="S475" s="80" t="str">
        <f>IFERROR(__xludf.DUMMYFUNCTION("""COMPUTED_VALUE"""),"Rakhmat Bahtiar")</f>
        <v>Rakhmat Bahtiar</v>
      </c>
      <c r="T475" s="80" t="str">
        <f>IFERROR(__xludf.DUMMYFUNCTION("""COMPUTED_VALUE""")," jl damai no 22A rt 2 rw 5 petukangan selatan, pesanggrahan, jaksel")</f>
        <v> jl damai no 22A rt 2 rw 5 petukangan selatan, pesanggrahan, jaksel</v>
      </c>
      <c r="U475" s="80" t="str">
        <f>IFERROR(__xludf.DUMMYFUNCTION("""COMPUTED_VALUE""")," jl damai no 22A rt 2 rw 5 petukangan selatan, pesanggrahan, jaksel")</f>
        <v> jl damai no 22A rt 2 rw 5 petukangan selatan, pesanggrahan, jaksel</v>
      </c>
      <c r="V475" s="80"/>
      <c r="W475" s="80" t="str">
        <f>IFERROR(__xludf.DUMMYFUNCTION("""COMPUTED_VALUE"""),"PETUKANGAN SELATAN")</f>
        <v>PETUKANGAN SELATAN</v>
      </c>
      <c r="X475" s="80" t="str">
        <f>IFERROR(__xludf.DUMMYFUNCTION("""COMPUTED_VALUE"""),"PESANGGRAHAN")</f>
        <v>PESANGGRAHAN</v>
      </c>
      <c r="Y475" s="80" t="str">
        <f>IFERROR(__xludf.DUMMYFUNCTION("""COMPUTED_VALUE"""),"JAKARTA SELATAN")</f>
        <v>JAKARTA SELATAN</v>
      </c>
      <c r="Z475" s="80" t="str">
        <f>IFERROR(__xludf.DUMMYFUNCTION("""COMPUTED_VALUE"""),"DKI JAKARTA")</f>
        <v>DKI JAKARTA</v>
      </c>
      <c r="AA475" s="80" t="str">
        <f>IFERROR(__xludf.DUMMYFUNCTION("""COMPUTED_VALUE"""),"12270")</f>
        <v>12270</v>
      </c>
      <c r="AB475" s="80" t="str">
        <f>IFERROR(__xludf.DUMMYFUNCTION("""COMPUTED_VALUE"""),"3174102904900007")</f>
        <v>3174102904900007</v>
      </c>
      <c r="AC475" s="80" t="str">
        <f>IFERROR(__xludf.DUMMYFUNCTION("""COMPUTED_VALUE"""),"45.722.510.0-013.000")</f>
        <v>45.722.510.0-013.000</v>
      </c>
      <c r="AD475" s="80" t="str">
        <f>IFERROR(__xludf.DUMMYFUNCTION("""COMPUTED_VALUE"""),"CUM - PS - MIRS")</f>
        <v>CUM - PS - MIRS</v>
      </c>
      <c r="AE475" s="80" t="str">
        <f>IFERROR(__xludf.DUMMYFUNCTION("""COMPUTED_VALUE"""),"SUB ANGGA POS")</f>
        <v>SUB ANGGA POS</v>
      </c>
      <c r="AF475" s="80" t="str">
        <f>IFERROR(__xludf.DUMMYFUNCTION("""COMPUTED_VALUE"""),"081228304400")</f>
        <v>081228304400</v>
      </c>
      <c r="AG475" s="80"/>
      <c r="AH475" s="80" t="str">
        <f>IFERROR(__xludf.DUMMYFUNCTION("""COMPUTED_VALUE"""),"multiandalanbersama@gmail.com")</f>
        <v>multiandalanbersama@gmail.com</v>
      </c>
      <c r="AI475" s="80" t="str">
        <f>IFERROR(__xludf.DUMMYFUNCTION("""COMPUTED_VALUE"""),"12270S4")</f>
        <v>12270S4</v>
      </c>
      <c r="AJ475" s="80" t="str">
        <f>IFERROR(__xludf.DUMMYFUNCTION("""COMPUTED_VALUE"""),"66d91ef74ec49bdadb0a0421")</f>
        <v>66d91ef74ec49bdadb0a0421</v>
      </c>
      <c r="AK475" s="80" t="str">
        <f>IFERROR(__xludf.DUMMYFUNCTION("""COMPUTED_VALUE"""),"dm12270s4")</f>
        <v>dm12270s4</v>
      </c>
      <c r="AL475" s="80" t="str">
        <f>IFERROR(__xludf.DUMMYFUNCTION("""COMPUTED_VALUE"""),"#12270Pos")</f>
        <v>#12270Pos</v>
      </c>
      <c r="AM475" s="80" t="str">
        <f>IFERROR(__xludf.DUMMYFUNCTION("""COMPUTED_VALUE"""),"KANTOR REGIONAL II JAKARTA 10004")</f>
        <v>KANTOR REGIONAL II JAKARTA 10004</v>
      </c>
      <c r="AN475" s="80" t="str">
        <f>IFERROR(__xludf.DUMMYFUNCTION("""COMPUTED_VALUE"""),"KCU JAKARTAFLORA 12000")</f>
        <v>KCU JAKARTAFLORA 12000</v>
      </c>
      <c r="AO475" s="80" t="str">
        <f>IFERROR(__xludf.DUMMYFUNCTION("""COMPUTED_VALUE"""),"1612220022476")</f>
        <v>1612220022476</v>
      </c>
      <c r="AP475" s="80" t="str">
        <f>IFERROR(__xludf.DUMMYFUNCTION("""COMPUTED_VALUE"""),"16122200224760001")</f>
        <v>16122200224760001</v>
      </c>
      <c r="AQ475" s="83"/>
      <c r="AR475" s="80"/>
      <c r="AS475" s="80"/>
      <c r="AT475" s="80" t="str">
        <f>IFERROR(__xludf.DUMMYFUNCTION("""COMPUTED_VALUE""")," -6.248066")</f>
        <v> -6.248066</v>
      </c>
      <c r="AU475" s="80" t="str">
        <f>IFERROR(__xludf.DUMMYFUNCTION("""COMPUTED_VALUE"""),"106.752645")</f>
        <v>106.752645</v>
      </c>
      <c r="AV475" s="80"/>
      <c r="AW475" s="80"/>
      <c r="AX475" s="80" t="str">
        <f>IFERROR(__xludf.DUMMYFUNCTION("""COMPUTED_VALUE"""),"ü")</f>
        <v>ü</v>
      </c>
      <c r="AY475" s="80"/>
      <c r="AZ475" s="80"/>
      <c r="BA475" s="80"/>
      <c r="BB475" s="80"/>
      <c r="BC475" s="80"/>
      <c r="BD475" s="80"/>
      <c r="BE475" s="80"/>
      <c r="BF475" s="80"/>
      <c r="BG475" s="80"/>
      <c r="BH475" s="80"/>
      <c r="BI475" s="80"/>
      <c r="BJ475" s="80"/>
      <c r="BK475" s="80"/>
      <c r="BL475" s="80"/>
      <c r="BM475" s="80"/>
      <c r="BN475" s="80"/>
      <c r="BO475" s="80"/>
      <c r="BP475" s="80"/>
      <c r="BQ475" s="80"/>
      <c r="BR475" s="80"/>
      <c r="BS475" s="80"/>
      <c r="BT475" s="80"/>
      <c r="BU475" s="80"/>
      <c r="BV475" s="80"/>
      <c r="BW475" s="80"/>
      <c r="BX475" s="80"/>
      <c r="BY475" s="80"/>
      <c r="BZ475" s="80"/>
      <c r="CA475" s="80"/>
      <c r="CB475" s="80"/>
      <c r="CC475" s="80"/>
      <c r="CD475" s="80"/>
      <c r="CE475" s="80"/>
      <c r="CF475" s="80"/>
      <c r="CG475" s="80"/>
      <c r="CH475" s="80"/>
      <c r="CI475" s="80"/>
      <c r="CJ475" s="80"/>
      <c r="CK475" s="2"/>
    </row>
    <row r="476" ht="12.75" customHeight="1">
      <c r="A476" s="85">
        <f>IFERROR(__xludf.DUMMYFUNCTION("""COMPUTED_VALUE"""),473.0)</f>
        <v>473</v>
      </c>
      <c r="B476" s="85"/>
      <c r="C476" s="85"/>
      <c r="D476" s="86">
        <f>IFERROR(__xludf.DUMMYFUNCTION("""COMPUTED_VALUE"""),45779.0)</f>
        <v>45779</v>
      </c>
      <c r="E476" s="88"/>
      <c r="F476" s="85"/>
      <c r="G476" s="86">
        <f>IFERROR(__xludf.DUMMYFUNCTION("""COMPUTED_VALUE"""),45783.0)</f>
        <v>45783</v>
      </c>
      <c r="H476" s="85"/>
      <c r="I476" s="85"/>
      <c r="J476" s="85"/>
      <c r="K476" s="85"/>
      <c r="L476" s="85">
        <f>IFERROR(__xludf.DUMMYFUNCTION("""COMPUTED_VALUE"""),4.0)</f>
        <v>4</v>
      </c>
      <c r="M476" s="85" t="str">
        <f>IFERROR(__xludf.DUMMYFUNCTION("""COMPUTED_VALUE"""),"ü")</f>
        <v>ü</v>
      </c>
      <c r="N476" s="85"/>
      <c r="O476" s="85"/>
      <c r="P476" s="85" t="str">
        <f>IFERROR(__xludf.DUMMYFUNCTION("""COMPUTED_VALUE"""),"52BSPA22380JTWWK")</f>
        <v>52BSPA22380JTWWK</v>
      </c>
      <c r="Q476" s="85" t="str">
        <f>IFERROR(__xludf.DUMMYFUNCTION("""COMPUTED_VALUE"""),"MUC Post Bulu")</f>
        <v>MUC Post Bulu</v>
      </c>
      <c r="R476" s="85" t="str">
        <f>IFERROR(__xludf.DUMMYFUNCTION("""COMPUTED_VALUE"""),"MUC Post Bulu")</f>
        <v>MUC Post Bulu</v>
      </c>
      <c r="S476" s="85" t="str">
        <f>IFERROR(__xludf.DUMMYFUNCTION("""COMPUTED_VALUE"""),"TRI ASTOTOK")</f>
        <v>TRI ASTOTOK</v>
      </c>
      <c r="T476" s="85" t="str">
        <f>IFERROR(__xludf.DUMMYFUNCTION("""COMPUTED_VALUE"""),"NGLARANGAN RT.001/004 KEL.JAMPIREJO KEC.TEMANGGUNG KAB. TEMANGGUNG")</f>
        <v>NGLARANGAN RT.001/004 KEL.JAMPIREJO KEC.TEMANGGUNG KAB. TEMANGGUNG</v>
      </c>
      <c r="U476" s="85" t="str">
        <f>IFERROR(__xludf.DUMMYFUNCTION("""COMPUTED_VALUE"""),"Jl. Raya Jumo, Betonan")</f>
        <v>Jl. Raya Jumo, Betonan</v>
      </c>
      <c r="V476" s="85"/>
      <c r="W476" s="85" t="str">
        <f>IFERROR(__xludf.DUMMYFUNCTION("""COMPUTED_VALUE"""),"Padureso")</f>
        <v>Padureso</v>
      </c>
      <c r="X476" s="85" t="str">
        <f>IFERROR(__xludf.DUMMYFUNCTION("""COMPUTED_VALUE"""),"Padureso")</f>
        <v>Padureso</v>
      </c>
      <c r="Y476" s="85" t="str">
        <f>IFERROR(__xludf.DUMMYFUNCTION("""COMPUTED_VALUE"""),"Kab. Temanggung")</f>
        <v>Kab. Temanggung</v>
      </c>
      <c r="Z476" s="85" t="str">
        <f>IFERROR(__xludf.DUMMYFUNCTION("""COMPUTED_VALUE"""),"Jawa Tengah")</f>
        <v>Jawa Tengah</v>
      </c>
      <c r="AA476" s="85" t="str">
        <f>IFERROR(__xludf.DUMMYFUNCTION("""COMPUTED_VALUE"""),"56256")</f>
        <v>56256</v>
      </c>
      <c r="AB476" s="85" t="str">
        <f>IFERROR(__xludf.DUMMYFUNCTION("""COMPUTED_VALUE"""),"3323030703880002")</f>
        <v>3323030703880002</v>
      </c>
      <c r="AC476" s="85" t="str">
        <f>IFERROR(__xludf.DUMMYFUNCTION("""COMPUTED_VALUE"""),"66.095.968.5-533.000")</f>
        <v>66.095.968.5-533.000</v>
      </c>
      <c r="AD476" s="85" t="str">
        <f>IFERROR(__xludf.DUMMYFUNCTION("""COMPUTED_VALUE"""),"CUM - WWK")</f>
        <v>CUM - WWK</v>
      </c>
      <c r="AE476" s="85" t="str">
        <f>IFERROR(__xludf.DUMMYFUNCTION("""COMPUTED_VALUE"""),"SUB WIWIK")</f>
        <v>SUB WIWIK</v>
      </c>
      <c r="AF476" s="85" t="str">
        <f>IFERROR(__xludf.DUMMYFUNCTION("""COMPUTED_VALUE"""),"081228147676")</f>
        <v>081228147676</v>
      </c>
      <c r="AG476" s="85"/>
      <c r="AH476" s="85" t="str">
        <f>IFERROR(__xludf.DUMMYFUNCTION("""COMPUTED_VALUE"""),"triastotok7@gmail.com")</f>
        <v>triastotok7@gmail.com</v>
      </c>
      <c r="AI476" s="85" t="str">
        <f>IFERROR(__xludf.DUMMYFUNCTION("""COMPUTED_VALUE"""),"56256S2")</f>
        <v>56256S2</v>
      </c>
      <c r="AJ476" s="85" t="str">
        <f>IFERROR(__xludf.DUMMYFUNCTION("""COMPUTED_VALUE"""),"681966fcc8f5b3426f020da6")</f>
        <v>681966fcc8f5b3426f020da6</v>
      </c>
      <c r="AK476" s="85" t="str">
        <f>IFERROR(__xludf.DUMMYFUNCTION("""COMPUTED_VALUE"""),"dm56256s2")</f>
        <v>dm56256s2</v>
      </c>
      <c r="AL476" s="85" t="str">
        <f>IFERROR(__xludf.DUMMYFUNCTION("""COMPUTED_VALUE"""),"#56256Pos")</f>
        <v>#56256Pos</v>
      </c>
      <c r="AM476" s="85" t="str">
        <f>IFERROR(__xludf.DUMMYFUNCTION("""COMPUTED_VALUE"""),"KANTOR REGIONAL IV SEMARANG 50004")</f>
        <v>KANTOR REGIONAL IV SEMARANG 50004</v>
      </c>
      <c r="AN476" s="85" t="str">
        <f>IFERROR(__xludf.DUMMYFUNCTION("""COMPUTED_VALUE"""),"KC TEMANGGUNG 56200")</f>
        <v>KC TEMANGGUNG 56200</v>
      </c>
      <c r="AO476" s="85" t="str">
        <f>IFERROR(__xludf.DUMMYFUNCTION("""COMPUTED_VALUE"""),"2504250070428")</f>
        <v>2504250070428</v>
      </c>
      <c r="AP476" s="85" t="str">
        <f>IFERROR(__xludf.DUMMYFUNCTION("""COMPUTED_VALUE"""),"25042500704280001")</f>
        <v>25042500704280001</v>
      </c>
      <c r="AQ476" s="93"/>
      <c r="AR476" s="85"/>
      <c r="AS476" s="85"/>
      <c r="AT476" s="85" t="str">
        <f>IFERROR(__xludf.DUMMYFUNCTION("""COMPUTED_VALUE"""),"-7.227205")</f>
        <v>-7.227205</v>
      </c>
      <c r="AU476" s="85" t="str">
        <f>IFERROR(__xludf.DUMMYFUNCTION("""COMPUTED_VALUE"""),"-7.227205")</f>
        <v>-7.227205</v>
      </c>
      <c r="AV476" s="85"/>
      <c r="AW476" s="85"/>
      <c r="AX476" s="85" t="str">
        <f>IFERROR(__xludf.DUMMYFUNCTION("""COMPUTED_VALUE"""),"h")</f>
        <v>h</v>
      </c>
      <c r="AY476" s="85"/>
      <c r="AZ476" s="85"/>
      <c r="BA476" s="85"/>
      <c r="BB476" s="85"/>
      <c r="BC476" s="85"/>
      <c r="BD476" s="85"/>
      <c r="BE476" s="85"/>
      <c r="BF476" s="85"/>
      <c r="BG476" s="85"/>
      <c r="BH476" s="85"/>
      <c r="BI476" s="85"/>
      <c r="BJ476" s="85"/>
      <c r="BK476" s="85"/>
      <c r="BL476" s="85"/>
      <c r="BM476" s="85"/>
      <c r="BN476" s="85"/>
      <c r="BO476" s="85"/>
      <c r="BP476" s="85"/>
      <c r="BQ476" s="85"/>
      <c r="BR476" s="85"/>
      <c r="BS476" s="85"/>
      <c r="BT476" s="85"/>
      <c r="BU476" s="85"/>
      <c r="BV476" s="85"/>
      <c r="BW476" s="85"/>
      <c r="BX476" s="85" t="str">
        <f>IFERROR(__xludf.DUMMYFUNCTION("""COMPUTED_VALUE"""),"TOKO PARFUM")</f>
        <v>TOKO PARFUM</v>
      </c>
      <c r="BY476" s="85" t="str">
        <f>IFERROR(__xludf.DUMMYFUNCTION("""COMPUTED_VALUE"""),"ORGANIK POS")</f>
        <v>ORGANIK POS</v>
      </c>
      <c r="BZ476" s="85"/>
      <c r="CA476" s="85"/>
      <c r="CB476" s="85"/>
      <c r="CC476" s="85"/>
      <c r="CD476" s="85"/>
      <c r="CE476" s="85"/>
      <c r="CF476" s="85"/>
      <c r="CG476" s="85"/>
      <c r="CH476" s="85"/>
      <c r="CI476" s="85"/>
      <c r="CJ476" s="85"/>
      <c r="CK476" s="2"/>
    </row>
    <row r="477" ht="12.75" customHeight="1">
      <c r="A477" s="80">
        <f>IFERROR(__xludf.DUMMYFUNCTION("""COMPUTED_VALUE"""),474.0)</f>
        <v>474</v>
      </c>
      <c r="B477" s="80"/>
      <c r="C477" s="80"/>
      <c r="D477" s="81">
        <f>IFERROR(__xludf.DUMMYFUNCTION("""COMPUTED_VALUE"""),45782.0)</f>
        <v>45782</v>
      </c>
      <c r="E477" s="82"/>
      <c r="F477" s="80"/>
      <c r="G477" s="81">
        <f>IFERROR(__xludf.DUMMYFUNCTION("""COMPUTED_VALUE"""),45792.0)</f>
        <v>45792</v>
      </c>
      <c r="H477" s="80"/>
      <c r="I477" s="80"/>
      <c r="J477" s="80"/>
      <c r="K477" s="80"/>
      <c r="L477" s="80">
        <f>IFERROR(__xludf.DUMMYFUNCTION("""COMPUTED_VALUE"""),10.0)</f>
        <v>10</v>
      </c>
      <c r="M477" s="80" t="str">
        <f>IFERROR(__xludf.DUMMYFUNCTION("""COMPUTED_VALUE"""),"ü")</f>
        <v>ü</v>
      </c>
      <c r="N477" s="80"/>
      <c r="O477" s="80"/>
      <c r="P477" s="80" t="str">
        <f>IFERROR(__xludf.DUMMYFUNCTION("""COMPUTED_VALUE"""),"MUCSPA63125PSIND")</f>
        <v>MUCSPA63125PSIND</v>
      </c>
      <c r="Q477" s="80" t="str">
        <f>IFERROR(__xludf.DUMMYFUNCTION("""COMPUTED_VALUE"""),"MUC Post Niaga Karawang")</f>
        <v>MUC Post Niaga Karawang</v>
      </c>
      <c r="R477" s="80" t="str">
        <f>IFERROR(__xludf.DUMMYFUNCTION("""COMPUTED_VALUE"""),"MUC Post Niaga Karawang")</f>
        <v>MUC Post Niaga Karawang</v>
      </c>
      <c r="S477" s="80" t="str">
        <f>IFERROR(__xludf.DUMMYFUNCTION("""COMPUTED_VALUE"""),"ULUWAN MAURITIS THUBA")</f>
        <v>ULUWAN MAURITIS THUBA</v>
      </c>
      <c r="T477" s="80" t="str">
        <f>IFERROR(__xludf.DUMMYFUNCTION("""COMPUTED_VALUE"""),"JL. TELAGASARI NO.98 RT.037/000 TELAGA SARI BALIKPAPAN KOTA KOTA BALIKPAPAN")</f>
        <v>JL. TELAGASARI NO.98 RT.037/000 TELAGA SARI BALIKPAPAN KOTA KOTA BALIKPAPAN</v>
      </c>
      <c r="U477" s="80" t="str">
        <f>IFERROR(__xludf.DUMMYFUNCTION("""COMPUTED_VALUE"""),"jl. Arif rahman hakim no.12 A")</f>
        <v>jl. Arif rahman hakim no.12 A</v>
      </c>
      <c r="V477" s="80"/>
      <c r="W477" s="80" t="str">
        <f>IFERROR(__xludf.DUMMYFUNCTION("""COMPUTED_VALUE"""),"Karawang Kulon")</f>
        <v>Karawang Kulon</v>
      </c>
      <c r="X477" s="80" t="str">
        <f>IFERROR(__xludf.DUMMYFUNCTION("""COMPUTED_VALUE"""),"Karawang Barat")</f>
        <v>Karawang Barat</v>
      </c>
      <c r="Y477" s="80" t="str">
        <f>IFERROR(__xludf.DUMMYFUNCTION("""COMPUTED_VALUE"""),"Karawang")</f>
        <v>Karawang</v>
      </c>
      <c r="Z477" s="80" t="str">
        <f>IFERROR(__xludf.DUMMYFUNCTION("""COMPUTED_VALUE"""),"Jawa Barat")</f>
        <v>Jawa Barat</v>
      </c>
      <c r="AA477" s="80" t="str">
        <f>IFERROR(__xludf.DUMMYFUNCTION("""COMPUTED_VALUE"""),"41311")</f>
        <v>41311</v>
      </c>
      <c r="AB477" s="80" t="str">
        <f>IFERROR(__xludf.DUMMYFUNCTION("""COMPUTED_VALUE"""),"3525050704950001")</f>
        <v>3525050704950001</v>
      </c>
      <c r="AC477" s="80" t="str">
        <f>IFERROR(__xludf.DUMMYFUNCTION("""COMPUTED_VALUE"""),"80.559.118.7-612.000")</f>
        <v>80.559.118.7-612.000</v>
      </c>
      <c r="AD477" s="80" t="str">
        <f>IFERROR(__xludf.DUMMYFUNCTION("""COMPUTED_VALUE"""),"CUM - PS - SITIH")</f>
        <v>CUM - PS - SITIH</v>
      </c>
      <c r="AE477" s="80" t="str">
        <f>IFERROR(__xludf.DUMMYFUNCTION("""COMPUTED_VALUE"""),"SUB SITI POS")</f>
        <v>SUB SITI POS</v>
      </c>
      <c r="AF477" s="80" t="str">
        <f>IFERROR(__xludf.DUMMYFUNCTION("""COMPUTED_VALUE"""),"081386253721")</f>
        <v>081386253721</v>
      </c>
      <c r="AG477" s="80"/>
      <c r="AH477" s="80" t="str">
        <f>IFERROR(__xludf.DUMMYFUNCTION("""COMPUTED_VALUE"""),"barkasberkahjaya@gmail.com")</f>
        <v>barkasberkahjaya@gmail.com</v>
      </c>
      <c r="AI477" s="80" t="str">
        <f>IFERROR(__xludf.DUMMYFUNCTION("""COMPUTED_VALUE"""),"41311S1")</f>
        <v>41311S1</v>
      </c>
      <c r="AJ477" s="80" t="str">
        <f>IFERROR(__xludf.DUMMYFUNCTION("""COMPUTED_VALUE"""),"681ea4bfcf6dd63cfb0cbb71")</f>
        <v>681ea4bfcf6dd63cfb0cbb71</v>
      </c>
      <c r="AK477" s="80" t="str">
        <f>IFERROR(__xludf.DUMMYFUNCTION("""COMPUTED_VALUE"""),"dm41311s1")</f>
        <v>dm41311s1</v>
      </c>
      <c r="AL477" s="80" t="str">
        <f>IFERROR(__xludf.DUMMYFUNCTION("""COMPUTED_VALUE"""),"#41311Pos")</f>
        <v>#41311Pos</v>
      </c>
      <c r="AM477" s="80" t="str">
        <f>IFERROR(__xludf.DUMMYFUNCTION("""COMPUTED_VALUE"""),"KANTOR REGIONAL III BANDUNG 40004")</f>
        <v>KANTOR REGIONAL III BANDUNG 40004</v>
      </c>
      <c r="AN477" s="80" t="str">
        <f>IFERROR(__xludf.DUMMYFUNCTION("""COMPUTED_VALUE"""),"KCU KARAWANG 41300")</f>
        <v>KCU KARAWANG 41300</v>
      </c>
      <c r="AO477" s="80" t="str">
        <f>IFERROR(__xludf.DUMMYFUNCTION("""COMPUTED_VALUE"""),"0505250044893")</f>
        <v>0505250044893</v>
      </c>
      <c r="AP477" s="80" t="str">
        <f>IFERROR(__xludf.DUMMYFUNCTION("""COMPUTED_VALUE"""),"05052500448930001")</f>
        <v>05052500448930001</v>
      </c>
      <c r="AQ477" s="83"/>
      <c r="AR477" s="80"/>
      <c r="AS477" s="80"/>
      <c r="AT477" s="80" t="str">
        <f>IFERROR(__xludf.DUMMYFUNCTION("""COMPUTED_VALUE"""),"-6,306,886")</f>
        <v>-6,306,886</v>
      </c>
      <c r="AU477" s="80" t="str">
        <f>IFERROR(__xludf.DUMMYFUNCTION("""COMPUTED_VALUE"""),"107.302045")</f>
        <v>107.302045</v>
      </c>
      <c r="AV477" s="80"/>
      <c r="AW477" s="80"/>
      <c r="AX477" s="80" t="str">
        <f>IFERROR(__xludf.DUMMYFUNCTION("""COMPUTED_VALUE"""),"h")</f>
        <v>h</v>
      </c>
      <c r="AY477" s="80"/>
      <c r="AZ477" s="80"/>
      <c r="BA477" s="80"/>
      <c r="BB477" s="80"/>
      <c r="BC477" s="80"/>
      <c r="BD477" s="80"/>
      <c r="BE477" s="80"/>
      <c r="BF477" s="80"/>
      <c r="BG477" s="80"/>
      <c r="BH477" s="80"/>
      <c r="BI477" s="80"/>
      <c r="BJ477" s="80"/>
      <c r="BK477" s="80"/>
      <c r="BL477" s="80"/>
      <c r="BM477" s="80"/>
      <c r="BN477" s="80"/>
      <c r="BO477" s="80"/>
      <c r="BP477" s="80"/>
      <c r="BQ477" s="80"/>
      <c r="BR477" s="80"/>
      <c r="BS477" s="80"/>
      <c r="BT477" s="80"/>
      <c r="BU477" s="80"/>
      <c r="BV477" s="80"/>
      <c r="BW477" s="80"/>
      <c r="BX477" s="80" t="str">
        <f>IFERROR(__xludf.DUMMYFUNCTION("""COMPUTED_VALUE"""),"NEWBIE, KONTRAKTOR")</f>
        <v>NEWBIE, KONTRAKTOR</v>
      </c>
      <c r="BY477" s="80"/>
      <c r="BZ477" s="80"/>
      <c r="CA477" s="80"/>
      <c r="CB477" s="80"/>
      <c r="CC477" s="80"/>
      <c r="CD477" s="80"/>
      <c r="CE477" s="80"/>
      <c r="CF477" s="80"/>
      <c r="CG477" s="80"/>
      <c r="CH477" s="80"/>
      <c r="CI477" s="80"/>
      <c r="CJ477" s="80"/>
      <c r="CK477" s="2"/>
    </row>
    <row r="478" ht="12.75" customHeight="1">
      <c r="A478" s="85">
        <f>IFERROR(__xludf.DUMMYFUNCTION("""COMPUTED_VALUE"""),475.0)</f>
        <v>475</v>
      </c>
      <c r="B478" s="85"/>
      <c r="C478" s="85"/>
      <c r="D478" s="86">
        <f>IFERROR(__xludf.DUMMYFUNCTION("""COMPUTED_VALUE"""),45783.0)</f>
        <v>45783</v>
      </c>
      <c r="E478" s="88"/>
      <c r="F478" s="85"/>
      <c r="G478" s="86">
        <f>IFERROR(__xludf.DUMMYFUNCTION("""COMPUTED_VALUE"""),45792.0)</f>
        <v>45792</v>
      </c>
      <c r="H478" s="85"/>
      <c r="I478" s="85"/>
      <c r="J478" s="85"/>
      <c r="K478" s="85"/>
      <c r="L478" s="85">
        <f>IFERROR(__xludf.DUMMYFUNCTION("""COMPUTED_VALUE"""),9.0)</f>
        <v>9</v>
      </c>
      <c r="M478" s="85" t="str">
        <f>IFERROR(__xludf.DUMMYFUNCTION("""COMPUTED_VALUE"""),"ü")</f>
        <v>ü</v>
      </c>
      <c r="N478" s="85"/>
      <c r="O478" s="85"/>
      <c r="P478" s="85" t="str">
        <f>IFERROR(__xludf.DUMMYFUNCTION("""COMPUTED_VALUE"""),"MUCSPA63126PSIND")</f>
        <v>MUCSPA63126PSIND</v>
      </c>
      <c r="Q478" s="85" t="str">
        <f>IFERROR(__xludf.DUMMYFUNCTION("""COMPUTED_VALUE"""),"MUC Gulfam")</f>
        <v>MUC Gulfam</v>
      </c>
      <c r="R478" s="85" t="str">
        <f>IFERROR(__xludf.DUMMYFUNCTION("""COMPUTED_VALUE"""),"MUC Gulfam")</f>
        <v>MUC Gulfam</v>
      </c>
      <c r="S478" s="85" t="str">
        <f>IFERROR(__xludf.DUMMYFUNCTION("""COMPUTED_VALUE"""),"Vivi Maghfiroh")</f>
        <v>Vivi Maghfiroh</v>
      </c>
      <c r="T478" s="85" t="str">
        <f>IFERROR(__xludf.DUMMYFUNCTION("""COMPUTED_VALUE"""),"KP. LEBAK WANGI RT.007/010 KAMPUNG BESAR TELUKNAGA KAB.TANGERANG")</f>
        <v>KP. LEBAK WANGI RT.007/010 KAMPUNG BESAR TELUKNAGA KAB.TANGERANG</v>
      </c>
      <c r="U478" s="85" t="str">
        <f>IFERROR(__xludf.DUMMYFUNCTION("""COMPUTED_VALUE"""),"Jln Kh Mushonif Rt 10/05")</f>
        <v>Jln Kh Mushonif Rt 10/05</v>
      </c>
      <c r="V478" s="85"/>
      <c r="W478" s="85" t="str">
        <f>IFERROR(__xludf.DUMMYFUNCTION("""COMPUTED_VALUE"""),"Kampung Besar")</f>
        <v>Kampung Besar</v>
      </c>
      <c r="X478" s="85" t="str">
        <f>IFERROR(__xludf.DUMMYFUNCTION("""COMPUTED_VALUE"""),"Teluk Naga")</f>
        <v>Teluk Naga</v>
      </c>
      <c r="Y478" s="85" t="str">
        <f>IFERROR(__xludf.DUMMYFUNCTION("""COMPUTED_VALUE"""),"Kab. Tangerang")</f>
        <v>Kab. Tangerang</v>
      </c>
      <c r="Z478" s="85" t="str">
        <f>IFERROR(__xludf.DUMMYFUNCTION("""COMPUTED_VALUE"""),"Banten")</f>
        <v>Banten</v>
      </c>
      <c r="AA478" s="85" t="str">
        <f>IFERROR(__xludf.DUMMYFUNCTION("""COMPUTED_VALUE"""),"15510")</f>
        <v>15510</v>
      </c>
      <c r="AB478" s="85" t="str">
        <f>IFERROR(__xludf.DUMMYFUNCTION("""COMPUTED_VALUE"""),"3603136403930002")</f>
        <v>3603136403930002</v>
      </c>
      <c r="AC478" s="85" t="str">
        <f>IFERROR(__xludf.DUMMYFUNCTION("""COMPUTED_VALUE"""),"75.501.107.9-418.000")</f>
        <v>75.501.107.9-418.000</v>
      </c>
      <c r="AD478" s="85" t="str">
        <f>IFERROR(__xludf.DUMMYFUNCTION("""COMPUTED_VALUE"""),"CUM - PS - DWIH")</f>
        <v>CUM - PS - DWIH</v>
      </c>
      <c r="AE478" s="85" t="str">
        <f>IFERROR(__xludf.DUMMYFUNCTION("""COMPUTED_VALUE"""),"SUB DWI HARTANTO POS")</f>
        <v>SUB DWI HARTANTO POS</v>
      </c>
      <c r="AF478" s="85" t="str">
        <f>IFERROR(__xludf.DUMMYFUNCTION("""COMPUTED_VALUE"""),"085695614438")</f>
        <v>085695614438</v>
      </c>
      <c r="AG478" s="85"/>
      <c r="AH478" s="85" t="str">
        <f>IFERROR(__xludf.DUMMYFUNCTION("""COMPUTED_VALUE"""),"muhammadirfani696@gmail.com")</f>
        <v>muhammadirfani696@gmail.com</v>
      </c>
      <c r="AI478" s="85" t="str">
        <f>IFERROR(__xludf.DUMMYFUNCTION("""COMPUTED_VALUE"""),"15519S1")</f>
        <v>15519S1</v>
      </c>
      <c r="AJ478" s="85" t="str">
        <f>IFERROR(__xludf.DUMMYFUNCTION("""COMPUTED_VALUE"""),"681cb67073d34ea284075026")</f>
        <v>681cb67073d34ea284075026</v>
      </c>
      <c r="AK478" s="85" t="str">
        <f>IFERROR(__xludf.DUMMYFUNCTION("""COMPUTED_VALUE"""),"dm15519s1")</f>
        <v>dm15519s1</v>
      </c>
      <c r="AL478" s="85" t="str">
        <f>IFERROR(__xludf.DUMMYFUNCTION("""COMPUTED_VALUE"""),"#15519Pos")</f>
        <v>#15519Pos</v>
      </c>
      <c r="AM478" s="85" t="str">
        <f>IFERROR(__xludf.DUMMYFUNCTION("""COMPUTED_VALUE"""),"KANTOR REGIONAL II JAKARTA 10004")</f>
        <v>KANTOR REGIONAL II JAKARTA 10004</v>
      </c>
      <c r="AN478" s="85" t="str">
        <f>IFERROR(__xludf.DUMMYFUNCTION("""COMPUTED_VALUE"""),"KCU TANGERANG 15000")</f>
        <v>KCU TANGERANG 15000</v>
      </c>
      <c r="AO478" s="85" t="str">
        <f>IFERROR(__xludf.DUMMYFUNCTION("""COMPUTED_VALUE"""),"2211240080254")</f>
        <v>2211240080254</v>
      </c>
      <c r="AP478" s="85" t="str">
        <f>IFERROR(__xludf.DUMMYFUNCTION("""COMPUTED_VALUE"""),"22112400802540001")</f>
        <v>22112400802540001</v>
      </c>
      <c r="AQ478" s="93"/>
      <c r="AR478" s="85"/>
      <c r="AS478" s="85"/>
      <c r="AT478" s="85" t="str">
        <f>IFERROR(__xludf.DUMMYFUNCTION("""COMPUTED_VALUE"""),"-6.062986")</f>
        <v>-6.062986</v>
      </c>
      <c r="AU478" s="85" t="str">
        <f>IFERROR(__xludf.DUMMYFUNCTION("""COMPUTED_VALUE"""),"106.652337")</f>
        <v>106.652337</v>
      </c>
      <c r="AV478" s="85"/>
      <c r="AW478" s="85"/>
      <c r="AX478" s="85" t="str">
        <f>IFERROR(__xludf.DUMMYFUNCTION("""COMPUTED_VALUE"""),"h")</f>
        <v>h</v>
      </c>
      <c r="AY478" s="85"/>
      <c r="AZ478" s="85"/>
      <c r="BA478" s="85"/>
      <c r="BB478" s="85"/>
      <c r="BC478" s="85"/>
      <c r="BD478" s="85"/>
      <c r="BE478" s="85"/>
      <c r="BF478" s="85"/>
      <c r="BG478" s="85"/>
      <c r="BH478" s="85"/>
      <c r="BI478" s="85"/>
      <c r="BJ478" s="85"/>
      <c r="BK478" s="85"/>
      <c r="BL478" s="85"/>
      <c r="BM478" s="85"/>
      <c r="BN478" s="85"/>
      <c r="BO478" s="85"/>
      <c r="BP478" s="85"/>
      <c r="BQ478" s="85"/>
      <c r="BR478" s="85"/>
      <c r="BS478" s="85"/>
      <c r="BT478" s="85"/>
      <c r="BU478" s="85"/>
      <c r="BV478" s="85"/>
      <c r="BW478" s="85"/>
      <c r="BX478" s="85" t="str">
        <f>IFERROR(__xludf.DUMMYFUNCTION("""COMPUTED_VALUE"""),"NEWBIE MANTAN KURIR ANTERAJA")</f>
        <v>NEWBIE MANTAN KURIR ANTERAJA</v>
      </c>
      <c r="BY478" s="85"/>
      <c r="BZ478" s="85"/>
      <c r="CA478" s="85"/>
      <c r="CB478" s="85"/>
      <c r="CC478" s="85"/>
      <c r="CD478" s="85"/>
      <c r="CE478" s="85"/>
      <c r="CF478" s="85"/>
      <c r="CG478" s="85"/>
      <c r="CH478" s="85"/>
      <c r="CI478" s="85"/>
      <c r="CJ478" s="85"/>
      <c r="CK478" s="2"/>
    </row>
    <row r="479" ht="12.75" customHeight="1">
      <c r="A479" s="80">
        <f>IFERROR(__xludf.DUMMYFUNCTION("""COMPUTED_VALUE"""),476.0)</f>
        <v>476</v>
      </c>
      <c r="B479" s="80"/>
      <c r="C479" s="80"/>
      <c r="D479" s="81">
        <f>IFERROR(__xludf.DUMMYFUNCTION("""COMPUTED_VALUE"""),45784.0)</f>
        <v>45784</v>
      </c>
      <c r="E479" s="82"/>
      <c r="F479" s="80"/>
      <c r="G479" s="81">
        <f>IFERROR(__xludf.DUMMYFUNCTION("""COMPUTED_VALUE"""),45792.0)</f>
        <v>45792</v>
      </c>
      <c r="H479" s="80"/>
      <c r="I479" s="80"/>
      <c r="J479" s="80"/>
      <c r="K479" s="80"/>
      <c r="L479" s="80">
        <f>IFERROR(__xludf.DUMMYFUNCTION("""COMPUTED_VALUE"""),8.0)</f>
        <v>8</v>
      </c>
      <c r="M479" s="80" t="str">
        <f>IFERROR(__xludf.DUMMYFUNCTION("""COMPUTED_VALUE"""),"ü")</f>
        <v>ü</v>
      </c>
      <c r="N479" s="80"/>
      <c r="O479" s="80"/>
      <c r="P479" s="80" t="str">
        <f>IFERROR(__xludf.DUMMYFUNCTION("""COMPUTED_VALUE"""),"MUCSPA63127PSIND")</f>
        <v>MUCSPA63127PSIND</v>
      </c>
      <c r="Q479" s="80" t="str">
        <f>IFERROR(__xludf.DUMMYFUNCTION("""COMPUTED_VALUE"""),"MUC Post Jatimakmur Raya")</f>
        <v>MUC Post Jatimakmur Raya</v>
      </c>
      <c r="R479" s="80" t="str">
        <f>IFERROR(__xludf.DUMMYFUNCTION("""COMPUTED_VALUE"""),"MUC Post Jatimakmur Raya")</f>
        <v>MUC Post Jatimakmur Raya</v>
      </c>
      <c r="S479" s="80" t="str">
        <f>IFERROR(__xludf.DUMMYFUNCTION("""COMPUTED_VALUE"""),"MARTHA TANDAROESMAN")</f>
        <v>MARTHA TANDAROESMAN</v>
      </c>
      <c r="T479" s="80" t="str">
        <f>IFERROR(__xludf.DUMMYFUNCTION("""COMPUTED_VALUE"""),"JL. RAYA JATIMAKMUR NO.111 RT.002/005 JATIMAKMUR, PONDOKGEDE, KOTA BEKASI")</f>
        <v>JL. RAYA JATIMAKMUR NO.111 RT.002/005 JATIMAKMUR, PONDOKGEDE, KOTA BEKASI</v>
      </c>
      <c r="U479" s="80" t="str">
        <f>IFERROR(__xludf.DUMMYFUNCTION("""COMPUTED_VALUE"""),"Jl Jatimakmur No 111")</f>
        <v>Jl Jatimakmur No 111</v>
      </c>
      <c r="V479" s="80"/>
      <c r="W479" s="80" t="str">
        <f>IFERROR(__xludf.DUMMYFUNCTION("""COMPUTED_VALUE"""),"Jatimakmur")</f>
        <v>Jatimakmur</v>
      </c>
      <c r="X479" s="80" t="str">
        <f>IFERROR(__xludf.DUMMYFUNCTION("""COMPUTED_VALUE"""),"Pondokgede")</f>
        <v>Pondokgede</v>
      </c>
      <c r="Y479" s="80" t="str">
        <f>IFERROR(__xludf.DUMMYFUNCTION("""COMPUTED_VALUE"""),"Kota Bekasi")</f>
        <v>Kota Bekasi</v>
      </c>
      <c r="Z479" s="80" t="str">
        <f>IFERROR(__xludf.DUMMYFUNCTION("""COMPUTED_VALUE"""),"Jawa Barat")</f>
        <v>Jawa Barat</v>
      </c>
      <c r="AA479" s="80" t="str">
        <f>IFERROR(__xludf.DUMMYFUNCTION("""COMPUTED_VALUE"""),"17413")</f>
        <v>17413</v>
      </c>
      <c r="AB479" s="80" t="str">
        <f>IFERROR(__xludf.DUMMYFUNCTION("""COMPUTED_VALUE"""),"3171056810860001")</f>
        <v>3171056810860001</v>
      </c>
      <c r="AC479" s="80" t="str">
        <f>IFERROR(__xludf.DUMMYFUNCTION("""COMPUTED_VALUE"""),"25.956.101.7-024.000")</f>
        <v>25.956.101.7-024.000</v>
      </c>
      <c r="AD479" s="80" t="str">
        <f>IFERROR(__xludf.DUMMYFUNCTION("""COMPUTED_VALUE"""),"CUM - PS - AYS")</f>
        <v>CUM - PS - AYS</v>
      </c>
      <c r="AE479" s="80" t="str">
        <f>IFERROR(__xludf.DUMMYFUNCTION("""COMPUTED_VALUE"""),"SUB YUNUS POS")</f>
        <v>SUB YUNUS POS</v>
      </c>
      <c r="AF479" s="80" t="str">
        <f>IFERROR(__xludf.DUMMYFUNCTION("""COMPUTED_VALUE"""),"081319332211")</f>
        <v>081319332211</v>
      </c>
      <c r="AG479" s="80"/>
      <c r="AH479" s="80" t="str">
        <f>IFERROR(__xludf.DUMMYFUNCTION("""COMPUTED_VALUE"""),"gudangbanatv@gmail.com")</f>
        <v>gudangbanatv@gmail.com</v>
      </c>
      <c r="AI479" s="80" t="str">
        <f>IFERROR(__xludf.DUMMYFUNCTION("""COMPUTED_VALUE"""),"17413S4")</f>
        <v>17413S4</v>
      </c>
      <c r="AJ479" s="80" t="str">
        <f>IFERROR(__xludf.DUMMYFUNCTION("""COMPUTED_VALUE"""),"681cc66fd6fb88f87f00f330")</f>
        <v>681cc66fd6fb88f87f00f330</v>
      </c>
      <c r="AK479" s="80" t="str">
        <f>IFERROR(__xludf.DUMMYFUNCTION("""COMPUTED_VALUE"""),"dm17413s4")</f>
        <v>dm17413s4</v>
      </c>
      <c r="AL479" s="80" t="str">
        <f>IFERROR(__xludf.DUMMYFUNCTION("""COMPUTED_VALUE"""),"#17413Pos")</f>
        <v>#17413Pos</v>
      </c>
      <c r="AM479" s="80" t="str">
        <f>IFERROR(__xludf.DUMMYFUNCTION("""COMPUTED_VALUE"""),"KANTOR REGIONAL II JAKARTA 10004")</f>
        <v>KANTOR REGIONAL II JAKARTA 10004</v>
      </c>
      <c r="AN479" s="80" t="str">
        <f>IFERROR(__xludf.DUMMYFUNCTION("""COMPUTED_VALUE"""),"KCU BEKASI 17000")</f>
        <v>KCU BEKASI 17000</v>
      </c>
      <c r="AO479" s="80" t="str">
        <f>IFERROR(__xludf.DUMMYFUNCTION("""COMPUTED_VALUE"""),"0605250073929")</f>
        <v>0605250073929</v>
      </c>
      <c r="AP479" s="80" t="str">
        <f>IFERROR(__xludf.DUMMYFUNCTION("""COMPUTED_VALUE"""),"06052500739290001")</f>
        <v>06052500739290001</v>
      </c>
      <c r="AQ479" s="83"/>
      <c r="AR479" s="80"/>
      <c r="AS479" s="80"/>
      <c r="AT479" s="80" t="str">
        <f>IFERROR(__xludf.DUMMYFUNCTION("""COMPUTED_VALUE"""),"-6.284985")</f>
        <v>-6.284985</v>
      </c>
      <c r="AU479" s="80" t="str">
        <f>IFERROR(__xludf.DUMMYFUNCTION("""COMPUTED_VALUE"""),"106.923498")</f>
        <v>106.923498</v>
      </c>
      <c r="AV479" s="80"/>
      <c r="AW479" s="80"/>
      <c r="AX479" s="80" t="str">
        <f>IFERROR(__xludf.DUMMYFUNCTION("""COMPUTED_VALUE"""),"h")</f>
        <v>h</v>
      </c>
      <c r="AY479" s="80"/>
      <c r="AZ479" s="80"/>
      <c r="BA479" s="80"/>
      <c r="BB479" s="80"/>
      <c r="BC479" s="80"/>
      <c r="BD479" s="80"/>
      <c r="BE479" s="80"/>
      <c r="BF479" s="80"/>
      <c r="BG479" s="80"/>
      <c r="BH479" s="80"/>
      <c r="BI479" s="80"/>
      <c r="BJ479" s="80"/>
      <c r="BK479" s="80"/>
      <c r="BL479" s="80"/>
      <c r="BM479" s="80"/>
      <c r="BN479" s="80"/>
      <c r="BO479" s="80"/>
      <c r="BP479" s="80"/>
      <c r="BQ479" s="80"/>
      <c r="BR479" s="80"/>
      <c r="BS479" s="80"/>
      <c r="BT479" s="80"/>
      <c r="BU479" s="80"/>
      <c r="BV479" s="80"/>
      <c r="BW479" s="80"/>
      <c r="BX479" s="80" t="str">
        <f>IFERROR(__xludf.DUMMYFUNCTION("""COMPUTED_VALUE"""),"GUDANG BAN")</f>
        <v>GUDANG BAN</v>
      </c>
      <c r="BY479" s="80"/>
      <c r="BZ479" s="80"/>
      <c r="CA479" s="80"/>
      <c r="CB479" s="80"/>
      <c r="CC479" s="80"/>
      <c r="CD479" s="80"/>
      <c r="CE479" s="80"/>
      <c r="CF479" s="80"/>
      <c r="CG479" s="80"/>
      <c r="CH479" s="80"/>
      <c r="CI479" s="80"/>
      <c r="CJ479" s="80"/>
      <c r="CK479" s="2"/>
    </row>
    <row r="480" ht="12.75" customHeight="1">
      <c r="A480" s="85">
        <f>IFERROR(__xludf.DUMMYFUNCTION("""COMPUTED_VALUE"""),477.0)</f>
        <v>477</v>
      </c>
      <c r="B480" s="85"/>
      <c r="C480" s="85"/>
      <c r="D480" s="86">
        <f>IFERROR(__xludf.DUMMYFUNCTION("""COMPUTED_VALUE"""),45784.0)</f>
        <v>45784</v>
      </c>
      <c r="E480" s="88"/>
      <c r="F480" s="85"/>
      <c r="G480" s="86">
        <f>IFERROR(__xludf.DUMMYFUNCTION("""COMPUTED_VALUE"""),45792.0)</f>
        <v>45792</v>
      </c>
      <c r="H480" s="85"/>
      <c r="I480" s="85"/>
      <c r="J480" s="85"/>
      <c r="K480" s="85"/>
      <c r="L480" s="85">
        <f>IFERROR(__xludf.DUMMYFUNCTION("""COMPUTED_VALUE"""),8.0)</f>
        <v>8</v>
      </c>
      <c r="M480" s="85" t="str">
        <f>IFERROR(__xludf.DUMMYFUNCTION("""COMPUTED_VALUE"""),"ü")</f>
        <v>ü</v>
      </c>
      <c r="N480" s="85"/>
      <c r="O480" s="85"/>
      <c r="P480" s="85" t="str">
        <f>IFERROR(__xludf.DUMMYFUNCTION("""COMPUTED_VALUE"""),"MUCSPA63128PSIND")</f>
        <v>MUCSPA63128PSIND</v>
      </c>
      <c r="Q480" s="85" t="str">
        <f>IFERROR(__xludf.DUMMYFUNCTION("""COMPUTED_VALUE"""),"MUC KSP Mitra Surya Gemilang")</f>
        <v>MUC KSP Mitra Surya Gemilang</v>
      </c>
      <c r="R480" s="85" t="str">
        <f>IFERROR(__xludf.DUMMYFUNCTION("""COMPUTED_VALUE"""),"MUC KSP Mitra Surya Gemilang")</f>
        <v>MUC KSP Mitra Surya Gemilang</v>
      </c>
      <c r="S480" s="85" t="str">
        <f>IFERROR(__xludf.DUMMYFUNCTION("""COMPUTED_VALUE"""),"AJI HITARA")</f>
        <v>AJI HITARA</v>
      </c>
      <c r="T480" s="85" t="str">
        <f>IFERROR(__xludf.DUMMYFUNCTION("""COMPUTED_VALUE"""),"KP. KEBON KELAPA RT.001/001 LEMBANGSARI RAJEG KAB.TANGERANG")</f>
        <v>KP. KEBON KELAPA RT.001/001 LEMBANGSARI RAJEG KAB.TANGERANG</v>
      </c>
      <c r="U480" s="85" t="str">
        <f>IFERROR(__xludf.DUMMYFUNCTION("""COMPUTED_VALUE"""),"Kp. Kebon Kelapa RT.02/01")</f>
        <v>Kp. Kebon Kelapa RT.02/01</v>
      </c>
      <c r="V480" s="85"/>
      <c r="W480" s="85" t="str">
        <f>IFERROR(__xludf.DUMMYFUNCTION("""COMPUTED_VALUE"""),"Lembangsari")</f>
        <v>Lembangsari</v>
      </c>
      <c r="X480" s="85" t="str">
        <f>IFERROR(__xludf.DUMMYFUNCTION("""COMPUTED_VALUE"""),"Rajeg")</f>
        <v>Rajeg</v>
      </c>
      <c r="Y480" s="85" t="str">
        <f>IFERROR(__xludf.DUMMYFUNCTION("""COMPUTED_VALUE"""),"Kab. Tangerang")</f>
        <v>Kab. Tangerang</v>
      </c>
      <c r="Z480" s="85" t="str">
        <f>IFERROR(__xludf.DUMMYFUNCTION("""COMPUTED_VALUE"""),"Banten")</f>
        <v>Banten</v>
      </c>
      <c r="AA480" s="85" t="str">
        <f>IFERROR(__xludf.DUMMYFUNCTION("""COMPUTED_VALUE"""),"15540")</f>
        <v>15540</v>
      </c>
      <c r="AB480" s="85" t="str">
        <f>IFERROR(__xludf.DUMMYFUNCTION("""COMPUTED_VALUE"""),"3603112403980002")</f>
        <v>3603112403980002</v>
      </c>
      <c r="AC480" s="85" t="str">
        <f>IFERROR(__xludf.DUMMYFUNCTION("""COMPUTED_VALUE"""),"53.764.376.9-418.000")</f>
        <v>53.764.376.9-418.000</v>
      </c>
      <c r="AD480" s="85" t="str">
        <f>IFERROR(__xludf.DUMMYFUNCTION("""COMPUTED_VALUE"""),"CUM - PS - DWIH")</f>
        <v>CUM - PS - DWIH</v>
      </c>
      <c r="AE480" s="85" t="str">
        <f>IFERROR(__xludf.DUMMYFUNCTION("""COMPUTED_VALUE"""),"SUB DWI HARTANTO POS")</f>
        <v>SUB DWI HARTANTO POS</v>
      </c>
      <c r="AF480" s="85" t="str">
        <f>IFERROR(__xludf.DUMMYFUNCTION("""COMPUTED_VALUE"""),"081586121314")</f>
        <v>081586121314</v>
      </c>
      <c r="AG480" s="85"/>
      <c r="AH480" s="85" t="str">
        <f>IFERROR(__xludf.DUMMYFUNCTION("""COMPUTED_VALUE"""),"ajihitara@gmail.com")</f>
        <v>ajihitara@gmail.com</v>
      </c>
      <c r="AI480" s="85" t="str">
        <f>IFERROR(__xludf.DUMMYFUNCTION("""COMPUTED_VALUE"""),"15548S1")</f>
        <v>15548S1</v>
      </c>
      <c r="AJ480" s="85" t="str">
        <f>IFERROR(__xludf.DUMMYFUNCTION("""COMPUTED_VALUE"""),"681d3acbcb35f1c3a50ff49b")</f>
        <v>681d3acbcb35f1c3a50ff49b</v>
      </c>
      <c r="AK480" s="85" t="str">
        <f>IFERROR(__xludf.DUMMYFUNCTION("""COMPUTED_VALUE"""),"dm15548s1")</f>
        <v>dm15548s1</v>
      </c>
      <c r="AL480" s="85" t="str">
        <f>IFERROR(__xludf.DUMMYFUNCTION("""COMPUTED_VALUE"""),"#15548Pos")</f>
        <v>#15548Pos</v>
      </c>
      <c r="AM480" s="85" t="str">
        <f>IFERROR(__xludf.DUMMYFUNCTION("""COMPUTED_VALUE"""),"KANTOR REGIONAL II JAKARTA 10004")</f>
        <v>KANTOR REGIONAL II JAKARTA 10004</v>
      </c>
      <c r="AN480" s="85" t="str">
        <f>IFERROR(__xludf.DUMMYFUNCTION("""COMPUTED_VALUE"""),"KCU TANGERANG 15000")</f>
        <v>KCU TANGERANG 15000</v>
      </c>
      <c r="AO480" s="85" t="str">
        <f>IFERROR(__xludf.DUMMYFUNCTION("""COMPUTED_VALUE"""),"0705250062592")</f>
        <v>0705250062592</v>
      </c>
      <c r="AP480" s="85" t="str">
        <f>IFERROR(__xludf.DUMMYFUNCTION("""COMPUTED_VALUE"""),"07052500625920001")</f>
        <v>07052500625920001</v>
      </c>
      <c r="AQ480" s="93"/>
      <c r="AR480" s="85"/>
      <c r="AS480" s="85"/>
      <c r="AT480" s="85" t="str">
        <f>IFERROR(__xludf.DUMMYFUNCTION("""COMPUTED_VALUE"""),"-6.100357")</f>
        <v>-6.100357</v>
      </c>
      <c r="AU480" s="85" t="str">
        <f>IFERROR(__xludf.DUMMYFUNCTION("""COMPUTED_VALUE"""),"106.517240")</f>
        <v>106.517240</v>
      </c>
      <c r="AV480" s="85"/>
      <c r="AW480" s="85"/>
      <c r="AX480" s="85" t="str">
        <f>IFERROR(__xludf.DUMMYFUNCTION("""COMPUTED_VALUE"""),"h")</f>
        <v>h</v>
      </c>
      <c r="AY480" s="85"/>
      <c r="AZ480" s="85"/>
      <c r="BA480" s="85"/>
      <c r="BB480" s="85"/>
      <c r="BC480" s="85"/>
      <c r="BD480" s="85"/>
      <c r="BE480" s="85"/>
      <c r="BF480" s="85"/>
      <c r="BG480" s="85"/>
      <c r="BH480" s="85"/>
      <c r="BI480" s="85"/>
      <c r="BJ480" s="85"/>
      <c r="BK480" s="85"/>
      <c r="BL480" s="85"/>
      <c r="BM480" s="85"/>
      <c r="BN480" s="85"/>
      <c r="BO480" s="85"/>
      <c r="BP480" s="85"/>
      <c r="BQ480" s="85"/>
      <c r="BR480" s="85"/>
      <c r="BS480" s="85"/>
      <c r="BT480" s="85"/>
      <c r="BU480" s="85"/>
      <c r="BV480" s="85"/>
      <c r="BW480" s="85"/>
      <c r="BX480" s="85" t="str">
        <f>IFERROR(__xludf.DUMMYFUNCTION("""COMPUTED_VALUE"""),"NEWBIA KOPERASI")</f>
        <v>NEWBIA KOPERASI</v>
      </c>
      <c r="BY480" s="85"/>
      <c r="BZ480" s="85"/>
      <c r="CA480" s="85"/>
      <c r="CB480" s="85"/>
      <c r="CC480" s="85"/>
      <c r="CD480" s="85"/>
      <c r="CE480" s="85"/>
      <c r="CF480" s="85"/>
      <c r="CG480" s="85"/>
      <c r="CH480" s="85"/>
      <c r="CI480" s="85"/>
      <c r="CJ480" s="85"/>
      <c r="CK480" s="2"/>
    </row>
    <row r="481" ht="12.75" customHeight="1">
      <c r="A481" s="80">
        <f>IFERROR(__xludf.DUMMYFUNCTION("""COMPUTED_VALUE"""),478.0)</f>
        <v>478</v>
      </c>
      <c r="B481" s="80"/>
      <c r="C481" s="80"/>
      <c r="D481" s="81">
        <f>IFERROR(__xludf.DUMMYFUNCTION("""COMPUTED_VALUE"""),45785.0)</f>
        <v>45785</v>
      </c>
      <c r="E481" s="82"/>
      <c r="F481" s="80"/>
      <c r="G481" s="81">
        <f>IFERROR(__xludf.DUMMYFUNCTION("""COMPUTED_VALUE"""),45787.0)</f>
        <v>45787</v>
      </c>
      <c r="H481" s="80"/>
      <c r="I481" s="80"/>
      <c r="J481" s="80"/>
      <c r="K481" s="80"/>
      <c r="L481" s="80">
        <f>IFERROR(__xludf.DUMMYFUNCTION("""COMPUTED_VALUE"""),2.0)</f>
        <v>2</v>
      </c>
      <c r="M481" s="80"/>
      <c r="N481" s="80" t="str">
        <f>IFERROR(__xludf.DUMMYFUNCTION("""COMPUTED_VALUE"""),"ü")</f>
        <v>ü</v>
      </c>
      <c r="O481" s="80"/>
      <c r="P481" s="80" t="str">
        <f>IFERROR(__xludf.DUMMYFUNCTION("""COMPUTED_VALUE"""),"MUCSPA63129PSIND")</f>
        <v>MUCSPA63129PSIND</v>
      </c>
      <c r="Q481" s="80" t="str">
        <f>IFERROR(__xludf.DUMMYFUNCTION("""COMPUTED_VALUE"""),"MUC KIKAYA MULYA 1")</f>
        <v>MUC KIKAYA MULYA 1</v>
      </c>
      <c r="R481" s="80" t="str">
        <f>IFERROR(__xludf.DUMMYFUNCTION("""COMPUTED_VALUE"""),"MUC KIKAYA MULYA 1")</f>
        <v>MUC KIKAYA MULYA 1</v>
      </c>
      <c r="S481" s="80" t="str">
        <f>IFERROR(__xludf.DUMMYFUNCTION("""COMPUTED_VALUE"""),"ARIF IMAN SANTOSO")</f>
        <v>ARIF IMAN SANTOSO</v>
      </c>
      <c r="T481" s="80" t="str">
        <f>IFERROR(__xludf.DUMMYFUNCTION("""COMPUTED_VALUE"""),"PERUM SAPTA PESONA II NO.17 RT 001 RW 001 JATILUHUR, JATIASIH, KOTA BEKASI")</f>
        <v>PERUM SAPTA PESONA II NO.17 RT 001 RW 001 JATILUHUR, JATIASIH, KOTA BEKASI</v>
      </c>
      <c r="U481" s="80" t="str">
        <f>IFERROR(__xludf.DUMMYFUNCTION("""COMPUTED_VALUE"""),"PERUM SAPTA PESONA II NO.17 RT 001 RW 001")</f>
        <v>PERUM SAPTA PESONA II NO.17 RT 001 RW 001</v>
      </c>
      <c r="V481" s="80"/>
      <c r="W481" s="80" t="str">
        <f>IFERROR(__xludf.DUMMYFUNCTION("""COMPUTED_VALUE"""),"Jatiluhur")</f>
        <v>Jatiluhur</v>
      </c>
      <c r="X481" s="80" t="str">
        <f>IFERROR(__xludf.DUMMYFUNCTION("""COMPUTED_VALUE"""),"Jatiasih")</f>
        <v>Jatiasih</v>
      </c>
      <c r="Y481" s="80" t="str">
        <f>IFERROR(__xludf.DUMMYFUNCTION("""COMPUTED_VALUE"""),"Kota Bekasi")</f>
        <v>Kota Bekasi</v>
      </c>
      <c r="Z481" s="80" t="str">
        <f>IFERROR(__xludf.DUMMYFUNCTION("""COMPUTED_VALUE"""),"Jawa Barat")</f>
        <v>Jawa Barat</v>
      </c>
      <c r="AA481" s="80" t="str">
        <f>IFERROR(__xludf.DUMMYFUNCTION("""COMPUTED_VALUE"""),"17425")</f>
        <v>17425</v>
      </c>
      <c r="AB481" s="80" t="str">
        <f>IFERROR(__xludf.DUMMYFUNCTION("""COMPUTED_VALUE"""),"3275091310740008")</f>
        <v>3275091310740008</v>
      </c>
      <c r="AC481" s="80" t="str">
        <f>IFERROR(__xludf.DUMMYFUNCTION("""COMPUTED_VALUE"""),"09.251.834.9-432.000")</f>
        <v>09.251.834.9-432.000</v>
      </c>
      <c r="AD481" s="80" t="str">
        <f>IFERROR(__xludf.DUMMYFUNCTION("""COMPUTED_VALUE"""),"CUM - PS - AYS")</f>
        <v>CUM - PS - AYS</v>
      </c>
      <c r="AE481" s="80" t="str">
        <f>IFERROR(__xludf.DUMMYFUNCTION("""COMPUTED_VALUE"""),"SUB YUNUS POS")</f>
        <v>SUB YUNUS POS</v>
      </c>
      <c r="AF481" s="80" t="str">
        <f>IFERROR(__xludf.DUMMYFUNCTION("""COMPUTED_VALUE"""),"081210889930")</f>
        <v>081210889930</v>
      </c>
      <c r="AG481" s="80"/>
      <c r="AH481" s="80" t="str">
        <f>IFERROR(__xludf.DUMMYFUNCTION("""COMPUTED_VALUE"""),"santoso741013@gmail.com")</f>
        <v>santoso741013@gmail.com</v>
      </c>
      <c r="AI481" s="80" t="str">
        <f>IFERROR(__xludf.DUMMYFUNCTION("""COMPUTED_VALUE"""),"17425S1")</f>
        <v>17425S1</v>
      </c>
      <c r="AJ481" s="80" t="str">
        <f>IFERROR(__xludf.DUMMYFUNCTION("""COMPUTED_VALUE"""),"681edd91693d80d2ea049e02")</f>
        <v>681edd91693d80d2ea049e02</v>
      </c>
      <c r="AK481" s="80" t="str">
        <f>IFERROR(__xludf.DUMMYFUNCTION("""COMPUTED_VALUE"""),"dm17425s1")</f>
        <v>dm17425s1</v>
      </c>
      <c r="AL481" s="80" t="str">
        <f>IFERROR(__xludf.DUMMYFUNCTION("""COMPUTED_VALUE"""),"#17425Pos")</f>
        <v>#17425Pos</v>
      </c>
      <c r="AM481" s="80" t="str">
        <f>IFERROR(__xludf.DUMMYFUNCTION("""COMPUTED_VALUE"""),"KANTOR REGIONAL II JAKARTA 10004")</f>
        <v>KANTOR REGIONAL II JAKARTA 10004</v>
      </c>
      <c r="AN481" s="80" t="str">
        <f>IFERROR(__xludf.DUMMYFUNCTION("""COMPUTED_VALUE"""),"KCU BEKASI 17000")</f>
        <v>KCU BEKASI 17000</v>
      </c>
      <c r="AO481" s="80" t="str">
        <f>IFERROR(__xludf.DUMMYFUNCTION("""COMPUTED_VALUE"""),"2401240093103")</f>
        <v>2401240093103</v>
      </c>
      <c r="AP481" s="80" t="str">
        <f>IFERROR(__xludf.DUMMYFUNCTION("""COMPUTED_VALUE"""),"24012400931030001")</f>
        <v>24012400931030001</v>
      </c>
      <c r="AQ481" s="83"/>
      <c r="AR481" s="80"/>
      <c r="AS481" s="80"/>
      <c r="AT481" s="80" t="str">
        <f>IFERROR(__xludf.DUMMYFUNCTION("""COMPUTED_VALUE"""),"-6.3130011")</f>
        <v>-6.3130011</v>
      </c>
      <c r="AU481" s="80" t="str">
        <f>IFERROR(__xludf.DUMMYFUNCTION("""COMPUTED_VALUE"""),"106.9546336")</f>
        <v>106.9546336</v>
      </c>
      <c r="AV481" s="80"/>
      <c r="AW481" s="80"/>
      <c r="AX481" s="80" t="str">
        <f>IFERROR(__xludf.DUMMYFUNCTION("""COMPUTED_VALUE"""),"h")</f>
        <v>h</v>
      </c>
      <c r="AY481" s="80"/>
      <c r="AZ481" s="80"/>
      <c r="BA481" s="80"/>
      <c r="BB481" s="80"/>
      <c r="BC481" s="80"/>
      <c r="BD481" s="80"/>
      <c r="BE481" s="80"/>
      <c r="BF481" s="80"/>
      <c r="BG481" s="80"/>
      <c r="BH481" s="80"/>
      <c r="BI481" s="80"/>
      <c r="BJ481" s="80"/>
      <c r="BK481" s="80"/>
      <c r="BL481" s="80"/>
      <c r="BM481" s="80"/>
      <c r="BN481" s="80"/>
      <c r="BO481" s="80"/>
      <c r="BP481" s="80"/>
      <c r="BQ481" s="80"/>
      <c r="BR481" s="80"/>
      <c r="BS481" s="80"/>
      <c r="BT481" s="80"/>
      <c r="BU481" s="80"/>
      <c r="BV481" s="80"/>
      <c r="BW481" s="80"/>
      <c r="BX481" s="80"/>
      <c r="BY481" s="80" t="str">
        <f>IFERROR(__xludf.DUMMYFUNCTION("""COMPUTED_VALUE"""),"POS")</f>
        <v>POS</v>
      </c>
      <c r="BZ481" s="80"/>
      <c r="CA481" s="80"/>
      <c r="CB481" s="80"/>
      <c r="CC481" s="80"/>
      <c r="CD481" s="80"/>
      <c r="CE481" s="80"/>
      <c r="CF481" s="80"/>
      <c r="CG481" s="80"/>
      <c r="CH481" s="80"/>
      <c r="CI481" s="80"/>
      <c r="CJ481" s="80"/>
      <c r="CK481" s="2"/>
    </row>
    <row r="482" ht="12.75" customHeight="1">
      <c r="A482" s="85">
        <f>IFERROR(__xludf.DUMMYFUNCTION("""COMPUTED_VALUE"""),479.0)</f>
        <v>479</v>
      </c>
      <c r="B482" s="85"/>
      <c r="C482" s="85"/>
      <c r="D482" s="86">
        <f>IFERROR(__xludf.DUMMYFUNCTION("""COMPUTED_VALUE"""),45785.0)</f>
        <v>45785</v>
      </c>
      <c r="E482" s="88"/>
      <c r="F482" s="85"/>
      <c r="G482" s="86">
        <f>IFERROR(__xludf.DUMMYFUNCTION("""COMPUTED_VALUE"""),45816.0)</f>
        <v>45816</v>
      </c>
      <c r="H482" s="85"/>
      <c r="I482" s="85"/>
      <c r="J482" s="85"/>
      <c r="K482" s="85"/>
      <c r="L482" s="85">
        <f>IFERROR(__xludf.DUMMYFUNCTION("""COMPUTED_VALUE"""),31.0)</f>
        <v>31</v>
      </c>
      <c r="M482" s="85" t="str">
        <f>IFERROR(__xludf.DUMMYFUNCTION("""COMPUTED_VALUE"""),"ü")</f>
        <v>ü</v>
      </c>
      <c r="N482" s="85"/>
      <c r="O482" s="85"/>
      <c r="P482" s="85" t="str">
        <f>IFERROR(__xludf.DUMMYFUNCTION("""COMPUTED_VALUE"""),"MUCSPA63130PSIND")</f>
        <v>MUCSPA63130PSIND</v>
      </c>
      <c r="Q482" s="85" t="str">
        <f>IFERROR(__xludf.DUMMYFUNCTION("""COMPUTED_VALUE"""),"MUC Ummisalsa")</f>
        <v>MUC Ummisalsa</v>
      </c>
      <c r="R482" s="85" t="str">
        <f>IFERROR(__xludf.DUMMYFUNCTION("""COMPUTED_VALUE"""),"MUC Ummisalsa")</f>
        <v>MUC Ummisalsa</v>
      </c>
      <c r="S482" s="85" t="str">
        <f>IFERROR(__xludf.DUMMYFUNCTION("""COMPUTED_VALUE"""),"CECEP SAEPUL ROHMAN")</f>
        <v>CECEP SAEPUL ROHMAN</v>
      </c>
      <c r="T482" s="85" t="str">
        <f>IFERROR(__xludf.DUMMYFUNCTION("""COMPUTED_VALUE"""),"Komp.Cincin Permata Indah Blok.A 101 RT.03 RW.13 des.Gandasari kec.Katapang kab.Bandung")</f>
        <v>Komp.Cincin Permata Indah Blok.A 101 RT.03 RW.13 des.Gandasari kec.Katapang kab.Bandung</v>
      </c>
      <c r="U482" s="85" t="str">
        <f>IFERROR(__xludf.DUMMYFUNCTION("""COMPUTED_VALUE"""),"Perumahan Pondok Indah Sukamukti Jl.Teratai No.06")</f>
        <v>Perumahan Pondok Indah Sukamukti Jl.Teratai No.06</v>
      </c>
      <c r="V482" s="85"/>
      <c r="W482" s="85" t="str">
        <f>IFERROR(__xludf.DUMMYFUNCTION("""COMPUTED_VALUE"""),"Sukamukti")</f>
        <v>Sukamukti</v>
      </c>
      <c r="X482" s="85" t="str">
        <f>IFERROR(__xludf.DUMMYFUNCTION("""COMPUTED_VALUE"""),"Katapang")</f>
        <v>Katapang</v>
      </c>
      <c r="Y482" s="85" t="str">
        <f>IFERROR(__xludf.DUMMYFUNCTION("""COMPUTED_VALUE"""),"Bandung")</f>
        <v>Bandung</v>
      </c>
      <c r="Z482" s="85" t="str">
        <f>IFERROR(__xludf.DUMMYFUNCTION("""COMPUTED_VALUE"""),"Jawa Barat")</f>
        <v>Jawa Barat</v>
      </c>
      <c r="AA482" s="85" t="str">
        <f>IFERROR(__xludf.DUMMYFUNCTION("""COMPUTED_VALUE"""),"40921")</f>
        <v>40921</v>
      </c>
      <c r="AB482" s="85" t="str">
        <f>IFERROR(__xludf.DUMMYFUNCTION("""COMPUTED_VALUE"""),"3204130911930012")</f>
        <v>3204130911930012</v>
      </c>
      <c r="AC482" s="85" t="str">
        <f>IFERROR(__xludf.DUMMYFUNCTION("""COMPUTED_VALUE"""),"3204 1309 1193 0012")</f>
        <v>3204 1309 1193 0012</v>
      </c>
      <c r="AD482" s="85" t="str">
        <f>IFERROR(__xludf.DUMMYFUNCTION("""COMPUTED_VALUE"""),"CUM - PS - RSS")</f>
        <v>CUM - PS - RSS</v>
      </c>
      <c r="AE482" s="85" t="str">
        <f>IFERROR(__xludf.DUMMYFUNCTION("""COMPUTED_VALUE"""),"SUB RONY POS")</f>
        <v>SUB RONY POS</v>
      </c>
      <c r="AF482" s="85" t="str">
        <f>IFERROR(__xludf.DUMMYFUNCTION("""COMPUTED_VALUE"""),"081221117647")</f>
        <v>081221117647</v>
      </c>
      <c r="AG482" s="85"/>
      <c r="AH482" s="85" t="str">
        <f>IFERROR(__xludf.DUMMYFUNCTION("""COMPUTED_VALUE"""),"cecepsaepul06@gmail.com")</f>
        <v>cecepsaepul06@gmail.com</v>
      </c>
      <c r="AI482" s="85" t="str">
        <f>IFERROR(__xludf.DUMMYFUNCTION("""COMPUTED_VALUE"""),"40355S6")</f>
        <v>40355S6</v>
      </c>
      <c r="AJ482" s="85" t="str">
        <f>IFERROR(__xludf.DUMMYFUNCTION("""COMPUTED_VALUE"""),"6844fba592a6a953090a581c")</f>
        <v>6844fba592a6a953090a581c</v>
      </c>
      <c r="AK482" s="85" t="str">
        <f>IFERROR(__xludf.DUMMYFUNCTION("""COMPUTED_VALUE"""),"dm40355s6")</f>
        <v>dm40355s6</v>
      </c>
      <c r="AL482" s="85" t="str">
        <f>IFERROR(__xludf.DUMMYFUNCTION("""COMPUTED_VALUE"""),"#40355Pos")</f>
        <v>#40355Pos</v>
      </c>
      <c r="AM482" s="85" t="str">
        <f>IFERROR(__xludf.DUMMYFUNCTION("""COMPUTED_VALUE"""),"KANTOR REGIONAL III BANDUNG 40004")</f>
        <v>KANTOR REGIONAL III BANDUNG 40004</v>
      </c>
      <c r="AN482" s="85" t="str">
        <f>IFERROR(__xludf.DUMMYFUNCTION("""COMPUTED_VALUE"""),"KC SOREANG 40900")</f>
        <v>KC SOREANG 40900</v>
      </c>
      <c r="AO482" s="85" t="str">
        <f>IFERROR(__xludf.DUMMYFUNCTION("""COMPUTED_VALUE"""),"1908240045497")</f>
        <v>1908240045497</v>
      </c>
      <c r="AP482" s="85" t="str">
        <f>IFERROR(__xludf.DUMMYFUNCTION("""COMPUTED_VALUE"""),"19082400454970001")</f>
        <v>19082400454970001</v>
      </c>
      <c r="AQ482" s="93"/>
      <c r="AR482" s="85"/>
      <c r="AS482" s="85"/>
      <c r="AT482" s="85" t="str">
        <f>IFERROR(__xludf.DUMMYFUNCTION("""COMPUTED_VALUE"""),"-7.006120")</f>
        <v>-7.006120</v>
      </c>
      <c r="AU482" s="85" t="str">
        <f>IFERROR(__xludf.DUMMYFUNCTION("""COMPUTED_VALUE"""),"107.573708")</f>
        <v>107.573708</v>
      </c>
      <c r="AV482" s="85"/>
      <c r="AW482" s="85"/>
      <c r="AX482" s="85" t="str">
        <f>IFERROR(__xludf.DUMMYFUNCTION("""COMPUTED_VALUE"""),"h")</f>
        <v>h</v>
      </c>
      <c r="AY482" s="85"/>
      <c r="AZ482" s="85"/>
      <c r="BA482" s="85"/>
      <c r="BB482" s="85"/>
      <c r="BC482" s="85"/>
      <c r="BD482" s="85"/>
      <c r="BE482" s="85"/>
      <c r="BF482" s="85"/>
      <c r="BG482" s="85"/>
      <c r="BH482" s="85"/>
      <c r="BI482" s="85"/>
      <c r="BJ482" s="85"/>
      <c r="BK482" s="85"/>
      <c r="BL482" s="85"/>
      <c r="BM482" s="85"/>
      <c r="BN482" s="85"/>
      <c r="BO482" s="85"/>
      <c r="BP482" s="85"/>
      <c r="BQ482" s="85"/>
      <c r="BR482" s="85"/>
      <c r="BS482" s="85"/>
      <c r="BT482" s="85"/>
      <c r="BU482" s="85"/>
      <c r="BV482" s="85"/>
      <c r="BW482" s="85"/>
      <c r="BX482" s="85" t="str">
        <f>IFERROR(__xludf.DUMMYFUNCTION("""COMPUTED_VALUE"""),"NEWBIE KONTER")</f>
        <v>NEWBIE KONTER</v>
      </c>
      <c r="BY482" s="85"/>
      <c r="BZ482" s="85"/>
      <c r="CA482" s="85"/>
      <c r="CB482" s="85"/>
      <c r="CC482" s="85"/>
      <c r="CD482" s="85"/>
      <c r="CE482" s="85"/>
      <c r="CF482" s="85"/>
      <c r="CG482" s="85"/>
      <c r="CH482" s="85"/>
      <c r="CI482" s="85"/>
      <c r="CJ482" s="85"/>
      <c r="CK482" s="2"/>
    </row>
    <row r="483" ht="12.75" customHeight="1">
      <c r="A483" s="80">
        <f>IFERROR(__xludf.DUMMYFUNCTION("""COMPUTED_VALUE"""),480.0)</f>
        <v>480</v>
      </c>
      <c r="B483" s="80"/>
      <c r="C483" s="80"/>
      <c r="D483" s="81">
        <f>IFERROR(__xludf.DUMMYFUNCTION("""COMPUTED_VALUE"""),45785.0)</f>
        <v>45785</v>
      </c>
      <c r="E483" s="82"/>
      <c r="F483" s="80"/>
      <c r="G483" s="81">
        <f>IFERROR(__xludf.DUMMYFUNCTION("""COMPUTED_VALUE"""),45798.0)</f>
        <v>45798</v>
      </c>
      <c r="H483" s="80"/>
      <c r="I483" s="80"/>
      <c r="J483" s="80"/>
      <c r="K483" s="80"/>
      <c r="L483" s="80">
        <f>IFERROR(__xludf.DUMMYFUNCTION("""COMPUTED_VALUE"""),13.0)</f>
        <v>13</v>
      </c>
      <c r="M483" s="80" t="str">
        <f>IFERROR(__xludf.DUMMYFUNCTION("""COMPUTED_VALUE"""),"ü")</f>
        <v>ü</v>
      </c>
      <c r="N483" s="80"/>
      <c r="O483" s="80"/>
      <c r="P483" s="80" t="str">
        <f>IFERROR(__xludf.DUMMYFUNCTION("""COMPUTED_VALUE"""),"MUCSPA63131PSIND")</f>
        <v>MUCSPA63131PSIND</v>
      </c>
      <c r="Q483" s="80" t="str">
        <f>IFERROR(__xludf.DUMMYFUNCTION("""COMPUTED_VALUE"""),"MUC WADIAH")</f>
        <v>MUC WADIAH</v>
      </c>
      <c r="R483" s="80" t="str">
        <f>IFERROR(__xludf.DUMMYFUNCTION("""COMPUTED_VALUE"""),"MUC WADIAH")</f>
        <v>MUC WADIAH</v>
      </c>
      <c r="S483" s="80" t="str">
        <f>IFERROR(__xludf.DUMMYFUNCTION("""COMPUTED_VALUE"""),"YUSWO HARYONO")</f>
        <v>YUSWO HARYONO</v>
      </c>
      <c r="T483" s="80" t="str">
        <f>IFERROR(__xludf.DUMMYFUNCTION("""COMPUTED_VALUE"""),"JL. KARANGSUCI NO. 3B RT 004 RW 006 KEL. DONAN KEC. CILACAP TENGAH CILACAP 53222")</f>
        <v>JL. KARANGSUCI NO. 3B RT 004 RW 006 KEL. DONAN KEC. CILACAP TENGAH CILACAP 53222</v>
      </c>
      <c r="U483" s="80" t="str">
        <f>IFERROR(__xludf.DUMMYFUNCTION("""COMPUTED_VALUE"""),"JL. KARANGSUCI NO. 3B RT 004 RW 006")</f>
        <v>JL. KARANGSUCI NO. 3B RT 004 RW 006</v>
      </c>
      <c r="V483" s="80"/>
      <c r="W483" s="80" t="str">
        <f>IFERROR(__xludf.DUMMYFUNCTION("""COMPUTED_VALUE"""),"DONAN")</f>
        <v>DONAN</v>
      </c>
      <c r="X483" s="80" t="str">
        <f>IFERROR(__xludf.DUMMYFUNCTION("""COMPUTED_VALUE"""),"CILACAP TENGAH")</f>
        <v>CILACAP TENGAH</v>
      </c>
      <c r="Y483" s="80" t="str">
        <f>IFERROR(__xludf.DUMMYFUNCTION("""COMPUTED_VALUE"""),"KAB.CILACAP")</f>
        <v>KAB.CILACAP</v>
      </c>
      <c r="Z483" s="80" t="str">
        <f>IFERROR(__xludf.DUMMYFUNCTION("""COMPUTED_VALUE"""),"JAWA TENGAH")</f>
        <v>JAWA TENGAH</v>
      </c>
      <c r="AA483" s="80" t="str">
        <f>IFERROR(__xludf.DUMMYFUNCTION("""COMPUTED_VALUE"""),"53222")</f>
        <v>53222</v>
      </c>
      <c r="AB483" s="80" t="str">
        <f>IFERROR(__xludf.DUMMYFUNCTION("""COMPUTED_VALUE"""),"3301221001620006")</f>
        <v>3301221001620006</v>
      </c>
      <c r="AC483" s="80" t="str">
        <f>IFERROR(__xludf.DUMMYFUNCTION("""COMPUTED_VALUE"""),"49.512.516.3-522.000")</f>
        <v>49.512.516.3-522.000</v>
      </c>
      <c r="AD483" s="80" t="str">
        <f>IFERROR(__xludf.DUMMYFUNCTION("""COMPUTED_VALUE"""),"CUM - PS - NVWT")</f>
        <v>CUM - PS - NVWT</v>
      </c>
      <c r="AE483" s="80" t="str">
        <f>IFERROR(__xludf.DUMMYFUNCTION("""COMPUTED_VALUE"""),"SUB NOVY POS")</f>
        <v>SUB NOVY POS</v>
      </c>
      <c r="AF483" s="80" t="str">
        <f>IFERROR(__xludf.DUMMYFUNCTION("""COMPUTED_VALUE"""),"087736555478")</f>
        <v>087736555478</v>
      </c>
      <c r="AG483" s="80"/>
      <c r="AH483" s="80" t="str">
        <f>IFERROR(__xludf.DUMMYFUNCTION("""COMPUTED_VALUE"""),"yuswoharyono10@gmail.com")</f>
        <v>yuswoharyono10@gmail.com</v>
      </c>
      <c r="AI483" s="80" t="str">
        <f>IFERROR(__xludf.DUMMYFUNCTION("""COMPUTED_VALUE"""),"53222S4")</f>
        <v>53222S4</v>
      </c>
      <c r="AJ483" s="80" t="str">
        <f>IFERROR(__xludf.DUMMYFUNCTION("""COMPUTED_VALUE"""),"682d7ec19125f4a9a20ca777")</f>
        <v>682d7ec19125f4a9a20ca777</v>
      </c>
      <c r="AK483" s="80" t="str">
        <f>IFERROR(__xludf.DUMMYFUNCTION("""COMPUTED_VALUE"""),"dm53222s4")</f>
        <v>dm53222s4</v>
      </c>
      <c r="AL483" s="80" t="str">
        <f>IFERROR(__xludf.DUMMYFUNCTION("""COMPUTED_VALUE"""),"#53222Pos")</f>
        <v>#53222Pos</v>
      </c>
      <c r="AM483" s="80" t="str">
        <f>IFERROR(__xludf.DUMMYFUNCTION("""COMPUTED_VALUE"""),"KANTOR REGIONAL IV SEMARANG 50004")</f>
        <v>KANTOR REGIONAL IV SEMARANG 50004</v>
      </c>
      <c r="AN483" s="80" t="str">
        <f>IFERROR(__xludf.DUMMYFUNCTION("""COMPUTED_VALUE"""),"KC CILACAP ")</f>
        <v>KC CILACAP </v>
      </c>
      <c r="AO483" s="80" t="str">
        <f>IFERROR(__xludf.DUMMYFUNCTION("""COMPUTED_VALUE"""),"0805250052252")</f>
        <v>0805250052252</v>
      </c>
      <c r="AP483" s="80" t="str">
        <f>IFERROR(__xludf.DUMMYFUNCTION("""COMPUTED_VALUE"""),"08052500522520001")</f>
        <v>08052500522520001</v>
      </c>
      <c r="AQ483" s="83"/>
      <c r="AR483" s="80"/>
      <c r="AS483" s="80"/>
      <c r="AT483" s="80" t="str">
        <f>IFERROR(__xludf.DUMMYFUNCTION("""COMPUTED_VALUE"""),"-7.720784")</f>
        <v>-7.720784</v>
      </c>
      <c r="AU483" s="80" t="str">
        <f>IFERROR(__xludf.DUMMYFUNCTION("""COMPUTED_VALUE"""),"109.0053886")</f>
        <v>109.0053886</v>
      </c>
      <c r="AV483" s="80"/>
      <c r="AW483" s="80"/>
      <c r="AX483" s="80" t="str">
        <f>IFERROR(__xludf.DUMMYFUNCTION("""COMPUTED_VALUE"""),"h")</f>
        <v>h</v>
      </c>
      <c r="AY483" s="80"/>
      <c r="AZ483" s="80"/>
      <c r="BA483" s="80"/>
      <c r="BB483" s="80"/>
      <c r="BC483" s="80"/>
      <c r="BD483" s="80"/>
      <c r="BE483" s="80"/>
      <c r="BF483" s="80"/>
      <c r="BG483" s="80"/>
      <c r="BH483" s="80"/>
      <c r="BI483" s="80"/>
      <c r="BJ483" s="80"/>
      <c r="BK483" s="80"/>
      <c r="BL483" s="80"/>
      <c r="BM483" s="80"/>
      <c r="BN483" s="80"/>
      <c r="BO483" s="80"/>
      <c r="BP483" s="80"/>
      <c r="BQ483" s="80"/>
      <c r="BR483" s="80"/>
      <c r="BS483" s="80"/>
      <c r="BT483" s="80"/>
      <c r="BU483" s="80"/>
      <c r="BV483" s="80"/>
      <c r="BW483" s="80"/>
      <c r="BX483" s="80"/>
      <c r="BY483" s="80" t="str">
        <f>IFERROR(__xludf.DUMMYFUNCTION("""COMPUTED_VALUE"""),"POS")</f>
        <v>POS</v>
      </c>
      <c r="BZ483" s="80"/>
      <c r="CA483" s="80"/>
      <c r="CB483" s="80"/>
      <c r="CC483" s="80"/>
      <c r="CD483" s="80"/>
      <c r="CE483" s="80"/>
      <c r="CF483" s="80"/>
      <c r="CG483" s="80"/>
      <c r="CH483" s="80"/>
      <c r="CI483" s="80"/>
      <c r="CJ483" s="80"/>
      <c r="CK483" s="2"/>
    </row>
    <row r="484" ht="12.75" customHeight="1">
      <c r="A484" s="85">
        <f>IFERROR(__xludf.DUMMYFUNCTION("""COMPUTED_VALUE"""),481.0)</f>
        <v>481</v>
      </c>
      <c r="B484" s="85"/>
      <c r="C484" s="85"/>
      <c r="D484" s="86">
        <f>IFERROR(__xludf.DUMMYFUNCTION("""COMPUTED_VALUE"""),45786.0)</f>
        <v>45786</v>
      </c>
      <c r="E484" s="88"/>
      <c r="F484" s="85"/>
      <c r="G484" s="86">
        <f>IFERROR(__xludf.DUMMYFUNCTION("""COMPUTED_VALUE"""),45787.0)</f>
        <v>45787</v>
      </c>
      <c r="H484" s="85"/>
      <c r="I484" s="85"/>
      <c r="J484" s="85"/>
      <c r="K484" s="85"/>
      <c r="L484" s="85">
        <f>IFERROR(__xludf.DUMMYFUNCTION("""COMPUTED_VALUE"""),1.0)</f>
        <v>1</v>
      </c>
      <c r="M484" s="85" t="str">
        <f>IFERROR(__xludf.DUMMYFUNCTION("""COMPUTED_VALUE"""),"ü")</f>
        <v>ü</v>
      </c>
      <c r="N484" s="85"/>
      <c r="O484" s="85"/>
      <c r="P484" s="85" t="str">
        <f>IFERROR(__xludf.DUMMYFUNCTION("""COMPUTED_VALUE"""),"MUCSPA63132PSIND")</f>
        <v>MUCSPA63132PSIND</v>
      </c>
      <c r="Q484" s="85" t="str">
        <f>IFERROR(__xludf.DUMMYFUNCTION("""COMPUTED_VALUE"""),"MUC ZAEX")</f>
        <v>MUC ZAEX</v>
      </c>
      <c r="R484" s="85" t="str">
        <f>IFERROR(__xludf.DUMMYFUNCTION("""COMPUTED_VALUE"""),"MUC ZAEX")</f>
        <v>MUC ZAEX</v>
      </c>
      <c r="S484" s="85" t="str">
        <f>IFERROR(__xludf.DUMMYFUNCTION("""COMPUTED_VALUE"""),"ADI SAPUTRA")</f>
        <v>ADI SAPUTRA</v>
      </c>
      <c r="T484" s="85" t="str">
        <f>IFERROR(__xludf.DUMMYFUNCTION("""COMPUTED_VALUE"""),"JL.SIDOREJO RT.004/001 MANGKUBUMEN BANJARSARI KOTA SURAKARTA")</f>
        <v>JL.SIDOREJO RT.004/001 MANGKUBUMEN BANJARSARI KOTA SURAKARTA</v>
      </c>
      <c r="U484" s="85" t="str">
        <f>IFERROR(__xludf.DUMMYFUNCTION("""COMPUTED_VALUE"""),"Jl. Cocak IV No.1 Sidorejo RT 04/RW.01 ")</f>
        <v>Jl. Cocak IV No.1 Sidorejo RT 04/RW.01 </v>
      </c>
      <c r="V484" s="85"/>
      <c r="W484" s="85" t="str">
        <f>IFERROR(__xludf.DUMMYFUNCTION("""COMPUTED_VALUE"""),"Mangkubumen")</f>
        <v>Mangkubumen</v>
      </c>
      <c r="X484" s="85" t="str">
        <f>IFERROR(__xludf.DUMMYFUNCTION("""COMPUTED_VALUE"""),"Banjarsari")</f>
        <v>Banjarsari</v>
      </c>
      <c r="Y484" s="85" t="str">
        <f>IFERROR(__xludf.DUMMYFUNCTION("""COMPUTED_VALUE"""),"Surakarta")</f>
        <v>Surakarta</v>
      </c>
      <c r="Z484" s="85" t="str">
        <f>IFERROR(__xludf.DUMMYFUNCTION("""COMPUTED_VALUE"""),"Jawa Tengah")</f>
        <v>Jawa Tengah</v>
      </c>
      <c r="AA484" s="85" t="str">
        <f>IFERROR(__xludf.DUMMYFUNCTION("""COMPUTED_VALUE"""),"57139")</f>
        <v>57139</v>
      </c>
      <c r="AB484" s="85" t="str">
        <f>IFERROR(__xludf.DUMMYFUNCTION("""COMPUTED_VALUE"""),"1471041309870001")</f>
        <v>1471041309870001</v>
      </c>
      <c r="AC484" s="85" t="str">
        <f>IFERROR(__xludf.DUMMYFUNCTION("""COMPUTED_VALUE"""),"96.668.010.0-211.000")</f>
        <v>96.668.010.0-211.000</v>
      </c>
      <c r="AD484" s="85" t="str">
        <f>IFERROR(__xludf.DUMMYFUNCTION("""COMPUTED_VALUE"""),"CUM - PS - RFSI")</f>
        <v>CUM - PS - RFSI</v>
      </c>
      <c r="AE484" s="85" t="str">
        <f>IFERROR(__xludf.DUMMYFUNCTION("""COMPUTED_VALUE"""),"SUB RIZKI POS")</f>
        <v>SUB RIZKI POS</v>
      </c>
      <c r="AF484" s="85" t="str">
        <f>IFERROR(__xludf.DUMMYFUNCTION("""COMPUTED_VALUE"""),"082197539205")</f>
        <v>082197539205</v>
      </c>
      <c r="AG484" s="85"/>
      <c r="AH484" s="85" t="str">
        <f>IFERROR(__xludf.DUMMYFUNCTION("""COMPUTED_VALUE"""),"contact.zaex@gmail.com")</f>
        <v>contact.zaex@gmail.com</v>
      </c>
      <c r="AI484" s="85" t="str">
        <f>IFERROR(__xludf.DUMMYFUNCTION("""COMPUTED_VALUE"""),"57139S4")</f>
        <v>57139S4</v>
      </c>
      <c r="AJ484" s="85" t="str">
        <f>IFERROR(__xludf.DUMMYFUNCTION("""COMPUTED_VALUE"""),"681efe780b9249adf90b951a")</f>
        <v>681efe780b9249adf90b951a</v>
      </c>
      <c r="AK484" s="85" t="str">
        <f>IFERROR(__xludf.DUMMYFUNCTION("""COMPUTED_VALUE"""),"dm57139s4")</f>
        <v>dm57139s4</v>
      </c>
      <c r="AL484" s="85" t="str">
        <f>IFERROR(__xludf.DUMMYFUNCTION("""COMPUTED_VALUE"""),"#57139Pos")</f>
        <v>#57139Pos</v>
      </c>
      <c r="AM484" s="85" t="str">
        <f>IFERROR(__xludf.DUMMYFUNCTION("""COMPUTED_VALUE"""),"KANTOR REGIONAL IV SEMARANG 50004")</f>
        <v>KANTOR REGIONAL IV SEMARANG 50004</v>
      </c>
      <c r="AN484" s="85" t="str">
        <f>IFERROR(__xludf.DUMMYFUNCTION("""COMPUTED_VALUE"""),"KCU SOLO 57100")</f>
        <v>KCU SOLO 57100</v>
      </c>
      <c r="AO484" s="85" t="str">
        <f>IFERROR(__xludf.DUMMYFUNCTION("""COMPUTED_VALUE"""),"0805250109685")</f>
        <v>0805250109685</v>
      </c>
      <c r="AP484" s="85" t="str">
        <f>IFERROR(__xludf.DUMMYFUNCTION("""COMPUTED_VALUE"""),"08052501096850001")</f>
        <v>08052501096850001</v>
      </c>
      <c r="AQ484" s="93"/>
      <c r="AR484" s="85"/>
      <c r="AS484" s="85"/>
      <c r="AT484" s="85" t="str">
        <f>IFERROR(__xludf.DUMMYFUNCTION("""COMPUTED_VALUE"""),"-7.553368")</f>
        <v>-7.553368</v>
      </c>
      <c r="AU484" s="85" t="str">
        <f>IFERROR(__xludf.DUMMYFUNCTION("""COMPUTED_VALUE"""),"110.813539")</f>
        <v>110.813539</v>
      </c>
      <c r="AV484" s="85"/>
      <c r="AW484" s="85"/>
      <c r="AX484" s="85" t="str">
        <f>IFERROR(__xludf.DUMMYFUNCTION("""COMPUTED_VALUE"""),"h")</f>
        <v>h</v>
      </c>
      <c r="AY484" s="85"/>
      <c r="AZ484" s="85"/>
      <c r="BA484" s="85"/>
      <c r="BB484" s="85"/>
      <c r="BC484" s="85"/>
      <c r="BD484" s="85"/>
      <c r="BE484" s="85"/>
      <c r="BF484" s="85"/>
      <c r="BG484" s="85"/>
      <c r="BH484" s="85"/>
      <c r="BI484" s="85"/>
      <c r="BJ484" s="85"/>
      <c r="BK484" s="85"/>
      <c r="BL484" s="85"/>
      <c r="BM484" s="85"/>
      <c r="BN484" s="85"/>
      <c r="BO484" s="85"/>
      <c r="BP484" s="85"/>
      <c r="BQ484" s="85"/>
      <c r="BR484" s="85"/>
      <c r="BS484" s="85"/>
      <c r="BT484" s="85"/>
      <c r="BU484" s="85"/>
      <c r="BV484" s="85"/>
      <c r="BW484" s="85"/>
      <c r="BX484" s="85" t="str">
        <f>IFERROR(__xludf.DUMMYFUNCTION("""COMPUTED_VALUE"""),"JASTIP LN")</f>
        <v>JASTIP LN</v>
      </c>
      <c r="BY484" s="85"/>
      <c r="BZ484" s="85"/>
      <c r="CA484" s="85"/>
      <c r="CB484" s="85"/>
      <c r="CC484" s="85"/>
      <c r="CD484" s="85"/>
      <c r="CE484" s="85"/>
      <c r="CF484" s="85"/>
      <c r="CG484" s="85"/>
      <c r="CH484" s="85"/>
      <c r="CI484" s="85"/>
      <c r="CJ484" s="85"/>
      <c r="CK484" s="2"/>
    </row>
    <row r="485" ht="12.75" customHeight="1">
      <c r="A485" s="80">
        <f>IFERROR(__xludf.DUMMYFUNCTION("""COMPUTED_VALUE"""),482.0)</f>
        <v>482</v>
      </c>
      <c r="B485" s="80"/>
      <c r="C485" s="80"/>
      <c r="D485" s="81">
        <f>IFERROR(__xludf.DUMMYFUNCTION("""COMPUTED_VALUE"""),45786.0)</f>
        <v>45786</v>
      </c>
      <c r="E485" s="82"/>
      <c r="F485" s="80"/>
      <c r="G485" s="81"/>
      <c r="H485" s="80"/>
      <c r="I485" s="80"/>
      <c r="J485" s="80"/>
      <c r="K485" s="80"/>
      <c r="L485" s="80"/>
      <c r="M485" s="80"/>
      <c r="N485" s="80"/>
      <c r="O485" s="80"/>
      <c r="P485" s="80" t="str">
        <f>IFERROR(__xludf.DUMMYFUNCTION("""COMPUTED_VALUE"""),"MLO5500083CUMPOS")</f>
        <v>MLO5500083CUMPOS</v>
      </c>
      <c r="Q485" s="80" t="str">
        <f>IFERROR(__xludf.DUMMYFUNCTION("""COMPUTED_VALUE"""),"MUC ZAEX")</f>
        <v>MUC ZAEX</v>
      </c>
      <c r="R485" s="80" t="str">
        <f>IFERROR(__xludf.DUMMYFUNCTION("""COMPUTED_VALUE"""),"MUC ZAEX")</f>
        <v>MUC ZAEX</v>
      </c>
      <c r="S485" s="80" t="str">
        <f>IFERROR(__xludf.DUMMYFUNCTION("""COMPUTED_VALUE"""),"ADI SAPUTRA")</f>
        <v>ADI SAPUTRA</v>
      </c>
      <c r="T485" s="80" t="str">
        <f>IFERROR(__xludf.DUMMYFUNCTION("""COMPUTED_VALUE"""),"JL.SIDOREJO RT.004/001 MANGKUBUMEN BANJARSARI KOTA SURAKARTA")</f>
        <v>JL.SIDOREJO RT.004/001 MANGKUBUMEN BANJARSARI KOTA SURAKARTA</v>
      </c>
      <c r="U485" s="80" t="str">
        <f>IFERROR(__xludf.DUMMYFUNCTION("""COMPUTED_VALUE"""),"Jl. Cocak IV No.1 Sidorejo RT 04/RW.01 ")</f>
        <v>Jl. Cocak IV No.1 Sidorejo RT 04/RW.01 </v>
      </c>
      <c r="V485" s="80"/>
      <c r="W485" s="80" t="str">
        <f>IFERROR(__xludf.DUMMYFUNCTION("""COMPUTED_VALUE"""),"Mangkubumen")</f>
        <v>Mangkubumen</v>
      </c>
      <c r="X485" s="80" t="str">
        <f>IFERROR(__xludf.DUMMYFUNCTION("""COMPUTED_VALUE"""),"Banjarsari")</f>
        <v>Banjarsari</v>
      </c>
      <c r="Y485" s="80" t="str">
        <f>IFERROR(__xludf.DUMMYFUNCTION("""COMPUTED_VALUE"""),"Surakarta")</f>
        <v>Surakarta</v>
      </c>
      <c r="Z485" s="80" t="str">
        <f>IFERROR(__xludf.DUMMYFUNCTION("""COMPUTED_VALUE"""),"Jawa Tengah")</f>
        <v>Jawa Tengah</v>
      </c>
      <c r="AA485" s="80" t="str">
        <f>IFERROR(__xludf.DUMMYFUNCTION("""COMPUTED_VALUE"""),"57139")</f>
        <v>57139</v>
      </c>
      <c r="AB485" s="80" t="str">
        <f>IFERROR(__xludf.DUMMYFUNCTION("""COMPUTED_VALUE"""),"1471041309870001")</f>
        <v>1471041309870001</v>
      </c>
      <c r="AC485" s="80" t="str">
        <f>IFERROR(__xludf.DUMMYFUNCTION("""COMPUTED_VALUE"""),"96.668.010.0-211.000")</f>
        <v>96.668.010.0-211.000</v>
      </c>
      <c r="AD485" s="80" t="str">
        <f>IFERROR(__xludf.DUMMYFUNCTION("""COMPUTED_VALUE"""),"CUM - PS - RFSI")</f>
        <v>CUM - PS - RFSI</v>
      </c>
      <c r="AE485" s="80" t="str">
        <f>IFERROR(__xludf.DUMMYFUNCTION("""COMPUTED_VALUE"""),"SUB RIZKI POS")</f>
        <v>SUB RIZKI POS</v>
      </c>
      <c r="AF485" s="80" t="str">
        <f>IFERROR(__xludf.DUMMYFUNCTION("""COMPUTED_VALUE"""),"082197539205")</f>
        <v>082197539205</v>
      </c>
      <c r="AG485" s="80"/>
      <c r="AH485" s="80" t="str">
        <f>IFERROR(__xludf.DUMMYFUNCTION("""COMPUTED_VALUE"""),"contact.zaex@gmail.com")</f>
        <v>contact.zaex@gmail.com</v>
      </c>
      <c r="AI485" s="80" t="str">
        <f>IFERROR(__xludf.DUMMYFUNCTION("""COMPUTED_VALUE"""),"57139S4")</f>
        <v>57139S4</v>
      </c>
      <c r="AJ485" s="80" t="str">
        <f>IFERROR(__xludf.DUMMYFUNCTION("""COMPUTED_VALUE"""),"681efe780b9249adf90b951a")</f>
        <v>681efe780b9249adf90b951a</v>
      </c>
      <c r="AK485" s="80" t="str">
        <f>IFERROR(__xludf.DUMMYFUNCTION("""COMPUTED_VALUE"""),"dm57139s4")</f>
        <v>dm57139s4</v>
      </c>
      <c r="AL485" s="80" t="str">
        <f>IFERROR(__xludf.DUMMYFUNCTION("""COMPUTED_VALUE"""),"#57139Pos")</f>
        <v>#57139Pos</v>
      </c>
      <c r="AM485" s="80" t="str">
        <f>IFERROR(__xludf.DUMMYFUNCTION("""COMPUTED_VALUE"""),"KANTOR REGIONAL IV SEMARANG 50004")</f>
        <v>KANTOR REGIONAL IV SEMARANG 50004</v>
      </c>
      <c r="AN485" s="80" t="str">
        <f>IFERROR(__xludf.DUMMYFUNCTION("""COMPUTED_VALUE"""),"KCU SOLO 57100")</f>
        <v>KCU SOLO 57100</v>
      </c>
      <c r="AO485" s="80" t="str">
        <f>IFERROR(__xludf.DUMMYFUNCTION("""COMPUTED_VALUE"""),"0805250109685")</f>
        <v>0805250109685</v>
      </c>
      <c r="AP485" s="80" t="str">
        <f>IFERROR(__xludf.DUMMYFUNCTION("""COMPUTED_VALUE"""),"08052501096850001")</f>
        <v>08052501096850001</v>
      </c>
      <c r="AQ485" s="83"/>
      <c r="AR485" s="80"/>
      <c r="AS485" s="80"/>
      <c r="AT485" s="80" t="str">
        <f>IFERROR(__xludf.DUMMYFUNCTION("""COMPUTED_VALUE"""),"-7.553368")</f>
        <v>-7.553368</v>
      </c>
      <c r="AU485" s="80" t="str">
        <f>IFERROR(__xludf.DUMMYFUNCTION("""COMPUTED_VALUE"""),"110.813539")</f>
        <v>110.813539</v>
      </c>
      <c r="AV485" s="80"/>
      <c r="AW485" s="80"/>
      <c r="AX485" s="80" t="str">
        <f>IFERROR(__xludf.DUMMYFUNCTION("""COMPUTED_VALUE"""),"h")</f>
        <v>h</v>
      </c>
      <c r="AY485" s="80"/>
      <c r="AZ485" s="80"/>
      <c r="BA485" s="80"/>
      <c r="BB485" s="80"/>
      <c r="BC485" s="80"/>
      <c r="BD485" s="80"/>
      <c r="BE485" s="80"/>
      <c r="BF485" s="80"/>
      <c r="BG485" s="80"/>
      <c r="BH485" s="80"/>
      <c r="BI485" s="80"/>
      <c r="BJ485" s="80"/>
      <c r="BK485" s="80"/>
      <c r="BL485" s="80"/>
      <c r="BM485" s="80"/>
      <c r="BN485" s="80"/>
      <c r="BO485" s="80"/>
      <c r="BP485" s="80"/>
      <c r="BQ485" s="80"/>
      <c r="BR485" s="80"/>
      <c r="BS485" s="80"/>
      <c r="BT485" s="80"/>
      <c r="BU485" s="80"/>
      <c r="BV485" s="80"/>
      <c r="BW485" s="80"/>
      <c r="BX485" s="80" t="str">
        <f>IFERROR(__xludf.DUMMYFUNCTION("""COMPUTED_VALUE"""),"JASTIP LN")</f>
        <v>JASTIP LN</v>
      </c>
      <c r="BY485" s="80"/>
      <c r="BZ485" s="80"/>
      <c r="CA485" s="80"/>
      <c r="CB485" s="80"/>
      <c r="CC485" s="80"/>
      <c r="CD485" s="80"/>
      <c r="CE485" s="80"/>
      <c r="CF485" s="80"/>
      <c r="CG485" s="80"/>
      <c r="CH485" s="80"/>
      <c r="CI485" s="80"/>
      <c r="CJ485" s="80"/>
      <c r="CK485" s="2"/>
    </row>
    <row r="486" ht="12.75" customHeight="1">
      <c r="A486" s="85">
        <f>IFERROR(__xludf.DUMMYFUNCTION("""COMPUTED_VALUE"""),482.0)</f>
        <v>482</v>
      </c>
      <c r="B486" s="85"/>
      <c r="C486" s="85"/>
      <c r="D486" s="86">
        <f>IFERROR(__xludf.DUMMYFUNCTION("""COMPUTED_VALUE"""),45786.0)</f>
        <v>45786</v>
      </c>
      <c r="E486" s="88"/>
      <c r="F486" s="85"/>
      <c r="G486" s="86"/>
      <c r="H486" s="85"/>
      <c r="I486" s="85"/>
      <c r="J486" s="85"/>
      <c r="K486" s="85"/>
      <c r="L486" s="85"/>
      <c r="M486" s="85" t="str">
        <f>IFERROR(__xludf.DUMMYFUNCTION("""COMPUTED_VALUE"""),"ü")</f>
        <v>ü</v>
      </c>
      <c r="N486" s="85"/>
      <c r="O486" s="85"/>
      <c r="P486" s="85" t="str">
        <f>IFERROR(__xludf.DUMMYFUNCTION("""COMPUTED_VALUE"""),"MUCSPA63133PSIND")</f>
        <v>MUCSPA63133PSIND</v>
      </c>
      <c r="Q486" s="85" t="str">
        <f>IFERROR(__xludf.DUMMYFUNCTION("""COMPUTED_VALUE"""),"MUC TIGA PUTRA")</f>
        <v>MUC TIGA PUTRA</v>
      </c>
      <c r="R486" s="85" t="str">
        <f>IFERROR(__xludf.DUMMYFUNCTION("""COMPUTED_VALUE"""),"MUC TIGA PUTRA")</f>
        <v>MUC TIGA PUTRA</v>
      </c>
      <c r="S486" s="85" t="str">
        <f>IFERROR(__xludf.DUMMYFUNCTION("""COMPUTED_VALUE"""),"EVY RATSARI")</f>
        <v>EVY RATSARI</v>
      </c>
      <c r="T486" s="85" t="str">
        <f>IFERROR(__xludf.DUMMYFUNCTION("""COMPUTED_VALUE"""),"JL.PUYUH BLOK F 4/24 RT.005/006 SUKAPURA CILINCING JAKARTA UTARA")</f>
        <v>JL.PUYUH BLOK F 4/24 RT.005/006 SUKAPURA CILINCING JAKARTA UTARA</v>
      </c>
      <c r="U486" s="85" t="str">
        <f>IFERROR(__xludf.DUMMYFUNCTION("""COMPUTED_VALUE"""),"Jl.Puyuh Blok F4 ")</f>
        <v>Jl.Puyuh Blok F4 </v>
      </c>
      <c r="V486" s="85"/>
      <c r="W486" s="85" t="str">
        <f>IFERROR(__xludf.DUMMYFUNCTION("""COMPUTED_VALUE"""),"Sukapura")</f>
        <v>Sukapura</v>
      </c>
      <c r="X486" s="85" t="str">
        <f>IFERROR(__xludf.DUMMYFUNCTION("""COMPUTED_VALUE"""),"Cilincing")</f>
        <v>Cilincing</v>
      </c>
      <c r="Y486" s="85" t="str">
        <f>IFERROR(__xludf.DUMMYFUNCTION("""COMPUTED_VALUE"""),"Jakarta Utara")</f>
        <v>Jakarta Utara</v>
      </c>
      <c r="Z486" s="85" t="str">
        <f>IFERROR(__xludf.DUMMYFUNCTION("""COMPUTED_VALUE"""),"DKI Jakarta")</f>
        <v>DKI Jakarta</v>
      </c>
      <c r="AA486" s="85" t="str">
        <f>IFERROR(__xludf.DUMMYFUNCTION("""COMPUTED_VALUE"""),"14140")</f>
        <v>14140</v>
      </c>
      <c r="AB486" s="85" t="str">
        <f>IFERROR(__xludf.DUMMYFUNCTION("""COMPUTED_VALUE"""),"3172046411710001")</f>
        <v>3172046411710001</v>
      </c>
      <c r="AC486" s="85" t="str">
        <f>IFERROR(__xludf.DUMMYFUNCTION("""COMPUTED_VALUE"""),"58.077.475.0-045.000")</f>
        <v>58.077.475.0-045.000</v>
      </c>
      <c r="AD486" s="85" t="str">
        <f>IFERROR(__xludf.DUMMYFUNCTION("""COMPUTED_VALUE"""),"CUM - PS - ARKT")</f>
        <v>CUM - PS - ARKT</v>
      </c>
      <c r="AE486" s="85" t="str">
        <f>IFERROR(__xludf.DUMMYFUNCTION("""COMPUTED_VALUE"""),"SUB ARIS POS")</f>
        <v>SUB ARIS POS</v>
      </c>
      <c r="AF486" s="85" t="str">
        <f>IFERROR(__xludf.DUMMYFUNCTION("""COMPUTED_VALUE"""),"081288073302")</f>
        <v>081288073302</v>
      </c>
      <c r="AG486" s="85"/>
      <c r="AH486" s="85" t="str">
        <f>IFERROR(__xludf.DUMMYFUNCTION("""COMPUTED_VALUE"""),"Ratnasarievy813@gmail.com")</f>
        <v>Ratnasarievy813@gmail.com</v>
      </c>
      <c r="AI486" s="85" t="str">
        <f>IFERROR(__xludf.DUMMYFUNCTION("""COMPUTED_VALUE"""),"14140S4")</f>
        <v>14140S4</v>
      </c>
      <c r="AJ486" s="85" t="str">
        <f>IFERROR(__xludf.DUMMYFUNCTION("""COMPUTED_VALUE"""),"6865fa8c396e9d9121009807")</f>
        <v>6865fa8c396e9d9121009807</v>
      </c>
      <c r="AK486" s="85" t="str">
        <f>IFERROR(__xludf.DUMMYFUNCTION("""COMPUTED_VALUE"""),"dm14140s4")</f>
        <v>dm14140s4</v>
      </c>
      <c r="AL486" s="85" t="str">
        <f>IFERROR(__xludf.DUMMYFUNCTION("""COMPUTED_VALUE"""),"#14140Pos")</f>
        <v>#14140Pos</v>
      </c>
      <c r="AM486" s="85" t="str">
        <f>IFERROR(__xludf.DUMMYFUNCTION("""COMPUTED_VALUE"""),"KANTOR REGIONAL II JAKARTA 10004")</f>
        <v>KANTOR REGIONAL II JAKARTA 10004</v>
      </c>
      <c r="AN486" s="85" t="str">
        <f>IFERROR(__xludf.DUMMYFUNCTION("""COMPUTED_VALUE"""),"KCU JAKARTAPREMIER 13000")</f>
        <v>KCU JAKARTAPREMIER 13000</v>
      </c>
      <c r="AO486" s="85" t="str">
        <f>IFERROR(__xludf.DUMMYFUNCTION("""COMPUTED_VALUE"""),"0805250053725")</f>
        <v>0805250053725</v>
      </c>
      <c r="AP486" s="85" t="str">
        <f>IFERROR(__xludf.DUMMYFUNCTION("""COMPUTED_VALUE"""),"08052500537250001")</f>
        <v>08052500537250001</v>
      </c>
      <c r="AQ486" s="93"/>
      <c r="AR486" s="85"/>
      <c r="AS486" s="85"/>
      <c r="AT486" s="85" t="str">
        <f>IFERROR(__xludf.DUMMYFUNCTION("""COMPUTED_VALUE"""),"-6.154427 ")</f>
        <v>-6.154427 </v>
      </c>
      <c r="AU486" s="85" t="str">
        <f>IFERROR(__xludf.DUMMYFUNCTION("""COMPUTED_VALUE"""),"106.923028")</f>
        <v>106.923028</v>
      </c>
      <c r="AV486" s="85"/>
      <c r="AW486" s="85"/>
      <c r="AX486" s="85" t="str">
        <f>IFERROR(__xludf.DUMMYFUNCTION("""COMPUTED_VALUE"""),"h")</f>
        <v>h</v>
      </c>
      <c r="AY486" s="85"/>
      <c r="AZ486" s="85"/>
      <c r="BA486" s="85"/>
      <c r="BB486" s="85"/>
      <c r="BC486" s="85"/>
      <c r="BD486" s="85"/>
      <c r="BE486" s="85"/>
      <c r="BF486" s="85"/>
      <c r="BG486" s="85"/>
      <c r="BH486" s="85"/>
      <c r="BI486" s="85"/>
      <c r="BJ486" s="85"/>
      <c r="BK486" s="85"/>
      <c r="BL486" s="85"/>
      <c r="BM486" s="85"/>
      <c r="BN486" s="85"/>
      <c r="BO486" s="85"/>
      <c r="BP486" s="85"/>
      <c r="BQ486" s="85"/>
      <c r="BR486" s="85"/>
      <c r="BS486" s="85"/>
      <c r="BT486" s="85"/>
      <c r="BU486" s="85"/>
      <c r="BV486" s="85"/>
      <c r="BW486" s="85"/>
      <c r="BX486" s="85"/>
      <c r="BY486" s="85"/>
      <c r="BZ486" s="85"/>
      <c r="CA486" s="85"/>
      <c r="CB486" s="85"/>
      <c r="CC486" s="85"/>
      <c r="CD486" s="85"/>
      <c r="CE486" s="85"/>
      <c r="CF486" s="85"/>
      <c r="CG486" s="85"/>
      <c r="CH486" s="85"/>
      <c r="CI486" s="85"/>
      <c r="CJ486" s="85"/>
      <c r="CK486" s="2"/>
    </row>
    <row r="487" ht="12.75" customHeight="1">
      <c r="A487" s="80">
        <f>IFERROR(__xludf.DUMMYFUNCTION("""COMPUTED_VALUE"""),483.0)</f>
        <v>483</v>
      </c>
      <c r="B487" s="80"/>
      <c r="C487" s="80"/>
      <c r="D487" s="81">
        <f>IFERROR(__xludf.DUMMYFUNCTION("""COMPUTED_VALUE"""),45792.0)</f>
        <v>45792</v>
      </c>
      <c r="E487" s="82"/>
      <c r="F487" s="80"/>
      <c r="G487" s="81">
        <f>IFERROR(__xludf.DUMMYFUNCTION("""COMPUTED_VALUE"""),45861.0)</f>
        <v>45861</v>
      </c>
      <c r="H487" s="80"/>
      <c r="I487" s="80"/>
      <c r="J487" s="80"/>
      <c r="K487" s="80"/>
      <c r="L487" s="80">
        <f>IFERROR(__xludf.DUMMYFUNCTION("""COMPUTED_VALUE"""),69.0)</f>
        <v>69</v>
      </c>
      <c r="M487" s="80" t="str">
        <f>IFERROR(__xludf.DUMMYFUNCTION("""COMPUTED_VALUE"""),"ü")</f>
        <v>ü</v>
      </c>
      <c r="N487" s="80"/>
      <c r="O487" s="80"/>
      <c r="P487" s="80" t="str">
        <f>IFERROR(__xludf.DUMMYFUNCTION("""COMPUTED_VALUE"""),"MUCSPA63134PSIND")</f>
        <v>MUCSPA63134PSIND</v>
      </c>
      <c r="Q487" s="80" t="str">
        <f>IFERROR(__xludf.DUMMYFUNCTION("""COMPUTED_VALUE"""),"MUC BUYUT JAGO")</f>
        <v>MUC BUYUT JAGO</v>
      </c>
      <c r="R487" s="80" t="str">
        <f>IFERROR(__xludf.DUMMYFUNCTION("""COMPUTED_VALUE"""),"MUC BUYUT JAGO")</f>
        <v>MUC BUYUT JAGO</v>
      </c>
      <c r="S487" s="80" t="str">
        <f>IFERROR(__xludf.DUMMYFUNCTION("""COMPUTED_VALUE"""),"Linardo Indra Wicaksono ")</f>
        <v>Linardo Indra Wicaksono </v>
      </c>
      <c r="T487" s="80" t="str">
        <f>IFERROR(__xludf.DUMMYFUNCTION("""COMPUTED_VALUE"""),"BLOK DESA RT.013/006 BAGJASARI CIKIJING KAB.MAJALENGKA")</f>
        <v>BLOK DESA RT.013/006 BAGJASARI CIKIJING KAB.MAJALENGKA</v>
      </c>
      <c r="U487" s="80" t="str">
        <f>IFERROR(__xludf.DUMMYFUNCTION("""COMPUTED_VALUE"""),"Jl Gang Buyut Jago Blok Desa")</f>
        <v>Jl Gang Buyut Jago Blok Desa</v>
      </c>
      <c r="V487" s="80"/>
      <c r="W487" s="80" t="str">
        <f>IFERROR(__xludf.DUMMYFUNCTION("""COMPUTED_VALUE"""),"Bagjasari ")</f>
        <v>Bagjasari </v>
      </c>
      <c r="X487" s="80" t="str">
        <f>IFERROR(__xludf.DUMMYFUNCTION("""COMPUTED_VALUE"""),"Cikijing")</f>
        <v>Cikijing</v>
      </c>
      <c r="Y487" s="80" t="str">
        <f>IFERROR(__xludf.DUMMYFUNCTION("""COMPUTED_VALUE"""),"Majalengka ")</f>
        <v>Majalengka </v>
      </c>
      <c r="Z487" s="80" t="str">
        <f>IFERROR(__xludf.DUMMYFUNCTION("""COMPUTED_VALUE"""),"Jawa barat ")</f>
        <v>Jawa barat </v>
      </c>
      <c r="AA487" s="80" t="str">
        <f>IFERROR(__xludf.DUMMYFUNCTION("""COMPUTED_VALUE"""),"45466")</f>
        <v>45466</v>
      </c>
      <c r="AB487" s="80" t="str">
        <f>IFERROR(__xludf.DUMMYFUNCTION("""COMPUTED_VALUE"""),"3210031210020081")</f>
        <v>3210031210020081</v>
      </c>
      <c r="AC487" s="80" t="str">
        <f>IFERROR(__xludf.DUMMYFUNCTION("""COMPUTED_VALUE"""),"3210 0312 1002 0081")</f>
        <v>3210 0312 1002 0081</v>
      </c>
      <c r="AD487" s="80" t="str">
        <f>IFERROR(__xludf.DUMMYFUNCTION("""COMPUTED_VALUE"""),"CUM - PS - NONKORGEN")</f>
        <v>CUM - PS - NONKORGEN</v>
      </c>
      <c r="AE487" s="80" t="str">
        <f>IFERROR(__xludf.DUMMYFUNCTION("""COMPUTED_VALUE"""),"PAK MIFTAH")</f>
        <v>PAK MIFTAH</v>
      </c>
      <c r="AF487" s="80" t="str">
        <f>IFERROR(__xludf.DUMMYFUNCTION("""COMPUTED_VALUE"""),"082113115728")</f>
        <v>082113115728</v>
      </c>
      <c r="AG487" s="80"/>
      <c r="AH487" s="80" t="str">
        <f>IFERROR(__xludf.DUMMYFUNCTION("""COMPUTED_VALUE"""),"indrawlinardo8@gmail.com")</f>
        <v>indrawlinardo8@gmail.com</v>
      </c>
      <c r="AI487" s="80" t="str">
        <f>IFERROR(__xludf.DUMMYFUNCTION("""COMPUTED_VALUE"""),"45466S1")</f>
        <v>45466S1</v>
      </c>
      <c r="AJ487" s="80" t="str">
        <f>IFERROR(__xludf.DUMMYFUNCTION("""COMPUTED_VALUE"""),"687f40c3e8d0d3ff6506c360")</f>
        <v>687f40c3e8d0d3ff6506c360</v>
      </c>
      <c r="AK487" s="80" t="str">
        <f>IFERROR(__xludf.DUMMYFUNCTION("""COMPUTED_VALUE"""),"dm45466s1")</f>
        <v>dm45466s1</v>
      </c>
      <c r="AL487" s="80" t="str">
        <f>IFERROR(__xludf.DUMMYFUNCTION("""COMPUTED_VALUE"""),"#45466Pos")</f>
        <v>#45466Pos</v>
      </c>
      <c r="AM487" s="80" t="str">
        <f>IFERROR(__xludf.DUMMYFUNCTION("""COMPUTED_VALUE"""),"KANTOR REGIONAL III BANDUNG 40004")</f>
        <v>KANTOR REGIONAL III BANDUNG 40004</v>
      </c>
      <c r="AN487" s="80" t="str">
        <f>IFERROR(__xludf.DUMMYFUNCTION("""COMPUTED_VALUE"""),"KC MAJALENGKA")</f>
        <v>KC MAJALENGKA</v>
      </c>
      <c r="AO487" s="80" t="str">
        <f>IFERROR(__xludf.DUMMYFUNCTION("""COMPUTED_VALUE"""),"0505250033685")</f>
        <v>0505250033685</v>
      </c>
      <c r="AP487" s="80" t="str">
        <f>IFERROR(__xludf.DUMMYFUNCTION("""COMPUTED_VALUE"""),"05052500336850001")</f>
        <v>05052500336850001</v>
      </c>
      <c r="AQ487" s="83"/>
      <c r="AR487" s="80"/>
      <c r="AS487" s="80"/>
      <c r="AT487" s="80" t="str">
        <f>IFERROR(__xludf.DUMMYFUNCTION("""COMPUTED_VALUE"""),"-7.002784265819693")</f>
        <v>-7.002784265819693</v>
      </c>
      <c r="AU487" s="80" t="str">
        <f>IFERROR(__xludf.DUMMYFUNCTION("""COMPUTED_VALUE"""),"108.3593501489011")</f>
        <v>108.3593501489011</v>
      </c>
      <c r="AV487" s="80"/>
      <c r="AW487" s="80"/>
      <c r="AX487" s="80" t="str">
        <f>IFERROR(__xludf.DUMMYFUNCTION("""COMPUTED_VALUE"""),"h")</f>
        <v>h</v>
      </c>
      <c r="AY487" s="80"/>
      <c r="AZ487" s="80"/>
      <c r="BA487" s="80"/>
      <c r="BB487" s="80"/>
      <c r="BC487" s="80"/>
      <c r="BD487" s="80"/>
      <c r="BE487" s="80"/>
      <c r="BF487" s="80"/>
      <c r="BG487" s="80"/>
      <c r="BH487" s="80"/>
      <c r="BI487" s="80"/>
      <c r="BJ487" s="80"/>
      <c r="BK487" s="80"/>
      <c r="BL487" s="80"/>
      <c r="BM487" s="80"/>
      <c r="BN487" s="80"/>
      <c r="BO487" s="80"/>
      <c r="BP487" s="80"/>
      <c r="BQ487" s="80"/>
      <c r="BR487" s="80"/>
      <c r="BS487" s="80"/>
      <c r="BT487" s="80"/>
      <c r="BU487" s="80"/>
      <c r="BV487" s="80"/>
      <c r="BW487" s="80"/>
      <c r="BX487" s="80" t="str">
        <f>IFERROR(__xludf.DUMMYFUNCTION("""COMPUTED_VALUE"""),"NEWBIE")</f>
        <v>NEWBIE</v>
      </c>
      <c r="BY487" s="80"/>
      <c r="BZ487" s="80"/>
      <c r="CA487" s="80"/>
      <c r="CB487" s="80"/>
      <c r="CC487" s="80"/>
      <c r="CD487" s="80"/>
      <c r="CE487" s="80"/>
      <c r="CF487" s="80"/>
      <c r="CG487" s="80"/>
      <c r="CH487" s="80"/>
      <c r="CI487" s="80"/>
      <c r="CJ487" s="80"/>
      <c r="CK487" s="2"/>
    </row>
    <row r="488" ht="12.75" customHeight="1">
      <c r="A488" s="85">
        <f>IFERROR(__xludf.DUMMYFUNCTION("""COMPUTED_VALUE"""),484.0)</f>
        <v>484</v>
      </c>
      <c r="B488" s="85"/>
      <c r="C488" s="85"/>
      <c r="D488" s="86">
        <f>IFERROR(__xludf.DUMMYFUNCTION("""COMPUTED_VALUE"""),45792.0)</f>
        <v>45792</v>
      </c>
      <c r="E488" s="88"/>
      <c r="F488" s="85"/>
      <c r="G488" s="86">
        <f>IFERROR(__xludf.DUMMYFUNCTION("""COMPUTED_VALUE"""),45819.0)</f>
        <v>45819</v>
      </c>
      <c r="H488" s="85"/>
      <c r="I488" s="85"/>
      <c r="J488" s="85"/>
      <c r="K488" s="85"/>
      <c r="L488" s="85">
        <f>IFERROR(__xludf.DUMMYFUNCTION("""COMPUTED_VALUE"""),27.0)</f>
        <v>27</v>
      </c>
      <c r="M488" s="85" t="str">
        <f>IFERROR(__xludf.DUMMYFUNCTION("""COMPUTED_VALUE"""),"ü")</f>
        <v>ü</v>
      </c>
      <c r="N488" s="85"/>
      <c r="O488" s="85"/>
      <c r="P488" s="85" t="str">
        <f>IFERROR(__xludf.DUMMYFUNCTION("""COMPUTED_VALUE"""),"MUCSPA63135PSIND")</f>
        <v>MUCSPA63135PSIND</v>
      </c>
      <c r="Q488" s="85" t="str">
        <f>IFERROR(__xludf.DUMMYFUNCTION("""COMPUTED_VALUE"""),"MUC TRIDYSTORE")</f>
        <v>MUC TRIDYSTORE</v>
      </c>
      <c r="R488" s="85" t="str">
        <f>IFERROR(__xludf.DUMMYFUNCTION("""COMPUTED_VALUE"""),"MUC TRIDYSTORE")</f>
        <v>MUC TRIDYSTORE</v>
      </c>
      <c r="S488" s="85" t="str">
        <f>IFERROR(__xludf.DUMMYFUNCTION("""COMPUTED_VALUE"""),"FITRI ROCHMIYANI")</f>
        <v>FITRI ROCHMIYANI</v>
      </c>
      <c r="T488" s="85" t="str">
        <f>IFERROR(__xludf.DUMMYFUNCTION("""COMPUTED_VALUE"""),"PANJANGSARI BARU RT 001 RW 010 PARAKAN WETAN, PARAKAN, TEMANGGUNG 56254")</f>
        <v>PANJANGSARI BARU RT 001 RW 010 PARAKAN WETAN, PARAKAN, TEMANGGUNG 56254</v>
      </c>
      <c r="U488" s="85" t="str">
        <f>IFERROR(__xludf.DUMMYFUNCTION("""COMPUTED_VALUE"""),"SALARAN RT 007 RW 002 ")</f>
        <v>SALARAN RT 007 RW 002 </v>
      </c>
      <c r="V488" s="85"/>
      <c r="W488" s="85" t="str">
        <f>IFERROR(__xludf.DUMMYFUNCTION("""COMPUTED_VALUE"""),"GONDANGWAYANG")</f>
        <v>GONDANGWAYANG</v>
      </c>
      <c r="X488" s="85" t="str">
        <f>IFERROR(__xludf.DUMMYFUNCTION("""COMPUTED_VALUE"""),"KEDU")</f>
        <v>KEDU</v>
      </c>
      <c r="Y488" s="85" t="str">
        <f>IFERROR(__xludf.DUMMYFUNCTION("""COMPUTED_VALUE"""),"KAB. TEMANGGUNG")</f>
        <v>KAB. TEMANGGUNG</v>
      </c>
      <c r="Z488" s="85" t="str">
        <f>IFERROR(__xludf.DUMMYFUNCTION("""COMPUTED_VALUE"""),"JAWA TENGAH")</f>
        <v>JAWA TENGAH</v>
      </c>
      <c r="AA488" s="85" t="str">
        <f>IFERROR(__xludf.DUMMYFUNCTION("""COMPUTED_VALUE"""),"56252")</f>
        <v>56252</v>
      </c>
      <c r="AB488" s="85" t="str">
        <f>IFERROR(__xludf.DUMMYFUNCTION("""COMPUTED_VALUE"""),"3323084311940001")</f>
        <v>3323084311940001</v>
      </c>
      <c r="AC488" s="85" t="str">
        <f>IFERROR(__xludf.DUMMYFUNCTION("""COMPUTED_VALUE"""),"19.765.168.0-543.000")</f>
        <v>19.765.168.0-543.000</v>
      </c>
      <c r="AD488" s="85" t="str">
        <f>IFERROR(__xludf.DUMMYFUNCTION("""COMPUTED_VALUE"""),"CUM - PS - AFF")</f>
        <v>CUM - PS - AFF</v>
      </c>
      <c r="AE488" s="85" t="str">
        <f>IFERROR(__xludf.DUMMYFUNCTION("""COMPUTED_VALUE"""),"SUB FENTA POS")</f>
        <v>SUB FENTA POS</v>
      </c>
      <c r="AF488" s="85" t="str">
        <f>IFERROR(__xludf.DUMMYFUNCTION("""COMPUTED_VALUE"""),"085641652423")</f>
        <v>085641652423</v>
      </c>
      <c r="AG488" s="85"/>
      <c r="AH488" s="85" t="str">
        <f>IFERROR(__xludf.DUMMYFUNCTION("""COMPUTED_VALUE"""),"rocmiyani.fitri3@gmail.com")</f>
        <v>rocmiyani.fitri3@gmail.com</v>
      </c>
      <c r="AI488" s="85" t="str">
        <f>IFERROR(__xludf.DUMMYFUNCTION("""COMPUTED_VALUE"""),"56252S3")</f>
        <v>56252S3</v>
      </c>
      <c r="AJ488" s="85" t="str">
        <f>IFERROR(__xludf.DUMMYFUNCTION("""COMPUTED_VALUE"""),"68494675cc136e96f0044240")</f>
        <v>68494675cc136e96f0044240</v>
      </c>
      <c r="AK488" s="85" t="str">
        <f>IFERROR(__xludf.DUMMYFUNCTION("""COMPUTED_VALUE"""),"dm56252s3")</f>
        <v>dm56252s3</v>
      </c>
      <c r="AL488" s="85" t="str">
        <f>IFERROR(__xludf.DUMMYFUNCTION("""COMPUTED_VALUE"""),"#56252Pos")</f>
        <v>#56252Pos</v>
      </c>
      <c r="AM488" s="85" t="str">
        <f>IFERROR(__xludf.DUMMYFUNCTION("""COMPUTED_VALUE"""),"KANTOR REGIONAL IV SEMARANG 50004")</f>
        <v>KANTOR REGIONAL IV SEMARANG 50004</v>
      </c>
      <c r="AN488" s="85" t="str">
        <f>IFERROR(__xludf.DUMMYFUNCTION("""COMPUTED_VALUE"""),"KC TEMANGGUNG 56200")</f>
        <v>KC TEMANGGUNG 56200</v>
      </c>
      <c r="AO488" s="85" t="str">
        <f>IFERROR(__xludf.DUMMYFUNCTION("""COMPUTED_VALUE"""),"0205250021971")</f>
        <v>0205250021971</v>
      </c>
      <c r="AP488" s="85" t="str">
        <f>IFERROR(__xludf.DUMMYFUNCTION("""COMPUTED_VALUE"""),"02052500219710001")</f>
        <v>02052500219710001</v>
      </c>
      <c r="AQ488" s="93"/>
      <c r="AR488" s="85"/>
      <c r="AS488" s="85"/>
      <c r="AT488" s="85" t="str">
        <f>IFERROR(__xludf.DUMMYFUNCTION("""COMPUTED_VALUE"""),"-7.243426818978498")</f>
        <v>-7.243426818978498</v>
      </c>
      <c r="AU488" s="85" t="str">
        <f>IFERROR(__xludf.DUMMYFUNCTION("""COMPUTED_VALUE"""),"110.14059868346928")</f>
        <v>110.14059868346928</v>
      </c>
      <c r="AV488" s="85"/>
      <c r="AW488" s="85"/>
      <c r="AX488" s="85" t="str">
        <f>IFERROR(__xludf.DUMMYFUNCTION("""COMPUTED_VALUE"""),"h")</f>
        <v>h</v>
      </c>
      <c r="AY488" s="85"/>
      <c r="AZ488" s="85"/>
      <c r="BA488" s="85"/>
      <c r="BB488" s="85"/>
      <c r="BC488" s="85"/>
      <c r="BD488" s="85"/>
      <c r="BE488" s="85"/>
      <c r="BF488" s="85"/>
      <c r="BG488" s="85"/>
      <c r="BH488" s="85"/>
      <c r="BI488" s="85"/>
      <c r="BJ488" s="85"/>
      <c r="BK488" s="85"/>
      <c r="BL488" s="85"/>
      <c r="BM488" s="85"/>
      <c r="BN488" s="85"/>
      <c r="BO488" s="85"/>
      <c r="BP488" s="85"/>
      <c r="BQ488" s="85"/>
      <c r="BR488" s="85"/>
      <c r="BS488" s="85"/>
      <c r="BT488" s="85"/>
      <c r="BU488" s="85"/>
      <c r="BV488" s="85"/>
      <c r="BW488" s="85"/>
      <c r="BX488" s="85" t="str">
        <f>IFERROR(__xludf.DUMMYFUNCTION("""COMPUTED_VALUE"""),"DROP POINT POS AJA")</f>
        <v>DROP POINT POS AJA</v>
      </c>
      <c r="BY488" s="85"/>
      <c r="BZ488" s="85"/>
      <c r="CA488" s="85"/>
      <c r="CB488" s="85"/>
      <c r="CC488" s="85"/>
      <c r="CD488" s="85"/>
      <c r="CE488" s="85"/>
      <c r="CF488" s="85"/>
      <c r="CG488" s="85"/>
      <c r="CH488" s="85"/>
      <c r="CI488" s="85"/>
      <c r="CJ488" s="85"/>
      <c r="CK488" s="2"/>
    </row>
    <row r="489" ht="12.75" customHeight="1">
      <c r="A489" s="80">
        <f>IFERROR(__xludf.DUMMYFUNCTION("""COMPUTED_VALUE"""),486.0)</f>
        <v>486</v>
      </c>
      <c r="B489" s="80"/>
      <c r="C489" s="80"/>
      <c r="D489" s="81">
        <f>IFERROR(__xludf.DUMMYFUNCTION("""COMPUTED_VALUE"""),45796.0)</f>
        <v>45796</v>
      </c>
      <c r="E489" s="82"/>
      <c r="F489" s="80"/>
      <c r="G489" s="81">
        <f>IFERROR(__xludf.DUMMYFUNCTION("""COMPUTED_VALUE"""),45819.0)</f>
        <v>45819</v>
      </c>
      <c r="H489" s="80"/>
      <c r="I489" s="80"/>
      <c r="J489" s="80"/>
      <c r="K489" s="80"/>
      <c r="L489" s="80">
        <f>IFERROR(__xludf.DUMMYFUNCTION("""COMPUTED_VALUE"""),23.0)</f>
        <v>23</v>
      </c>
      <c r="M489" s="80" t="str">
        <f>IFERROR(__xludf.DUMMYFUNCTION("""COMPUTED_VALUE"""),"ü")</f>
        <v>ü</v>
      </c>
      <c r="N489" s="80"/>
      <c r="O489" s="80"/>
      <c r="P489" s="80" t="str">
        <f>IFERROR(__xludf.DUMMYFUNCTION("""COMPUTED_VALUE"""),"MUCSPA63136PSIND")</f>
        <v>MUCSPA63136PSIND</v>
      </c>
      <c r="Q489" s="80" t="str">
        <f>IFERROR(__xludf.DUMMYFUNCTION("""COMPUTED_VALUE"""),"MUC SERUNI8")</f>
        <v>MUC SERUNI8</v>
      </c>
      <c r="R489" s="80" t="str">
        <f>IFERROR(__xludf.DUMMYFUNCTION("""COMPUTED_VALUE"""),"MUC SERUNI8")</f>
        <v>MUC SERUNI8</v>
      </c>
      <c r="S489" s="80" t="str">
        <f>IFERROR(__xludf.DUMMYFUNCTION("""COMPUTED_VALUE"""),"MAMMAN EMOS MANIK")</f>
        <v>MAMMAN EMOS MANIK</v>
      </c>
      <c r="T489" s="80" t="str">
        <f>IFERROR(__xludf.DUMMYFUNCTION("""COMPUTED_VALUE"""),"MUTIARA GADING TIMUR 2 CLUSTER COLOMBUS MANSION BLOK P.6 RT.013/026 MUSTIKAJAYA, MUSTIKAJAYA KOTA BEKASI")</f>
        <v>MUTIARA GADING TIMUR 2 CLUSTER COLOMBUS MANSION BLOK P.6 RT.013/026 MUSTIKAJAYA, MUSTIKAJAYA KOTA BEKASI</v>
      </c>
      <c r="U489" s="80" t="str">
        <f>IFERROR(__xludf.DUMMYFUNCTION("""COMPUTED_VALUE"""),"Perum Mutiara Gading Timur II Cluster Mansion, Blok P06/01 RT.013/028")</f>
        <v>Perum Mutiara Gading Timur II Cluster Mansion, Blok P06/01 RT.013/028</v>
      </c>
      <c r="V489" s="80"/>
      <c r="W489" s="80" t="str">
        <f>IFERROR(__xludf.DUMMYFUNCTION("""COMPUTED_VALUE"""),"Mustikajaya")</f>
        <v>Mustikajaya</v>
      </c>
      <c r="X489" s="80" t="str">
        <f>IFERROR(__xludf.DUMMYFUNCTION("""COMPUTED_VALUE"""),"Mustikajaya")</f>
        <v>Mustikajaya</v>
      </c>
      <c r="Y489" s="80" t="str">
        <f>IFERROR(__xludf.DUMMYFUNCTION("""COMPUTED_VALUE"""),"Kota Bekasi")</f>
        <v>Kota Bekasi</v>
      </c>
      <c r="Z489" s="80" t="str">
        <f>IFERROR(__xludf.DUMMYFUNCTION("""COMPUTED_VALUE"""),"Jawa Barat")</f>
        <v>Jawa Barat</v>
      </c>
      <c r="AA489" s="80" t="str">
        <f>IFERROR(__xludf.DUMMYFUNCTION("""COMPUTED_VALUE"""),"17158")</f>
        <v>17158</v>
      </c>
      <c r="AB489" s="80" t="str">
        <f>IFERROR(__xludf.DUMMYFUNCTION("""COMPUTED_VALUE"""),"3216062302800005")</f>
        <v>3216062302800005</v>
      </c>
      <c r="AC489" s="80" t="str">
        <f>IFERROR(__xludf.DUMMYFUNCTION("""COMPUTED_VALUE"""),"55.826.436.2-435.000")</f>
        <v>55.826.436.2-435.000</v>
      </c>
      <c r="AD489" s="80" t="str">
        <f>IFERROR(__xludf.DUMMYFUNCTION("""COMPUTED_VALUE"""),"CUM - PS - AYS")</f>
        <v>CUM - PS - AYS</v>
      </c>
      <c r="AE489" s="80" t="str">
        <f>IFERROR(__xludf.DUMMYFUNCTION("""COMPUTED_VALUE"""),"SUB YUNUS POS")</f>
        <v>SUB YUNUS POS</v>
      </c>
      <c r="AF489" s="80" t="str">
        <f>IFERROR(__xludf.DUMMYFUNCTION("""COMPUTED_VALUE"""),"085778020848")</f>
        <v>085778020848</v>
      </c>
      <c r="AG489" s="80"/>
      <c r="AH489" s="80" t="str">
        <f>IFERROR(__xludf.DUMMYFUNCTION("""COMPUTED_VALUE"""),"amosmanik88@gmail.com")</f>
        <v>amosmanik88@gmail.com</v>
      </c>
      <c r="AI489" s="80" t="str">
        <f>IFERROR(__xludf.DUMMYFUNCTION("""COMPUTED_VALUE"""),"17168S4")</f>
        <v>17168S4</v>
      </c>
      <c r="AJ489" s="80" t="str">
        <f>IFERROR(__xludf.DUMMYFUNCTION("""COMPUTED_VALUE"""),"68492cc27c15de6e8b0c10f8")</f>
        <v>68492cc27c15de6e8b0c10f8</v>
      </c>
      <c r="AK489" s="80" t="str">
        <f>IFERROR(__xludf.DUMMYFUNCTION("""COMPUTED_VALUE"""),"dm17168s4")</f>
        <v>dm17168s4</v>
      </c>
      <c r="AL489" s="80" t="str">
        <f>IFERROR(__xludf.DUMMYFUNCTION("""COMPUTED_VALUE"""),"#17168Pos")</f>
        <v>#17168Pos</v>
      </c>
      <c r="AM489" s="80" t="str">
        <f>IFERROR(__xludf.DUMMYFUNCTION("""COMPUTED_VALUE"""),"KANTOR REGIONAL II JAKARTA 10004")</f>
        <v>KANTOR REGIONAL II JAKARTA 10004</v>
      </c>
      <c r="AN489" s="80" t="str">
        <f>IFERROR(__xludf.DUMMYFUNCTION("""COMPUTED_VALUE"""),"KCU BEKASI 17000")</f>
        <v>KCU BEKASI 17000</v>
      </c>
      <c r="AO489" s="80" t="str">
        <f>IFERROR(__xludf.DUMMYFUNCTION("""COMPUTED_VALUE"""),"1405250119942")</f>
        <v>1405250119942</v>
      </c>
      <c r="AP489" s="80" t="str">
        <f>IFERROR(__xludf.DUMMYFUNCTION("""COMPUTED_VALUE"""),"14052501199420001")</f>
        <v>14052501199420001</v>
      </c>
      <c r="AQ489" s="83"/>
      <c r="AR489" s="80"/>
      <c r="AS489" s="80"/>
      <c r="AT489" s="80" t="str">
        <f>IFERROR(__xludf.DUMMYFUNCTION("""COMPUTED_VALUE"""),"-6.283588 ")</f>
        <v>-6.283588 </v>
      </c>
      <c r="AU489" s="80" t="str">
        <f>IFERROR(__xludf.DUMMYFUNCTION("""COMPUTED_VALUE"""),"107.026769")</f>
        <v>107.026769</v>
      </c>
      <c r="AV489" s="80"/>
      <c r="AW489" s="80"/>
      <c r="AX489" s="80" t="str">
        <f>IFERROR(__xludf.DUMMYFUNCTION("""COMPUTED_VALUE"""),"h")</f>
        <v>h</v>
      </c>
      <c r="AY489" s="80"/>
      <c r="AZ489" s="80"/>
      <c r="BA489" s="80"/>
      <c r="BB489" s="80"/>
      <c r="BC489" s="80"/>
      <c r="BD489" s="80"/>
      <c r="BE489" s="80"/>
      <c r="BF489" s="80"/>
      <c r="BG489" s="80"/>
      <c r="BH489" s="80"/>
      <c r="BI489" s="80"/>
      <c r="BJ489" s="80"/>
      <c r="BK489" s="80"/>
      <c r="BL489" s="80"/>
      <c r="BM489" s="80"/>
      <c r="BN489" s="80"/>
      <c r="BO489" s="80"/>
      <c r="BP489" s="80"/>
      <c r="BQ489" s="80"/>
      <c r="BR489" s="80"/>
      <c r="BS489" s="80"/>
      <c r="BT489" s="80"/>
      <c r="BU489" s="80"/>
      <c r="BV489" s="80"/>
      <c r="BW489" s="80"/>
      <c r="BX489" s="80"/>
      <c r="BY489" s="80"/>
      <c r="BZ489" s="80"/>
      <c r="CA489" s="80"/>
      <c r="CB489" s="80"/>
      <c r="CC489" s="80"/>
      <c r="CD489" s="80"/>
      <c r="CE489" s="80"/>
      <c r="CF489" s="80"/>
      <c r="CG489" s="80"/>
      <c r="CH489" s="80"/>
      <c r="CI489" s="80"/>
      <c r="CJ489" s="80"/>
      <c r="CK489" s="2"/>
    </row>
    <row r="490" ht="12.75" customHeight="1">
      <c r="A490" s="85">
        <f>IFERROR(__xludf.DUMMYFUNCTION("""COMPUTED_VALUE"""),487.0)</f>
        <v>487</v>
      </c>
      <c r="B490" s="85"/>
      <c r="C490" s="85"/>
      <c r="D490" s="86">
        <f>IFERROR(__xludf.DUMMYFUNCTION("""COMPUTED_VALUE"""),45796.0)</f>
        <v>45796</v>
      </c>
      <c r="E490" s="88"/>
      <c r="F490" s="85"/>
      <c r="G490" s="86">
        <f>IFERROR(__xludf.DUMMYFUNCTION("""COMPUTED_VALUE"""),45819.0)</f>
        <v>45819</v>
      </c>
      <c r="H490" s="85"/>
      <c r="I490" s="85"/>
      <c r="J490" s="85"/>
      <c r="K490" s="85"/>
      <c r="L490" s="85">
        <f>IFERROR(__xludf.DUMMYFUNCTION("""COMPUTED_VALUE"""),23.0)</f>
        <v>23</v>
      </c>
      <c r="M490" s="85" t="str">
        <f>IFERROR(__xludf.DUMMYFUNCTION("""COMPUTED_VALUE"""),"ü")</f>
        <v>ü</v>
      </c>
      <c r="N490" s="85"/>
      <c r="O490" s="85"/>
      <c r="P490" s="85" t="str">
        <f>IFERROR(__xludf.DUMMYFUNCTION("""COMPUTED_VALUE"""),"53BSPA09503JBEEN")</f>
        <v>53BSPA09503JBEEN</v>
      </c>
      <c r="Q490" s="85" t="str">
        <f>IFERROR(__xludf.DUMMYFUNCTION("""COMPUTED_VALUE"""),"MUC Post Arifa Laskar Dalam")</f>
        <v>MUC Post Arifa Laskar Dalam</v>
      </c>
      <c r="R490" s="85" t="str">
        <f>IFERROR(__xludf.DUMMYFUNCTION("""COMPUTED_VALUE"""),"MUC Post Arifa Laskar Dalam")</f>
        <v>MUC Post Arifa Laskar Dalam</v>
      </c>
      <c r="S490" s="85" t="str">
        <f>IFERROR(__xludf.DUMMYFUNCTION("""COMPUTED_VALUE"""),"ANDRI PURNOMO")</f>
        <v>ANDRI PURNOMO</v>
      </c>
      <c r="T490" s="85" t="str">
        <f>IFERROR(__xludf.DUMMYFUNCTION("""COMPUTED_VALUE"""),"PERUM PEMDA JL. SEMAR I/06 RT.005/001 JATIASIH, JATIASIH KOTA BEKASI")</f>
        <v>PERUM PEMDA JL. SEMAR I/06 RT.005/001 JATIASIH, JATIASIH KOTA BEKASI</v>
      </c>
      <c r="U490" s="85" t="str">
        <f>IFERROR(__xludf.DUMMYFUNCTION("""COMPUTED_VALUE"""),"Jl. Laskar Raya Dalam,RT.005/RW.002")</f>
        <v>Jl. Laskar Raya Dalam,RT.005/RW.002</v>
      </c>
      <c r="V490" s="85"/>
      <c r="W490" s="85" t="str">
        <f>IFERROR(__xludf.DUMMYFUNCTION("""COMPUTED_VALUE"""),"Pekayonjaya")</f>
        <v>Pekayonjaya</v>
      </c>
      <c r="X490" s="85" t="str">
        <f>IFERROR(__xludf.DUMMYFUNCTION("""COMPUTED_VALUE"""),"Bekasi Selatan")</f>
        <v>Bekasi Selatan</v>
      </c>
      <c r="Y490" s="85" t="str">
        <f>IFERROR(__xludf.DUMMYFUNCTION("""COMPUTED_VALUE"""),"Kota Bekasi")</f>
        <v>Kota Bekasi</v>
      </c>
      <c r="Z490" s="85" t="str">
        <f>IFERROR(__xludf.DUMMYFUNCTION("""COMPUTED_VALUE"""),"Jawa Barat")</f>
        <v>Jawa Barat</v>
      </c>
      <c r="AA490" s="85" t="str">
        <f>IFERROR(__xludf.DUMMYFUNCTION("""COMPUTED_VALUE"""),"17148")</f>
        <v>17148</v>
      </c>
      <c r="AB490" s="85" t="str">
        <f>IFERROR(__xludf.DUMMYFUNCTION("""COMPUTED_VALUE"""),"3275092004700014")</f>
        <v>3275092004700014</v>
      </c>
      <c r="AC490" s="85" t="str">
        <f>IFERROR(__xludf.DUMMYFUNCTION("""COMPUTED_VALUE"""),"48.708.927.8-432.000")</f>
        <v>48.708.927.8-432.000</v>
      </c>
      <c r="AD490" s="85" t="str">
        <f>IFERROR(__xludf.DUMMYFUNCTION("""COMPUTED_VALUE"""),"CUM - EEN")</f>
        <v>CUM - EEN</v>
      </c>
      <c r="AE490" s="85" t="str">
        <f>IFERROR(__xludf.DUMMYFUNCTION("""COMPUTED_VALUE"""),"SUB EEN")</f>
        <v>SUB EEN</v>
      </c>
      <c r="AF490" s="85" t="str">
        <f>IFERROR(__xludf.DUMMYFUNCTION("""COMPUTED_VALUE"""),"085754972717")</f>
        <v>085754972717</v>
      </c>
      <c r="AG490" s="85"/>
      <c r="AH490" s="85" t="str">
        <f>IFERROR(__xludf.DUMMYFUNCTION("""COMPUTED_VALUE"""),"arifalaskardalam@gmail.com")</f>
        <v>arifalaskardalam@gmail.com</v>
      </c>
      <c r="AI490" s="85" t="str">
        <f>IFERROR(__xludf.DUMMYFUNCTION("""COMPUTED_VALUE"""),"17148S4")</f>
        <v>17148S4</v>
      </c>
      <c r="AJ490" s="85" t="str">
        <f>IFERROR(__xludf.DUMMYFUNCTION("""COMPUTED_VALUE"""),"68493250e2c8090baf048701")</f>
        <v>68493250e2c8090baf048701</v>
      </c>
      <c r="AK490" s="85" t="str">
        <f>IFERROR(__xludf.DUMMYFUNCTION("""COMPUTED_VALUE"""),"dm17148s4")</f>
        <v>dm17148s4</v>
      </c>
      <c r="AL490" s="85" t="str">
        <f>IFERROR(__xludf.DUMMYFUNCTION("""COMPUTED_VALUE"""),"#17148Pos")</f>
        <v>#17148Pos</v>
      </c>
      <c r="AM490" s="85" t="str">
        <f>IFERROR(__xludf.DUMMYFUNCTION("""COMPUTED_VALUE"""),"KANTOR REGIONAL II JAKARTA 10004")</f>
        <v>KANTOR REGIONAL II JAKARTA 10004</v>
      </c>
      <c r="AN490" s="85" t="str">
        <f>IFERROR(__xludf.DUMMYFUNCTION("""COMPUTED_VALUE"""),"KCU BEKASI 17000")</f>
        <v>KCU BEKASI 17000</v>
      </c>
      <c r="AO490" s="85" t="str">
        <f>IFERROR(__xludf.DUMMYFUNCTION("""COMPUTED_VALUE"""),"2904250037213")</f>
        <v>2904250037213</v>
      </c>
      <c r="AP490" s="85" t="str">
        <f>IFERROR(__xludf.DUMMYFUNCTION("""COMPUTED_VALUE"""),"29042500372130002")</f>
        <v>29042500372130002</v>
      </c>
      <c r="AQ490" s="93"/>
      <c r="AR490" s="85"/>
      <c r="AS490" s="85"/>
      <c r="AT490" s="85" t="str">
        <f>IFERROR(__xludf.DUMMYFUNCTION("""COMPUTED_VALUE"""),"-6.253113")</f>
        <v>-6.253113</v>
      </c>
      <c r="AU490" s="85" t="str">
        <f>IFERROR(__xludf.DUMMYFUNCTION("""COMPUTED_VALUE"""),"-6.253113")</f>
        <v>-6.253113</v>
      </c>
      <c r="AV490" s="85"/>
      <c r="AW490" s="85"/>
      <c r="AX490" s="85" t="str">
        <f>IFERROR(__xludf.DUMMYFUNCTION("""COMPUTED_VALUE"""),"h")</f>
        <v>h</v>
      </c>
      <c r="AY490" s="85"/>
      <c r="AZ490" s="85"/>
      <c r="BA490" s="85"/>
      <c r="BB490" s="85"/>
      <c r="BC490" s="85"/>
      <c r="BD490" s="85"/>
      <c r="BE490" s="85"/>
      <c r="BF490" s="85"/>
      <c r="BG490" s="85"/>
      <c r="BH490" s="85"/>
      <c r="BI490" s="85"/>
      <c r="BJ490" s="85"/>
      <c r="BK490" s="85"/>
      <c r="BL490" s="85"/>
      <c r="BM490" s="85"/>
      <c r="BN490" s="85"/>
      <c r="BO490" s="85"/>
      <c r="BP490" s="85"/>
      <c r="BQ490" s="85"/>
      <c r="BR490" s="85"/>
      <c r="BS490" s="85"/>
      <c r="BT490" s="85"/>
      <c r="BU490" s="85"/>
      <c r="BV490" s="85"/>
      <c r="BW490" s="85"/>
      <c r="BX490" s="85"/>
      <c r="BY490" s="85"/>
      <c r="BZ490" s="85" t="str">
        <f>IFERROR(__xludf.DUMMYFUNCTION("""COMPUTED_VALUE"""),"SPX")</f>
        <v>SPX</v>
      </c>
      <c r="CA490" s="85" t="str">
        <f>IFERROR(__xludf.DUMMYFUNCTION("""COMPUTED_VALUE"""),"LION PARCEL")</f>
        <v>LION PARCEL</v>
      </c>
      <c r="CB490" s="85" t="str">
        <f>IFERROR(__xludf.DUMMYFUNCTION("""COMPUTED_VALUE"""),"WAHANA")</f>
        <v>WAHANA</v>
      </c>
      <c r="CC490" s="85"/>
      <c r="CD490" s="85"/>
      <c r="CE490" s="85"/>
      <c r="CF490" s="85"/>
      <c r="CG490" s="85"/>
      <c r="CH490" s="85"/>
      <c r="CI490" s="85"/>
      <c r="CJ490" s="85"/>
      <c r="CK490" s="2"/>
    </row>
    <row r="491" ht="12.75" customHeight="1">
      <c r="A491" s="80">
        <f>IFERROR(__xludf.DUMMYFUNCTION("""COMPUTED_VALUE"""),488.0)</f>
        <v>488</v>
      </c>
      <c r="B491" s="80"/>
      <c r="C491" s="80"/>
      <c r="D491" s="81">
        <f>IFERROR(__xludf.DUMMYFUNCTION("""COMPUTED_VALUE"""),45796.0)</f>
        <v>45796</v>
      </c>
      <c r="E491" s="82"/>
      <c r="F491" s="80"/>
      <c r="G491" s="81">
        <f>IFERROR(__xludf.DUMMYFUNCTION("""COMPUTED_VALUE"""),45821.0)</f>
        <v>45821</v>
      </c>
      <c r="H491" s="80"/>
      <c r="I491" s="80"/>
      <c r="J491" s="80"/>
      <c r="K491" s="80"/>
      <c r="L491" s="80">
        <f>IFERROR(__xludf.DUMMYFUNCTION("""COMPUTED_VALUE"""),25.0)</f>
        <v>25</v>
      </c>
      <c r="M491" s="80" t="str">
        <f>IFERROR(__xludf.DUMMYFUNCTION("""COMPUTED_VALUE"""),"ü")</f>
        <v>ü</v>
      </c>
      <c r="N491" s="80"/>
      <c r="O491" s="80"/>
      <c r="P491" s="80" t="str">
        <f>IFERROR(__xludf.DUMMYFUNCTION("""COMPUTED_VALUE"""),"53BSPA06016JBHDT")</f>
        <v>53BSPA06016JBHDT</v>
      </c>
      <c r="Q491" s="80" t="str">
        <f>IFERROR(__xludf.DUMMYFUNCTION("""COMPUTED_VALUE"""),"MUC REI CELL")</f>
        <v>MUC REI CELL</v>
      </c>
      <c r="R491" s="80" t="str">
        <f>IFERROR(__xludf.DUMMYFUNCTION("""COMPUTED_VALUE"""),"MUC REI CELL")</f>
        <v>MUC REI CELL</v>
      </c>
      <c r="S491" s="80" t="str">
        <f>IFERROR(__xludf.DUMMYFUNCTION("""COMPUTED_VALUE"""),"DADAN WILDANI")</f>
        <v>DADAN WILDANI</v>
      </c>
      <c r="T491" s="80" t="str">
        <f>IFERROR(__xludf.DUMMYFUNCTION("""COMPUTED_VALUE"""),"KP MANGKIN NO 17 RT 02 RW 10 DESA BOJONGMANGGU KEC PAMEUNGPEUK KAB BANDUNG")</f>
        <v>KP MANGKIN NO 17 RT 02 RW 10 DESA BOJONGMANGGU KEC PAMEUNGPEUK KAB BANDUNG</v>
      </c>
      <c r="U491" s="80" t="str">
        <f>IFERROR(__xludf.DUMMYFUNCTION("""COMPUTED_VALUE"""),"Kp Patrol Rt.03 Rw.06")</f>
        <v>Kp Patrol Rt.03 Rw.06</v>
      </c>
      <c r="V491" s="80"/>
      <c r="W491" s="80" t="str">
        <f>IFERROR(__xludf.DUMMYFUNCTION("""COMPUTED_VALUE"""),"Lebakwangi")</f>
        <v>Lebakwangi</v>
      </c>
      <c r="X491" s="80" t="str">
        <f>IFERROR(__xludf.DUMMYFUNCTION("""COMPUTED_VALUE"""),"Arjasari")</f>
        <v>Arjasari</v>
      </c>
      <c r="Y491" s="80" t="str">
        <f>IFERROR(__xludf.DUMMYFUNCTION("""COMPUTED_VALUE"""),"Kab. Bandung")</f>
        <v>Kab. Bandung</v>
      </c>
      <c r="Z491" s="80" t="str">
        <f>IFERROR(__xludf.DUMMYFUNCTION("""COMPUTED_VALUE"""),"Jawa Barat")</f>
        <v>Jawa Barat</v>
      </c>
      <c r="AA491" s="80" t="str">
        <f>IFERROR(__xludf.DUMMYFUNCTION("""COMPUTED_VALUE"""),"40379")</f>
        <v>40379</v>
      </c>
      <c r="AB491" s="80" t="str">
        <f>IFERROR(__xludf.DUMMYFUNCTION("""COMPUTED_VALUE"""),"3204160311900004")</f>
        <v>3204160311900004</v>
      </c>
      <c r="AC491" s="80" t="str">
        <f>IFERROR(__xludf.DUMMYFUNCTION("""COMPUTED_VALUE"""),"25.875.206.2-445-000")</f>
        <v>25.875.206.2-445-000</v>
      </c>
      <c r="AD491" s="80" t="str">
        <f>IFERROR(__xludf.DUMMYFUNCTION("""COMPUTED_VALUE"""),"CUM - HDT")</f>
        <v>CUM - HDT</v>
      </c>
      <c r="AE491" s="80" t="str">
        <f>IFERROR(__xludf.DUMMYFUNCTION("""COMPUTED_VALUE"""),"SUB HDT")</f>
        <v>SUB HDT</v>
      </c>
      <c r="AF491" s="80" t="str">
        <f>IFERROR(__xludf.DUMMYFUNCTION("""COMPUTED_VALUE"""),"082126799102")</f>
        <v>082126799102</v>
      </c>
      <c r="AG491" s="80"/>
      <c r="AH491" s="80" t="str">
        <f>IFERROR(__xludf.DUMMYFUNCTION("""COMPUTED_VALUE"""),"DADAN.WILDANI90@GMAIL.COM")</f>
        <v>DADAN.WILDANI90@GMAIL.COM</v>
      </c>
      <c r="AI491" s="80" t="str">
        <f>IFERROR(__xludf.DUMMYFUNCTION("""COMPUTED_VALUE"""),"40379S6")</f>
        <v>40379S6</v>
      </c>
      <c r="AJ491" s="80" t="str">
        <f>IFERROR(__xludf.DUMMYFUNCTION("""COMPUTED_VALUE"""),"684ba2e2035787a68f0b31da")</f>
        <v>684ba2e2035787a68f0b31da</v>
      </c>
      <c r="AK491" s="80" t="str">
        <f>IFERROR(__xludf.DUMMYFUNCTION("""COMPUTED_VALUE"""),"dm40379s6")</f>
        <v>dm40379s6</v>
      </c>
      <c r="AL491" s="80" t="str">
        <f>IFERROR(__xludf.DUMMYFUNCTION("""COMPUTED_VALUE"""),"#40379Pos")</f>
        <v>#40379Pos</v>
      </c>
      <c r="AM491" s="80" t="str">
        <f>IFERROR(__xludf.DUMMYFUNCTION("""COMPUTED_VALUE"""),"KANTOR REGIONAL III BANDUNG 40004")</f>
        <v>KANTOR REGIONAL III BANDUNG 40004</v>
      </c>
      <c r="AN491" s="80" t="str">
        <f>IFERROR(__xludf.DUMMYFUNCTION("""COMPUTED_VALUE"""),"KC SOREANG 40900")</f>
        <v>KC SOREANG 40900</v>
      </c>
      <c r="AO491" s="80" t="str">
        <f>IFERROR(__xludf.DUMMYFUNCTION("""COMPUTED_VALUE"""),"1307220020879")</f>
        <v>1307220020879</v>
      </c>
      <c r="AP491" s="80" t="str">
        <f>IFERROR(__xludf.DUMMYFUNCTION("""COMPUTED_VALUE"""),"13072200208790001")</f>
        <v>13072200208790001</v>
      </c>
      <c r="AQ491" s="83"/>
      <c r="AR491" s="80"/>
      <c r="AS491" s="80"/>
      <c r="AT491" s="80" t="str">
        <f>IFERROR(__xludf.DUMMYFUNCTION("""COMPUTED_VALUE"""),"-7.049239")</f>
        <v>-7.049239</v>
      </c>
      <c r="AU491" s="80" t="str">
        <f>IFERROR(__xludf.DUMMYFUNCTION("""COMPUTED_VALUE"""),"107.618423")</f>
        <v>107.618423</v>
      </c>
      <c r="AV491" s="80"/>
      <c r="AW491" s="80"/>
      <c r="AX491" s="80" t="str">
        <f>IFERROR(__xludf.DUMMYFUNCTION("""COMPUTED_VALUE"""),"h")</f>
        <v>h</v>
      </c>
      <c r="AY491" s="80"/>
      <c r="AZ491" s="80"/>
      <c r="BA491" s="80"/>
      <c r="BB491" s="80"/>
      <c r="BC491" s="80"/>
      <c r="BD491" s="80"/>
      <c r="BE491" s="80"/>
      <c r="BF491" s="80"/>
      <c r="BG491" s="80"/>
      <c r="BH491" s="80"/>
      <c r="BI491" s="80"/>
      <c r="BJ491" s="80"/>
      <c r="BK491" s="80"/>
      <c r="BL491" s="80"/>
      <c r="BM491" s="80"/>
      <c r="BN491" s="80"/>
      <c r="BO491" s="80"/>
      <c r="BP491" s="80"/>
      <c r="BQ491" s="80"/>
      <c r="BR491" s="80"/>
      <c r="BS491" s="80"/>
      <c r="BT491" s="80"/>
      <c r="BU491" s="80"/>
      <c r="BV491" s="80"/>
      <c r="BW491" s="80"/>
      <c r="BX491" s="80" t="str">
        <f>IFERROR(__xludf.DUMMYFUNCTION("""COMPUTED_VALUE"""),"NEWBIE, BRI LINK")</f>
        <v>NEWBIE, BRI LINK</v>
      </c>
      <c r="BY491" s="80"/>
      <c r="BZ491" s="80"/>
      <c r="CA491" s="80"/>
      <c r="CB491" s="80"/>
      <c r="CC491" s="80"/>
      <c r="CD491" s="80"/>
      <c r="CE491" s="80"/>
      <c r="CF491" s="80"/>
      <c r="CG491" s="80"/>
      <c r="CH491" s="80"/>
      <c r="CI491" s="80"/>
      <c r="CJ491" s="80"/>
      <c r="CK491" s="2"/>
    </row>
    <row r="492" ht="12.75" customHeight="1">
      <c r="A492" s="85">
        <f>IFERROR(__xludf.DUMMYFUNCTION("""COMPUTED_VALUE"""),489.0)</f>
        <v>489</v>
      </c>
      <c r="B492" s="85"/>
      <c r="C492" s="85"/>
      <c r="D492" s="86">
        <f>IFERROR(__xludf.DUMMYFUNCTION("""COMPUTED_VALUE"""),45797.0)</f>
        <v>45797</v>
      </c>
      <c r="E492" s="88"/>
      <c r="F492" s="85"/>
      <c r="G492" s="86">
        <f>IFERROR(__xludf.DUMMYFUNCTION("""COMPUTED_VALUE"""),45835.0)</f>
        <v>45835</v>
      </c>
      <c r="H492" s="85"/>
      <c r="I492" s="85"/>
      <c r="J492" s="85"/>
      <c r="K492" s="85"/>
      <c r="L492" s="85">
        <f>IFERROR(__xludf.DUMMYFUNCTION("""COMPUTED_VALUE"""),38.0)</f>
        <v>38</v>
      </c>
      <c r="M492" s="85" t="str">
        <f>IFERROR(__xludf.DUMMYFUNCTION("""COMPUTED_VALUE"""),"ü")</f>
        <v>ü</v>
      </c>
      <c r="N492" s="85"/>
      <c r="O492" s="85"/>
      <c r="P492" s="85" t="str">
        <f>IFERROR(__xludf.DUMMYFUNCTION("""COMPUTED_VALUE"""),"MUCSPA63137PSIND")</f>
        <v>MUCSPA63137PSIND</v>
      </c>
      <c r="Q492" s="85" t="str">
        <f>IFERROR(__xludf.DUMMYFUNCTION("""COMPUTED_VALUE"""),"MUC Arcadia")</f>
        <v>MUC Arcadia</v>
      </c>
      <c r="R492" s="85" t="str">
        <f>IFERROR(__xludf.DUMMYFUNCTION("""COMPUTED_VALUE"""),"MUC Arcadia")</f>
        <v>MUC Arcadia</v>
      </c>
      <c r="S492" s="85" t="str">
        <f>IFERROR(__xludf.DUMMYFUNCTION("""COMPUTED_VALUE"""),"ADRIANSYAH.L")</f>
        <v>ADRIANSYAH.L</v>
      </c>
      <c r="T492" s="85" t="str">
        <f>IFERROR(__xludf.DUMMYFUNCTION("""COMPUTED_VALUE"""),"RUKO DAAN MOGOT PERMAI BLOK.E1/1")</f>
        <v>RUKO DAAN MOGOT PERMAI BLOK.E1/1</v>
      </c>
      <c r="U492" s="85" t="str">
        <f>IFERROR(__xludf.DUMMYFUNCTION("""COMPUTED_VALUE"""),"Ruko Daan Mogot Permai Blok E1 No.1")</f>
        <v>Ruko Daan Mogot Permai Blok E1 No.1</v>
      </c>
      <c r="V492" s="85"/>
      <c r="W492" s="85" t="str">
        <f>IFERROR(__xludf.DUMMYFUNCTION("""COMPUTED_VALUE"""),"Batuceper")</f>
        <v>Batuceper</v>
      </c>
      <c r="X492" s="85" t="str">
        <f>IFERROR(__xludf.DUMMYFUNCTION("""COMPUTED_VALUE"""),"Batuceper")</f>
        <v>Batuceper</v>
      </c>
      <c r="Y492" s="85" t="str">
        <f>IFERROR(__xludf.DUMMYFUNCTION("""COMPUTED_VALUE"""),"Kota Tangerang")</f>
        <v>Kota Tangerang</v>
      </c>
      <c r="Z492" s="85" t="str">
        <f>IFERROR(__xludf.DUMMYFUNCTION("""COMPUTED_VALUE"""),"Banten")</f>
        <v>Banten</v>
      </c>
      <c r="AA492" s="85" t="str">
        <f>IFERROR(__xludf.DUMMYFUNCTION("""COMPUTED_VALUE"""),"15122")</f>
        <v>15122</v>
      </c>
      <c r="AB492" s="85" t="str">
        <f>IFERROR(__xludf.DUMMYFUNCTION("""COMPUTED_VALUE"""),"3671032903800003")</f>
        <v>3671032903800003</v>
      </c>
      <c r="AC492" s="85" t="str">
        <f>IFERROR(__xludf.DUMMYFUNCTION("""COMPUTED_VALUE"""),"24.919.077.8-416.000")</f>
        <v>24.919.077.8-416.000</v>
      </c>
      <c r="AD492" s="85" t="str">
        <f>IFERROR(__xludf.DUMMYFUNCTION("""COMPUTED_VALUE"""),"CUM - PS - DWIH")</f>
        <v>CUM - PS - DWIH</v>
      </c>
      <c r="AE492" s="85" t="str">
        <f>IFERROR(__xludf.DUMMYFUNCTION("""COMPUTED_VALUE"""),"SUB DWI HARTANTO POS")</f>
        <v>SUB DWI HARTANTO POS</v>
      </c>
      <c r="AF492" s="85" t="str">
        <f>IFERROR(__xludf.DUMMYFUNCTION("""COMPUTED_VALUE"""),"08558558088")</f>
        <v>08558558088</v>
      </c>
      <c r="AG492" s="85"/>
      <c r="AH492" s="85" t="str">
        <f>IFERROR(__xludf.DUMMYFUNCTION("""COMPUTED_VALUE"""),"pos@jelajah.com")</f>
        <v>pos@jelajah.com</v>
      </c>
      <c r="AI492" s="85" t="str">
        <f>IFERROR(__xludf.DUMMYFUNCTION("""COMPUTED_VALUE"""),"15122S3")</f>
        <v>15122S3</v>
      </c>
      <c r="AJ492" s="85" t="str">
        <f>IFERROR(__xludf.DUMMYFUNCTION("""COMPUTED_VALUE"""),"685e9ae569ba8006bd0f4a12")</f>
        <v>685e9ae569ba8006bd0f4a12</v>
      </c>
      <c r="AK492" s="85" t="str">
        <f>IFERROR(__xludf.DUMMYFUNCTION("""COMPUTED_VALUE"""),"dm15122s3")</f>
        <v>dm15122s3</v>
      </c>
      <c r="AL492" s="85" t="str">
        <f>IFERROR(__xludf.DUMMYFUNCTION("""COMPUTED_VALUE"""),"#15122Pos")</f>
        <v>#15122Pos</v>
      </c>
      <c r="AM492" s="85" t="str">
        <f>IFERROR(__xludf.DUMMYFUNCTION("""COMPUTED_VALUE"""),"KANTOR REGIONAL II JAKARTA 10004")</f>
        <v>KANTOR REGIONAL II JAKARTA 10004</v>
      </c>
      <c r="AN492" s="85" t="str">
        <f>IFERROR(__xludf.DUMMYFUNCTION("""COMPUTED_VALUE"""),"KCU TANGERANG 15000")</f>
        <v>KCU TANGERANG 15000</v>
      </c>
      <c r="AO492" s="85" t="str">
        <f>IFERROR(__xludf.DUMMYFUNCTION("""COMPUTED_VALUE"""),"0220207192182")</f>
        <v>0220207192182</v>
      </c>
      <c r="AP492" s="85" t="str">
        <f>IFERROR(__xludf.DUMMYFUNCTION("""COMPUTED_VALUE"""),"02202071921820001")</f>
        <v>02202071921820001</v>
      </c>
      <c r="AQ492" s="93"/>
      <c r="AR492" s="85"/>
      <c r="AS492" s="85"/>
      <c r="AT492" s="85" t="str">
        <f>IFERROR(__xludf.DUMMYFUNCTION("""COMPUTED_VALUE"""),"-6.161831")</f>
        <v>-6.161831</v>
      </c>
      <c r="AU492" s="85" t="str">
        <f>IFERROR(__xludf.DUMMYFUNCTION("""COMPUTED_VALUE"""),"106.664426")</f>
        <v>106.664426</v>
      </c>
      <c r="AV492" s="85"/>
      <c r="AW492" s="85"/>
      <c r="AX492" s="85" t="str">
        <f>IFERROR(__xludf.DUMMYFUNCTION("""COMPUTED_VALUE"""),"h")</f>
        <v>h</v>
      </c>
      <c r="AY492" s="85"/>
      <c r="AZ492" s="85"/>
      <c r="BA492" s="85"/>
      <c r="BB492" s="85"/>
      <c r="BC492" s="85"/>
      <c r="BD492" s="85"/>
      <c r="BE492" s="85"/>
      <c r="BF492" s="85"/>
      <c r="BG492" s="85"/>
      <c r="BH492" s="85"/>
      <c r="BI492" s="85"/>
      <c r="BJ492" s="85"/>
      <c r="BK492" s="85"/>
      <c r="BL492" s="85"/>
      <c r="BM492" s="85"/>
      <c r="BN492" s="85"/>
      <c r="BO492" s="85"/>
      <c r="BP492" s="85"/>
      <c r="BQ492" s="85"/>
      <c r="BR492" s="85"/>
      <c r="BS492" s="85"/>
      <c r="BT492" s="85"/>
      <c r="BU492" s="85"/>
      <c r="BV492" s="85"/>
      <c r="BW492" s="85"/>
      <c r="BX492" s="85"/>
      <c r="BY492" s="85"/>
      <c r="BZ492" s="85"/>
      <c r="CA492" s="85"/>
      <c r="CB492" s="85"/>
      <c r="CC492" s="85"/>
      <c r="CD492" s="85" t="str">
        <f>IFERROR(__xludf.DUMMYFUNCTION("""COMPUTED_VALUE"""),"JNT EXPRESS")</f>
        <v>JNT EXPRESS</v>
      </c>
      <c r="CE492" s="85"/>
      <c r="CF492" s="85" t="str">
        <f>IFERROR(__xludf.DUMMYFUNCTION("""COMPUTED_VALUE"""),"JNE")</f>
        <v>JNE</v>
      </c>
      <c r="CG492" s="85"/>
      <c r="CH492" s="85"/>
      <c r="CI492" s="85"/>
      <c r="CJ492" s="85"/>
      <c r="CK492" s="2"/>
    </row>
    <row r="493" ht="12.75" customHeight="1">
      <c r="A493" s="80">
        <f>IFERROR(__xludf.DUMMYFUNCTION("""COMPUTED_VALUE"""),490.0)</f>
        <v>490</v>
      </c>
      <c r="B493" s="80"/>
      <c r="C493" s="80"/>
      <c r="D493" s="81">
        <f>IFERROR(__xludf.DUMMYFUNCTION("""COMPUTED_VALUE"""),45797.0)</f>
        <v>45797</v>
      </c>
      <c r="E493" s="82"/>
      <c r="F493" s="80"/>
      <c r="G493" s="81">
        <f>IFERROR(__xludf.DUMMYFUNCTION("""COMPUTED_VALUE"""),45819.0)</f>
        <v>45819</v>
      </c>
      <c r="H493" s="80"/>
      <c r="I493" s="80"/>
      <c r="J493" s="80"/>
      <c r="K493" s="80"/>
      <c r="L493" s="80">
        <f>IFERROR(__xludf.DUMMYFUNCTION("""COMPUTED_VALUE"""),22.0)</f>
        <v>22</v>
      </c>
      <c r="M493" s="80" t="str">
        <f>IFERROR(__xludf.DUMMYFUNCTION("""COMPUTED_VALUE"""),"ü")</f>
        <v>ü</v>
      </c>
      <c r="N493" s="80"/>
      <c r="O493" s="80"/>
      <c r="P493" s="80" t="str">
        <f>IFERROR(__xludf.DUMMYFUNCTION("""COMPUTED_VALUE"""),"53BSPA09504JBEEN")</f>
        <v>53BSPA09504JBEEN</v>
      </c>
      <c r="Q493" s="80" t="str">
        <f>IFERROR(__xludf.DUMMYFUNCTION("""COMPUTED_VALUE"""),"MUC ZDR Kayuringin ")</f>
        <v>MUC ZDR Kayuringin </v>
      </c>
      <c r="R493" s="80" t="str">
        <f>IFERROR(__xludf.DUMMYFUNCTION("""COMPUTED_VALUE"""),"MUC ZDR Kayuringin ")</f>
        <v>MUC ZDR Kayuringin </v>
      </c>
      <c r="S493" s="80" t="str">
        <f>IFERROR(__xludf.DUMMYFUNCTION("""COMPUTED_VALUE"""),"RAHMAT FERRY YANTO")</f>
        <v>RAHMAT FERRY YANTO</v>
      </c>
      <c r="T493" s="80" t="str">
        <f>IFERROR(__xludf.DUMMYFUNCTION("""COMPUTED_VALUE"""),"JL.P.FLORES 2 NO.81 RT.002/010 AREN JAYA BEKASI TIMUR KOTA BEKASI")</f>
        <v>JL.P.FLORES 2 NO.81 RT.002/010 AREN JAYA BEKASI TIMUR KOTA BEKASI</v>
      </c>
      <c r="U493" s="80" t="str">
        <f>IFERROR(__xludf.DUMMYFUNCTION("""COMPUTED_VALUE"""),"Jl Gabus 1 No 73b")</f>
        <v>Jl Gabus 1 No 73b</v>
      </c>
      <c r="V493" s="80"/>
      <c r="W493" s="80" t="str">
        <f>IFERROR(__xludf.DUMMYFUNCTION("""COMPUTED_VALUE"""),"Kayuringin Jaya")</f>
        <v>Kayuringin Jaya</v>
      </c>
      <c r="X493" s="80" t="str">
        <f>IFERROR(__xludf.DUMMYFUNCTION("""COMPUTED_VALUE"""),"Bekasi Selatan")</f>
        <v>Bekasi Selatan</v>
      </c>
      <c r="Y493" s="80" t="str">
        <f>IFERROR(__xludf.DUMMYFUNCTION("""COMPUTED_VALUE"""),"Kota Bekasi")</f>
        <v>Kota Bekasi</v>
      </c>
      <c r="Z493" s="80" t="str">
        <f>IFERROR(__xludf.DUMMYFUNCTION("""COMPUTED_VALUE"""),"Jawa Barat")</f>
        <v>Jawa Barat</v>
      </c>
      <c r="AA493" s="80" t="str">
        <f>IFERROR(__xludf.DUMMYFUNCTION("""COMPUTED_VALUE"""),"17144")</f>
        <v>17144</v>
      </c>
      <c r="AB493" s="80" t="str">
        <f>IFERROR(__xludf.DUMMYFUNCTION("""COMPUTED_VALUE"""),"3214010502880007")</f>
        <v>3214010502880007</v>
      </c>
      <c r="AC493" s="80" t="str">
        <f>IFERROR(__xludf.DUMMYFUNCTION("""COMPUTED_VALUE"""),"16.885.669.8-407.000")</f>
        <v>16.885.669.8-407.000</v>
      </c>
      <c r="AD493" s="80" t="str">
        <f>IFERROR(__xludf.DUMMYFUNCTION("""COMPUTED_VALUE"""),"CUM - EEN")</f>
        <v>CUM - EEN</v>
      </c>
      <c r="AE493" s="80" t="str">
        <f>IFERROR(__xludf.DUMMYFUNCTION("""COMPUTED_VALUE"""),"SUB EEN")</f>
        <v>SUB EEN</v>
      </c>
      <c r="AF493" s="80" t="str">
        <f>IFERROR(__xludf.DUMMYFUNCTION("""COMPUTED_VALUE"""),"08567900760")</f>
        <v>08567900760</v>
      </c>
      <c r="AG493" s="80"/>
      <c r="AH493" s="80" t="str">
        <f>IFERROR(__xludf.DUMMYFUNCTION("""COMPUTED_VALUE"""),"grouplogistic3@gmail.com")</f>
        <v>grouplogistic3@gmail.com</v>
      </c>
      <c r="AI493" s="80" t="str">
        <f>IFERROR(__xludf.DUMMYFUNCTION("""COMPUTED_VALUE"""),"17144S2")</f>
        <v>17144S2</v>
      </c>
      <c r="AJ493" s="80" t="str">
        <f>IFERROR(__xludf.DUMMYFUNCTION("""COMPUTED_VALUE"""),"68493567a6cd3bd6f80460d7")</f>
        <v>68493567a6cd3bd6f80460d7</v>
      </c>
      <c r="AK493" s="80" t="str">
        <f>IFERROR(__xludf.DUMMYFUNCTION("""COMPUTED_VALUE"""),"dm17144s2")</f>
        <v>dm17144s2</v>
      </c>
      <c r="AL493" s="80" t="str">
        <f>IFERROR(__xludf.DUMMYFUNCTION("""COMPUTED_VALUE"""),"#17144Pos")</f>
        <v>#17144Pos</v>
      </c>
      <c r="AM493" s="80" t="str">
        <f>IFERROR(__xludf.DUMMYFUNCTION("""COMPUTED_VALUE"""),"KANTOR REGIONAL II JAKARTA 10004")</f>
        <v>KANTOR REGIONAL II JAKARTA 10004</v>
      </c>
      <c r="AN493" s="80" t="str">
        <f>IFERROR(__xludf.DUMMYFUNCTION("""COMPUTED_VALUE"""),"KCU BEKASI 17000")</f>
        <v>KCU BEKASI 17000</v>
      </c>
      <c r="AO493" s="80" t="str">
        <f>IFERROR(__xludf.DUMMYFUNCTION("""COMPUTED_VALUE"""),"2005250074779")</f>
        <v>2005250074779</v>
      </c>
      <c r="AP493" s="80" t="str">
        <f>IFERROR(__xludf.DUMMYFUNCTION("""COMPUTED_VALUE"""),"20052500747790001")</f>
        <v>20052500747790001</v>
      </c>
      <c r="AQ493" s="83"/>
      <c r="AR493" s="80"/>
      <c r="AS493" s="80"/>
      <c r="AT493" s="80" t="str">
        <f>IFERROR(__xludf.DUMMYFUNCTION("""COMPUTED_VALUE"""),"-6.246645")</f>
        <v>-6.246645</v>
      </c>
      <c r="AU493" s="80" t="str">
        <f>IFERROR(__xludf.DUMMYFUNCTION("""COMPUTED_VALUE"""),"106.986423")</f>
        <v>106.986423</v>
      </c>
      <c r="AV493" s="80"/>
      <c r="AW493" s="80"/>
      <c r="AX493" s="80" t="str">
        <f>IFERROR(__xludf.DUMMYFUNCTION("""COMPUTED_VALUE"""),"h")</f>
        <v>h</v>
      </c>
      <c r="AY493" s="80"/>
      <c r="AZ493" s="80"/>
      <c r="BA493" s="80"/>
      <c r="BB493" s="80"/>
      <c r="BC493" s="80"/>
      <c r="BD493" s="80"/>
      <c r="BE493" s="80"/>
      <c r="BF493" s="80"/>
      <c r="BG493" s="80"/>
      <c r="BH493" s="80"/>
      <c r="BI493" s="80"/>
      <c r="BJ493" s="80"/>
      <c r="BK493" s="80"/>
      <c r="BL493" s="80"/>
      <c r="BM493" s="80"/>
      <c r="BN493" s="80"/>
      <c r="BO493" s="80"/>
      <c r="BP493" s="80"/>
      <c r="BQ493" s="80"/>
      <c r="BR493" s="80"/>
      <c r="BS493" s="80"/>
      <c r="BT493" s="80"/>
      <c r="BU493" s="80"/>
      <c r="BV493" s="80"/>
      <c r="BW493" s="80"/>
      <c r="BX493" s="80"/>
      <c r="BY493" s="80"/>
      <c r="BZ493" s="80"/>
      <c r="CA493" s="80"/>
      <c r="CB493" s="80"/>
      <c r="CC493" s="80" t="str">
        <f>IFERROR(__xludf.DUMMYFUNCTION("""COMPUTED_VALUE"""),"JNT CARGO")</f>
        <v>JNT CARGO</v>
      </c>
      <c r="CD493" s="80" t="str">
        <f>IFERROR(__xludf.DUMMYFUNCTION("""COMPUTED_VALUE"""),"JNT EXPRESS")</f>
        <v>JNT EXPRESS</v>
      </c>
      <c r="CE493" s="80"/>
      <c r="CF493" s="80"/>
      <c r="CG493" s="80"/>
      <c r="CH493" s="80"/>
      <c r="CI493" s="80"/>
      <c r="CJ493" s="80"/>
      <c r="CK493" s="2"/>
    </row>
    <row r="494" ht="12.75" customHeight="1">
      <c r="A494" s="85">
        <f>IFERROR(__xludf.DUMMYFUNCTION("""COMPUTED_VALUE"""),491.0)</f>
        <v>491</v>
      </c>
      <c r="B494" s="85"/>
      <c r="C494" s="85"/>
      <c r="D494" s="86">
        <f>IFERROR(__xludf.DUMMYFUNCTION("""COMPUTED_VALUE"""),45800.0)</f>
        <v>45800</v>
      </c>
      <c r="E494" s="88"/>
      <c r="F494" s="85"/>
      <c r="G494" s="86">
        <f>IFERROR(__xludf.DUMMYFUNCTION("""COMPUTED_VALUE"""),45817.0)</f>
        <v>45817</v>
      </c>
      <c r="H494" s="85"/>
      <c r="I494" s="85"/>
      <c r="J494" s="85"/>
      <c r="K494" s="85"/>
      <c r="L494" s="85">
        <f>IFERROR(__xludf.DUMMYFUNCTION("""COMPUTED_VALUE"""),17.0)</f>
        <v>17</v>
      </c>
      <c r="M494" s="85" t="str">
        <f>IFERROR(__xludf.DUMMYFUNCTION("""COMPUTED_VALUE"""),"ü")</f>
        <v>ü</v>
      </c>
      <c r="N494" s="85"/>
      <c r="O494" s="85"/>
      <c r="P494" s="85" t="str">
        <f>IFERROR(__xludf.DUMMYFUNCTION("""COMPUTED_VALUE"""),"MUCSPA63138PSIND")</f>
        <v>MUCSPA63138PSIND</v>
      </c>
      <c r="Q494" s="85" t="str">
        <f>IFERROR(__xludf.DUMMYFUNCTION("""COMPUTED_VALUE"""),"MUC Godeg Trans Logistik")</f>
        <v>MUC Godeg Trans Logistik</v>
      </c>
      <c r="R494" s="85" t="str">
        <f>IFERROR(__xludf.DUMMYFUNCTION("""COMPUTED_VALUE"""),"MUC Godeg Trans Logistik")</f>
        <v>MUC Godeg Trans Logistik</v>
      </c>
      <c r="S494" s="85" t="str">
        <f>IFERROR(__xludf.DUMMYFUNCTION("""COMPUTED_VALUE"""),"Muhammad iqbal fauzi")</f>
        <v>Muhammad iqbal fauzi</v>
      </c>
      <c r="T494" s="85" t="str">
        <f>IFERROR(__xludf.DUMMYFUNCTION("""COMPUTED_VALUE"""),"kp.babakan jati rt002/001 ds.jagabaya kec.cimaung kab.bandung")</f>
        <v>kp.babakan jati rt002/001 ds.jagabaya kec.cimaung kab.bandung</v>
      </c>
      <c r="U494" s="85" t="str">
        <f>IFERROR(__xludf.DUMMYFUNCTION("""COMPUTED_VALUE"""),"Kp.Babakan Jati")</f>
        <v>Kp.Babakan Jati</v>
      </c>
      <c r="V494" s="85"/>
      <c r="W494" s="85" t="str">
        <f>IFERROR(__xludf.DUMMYFUNCTION("""COMPUTED_VALUE"""),"Jagabaya")</f>
        <v>Jagabaya</v>
      </c>
      <c r="X494" s="85" t="str">
        <f>IFERROR(__xludf.DUMMYFUNCTION("""COMPUTED_VALUE"""),"Cimaung")</f>
        <v>Cimaung</v>
      </c>
      <c r="Y494" s="85" t="str">
        <f>IFERROR(__xludf.DUMMYFUNCTION("""COMPUTED_VALUE"""),"Kab. Bandung")</f>
        <v>Kab. Bandung</v>
      </c>
      <c r="Z494" s="85" t="str">
        <f>IFERROR(__xludf.DUMMYFUNCTION("""COMPUTED_VALUE"""),"Jawa Barat")</f>
        <v>Jawa Barat</v>
      </c>
      <c r="AA494" s="85" t="str">
        <f>IFERROR(__xludf.DUMMYFUNCTION("""COMPUTED_VALUE"""),"40374")</f>
        <v>40374</v>
      </c>
      <c r="AB494" s="85" t="str">
        <f>IFERROR(__xludf.DUMMYFUNCTION("""COMPUTED_VALUE"""),"3204440107990004")</f>
        <v>3204440107990004</v>
      </c>
      <c r="AC494" s="85" t="str">
        <f>IFERROR(__xludf.DUMMYFUNCTION("""COMPUTED_VALUE"""),"90.581.467.9-445.000")</f>
        <v>90.581.467.9-445.000</v>
      </c>
      <c r="AD494" s="85" t="str">
        <f>IFERROR(__xludf.DUMMYFUNCTION("""COMPUTED_VALUE"""),"CUM - PS - RSS")</f>
        <v>CUM - PS - RSS</v>
      </c>
      <c r="AE494" s="85" t="str">
        <f>IFERROR(__xludf.DUMMYFUNCTION("""COMPUTED_VALUE"""),"SUB RONY POS")</f>
        <v>SUB RONY POS</v>
      </c>
      <c r="AF494" s="85" t="str">
        <f>IFERROR(__xludf.DUMMYFUNCTION("""COMPUTED_VALUE"""),"082211166097 ")</f>
        <v>082211166097 </v>
      </c>
      <c r="AG494" s="85"/>
      <c r="AH494" s="85" t="str">
        <f>IFERROR(__xludf.DUMMYFUNCTION("""COMPUTED_VALUE"""),"iqbalfzy98@gmail.com")</f>
        <v>iqbalfzy98@gmail.com</v>
      </c>
      <c r="AI494" s="85" t="str">
        <f>IFERROR(__xludf.DUMMYFUNCTION("""COMPUTED_VALUE"""),"40374S6")</f>
        <v>40374S6</v>
      </c>
      <c r="AJ494" s="85" t="str">
        <f>IFERROR(__xludf.DUMMYFUNCTION("""COMPUTED_VALUE"""),"6846a3ae7bb817f7ae0aefe9")</f>
        <v>6846a3ae7bb817f7ae0aefe9</v>
      </c>
      <c r="AK494" s="85" t="str">
        <f>IFERROR(__xludf.DUMMYFUNCTION("""COMPUTED_VALUE"""),"dm40374s6")</f>
        <v>dm40374s6</v>
      </c>
      <c r="AL494" s="85" t="str">
        <f>IFERROR(__xludf.DUMMYFUNCTION("""COMPUTED_VALUE"""),"#40374Pos")</f>
        <v>#40374Pos</v>
      </c>
      <c r="AM494" s="85" t="str">
        <f>IFERROR(__xludf.DUMMYFUNCTION("""COMPUTED_VALUE"""),"KANTOR REGIONAL III BANDUNG 40004")</f>
        <v>KANTOR REGIONAL III BANDUNG 40004</v>
      </c>
      <c r="AN494" s="85" t="str">
        <f>IFERROR(__xludf.DUMMYFUNCTION("""COMPUTED_VALUE"""),"KC SOREANG 40900")</f>
        <v>KC SOREANG 40900</v>
      </c>
      <c r="AO494" s="85" t="str">
        <f>IFERROR(__xludf.DUMMYFUNCTION("""COMPUTED_VALUE"""),"9120005282471")</f>
        <v>9120005282471</v>
      </c>
      <c r="AP494" s="85" t="str">
        <f>IFERROR(__xludf.DUMMYFUNCTION("""COMPUTED_VALUE"""),"91200082025630001")</f>
        <v>91200082025630001</v>
      </c>
      <c r="AQ494" s="93"/>
      <c r="AR494" s="85"/>
      <c r="AS494" s="85"/>
      <c r="AT494" s="85" t="str">
        <f>IFERROR(__xludf.DUMMYFUNCTION("""COMPUTED_VALUE"""),"-7.072101 ")</f>
        <v>-7.072101 </v>
      </c>
      <c r="AU494" s="85" t="str">
        <f>IFERROR(__xludf.DUMMYFUNCTION("""COMPUTED_VALUE"""),"107.565773")</f>
        <v>107.565773</v>
      </c>
      <c r="AV494" s="85"/>
      <c r="AW494" s="85"/>
      <c r="AX494" s="85" t="str">
        <f>IFERROR(__xludf.DUMMYFUNCTION("""COMPUTED_VALUE"""),"h")</f>
        <v>h</v>
      </c>
      <c r="AY494" s="85"/>
      <c r="AZ494" s="85"/>
      <c r="BA494" s="85"/>
      <c r="BB494" s="85"/>
      <c r="BC494" s="85"/>
      <c r="BD494" s="85"/>
      <c r="BE494" s="85"/>
      <c r="BF494" s="85"/>
      <c r="BG494" s="85"/>
      <c r="BH494" s="85"/>
      <c r="BI494" s="85"/>
      <c r="BJ494" s="85"/>
      <c r="BK494" s="85"/>
      <c r="BL494" s="85"/>
      <c r="BM494" s="85"/>
      <c r="BN494" s="85"/>
      <c r="BO494" s="85"/>
      <c r="BP494" s="85"/>
      <c r="BQ494" s="85"/>
      <c r="BR494" s="85"/>
      <c r="BS494" s="85"/>
      <c r="BT494" s="85"/>
      <c r="BU494" s="85"/>
      <c r="BV494" s="85"/>
      <c r="BW494" s="85"/>
      <c r="BX494" s="85" t="str">
        <f>IFERROR(__xludf.DUMMYFUNCTION("""COMPUTED_VALUE"""),"MULTIKURIR - LION PARCEL")</f>
        <v>MULTIKURIR - LION PARCEL</v>
      </c>
      <c r="BY494" s="85"/>
      <c r="BZ494" s="85"/>
      <c r="CA494" s="85"/>
      <c r="CB494" s="85"/>
      <c r="CC494" s="85"/>
      <c r="CD494" s="85"/>
      <c r="CE494" s="85"/>
      <c r="CF494" s="85"/>
      <c r="CG494" s="85"/>
      <c r="CH494" s="85"/>
      <c r="CI494" s="85"/>
      <c r="CJ494" s="85"/>
      <c r="CK494" s="2"/>
    </row>
    <row r="495" ht="12.75" customHeight="1">
      <c r="A495" s="80">
        <f>IFERROR(__xludf.DUMMYFUNCTION("""COMPUTED_VALUE"""),492.0)</f>
        <v>492</v>
      </c>
      <c r="B495" s="80"/>
      <c r="C495" s="80"/>
      <c r="D495" s="81">
        <f>IFERROR(__xludf.DUMMYFUNCTION("""COMPUTED_VALUE"""),45804.0)</f>
        <v>45804</v>
      </c>
      <c r="E495" s="82"/>
      <c r="F495" s="80"/>
      <c r="G495" s="81">
        <f>IFERROR(__xludf.DUMMYFUNCTION("""COMPUTED_VALUE"""),45812.0)</f>
        <v>45812</v>
      </c>
      <c r="H495" s="80"/>
      <c r="I495" s="80"/>
      <c r="J495" s="80"/>
      <c r="K495" s="80"/>
      <c r="L495" s="80">
        <f>IFERROR(__xludf.DUMMYFUNCTION("""COMPUTED_VALUE"""),8.0)</f>
        <v>8</v>
      </c>
      <c r="M495" s="80" t="str">
        <f>IFERROR(__xludf.DUMMYFUNCTION("""COMPUTED_VALUE"""),"ü")</f>
        <v>ü</v>
      </c>
      <c r="N495" s="80"/>
      <c r="O495" s="80"/>
      <c r="P495" s="80" t="str">
        <f>IFERROR(__xludf.DUMMYFUNCTION("""COMPUTED_VALUE"""),"MUCSPA63139PSIND")</f>
        <v>MUCSPA63139PSIND</v>
      </c>
      <c r="Q495" s="80" t="str">
        <f>IFERROR(__xludf.DUMMYFUNCTION("""COMPUTED_VALUE"""),"MUC KUD RUKUN TANI")</f>
        <v>MUC KUD RUKUN TANI</v>
      </c>
      <c r="R495" s="80" t="str">
        <f>IFERROR(__xludf.DUMMYFUNCTION("""COMPUTED_VALUE"""),"MUC KUD RUKUN TANI")</f>
        <v>MUC KUD RUKUN TANI</v>
      </c>
      <c r="S495" s="80" t="str">
        <f>IFERROR(__xludf.DUMMYFUNCTION("""COMPUTED_VALUE"""),"DANAN SETIANTO.SE ")</f>
        <v>DANAN SETIANTO.SE </v>
      </c>
      <c r="T495" s="80" t="str">
        <f>IFERROR(__xludf.DUMMYFUNCTION("""COMPUTED_VALUE"""),"CILONGOK RT 02/02 DESA CILONGOK KEC CILONGOK ")</f>
        <v>CILONGOK RT 02/02 DESA CILONGOK KEC CILONGOK </v>
      </c>
      <c r="U495" s="80" t="str">
        <f>IFERROR(__xludf.DUMMYFUNCTION("""COMPUTED_VALUE"""),"JL PERNASIDI NO.15")</f>
        <v>JL PERNASIDI NO.15</v>
      </c>
      <c r="V495" s="80"/>
      <c r="W495" s="80" t="str">
        <f>IFERROR(__xludf.DUMMYFUNCTION("""COMPUTED_VALUE"""),"PERNASIDI")</f>
        <v>PERNASIDI</v>
      </c>
      <c r="X495" s="80" t="str">
        <f>IFERROR(__xludf.DUMMYFUNCTION("""COMPUTED_VALUE"""),"CILONGOK")</f>
        <v>CILONGOK</v>
      </c>
      <c r="Y495" s="80" t="str">
        <f>IFERROR(__xludf.DUMMYFUNCTION("""COMPUTED_VALUE"""),"KAB. Banyumas")</f>
        <v>KAB. Banyumas</v>
      </c>
      <c r="Z495" s="80" t="str">
        <f>IFERROR(__xludf.DUMMYFUNCTION("""COMPUTED_VALUE"""),"JAWA TENGAH")</f>
        <v>JAWA TENGAH</v>
      </c>
      <c r="AA495" s="80" t="str">
        <f>IFERROR(__xludf.DUMMYFUNCTION("""COMPUTED_VALUE"""),"53162")</f>
        <v>53162</v>
      </c>
      <c r="AB495" s="80" t="str">
        <f>IFERROR(__xludf.DUMMYFUNCTION("""COMPUTED_VALUE"""),"3302170110680001")</f>
        <v>3302170110680001</v>
      </c>
      <c r="AC495" s="80" t="str">
        <f>IFERROR(__xludf.DUMMYFUNCTION("""COMPUTED_VALUE"""),"01.459.892.4.521.000")</f>
        <v>01.459.892.4.521.000</v>
      </c>
      <c r="AD495" s="80" t="str">
        <f>IFERROR(__xludf.DUMMYFUNCTION("""COMPUTED_VALUE"""),"CUM - PS - DMWK")</f>
        <v>CUM - PS - DMWK</v>
      </c>
      <c r="AE495" s="80" t="str">
        <f>IFERROR(__xludf.DUMMYFUNCTION("""COMPUTED_VALUE"""),"SUB DWI MOKHAMMAD POS")</f>
        <v>SUB DWI MOKHAMMAD POS</v>
      </c>
      <c r="AF495" s="80" t="str">
        <f>IFERROR(__xludf.DUMMYFUNCTION("""COMPUTED_VALUE"""),"081290179307")</f>
        <v>081290179307</v>
      </c>
      <c r="AG495" s="80"/>
      <c r="AH495" s="80" t="str">
        <f>IFERROR(__xludf.DUMMYFUNCTION("""COMPUTED_VALUE"""),"kudrukuntani23@gmail.com")</f>
        <v>kudrukuntani23@gmail.com</v>
      </c>
      <c r="AI495" s="80" t="str">
        <f>IFERROR(__xludf.DUMMYFUNCTION("""COMPUTED_VALUE"""),"53162S6")</f>
        <v>53162S6</v>
      </c>
      <c r="AJ495" s="80" t="str">
        <f>IFERROR(__xludf.DUMMYFUNCTION("""COMPUTED_VALUE"""),"683fed45e0ce2cf66604f16f")</f>
        <v>683fed45e0ce2cf66604f16f</v>
      </c>
      <c r="AK495" s="80" t="str">
        <f>IFERROR(__xludf.DUMMYFUNCTION("""COMPUTED_VALUE"""),"dm53162s6")</f>
        <v>dm53162s6</v>
      </c>
      <c r="AL495" s="80" t="str">
        <f>IFERROR(__xludf.DUMMYFUNCTION("""COMPUTED_VALUE"""),"#53162Pos")</f>
        <v>#53162Pos</v>
      </c>
      <c r="AM495" s="80" t="str">
        <f>IFERROR(__xludf.DUMMYFUNCTION("""COMPUTED_VALUE"""),"KANTOR REGIONAL IV SEMARANG 50004")</f>
        <v>KANTOR REGIONAL IV SEMARANG 50004</v>
      </c>
      <c r="AN495" s="80" t="str">
        <f>IFERROR(__xludf.DUMMYFUNCTION("""COMPUTED_VALUE"""),"KCU PURWOKERTO 53100")</f>
        <v>KCU PURWOKERTO 53100</v>
      </c>
      <c r="AO495" s="80" t="str">
        <f>IFERROR(__xludf.DUMMYFUNCTION("""COMPUTED_VALUE"""),"9120406880301")</f>
        <v>9120406880301</v>
      </c>
      <c r="AP495" s="80" t="str">
        <f>IFERROR(__xludf.DUMMYFUNCTION("""COMPUTED_VALUE"""),"91204068803130005")</f>
        <v>91204068803130005</v>
      </c>
      <c r="AQ495" s="83"/>
      <c r="AR495" s="80"/>
      <c r="AS495" s="80"/>
      <c r="AT495" s="80" t="str">
        <f>IFERROR(__xludf.DUMMYFUNCTION("""COMPUTED_VALUE"""),"-7.402232")</f>
        <v>-7.402232</v>
      </c>
      <c r="AU495" s="80" t="str">
        <f>IFERROR(__xludf.DUMMYFUNCTION("""COMPUTED_VALUE"""),"109.135557")</f>
        <v>109.135557</v>
      </c>
      <c r="AV495" s="80"/>
      <c r="AW495" s="80"/>
      <c r="AX495" s="80" t="str">
        <f>IFERROR(__xludf.DUMMYFUNCTION("""COMPUTED_VALUE"""),"h")</f>
        <v>h</v>
      </c>
      <c r="AY495" s="80"/>
      <c r="AZ495" s="80"/>
      <c r="BA495" s="80"/>
      <c r="BB495" s="80"/>
      <c r="BC495" s="80"/>
      <c r="BD495" s="80"/>
      <c r="BE495" s="80"/>
      <c r="BF495" s="80"/>
      <c r="BG495" s="80"/>
      <c r="BH495" s="80"/>
      <c r="BI495" s="80"/>
      <c r="BJ495" s="80"/>
      <c r="BK495" s="80"/>
      <c r="BL495" s="80"/>
      <c r="BM495" s="80"/>
      <c r="BN495" s="80"/>
      <c r="BO495" s="80"/>
      <c r="BP495" s="80"/>
      <c r="BQ495" s="80"/>
      <c r="BR495" s="80"/>
      <c r="BS495" s="80"/>
      <c r="BT495" s="80"/>
      <c r="BU495" s="80"/>
      <c r="BV495" s="80"/>
      <c r="BW495" s="80"/>
      <c r="BX495" s="80" t="str">
        <f>IFERROR(__xludf.DUMMYFUNCTION("""COMPUTED_VALUE"""),"KUD")</f>
        <v>KUD</v>
      </c>
      <c r="BY495" s="80"/>
      <c r="BZ495" s="80"/>
      <c r="CA495" s="80"/>
      <c r="CB495" s="80"/>
      <c r="CC495" s="80"/>
      <c r="CD495" s="80"/>
      <c r="CE495" s="80"/>
      <c r="CF495" s="80"/>
      <c r="CG495" s="80"/>
      <c r="CH495" s="80"/>
      <c r="CI495" s="80"/>
      <c r="CJ495" s="80"/>
      <c r="CK495" s="2"/>
    </row>
    <row r="496" ht="12.75" customHeight="1">
      <c r="A496" s="85">
        <f>IFERROR(__xludf.DUMMYFUNCTION("""COMPUTED_VALUE"""),493.0)</f>
        <v>493</v>
      </c>
      <c r="B496" s="85"/>
      <c r="C496" s="85"/>
      <c r="D496" s="86">
        <f>IFERROR(__xludf.DUMMYFUNCTION("""COMPUTED_VALUE"""),45805.0)</f>
        <v>45805</v>
      </c>
      <c r="E496" s="88"/>
      <c r="F496" s="85"/>
      <c r="G496" s="86">
        <f>IFERROR(__xludf.DUMMYFUNCTION("""COMPUTED_VALUE"""),45861.0)</f>
        <v>45861</v>
      </c>
      <c r="H496" s="85"/>
      <c r="I496" s="85"/>
      <c r="J496" s="85"/>
      <c r="K496" s="85"/>
      <c r="L496" s="85">
        <f>IFERROR(__xludf.DUMMYFUNCTION("""COMPUTED_VALUE"""),56.0)</f>
        <v>56</v>
      </c>
      <c r="M496" s="85" t="str">
        <f>IFERROR(__xludf.DUMMYFUNCTION("""COMPUTED_VALUE"""),"ü")</f>
        <v>ü</v>
      </c>
      <c r="N496" s="85"/>
      <c r="O496" s="85"/>
      <c r="P496" s="85" t="str">
        <f>IFERROR(__xludf.DUMMYFUNCTION("""COMPUTED_VALUE"""),"MUCSPA63140PSIND")</f>
        <v>MUCSPA63140PSIND</v>
      </c>
      <c r="Q496" s="85" t="str">
        <f>IFERROR(__xludf.DUMMYFUNCTION("""COMPUTED_VALUE"""),"MUC Pafjadira Berkah Mulya")</f>
        <v>MUC Pafjadira Berkah Mulya</v>
      </c>
      <c r="R496" s="85" t="str">
        <f>IFERROR(__xludf.DUMMYFUNCTION("""COMPUTED_VALUE"""),"MUC Pafjadira Berkah Mulya")</f>
        <v>MUC Pafjadira Berkah Mulya</v>
      </c>
      <c r="S496" s="85" t="str">
        <f>IFERROR(__xludf.DUMMYFUNCTION("""COMPUTED_VALUE"""),"Rudianto")</f>
        <v>Rudianto</v>
      </c>
      <c r="T496" s="85" t="str">
        <f>IFERROR(__xludf.DUMMYFUNCTION("""COMPUTED_VALUE"""),"Blok Mekarjaya, Rt 001/001, desa sagara, kec. Argapura, kab.majalengka")</f>
        <v>Blok Mekarjaya, Rt 001/001, desa sagara, kec. Argapura, kab.majalengka</v>
      </c>
      <c r="U496" s="85" t="str">
        <f>IFERROR(__xludf.DUMMYFUNCTION("""COMPUTED_VALUE"""),"Blok Mekarsari")</f>
        <v>Blok Mekarsari</v>
      </c>
      <c r="V496" s="85"/>
      <c r="W496" s="85" t="str">
        <f>IFERROR(__xludf.DUMMYFUNCTION("""COMPUTED_VALUE"""),"Sukasari Kidul")</f>
        <v>Sukasari Kidul</v>
      </c>
      <c r="X496" s="85" t="str">
        <f>IFERROR(__xludf.DUMMYFUNCTION("""COMPUTED_VALUE"""),"Argapura")</f>
        <v>Argapura</v>
      </c>
      <c r="Y496" s="85" t="str">
        <f>IFERROR(__xludf.DUMMYFUNCTION("""COMPUTED_VALUE"""),"Majalengka")</f>
        <v>Majalengka</v>
      </c>
      <c r="Z496" s="85" t="str">
        <f>IFERROR(__xludf.DUMMYFUNCTION("""COMPUTED_VALUE"""),"Jawa Barat")</f>
        <v>Jawa Barat</v>
      </c>
      <c r="AA496" s="85" t="str">
        <f>IFERROR(__xludf.DUMMYFUNCTION("""COMPUTED_VALUE"""),"45462")</f>
        <v>45462</v>
      </c>
      <c r="AB496" s="85" t="str">
        <f>IFERROR(__xludf.DUMMYFUNCTION("""COMPUTED_VALUE"""),"3210050903870021")</f>
        <v>3210050903870021</v>
      </c>
      <c r="AC496" s="85" t="str">
        <f>IFERROR(__xludf.DUMMYFUNCTION("""COMPUTED_VALUE"""),"35.364.548.4-438.000")</f>
        <v>35.364.548.4-438.000</v>
      </c>
      <c r="AD496" s="85" t="str">
        <f>IFERROR(__xludf.DUMMYFUNCTION("""COMPUTED_VALUE"""),"CUM - PS - NONKORGEN")</f>
        <v>CUM - PS - NONKORGEN</v>
      </c>
      <c r="AE496" s="85" t="str">
        <f>IFERROR(__xludf.DUMMYFUNCTION("""COMPUTED_VALUE"""),"PAK MIFTAH KC MAJALENGKA")</f>
        <v>PAK MIFTAH KC MAJALENGKA</v>
      </c>
      <c r="AF496" s="85" t="str">
        <f>IFERROR(__xludf.DUMMYFUNCTION("""COMPUTED_VALUE"""),"085220476333")</f>
        <v>085220476333</v>
      </c>
      <c r="AG496" s="85"/>
      <c r="AH496" s="85" t="str">
        <f>IFERROR(__xludf.DUMMYFUNCTION("""COMPUTED_VALUE"""),"rudiantolyn@gmail.com")</f>
        <v>rudiantolyn@gmail.com</v>
      </c>
      <c r="AI496" s="85" t="str">
        <f>IFERROR(__xludf.DUMMYFUNCTION("""COMPUTED_VALUE"""),"45462S2")</f>
        <v>45462S2</v>
      </c>
      <c r="AJ496" s="85" t="str">
        <f>IFERROR(__xludf.DUMMYFUNCTION("""COMPUTED_VALUE"""),"687f53c9056d59d63c0f0e7d")</f>
        <v>687f53c9056d59d63c0f0e7d</v>
      </c>
      <c r="AK496" s="85" t="str">
        <f>IFERROR(__xludf.DUMMYFUNCTION("""COMPUTED_VALUE"""),"dm45462s2")</f>
        <v>dm45462s2</v>
      </c>
      <c r="AL496" s="85" t="str">
        <f>IFERROR(__xludf.DUMMYFUNCTION("""COMPUTED_VALUE"""),"#45462Pos")</f>
        <v>#45462Pos</v>
      </c>
      <c r="AM496" s="85" t="str">
        <f>IFERROR(__xludf.DUMMYFUNCTION("""COMPUTED_VALUE"""),"KANTOR REGIONAL III BANDUNG 40004")</f>
        <v>KANTOR REGIONAL III BANDUNG 40004</v>
      </c>
      <c r="AN496" s="85" t="str">
        <f>IFERROR(__xludf.DUMMYFUNCTION("""COMPUTED_VALUE"""),"KC MAJALENGKA")</f>
        <v>KC MAJALENGKA</v>
      </c>
      <c r="AO496" s="85" t="str">
        <f>IFERROR(__xludf.DUMMYFUNCTION("""COMPUTED_VALUE"""),"9120009973001")</f>
        <v>9120009973001</v>
      </c>
      <c r="AP496" s="85" t="str">
        <f>IFERROR(__xludf.DUMMYFUNCTION("""COMPUTED_VALUE"""),"91200099730010001")</f>
        <v>91200099730010001</v>
      </c>
      <c r="AQ496" s="93"/>
      <c r="AR496" s="85"/>
      <c r="AS496" s="85"/>
      <c r="AT496" s="85" t="str">
        <f>IFERROR(__xludf.DUMMYFUNCTION("""COMPUTED_VALUE"""),"-6.908118")</f>
        <v>-6.908118</v>
      </c>
      <c r="AU496" s="85" t="str">
        <f>IFERROR(__xludf.DUMMYFUNCTION("""COMPUTED_VALUE"""),"108.313656")</f>
        <v>108.313656</v>
      </c>
      <c r="AV496" s="85"/>
      <c r="AW496" s="85"/>
      <c r="AX496" s="85" t="str">
        <f>IFERROR(__xludf.DUMMYFUNCTION("""COMPUTED_VALUE"""),"h")</f>
        <v>h</v>
      </c>
      <c r="AY496" s="85"/>
      <c r="AZ496" s="85"/>
      <c r="BA496" s="85"/>
      <c r="BB496" s="85"/>
      <c r="BC496" s="85"/>
      <c r="BD496" s="85"/>
      <c r="BE496" s="85"/>
      <c r="BF496" s="85"/>
      <c r="BG496" s="85"/>
      <c r="BH496" s="85"/>
      <c r="BI496" s="85"/>
      <c r="BJ496" s="85"/>
      <c r="BK496" s="85"/>
      <c r="BL496" s="85"/>
      <c r="BM496" s="85"/>
      <c r="BN496" s="85"/>
      <c r="BO496" s="85"/>
      <c r="BP496" s="85"/>
      <c r="BQ496" s="85"/>
      <c r="BR496" s="85"/>
      <c r="BS496" s="85"/>
      <c r="BT496" s="85"/>
      <c r="BU496" s="85"/>
      <c r="BV496" s="85"/>
      <c r="BW496" s="85"/>
      <c r="BX496" s="85" t="str">
        <f>IFERROR(__xludf.DUMMYFUNCTION("""COMPUTED_VALUE"""),"TOKO KELONTONG")</f>
        <v>TOKO KELONTONG</v>
      </c>
      <c r="BY496" s="85"/>
      <c r="BZ496" s="85"/>
      <c r="CA496" s="85"/>
      <c r="CB496" s="85"/>
      <c r="CC496" s="85"/>
      <c r="CD496" s="85"/>
      <c r="CE496" s="85"/>
      <c r="CF496" s="85"/>
      <c r="CG496" s="85"/>
      <c r="CH496" s="85"/>
      <c r="CI496" s="85"/>
      <c r="CJ496" s="85"/>
      <c r="CK496" s="2"/>
    </row>
    <row r="497" ht="12.75" customHeight="1">
      <c r="A497" s="80">
        <f>IFERROR(__xludf.DUMMYFUNCTION("""COMPUTED_VALUE"""),494.0)</f>
        <v>494</v>
      </c>
      <c r="B497" s="80"/>
      <c r="C497" s="80"/>
      <c r="D497" s="81">
        <f>IFERROR(__xludf.DUMMYFUNCTION("""COMPUTED_VALUE"""),45810.0)</f>
        <v>45810</v>
      </c>
      <c r="E497" s="82"/>
      <c r="F497" s="80"/>
      <c r="G497" s="81">
        <f>IFERROR(__xludf.DUMMYFUNCTION("""COMPUTED_VALUE"""),45918.0)</f>
        <v>45918</v>
      </c>
      <c r="H497" s="80"/>
      <c r="I497" s="80"/>
      <c r="J497" s="80"/>
      <c r="K497" s="80"/>
      <c r="L497" s="80">
        <f>IFERROR(__xludf.DUMMYFUNCTION("""COMPUTED_VALUE"""),108.0)</f>
        <v>108</v>
      </c>
      <c r="M497" s="80" t="str">
        <f>IFERROR(__xludf.DUMMYFUNCTION("""COMPUTED_VALUE"""),"ü")</f>
        <v>ü</v>
      </c>
      <c r="N497" s="80"/>
      <c r="O497" s="80"/>
      <c r="P497" s="80" t="str">
        <f>IFERROR(__xludf.DUMMYFUNCTION("""COMPUTED_VALUE"""),"MUCSPA63141PSIND")</f>
        <v>MUCSPA63141PSIND</v>
      </c>
      <c r="Q497" s="80" t="str">
        <f>IFERROR(__xludf.DUMMYFUNCTION("""COMPUTED_VALUE"""),"MUC FITA")</f>
        <v>MUC FITA</v>
      </c>
      <c r="R497" s="80" t="str">
        <f>IFERROR(__xludf.DUMMYFUNCTION("""COMPUTED_VALUE"""),"MUC FITA")</f>
        <v>MUC FITA</v>
      </c>
      <c r="S497" s="80" t="str">
        <f>IFERROR(__xludf.DUMMYFUNCTION("""COMPUTED_VALUE"""),"NOVAL DJU")</f>
        <v>NOVAL DJU</v>
      </c>
      <c r="T497" s="80" t="str">
        <f>IFERROR(__xludf.DUMMYFUNCTION("""COMPUTED_VALUE"""),"JL.MUARA KARYA RT.011 RW.006 KELURAHAN KAMALAPUTI KECAMATAN KOTA WAINGAPU")</f>
        <v>JL.MUARA KARYA RT.011 RW.006 KELURAHAN KAMALAPUTI KECAMATAN KOTA WAINGAPU</v>
      </c>
      <c r="U497" s="80" t="str">
        <f>IFERROR(__xludf.DUMMYFUNCTION("""COMPUTED_VALUE"""),"JL.MUARA KARYA KAMALAPUTI RT.011 RW.006")</f>
        <v>JL.MUARA KARYA KAMALAPUTI RT.011 RW.006</v>
      </c>
      <c r="V497" s="80"/>
      <c r="W497" s="80" t="str">
        <f>IFERROR(__xludf.DUMMYFUNCTION("""COMPUTED_VALUE"""),"KAMALAPUTI")</f>
        <v>KAMALAPUTI</v>
      </c>
      <c r="X497" s="80" t="str">
        <f>IFERROR(__xludf.DUMMYFUNCTION("""COMPUTED_VALUE"""),"KOTA WAINGAPU")</f>
        <v>KOTA WAINGAPU</v>
      </c>
      <c r="Y497" s="80" t="str">
        <f>IFERROR(__xludf.DUMMYFUNCTION("""COMPUTED_VALUE"""),"SUMBA TIMUR")</f>
        <v>SUMBA TIMUR</v>
      </c>
      <c r="Z497" s="80" t="str">
        <f>IFERROR(__xludf.DUMMYFUNCTION("""COMPUTED_VALUE"""),"NUSA TENGGARA TIMUR")</f>
        <v>NUSA TENGGARA TIMUR</v>
      </c>
      <c r="AA497" s="80" t="str">
        <f>IFERROR(__xludf.DUMMYFUNCTION("""COMPUTED_VALUE"""),"87111")</f>
        <v>87111</v>
      </c>
      <c r="AB497" s="80" t="str">
        <f>IFERROR(__xludf.DUMMYFUNCTION("""COMPUTED_VALUE"""),"5311012011930001")</f>
        <v>5311012011930001</v>
      </c>
      <c r="AC497" s="80" t="str">
        <f>IFERROR(__xludf.DUMMYFUNCTION("""COMPUTED_VALUE"""),"94.228.732.7-926.000")</f>
        <v>94.228.732.7-926.000</v>
      </c>
      <c r="AD497" s="80" t="str">
        <f>IFERROR(__xludf.DUMMYFUNCTION("""COMPUTED_VALUE"""),"CUM - PS - NONKORGEN")</f>
        <v>CUM - PS - NONKORGEN</v>
      </c>
      <c r="AE497" s="80" t="str">
        <f>IFERROR(__xludf.DUMMYFUNCTION("""COMPUTED_VALUE"""),"PAK WAHYU KC GIANYAR")</f>
        <v>PAK WAHYU KC GIANYAR</v>
      </c>
      <c r="AF497" s="80" t="str">
        <f>IFERROR(__xludf.DUMMYFUNCTION("""COMPUTED_VALUE"""),"082341698698")</f>
        <v>082341698698</v>
      </c>
      <c r="AG497" s="80"/>
      <c r="AH497" s="80" t="str">
        <f>IFERROR(__xludf.DUMMYFUNCTION("""COMPUTED_VALUE"""),"novaldju93@gmail.com ")</f>
        <v>novaldju93@gmail.com </v>
      </c>
      <c r="AI497" s="80" t="str">
        <f>IFERROR(__xludf.DUMMYFUNCTION("""COMPUTED_VALUE"""),"87111S2")</f>
        <v>87111S2</v>
      </c>
      <c r="AJ497" s="80" t="str">
        <f>IFERROR(__xludf.DUMMYFUNCTION("""COMPUTED_VALUE"""),"68cab85c3ab1c64a92089520")</f>
        <v>68cab85c3ab1c64a92089520</v>
      </c>
      <c r="AK497" s="80" t="str">
        <f>IFERROR(__xludf.DUMMYFUNCTION("""COMPUTED_VALUE"""),"dm87111s2")</f>
        <v>dm87111s2</v>
      </c>
      <c r="AL497" s="80" t="str">
        <f>IFERROR(__xludf.DUMMYFUNCTION("""COMPUTED_VALUE"""),"#87111Pos")</f>
        <v>#87111Pos</v>
      </c>
      <c r="AM497" s="80" t="str">
        <f>IFERROR(__xludf.DUMMYFUNCTION("""COMPUTED_VALUE"""),"KANTOR REGIONAL VI MAKASAR 90004")</f>
        <v>KANTOR REGIONAL VI MAKASAR 90004</v>
      </c>
      <c r="AN497" s="80" t="str">
        <f>IFERROR(__xludf.DUMMYFUNCTION("""COMPUTED_VALUE"""),"KC WAINGAPU")</f>
        <v>KC WAINGAPU</v>
      </c>
      <c r="AO497" s="80" t="str">
        <f>IFERROR(__xludf.DUMMYFUNCTION("""COMPUTED_VALUE"""),"2305250094191")</f>
        <v>2305250094191</v>
      </c>
      <c r="AP497" s="80" t="str">
        <f>IFERROR(__xludf.DUMMYFUNCTION("""COMPUTED_VALUE"""),"23052500941910001")</f>
        <v>23052500941910001</v>
      </c>
      <c r="AQ497" s="83"/>
      <c r="AR497" s="80"/>
      <c r="AS497" s="80"/>
      <c r="AT497" s="80" t="str">
        <f>IFERROR(__xludf.DUMMYFUNCTION("""COMPUTED_VALUE"""),"-9.645425")</f>
        <v>-9.645425</v>
      </c>
      <c r="AU497" s="80" t="str">
        <f>IFERROR(__xludf.DUMMYFUNCTION("""COMPUTED_VALUE"""),"120.264938")</f>
        <v>120.264938</v>
      </c>
      <c r="AV497" s="80"/>
      <c r="AW497" s="80"/>
      <c r="AX497" s="80" t="str">
        <f>IFERROR(__xludf.DUMMYFUNCTION("""COMPUTED_VALUE"""),"h")</f>
        <v>h</v>
      </c>
      <c r="AY497" s="80"/>
      <c r="AZ497" s="80"/>
      <c r="BA497" s="80"/>
      <c r="BB497" s="80"/>
      <c r="BC497" s="80"/>
      <c r="BD497" s="80"/>
      <c r="BE497" s="80"/>
      <c r="BF497" s="80"/>
      <c r="BG497" s="80"/>
      <c r="BH497" s="80"/>
      <c r="BI497" s="80"/>
      <c r="BJ497" s="80"/>
      <c r="BK497" s="80"/>
      <c r="BL497" s="80"/>
      <c r="BM497" s="80"/>
      <c r="BN497" s="80"/>
      <c r="BO497" s="80"/>
      <c r="BP497" s="80"/>
      <c r="BQ497" s="80"/>
      <c r="BR497" s="80"/>
      <c r="BS497" s="80"/>
      <c r="BT497" s="80"/>
      <c r="BU497" s="80"/>
      <c r="BV497" s="80"/>
      <c r="BW497" s="80"/>
      <c r="BX497" s="80" t="str">
        <f>IFERROR(__xludf.DUMMYFUNCTION("""COMPUTED_VALUE"""),"ORANGER POS")</f>
        <v>ORANGER POS</v>
      </c>
      <c r="BY497" s="80"/>
      <c r="BZ497" s="80"/>
      <c r="CA497" s="80"/>
      <c r="CB497" s="80"/>
      <c r="CC497" s="80"/>
      <c r="CD497" s="80"/>
      <c r="CE497" s="80"/>
      <c r="CF497" s="80"/>
      <c r="CG497" s="80"/>
      <c r="CH497" s="80"/>
      <c r="CI497" s="80"/>
      <c r="CJ497" s="80"/>
      <c r="CK497" s="2"/>
    </row>
    <row r="498" ht="12.75" customHeight="1">
      <c r="A498" s="85">
        <f>IFERROR(__xludf.DUMMYFUNCTION("""COMPUTED_VALUE"""),495.0)</f>
        <v>495</v>
      </c>
      <c r="B498" s="85"/>
      <c r="C498" s="85"/>
      <c r="D498" s="86">
        <f>IFERROR(__xludf.DUMMYFUNCTION("""COMPUTED_VALUE"""),45811.0)</f>
        <v>45811</v>
      </c>
      <c r="E498" s="88"/>
      <c r="F498" s="85"/>
      <c r="G498" s="86"/>
      <c r="H498" s="85"/>
      <c r="I498" s="85"/>
      <c r="J498" s="85"/>
      <c r="K498" s="85"/>
      <c r="L498" s="85"/>
      <c r="M498" s="85"/>
      <c r="N498" s="85" t="str">
        <f>IFERROR(__xludf.DUMMYFUNCTION("""COMPUTED_VALUE"""),"ü")</f>
        <v>ü</v>
      </c>
      <c r="O498" s="85"/>
      <c r="P498" s="85" t="str">
        <f>IFERROR(__xludf.DUMMYFUNCTION("""COMPUTED_VALUE"""),"MUCSPA63142PSIND")</f>
        <v>MUCSPA63142PSIND</v>
      </c>
      <c r="Q498" s="85" t="str">
        <f>IFERROR(__xludf.DUMMYFUNCTION("""COMPUTED_VALUE"""),"MUC PRASMART")</f>
        <v>MUC PRASMART</v>
      </c>
      <c r="R498" s="85" t="str">
        <f>IFERROR(__xludf.DUMMYFUNCTION("""COMPUTED_VALUE"""),"MUC PRASMART")</f>
        <v>MUC PRASMART</v>
      </c>
      <c r="S498" s="85" t="str">
        <f>IFERROR(__xludf.DUMMYFUNCTION("""COMPUTED_VALUE"""),"Agung Prasetyo")</f>
        <v>Agung Prasetyo</v>
      </c>
      <c r="T498" s="85" t="str">
        <f>IFERROR(__xludf.DUMMYFUNCTION("""COMPUTED_VALUE"""),"JL.Puri Dago Mas Utara II No 21 Antapani Bandung")</f>
        <v>JL.Puri Dago Mas Utara II No 21 Antapani Bandung</v>
      </c>
      <c r="U498" s="85" t="str">
        <f>IFERROR(__xludf.DUMMYFUNCTION("""COMPUTED_VALUE"""),"Jl.Panda Wangi 007/19 Cinunuk, Cileunyi Kab Bandung")</f>
        <v>Jl.Panda Wangi 007/19 Cinunuk, Cileunyi Kab Bandung</v>
      </c>
      <c r="V498" s="85"/>
      <c r="W498" s="85" t="str">
        <f>IFERROR(__xludf.DUMMYFUNCTION("""COMPUTED_VALUE"""),"Cinunuk")</f>
        <v>Cinunuk</v>
      </c>
      <c r="X498" s="85" t="str">
        <f>IFERROR(__xludf.DUMMYFUNCTION("""COMPUTED_VALUE"""),"Cileunyi")</f>
        <v>Cileunyi</v>
      </c>
      <c r="Y498" s="85" t="str">
        <f>IFERROR(__xludf.DUMMYFUNCTION("""COMPUTED_VALUE"""),"Bandung")</f>
        <v>Bandung</v>
      </c>
      <c r="Z498" s="85" t="str">
        <f>IFERROR(__xludf.DUMMYFUNCTION("""COMPUTED_VALUE"""),"Jawa Barat")</f>
        <v>Jawa Barat</v>
      </c>
      <c r="AA498" s="85" t="str">
        <f>IFERROR(__xludf.DUMMYFUNCTION("""COMPUTED_VALUE"""),"40624")</f>
        <v>40624</v>
      </c>
      <c r="AB498" s="85" t="str">
        <f>IFERROR(__xludf.DUMMYFUNCTION("""COMPUTED_VALUE"""),"3273201708800011")</f>
        <v>3273201708800011</v>
      </c>
      <c r="AC498" s="85" t="str">
        <f>IFERROR(__xludf.DUMMYFUNCTION("""COMPUTED_VALUE"""),"24.533.698.2-444.000")</f>
        <v>24.533.698.2-444.000</v>
      </c>
      <c r="AD498" s="85" t="str">
        <f>IFERROR(__xludf.DUMMYFUNCTION("""COMPUTED_VALUE"""),"CUM - PS - THI")</f>
        <v>CUM - PS - THI</v>
      </c>
      <c r="AE498" s="85" t="str">
        <f>IFERROR(__xludf.DUMMYFUNCTION("""COMPUTED_VALUE"""),"SUB THIO POS")</f>
        <v>SUB THIO POS</v>
      </c>
      <c r="AF498" s="85" t="str">
        <f>IFERROR(__xludf.DUMMYFUNCTION("""COMPUTED_VALUE"""),"081320315528")</f>
        <v>081320315528</v>
      </c>
      <c r="AG498" s="85"/>
      <c r="AH498" s="85" t="str">
        <f>IFERROR(__xludf.DUMMYFUNCTION("""COMPUTED_VALUE"""),"agustinusagung.pras3tyo@gmail.com")</f>
        <v>agustinusagung.pras3tyo@gmail.com</v>
      </c>
      <c r="AI498" s="85" t="str">
        <f>IFERROR(__xludf.DUMMYFUNCTION("""COMPUTED_VALUE"""),"40393SC")</f>
        <v>40393SC</v>
      </c>
      <c r="AJ498" s="85" t="str">
        <f>IFERROR(__xludf.DUMMYFUNCTION("""COMPUTED_VALUE"""),"6864a6586f1cedd47b0a2c71")</f>
        <v>6864a6586f1cedd47b0a2c71</v>
      </c>
      <c r="AK498" s="85" t="str">
        <f>IFERROR(__xludf.DUMMYFUNCTION("""COMPUTED_VALUE"""),"dm40393sc")</f>
        <v>dm40393sc</v>
      </c>
      <c r="AL498" s="85" t="str">
        <f>IFERROR(__xludf.DUMMYFUNCTION("""COMPUTED_VALUE"""),"#40393Pos")</f>
        <v>#40393Pos</v>
      </c>
      <c r="AM498" s="85" t="str">
        <f>IFERROR(__xludf.DUMMYFUNCTION("""COMPUTED_VALUE"""),"KANTOR REGIONAL III BANDUNG 40004")</f>
        <v>KANTOR REGIONAL III BANDUNG 40004</v>
      </c>
      <c r="AN498" s="85" t="str">
        <f>IFERROR(__xludf.DUMMYFUNCTION("""COMPUTED_VALUE"""),"KC UJUNGBERUNG ")</f>
        <v>KC UJUNGBERUNG </v>
      </c>
      <c r="AO498" s="85" t="str">
        <f>IFERROR(__xludf.DUMMYFUNCTION("""COMPUTED_VALUE"""),"2605250047631")</f>
        <v>2605250047631</v>
      </c>
      <c r="AP498" s="85" t="str">
        <f>IFERROR(__xludf.DUMMYFUNCTION("""COMPUTED_VALUE"""),"26052500476310001")</f>
        <v>26052500476310001</v>
      </c>
      <c r="AQ498" s="93"/>
      <c r="AR498" s="85"/>
      <c r="AS498" s="85"/>
      <c r="AT498" s="85" t="str">
        <f>IFERROR(__xludf.DUMMYFUNCTION("""COMPUTED_VALUE"""),"-6.941432")</f>
        <v>-6.941432</v>
      </c>
      <c r="AU498" s="85" t="str">
        <f>IFERROR(__xludf.DUMMYFUNCTION("""COMPUTED_VALUE"""),"107.726026")</f>
        <v>107.726026</v>
      </c>
      <c r="AV498" s="85"/>
      <c r="AW498" s="85"/>
      <c r="AX498" s="85" t="str">
        <f>IFERROR(__xludf.DUMMYFUNCTION("""COMPUTED_VALUE"""),"h")</f>
        <v>h</v>
      </c>
      <c r="AY498" s="85"/>
      <c r="AZ498" s="85"/>
      <c r="BA498" s="85"/>
      <c r="BB498" s="85"/>
      <c r="BC498" s="85"/>
      <c r="BD498" s="85"/>
      <c r="BE498" s="85"/>
      <c r="BF498" s="85"/>
      <c r="BG498" s="85"/>
      <c r="BH498" s="85"/>
      <c r="BI498" s="85"/>
      <c r="BJ498" s="85"/>
      <c r="BK498" s="85"/>
      <c r="BL498" s="85"/>
      <c r="BM498" s="85"/>
      <c r="BN498" s="85"/>
      <c r="BO498" s="85"/>
      <c r="BP498" s="85"/>
      <c r="BQ498" s="85"/>
      <c r="BR498" s="85"/>
      <c r="BS498" s="85"/>
      <c r="BT498" s="85"/>
      <c r="BU498" s="85"/>
      <c r="BV498" s="85"/>
      <c r="BW498" s="85"/>
      <c r="BX498" s="85" t="str">
        <f>IFERROR(__xludf.DUMMYFUNCTION("""COMPUTED_VALUE"""),"TOKO KELONTONG")</f>
        <v>TOKO KELONTONG</v>
      </c>
      <c r="BY498" s="85"/>
      <c r="BZ498" s="85"/>
      <c r="CA498" s="85"/>
      <c r="CB498" s="85"/>
      <c r="CC498" s="85"/>
      <c r="CD498" s="85"/>
      <c r="CE498" s="85"/>
      <c r="CF498" s="85"/>
      <c r="CG498" s="85"/>
      <c r="CH498" s="85"/>
      <c r="CI498" s="85"/>
      <c r="CJ498" s="85"/>
      <c r="CK498" s="2"/>
    </row>
    <row r="499" ht="12.75" customHeight="1">
      <c r="A499" s="80">
        <f>IFERROR(__xludf.DUMMYFUNCTION("""COMPUTED_VALUE"""),496.0)</f>
        <v>496</v>
      </c>
      <c r="B499" s="80"/>
      <c r="C499" s="80"/>
      <c r="D499" s="81">
        <f>IFERROR(__xludf.DUMMYFUNCTION("""COMPUTED_VALUE"""),45811.0)</f>
        <v>45811</v>
      </c>
      <c r="E499" s="82"/>
      <c r="F499" s="80"/>
      <c r="G499" s="81"/>
      <c r="H499" s="80"/>
      <c r="I499" s="80"/>
      <c r="J499" s="80"/>
      <c r="K499" s="80"/>
      <c r="L499" s="80"/>
      <c r="M499" s="80" t="str">
        <f>IFERROR(__xludf.DUMMYFUNCTION("""COMPUTED_VALUE"""),"ü")</f>
        <v>ü</v>
      </c>
      <c r="N499" s="80"/>
      <c r="O499" s="80"/>
      <c r="P499" s="80" t="str">
        <f>IFERROR(__xludf.DUMMYFUNCTION("""COMPUTED_VALUE"""),"MUCSPA63143PSIND")</f>
        <v>MUCSPA63143PSIND</v>
      </c>
      <c r="Q499" s="80" t="str">
        <f>IFERROR(__xludf.DUMMYFUNCTION("""COMPUTED_VALUE"""),"MUC 11 Perwira")</f>
        <v>MUC 11 Perwira</v>
      </c>
      <c r="R499" s="80" t="str">
        <f>IFERROR(__xludf.DUMMYFUNCTION("""COMPUTED_VALUE"""),"MUC 11 Perwira")</f>
        <v>MUC 11 Perwira</v>
      </c>
      <c r="S499" s="80" t="str">
        <f>IFERROR(__xludf.DUMMYFUNCTION("""COMPUTED_VALUE"""),"RAGIL ZAINUDIN")</f>
        <v>RAGIL ZAINUDIN</v>
      </c>
      <c r="T499" s="80" t="str">
        <f>IFERROR(__xludf.DUMMYFUNCTION("""COMPUTED_VALUE"""),"PERMATA HIJAU PERMAI BLOK I NO.37 RT/RW:005/020 KEL. KALIABANG TENGAH KEC. BEKASI UTARA KOTA BEKASI")</f>
        <v>PERMATA HIJAU PERMAI BLOK I NO.37 RT/RW:005/020 KEL. KALIABANG TENGAH KEC. BEKASI UTARA KOTA BEKASI</v>
      </c>
      <c r="U499" s="80" t="str">
        <f>IFERROR(__xludf.DUMMYFUNCTION("""COMPUTED_VALUE"""),"Jln Raya Muhktar Thabrani RT 02 RW 06")</f>
        <v>Jln Raya Muhktar Thabrani RT 02 RW 06</v>
      </c>
      <c r="V499" s="80"/>
      <c r="W499" s="80" t="str">
        <f>IFERROR(__xludf.DUMMYFUNCTION("""COMPUTED_VALUE"""),"Perwira")</f>
        <v>Perwira</v>
      </c>
      <c r="X499" s="80" t="str">
        <f>IFERROR(__xludf.DUMMYFUNCTION("""COMPUTED_VALUE"""),"Bekari Utara")</f>
        <v>Bekari Utara</v>
      </c>
      <c r="Y499" s="80" t="str">
        <f>IFERROR(__xludf.DUMMYFUNCTION("""COMPUTED_VALUE"""),"Kota Bekasi")</f>
        <v>Kota Bekasi</v>
      </c>
      <c r="Z499" s="80" t="str">
        <f>IFERROR(__xludf.DUMMYFUNCTION("""COMPUTED_VALUE"""),"Jawa Barat")</f>
        <v>Jawa Barat</v>
      </c>
      <c r="AA499" s="80" t="str">
        <f>IFERROR(__xludf.DUMMYFUNCTION("""COMPUTED_VALUE"""),"17124")</f>
        <v>17124</v>
      </c>
      <c r="AB499" s="80" t="str">
        <f>IFERROR(__xludf.DUMMYFUNCTION("""COMPUTED_VALUE"""),"3275031307680031")</f>
        <v>3275031307680031</v>
      </c>
      <c r="AC499" s="80" t="str">
        <f>IFERROR(__xludf.DUMMYFUNCTION("""COMPUTED_VALUE"""),"36.471.155.6-407.000")</f>
        <v>36.471.155.6-407.000</v>
      </c>
      <c r="AD499" s="80" t="str">
        <f>IFERROR(__xludf.DUMMYFUNCTION("""COMPUTED_VALUE"""),"CUM - PS - AYS")</f>
        <v>CUM - PS - AYS</v>
      </c>
      <c r="AE499" s="80" t="str">
        <f>IFERROR(__xludf.DUMMYFUNCTION("""COMPUTED_VALUE"""),"SUB YUNUS POS")</f>
        <v>SUB YUNUS POS</v>
      </c>
      <c r="AF499" s="80" t="str">
        <f>IFERROR(__xludf.DUMMYFUNCTION("""COMPUTED_VALUE"""),"0817115686")</f>
        <v>0817115686</v>
      </c>
      <c r="AG499" s="80"/>
      <c r="AH499" s="80" t="str">
        <f>IFERROR(__xludf.DUMMYFUNCTION("""COMPUTED_VALUE"""),"ragilzainudin70@gmail.com")</f>
        <v>ragilzainudin70@gmail.com</v>
      </c>
      <c r="AI499" s="80"/>
      <c r="AJ499" s="80"/>
      <c r="AK499" s="80"/>
      <c r="AL499" s="80"/>
      <c r="AM499" s="80" t="str">
        <f>IFERROR(__xludf.DUMMYFUNCTION("""COMPUTED_VALUE"""),"KANTOR REGIONAL II JAKARTA 10004")</f>
        <v>KANTOR REGIONAL II JAKARTA 10004</v>
      </c>
      <c r="AN499" s="80" t="str">
        <f>IFERROR(__xludf.DUMMYFUNCTION("""COMPUTED_VALUE"""),"KCU BEKASI 17000")</f>
        <v>KCU BEKASI 17000</v>
      </c>
      <c r="AO499" s="80" t="str">
        <f>IFERROR(__xludf.DUMMYFUNCTION("""COMPUTED_VALUE"""),"2705250089989")</f>
        <v>2705250089989</v>
      </c>
      <c r="AP499" s="80" t="str">
        <f>IFERROR(__xludf.DUMMYFUNCTION("""COMPUTED_VALUE"""),"27052500899890001")</f>
        <v>27052500899890001</v>
      </c>
      <c r="AQ499" s="83"/>
      <c r="AR499" s="80"/>
      <c r="AS499" s="80"/>
      <c r="AT499" s="80" t="str">
        <f>IFERROR(__xludf.DUMMYFUNCTION("""COMPUTED_VALUE"""),"-6.204986")</f>
        <v>-6.204986</v>
      </c>
      <c r="AU499" s="80" t="str">
        <f>IFERROR(__xludf.DUMMYFUNCTION("""COMPUTED_VALUE"""),"107.002499")</f>
        <v>107.002499</v>
      </c>
      <c r="AV499" s="80"/>
      <c r="AW499" s="80"/>
      <c r="AX499" s="80" t="str">
        <f>IFERROR(__xludf.DUMMYFUNCTION("""COMPUTED_VALUE"""),"h")</f>
        <v>h</v>
      </c>
      <c r="AY499" s="80"/>
      <c r="AZ499" s="80"/>
      <c r="BA499" s="80"/>
      <c r="BB499" s="80"/>
      <c r="BC499" s="80"/>
      <c r="BD499" s="80"/>
      <c r="BE499" s="80"/>
      <c r="BF499" s="80"/>
      <c r="BG499" s="80"/>
      <c r="BH499" s="80"/>
      <c r="BI499" s="80"/>
      <c r="BJ499" s="80"/>
      <c r="BK499" s="80"/>
      <c r="BL499" s="80"/>
      <c r="BM499" s="80"/>
      <c r="BN499" s="80"/>
      <c r="BO499" s="80"/>
      <c r="BP499" s="80"/>
      <c r="BQ499" s="80"/>
      <c r="BR499" s="80"/>
      <c r="BS499" s="80"/>
      <c r="BT499" s="80"/>
      <c r="BU499" s="80"/>
      <c r="BV499" s="80"/>
      <c r="BW499" s="80"/>
      <c r="BX499" s="80" t="str">
        <f>IFERROR(__xludf.DUMMYFUNCTION("""COMPUTED_VALUE"""),"MULTIKURIR - TIKI")</f>
        <v>MULTIKURIR - TIKI</v>
      </c>
      <c r="BY499" s="80"/>
      <c r="BZ499" s="80"/>
      <c r="CA499" s="80"/>
      <c r="CB499" s="80"/>
      <c r="CC499" s="80"/>
      <c r="CD499" s="80"/>
      <c r="CE499" s="80"/>
      <c r="CF499" s="80"/>
      <c r="CG499" s="80"/>
      <c r="CH499" s="80"/>
      <c r="CI499" s="80"/>
      <c r="CJ499" s="80"/>
      <c r="CK499" s="2"/>
    </row>
    <row r="500" ht="12.75" customHeight="1">
      <c r="A500" s="85">
        <f>IFERROR(__xludf.DUMMYFUNCTION("""COMPUTED_VALUE"""),497.0)</f>
        <v>497</v>
      </c>
      <c r="B500" s="85"/>
      <c r="C500" s="85"/>
      <c r="D500" s="86">
        <f>IFERROR(__xludf.DUMMYFUNCTION("""COMPUTED_VALUE"""),45811.0)</f>
        <v>45811</v>
      </c>
      <c r="E500" s="88"/>
      <c r="F500" s="85"/>
      <c r="G500" s="86">
        <f>IFERROR(__xludf.DUMMYFUNCTION("""COMPUTED_VALUE"""),45837.0)</f>
        <v>45837</v>
      </c>
      <c r="H500" s="85"/>
      <c r="I500" s="85"/>
      <c r="J500" s="85"/>
      <c r="K500" s="85"/>
      <c r="L500" s="85">
        <f>IFERROR(__xludf.DUMMYFUNCTION("""COMPUTED_VALUE"""),26.0)</f>
        <v>26</v>
      </c>
      <c r="M500" s="85" t="str">
        <f>IFERROR(__xludf.DUMMYFUNCTION("""COMPUTED_VALUE"""),"ü")</f>
        <v>ü</v>
      </c>
      <c r="N500" s="85"/>
      <c r="O500" s="85"/>
      <c r="P500" s="85" t="str">
        <f>IFERROR(__xludf.DUMMYFUNCTION("""COMPUTED_VALUE"""),"MUCSPA63144PSIND")</f>
        <v>MUCSPA63144PSIND</v>
      </c>
      <c r="Q500" s="85" t="str">
        <f>IFERROR(__xludf.DUMMYFUNCTION("""COMPUTED_VALUE"""),"MUC NOVA")</f>
        <v>MUC NOVA</v>
      </c>
      <c r="R500" s="85" t="str">
        <f>IFERROR(__xludf.DUMMYFUNCTION("""COMPUTED_VALUE"""),"MUC NOVA")</f>
        <v>MUC NOVA</v>
      </c>
      <c r="S500" s="85" t="str">
        <f>IFERROR(__xludf.DUMMYFUNCTION("""COMPUTED_VALUE"""),"DEVI HARJANTA")</f>
        <v>DEVI HARJANTA</v>
      </c>
      <c r="T500" s="85" t="str">
        <f>IFERROR(__xludf.DUMMYFUNCTION("""COMPUTED_VALUE"""),"PERUM NYANTONG PERMAI RT/RW:005/018 KEL.KAHURPIAN KEC.TAWANG KOTA TASIKMALAYA")</f>
        <v>PERUM NYANTONG PERMAI RT/RW:005/018 KEL.KAHURPIAN KEC.TAWANG KOTA TASIKMALAYA</v>
      </c>
      <c r="U500" s="85" t="str">
        <f>IFERROR(__xludf.DUMMYFUNCTION("""COMPUTED_VALUE"""),"Perum Nyantong Permai RT.005 RW.018 ")</f>
        <v>Perum Nyantong Permai RT.005 RW.018 </v>
      </c>
      <c r="V500" s="85"/>
      <c r="W500" s="85" t="str">
        <f>IFERROR(__xludf.DUMMYFUNCTION("""COMPUTED_VALUE"""),"Kahuripan")</f>
        <v>Kahuripan</v>
      </c>
      <c r="X500" s="85" t="str">
        <f>IFERROR(__xludf.DUMMYFUNCTION("""COMPUTED_VALUE"""),"Tawang")</f>
        <v>Tawang</v>
      </c>
      <c r="Y500" s="85" t="str">
        <f>IFERROR(__xludf.DUMMYFUNCTION("""COMPUTED_VALUE"""),"kota Tasikmalaya")</f>
        <v>kota Tasikmalaya</v>
      </c>
      <c r="Z500" s="85" t="str">
        <f>IFERROR(__xludf.DUMMYFUNCTION("""COMPUTED_VALUE"""),"Jawa Barat")</f>
        <v>Jawa Barat</v>
      </c>
      <c r="AA500" s="85" t="str">
        <f>IFERROR(__xludf.DUMMYFUNCTION("""COMPUTED_VALUE"""),"46123")</f>
        <v>46123</v>
      </c>
      <c r="AB500" s="85" t="str">
        <f>IFERROR(__xludf.DUMMYFUNCTION("""COMPUTED_VALUE"""),"3278032102710007")</f>
        <v>3278032102710007</v>
      </c>
      <c r="AC500" s="85" t="str">
        <f>IFERROR(__xludf.DUMMYFUNCTION("""COMPUTED_VALUE"""),"24.693.499.6-425.000")</f>
        <v>24.693.499.6-425.000</v>
      </c>
      <c r="AD500" s="85" t="str">
        <f>IFERROR(__xludf.DUMMYFUNCTION("""COMPUTED_VALUE"""),"CUM - PS - IKF")</f>
        <v>CUM - PS - IKF</v>
      </c>
      <c r="AE500" s="85" t="str">
        <f>IFERROR(__xludf.DUMMYFUNCTION("""COMPUTED_VALUE"""),"SUB IKHFAN POS")</f>
        <v>SUB IKHFAN POS</v>
      </c>
      <c r="AF500" s="85" t="str">
        <f>IFERROR(__xludf.DUMMYFUNCTION("""COMPUTED_VALUE"""),"085232510949")</f>
        <v>085232510949</v>
      </c>
      <c r="AG500" s="85"/>
      <c r="AH500" s="85" t="str">
        <f>IFERROR(__xludf.DUMMYFUNCTION("""COMPUTED_VALUE"""),"Petrusdevi82668@gmail.com")</f>
        <v>Petrusdevi82668@gmail.com</v>
      </c>
      <c r="AI500" s="85" t="str">
        <f>IFERROR(__xludf.DUMMYFUNCTION("""COMPUTED_VALUE"""),"46115S3")</f>
        <v>46115S3</v>
      </c>
      <c r="AJ500" s="85" t="str">
        <f>IFERROR(__xludf.DUMMYFUNCTION("""COMPUTED_VALUE"""),"6860a4391096b2e9f20e7bcf")</f>
        <v>6860a4391096b2e9f20e7bcf</v>
      </c>
      <c r="AK500" s="85" t="str">
        <f>IFERROR(__xludf.DUMMYFUNCTION("""COMPUTED_VALUE"""),"dm46115s3")</f>
        <v>dm46115s3</v>
      </c>
      <c r="AL500" s="85" t="str">
        <f>IFERROR(__xludf.DUMMYFUNCTION("""COMPUTED_VALUE"""),"#46115Pos")</f>
        <v>#46115Pos</v>
      </c>
      <c r="AM500" s="85" t="str">
        <f>IFERROR(__xludf.DUMMYFUNCTION("""COMPUTED_VALUE"""),"KANTOR REGIONAL III BANDUNG 40004")</f>
        <v>KANTOR REGIONAL III BANDUNG 40004</v>
      </c>
      <c r="AN500" s="85" t="str">
        <f>IFERROR(__xludf.DUMMYFUNCTION("""COMPUTED_VALUE"""),"KC TASIKMALAYA")</f>
        <v>KC TASIKMALAYA</v>
      </c>
      <c r="AO500" s="85" t="str">
        <f>IFERROR(__xludf.DUMMYFUNCTION("""COMPUTED_VALUE"""),"3103230016488")</f>
        <v>3103230016488</v>
      </c>
      <c r="AP500" s="85" t="str">
        <f>IFERROR(__xludf.DUMMYFUNCTION("""COMPUTED_VALUE"""),"31032300164880001")</f>
        <v>31032300164880001</v>
      </c>
      <c r="AQ500" s="93"/>
      <c r="AR500" s="85"/>
      <c r="AS500" s="85"/>
      <c r="AT500" s="85" t="str">
        <f>IFERROR(__xludf.DUMMYFUNCTION("""COMPUTED_VALUE"""),"-7.341009")</f>
        <v>-7.341009</v>
      </c>
      <c r="AU500" s="85" t="str">
        <f>IFERROR(__xludf.DUMMYFUNCTION("""COMPUTED_VALUE"""),"108,226,731")</f>
        <v>108,226,731</v>
      </c>
      <c r="AV500" s="85"/>
      <c r="AW500" s="85"/>
      <c r="AX500" s="85" t="str">
        <f>IFERROR(__xludf.DUMMYFUNCTION("""COMPUTED_VALUE"""),"h")</f>
        <v>h</v>
      </c>
      <c r="AY500" s="85"/>
      <c r="AZ500" s="85"/>
      <c r="BA500" s="85"/>
      <c r="BB500" s="85"/>
      <c r="BC500" s="85"/>
      <c r="BD500" s="85"/>
      <c r="BE500" s="85"/>
      <c r="BF500" s="85"/>
      <c r="BG500" s="85"/>
      <c r="BH500" s="85"/>
      <c r="BI500" s="85"/>
      <c r="BJ500" s="85"/>
      <c r="BK500" s="85"/>
      <c r="BL500" s="85"/>
      <c r="BM500" s="85"/>
      <c r="BN500" s="85"/>
      <c r="BO500" s="85"/>
      <c r="BP500" s="85"/>
      <c r="BQ500" s="85"/>
      <c r="BR500" s="85"/>
      <c r="BS500" s="85"/>
      <c r="BT500" s="85"/>
      <c r="BU500" s="85"/>
      <c r="BV500" s="85"/>
      <c r="BW500" s="85"/>
      <c r="BX500" s="85" t="str">
        <f>IFERROR(__xludf.DUMMYFUNCTION("""COMPUTED_VALUE"""),"NEWBIE")</f>
        <v>NEWBIE</v>
      </c>
      <c r="BY500" s="85"/>
      <c r="BZ500" s="85"/>
      <c r="CA500" s="85"/>
      <c r="CB500" s="85"/>
      <c r="CC500" s="85"/>
      <c r="CD500" s="85"/>
      <c r="CE500" s="85"/>
      <c r="CF500" s="85"/>
      <c r="CG500" s="85"/>
      <c r="CH500" s="85"/>
      <c r="CI500" s="85"/>
      <c r="CJ500" s="85"/>
      <c r="CK500" s="2"/>
    </row>
    <row r="501" ht="12.75" customHeight="1">
      <c r="A501" s="80">
        <f>IFERROR(__xludf.DUMMYFUNCTION("""COMPUTED_VALUE"""),498.0)</f>
        <v>498</v>
      </c>
      <c r="B501" s="80"/>
      <c r="C501" s="80"/>
      <c r="D501" s="81">
        <f>IFERROR(__xludf.DUMMYFUNCTION("""COMPUTED_VALUE"""),45812.0)</f>
        <v>45812</v>
      </c>
      <c r="E501" s="82"/>
      <c r="F501" s="80"/>
      <c r="G501" s="81"/>
      <c r="H501" s="80"/>
      <c r="I501" s="80"/>
      <c r="J501" s="80"/>
      <c r="K501" s="80"/>
      <c r="L501" s="80"/>
      <c r="M501" s="80"/>
      <c r="N501" s="80" t="str">
        <f>IFERROR(__xludf.DUMMYFUNCTION("""COMPUTED_VALUE"""),"ü")</f>
        <v>ü</v>
      </c>
      <c r="O501" s="80"/>
      <c r="P501" s="80" t="str">
        <f>IFERROR(__xludf.DUMMYFUNCTION("""COMPUTED_VALUE"""),"MLO5500030CUMPOS")</f>
        <v>MLO5500030CUMPOS</v>
      </c>
      <c r="Q501" s="80" t="str">
        <f>IFERROR(__xludf.DUMMYFUNCTION("""COMPUTED_VALUE"""),"MUC ALBI COLLECTION")</f>
        <v>MUC ALBI COLLECTION</v>
      </c>
      <c r="R501" s="80" t="str">
        <f>IFERROR(__xludf.DUMMYFUNCTION("""COMPUTED_VALUE"""),"MUC ALBI COLLECTION")</f>
        <v>MUC ALBI COLLECTION</v>
      </c>
      <c r="S501" s="80" t="str">
        <f>IFERROR(__xludf.DUMMYFUNCTION("""COMPUTED_VALUE"""),"SRI HARTINI")</f>
        <v>SRI HARTINI</v>
      </c>
      <c r="T501" s="80" t="str">
        <f>IFERROR(__xludf.DUMMYFUNCTION("""COMPUTED_VALUE"""),"BLOK.01 RT.001 RW.003 KEL SUKADANA KEC PABUARAN KAB.CIREBON")</f>
        <v>BLOK.01 RT.001 RW.003 KEL SUKADANA KEC PABUARAN KAB.CIREBON</v>
      </c>
      <c r="U501" s="80" t="str">
        <f>IFERROR(__xludf.DUMMYFUNCTION("""COMPUTED_VALUE"""),"Jl Raya Dewi Sartika")</f>
        <v>Jl Raya Dewi Sartika</v>
      </c>
      <c r="V501" s="80"/>
      <c r="W501" s="80" t="str">
        <f>IFERROR(__xludf.DUMMYFUNCTION("""COMPUTED_VALUE"""),"Waled Kota")</f>
        <v>Waled Kota</v>
      </c>
      <c r="X501" s="80" t="str">
        <f>IFERROR(__xludf.DUMMYFUNCTION("""COMPUTED_VALUE"""),"Waled")</f>
        <v>Waled</v>
      </c>
      <c r="Y501" s="80" t="str">
        <f>IFERROR(__xludf.DUMMYFUNCTION("""COMPUTED_VALUE"""),"Kab. Cirebon")</f>
        <v>Kab. Cirebon</v>
      </c>
      <c r="Z501" s="80" t="str">
        <f>IFERROR(__xludf.DUMMYFUNCTION("""COMPUTED_VALUE"""),"Jawa Barat")</f>
        <v>Jawa Barat</v>
      </c>
      <c r="AA501" s="80" t="str">
        <f>IFERROR(__xludf.DUMMYFUNCTION("""COMPUTED_VALUE"""),"45188")</f>
        <v>45188</v>
      </c>
      <c r="AB501" s="80" t="str">
        <f>IFERROR(__xludf.DUMMYFUNCTION("""COMPUTED_VALUE"""),"3209025612940004")</f>
        <v>3209025612940004</v>
      </c>
      <c r="AC501" s="80" t="str">
        <f>IFERROR(__xludf.DUMMYFUNCTION("""COMPUTED_VALUE"""),"65.363.073.1-455.000")</f>
        <v>65.363.073.1-455.000</v>
      </c>
      <c r="AD501" s="80" t="str">
        <f>IFERROR(__xludf.DUMMYFUNCTION("""COMPUTED_VALUE"""),"CUM - PS - NONKORGEN")</f>
        <v>CUM - PS - NONKORGEN</v>
      </c>
      <c r="AE501" s="80" t="str">
        <f>IFERROR(__xludf.DUMMYFUNCTION("""COMPUTED_VALUE"""),"KCU CIREBON")</f>
        <v>KCU CIREBON</v>
      </c>
      <c r="AF501" s="80" t="str">
        <f>IFERROR(__xludf.DUMMYFUNCTION("""COMPUTED_VALUE"""),"081388521715")</f>
        <v>081388521715</v>
      </c>
      <c r="AG501" s="80"/>
      <c r="AH501" s="80" t="str">
        <f>IFERROR(__xludf.DUMMYFUNCTION("""COMPUTED_VALUE"""),"albicollection915@gmail.com")</f>
        <v>albicollection915@gmail.com</v>
      </c>
      <c r="AI501" s="80" t="str">
        <f>IFERROR(__xludf.DUMMYFUNCTION("""COMPUTED_VALUE"""),"45687S2")</f>
        <v>45687S2</v>
      </c>
      <c r="AJ501" s="80" t="str">
        <f>IFERROR(__xludf.DUMMYFUNCTION("""COMPUTED_VALUE"""),"6864388263b2476e130dda4c")</f>
        <v>6864388263b2476e130dda4c</v>
      </c>
      <c r="AK501" s="80" t="str">
        <f>IFERROR(__xludf.DUMMYFUNCTION("""COMPUTED_VALUE"""),"dm45687s2")</f>
        <v>dm45687s2</v>
      </c>
      <c r="AL501" s="80" t="str">
        <f>IFERROR(__xludf.DUMMYFUNCTION("""COMPUTED_VALUE"""),"#45687Pos")</f>
        <v>#45687Pos</v>
      </c>
      <c r="AM501" s="80" t="str">
        <f>IFERROR(__xludf.DUMMYFUNCTION("""COMPUTED_VALUE"""),"KANTOR REGIONAL III BANDUNG 40004")</f>
        <v>KANTOR REGIONAL III BANDUNG 40004</v>
      </c>
      <c r="AN501" s="80" t="str">
        <f>IFERROR(__xludf.DUMMYFUNCTION("""COMPUTED_VALUE"""),"KCU CIREBON 45100")</f>
        <v>KCU CIREBON 45100</v>
      </c>
      <c r="AO501" s="80" t="str">
        <f>IFERROR(__xludf.DUMMYFUNCTION("""COMPUTED_VALUE"""),"0206250078424")</f>
        <v>0206250078424</v>
      </c>
      <c r="AP501" s="80" t="str">
        <f>IFERROR(__xludf.DUMMYFUNCTION("""COMPUTED_VALUE"""),"02062500784240001")</f>
        <v>02062500784240001</v>
      </c>
      <c r="AQ501" s="83"/>
      <c r="AR501" s="80"/>
      <c r="AS501" s="80"/>
      <c r="AT501" s="80" t="str">
        <f>IFERROR(__xludf.DUMMYFUNCTION("""COMPUTED_VALUE"""),"-6.914192")</f>
        <v>-6.914192</v>
      </c>
      <c r="AU501" s="80" t="str">
        <f>IFERROR(__xludf.DUMMYFUNCTION("""COMPUTED_VALUE"""),"108.723528")</f>
        <v>108.723528</v>
      </c>
      <c r="AV501" s="80"/>
      <c r="AW501" s="80"/>
      <c r="AX501" s="80" t="str">
        <f>IFERROR(__xludf.DUMMYFUNCTION("""COMPUTED_VALUE"""),"h")</f>
        <v>h</v>
      </c>
      <c r="AY501" s="80"/>
      <c r="AZ501" s="80"/>
      <c r="BA501" s="80"/>
      <c r="BB501" s="80"/>
      <c r="BC501" s="80"/>
      <c r="BD501" s="80"/>
      <c r="BE501" s="80"/>
      <c r="BF501" s="80"/>
      <c r="BG501" s="80"/>
      <c r="BH501" s="80"/>
      <c r="BI501" s="80"/>
      <c r="BJ501" s="80"/>
      <c r="BK501" s="80"/>
      <c r="BL501" s="80"/>
      <c r="BM501" s="80"/>
      <c r="BN501" s="80"/>
      <c r="BO501" s="80"/>
      <c r="BP501" s="80"/>
      <c r="BQ501" s="80"/>
      <c r="BR501" s="80"/>
      <c r="BS501" s="80"/>
      <c r="BT501" s="80"/>
      <c r="BU501" s="80"/>
      <c r="BV501" s="80"/>
      <c r="BW501" s="80"/>
      <c r="BX501" s="80" t="str">
        <f>IFERROR(__xludf.DUMMYFUNCTION("""COMPUTED_VALUE"""),"POS KCP")</f>
        <v>POS KCP</v>
      </c>
      <c r="BY501" s="80"/>
      <c r="BZ501" s="80"/>
      <c r="CA501" s="80"/>
      <c r="CB501" s="80"/>
      <c r="CC501" s="80"/>
      <c r="CD501" s="80"/>
      <c r="CE501" s="80"/>
      <c r="CF501" s="80"/>
      <c r="CG501" s="80"/>
      <c r="CH501" s="80"/>
      <c r="CI501" s="80"/>
      <c r="CJ501" s="80"/>
      <c r="CK501" s="2"/>
    </row>
    <row r="502" ht="12.75" customHeight="1">
      <c r="A502" s="85">
        <f>IFERROR(__xludf.DUMMYFUNCTION("""COMPUTED_VALUE"""),499.0)</f>
        <v>499</v>
      </c>
      <c r="B502" s="85"/>
      <c r="C502" s="85"/>
      <c r="D502" s="86">
        <f>IFERROR(__xludf.DUMMYFUNCTION("""COMPUTED_VALUE"""),45812.0)</f>
        <v>45812</v>
      </c>
      <c r="E502" s="88"/>
      <c r="F502" s="85"/>
      <c r="G502" s="86"/>
      <c r="H502" s="85"/>
      <c r="I502" s="85"/>
      <c r="J502" s="85"/>
      <c r="K502" s="85"/>
      <c r="L502" s="85"/>
      <c r="M502" s="85" t="str">
        <f>IFERROR(__xludf.DUMMYFUNCTION("""COMPUTED_VALUE"""),"ü")</f>
        <v>ü</v>
      </c>
      <c r="N502" s="85"/>
      <c r="O502" s="85"/>
      <c r="P502" s="85" t="str">
        <f>IFERROR(__xludf.DUMMYFUNCTION("""COMPUTED_VALUE"""),"MUCSPA63145PSIND")</f>
        <v>MUCSPA63145PSIND</v>
      </c>
      <c r="Q502" s="85" t="str">
        <f>IFERROR(__xludf.DUMMYFUNCTION("""COMPUTED_VALUE"""),"MUC Nakula")</f>
        <v>MUC Nakula</v>
      </c>
      <c r="R502" s="85" t="str">
        <f>IFERROR(__xludf.DUMMYFUNCTION("""COMPUTED_VALUE"""),"MUC Nakula")</f>
        <v>MUC Nakula</v>
      </c>
      <c r="S502" s="85" t="str">
        <f>IFERROR(__xludf.DUMMYFUNCTION("""COMPUTED_VALUE"""),"Arief Kurniawan")</f>
        <v>Arief Kurniawan</v>
      </c>
      <c r="T502" s="85" t="str">
        <f>IFERROR(__xludf.DUMMYFUNCTION("""COMPUTED_VALUE"""),"Jl Nakula 16 Serengan Surakarta")</f>
        <v>Jl Nakula 16 Serengan Surakarta</v>
      </c>
      <c r="U502" s="85" t="str">
        <f>IFERROR(__xludf.DUMMYFUNCTION("""COMPUTED_VALUE"""),"Jl Nakula 16a Serengan Surakarta")</f>
        <v>Jl Nakula 16a Serengan Surakarta</v>
      </c>
      <c r="V502" s="85"/>
      <c r="W502" s="85" t="str">
        <f>IFERROR(__xludf.DUMMYFUNCTION("""COMPUTED_VALUE"""),"Serengan")</f>
        <v>Serengan</v>
      </c>
      <c r="X502" s="85" t="str">
        <f>IFERROR(__xludf.DUMMYFUNCTION("""COMPUTED_VALUE"""),"Serengan")</f>
        <v>Serengan</v>
      </c>
      <c r="Y502" s="85" t="str">
        <f>IFERROR(__xludf.DUMMYFUNCTION("""COMPUTED_VALUE"""),"Surakarta")</f>
        <v>Surakarta</v>
      </c>
      <c r="Z502" s="85" t="str">
        <f>IFERROR(__xludf.DUMMYFUNCTION("""COMPUTED_VALUE"""),"Jawa Tengah")</f>
        <v>Jawa Tengah</v>
      </c>
      <c r="AA502" s="85" t="str">
        <f>IFERROR(__xludf.DUMMYFUNCTION("""COMPUTED_VALUE"""),"57155")</f>
        <v>57155</v>
      </c>
      <c r="AB502" s="85" t="str">
        <f>IFERROR(__xludf.DUMMYFUNCTION("""COMPUTED_VALUE"""),"3372022209880001")</f>
        <v>3372022209880001</v>
      </c>
      <c r="AC502" s="85" t="str">
        <f>IFERROR(__xludf.DUMMYFUNCTION("""COMPUTED_VALUE"""),"58.948.746.1-526.000")</f>
        <v>58.948.746.1-526.000</v>
      </c>
      <c r="AD502" s="85" t="str">
        <f>IFERROR(__xludf.DUMMYFUNCTION("""COMPUTED_VALUE"""),"CUM - PS - RFSI")</f>
        <v>CUM - PS - RFSI</v>
      </c>
      <c r="AE502" s="85" t="str">
        <f>IFERROR(__xludf.DUMMYFUNCTION("""COMPUTED_VALUE"""),"SUB RIZKI POS")</f>
        <v>SUB RIZKI POS</v>
      </c>
      <c r="AF502" s="85" t="str">
        <f>IFERROR(__xludf.DUMMYFUNCTION("""COMPUTED_VALUE"""),"08562820974")</f>
        <v>08562820974</v>
      </c>
      <c r="AG502" s="85"/>
      <c r="AH502" s="85" t="str">
        <f>IFERROR(__xludf.DUMMYFUNCTION("""COMPUTED_VALUE"""),"ariefkurniawan0909@gmail.com")</f>
        <v>ariefkurniawan0909@gmail.com</v>
      </c>
      <c r="AI502" s="85" t="str">
        <f>IFERROR(__xludf.DUMMYFUNCTION("""COMPUTED_VALUE"""),"57155S2")</f>
        <v>57155S2</v>
      </c>
      <c r="AJ502" s="85" t="str">
        <f>IFERROR(__xludf.DUMMYFUNCTION("""COMPUTED_VALUE"""),"686bd8f8fc9cb47de0031b5b")</f>
        <v>686bd8f8fc9cb47de0031b5b</v>
      </c>
      <c r="AK502" s="85" t="str">
        <f>IFERROR(__xludf.DUMMYFUNCTION("""COMPUTED_VALUE"""),"dm57155s2")</f>
        <v>dm57155s2</v>
      </c>
      <c r="AL502" s="85" t="str">
        <f>IFERROR(__xludf.DUMMYFUNCTION("""COMPUTED_VALUE"""),"#57155Pos")</f>
        <v>#57155Pos</v>
      </c>
      <c r="AM502" s="85" t="str">
        <f>IFERROR(__xludf.DUMMYFUNCTION("""COMPUTED_VALUE"""),"KANTOR REGIONAL IV SEMARANG 50004")</f>
        <v>KANTOR REGIONAL IV SEMARANG 50004</v>
      </c>
      <c r="AN502" s="85" t="str">
        <f>IFERROR(__xludf.DUMMYFUNCTION("""COMPUTED_VALUE"""),"KCU SOLO 57100")</f>
        <v>KCU SOLO 57100</v>
      </c>
      <c r="AO502" s="85" t="str">
        <f>IFERROR(__xludf.DUMMYFUNCTION("""COMPUTED_VALUE"""),"0306250071791")</f>
        <v>0306250071791</v>
      </c>
      <c r="AP502" s="85" t="str">
        <f>IFERROR(__xludf.DUMMYFUNCTION("""COMPUTED_VALUE"""),"03062500717910001")</f>
        <v>03062500717910001</v>
      </c>
      <c r="AQ502" s="93"/>
      <c r="AR502" s="85"/>
      <c r="AS502" s="85"/>
      <c r="AT502" s="85" t="str">
        <f>IFERROR(__xludf.DUMMYFUNCTION("""COMPUTED_VALUE"""),"-7.583622")</f>
        <v>-7.583622</v>
      </c>
      <c r="AU502" s="85" t="str">
        <f>IFERROR(__xludf.DUMMYFUNCTION("""COMPUTED_VALUE"""),"110.815681")</f>
        <v>110.815681</v>
      </c>
      <c r="AV502" s="85"/>
      <c r="AW502" s="85"/>
      <c r="AX502" s="85" t="str">
        <f>IFERROR(__xludf.DUMMYFUNCTION("""COMPUTED_VALUE"""),"h")</f>
        <v>h</v>
      </c>
      <c r="AY502" s="85"/>
      <c r="AZ502" s="85"/>
      <c r="BA502" s="85"/>
      <c r="BB502" s="85"/>
      <c r="BC502" s="85"/>
      <c r="BD502" s="85"/>
      <c r="BE502" s="85"/>
      <c r="BF502" s="85"/>
      <c r="BG502" s="85"/>
      <c r="BH502" s="85"/>
      <c r="BI502" s="85"/>
      <c r="BJ502" s="85"/>
      <c r="BK502" s="85"/>
      <c r="BL502" s="85"/>
      <c r="BM502" s="85"/>
      <c r="BN502" s="85"/>
      <c r="BO502" s="85"/>
      <c r="BP502" s="85"/>
      <c r="BQ502" s="85"/>
      <c r="BR502" s="85"/>
      <c r="BS502" s="85"/>
      <c r="BT502" s="85"/>
      <c r="BU502" s="85"/>
      <c r="BV502" s="85"/>
      <c r="BW502" s="85"/>
      <c r="BX502" s="85" t="str">
        <f>IFERROR(__xludf.DUMMYFUNCTION("""COMPUTED_VALUE"""),"NEWBIE")</f>
        <v>NEWBIE</v>
      </c>
      <c r="BY502" s="85"/>
      <c r="BZ502" s="85"/>
      <c r="CA502" s="85"/>
      <c r="CB502" s="85"/>
      <c r="CC502" s="85"/>
      <c r="CD502" s="85"/>
      <c r="CE502" s="85"/>
      <c r="CF502" s="85"/>
      <c r="CG502" s="85"/>
      <c r="CH502" s="85"/>
      <c r="CI502" s="85"/>
      <c r="CJ502" s="85"/>
      <c r="CK502" s="2"/>
    </row>
    <row r="503" ht="12.75" customHeight="1">
      <c r="A503" s="80">
        <f>IFERROR(__xludf.DUMMYFUNCTION("""COMPUTED_VALUE"""),500.0)</f>
        <v>500</v>
      </c>
      <c r="B503" s="80"/>
      <c r="C503" s="80"/>
      <c r="D503" s="81">
        <f>IFERROR(__xludf.DUMMYFUNCTION("""COMPUTED_VALUE"""),45812.0)</f>
        <v>45812</v>
      </c>
      <c r="E503" s="82"/>
      <c r="F503" s="80"/>
      <c r="G503" s="81">
        <f>IFERROR(__xludf.DUMMYFUNCTION("""COMPUTED_VALUE"""),45837.0)</f>
        <v>45837</v>
      </c>
      <c r="H503" s="80"/>
      <c r="I503" s="80"/>
      <c r="J503" s="80"/>
      <c r="K503" s="80"/>
      <c r="L503" s="80">
        <f>IFERROR(__xludf.DUMMYFUNCTION("""COMPUTED_VALUE"""),25.0)</f>
        <v>25</v>
      </c>
      <c r="M503" s="80" t="str">
        <f>IFERROR(__xludf.DUMMYFUNCTION("""COMPUTED_VALUE"""),"ü")</f>
        <v>ü</v>
      </c>
      <c r="N503" s="80"/>
      <c r="O503" s="80"/>
      <c r="P503" s="80" t="str">
        <f>IFERROR(__xludf.DUMMYFUNCTION("""COMPUTED_VALUE"""),"MUCSPA63146PSIND")</f>
        <v>MUCSPA63146PSIND</v>
      </c>
      <c r="Q503" s="80" t="str">
        <f>IFERROR(__xludf.DUMMYFUNCTION("""COMPUTED_VALUE"""),"MUC KUD Margoyoso")</f>
        <v>MUC KUD Margoyoso</v>
      </c>
      <c r="R503" s="80" t="str">
        <f>IFERROR(__xludf.DUMMYFUNCTION("""COMPUTED_VALUE"""),"MUC KUD Margoyoso")</f>
        <v>MUC KUD Margoyoso</v>
      </c>
      <c r="S503" s="80" t="str">
        <f>IFERROR(__xludf.DUMMYFUNCTION("""COMPUTED_VALUE"""),"Arwani")</f>
        <v>Arwani</v>
      </c>
      <c r="T503" s="80" t="str">
        <f>IFERROR(__xludf.DUMMYFUNCTION("""COMPUTED_VALUE"""),"Desa Margoyoso RT 1/RW 1, Kecamatan Margoyoso, Kab. Pati")</f>
        <v>Desa Margoyoso RT 1/RW 1, Kecamatan Margoyoso, Kab. Pati</v>
      </c>
      <c r="U503" s="80" t="str">
        <f>IFERROR(__xludf.DUMMYFUNCTION("""COMPUTED_VALUE"""),"Jl. Raya Pati-Tayu Km 20")</f>
        <v>Jl. Raya Pati-Tayu Km 20</v>
      </c>
      <c r="V503" s="80"/>
      <c r="W503" s="80" t="str">
        <f>IFERROR(__xludf.DUMMYFUNCTION("""COMPUTED_VALUE"""),"Purworejo ")</f>
        <v>Purworejo </v>
      </c>
      <c r="X503" s="80" t="str">
        <f>IFERROR(__xludf.DUMMYFUNCTION("""COMPUTED_VALUE"""),"Margoyoso")</f>
        <v>Margoyoso</v>
      </c>
      <c r="Y503" s="80" t="str">
        <f>IFERROR(__xludf.DUMMYFUNCTION("""COMPUTED_VALUE"""),"Pati")</f>
        <v>Pati</v>
      </c>
      <c r="Z503" s="80" t="str">
        <f>IFERROR(__xludf.DUMMYFUNCTION("""COMPUTED_VALUE"""),"Jawa Tengah ")</f>
        <v>Jawa Tengah </v>
      </c>
      <c r="AA503" s="80" t="str">
        <f>IFERROR(__xludf.DUMMYFUNCTION("""COMPUTED_VALUE"""),"59154")</f>
        <v>59154</v>
      </c>
      <c r="AB503" s="80" t="str">
        <f>IFERROR(__xludf.DUMMYFUNCTION("""COMPUTED_VALUE"""),"3318160505590001")</f>
        <v>3318160505590001</v>
      </c>
      <c r="AC503" s="80" t="str">
        <f>IFERROR(__xludf.DUMMYFUNCTION("""COMPUTED_VALUE"""),"01.462.365.6-507.000")</f>
        <v>01.462.365.6-507.000</v>
      </c>
      <c r="AD503" s="80" t="str">
        <f>IFERROR(__xludf.DUMMYFUNCTION("""COMPUTED_VALUE"""),"CUM - PS - EHS")</f>
        <v>CUM - PS - EHS</v>
      </c>
      <c r="AE503" s="80" t="str">
        <f>IFERROR(__xludf.DUMMYFUNCTION("""COMPUTED_VALUE"""),"SUB EKA POS")</f>
        <v>SUB EKA POS</v>
      </c>
      <c r="AF503" s="80" t="str">
        <f>IFERROR(__xludf.DUMMYFUNCTION("""COMPUTED_VALUE"""),"085228685012")</f>
        <v>085228685012</v>
      </c>
      <c r="AG503" s="80"/>
      <c r="AH503" s="80" t="str">
        <f>IFERROR(__xludf.DUMMYFUNCTION("""COMPUTED_VALUE"""),"kudmargoyoso020@gmail.com / kpm.kudmargoyoso@gmail.com")</f>
        <v>kudmargoyoso020@gmail.com / kpm.kudmargoyoso@gmail.com</v>
      </c>
      <c r="AI503" s="80" t="str">
        <f>IFERROR(__xludf.DUMMYFUNCTION("""COMPUTED_VALUE"""),"59154S3")</f>
        <v>59154S3</v>
      </c>
      <c r="AJ503" s="80" t="str">
        <f>IFERROR(__xludf.DUMMYFUNCTION("""COMPUTED_VALUE"""),"6860dc4a55e2ce850f0bcc7a")</f>
        <v>6860dc4a55e2ce850f0bcc7a</v>
      </c>
      <c r="AK503" s="80" t="str">
        <f>IFERROR(__xludf.DUMMYFUNCTION("""COMPUTED_VALUE"""),"dm59154s3")</f>
        <v>dm59154s3</v>
      </c>
      <c r="AL503" s="80" t="str">
        <f>IFERROR(__xludf.DUMMYFUNCTION("""COMPUTED_VALUE"""),"#59154Pos")</f>
        <v>#59154Pos</v>
      </c>
      <c r="AM503" s="80" t="str">
        <f>IFERROR(__xludf.DUMMYFUNCTION("""COMPUTED_VALUE"""),"KANTOR REGIONAL IV SEMARANG 50004")</f>
        <v>KANTOR REGIONAL IV SEMARANG 50004</v>
      </c>
      <c r="AN503" s="80" t="str">
        <f>IFERROR(__xludf.DUMMYFUNCTION("""COMPUTED_VALUE"""),"KC PATI 59100")</f>
        <v>KC PATI 59100</v>
      </c>
      <c r="AO503" s="80" t="str">
        <f>IFERROR(__xludf.DUMMYFUNCTION("""COMPUTED_VALUE"""),"0601250031285")</f>
        <v>0601250031285</v>
      </c>
      <c r="AP503" s="80" t="str">
        <f>IFERROR(__xludf.DUMMYFUNCTION("""COMPUTED_VALUE"""),"06012500312850002")</f>
        <v>06012500312850002</v>
      </c>
      <c r="AQ503" s="83"/>
      <c r="AR503" s="80"/>
      <c r="AS503" s="80"/>
      <c r="AT503" s="80" t="str">
        <f>IFERROR(__xludf.DUMMYFUNCTION("""COMPUTED_VALUE"""),"-6.59638")</f>
        <v>-6.59638</v>
      </c>
      <c r="AU503" s="80" t="str">
        <f>IFERROR(__xludf.DUMMYFUNCTION("""COMPUTED_VALUE"""),"111.05009")</f>
        <v>111.05009</v>
      </c>
      <c r="AV503" s="80"/>
      <c r="AW503" s="80"/>
      <c r="AX503" s="80" t="str">
        <f>IFERROR(__xludf.DUMMYFUNCTION("""COMPUTED_VALUE"""),"h")</f>
        <v>h</v>
      </c>
      <c r="AY503" s="80"/>
      <c r="AZ503" s="80"/>
      <c r="BA503" s="80"/>
      <c r="BB503" s="80"/>
      <c r="BC503" s="80"/>
      <c r="BD503" s="80"/>
      <c r="BE503" s="80"/>
      <c r="BF503" s="80"/>
      <c r="BG503" s="80"/>
      <c r="BH503" s="80"/>
      <c r="BI503" s="80"/>
      <c r="BJ503" s="80"/>
      <c r="BK503" s="80"/>
      <c r="BL503" s="80"/>
      <c r="BM503" s="80"/>
      <c r="BN503" s="80"/>
      <c r="BO503" s="80"/>
      <c r="BP503" s="80"/>
      <c r="BQ503" s="80"/>
      <c r="BR503" s="80"/>
      <c r="BS503" s="80"/>
      <c r="BT503" s="80"/>
      <c r="BU503" s="80"/>
      <c r="BV503" s="80"/>
      <c r="BW503" s="80"/>
      <c r="BX503" s="80" t="str">
        <f>IFERROR(__xludf.DUMMYFUNCTION("""COMPUTED_VALUE"""),"KUD")</f>
        <v>KUD</v>
      </c>
      <c r="BY503" s="80"/>
      <c r="BZ503" s="80"/>
      <c r="CA503" s="80"/>
      <c r="CB503" s="80"/>
      <c r="CC503" s="80"/>
      <c r="CD503" s="80"/>
      <c r="CE503" s="80"/>
      <c r="CF503" s="80"/>
      <c r="CG503" s="80"/>
      <c r="CH503" s="80"/>
      <c r="CI503" s="80"/>
      <c r="CJ503" s="80"/>
      <c r="CK503" s="2"/>
    </row>
    <row r="504" ht="12.75" customHeight="1">
      <c r="A504" s="85">
        <f>IFERROR(__xludf.DUMMYFUNCTION("""COMPUTED_VALUE"""),501.0)</f>
        <v>501</v>
      </c>
      <c r="B504" s="85"/>
      <c r="C504" s="85"/>
      <c r="D504" s="86">
        <f>IFERROR(__xludf.DUMMYFUNCTION("""COMPUTED_VALUE"""),45818.0)</f>
        <v>45818</v>
      </c>
      <c r="E504" s="88"/>
      <c r="F504" s="85"/>
      <c r="G504" s="86">
        <f>IFERROR(__xludf.DUMMYFUNCTION("""COMPUTED_VALUE"""),45838.0)</f>
        <v>45838</v>
      </c>
      <c r="H504" s="85"/>
      <c r="I504" s="85"/>
      <c r="J504" s="85"/>
      <c r="K504" s="85"/>
      <c r="L504" s="85">
        <f>IFERROR(__xludf.DUMMYFUNCTION("""COMPUTED_VALUE"""),20.0)</f>
        <v>20</v>
      </c>
      <c r="M504" s="85" t="str">
        <f>IFERROR(__xludf.DUMMYFUNCTION("""COMPUTED_VALUE"""),"ü")</f>
        <v>ü</v>
      </c>
      <c r="N504" s="85"/>
      <c r="O504" s="85"/>
      <c r="P504" s="85" t="str">
        <f>IFERROR(__xludf.DUMMYFUNCTION("""COMPUTED_VALUE"""),"53BSPA09516JBHDT")</f>
        <v>53BSPA09516JBHDT</v>
      </c>
      <c r="Q504" s="85" t="str">
        <f>IFERROR(__xludf.DUMMYFUNCTION("""COMPUTED_VALUE"""),"MUC DIRGA")</f>
        <v>MUC DIRGA</v>
      </c>
      <c r="R504" s="85" t="str">
        <f>IFERROR(__xludf.DUMMYFUNCTION("""COMPUTED_VALUE"""),"MUC DIRGA")</f>
        <v>MUC DIRGA</v>
      </c>
      <c r="S504" s="85" t="str">
        <f>IFERROR(__xludf.DUMMYFUNCTION("""COMPUTED_VALUE"""),"SEPTOVANI ADI RIYANTO")</f>
        <v>SEPTOVANI ADI RIYANTO</v>
      </c>
      <c r="T504" s="85" t="str">
        <f>IFERROR(__xludf.DUMMYFUNCTION("""COMPUTED_VALUE"""),"BAROS UTAMA NO.69 RT.003 RW.004 KEL.UTAMA KEC.CIMAHI SELATAN KOTA CIMAHI")</f>
        <v>BAROS UTAMA NO.69 RT.003 RW.004 KEL.UTAMA KEC.CIMAHI SELATAN KOTA CIMAHI</v>
      </c>
      <c r="U504" s="85" t="str">
        <f>IFERROR(__xludf.DUMMYFUNCTION("""COMPUTED_VALUE"""),"JL. RS DUSTIRA RUKO PAGUYUBAN")</f>
        <v>JL. RS DUSTIRA RUKO PAGUYUBAN</v>
      </c>
      <c r="V504" s="85"/>
      <c r="W504" s="85" t="str">
        <f>IFERROR(__xludf.DUMMYFUNCTION("""COMPUTED_VALUE"""),"Cimahi")</f>
        <v>Cimahi</v>
      </c>
      <c r="X504" s="85" t="str">
        <f>IFERROR(__xludf.DUMMYFUNCTION("""COMPUTED_VALUE"""),"Cimahi Tengah")</f>
        <v>Cimahi Tengah</v>
      </c>
      <c r="Y504" s="85" t="str">
        <f>IFERROR(__xludf.DUMMYFUNCTION("""COMPUTED_VALUE"""),"Kota Cimahi")</f>
        <v>Kota Cimahi</v>
      </c>
      <c r="Z504" s="85" t="str">
        <f>IFERROR(__xludf.DUMMYFUNCTION("""COMPUTED_VALUE"""),"Jawa Barat")</f>
        <v>Jawa Barat</v>
      </c>
      <c r="AA504" s="85" t="str">
        <f>IFERROR(__xludf.DUMMYFUNCTION("""COMPUTED_VALUE"""),"40521")</f>
        <v>40521</v>
      </c>
      <c r="AB504" s="85" t="str">
        <f>IFERROR(__xludf.DUMMYFUNCTION("""COMPUTED_VALUE"""),"3277021609780013")</f>
        <v>3277021609780013</v>
      </c>
      <c r="AC504" s="85" t="str">
        <f>IFERROR(__xludf.DUMMYFUNCTION("""COMPUTED_VALUE"""),"54.383.734.8-421.000")</f>
        <v>54.383.734.8-421.000</v>
      </c>
      <c r="AD504" s="85" t="str">
        <f>IFERROR(__xludf.DUMMYFUNCTION("""COMPUTED_VALUE"""),"CUM - HDT")</f>
        <v>CUM - HDT</v>
      </c>
      <c r="AE504" s="85" t="str">
        <f>IFERROR(__xludf.DUMMYFUNCTION("""COMPUTED_VALUE"""),"SUB HDT")</f>
        <v>SUB HDT</v>
      </c>
      <c r="AF504" s="85" t="str">
        <f>IFERROR(__xludf.DUMMYFUNCTION("""COMPUTED_VALUE"""),"085220198565")</f>
        <v>085220198565</v>
      </c>
      <c r="AG504" s="85"/>
      <c r="AH504" s="85" t="str">
        <f>IFERROR(__xludf.DUMMYFUNCTION("""COMPUTED_VALUE"""),"sadirjabrig@gmail.com")</f>
        <v>sadirjabrig@gmail.com</v>
      </c>
      <c r="AI504" s="85" t="str">
        <f>IFERROR(__xludf.DUMMYFUNCTION("""COMPUTED_VALUE"""),"40525S3")</f>
        <v>40525S3</v>
      </c>
      <c r="AJ504" s="85" t="str">
        <f>IFERROR(__xludf.DUMMYFUNCTION("""COMPUTED_VALUE"""),"6861f08767f45c1c360b8847")</f>
        <v>6861f08767f45c1c360b8847</v>
      </c>
      <c r="AK504" s="85" t="str">
        <f>IFERROR(__xludf.DUMMYFUNCTION("""COMPUTED_VALUE"""),"dm40525s3")</f>
        <v>dm40525s3</v>
      </c>
      <c r="AL504" s="85" t="str">
        <f>IFERROR(__xludf.DUMMYFUNCTION("""COMPUTED_VALUE"""),"#40525Pos")</f>
        <v>#40525Pos</v>
      </c>
      <c r="AM504" s="85" t="str">
        <f>IFERROR(__xludf.DUMMYFUNCTION("""COMPUTED_VALUE"""),"KANTOR REGIONAL III BANDUNG 40004")</f>
        <v>KANTOR REGIONAL III BANDUNG 40004</v>
      </c>
      <c r="AN504" s="85" t="str">
        <f>IFERROR(__xludf.DUMMYFUNCTION("""COMPUTED_VALUE"""),"KC CIMAHI ")</f>
        <v>KC CIMAHI </v>
      </c>
      <c r="AO504" s="85" t="str">
        <f>IFERROR(__xludf.DUMMYFUNCTION("""COMPUTED_VALUE"""),"0406250050381")</f>
        <v>0406250050381</v>
      </c>
      <c r="AP504" s="85" t="str">
        <f>IFERROR(__xludf.DUMMYFUNCTION("""COMPUTED_VALUE"""),"04062500503810001")</f>
        <v>04062500503810001</v>
      </c>
      <c r="AQ504" s="93"/>
      <c r="AR504" s="85"/>
      <c r="AS504" s="85"/>
      <c r="AT504" s="85" t="str">
        <f>IFERROR(__xludf.DUMMYFUNCTION("""COMPUTED_VALUE"""),"-6.884865")</f>
        <v>-6.884865</v>
      </c>
      <c r="AU504" s="85" t="str">
        <f>IFERROR(__xludf.DUMMYFUNCTION("""COMPUTED_VALUE"""),"107.534642")</f>
        <v>107.534642</v>
      </c>
      <c r="AV504" s="85"/>
      <c r="AW504" s="85"/>
      <c r="AX504" s="85" t="str">
        <f>IFERROR(__xludf.DUMMYFUNCTION("""COMPUTED_VALUE"""),"h")</f>
        <v>h</v>
      </c>
      <c r="AY504" s="85"/>
      <c r="AZ504" s="85"/>
      <c r="BA504" s="85"/>
      <c r="BB504" s="85"/>
      <c r="BC504" s="85"/>
      <c r="BD504" s="85"/>
      <c r="BE504" s="85"/>
      <c r="BF504" s="85"/>
      <c r="BG504" s="85"/>
      <c r="BH504" s="85"/>
      <c r="BI504" s="85"/>
      <c r="BJ504" s="85"/>
      <c r="BK504" s="85"/>
      <c r="BL504" s="85"/>
      <c r="BM504" s="85"/>
      <c r="BN504" s="85"/>
      <c r="BO504" s="85"/>
      <c r="BP504" s="85"/>
      <c r="BQ504" s="85"/>
      <c r="BR504" s="85"/>
      <c r="BS504" s="85"/>
      <c r="BT504" s="85"/>
      <c r="BU504" s="85"/>
      <c r="BV504" s="85"/>
      <c r="BW504" s="85"/>
      <c r="BX504" s="85" t="str">
        <f>IFERROR(__xludf.DUMMYFUNCTION("""COMPUTED_VALUE"""),"TOKOBAJU")</f>
        <v>TOKOBAJU</v>
      </c>
      <c r="BY504" s="85"/>
      <c r="BZ504" s="85"/>
      <c r="CA504" s="85"/>
      <c r="CB504" s="85"/>
      <c r="CC504" s="85"/>
      <c r="CD504" s="85"/>
      <c r="CE504" s="85"/>
      <c r="CF504" s="85"/>
      <c r="CG504" s="85"/>
      <c r="CH504" s="85"/>
      <c r="CI504" s="85"/>
      <c r="CJ504" s="85"/>
      <c r="CK504" s="2"/>
    </row>
    <row r="505" ht="12.75" customHeight="1">
      <c r="A505" s="80">
        <f>IFERROR(__xludf.DUMMYFUNCTION("""COMPUTED_VALUE"""),502.0)</f>
        <v>502</v>
      </c>
      <c r="B505" s="80"/>
      <c r="C505" s="80"/>
      <c r="D505" s="81">
        <f>IFERROR(__xludf.DUMMYFUNCTION("""COMPUTED_VALUE"""),45818.0)</f>
        <v>45818</v>
      </c>
      <c r="E505" s="82"/>
      <c r="F505" s="80"/>
      <c r="G505" s="81">
        <f>IFERROR(__xludf.DUMMYFUNCTION("""COMPUTED_VALUE"""),45837.0)</f>
        <v>45837</v>
      </c>
      <c r="H505" s="80"/>
      <c r="I505" s="80"/>
      <c r="J505" s="80"/>
      <c r="K505" s="80"/>
      <c r="L505" s="80">
        <f>IFERROR(__xludf.DUMMYFUNCTION("""COMPUTED_VALUE"""),19.0)</f>
        <v>19</v>
      </c>
      <c r="M505" s="80" t="str">
        <f>IFERROR(__xludf.DUMMYFUNCTION("""COMPUTED_VALUE"""),"ü")</f>
        <v>ü</v>
      </c>
      <c r="N505" s="80"/>
      <c r="O505" s="80"/>
      <c r="P505" s="80" t="str">
        <f>IFERROR(__xludf.DUMMYFUNCTION("""COMPUTED_VALUE"""),"MUCSPA63147PSIND")</f>
        <v>MUCSPA63147PSIND</v>
      </c>
      <c r="Q505" s="80" t="str">
        <f>IFERROR(__xludf.DUMMYFUNCTION("""COMPUTED_VALUE"""),"MUC Butik")</f>
        <v>MUC Butik</v>
      </c>
      <c r="R505" s="80" t="str">
        <f>IFERROR(__xludf.DUMMYFUNCTION("""COMPUTED_VALUE"""),"MUC Butik")</f>
        <v>MUC Butik</v>
      </c>
      <c r="S505" s="80" t="str">
        <f>IFERROR(__xludf.DUMMYFUNCTION("""COMPUTED_VALUE"""),"Johanes")</f>
        <v>Johanes</v>
      </c>
      <c r="T505" s="80" t="str">
        <f>IFERROR(__xludf.DUMMYFUNCTION("""COMPUTED_VALUE"""),"Jl. Harpa 6 EE7 Rt. 012 / 007 Pegangsaan Dua, Kelapa Gading, Jakut")</f>
        <v>Jl. Harpa 6 EE7 Rt. 012 / 007 Pegangsaan Dua, Kelapa Gading, Jakut</v>
      </c>
      <c r="U505" s="80" t="str">
        <f>IFERROR(__xludf.DUMMYFUNCTION("""COMPUTED_VALUE"""),"Jembatan ITC - PASAR PAGI MANGGA DUA Lantai 1 No. 67 ")</f>
        <v>Jembatan ITC - PASAR PAGI MANGGA DUA Lantai 1 No. 67 </v>
      </c>
      <c r="V505" s="80"/>
      <c r="W505" s="80" t="str">
        <f>IFERROR(__xludf.DUMMYFUNCTION("""COMPUTED_VALUE"""),"Ancol")</f>
        <v>Ancol</v>
      </c>
      <c r="X505" s="80" t="str">
        <f>IFERROR(__xludf.DUMMYFUNCTION("""COMPUTED_VALUE"""),"Pademangan")</f>
        <v>Pademangan</v>
      </c>
      <c r="Y505" s="80" t="str">
        <f>IFERROR(__xludf.DUMMYFUNCTION("""COMPUTED_VALUE"""),"Jakarta Utara")</f>
        <v>Jakarta Utara</v>
      </c>
      <c r="Z505" s="80" t="str">
        <f>IFERROR(__xludf.DUMMYFUNCTION("""COMPUTED_VALUE"""),"DKI Jakarta")</f>
        <v>DKI Jakarta</v>
      </c>
      <c r="AA505" s="80" t="str">
        <f>IFERROR(__xludf.DUMMYFUNCTION("""COMPUTED_VALUE"""),"14430")</f>
        <v>14430</v>
      </c>
      <c r="AB505" s="80" t="str">
        <f>IFERROR(__xludf.DUMMYFUNCTION("""COMPUTED_VALUE"""),"3172061404800001")</f>
        <v>3172061404800001</v>
      </c>
      <c r="AC505" s="80" t="str">
        <f>IFERROR(__xludf.DUMMYFUNCTION("""COMPUTED_VALUE"""),"48.898.867.6-043.000 ")</f>
        <v>48.898.867.6-043.000 </v>
      </c>
      <c r="AD505" s="80" t="str">
        <f>IFERROR(__xludf.DUMMYFUNCTION("""COMPUTED_VALUE"""),"CUM - PS - ARKT")</f>
        <v>CUM - PS - ARKT</v>
      </c>
      <c r="AE505" s="80" t="str">
        <f>IFERROR(__xludf.DUMMYFUNCTION("""COMPUTED_VALUE"""),"SUB ARIS POS")</f>
        <v>SUB ARIS POS</v>
      </c>
      <c r="AF505" s="80" t="str">
        <f>IFERROR(__xludf.DUMMYFUNCTION("""COMPUTED_VALUE"""),"081210878016")</f>
        <v>081210878016</v>
      </c>
      <c r="AG505" s="80"/>
      <c r="AH505" s="80" t="str">
        <f>IFERROR(__xludf.DUMMYFUNCTION("""COMPUTED_VALUE"""),"johaneslie@gmail.com")</f>
        <v>johaneslie@gmail.com</v>
      </c>
      <c r="AI505" s="80" t="str">
        <f>IFERROR(__xludf.DUMMYFUNCTION("""COMPUTED_VALUE"""),"14430S2")</f>
        <v>14430S2</v>
      </c>
      <c r="AJ505" s="80" t="str">
        <f>IFERROR(__xludf.DUMMYFUNCTION("""COMPUTED_VALUE"""),"68610de4870972835408cbec")</f>
        <v>68610de4870972835408cbec</v>
      </c>
      <c r="AK505" s="80" t="str">
        <f>IFERROR(__xludf.DUMMYFUNCTION("""COMPUTED_VALUE"""),"dm14430s2")</f>
        <v>dm14430s2</v>
      </c>
      <c r="AL505" s="80" t="str">
        <f>IFERROR(__xludf.DUMMYFUNCTION("""COMPUTED_VALUE"""),"#14430Pos")</f>
        <v>#14430Pos</v>
      </c>
      <c r="AM505" s="80" t="str">
        <f>IFERROR(__xludf.DUMMYFUNCTION("""COMPUTED_VALUE"""),"KANTOR REGIONAL II JAKARTA 10004")</f>
        <v>KANTOR REGIONAL II JAKARTA 10004</v>
      </c>
      <c r="AN505" s="80" t="str">
        <f>IFERROR(__xludf.DUMMYFUNCTION("""COMPUTED_VALUE"""),"KCU JAKARTAPREMIER 13000")</f>
        <v>KCU JAKARTAPREMIER 13000</v>
      </c>
      <c r="AO505" s="80" t="str">
        <f>IFERROR(__xludf.DUMMYFUNCTION("""COMPUTED_VALUE"""),"1801240075646")</f>
        <v>1801240075646</v>
      </c>
      <c r="AP505" s="80" t="str">
        <f>IFERROR(__xludf.DUMMYFUNCTION("""COMPUTED_VALUE"""),"18012400756460001")</f>
        <v>18012400756460001</v>
      </c>
      <c r="AQ505" s="83"/>
      <c r="AR505" s="80"/>
      <c r="AS505" s="80"/>
      <c r="AT505" s="80" t="str">
        <f>IFERROR(__xludf.DUMMYFUNCTION("""COMPUTED_VALUE"""),"-6.135999")</f>
        <v>-6.135999</v>
      </c>
      <c r="AU505" s="80" t="str">
        <f>IFERROR(__xludf.DUMMYFUNCTION("""COMPUTED_VALUE"""),"106.823236")</f>
        <v>106.823236</v>
      </c>
      <c r="AV505" s="80"/>
      <c r="AW505" s="80"/>
      <c r="AX505" s="80" t="str">
        <f>IFERROR(__xludf.DUMMYFUNCTION("""COMPUTED_VALUE"""),"h")</f>
        <v>h</v>
      </c>
      <c r="AY505" s="80"/>
      <c r="AZ505" s="80"/>
      <c r="BA505" s="80"/>
      <c r="BB505" s="80"/>
      <c r="BC505" s="80"/>
      <c r="BD505" s="80"/>
      <c r="BE505" s="80"/>
      <c r="BF505" s="80"/>
      <c r="BG505" s="80"/>
      <c r="BH505" s="80"/>
      <c r="BI505" s="80"/>
      <c r="BJ505" s="80"/>
      <c r="BK505" s="80"/>
      <c r="BL505" s="80"/>
      <c r="BM505" s="80"/>
      <c r="BN505" s="80"/>
      <c r="BO505" s="80"/>
      <c r="BP505" s="80"/>
      <c r="BQ505" s="80"/>
      <c r="BR505" s="80"/>
      <c r="BS505" s="80"/>
      <c r="BT505" s="80"/>
      <c r="BU505" s="80"/>
      <c r="BV505" s="80"/>
      <c r="BW505" s="80"/>
      <c r="BX505" s="80" t="str">
        <f>IFERROR(__xludf.DUMMYFUNCTION("""COMPUTED_VALUE"""),"MULTIKURIR - LION PARCEL")</f>
        <v>MULTIKURIR - LION PARCEL</v>
      </c>
      <c r="BY505" s="80"/>
      <c r="BZ505" s="80"/>
      <c r="CA505" s="80"/>
      <c r="CB505" s="80"/>
      <c r="CC505" s="80"/>
      <c r="CD505" s="80"/>
      <c r="CE505" s="80"/>
      <c r="CF505" s="80"/>
      <c r="CG505" s="80"/>
      <c r="CH505" s="80"/>
      <c r="CI505" s="80"/>
      <c r="CJ505" s="80"/>
      <c r="CK505" s="2"/>
    </row>
    <row r="506" ht="12.75" customHeight="1">
      <c r="A506" s="85">
        <f>IFERROR(__xludf.DUMMYFUNCTION("""COMPUTED_VALUE"""),503.0)</f>
        <v>503</v>
      </c>
      <c r="B506" s="85"/>
      <c r="C506" s="85"/>
      <c r="D506" s="86">
        <f>IFERROR(__xludf.DUMMYFUNCTION("""COMPUTED_VALUE"""),45818.0)</f>
        <v>45818</v>
      </c>
      <c r="E506" s="88"/>
      <c r="F506" s="85"/>
      <c r="G506" s="86">
        <f>IFERROR(__xludf.DUMMYFUNCTION("""COMPUTED_VALUE"""),45818.0)</f>
        <v>45818</v>
      </c>
      <c r="H506" s="85"/>
      <c r="I506" s="85"/>
      <c r="J506" s="85"/>
      <c r="K506" s="85"/>
      <c r="L506" s="85">
        <f>IFERROR(__xludf.DUMMYFUNCTION("""COMPUTED_VALUE"""),0.0)</f>
        <v>0</v>
      </c>
      <c r="M506" s="85"/>
      <c r="N506" s="85" t="str">
        <f>IFERROR(__xludf.DUMMYFUNCTION("""COMPUTED_VALUE"""),"ü")</f>
        <v>ü</v>
      </c>
      <c r="O506" s="85"/>
      <c r="P506" s="85" t="str">
        <f>IFERROR(__xludf.DUMMYFUNCTION("""COMPUTED_VALUE"""),"MLO5500032CUMPOS")</f>
        <v>MLO5500032CUMPOS</v>
      </c>
      <c r="Q506" s="85" t="str">
        <f>IFERROR(__xludf.DUMMYFUNCTION("""COMPUTED_VALUE"""),"MUC CAKRAWALA")</f>
        <v>MUC CAKRAWALA</v>
      </c>
      <c r="R506" s="85" t="str">
        <f>IFERROR(__xludf.DUMMYFUNCTION("""COMPUTED_VALUE"""),"MUC CAKRAWALA")</f>
        <v>MUC CAKRAWALA</v>
      </c>
      <c r="S506" s="85" t="str">
        <f>IFERROR(__xludf.DUMMYFUNCTION("""COMPUTED_VALUE"""),"MOCHAMMAD RIZKI YAKIN")</f>
        <v>MOCHAMMAD RIZKI YAKIN</v>
      </c>
      <c r="T506" s="85" t="str">
        <f>IFERROR(__xludf.DUMMYFUNCTION("""COMPUTED_VALUE"""),"KP. JATI RT 012 RW 006 DESA CIHUNI KEC. PASAWAHAN PURWAKARTA")</f>
        <v>KP. JATI RT 012 RW 006 DESA CIHUNI KEC. PASAWAHAN PURWAKARTA</v>
      </c>
      <c r="U506" s="85" t="str">
        <f>IFERROR(__xludf.DUMMYFUNCTION("""COMPUTED_VALUE"""),"KP. JATI RT 012 RW 006 DESA CIHUNI KEC. PASAWAHAN PURWAKARTA")</f>
        <v>KP. JATI RT 012 RW 006 DESA CIHUNI KEC. PASAWAHAN PURWAKARTA</v>
      </c>
      <c r="V506" s="85"/>
      <c r="W506" s="85" t="str">
        <f>IFERROR(__xludf.DUMMYFUNCTION("""COMPUTED_VALUE"""),"CIHUNI")</f>
        <v>CIHUNI</v>
      </c>
      <c r="X506" s="85" t="str">
        <f>IFERROR(__xludf.DUMMYFUNCTION("""COMPUTED_VALUE"""),"PASAWAHAN")</f>
        <v>PASAWAHAN</v>
      </c>
      <c r="Y506" s="85" t="str">
        <f>IFERROR(__xludf.DUMMYFUNCTION("""COMPUTED_VALUE"""),"PURWAKARTA")</f>
        <v>PURWAKARTA</v>
      </c>
      <c r="Z506" s="85" t="str">
        <f>IFERROR(__xludf.DUMMYFUNCTION("""COMPUTED_VALUE"""),"JAWA BARAT")</f>
        <v>JAWA BARAT</v>
      </c>
      <c r="AA506" s="85" t="str">
        <f>IFERROR(__xludf.DUMMYFUNCTION("""COMPUTED_VALUE"""),"41172")</f>
        <v>41172</v>
      </c>
      <c r="AB506" s="85" t="str">
        <f>IFERROR(__xludf.DUMMYFUNCTION("""COMPUTED_VALUE"""),"3214102605930001")</f>
        <v>3214102605930001</v>
      </c>
      <c r="AC506" s="85" t="str">
        <f>IFERROR(__xludf.DUMMYFUNCTION("""COMPUTED_VALUE"""),"73.235.400.6-409.000")</f>
        <v>73.235.400.6-409.000</v>
      </c>
      <c r="AD506" s="85" t="str">
        <f>IFERROR(__xludf.DUMMYFUNCTION("""COMPUTED_VALUE"""),"-")</f>
        <v>-</v>
      </c>
      <c r="AE506" s="85" t="str">
        <f>IFERROR(__xludf.DUMMYFUNCTION("""COMPUTED_VALUE"""),"-")</f>
        <v>-</v>
      </c>
      <c r="AF506" s="85" t="str">
        <f>IFERROR(__xludf.DUMMYFUNCTION("""COMPUTED_VALUE"""),"085926045481")</f>
        <v>085926045481</v>
      </c>
      <c r="AG506" s="85"/>
      <c r="AH506" s="85" t="str">
        <f>IFERROR(__xludf.DUMMYFUNCTION("""COMPUTED_VALUE"""),"rizkiyakin878@yahoo.co.id")</f>
        <v>rizkiyakin878@yahoo.co.id</v>
      </c>
      <c r="AI506" s="85"/>
      <c r="AJ506" s="85"/>
      <c r="AK506" s="85"/>
      <c r="AL506" s="85"/>
      <c r="AM506" s="85" t="str">
        <f>IFERROR(__xludf.DUMMYFUNCTION("""COMPUTED_VALUE"""),"KANTOR REGIONAL III BANDUNG 40004")</f>
        <v>KANTOR REGIONAL III BANDUNG 40004</v>
      </c>
      <c r="AN506" s="85" t="str">
        <f>IFERROR(__xludf.DUMMYFUNCTION("""COMPUTED_VALUE"""),"KC PURWAKARTA 41100")</f>
        <v>KC PURWAKARTA 41100</v>
      </c>
      <c r="AO506" s="85" t="str">
        <f>IFERROR(__xludf.DUMMYFUNCTION("""COMPUTED_VALUE"""),"-")</f>
        <v>-</v>
      </c>
      <c r="AP506" s="85" t="str">
        <f>IFERROR(__xludf.DUMMYFUNCTION("""COMPUTED_VALUE"""),"-")</f>
        <v>-</v>
      </c>
      <c r="AQ506" s="93"/>
      <c r="AR506" s="85"/>
      <c r="AS506" s="85"/>
      <c r="AT506" s="85" t="str">
        <f>IFERROR(__xludf.DUMMYFUNCTION("""COMPUTED_VALUE"""),"-")</f>
        <v>-</v>
      </c>
      <c r="AU506" s="85" t="str">
        <f>IFERROR(__xludf.DUMMYFUNCTION("""COMPUTED_VALUE"""),"-")</f>
        <v>-</v>
      </c>
      <c r="AV506" s="85"/>
      <c r="AW506" s="85"/>
      <c r="AX506" s="85"/>
      <c r="AY506" s="85"/>
      <c r="AZ506" s="85"/>
      <c r="BA506" s="85"/>
      <c r="BB506" s="85"/>
      <c r="BC506" s="85"/>
      <c r="BD506" s="85"/>
      <c r="BE506" s="85"/>
      <c r="BF506" s="85"/>
      <c r="BG506" s="85"/>
      <c r="BH506" s="85"/>
      <c r="BI506" s="85"/>
      <c r="BJ506" s="85"/>
      <c r="BK506" s="85"/>
      <c r="BL506" s="85"/>
      <c r="BM506" s="85"/>
      <c r="BN506" s="85"/>
      <c r="BO506" s="85"/>
      <c r="BP506" s="85"/>
      <c r="BQ506" s="85"/>
      <c r="BR506" s="85"/>
      <c r="BS506" s="85"/>
      <c r="BT506" s="85"/>
      <c r="BU506" s="85"/>
      <c r="BV506" s="85"/>
      <c r="BW506" s="85"/>
      <c r="BX506" s="85" t="str">
        <f>IFERROR(__xludf.DUMMYFUNCTION("""COMPUTED_VALUE"""),"POS")</f>
        <v>POS</v>
      </c>
      <c r="BY506" s="85"/>
      <c r="BZ506" s="85"/>
      <c r="CA506" s="85"/>
      <c r="CB506" s="85"/>
      <c r="CC506" s="85"/>
      <c r="CD506" s="85"/>
      <c r="CE506" s="85"/>
      <c r="CF506" s="85"/>
      <c r="CG506" s="85"/>
      <c r="CH506" s="85"/>
      <c r="CI506" s="85"/>
      <c r="CJ506" s="85"/>
      <c r="CK506" s="2"/>
    </row>
    <row r="507" ht="12.75" customHeight="1">
      <c r="A507" s="80">
        <f>IFERROR(__xludf.DUMMYFUNCTION("""COMPUTED_VALUE"""),504.0)</f>
        <v>504</v>
      </c>
      <c r="B507" s="80"/>
      <c r="C507" s="80"/>
      <c r="D507" s="81">
        <f>IFERROR(__xludf.DUMMYFUNCTION("""COMPUTED_VALUE"""),45818.0)</f>
        <v>45818</v>
      </c>
      <c r="E507" s="82"/>
      <c r="F507" s="80"/>
      <c r="G507" s="81">
        <f>IFERROR(__xludf.DUMMYFUNCTION("""COMPUTED_VALUE"""),45839.0)</f>
        <v>45839</v>
      </c>
      <c r="H507" s="80"/>
      <c r="I507" s="80"/>
      <c r="J507" s="80"/>
      <c r="K507" s="80"/>
      <c r="L507" s="80">
        <f>IFERROR(__xludf.DUMMYFUNCTION("""COMPUTED_VALUE"""),21.0)</f>
        <v>21</v>
      </c>
      <c r="M507" s="80"/>
      <c r="N507" s="80" t="str">
        <f>IFERROR(__xludf.DUMMYFUNCTION("""COMPUTED_VALUE"""),"ü")</f>
        <v>ü</v>
      </c>
      <c r="O507" s="80"/>
      <c r="P507" s="80" t="str">
        <f>IFERROR(__xludf.DUMMYFUNCTION("""COMPUTED_VALUE"""),"MLO5500031CUMPOS")</f>
        <v>MLO5500031CUMPOS</v>
      </c>
      <c r="Q507" s="80" t="str">
        <f>IFERROR(__xludf.DUMMYFUNCTION("""COMPUTED_VALUE"""),"MUC DIMENSI EKSPRES")</f>
        <v>MUC DIMENSI EKSPRES</v>
      </c>
      <c r="R507" s="80" t="str">
        <f>IFERROR(__xludf.DUMMYFUNCTION("""COMPUTED_VALUE"""),"MUC DIMENSI EKSPRES")</f>
        <v>MUC DIMENSI EKSPRES</v>
      </c>
      <c r="S507" s="80" t="str">
        <f>IFERROR(__xludf.DUMMYFUNCTION("""COMPUTED_VALUE"""),"AYU EMILDA MARGARITA")</f>
        <v>AYU EMILDA MARGARITA</v>
      </c>
      <c r="T507" s="80" t="str">
        <f>IFERROR(__xludf.DUMMYFUNCTION("""COMPUTED_VALUE"""),"PURBALINGGA KIDUL RT 2 RW 03")</f>
        <v>PURBALINGGA KIDUL RT 2 RW 03</v>
      </c>
      <c r="U507" s="80" t="str">
        <f>IFERROR(__xludf.DUMMYFUNCTION("""COMPUTED_VALUE"""),"PURBALINGGA KIDUL RT02 RW03")</f>
        <v>PURBALINGGA KIDUL RT02 RW03</v>
      </c>
      <c r="V507" s="80"/>
      <c r="W507" s="80" t="str">
        <f>IFERROR(__xludf.DUMMYFUNCTION("""COMPUTED_VALUE"""),"PURBALINGGA KIDUL")</f>
        <v>PURBALINGGA KIDUL</v>
      </c>
      <c r="X507" s="80" t="str">
        <f>IFERROR(__xludf.DUMMYFUNCTION("""COMPUTED_VALUE"""),"PURBALINGGA KIDUL")</f>
        <v>PURBALINGGA KIDUL</v>
      </c>
      <c r="Y507" s="80" t="str">
        <f>IFERROR(__xludf.DUMMYFUNCTION("""COMPUTED_VALUE"""),"PURBALINGGA")</f>
        <v>PURBALINGGA</v>
      </c>
      <c r="Z507" s="80" t="str">
        <f>IFERROR(__xludf.DUMMYFUNCTION("""COMPUTED_VALUE"""),"JAWATENGAH")</f>
        <v>JAWATENGAH</v>
      </c>
      <c r="AA507" s="80" t="str">
        <f>IFERROR(__xludf.DUMMYFUNCTION("""COMPUTED_VALUE"""),"53311")</f>
        <v>53311</v>
      </c>
      <c r="AB507" s="80" t="str">
        <f>IFERROR(__xludf.DUMMYFUNCTION("""COMPUTED_VALUE"""),"3305194401860001")</f>
        <v>3305194401860001</v>
      </c>
      <c r="AC507" s="80" t="str">
        <f>IFERROR(__xludf.DUMMYFUNCTION("""COMPUTED_VALUE"""),"35.117.933.8-529.000")</f>
        <v>35.117.933.8-529.000</v>
      </c>
      <c r="AD507" s="80" t="str">
        <f>IFERROR(__xludf.DUMMYFUNCTION("""COMPUTED_VALUE"""),"CUM - PS - RYKY")</f>
        <v>CUM - PS - RYKY</v>
      </c>
      <c r="AE507" s="80" t="str">
        <f>IFERROR(__xludf.DUMMYFUNCTION("""COMPUTED_VALUE"""),"SUB ERTHA POS")</f>
        <v>SUB ERTHA POS</v>
      </c>
      <c r="AF507" s="80" t="str">
        <f>IFERROR(__xludf.DUMMYFUNCTION("""COMPUTED_VALUE"""),"085647739789")</f>
        <v>085647739789</v>
      </c>
      <c r="AG507" s="80"/>
      <c r="AH507" s="80" t="str">
        <f>IFERROR(__xludf.DUMMYFUNCTION("""COMPUTED_VALUE"""),"ayuemilda69@gmail.com")</f>
        <v>ayuemilda69@gmail.com</v>
      </c>
      <c r="AI507" s="80" t="str">
        <f>IFERROR(__xludf.DUMMYFUNCTION("""COMPUTED_VALUE"""),"53313S2")</f>
        <v>53313S2</v>
      </c>
      <c r="AJ507" s="80" t="str">
        <f>IFERROR(__xludf.DUMMYFUNCTION("""COMPUTED_VALUE"""),"686380b644d78953c607ca61")</f>
        <v>686380b644d78953c607ca61</v>
      </c>
      <c r="AK507" s="80" t="str">
        <f>IFERROR(__xludf.DUMMYFUNCTION("""COMPUTED_VALUE"""),"dm53313s2")</f>
        <v>dm53313s2</v>
      </c>
      <c r="AL507" s="80" t="str">
        <f>IFERROR(__xludf.DUMMYFUNCTION("""COMPUTED_VALUE"""),"#53313Pos")</f>
        <v>#53313Pos</v>
      </c>
      <c r="AM507" s="80" t="str">
        <f>IFERROR(__xludf.DUMMYFUNCTION("""COMPUTED_VALUE"""),"KANTOR REGIONAL IV SEMARANG 50004")</f>
        <v>KANTOR REGIONAL IV SEMARANG 50004</v>
      </c>
      <c r="AN507" s="80" t="str">
        <f>IFERROR(__xludf.DUMMYFUNCTION("""COMPUTED_VALUE"""),"KC PURBALINGGA")</f>
        <v>KC PURBALINGGA</v>
      </c>
      <c r="AO507" s="80" t="str">
        <f>IFERROR(__xludf.DUMMYFUNCTION("""COMPUTED_VALUE"""),"0706250018129")</f>
        <v>0706250018129</v>
      </c>
      <c r="AP507" s="80" t="str">
        <f>IFERROR(__xludf.DUMMYFUNCTION("""COMPUTED_VALUE"""),"07062500181290001")</f>
        <v>07062500181290001</v>
      </c>
      <c r="AQ507" s="83"/>
      <c r="AR507" s="80"/>
      <c r="AS507" s="80"/>
      <c r="AT507" s="80" t="str">
        <f>IFERROR(__xludf.DUMMYFUNCTION("""COMPUTED_VALUE"""),"-7.3909536")</f>
        <v>-7.3909536</v>
      </c>
      <c r="AU507" s="80" t="str">
        <f>IFERROR(__xludf.DUMMYFUNCTION("""COMPUTED_VALUE"""),"109.3568165")</f>
        <v>109.3568165</v>
      </c>
      <c r="AV507" s="80"/>
      <c r="AW507" s="80"/>
      <c r="AX507" s="80"/>
      <c r="AY507" s="80"/>
      <c r="AZ507" s="80"/>
      <c r="BA507" s="80"/>
      <c r="BB507" s="80"/>
      <c r="BC507" s="80"/>
      <c r="BD507" s="80"/>
      <c r="BE507" s="80"/>
      <c r="BF507" s="80"/>
      <c r="BG507" s="80"/>
      <c r="BH507" s="80"/>
      <c r="BI507" s="80"/>
      <c r="BJ507" s="80"/>
      <c r="BK507" s="80"/>
      <c r="BL507" s="80"/>
      <c r="BM507" s="80"/>
      <c r="BN507" s="80"/>
      <c r="BO507" s="80"/>
      <c r="BP507" s="80"/>
      <c r="BQ507" s="80"/>
      <c r="BR507" s="80"/>
      <c r="BS507" s="80"/>
      <c r="BT507" s="80"/>
      <c r="BU507" s="80"/>
      <c r="BV507" s="80"/>
      <c r="BW507" s="80"/>
      <c r="BX507" s="80" t="str">
        <f>IFERROR(__xludf.DUMMYFUNCTION("""COMPUTED_VALUE"""),"KC POS")</f>
        <v>KC POS</v>
      </c>
      <c r="BY507" s="80"/>
      <c r="BZ507" s="80"/>
      <c r="CA507" s="80"/>
      <c r="CB507" s="80"/>
      <c r="CC507" s="80"/>
      <c r="CD507" s="80"/>
      <c r="CE507" s="80"/>
      <c r="CF507" s="80"/>
      <c r="CG507" s="80"/>
      <c r="CH507" s="80"/>
      <c r="CI507" s="80"/>
      <c r="CJ507" s="80"/>
      <c r="CK507" s="2"/>
    </row>
    <row r="508" ht="12.75" customHeight="1">
      <c r="A508" s="85">
        <f>IFERROR(__xludf.DUMMYFUNCTION("""COMPUTED_VALUE"""),505.0)</f>
        <v>505</v>
      </c>
      <c r="B508" s="85"/>
      <c r="C508" s="85"/>
      <c r="D508" s="86">
        <f>IFERROR(__xludf.DUMMYFUNCTION("""COMPUTED_VALUE"""),45818.0)</f>
        <v>45818</v>
      </c>
      <c r="E508" s="88"/>
      <c r="F508" s="85"/>
      <c r="G508" s="86">
        <f>IFERROR(__xludf.DUMMYFUNCTION("""COMPUTED_VALUE"""),45867.0)</f>
        <v>45867</v>
      </c>
      <c r="H508" s="85"/>
      <c r="I508" s="85"/>
      <c r="J508" s="85"/>
      <c r="K508" s="85"/>
      <c r="L508" s="85">
        <f>IFERROR(__xludf.DUMMYFUNCTION("""COMPUTED_VALUE"""),49.0)</f>
        <v>49</v>
      </c>
      <c r="M508" s="85" t="str">
        <f>IFERROR(__xludf.DUMMYFUNCTION("""COMPUTED_VALUE"""),"ü")</f>
        <v>ü</v>
      </c>
      <c r="N508" s="85"/>
      <c r="O508" s="85"/>
      <c r="P508" s="85" t="str">
        <f>IFERROR(__xludf.DUMMYFUNCTION("""COMPUTED_VALUE"""),"MUCSPA63148PSIND")</f>
        <v>MUCSPA63148PSIND</v>
      </c>
      <c r="Q508" s="85" t="str">
        <f>IFERROR(__xludf.DUMMYFUNCTION("""COMPUTED_VALUE"""),"MUC RIZKI ALAM")</f>
        <v>MUC RIZKI ALAM</v>
      </c>
      <c r="R508" s="85" t="str">
        <f>IFERROR(__xludf.DUMMYFUNCTION("""COMPUTED_VALUE"""),"MUC RIZKI ALAM")</f>
        <v>MUC RIZKI ALAM</v>
      </c>
      <c r="S508" s="85" t="str">
        <f>IFERROR(__xludf.DUMMYFUNCTION("""COMPUTED_VALUE"""),"TAUFIK DWI CAHYO")</f>
        <v>TAUFIK DWI CAHYO</v>
      </c>
      <c r="T508" s="85" t="str">
        <f>IFERROR(__xludf.DUMMYFUNCTION("""COMPUTED_VALUE"""),"JL. MLINJO RT 002 RW 001 DESA PEDAGANGAN KEC. DUKUHWARU KAB. TEGAL")</f>
        <v>JL. MLINJO RT 002 RW 001 DESA PEDAGANGAN KEC. DUKUHWARU KAB. TEGAL</v>
      </c>
      <c r="U508" s="85" t="str">
        <f>IFERROR(__xludf.DUMMYFUNCTION("""COMPUTED_VALUE"""),"JL. RY SLAWI JATI BARANG KM 3")</f>
        <v>JL. RY SLAWI JATI BARANG KM 3</v>
      </c>
      <c r="V508" s="85"/>
      <c r="W508" s="85" t="str">
        <f>IFERROR(__xludf.DUMMYFUNCTION("""COMPUTED_VALUE"""),"PEDAGANGAN")</f>
        <v>PEDAGANGAN</v>
      </c>
      <c r="X508" s="85" t="str">
        <f>IFERROR(__xludf.DUMMYFUNCTION("""COMPUTED_VALUE"""),"DUKUHWARU")</f>
        <v>DUKUHWARU</v>
      </c>
      <c r="Y508" s="85" t="str">
        <f>IFERROR(__xludf.DUMMYFUNCTION("""COMPUTED_VALUE"""),"KAB. TEGAL")</f>
        <v>KAB. TEGAL</v>
      </c>
      <c r="Z508" s="85" t="str">
        <f>IFERROR(__xludf.DUMMYFUNCTION("""COMPUTED_VALUE"""),"JAWA TENGAH")</f>
        <v>JAWA TENGAH</v>
      </c>
      <c r="AA508" s="85" t="str">
        <f>IFERROR(__xludf.DUMMYFUNCTION("""COMPUTED_VALUE"""),"52451")</f>
        <v>52451</v>
      </c>
      <c r="AB508" s="85" t="str">
        <f>IFERROR(__xludf.DUMMYFUNCTION("""COMPUTED_VALUE"""),"3328182712970005")</f>
        <v>3328182712970005</v>
      </c>
      <c r="AC508" s="85" t="str">
        <f>IFERROR(__xludf.DUMMYFUNCTION("""COMPUTED_VALUE"""),"93.059.446.0-501.000")</f>
        <v>93.059.446.0-501.000</v>
      </c>
      <c r="AD508" s="85" t="str">
        <f>IFERROR(__xludf.DUMMYFUNCTION("""COMPUTED_VALUE"""),"CUM - PS - SYF")</f>
        <v>CUM - PS - SYF</v>
      </c>
      <c r="AE508" s="85" t="str">
        <f>IFERROR(__xludf.DUMMYFUNCTION("""COMPUTED_VALUE"""),"SUB SYAIFULLOH POS")</f>
        <v>SUB SYAIFULLOH POS</v>
      </c>
      <c r="AF508" s="85" t="str">
        <f>IFERROR(__xludf.DUMMYFUNCTION("""COMPUTED_VALUE"""),"082324469775")</f>
        <v>082324469775</v>
      </c>
      <c r="AG508" s="85"/>
      <c r="AH508" s="85" t="str">
        <f>IFERROR(__xludf.DUMMYFUNCTION("""COMPUTED_VALUE"""),"taufikdwicahyo02@gmail.com")</f>
        <v>taufikdwicahyo02@gmail.com</v>
      </c>
      <c r="AI508" s="85" t="str">
        <f>IFERROR(__xludf.DUMMYFUNCTION("""COMPUTED_VALUE"""),"52451S2")</f>
        <v>52451S2</v>
      </c>
      <c r="AJ508" s="85" t="str">
        <f>IFERROR(__xludf.DUMMYFUNCTION("""COMPUTED_VALUE"""),"6884a56e29be6056810d2b6f")</f>
        <v>6884a56e29be6056810d2b6f</v>
      </c>
      <c r="AK508" s="85" t="str">
        <f>IFERROR(__xludf.DUMMYFUNCTION("""COMPUTED_VALUE"""),"dm52451s2")</f>
        <v>dm52451s2</v>
      </c>
      <c r="AL508" s="85" t="str">
        <f>IFERROR(__xludf.DUMMYFUNCTION("""COMPUTED_VALUE"""),"#52451Pos")</f>
        <v>#52451Pos</v>
      </c>
      <c r="AM508" s="85" t="str">
        <f>IFERROR(__xludf.DUMMYFUNCTION("""COMPUTED_VALUE"""),"KANTOR REGIONAL IV SEMARANG 50004")</f>
        <v>KANTOR REGIONAL IV SEMARANG 50004</v>
      </c>
      <c r="AN508" s="85" t="str">
        <f>IFERROR(__xludf.DUMMYFUNCTION("""COMPUTED_VALUE"""),"KC TEGAL 52100")</f>
        <v>KC TEGAL 52100</v>
      </c>
      <c r="AO508" s="85" t="str">
        <f>IFERROR(__xludf.DUMMYFUNCTION("""COMPUTED_VALUE"""),"0206220019076")</f>
        <v>0206220019076</v>
      </c>
      <c r="AP508" s="85" t="str">
        <f>IFERROR(__xludf.DUMMYFUNCTION("""COMPUTED_VALUE"""),"02062200190760001")</f>
        <v>02062200190760001</v>
      </c>
      <c r="AQ508" s="93"/>
      <c r="AR508" s="85"/>
      <c r="AS508" s="85"/>
      <c r="AT508" s="85" t="str">
        <f>IFERROR(__xludf.DUMMYFUNCTION("""COMPUTED_VALUE"""),"-6.9757855")</f>
        <v>-6.9757855</v>
      </c>
      <c r="AU508" s="85" t="str">
        <f>IFERROR(__xludf.DUMMYFUNCTION("""COMPUTED_VALUE"""),"109.1182795")</f>
        <v>109.1182795</v>
      </c>
      <c r="AV508" s="85"/>
      <c r="AW508" s="85"/>
      <c r="AX508" s="85"/>
      <c r="AY508" s="85"/>
      <c r="AZ508" s="85"/>
      <c r="BA508" s="85"/>
      <c r="BB508" s="85"/>
      <c r="BC508" s="85"/>
      <c r="BD508" s="85"/>
      <c r="BE508" s="85"/>
      <c r="BF508" s="85"/>
      <c r="BG508" s="85"/>
      <c r="BH508" s="85"/>
      <c r="BI508" s="85"/>
      <c r="BJ508" s="85"/>
      <c r="BK508" s="85"/>
      <c r="BL508" s="85"/>
      <c r="BM508" s="85"/>
      <c r="BN508" s="85"/>
      <c r="BO508" s="85"/>
      <c r="BP508" s="85"/>
      <c r="BQ508" s="85"/>
      <c r="BR508" s="85"/>
      <c r="BS508" s="85"/>
      <c r="BT508" s="85"/>
      <c r="BU508" s="85"/>
      <c r="BV508" s="85"/>
      <c r="BW508" s="85"/>
      <c r="BX508" s="85" t="str">
        <f>IFERROR(__xludf.DUMMYFUNCTION("""COMPUTED_VALUE"""),"NEWBIE")</f>
        <v>NEWBIE</v>
      </c>
      <c r="BY508" s="85"/>
      <c r="BZ508" s="85"/>
      <c r="CA508" s="85"/>
      <c r="CB508" s="85"/>
      <c r="CC508" s="85"/>
      <c r="CD508" s="85"/>
      <c r="CE508" s="85"/>
      <c r="CF508" s="85"/>
      <c r="CG508" s="85"/>
      <c r="CH508" s="85"/>
      <c r="CI508" s="85"/>
      <c r="CJ508" s="85"/>
      <c r="CK508" s="2"/>
    </row>
    <row r="509" ht="12.75" customHeight="1">
      <c r="A509" s="80">
        <f>IFERROR(__xludf.DUMMYFUNCTION("""COMPUTED_VALUE"""),506.0)</f>
        <v>506</v>
      </c>
      <c r="B509" s="80"/>
      <c r="C509" s="80"/>
      <c r="D509" s="81">
        <f>IFERROR(__xludf.DUMMYFUNCTION("""COMPUTED_VALUE"""),45819.0)</f>
        <v>45819</v>
      </c>
      <c r="E509" s="82"/>
      <c r="F509" s="80"/>
      <c r="G509" s="81"/>
      <c r="H509" s="80"/>
      <c r="I509" s="80"/>
      <c r="J509" s="80"/>
      <c r="K509" s="80"/>
      <c r="L509" s="80"/>
      <c r="M509" s="80" t="str">
        <f>IFERROR(__xludf.DUMMYFUNCTION("""COMPUTED_VALUE"""),"ü")</f>
        <v>ü</v>
      </c>
      <c r="N509" s="80"/>
      <c r="O509" s="80"/>
      <c r="P509" s="80" t="str">
        <f>IFERROR(__xludf.DUMMYFUNCTION("""COMPUTED_VALUE"""),"MUCSPA63149PSIND")</f>
        <v>MUCSPA63149PSIND</v>
      </c>
      <c r="Q509" s="80" t="str">
        <f>IFERROR(__xludf.DUMMYFUNCTION("""COMPUTED_VALUE"""),"MUC Purbayan")</f>
        <v>MUC Purbayan</v>
      </c>
      <c r="R509" s="80" t="str">
        <f>IFERROR(__xludf.DUMMYFUNCTION("""COMPUTED_VALUE"""),"MUC Purbayan")</f>
        <v>MUC Purbayan</v>
      </c>
      <c r="S509" s="80" t="str">
        <f>IFERROR(__xludf.DUMMYFUNCTION("""COMPUTED_VALUE"""),"ERNA WIDYAWATI")</f>
        <v>ERNA WIDYAWATI</v>
      </c>
      <c r="T509" s="80" t="str">
        <f>IFERROR(__xludf.DUMMYFUNCTION("""COMPUTED_VALUE"""),"MODINAN RT.011 RW.022 BANYURADEN GAMPING KABUPATEN SLEMAN YOGYAKARTA")</f>
        <v>MODINAN RT.011 RW.022 BANYURADEN GAMPING KABUPATEN SLEMAN YOGYAKARTA</v>
      </c>
      <c r="U509" s="80" t="str">
        <f>IFERROR(__xludf.DUMMYFUNCTION("""COMPUTED_VALUE"""),"Jl. Selogilang No.20 ")</f>
        <v>Jl. Selogilang No.20 </v>
      </c>
      <c r="V509" s="80"/>
      <c r="W509" s="80" t="str">
        <f>IFERROR(__xludf.DUMMYFUNCTION("""COMPUTED_VALUE"""),"Purbayan")</f>
        <v>Purbayan</v>
      </c>
      <c r="X509" s="80" t="str">
        <f>IFERROR(__xludf.DUMMYFUNCTION("""COMPUTED_VALUE"""),"Kotagede")</f>
        <v>Kotagede</v>
      </c>
      <c r="Y509" s="80" t="str">
        <f>IFERROR(__xludf.DUMMYFUNCTION("""COMPUTED_VALUE"""),"Yogyakarta")</f>
        <v>Yogyakarta</v>
      </c>
      <c r="Z509" s="80" t="str">
        <f>IFERROR(__xludf.DUMMYFUNCTION("""COMPUTED_VALUE"""),"D I Yogyakarta")</f>
        <v>D I Yogyakarta</v>
      </c>
      <c r="AA509" s="80" t="str">
        <f>IFERROR(__xludf.DUMMYFUNCTION("""COMPUTED_VALUE"""),"55292")</f>
        <v>55292</v>
      </c>
      <c r="AB509" s="80" t="str">
        <f>IFERROR(__xludf.DUMMYFUNCTION("""COMPUTED_VALUE"""),"3404016401730002")</f>
        <v>3404016401730002</v>
      </c>
      <c r="AC509" s="80" t="str">
        <f>IFERROR(__xludf.DUMMYFUNCTION("""COMPUTED_VALUE"""),"57.401.789.3-542.000")</f>
        <v>57.401.789.3-542.000</v>
      </c>
      <c r="AD509" s="80" t="str">
        <f>IFERROR(__xludf.DUMMYFUNCTION("""COMPUTED_VALUE"""),"CUM - PS - BPKT")</f>
        <v>CUM - PS - BPKT</v>
      </c>
      <c r="AE509" s="80" t="str">
        <f>IFERROR(__xludf.DUMMYFUNCTION("""COMPUTED_VALUE"""),"SUB PURBO POS")</f>
        <v>SUB PURBO POS</v>
      </c>
      <c r="AF509" s="80" t="str">
        <f>IFERROR(__xludf.DUMMYFUNCTION("""COMPUTED_VALUE"""),"08122940085")</f>
        <v>08122940085</v>
      </c>
      <c r="AG509" s="80"/>
      <c r="AH509" s="80" t="str">
        <f>IFERROR(__xludf.DUMMYFUNCTION("""COMPUTED_VALUE"""),"erna_widyawatie@yahoo.co.id")</f>
        <v>erna_widyawatie@yahoo.co.id</v>
      </c>
      <c r="AI509" s="80" t="str">
        <f>IFERROR(__xludf.DUMMYFUNCTION("""COMPUTED_VALUE"""),"55173S1")</f>
        <v>55173S1</v>
      </c>
      <c r="AJ509" s="80" t="str">
        <f>IFERROR(__xludf.DUMMYFUNCTION("""COMPUTED_VALUE"""),"68765fb5d7d76663320a430e")</f>
        <v>68765fb5d7d76663320a430e</v>
      </c>
      <c r="AK509" s="80" t="str">
        <f>IFERROR(__xludf.DUMMYFUNCTION("""COMPUTED_VALUE"""),"dm55173s1")</f>
        <v>dm55173s1</v>
      </c>
      <c r="AL509" s="80" t="str">
        <f>IFERROR(__xludf.DUMMYFUNCTION("""COMPUTED_VALUE"""),"#55173Pos")</f>
        <v>#55173Pos</v>
      </c>
      <c r="AM509" s="80" t="str">
        <f>IFERROR(__xludf.DUMMYFUNCTION("""COMPUTED_VALUE"""),"KANTOR REGIONAL IV SEMARANG 50004")</f>
        <v>KANTOR REGIONAL IV SEMARANG 50004</v>
      </c>
      <c r="AN509" s="80" t="str">
        <f>IFERROR(__xludf.DUMMYFUNCTION("""COMPUTED_VALUE"""),"KCU YOGYAKARTA 55000")</f>
        <v>KCU YOGYAKARTA 55000</v>
      </c>
      <c r="AO509" s="80" t="str">
        <f>IFERROR(__xludf.DUMMYFUNCTION("""COMPUTED_VALUE"""),"2702240004176")</f>
        <v>2702240004176</v>
      </c>
      <c r="AP509" s="80" t="str">
        <f>IFERROR(__xludf.DUMMYFUNCTION("""COMPUTED_VALUE"""),"27022400041760001")</f>
        <v>27022400041760001</v>
      </c>
      <c r="AQ509" s="83"/>
      <c r="AR509" s="80"/>
      <c r="AS509" s="80"/>
      <c r="AT509" s="80" t="str">
        <f>IFERROR(__xludf.DUMMYFUNCTION("""COMPUTED_VALUE"""),"-7.831526")</f>
        <v>-7.831526</v>
      </c>
      <c r="AU509" s="80" t="str">
        <f>IFERROR(__xludf.DUMMYFUNCTION("""COMPUTED_VALUE"""),"110.398880")</f>
        <v>110.398880</v>
      </c>
      <c r="AV509" s="80"/>
      <c r="AW509" s="80"/>
      <c r="AX509" s="80"/>
      <c r="AY509" s="80"/>
      <c r="AZ509" s="80"/>
      <c r="BA509" s="80"/>
      <c r="BB509" s="80"/>
      <c r="BC509" s="80"/>
      <c r="BD509" s="80"/>
      <c r="BE509" s="80"/>
      <c r="BF509" s="80"/>
      <c r="BG509" s="80"/>
      <c r="BH509" s="80"/>
      <c r="BI509" s="80"/>
      <c r="BJ509" s="80"/>
      <c r="BK509" s="80"/>
      <c r="BL509" s="80"/>
      <c r="BM509" s="80"/>
      <c r="BN509" s="80"/>
      <c r="BO509" s="80"/>
      <c r="BP509" s="80"/>
      <c r="BQ509" s="80"/>
      <c r="BR509" s="80"/>
      <c r="BS509" s="80"/>
      <c r="BT509" s="80"/>
      <c r="BU509" s="80"/>
      <c r="BV509" s="80"/>
      <c r="BW509" s="80"/>
      <c r="BX509" s="80" t="str">
        <f>IFERROR(__xludf.DUMMYFUNCTION("""COMPUTED_VALUE"""),"NEWBIE")</f>
        <v>NEWBIE</v>
      </c>
      <c r="BY509" s="80"/>
      <c r="BZ509" s="80"/>
      <c r="CA509" s="80"/>
      <c r="CB509" s="80"/>
      <c r="CC509" s="80"/>
      <c r="CD509" s="80"/>
      <c r="CE509" s="80"/>
      <c r="CF509" s="80"/>
      <c r="CG509" s="80"/>
      <c r="CH509" s="80"/>
      <c r="CI509" s="80"/>
      <c r="CJ509" s="80"/>
      <c r="CK509" s="2"/>
    </row>
    <row r="510" ht="12.75" customHeight="1">
      <c r="A510" s="85">
        <f>IFERROR(__xludf.DUMMYFUNCTION("""COMPUTED_VALUE"""),507.0)</f>
        <v>507</v>
      </c>
      <c r="B510" s="85"/>
      <c r="C510" s="85"/>
      <c r="D510" s="86">
        <f>IFERROR(__xludf.DUMMYFUNCTION("""COMPUTED_VALUE"""),45820.0)</f>
        <v>45820</v>
      </c>
      <c r="E510" s="88"/>
      <c r="F510" s="85"/>
      <c r="G510" s="86"/>
      <c r="H510" s="85"/>
      <c r="I510" s="85"/>
      <c r="J510" s="85"/>
      <c r="K510" s="85"/>
      <c r="L510" s="85"/>
      <c r="M510" s="85" t="str">
        <f>IFERROR(__xludf.DUMMYFUNCTION("""COMPUTED_VALUE"""),"ü")</f>
        <v>ü</v>
      </c>
      <c r="N510" s="85"/>
      <c r="O510" s="85"/>
      <c r="P510" s="85" t="str">
        <f>IFERROR(__xludf.DUMMYFUNCTION("""COMPUTED_VALUE"""),"MUCSPA63150PSIND")</f>
        <v>MUCSPA63150PSIND</v>
      </c>
      <c r="Q510" s="85" t="str">
        <f>IFERROR(__xludf.DUMMYFUNCTION("""COMPUTED_VALUE"""),"MUC Jastipali")</f>
        <v>MUC Jastipali</v>
      </c>
      <c r="R510" s="85" t="str">
        <f>IFERROR(__xludf.DUMMYFUNCTION("""COMPUTED_VALUE"""),"MUC Jastipali")</f>
        <v>MUC Jastipali</v>
      </c>
      <c r="S510" s="85" t="str">
        <f>IFERROR(__xludf.DUMMYFUNCTION("""COMPUTED_VALUE"""),"HARIEZ NALENDRA")</f>
        <v>HARIEZ NALENDRA</v>
      </c>
      <c r="T510" s="85" t="str">
        <f>IFERROR(__xludf.DUMMYFUNCTION("""COMPUTED_VALUE"""),"KAV. DKI JL LEMBAH AREN I BLOK K9/11 RT.010 RW.009 PONDOK KELAPA DUREN SAWIT")</f>
        <v>KAV. DKI JL LEMBAH AREN I BLOK K9/11 RT.010 RW.009 PONDOK KELAPA DUREN SAWIT</v>
      </c>
      <c r="U510" s="85" t="str">
        <f>IFERROR(__xludf.DUMMYFUNCTION("""COMPUTED_VALUE"""),"Jl. Taman Malaka Selatan No.16 blok K2")</f>
        <v>Jl. Taman Malaka Selatan No.16 blok K2</v>
      </c>
      <c r="V510" s="85"/>
      <c r="W510" s="85" t="str">
        <f>IFERROR(__xludf.DUMMYFUNCTION("""COMPUTED_VALUE"""),"Pondok Kelapa")</f>
        <v>Pondok Kelapa</v>
      </c>
      <c r="X510" s="85" t="str">
        <f>IFERROR(__xludf.DUMMYFUNCTION("""COMPUTED_VALUE"""),"Duren Sawit")</f>
        <v>Duren Sawit</v>
      </c>
      <c r="Y510" s="85" t="str">
        <f>IFERROR(__xludf.DUMMYFUNCTION("""COMPUTED_VALUE"""),"Jakarta Timur")</f>
        <v>Jakarta Timur</v>
      </c>
      <c r="Z510" s="85" t="str">
        <f>IFERROR(__xludf.DUMMYFUNCTION("""COMPUTED_VALUE"""),"DKI Jakarta")</f>
        <v>DKI Jakarta</v>
      </c>
      <c r="AA510" s="85" t="str">
        <f>IFERROR(__xludf.DUMMYFUNCTION("""COMPUTED_VALUE"""),"13450")</f>
        <v>13450</v>
      </c>
      <c r="AB510" s="85" t="str">
        <f>IFERROR(__xludf.DUMMYFUNCTION("""COMPUTED_VALUE"""),"3278030208830015")</f>
        <v>3278030208830015</v>
      </c>
      <c r="AC510" s="85" t="str">
        <f>IFERROR(__xludf.DUMMYFUNCTION("""COMPUTED_VALUE"""),"25.518.887.2-518.000")</f>
        <v>25.518.887.2-518.000</v>
      </c>
      <c r="AD510" s="85" t="str">
        <f>IFERROR(__xludf.DUMMYFUNCTION("""COMPUTED_VALUE"""),"CUM - PS - ARKT")</f>
        <v>CUM - PS - ARKT</v>
      </c>
      <c r="AE510" s="85" t="str">
        <f>IFERROR(__xludf.DUMMYFUNCTION("""COMPUTED_VALUE"""),"SUB ARIS POS")</f>
        <v>SUB ARIS POS</v>
      </c>
      <c r="AF510" s="85" t="str">
        <f>IFERROR(__xludf.DUMMYFUNCTION("""COMPUTED_VALUE"""),"082122134474")</f>
        <v>082122134474</v>
      </c>
      <c r="AG510" s="85"/>
      <c r="AH510" s="85" t="str">
        <f>IFERROR(__xludf.DUMMYFUNCTION("""COMPUTED_VALUE"""),"ng.statistic@gmail.com")</f>
        <v>ng.statistic@gmail.com</v>
      </c>
      <c r="AI510" s="85" t="str">
        <f>IFERROR(__xludf.DUMMYFUNCTION("""COMPUTED_VALUE"""),"13450S2")</f>
        <v>13450S2</v>
      </c>
      <c r="AJ510" s="85" t="str">
        <f>IFERROR(__xludf.DUMMYFUNCTION("""COMPUTED_VALUE"""),"6864ab973e409cd39c0b0c7c")</f>
        <v>6864ab973e409cd39c0b0c7c</v>
      </c>
      <c r="AK510" s="85" t="str">
        <f>IFERROR(__xludf.DUMMYFUNCTION("""COMPUTED_VALUE"""),"dm13450s2")</f>
        <v>dm13450s2</v>
      </c>
      <c r="AL510" s="85" t="str">
        <f>IFERROR(__xludf.DUMMYFUNCTION("""COMPUTED_VALUE"""),"05431s2Po$")</f>
        <v>05431s2Po$</v>
      </c>
      <c r="AM510" s="85" t="str">
        <f>IFERROR(__xludf.DUMMYFUNCTION("""COMPUTED_VALUE"""),"KANTOR REGIONAL II JAKARTA 10004")</f>
        <v>KANTOR REGIONAL II JAKARTA 10004</v>
      </c>
      <c r="AN510" s="85" t="str">
        <f>IFERROR(__xludf.DUMMYFUNCTION("""COMPUTED_VALUE"""),"KCU JAKARTAPREMIER 13000")</f>
        <v>KCU JAKARTAPREMIER 13000</v>
      </c>
      <c r="AO510" s="85" t="str">
        <f>IFERROR(__xludf.DUMMYFUNCTION("""COMPUTED_VALUE"""),"1106250034717")</f>
        <v>1106250034717</v>
      </c>
      <c r="AP510" s="85" t="str">
        <f>IFERROR(__xludf.DUMMYFUNCTION("""COMPUTED_VALUE"""),"11062500347170001")</f>
        <v>11062500347170001</v>
      </c>
      <c r="AQ510" s="93"/>
      <c r="AR510" s="85"/>
      <c r="AS510" s="85"/>
      <c r="AT510" s="85" t="str">
        <f>IFERROR(__xludf.DUMMYFUNCTION("""COMPUTED_VALUE"""),"-6.232346")</f>
        <v>-6.232346</v>
      </c>
      <c r="AU510" s="85" t="str">
        <f>IFERROR(__xludf.DUMMYFUNCTION("""COMPUTED_VALUE"""),"106.924460")</f>
        <v>106.924460</v>
      </c>
      <c r="AV510" s="85"/>
      <c r="AW510" s="85"/>
      <c r="AX510" s="85"/>
      <c r="AY510" s="85"/>
      <c r="AZ510" s="85"/>
      <c r="BA510" s="85"/>
      <c r="BB510" s="85"/>
      <c r="BC510" s="85"/>
      <c r="BD510" s="85"/>
      <c r="BE510" s="85"/>
      <c r="BF510" s="85"/>
      <c r="BG510" s="85"/>
      <c r="BH510" s="85"/>
      <c r="BI510" s="85"/>
      <c r="BJ510" s="85"/>
      <c r="BK510" s="85"/>
      <c r="BL510" s="85"/>
      <c r="BM510" s="85"/>
      <c r="BN510" s="85"/>
      <c r="BO510" s="85"/>
      <c r="BP510" s="85"/>
      <c r="BQ510" s="85"/>
      <c r="BR510" s="85"/>
      <c r="BS510" s="85"/>
      <c r="BT510" s="85"/>
      <c r="BU510" s="85"/>
      <c r="BV510" s="85"/>
      <c r="BW510" s="85"/>
      <c r="BX510" s="85" t="str">
        <f>IFERROR(__xludf.DUMMYFUNCTION("""COMPUTED_VALUE"""),"JASTIP")</f>
        <v>JASTIP</v>
      </c>
      <c r="BY510" s="85"/>
      <c r="BZ510" s="85"/>
      <c r="CA510" s="85"/>
      <c r="CB510" s="85"/>
      <c r="CC510" s="85"/>
      <c r="CD510" s="85"/>
      <c r="CE510" s="85"/>
      <c r="CF510" s="85"/>
      <c r="CG510" s="85"/>
      <c r="CH510" s="85"/>
      <c r="CI510" s="85"/>
      <c r="CJ510" s="85"/>
      <c r="CK510" s="2"/>
    </row>
    <row r="511" ht="12.75" customHeight="1">
      <c r="A511" s="80">
        <f>IFERROR(__xludf.DUMMYFUNCTION("""COMPUTED_VALUE"""),508.0)</f>
        <v>508</v>
      </c>
      <c r="B511" s="80"/>
      <c r="C511" s="80"/>
      <c r="D511" s="81">
        <f>IFERROR(__xludf.DUMMYFUNCTION("""COMPUTED_VALUE"""),45820.0)</f>
        <v>45820</v>
      </c>
      <c r="E511" s="82"/>
      <c r="F511" s="80"/>
      <c r="G511" s="81"/>
      <c r="H511" s="80"/>
      <c r="I511" s="80"/>
      <c r="J511" s="80"/>
      <c r="K511" s="80"/>
      <c r="L511" s="80"/>
      <c r="M511" s="80" t="str">
        <f>IFERROR(__xludf.DUMMYFUNCTION("""COMPUTED_VALUE"""),"ü")</f>
        <v>ü</v>
      </c>
      <c r="N511" s="80"/>
      <c r="O511" s="80"/>
      <c r="P511" s="80" t="str">
        <f>IFERROR(__xludf.DUMMYFUNCTION("""COMPUTED_VALUE"""),"53BSPA09510JBEEN")</f>
        <v>53BSPA09510JBEEN</v>
      </c>
      <c r="Q511" s="80" t="str">
        <f>IFERROR(__xludf.DUMMYFUNCTION("""COMPUTED_VALUE"""),"MUC BBR")</f>
        <v>MUC BBR</v>
      </c>
      <c r="R511" s="80" t="str">
        <f>IFERROR(__xludf.DUMMYFUNCTION("""COMPUTED_VALUE"""),"MUC BBR")</f>
        <v>MUC BBR</v>
      </c>
      <c r="S511" s="80" t="str">
        <f>IFERROR(__xludf.DUMMYFUNCTION("""COMPUTED_VALUE"""),"MERGI WULANDARI")</f>
        <v>MERGI WULANDARI</v>
      </c>
      <c r="T511" s="80" t="str">
        <f>IFERROR(__xludf.DUMMYFUNCTION("""COMPUTED_VALUE"""),"KP JEMBATAN RT.011 RW.001 PENGGILINGAN CAKUNG JAKARTA TIMUR DKI JAKARTA")</f>
        <v>KP JEMBATAN RT.011 RW.001 PENGGILINGAN CAKUNG JAKARTA TIMUR DKI JAKARTA</v>
      </c>
      <c r="U511" s="80" t="str">
        <f>IFERROR(__xludf.DUMMYFUNCTION("""COMPUTED_VALUE"""),"Jalan Perumahan Bumi Bekasi Baru, Jl. Pariwisata Raya No.4")</f>
        <v>Jalan Perumahan Bumi Bekasi Baru, Jl. Pariwisata Raya No.4</v>
      </c>
      <c r="V511" s="80"/>
      <c r="W511" s="80" t="str">
        <f>IFERROR(__xludf.DUMMYFUNCTION("""COMPUTED_VALUE"""),"Pengasinan")</f>
        <v>Pengasinan</v>
      </c>
      <c r="X511" s="80" t="str">
        <f>IFERROR(__xludf.DUMMYFUNCTION("""COMPUTED_VALUE"""),"Rawalumbu")</f>
        <v>Rawalumbu</v>
      </c>
      <c r="Y511" s="80" t="str">
        <f>IFERROR(__xludf.DUMMYFUNCTION("""COMPUTED_VALUE"""),"Kota Bekasi")</f>
        <v>Kota Bekasi</v>
      </c>
      <c r="Z511" s="80" t="str">
        <f>IFERROR(__xludf.DUMMYFUNCTION("""COMPUTED_VALUE"""),"Jawa Barat")</f>
        <v>Jawa Barat</v>
      </c>
      <c r="AA511" s="80" t="str">
        <f>IFERROR(__xludf.DUMMYFUNCTION("""COMPUTED_VALUE"""),"17115")</f>
        <v>17115</v>
      </c>
      <c r="AB511" s="80" t="str">
        <f>IFERROR(__xludf.DUMMYFUNCTION("""COMPUTED_VALUE"""),"3175065404870002")</f>
        <v>3175065404870002</v>
      </c>
      <c r="AC511" s="80" t="str">
        <f>IFERROR(__xludf.DUMMYFUNCTION("""COMPUTED_VALUE"""),"34.750.318.7-004.000")</f>
        <v>34.750.318.7-004.000</v>
      </c>
      <c r="AD511" s="80" t="str">
        <f>IFERROR(__xludf.DUMMYFUNCTION("""COMPUTED_VALUE"""),"CUM - EEN")</f>
        <v>CUM - EEN</v>
      </c>
      <c r="AE511" s="80" t="str">
        <f>IFERROR(__xludf.DUMMYFUNCTION("""COMPUTED_VALUE"""),"SUB EEN")</f>
        <v>SUB EEN</v>
      </c>
      <c r="AF511" s="80" t="str">
        <f>IFERROR(__xludf.DUMMYFUNCTION("""COMPUTED_VALUE"""),"082162222331")</f>
        <v>082162222331</v>
      </c>
      <c r="AG511" s="80"/>
      <c r="AH511" s="80" t="str">
        <f>IFERROR(__xludf.DUMMYFUNCTION("""COMPUTED_VALUE"""),"slimzz0684@gmail.com")</f>
        <v>slimzz0684@gmail.com</v>
      </c>
      <c r="AI511" s="80" t="str">
        <f>IFERROR(__xludf.DUMMYFUNCTION("""COMPUTED_VALUE"""),"17175S3")</f>
        <v>17175S3</v>
      </c>
      <c r="AJ511" s="80" t="str">
        <f>IFERROR(__xludf.DUMMYFUNCTION("""COMPUTED_VALUE"""),"6864d2d1599565a970006ce7")</f>
        <v>6864d2d1599565a970006ce7</v>
      </c>
      <c r="AK511" s="80" t="str">
        <f>IFERROR(__xludf.DUMMYFUNCTION("""COMPUTED_VALUE"""),"dm17175s3")</f>
        <v>dm17175s3</v>
      </c>
      <c r="AL511" s="80" t="str">
        <f>IFERROR(__xludf.DUMMYFUNCTION("""COMPUTED_VALUE"""),"#17175Pos")</f>
        <v>#17175Pos</v>
      </c>
      <c r="AM511" s="80" t="str">
        <f>IFERROR(__xludf.DUMMYFUNCTION("""COMPUTED_VALUE"""),"KANTOR REGIONAL II JAKARTA 10004")</f>
        <v>KANTOR REGIONAL II JAKARTA 10004</v>
      </c>
      <c r="AN511" s="80" t="str">
        <f>IFERROR(__xludf.DUMMYFUNCTION("""COMPUTED_VALUE"""),"KCU BEKASI 17000")</f>
        <v>KCU BEKASI 17000</v>
      </c>
      <c r="AO511" s="80" t="str">
        <f>IFERROR(__xludf.DUMMYFUNCTION("""COMPUTED_VALUE"""),"1106250088552")</f>
        <v>1106250088552</v>
      </c>
      <c r="AP511" s="80" t="str">
        <f>IFERROR(__xludf.DUMMYFUNCTION("""COMPUTED_VALUE"""),"11062500885520001")</f>
        <v>11062500885520001</v>
      </c>
      <c r="AQ511" s="83"/>
      <c r="AR511" s="80"/>
      <c r="AS511" s="80"/>
      <c r="AT511" s="80" t="str">
        <f>IFERROR(__xludf.DUMMYFUNCTION("""COMPUTED_VALUE"""),"-6.269526 ")</f>
        <v>-6.269526 </v>
      </c>
      <c r="AU511" s="80" t="str">
        <f>IFERROR(__xludf.DUMMYFUNCTION("""COMPUTED_VALUE"""),"107.003971")</f>
        <v>107.003971</v>
      </c>
      <c r="AV511" s="80"/>
      <c r="AW511" s="80"/>
      <c r="AX511" s="80"/>
      <c r="AY511" s="80"/>
      <c r="AZ511" s="80"/>
      <c r="BA511" s="80"/>
      <c r="BB511" s="80"/>
      <c r="BC511" s="80"/>
      <c r="BD511" s="80"/>
      <c r="BE511" s="80"/>
      <c r="BF511" s="80"/>
      <c r="BG511" s="80"/>
      <c r="BH511" s="80"/>
      <c r="BI511" s="80"/>
      <c r="BJ511" s="80"/>
      <c r="BK511" s="80"/>
      <c r="BL511" s="80"/>
      <c r="BM511" s="80"/>
      <c r="BN511" s="80"/>
      <c r="BO511" s="80"/>
      <c r="BP511" s="80"/>
      <c r="BQ511" s="80"/>
      <c r="BR511" s="80"/>
      <c r="BS511" s="80"/>
      <c r="BT511" s="80"/>
      <c r="BU511" s="80"/>
      <c r="BV511" s="80"/>
      <c r="BW511" s="80"/>
      <c r="BX511" s="80" t="str">
        <f>IFERROR(__xludf.DUMMYFUNCTION("""COMPUTED_VALUE"""),"POS TAKEOVER")</f>
        <v>POS TAKEOVER</v>
      </c>
      <c r="BY511" s="80"/>
      <c r="BZ511" s="80"/>
      <c r="CA511" s="80"/>
      <c r="CB511" s="80"/>
      <c r="CC511" s="80"/>
      <c r="CD511" s="80"/>
      <c r="CE511" s="80"/>
      <c r="CF511" s="80"/>
      <c r="CG511" s="80"/>
      <c r="CH511" s="80"/>
      <c r="CI511" s="80"/>
      <c r="CJ511" s="80"/>
      <c r="CK511" s="2"/>
    </row>
    <row r="512" ht="12.75" customHeight="1">
      <c r="A512" s="85">
        <f>IFERROR(__xludf.DUMMYFUNCTION("""COMPUTED_VALUE"""),509.0)</f>
        <v>509</v>
      </c>
      <c r="B512" s="85"/>
      <c r="C512" s="85"/>
      <c r="D512" s="86">
        <f>IFERROR(__xludf.DUMMYFUNCTION("""COMPUTED_VALUE"""),45821.0)</f>
        <v>45821</v>
      </c>
      <c r="E512" s="88"/>
      <c r="F512" s="85"/>
      <c r="G512" s="86"/>
      <c r="H512" s="85"/>
      <c r="I512" s="85"/>
      <c r="J512" s="85"/>
      <c r="K512" s="85"/>
      <c r="L512" s="85"/>
      <c r="M512" s="85" t="str">
        <f>IFERROR(__xludf.DUMMYFUNCTION("""COMPUTED_VALUE"""),"ü")</f>
        <v>ü</v>
      </c>
      <c r="N512" s="85"/>
      <c r="O512" s="85"/>
      <c r="P512" s="85" t="str">
        <f>IFERROR(__xludf.DUMMYFUNCTION("""COMPUTED_VALUE"""),"53BSPA09511JBEEN")</f>
        <v>53BSPA09511JBEEN</v>
      </c>
      <c r="Q512" s="85" t="str">
        <f>IFERROR(__xludf.DUMMYFUNCTION("""COMPUTED_VALUE"""),"MUC Cibodasari Mangga Raya")</f>
        <v>MUC Cibodasari Mangga Raya</v>
      </c>
      <c r="R512" s="85" t="str">
        <f>IFERROR(__xludf.DUMMYFUNCTION("""COMPUTED_VALUE"""),"MUC Cibodasari Mangga Raya")</f>
        <v>MUC Cibodasari Mangga Raya</v>
      </c>
      <c r="S512" s="85" t="str">
        <f>IFERROR(__xludf.DUMMYFUNCTION("""COMPUTED_VALUE"""),"EMANUEL TEDY SUHARTANTO")</f>
        <v>EMANUEL TEDY SUHARTANTO</v>
      </c>
      <c r="T512" s="85" t="str">
        <f>IFERROR(__xludf.DUMMYFUNCTION("""COMPUTED_VALUE"""),"JL.HAJIUNG NO.323 RT.010 RW.002 KEL. UTAN PANJANG KEC. KEMAYORAN JAKARTA PUSAT")</f>
        <v>JL.HAJIUNG NO.323 RT.010 RW.002 KEL. UTAN PANJANG KEC. KEMAYORAN JAKARTA PUSAT</v>
      </c>
      <c r="U512" s="85" t="str">
        <f>IFERROR(__xludf.DUMMYFUNCTION("""COMPUTED_VALUE"""),"Jl Mangga Raya Blok 8.124 Rt.004, Rw.018")</f>
        <v>Jl Mangga Raya Blok 8.124 Rt.004, Rw.018</v>
      </c>
      <c r="V512" s="85"/>
      <c r="W512" s="85" t="str">
        <f>IFERROR(__xludf.DUMMYFUNCTION("""COMPUTED_VALUE"""),"Cibodasari")</f>
        <v>Cibodasari</v>
      </c>
      <c r="X512" s="85" t="str">
        <f>IFERROR(__xludf.DUMMYFUNCTION("""COMPUTED_VALUE"""),"Cibodas")</f>
        <v>Cibodas</v>
      </c>
      <c r="Y512" s="85" t="str">
        <f>IFERROR(__xludf.DUMMYFUNCTION("""COMPUTED_VALUE"""),"Kota Tangerang")</f>
        <v>Kota Tangerang</v>
      </c>
      <c r="Z512" s="85" t="str">
        <f>IFERROR(__xludf.DUMMYFUNCTION("""COMPUTED_VALUE"""),"Banten")</f>
        <v>Banten</v>
      </c>
      <c r="AA512" s="85" t="str">
        <f>IFERROR(__xludf.DUMMYFUNCTION("""COMPUTED_VALUE"""),"15138")</f>
        <v>15138</v>
      </c>
      <c r="AB512" s="85" t="str">
        <f>IFERROR(__xludf.DUMMYFUNCTION("""COMPUTED_VALUE"""),"3171030112770002")</f>
        <v>3171030112770002</v>
      </c>
      <c r="AC512" s="85" t="str">
        <f>IFERROR(__xludf.DUMMYFUNCTION("""COMPUTED_VALUE"""),"47.531.394.6-402.000")</f>
        <v>47.531.394.6-402.000</v>
      </c>
      <c r="AD512" s="85" t="str">
        <f>IFERROR(__xludf.DUMMYFUNCTION("""COMPUTED_VALUE"""),"CUM - EEN")</f>
        <v>CUM - EEN</v>
      </c>
      <c r="AE512" s="85" t="str">
        <f>IFERROR(__xludf.DUMMYFUNCTION("""COMPUTED_VALUE"""),"SUB EEN")</f>
        <v>SUB EEN</v>
      </c>
      <c r="AF512" s="85" t="str">
        <f>IFERROR(__xludf.DUMMYFUNCTION("""COMPUTED_VALUE"""),"081213793142")</f>
        <v>081213793142</v>
      </c>
      <c r="AG512" s="85"/>
      <c r="AH512" s="85" t="str">
        <f>IFERROR(__xludf.DUMMYFUNCTION("""COMPUTED_VALUE"""),"kleova01@gmail.com")</f>
        <v>kleova01@gmail.com</v>
      </c>
      <c r="AI512" s="85" t="str">
        <f>IFERROR(__xludf.DUMMYFUNCTION("""COMPUTED_VALUE"""),"15138S8")</f>
        <v>15138S8</v>
      </c>
      <c r="AJ512" s="85" t="str">
        <f>IFERROR(__xludf.DUMMYFUNCTION("""COMPUTED_VALUE"""),"687a5e8de8fa400c2d00ff47")</f>
        <v>687a5e8de8fa400c2d00ff47</v>
      </c>
      <c r="AK512" s="85" t="str">
        <f>IFERROR(__xludf.DUMMYFUNCTION("""COMPUTED_VALUE"""),"dm15138s8")</f>
        <v>dm15138s8</v>
      </c>
      <c r="AL512" s="85" t="str">
        <f>IFERROR(__xludf.DUMMYFUNCTION("""COMPUTED_VALUE"""),"#15138Pos")</f>
        <v>#15138Pos</v>
      </c>
      <c r="AM512" s="85" t="str">
        <f>IFERROR(__xludf.DUMMYFUNCTION("""COMPUTED_VALUE"""),"KANTOR REGIONAL II JAKARTA 10004")</f>
        <v>KANTOR REGIONAL II JAKARTA 10004</v>
      </c>
      <c r="AN512" s="85" t="str">
        <f>IFERROR(__xludf.DUMMYFUNCTION("""COMPUTED_VALUE"""),"KCU TANGERANG 15000")</f>
        <v>KCU TANGERANG 15000</v>
      </c>
      <c r="AO512" s="85" t="str">
        <f>IFERROR(__xludf.DUMMYFUNCTION("""COMPUTED_VALUE"""),"0283000961572")</f>
        <v>0283000961572</v>
      </c>
      <c r="AP512" s="85" t="str">
        <f>IFERROR(__xludf.DUMMYFUNCTION("""COMPUTED_VALUE"""),"02830009615720002")</f>
        <v>02830009615720002</v>
      </c>
      <c r="AQ512" s="93"/>
      <c r="AR512" s="85"/>
      <c r="AS512" s="85"/>
      <c r="AT512" s="85" t="str">
        <f>IFERROR(__xludf.DUMMYFUNCTION("""COMPUTED_VALUE"""),"-6.209680")</f>
        <v>-6.209680</v>
      </c>
      <c r="AU512" s="85" t="str">
        <f>IFERROR(__xludf.DUMMYFUNCTION("""COMPUTED_VALUE"""),"106.609618")</f>
        <v>106.609618</v>
      </c>
      <c r="AV512" s="85"/>
      <c r="AW512" s="85"/>
      <c r="AX512" s="85"/>
      <c r="AY512" s="85"/>
      <c r="AZ512" s="85"/>
      <c r="BA512" s="85"/>
      <c r="BB512" s="85"/>
      <c r="BC512" s="85"/>
      <c r="BD512" s="85"/>
      <c r="BE512" s="85"/>
      <c r="BF512" s="85"/>
      <c r="BG512" s="85"/>
      <c r="BH512" s="85"/>
      <c r="BI512" s="85"/>
      <c r="BJ512" s="85"/>
      <c r="BK512" s="85"/>
      <c r="BL512" s="85"/>
      <c r="BM512" s="85"/>
      <c r="BN512" s="85"/>
      <c r="BO512" s="85"/>
      <c r="BP512" s="85"/>
      <c r="BQ512" s="85"/>
      <c r="BR512" s="85"/>
      <c r="BS512" s="85"/>
      <c r="BT512" s="85"/>
      <c r="BU512" s="85"/>
      <c r="BV512" s="85"/>
      <c r="BW512" s="85"/>
      <c r="BX512" s="85" t="str">
        <f>IFERROR(__xludf.DUMMYFUNCTION("""COMPUTED_VALUE"""),"MULTIKURIR - WAHANA")</f>
        <v>MULTIKURIR - WAHANA</v>
      </c>
      <c r="BY512" s="85"/>
      <c r="BZ512" s="85"/>
      <c r="CA512" s="85"/>
      <c r="CB512" s="85"/>
      <c r="CC512" s="85"/>
      <c r="CD512" s="85"/>
      <c r="CE512" s="85"/>
      <c r="CF512" s="85"/>
      <c r="CG512" s="85"/>
      <c r="CH512" s="85"/>
      <c r="CI512" s="85"/>
      <c r="CJ512" s="85"/>
      <c r="CK512" s="2"/>
    </row>
    <row r="513" ht="12.75" customHeight="1">
      <c r="A513" s="80">
        <f>IFERROR(__xludf.DUMMYFUNCTION("""COMPUTED_VALUE"""),510.0)</f>
        <v>510</v>
      </c>
      <c r="B513" s="80"/>
      <c r="C513" s="80"/>
      <c r="D513" s="81">
        <f>IFERROR(__xludf.DUMMYFUNCTION("""COMPUTED_VALUE"""),45821.0)</f>
        <v>45821</v>
      </c>
      <c r="E513" s="82"/>
      <c r="F513" s="80"/>
      <c r="G513" s="81"/>
      <c r="H513" s="80"/>
      <c r="I513" s="80"/>
      <c r="J513" s="80"/>
      <c r="K513" s="80"/>
      <c r="L513" s="80"/>
      <c r="M513" s="80" t="str">
        <f>IFERROR(__xludf.DUMMYFUNCTION("""COMPUTED_VALUE"""),"ü")</f>
        <v>ü</v>
      </c>
      <c r="N513" s="80"/>
      <c r="O513" s="80"/>
      <c r="P513" s="80" t="str">
        <f>IFERROR(__xludf.DUMMYFUNCTION("""COMPUTED_VALUE"""),"MUCSPA63151PSIND")</f>
        <v>MUCSPA63151PSIND</v>
      </c>
      <c r="Q513" s="80" t="str">
        <f>IFERROR(__xludf.DUMMYFUNCTION("""COMPUTED_VALUE"""),"MUC Haudee 77")</f>
        <v>MUC Haudee 77</v>
      </c>
      <c r="R513" s="80" t="str">
        <f>IFERROR(__xludf.DUMMYFUNCTION("""COMPUTED_VALUE"""),"MUC Haudee 77")</f>
        <v>MUC Haudee 77</v>
      </c>
      <c r="S513" s="80" t="str">
        <f>IFERROR(__xludf.DUMMYFUNCTION("""COMPUTED_VALUE"""),"Indrianna Suhesti")</f>
        <v>Indrianna Suhesti</v>
      </c>
      <c r="T513" s="80" t="str">
        <f>IFERROR(__xludf.DUMMYFUNCTION("""COMPUTED_VALUE"""),"Jl. Bima No.1 RT.04 RW.05 Tambaksogra Sumbang Banyumas")</f>
        <v>Jl. Bima No.1 RT.04 RW.05 Tambaksogra Sumbang Banyumas</v>
      </c>
      <c r="U513" s="80" t="str">
        <f>IFERROR(__xludf.DUMMYFUNCTION("""COMPUTED_VALUE"""),"Jl. Bima No.1 RT.04 RW.05")</f>
        <v>Jl. Bima No.1 RT.04 RW.05</v>
      </c>
      <c r="V513" s="80"/>
      <c r="W513" s="80" t="str">
        <f>IFERROR(__xludf.DUMMYFUNCTION("""COMPUTED_VALUE"""),"Tambaksogra")</f>
        <v>Tambaksogra</v>
      </c>
      <c r="X513" s="80" t="str">
        <f>IFERROR(__xludf.DUMMYFUNCTION("""COMPUTED_VALUE"""),"Sumbang")</f>
        <v>Sumbang</v>
      </c>
      <c r="Y513" s="80" t="str">
        <f>IFERROR(__xludf.DUMMYFUNCTION("""COMPUTED_VALUE"""),"Banyumas")</f>
        <v>Banyumas</v>
      </c>
      <c r="Z513" s="80" t="str">
        <f>IFERROR(__xludf.DUMMYFUNCTION("""COMPUTED_VALUE"""),"Jawa Tengah")</f>
        <v>Jawa Tengah</v>
      </c>
      <c r="AA513" s="80" t="str">
        <f>IFERROR(__xludf.DUMMYFUNCTION("""COMPUTED_VALUE"""),"53183")</f>
        <v>53183</v>
      </c>
      <c r="AB513" s="80" t="str">
        <f>IFERROR(__xludf.DUMMYFUNCTION("""COMPUTED_VALUE"""),"3276104108790002")</f>
        <v>3276104108790002</v>
      </c>
      <c r="AC513" s="80" t="str">
        <f>IFERROR(__xludf.DUMMYFUNCTION("""COMPUTED_VALUE"""),"47.055.098.9-412.000")</f>
        <v>47.055.098.9-412.000</v>
      </c>
      <c r="AD513" s="80" t="str">
        <f>IFERROR(__xludf.DUMMYFUNCTION("""COMPUTED_VALUE"""),"CUM - PS - HTR")</f>
        <v>CUM - PS - HTR</v>
      </c>
      <c r="AE513" s="80" t="str">
        <f>IFERROR(__xludf.DUMMYFUNCTION("""COMPUTED_VALUE"""),"SUB HENRI POS")</f>
        <v>SUB HENRI POS</v>
      </c>
      <c r="AF513" s="80" t="str">
        <f>IFERROR(__xludf.DUMMYFUNCTION("""COMPUTED_VALUE"""),"082113231519")</f>
        <v>082113231519</v>
      </c>
      <c r="AG513" s="80"/>
      <c r="AH513" s="80" t="str">
        <f>IFERROR(__xludf.DUMMYFUNCTION("""COMPUTED_VALUE"""),"Haudee.xpress@gmail.com")</f>
        <v>Haudee.xpress@gmail.com</v>
      </c>
      <c r="AI513" s="80" t="str">
        <f>IFERROR(__xludf.DUMMYFUNCTION("""COMPUTED_VALUE"""),"53183S6")</f>
        <v>53183S6</v>
      </c>
      <c r="AJ513" s="80" t="str">
        <f>IFERROR(__xludf.DUMMYFUNCTION("""COMPUTED_VALUE"""),"6864e47c52dd8874f2027429")</f>
        <v>6864e47c52dd8874f2027429</v>
      </c>
      <c r="AK513" s="80" t="str">
        <f>IFERROR(__xludf.DUMMYFUNCTION("""COMPUTED_VALUE"""),"dm53183s6")</f>
        <v>dm53183s6</v>
      </c>
      <c r="AL513" s="80" t="str">
        <f>IFERROR(__xludf.DUMMYFUNCTION("""COMPUTED_VALUE"""),"#53183Pos")</f>
        <v>#53183Pos</v>
      </c>
      <c r="AM513" s="80" t="str">
        <f>IFERROR(__xludf.DUMMYFUNCTION("""COMPUTED_VALUE"""),"KANTOR REGIONAL IV SEMARANG 50004")</f>
        <v>KANTOR REGIONAL IV SEMARANG 50004</v>
      </c>
      <c r="AN513" s="80" t="str">
        <f>IFERROR(__xludf.DUMMYFUNCTION("""COMPUTED_VALUE"""),"KCU PURWOKERTO 53100")</f>
        <v>KCU PURWOKERTO 53100</v>
      </c>
      <c r="AO513" s="80" t="str">
        <f>IFERROR(__xludf.DUMMYFUNCTION("""COMPUTED_VALUE"""),"1112210003048")</f>
        <v>1112210003048</v>
      </c>
      <c r="AP513" s="80" t="str">
        <f>IFERROR(__xludf.DUMMYFUNCTION("""COMPUTED_VALUE"""),"11122100030480003")</f>
        <v>11122100030480003</v>
      </c>
      <c r="AQ513" s="83"/>
      <c r="AR513" s="80"/>
      <c r="AS513" s="80"/>
      <c r="AT513" s="80" t="str">
        <f>IFERROR(__xludf.DUMMYFUNCTION("""COMPUTED_VALUE"""),"-7.390328")</f>
        <v>-7.390328</v>
      </c>
      <c r="AU513" s="80" t="str">
        <f>IFERROR(__xludf.DUMMYFUNCTION("""COMPUTED_VALUE"""),"109.264726")</f>
        <v>109.264726</v>
      </c>
      <c r="AV513" s="80"/>
      <c r="AW513" s="80"/>
      <c r="AX513" s="80"/>
      <c r="AY513" s="80"/>
      <c r="AZ513" s="80"/>
      <c r="BA513" s="80"/>
      <c r="BB513" s="80"/>
      <c r="BC513" s="80"/>
      <c r="BD513" s="80"/>
      <c r="BE513" s="80"/>
      <c r="BF513" s="80"/>
      <c r="BG513" s="80"/>
      <c r="BH513" s="80"/>
      <c r="BI513" s="80"/>
      <c r="BJ513" s="80"/>
      <c r="BK513" s="80"/>
      <c r="BL513" s="80"/>
      <c r="BM513" s="80"/>
      <c r="BN513" s="80"/>
      <c r="BO513" s="80"/>
      <c r="BP513" s="80"/>
      <c r="BQ513" s="80"/>
      <c r="BR513" s="80"/>
      <c r="BS513" s="80"/>
      <c r="BT513" s="80"/>
      <c r="BU513" s="80"/>
      <c r="BV513" s="80"/>
      <c r="BW513" s="80"/>
      <c r="BX513" s="80" t="str">
        <f>IFERROR(__xludf.DUMMYFUNCTION("""COMPUTED_VALUE"""),"ORANGER TOKO")</f>
        <v>ORANGER TOKO</v>
      </c>
      <c r="BY513" s="80"/>
      <c r="BZ513" s="80"/>
      <c r="CA513" s="80"/>
      <c r="CB513" s="80"/>
      <c r="CC513" s="80"/>
      <c r="CD513" s="80"/>
      <c r="CE513" s="80"/>
      <c r="CF513" s="80"/>
      <c r="CG513" s="80"/>
      <c r="CH513" s="80"/>
      <c r="CI513" s="80"/>
      <c r="CJ513" s="80"/>
      <c r="CK513" s="2"/>
    </row>
    <row r="514" ht="12.75" customHeight="1">
      <c r="A514" s="85">
        <f>IFERROR(__xludf.DUMMYFUNCTION("""COMPUTED_VALUE"""),511.0)</f>
        <v>511</v>
      </c>
      <c r="B514" s="85"/>
      <c r="C514" s="85"/>
      <c r="D514" s="86">
        <f>IFERROR(__xludf.DUMMYFUNCTION("""COMPUTED_VALUE"""),45821.0)</f>
        <v>45821</v>
      </c>
      <c r="E514" s="88"/>
      <c r="F514" s="85"/>
      <c r="G514" s="86">
        <f>IFERROR(__xludf.DUMMYFUNCTION("""COMPUTED_VALUE"""),45866.0)</f>
        <v>45866</v>
      </c>
      <c r="H514" s="85"/>
      <c r="I514" s="85"/>
      <c r="J514" s="85"/>
      <c r="K514" s="85"/>
      <c r="L514" s="85">
        <f>IFERROR(__xludf.DUMMYFUNCTION("""COMPUTED_VALUE"""),45.0)</f>
        <v>45</v>
      </c>
      <c r="M514" s="85" t="str">
        <f>IFERROR(__xludf.DUMMYFUNCTION("""COMPUTED_VALUE"""),"ü")</f>
        <v>ü</v>
      </c>
      <c r="N514" s="85"/>
      <c r="O514" s="85"/>
      <c r="P514" s="85" t="str">
        <f>IFERROR(__xludf.DUMMYFUNCTION("""COMPUTED_VALUE"""),"MUCSPA63152PSIND")</f>
        <v>MUCSPA63152PSIND</v>
      </c>
      <c r="Q514" s="85" t="str">
        <f>IFERROR(__xludf.DUMMYFUNCTION("""COMPUTED_VALUE"""),"MUC Najmi")</f>
        <v>MUC Najmi</v>
      </c>
      <c r="R514" s="85" t="str">
        <f>IFERROR(__xludf.DUMMYFUNCTION("""COMPUTED_VALUE"""),"MUC Najmi")</f>
        <v>MUC Najmi</v>
      </c>
      <c r="S514" s="85" t="str">
        <f>IFERROR(__xludf.DUMMYFUNCTION("""COMPUTED_VALUE"""),"M.Nur Iskandar")</f>
        <v>M.Nur Iskandar</v>
      </c>
      <c r="T514" s="85" t="str">
        <f>IFERROR(__xludf.DUMMYFUNCTION("""COMPUTED_VALUE"""),"Binangun RT 02 01 Ds Binangun kec mrebet kab Purbalingga Jawa Tengah")</f>
        <v>Binangun RT 02 01 Ds Binangun kec mrebet kab Purbalingga Jawa Tengah</v>
      </c>
      <c r="U514" s="85" t="str">
        <f>IFERROR(__xludf.DUMMYFUNCTION("""COMPUTED_VALUE"""),"Jl. Sumurwatu RT 06 RW 01")</f>
        <v>Jl. Sumurwatu RT 06 RW 01</v>
      </c>
      <c r="V514" s="85"/>
      <c r="W514" s="85" t="str">
        <f>IFERROR(__xludf.DUMMYFUNCTION("""COMPUTED_VALUE"""),"Kebocoran")</f>
        <v>Kebocoran</v>
      </c>
      <c r="X514" s="85" t="str">
        <f>IFERROR(__xludf.DUMMYFUNCTION("""COMPUTED_VALUE"""),"Kedungbanteng")</f>
        <v>Kedungbanteng</v>
      </c>
      <c r="Y514" s="85" t="str">
        <f>IFERROR(__xludf.DUMMYFUNCTION("""COMPUTED_VALUE"""),"Banyumas")</f>
        <v>Banyumas</v>
      </c>
      <c r="Z514" s="85" t="str">
        <f>IFERROR(__xludf.DUMMYFUNCTION("""COMPUTED_VALUE"""),"Jawa Tengah ")</f>
        <v>Jawa Tengah </v>
      </c>
      <c r="AA514" s="85" t="str">
        <f>IFERROR(__xludf.DUMMYFUNCTION("""COMPUTED_VALUE"""),"53152")</f>
        <v>53152</v>
      </c>
      <c r="AB514" s="85" t="str">
        <f>IFERROR(__xludf.DUMMYFUNCTION("""COMPUTED_VALUE"""),"3303080503970002")</f>
        <v>3303080503970002</v>
      </c>
      <c r="AC514" s="85" t="str">
        <f>IFERROR(__xludf.DUMMYFUNCTION("""COMPUTED_VALUE"""),"40.760.849.6-529.000")</f>
        <v>40.760.849.6-529.000</v>
      </c>
      <c r="AD514" s="85" t="str">
        <f>IFERROR(__xludf.DUMMYFUNCTION("""COMPUTED_VALUE"""),"CUM - PS - HTR")</f>
        <v>CUM - PS - HTR</v>
      </c>
      <c r="AE514" s="85" t="str">
        <f>IFERROR(__xludf.DUMMYFUNCTION("""COMPUTED_VALUE"""),"SUB HENRI POS")</f>
        <v>SUB HENRI POS</v>
      </c>
      <c r="AF514" s="85" t="str">
        <f>IFERROR(__xludf.DUMMYFUNCTION("""COMPUTED_VALUE"""),"085328120140")</f>
        <v>085328120140</v>
      </c>
      <c r="AG514" s="85"/>
      <c r="AH514" s="85" t="str">
        <f>IFERROR(__xludf.DUMMYFUNCTION("""COMPUTED_VALUE"""),"iskandarnur241@gmail.com")</f>
        <v>iskandarnur241@gmail.com</v>
      </c>
      <c r="AI514" s="85" t="str">
        <f>IFERROR(__xludf.DUMMYFUNCTION("""COMPUTED_VALUE"""),"53152S6")</f>
        <v>53152S6</v>
      </c>
      <c r="AJ514" s="85" t="str">
        <f>IFERROR(__xludf.DUMMYFUNCTION("""COMPUTED_VALUE"""),"68823ae3a90739ef230c58b6")</f>
        <v>68823ae3a90739ef230c58b6</v>
      </c>
      <c r="AK514" s="85" t="str">
        <f>IFERROR(__xludf.DUMMYFUNCTION("""COMPUTED_VALUE"""),"dm53152s6")</f>
        <v>dm53152s6</v>
      </c>
      <c r="AL514" s="85" t="str">
        <f>IFERROR(__xludf.DUMMYFUNCTION("""COMPUTED_VALUE"""),"#53152Pos")</f>
        <v>#53152Pos</v>
      </c>
      <c r="AM514" s="85" t="str">
        <f>IFERROR(__xludf.DUMMYFUNCTION("""COMPUTED_VALUE"""),"KANTOR REGIONAL IV SEMARANG 50004")</f>
        <v>KANTOR REGIONAL IV SEMARANG 50004</v>
      </c>
      <c r="AN514" s="85" t="str">
        <f>IFERROR(__xludf.DUMMYFUNCTION("""COMPUTED_VALUE"""),"KCU PURWOKERTO 53100")</f>
        <v>KCU PURWOKERTO 53100</v>
      </c>
      <c r="AO514" s="85" t="str">
        <f>IFERROR(__xludf.DUMMYFUNCTION("""COMPUTED_VALUE"""),"0506250056153")</f>
        <v>0506250056153</v>
      </c>
      <c r="AP514" s="85" t="str">
        <f>IFERROR(__xludf.DUMMYFUNCTION("""COMPUTED_VALUE"""),"05062500561530001")</f>
        <v>05062500561530001</v>
      </c>
      <c r="AQ514" s="93"/>
      <c r="AR514" s="85"/>
      <c r="AS514" s="85"/>
      <c r="AT514" s="85" t="str">
        <f>IFERROR(__xludf.DUMMYFUNCTION("""COMPUTED_VALUE"""),"-7.398866 ")</f>
        <v>-7.398866 </v>
      </c>
      <c r="AU514" s="85" t="str">
        <f>IFERROR(__xludf.DUMMYFUNCTION("""COMPUTED_VALUE"""),"109.208072")</f>
        <v>109.208072</v>
      </c>
      <c r="AV514" s="85"/>
      <c r="AW514" s="85"/>
      <c r="AX514" s="85"/>
      <c r="AY514" s="85"/>
      <c r="AZ514" s="85"/>
      <c r="BA514" s="85"/>
      <c r="BB514" s="85"/>
      <c r="BC514" s="85"/>
      <c r="BD514" s="85"/>
      <c r="BE514" s="85"/>
      <c r="BF514" s="85"/>
      <c r="BG514" s="85"/>
      <c r="BH514" s="85"/>
      <c r="BI514" s="85"/>
      <c r="BJ514" s="85"/>
      <c r="BK514" s="85"/>
      <c r="BL514" s="85"/>
      <c r="BM514" s="85"/>
      <c r="BN514" s="85"/>
      <c r="BO514" s="85"/>
      <c r="BP514" s="85"/>
      <c r="BQ514" s="85"/>
      <c r="BR514" s="85"/>
      <c r="BS514" s="85"/>
      <c r="BT514" s="85"/>
      <c r="BU514" s="85"/>
      <c r="BV514" s="85"/>
      <c r="BW514" s="85"/>
      <c r="BX514" s="85" t="str">
        <f>IFERROR(__xludf.DUMMYFUNCTION("""COMPUTED_VALUE"""),"FOTOCOPY")</f>
        <v>FOTOCOPY</v>
      </c>
      <c r="BY514" s="85"/>
      <c r="BZ514" s="85"/>
      <c r="CA514" s="85"/>
      <c r="CB514" s="85"/>
      <c r="CC514" s="85"/>
      <c r="CD514" s="85"/>
      <c r="CE514" s="85"/>
      <c r="CF514" s="85"/>
      <c r="CG514" s="85"/>
      <c r="CH514" s="85"/>
      <c r="CI514" s="85"/>
      <c r="CJ514" s="85"/>
      <c r="CK514" s="2"/>
    </row>
    <row r="515" ht="12.75" customHeight="1">
      <c r="A515" s="80">
        <f>IFERROR(__xludf.DUMMYFUNCTION("""COMPUTED_VALUE"""),512.0)</f>
        <v>512</v>
      </c>
      <c r="B515" s="80"/>
      <c r="C515" s="80"/>
      <c r="D515" s="81">
        <f>IFERROR(__xludf.DUMMYFUNCTION("""COMPUTED_VALUE"""),45821.0)</f>
        <v>45821</v>
      </c>
      <c r="E515" s="82"/>
      <c r="F515" s="80"/>
      <c r="G515" s="81"/>
      <c r="H515" s="80"/>
      <c r="I515" s="80"/>
      <c r="J515" s="80"/>
      <c r="K515" s="80"/>
      <c r="L515" s="80"/>
      <c r="M515" s="80"/>
      <c r="N515" s="80" t="str">
        <f>IFERROR(__xludf.DUMMYFUNCTION("""COMPUTED_VALUE"""),"ü")</f>
        <v>ü</v>
      </c>
      <c r="O515" s="80"/>
      <c r="P515" s="80" t="str">
        <f>IFERROR(__xludf.DUMMYFUNCTION("""COMPUTED_VALUE"""),"MLO5500033CUMPOS")</f>
        <v>MLO5500033CUMPOS</v>
      </c>
      <c r="Q515" s="80" t="str">
        <f>IFERROR(__xludf.DUMMYFUNCTION("""COMPUTED_VALUE"""),"MUC SWEET")</f>
        <v>MUC SWEET</v>
      </c>
      <c r="R515" s="80" t="str">
        <f>IFERROR(__xludf.DUMMYFUNCTION("""COMPUTED_VALUE"""),"MUC SWEET")</f>
        <v>MUC SWEET</v>
      </c>
      <c r="S515" s="80" t="str">
        <f>IFERROR(__xludf.DUMMYFUNCTION("""COMPUTED_VALUE"""),"SAFITRI")</f>
        <v>SAFITRI</v>
      </c>
      <c r="T515" s="80" t="str">
        <f>IFERROR(__xludf.DUMMYFUNCTION("""COMPUTED_VALUE"""),"SRUNI KOTA RT 003 RW 007 WONOSOSBO TIMUR")</f>
        <v>SRUNI KOTA RT 003 RW 007 WONOSOSBO TIMUR</v>
      </c>
      <c r="U515" s="80" t="str">
        <f>IFERROR(__xludf.DUMMYFUNCTION("""COMPUTED_VALUE"""),"WONOBUNGKAH RT 001 RW 005 JLAMPRANG")</f>
        <v>WONOBUNGKAH RT 001 RW 005 JLAMPRANG</v>
      </c>
      <c r="V515" s="80"/>
      <c r="W515" s="80" t="str">
        <f>IFERROR(__xludf.DUMMYFUNCTION("""COMPUTED_VALUE"""),"WONOSOBO TIMUR ")</f>
        <v>WONOSOBO TIMUR </v>
      </c>
      <c r="X515" s="80" t="str">
        <f>IFERROR(__xludf.DUMMYFUNCTION("""COMPUTED_VALUE"""),"WONOSOBO")</f>
        <v>WONOSOBO</v>
      </c>
      <c r="Y515" s="80" t="str">
        <f>IFERROR(__xludf.DUMMYFUNCTION("""COMPUTED_VALUE"""),"KAB. WONOSOBO")</f>
        <v>KAB. WONOSOBO</v>
      </c>
      <c r="Z515" s="80" t="str">
        <f>IFERROR(__xludf.DUMMYFUNCTION("""COMPUTED_VALUE"""),"JAWA TENGAH")</f>
        <v>JAWA TENGAH</v>
      </c>
      <c r="AA515" s="80" t="str">
        <f>IFERROR(__xludf.DUMMYFUNCTION("""COMPUTED_VALUE"""),"56371")</f>
        <v>56371</v>
      </c>
      <c r="AB515" s="80" t="str">
        <f>IFERROR(__xludf.DUMMYFUNCTION("""COMPUTED_VALUE"""),"3307046211990005")</f>
        <v>3307046211990005</v>
      </c>
      <c r="AC515" s="80" t="str">
        <f>IFERROR(__xludf.DUMMYFUNCTION("""COMPUTED_VALUE"""),"3307 0462 1199 0005")</f>
        <v>3307 0462 1199 0005</v>
      </c>
      <c r="AD515" s="80" t="str">
        <f>IFERROR(__xludf.DUMMYFUNCTION("""COMPUTED_VALUE"""),"CUM - PS - MSJ")</f>
        <v>CUM - PS - MSJ</v>
      </c>
      <c r="AE515" s="80" t="str">
        <f>IFERROR(__xludf.DUMMYFUNCTION("""COMPUTED_VALUE"""),"BU MELATI KC WONOSOBO")</f>
        <v>BU MELATI KC WONOSOBO</v>
      </c>
      <c r="AF515" s="80" t="str">
        <f>IFERROR(__xludf.DUMMYFUNCTION("""COMPUTED_VALUE"""),"0882008148005")</f>
        <v>0882008148005</v>
      </c>
      <c r="AG515" s="80"/>
      <c r="AH515" s="80" t="str">
        <f>IFERROR(__xludf.DUMMYFUNCTION("""COMPUTED_VALUE"""),"aureliaaminah@gmail.com")</f>
        <v>aureliaaminah@gmail.com</v>
      </c>
      <c r="AI515" s="80" t="str">
        <f>IFERROR(__xludf.DUMMYFUNCTION("""COMPUTED_VALUE"""),"56311S4")</f>
        <v>56311S4</v>
      </c>
      <c r="AJ515" s="80" t="str">
        <f>IFERROR(__xludf.DUMMYFUNCTION("""COMPUTED_VALUE"""),"686649f9c7c524425206e7ce")</f>
        <v>686649f9c7c524425206e7ce</v>
      </c>
      <c r="AK515" s="80" t="str">
        <f>IFERROR(__xludf.DUMMYFUNCTION("""COMPUTED_VALUE"""),"dm56311s4")</f>
        <v>dm56311s4</v>
      </c>
      <c r="AL515" s="80" t="str">
        <f>IFERROR(__xludf.DUMMYFUNCTION("""COMPUTED_VALUE"""),"#56311Pos")</f>
        <v>#56311Pos</v>
      </c>
      <c r="AM515" s="80" t="str">
        <f>IFERROR(__xludf.DUMMYFUNCTION("""COMPUTED_VALUE"""),"KANTOR REGIONAL IV SEMARANG 50004")</f>
        <v>KANTOR REGIONAL IV SEMARANG 50004</v>
      </c>
      <c r="AN515" s="80" t="str">
        <f>IFERROR(__xludf.DUMMYFUNCTION("""COMPUTED_VALUE"""),"KC WONOSOBO")</f>
        <v>KC WONOSOBO</v>
      </c>
      <c r="AO515" s="80" t="str">
        <f>IFERROR(__xludf.DUMMYFUNCTION("""COMPUTED_VALUE"""),"2005250065959")</f>
        <v>2005250065959</v>
      </c>
      <c r="AP515" s="80" t="str">
        <f>IFERROR(__xludf.DUMMYFUNCTION("""COMPUTED_VALUE"""),"20052500659590001")</f>
        <v>20052500659590001</v>
      </c>
      <c r="AQ515" s="83"/>
      <c r="AR515" s="80"/>
      <c r="AS515" s="80"/>
      <c r="AT515" s="80" t="str">
        <f>IFERROR(__xludf.DUMMYFUNCTION("""COMPUTED_VALUE"""),"-7.3393792")</f>
        <v>-7.3393792</v>
      </c>
      <c r="AU515" s="80" t="str">
        <f>IFERROR(__xludf.DUMMYFUNCTION("""COMPUTED_VALUE"""),"109.9092047")</f>
        <v>109.9092047</v>
      </c>
      <c r="AV515" s="80"/>
      <c r="AW515" s="80"/>
      <c r="AX515" s="80"/>
      <c r="AY515" s="80"/>
      <c r="AZ515" s="80"/>
      <c r="BA515" s="80"/>
      <c r="BB515" s="80"/>
      <c r="BC515" s="80"/>
      <c r="BD515" s="80"/>
      <c r="BE515" s="80"/>
      <c r="BF515" s="80"/>
      <c r="BG515" s="80"/>
      <c r="BH515" s="80"/>
      <c r="BI515" s="80"/>
      <c r="BJ515" s="80"/>
      <c r="BK515" s="80"/>
      <c r="BL515" s="80"/>
      <c r="BM515" s="80"/>
      <c r="BN515" s="80"/>
      <c r="BO515" s="80"/>
      <c r="BP515" s="80"/>
      <c r="BQ515" s="80"/>
      <c r="BR515" s="80"/>
      <c r="BS515" s="80"/>
      <c r="BT515" s="80"/>
      <c r="BU515" s="80"/>
      <c r="BV515" s="80"/>
      <c r="BW515" s="80"/>
      <c r="BX515" s="80" t="str">
        <f>IFERROR(__xludf.DUMMYFUNCTION("""COMPUTED_VALUE"""),"SELLER APPAREL")</f>
        <v>SELLER APPAREL</v>
      </c>
      <c r="BY515" s="80"/>
      <c r="BZ515" s="80"/>
      <c r="CA515" s="80"/>
      <c r="CB515" s="80"/>
      <c r="CC515" s="80"/>
      <c r="CD515" s="80"/>
      <c r="CE515" s="80"/>
      <c r="CF515" s="80"/>
      <c r="CG515" s="80"/>
      <c r="CH515" s="80"/>
      <c r="CI515" s="80"/>
      <c r="CJ515" s="80"/>
      <c r="CK515" s="2"/>
    </row>
    <row r="516" ht="12.75" customHeight="1">
      <c r="A516" s="85">
        <f>IFERROR(__xludf.DUMMYFUNCTION("""COMPUTED_VALUE"""),513.0)</f>
        <v>513</v>
      </c>
      <c r="B516" s="85"/>
      <c r="C516" s="85"/>
      <c r="D516" s="86">
        <f>IFERROR(__xludf.DUMMYFUNCTION("""COMPUTED_VALUE"""),45821.0)</f>
        <v>45821</v>
      </c>
      <c r="E516" s="88"/>
      <c r="F516" s="85"/>
      <c r="G516" s="86"/>
      <c r="H516" s="85"/>
      <c r="I516" s="85"/>
      <c r="J516" s="85"/>
      <c r="K516" s="85"/>
      <c r="L516" s="85"/>
      <c r="M516" s="85" t="str">
        <f>IFERROR(__xludf.DUMMYFUNCTION("""COMPUTED_VALUE"""),"ü")</f>
        <v>ü</v>
      </c>
      <c r="N516" s="85"/>
      <c r="O516" s="85"/>
      <c r="P516" s="85" t="str">
        <f>IFERROR(__xludf.DUMMYFUNCTION("""COMPUTED_VALUE"""),"MUCSPA63153PSIND")</f>
        <v>MUCSPA63153PSIND</v>
      </c>
      <c r="Q516" s="85" t="str">
        <f>IFERROR(__xludf.DUMMYFUNCTION("""COMPUTED_VALUE"""),"MUC Ruko Teras Hijau")</f>
        <v>MUC Ruko Teras Hijau</v>
      </c>
      <c r="R516" s="85" t="str">
        <f>IFERROR(__xludf.DUMMYFUNCTION("""COMPUTED_VALUE"""),"MUC Ruko Teras Hijau")</f>
        <v>MUC Ruko Teras Hijau</v>
      </c>
      <c r="S516" s="85" t="str">
        <f>IFERROR(__xludf.DUMMYFUNCTION("""COMPUTED_VALUE"""),"ULFAH ZAHIDAH")</f>
        <v>ULFAH ZAHIDAH</v>
      </c>
      <c r="T516" s="85" t="str">
        <f>IFERROR(__xludf.DUMMYFUNCTION("""COMPUTED_VALUE"""),"JL. P NO.4 RT.004 RW.014 KEBON BARU TEBET JAKARTA SELATAN DKI JAKARTA")</f>
        <v>JL. P NO.4 RT.004 RW.014 KEBON BARU TEBET JAKARTA SELATAN DKI JAKARTA</v>
      </c>
      <c r="U516" s="85" t="str">
        <f>IFERROR(__xludf.DUMMYFUNCTION("""COMPUTED_VALUE"""),"JL. P NO.4 RT.004 RW.014")</f>
        <v>JL. P NO.4 RT.004 RW.014</v>
      </c>
      <c r="V516" s="85"/>
      <c r="W516" s="85" t="str">
        <f>IFERROR(__xludf.DUMMYFUNCTION("""COMPUTED_VALUE"""),"Kebon Baru")</f>
        <v>Kebon Baru</v>
      </c>
      <c r="X516" s="85" t="str">
        <f>IFERROR(__xludf.DUMMYFUNCTION("""COMPUTED_VALUE"""),"Tebet")</f>
        <v>Tebet</v>
      </c>
      <c r="Y516" s="85" t="str">
        <f>IFERROR(__xludf.DUMMYFUNCTION("""COMPUTED_VALUE"""),"Jakarta Selatan")</f>
        <v>Jakarta Selatan</v>
      </c>
      <c r="Z516" s="85" t="str">
        <f>IFERROR(__xludf.DUMMYFUNCTION("""COMPUTED_VALUE"""),"DKI Jakarta")</f>
        <v>DKI Jakarta</v>
      </c>
      <c r="AA516" s="85" t="str">
        <f>IFERROR(__xludf.DUMMYFUNCTION("""COMPUTED_VALUE"""),"12830")</f>
        <v>12830</v>
      </c>
      <c r="AB516" s="85" t="str">
        <f>IFERROR(__xludf.DUMMYFUNCTION("""COMPUTED_VALUE"""),"3174016101950003")</f>
        <v>3174016101950003</v>
      </c>
      <c r="AC516" s="85" t="str">
        <f>IFERROR(__xludf.DUMMYFUNCTION("""COMPUTED_VALUE"""),"95.667.436.0-015.000")</f>
        <v>95.667.436.0-015.000</v>
      </c>
      <c r="AD516" s="85" t="str">
        <f>IFERROR(__xludf.DUMMYFUNCTION("""COMPUTED_VALUE"""),"CUM - PS - NITA")</f>
        <v>CUM - PS - NITA</v>
      </c>
      <c r="AE516" s="85" t="str">
        <f>IFERROR(__xludf.DUMMYFUNCTION("""COMPUTED_VALUE"""),"SUB NITA POS")</f>
        <v>SUB NITA POS</v>
      </c>
      <c r="AF516" s="85" t="str">
        <f>IFERROR(__xludf.DUMMYFUNCTION("""COMPUTED_VALUE"""),"0816930543")</f>
        <v>0816930543</v>
      </c>
      <c r="AG516" s="85"/>
      <c r="AH516" s="85" t="str">
        <f>IFERROR(__xludf.DUMMYFUNCTION("""COMPUTED_VALUE"""),"info.tidarscatering@gmail.com")</f>
        <v>info.tidarscatering@gmail.com</v>
      </c>
      <c r="AI516" s="85" t="str">
        <f>IFERROR(__xludf.DUMMYFUNCTION("""COMPUTED_VALUE"""),"12830S3")</f>
        <v>12830S3</v>
      </c>
      <c r="AJ516" s="85" t="str">
        <f>IFERROR(__xludf.DUMMYFUNCTION("""COMPUTED_VALUE"""),"687100a1ef1a7788f9012d18")</f>
        <v>687100a1ef1a7788f9012d18</v>
      </c>
      <c r="AK516" s="85" t="str">
        <f>IFERROR(__xludf.DUMMYFUNCTION("""COMPUTED_VALUE"""),"dm12830s3")</f>
        <v>dm12830s3</v>
      </c>
      <c r="AL516" s="85" t="str">
        <f>IFERROR(__xludf.DUMMYFUNCTION("""COMPUTED_VALUE"""),"#12830Pos")</f>
        <v>#12830Pos</v>
      </c>
      <c r="AM516" s="85" t="str">
        <f>IFERROR(__xludf.DUMMYFUNCTION("""COMPUTED_VALUE"""),"KANTOR REGIONAL II JAKARTA 10004")</f>
        <v>KANTOR REGIONAL II JAKARTA 10004</v>
      </c>
      <c r="AN516" s="85" t="str">
        <f>IFERROR(__xludf.DUMMYFUNCTION("""COMPUTED_VALUE"""),"KCU JAKARTAFLORA 12000")</f>
        <v>KCU JAKARTAFLORA 12000</v>
      </c>
      <c r="AO516" s="85" t="str">
        <f>IFERROR(__xludf.DUMMYFUNCTION("""COMPUTED_VALUE"""),"1206250073003")</f>
        <v>1206250073003</v>
      </c>
      <c r="AP516" s="85" t="str">
        <f>IFERROR(__xludf.DUMMYFUNCTION("""COMPUTED_VALUE"""),"12062500730030001")</f>
        <v>12062500730030001</v>
      </c>
      <c r="AQ516" s="93"/>
      <c r="AR516" s="85"/>
      <c r="AS516" s="85"/>
      <c r="AT516" s="85" t="str">
        <f>IFERROR(__xludf.DUMMYFUNCTION("""COMPUTED_VALUE"""),"-6.240269")</f>
        <v>-6.240269</v>
      </c>
      <c r="AU516" s="85" t="str">
        <f>IFERROR(__xludf.DUMMYFUNCTION("""COMPUTED_VALUE"""),"106.860060")</f>
        <v>106.860060</v>
      </c>
      <c r="AV516" s="85"/>
      <c r="AW516" s="85"/>
      <c r="AX516" s="85"/>
      <c r="AY516" s="85"/>
      <c r="AZ516" s="85"/>
      <c r="BA516" s="85"/>
      <c r="BB516" s="85"/>
      <c r="BC516" s="85"/>
      <c r="BD516" s="85"/>
      <c r="BE516" s="85"/>
      <c r="BF516" s="85"/>
      <c r="BG516" s="85"/>
      <c r="BH516" s="85"/>
      <c r="BI516" s="85"/>
      <c r="BJ516" s="85"/>
      <c r="BK516" s="85"/>
      <c r="BL516" s="85"/>
      <c r="BM516" s="85"/>
      <c r="BN516" s="85"/>
      <c r="BO516" s="85"/>
      <c r="BP516" s="85"/>
      <c r="BQ516" s="85"/>
      <c r="BR516" s="85"/>
      <c r="BS516" s="85"/>
      <c r="BT516" s="85"/>
      <c r="BU516" s="85"/>
      <c r="BV516" s="85"/>
      <c r="BW516" s="85"/>
      <c r="BX516" s="85" t="str">
        <f>IFERROR(__xludf.DUMMYFUNCTION("""COMPUTED_VALUE"""),"NEWBIE")</f>
        <v>NEWBIE</v>
      </c>
      <c r="BY516" s="85"/>
      <c r="BZ516" s="85"/>
      <c r="CA516" s="85"/>
      <c r="CB516" s="85"/>
      <c r="CC516" s="85"/>
      <c r="CD516" s="85"/>
      <c r="CE516" s="85"/>
      <c r="CF516" s="85"/>
      <c r="CG516" s="85"/>
      <c r="CH516" s="85"/>
      <c r="CI516" s="85"/>
      <c r="CJ516" s="85"/>
      <c r="CK516" s="2"/>
    </row>
    <row r="517" ht="12.75" customHeight="1">
      <c r="A517" s="80">
        <f>IFERROR(__xludf.DUMMYFUNCTION("""COMPUTED_VALUE"""),514.0)</f>
        <v>514</v>
      </c>
      <c r="B517" s="80"/>
      <c r="C517" s="80"/>
      <c r="D517" s="81">
        <f>IFERROR(__xludf.DUMMYFUNCTION("""COMPUTED_VALUE"""),45824.0)</f>
        <v>45824</v>
      </c>
      <c r="E517" s="82"/>
      <c r="F517" s="80"/>
      <c r="G517" s="81"/>
      <c r="H517" s="80"/>
      <c r="I517" s="80"/>
      <c r="J517" s="80"/>
      <c r="K517" s="80"/>
      <c r="L517" s="80"/>
      <c r="M517" s="80" t="str">
        <f>IFERROR(__xludf.DUMMYFUNCTION("""COMPUTED_VALUE"""),"ü")</f>
        <v>ü</v>
      </c>
      <c r="N517" s="80"/>
      <c r="O517" s="80"/>
      <c r="P517" s="80" t="str">
        <f>IFERROR(__xludf.DUMMYFUNCTION("""COMPUTED_VALUE"""),"MUCSPA63154PSIND")</f>
        <v>MUCSPA63154PSIND</v>
      </c>
      <c r="Q517" s="80" t="str">
        <f>IFERROR(__xludf.DUMMYFUNCTION("""COMPUTED_VALUE"""),"MUC UPHIE d'PRINTSHOP")</f>
        <v>MUC UPHIE d'PRINTSHOP</v>
      </c>
      <c r="R517" s="80" t="str">
        <f>IFERROR(__xludf.DUMMYFUNCTION("""COMPUTED_VALUE"""),"MUC UPHIE d'PRINTSHOP")</f>
        <v>MUC UPHIE d'PRINTSHOP</v>
      </c>
      <c r="S517" s="80" t="str">
        <f>IFERROR(__xludf.DUMMYFUNCTION("""COMPUTED_VALUE"""),"PALUPI FERIANA, S.HUT")</f>
        <v>PALUPI FERIANA, S.HUT</v>
      </c>
      <c r="T517" s="80" t="str">
        <f>IFERROR(__xludf.DUMMYFUNCTION("""COMPUTED_VALUE"""),"NGADIKROMO RT 003 RW 006 SIDOMULYO SALAMAN")</f>
        <v>NGADIKROMO RT 003 RW 006 SIDOMULYO SALAMAN</v>
      </c>
      <c r="U517" s="80" t="str">
        <f>IFERROR(__xludf.DUMMYFUNCTION("""COMPUTED_VALUE"""),"JL. RAYA MAGELANG-PURWOREJO NGADIKROMO NO. 54 RT 003 RW 006 DUSUN IV")</f>
        <v>JL. RAYA MAGELANG-PURWOREJO NGADIKROMO NO. 54 RT 003 RW 006 DUSUN IV</v>
      </c>
      <c r="V517" s="80"/>
      <c r="W517" s="80" t="str">
        <f>IFERROR(__xludf.DUMMYFUNCTION("""COMPUTED_VALUE"""),"SIDOMULYO")</f>
        <v>SIDOMULYO</v>
      </c>
      <c r="X517" s="80" t="str">
        <f>IFERROR(__xludf.DUMMYFUNCTION("""COMPUTED_VALUE"""),"SALAMAN")</f>
        <v>SALAMAN</v>
      </c>
      <c r="Y517" s="80" t="str">
        <f>IFERROR(__xludf.DUMMYFUNCTION("""COMPUTED_VALUE"""),"KAB. MAGELANG")</f>
        <v>KAB. MAGELANG</v>
      </c>
      <c r="Z517" s="80" t="str">
        <f>IFERROR(__xludf.DUMMYFUNCTION("""COMPUTED_VALUE"""),"JAWA TENGAH")</f>
        <v>JAWA TENGAH</v>
      </c>
      <c r="AA517" s="80" t="str">
        <f>IFERROR(__xludf.DUMMYFUNCTION("""COMPUTED_VALUE"""),"56162")</f>
        <v>56162</v>
      </c>
      <c r="AB517" s="80" t="str">
        <f>IFERROR(__xludf.DUMMYFUNCTION("""COMPUTED_VALUE"""),"3308167002820007")</f>
        <v>3308167002820007</v>
      </c>
      <c r="AC517" s="80" t="str">
        <f>IFERROR(__xludf.DUMMYFUNCTION("""COMPUTED_VALUE"""),"42.837.459.9-524.000")</f>
        <v>42.837.459.9-524.000</v>
      </c>
      <c r="AD517" s="80" t="str">
        <f>IFERROR(__xludf.DUMMYFUNCTION("""COMPUTED_VALUE"""),"CUM - PS - AMIA")</f>
        <v>CUM - PS - AMIA</v>
      </c>
      <c r="AE517" s="80" t="str">
        <f>IFERROR(__xludf.DUMMYFUNCTION("""COMPUTED_VALUE"""),"SUB AMILDA POS")</f>
        <v>SUB AMILDA POS</v>
      </c>
      <c r="AF517" s="80" t="str">
        <f>IFERROR(__xludf.DUMMYFUNCTION("""COMPUTED_VALUE"""),"085643097848")</f>
        <v>085643097848</v>
      </c>
      <c r="AG517" s="80"/>
      <c r="AH517" s="80" t="str">
        <f>IFERROR(__xludf.DUMMYFUNCTION("""COMPUTED_VALUE"""),"uphie.mastorie@gmail.com ")</f>
        <v>uphie.mastorie@gmail.com </v>
      </c>
      <c r="AI517" s="80" t="str">
        <f>IFERROR(__xludf.DUMMYFUNCTION("""COMPUTED_VALUE"""),"56562S5")</f>
        <v>56562S5</v>
      </c>
      <c r="AJ517" s="80" t="str">
        <f>IFERROR(__xludf.DUMMYFUNCTION("""COMPUTED_VALUE"""),"6877105916c97ced43099aeb")</f>
        <v>6877105916c97ced43099aeb</v>
      </c>
      <c r="AK517" s="80" t="str">
        <f>IFERROR(__xludf.DUMMYFUNCTION("""COMPUTED_VALUE"""),"dm56562s5")</f>
        <v>dm56562s5</v>
      </c>
      <c r="AL517" s="80" t="str">
        <f>IFERROR(__xludf.DUMMYFUNCTION("""COMPUTED_VALUE"""),"#56562Pos")</f>
        <v>#56562Pos</v>
      </c>
      <c r="AM517" s="80" t="str">
        <f>IFERROR(__xludf.DUMMYFUNCTION("""COMPUTED_VALUE"""),"KANTOR REGIONAL IV SEMARANG 50004")</f>
        <v>KANTOR REGIONAL IV SEMARANG 50004</v>
      </c>
      <c r="AN517" s="80" t="str">
        <f>IFERROR(__xludf.DUMMYFUNCTION("""COMPUTED_VALUE"""),"KC MAGELANG 56100")</f>
        <v>KC MAGELANG 56100</v>
      </c>
      <c r="AO517" s="80" t="str">
        <f>IFERROR(__xludf.DUMMYFUNCTION("""COMPUTED_VALUE"""),"1289000512391")</f>
        <v>1289000512391</v>
      </c>
      <c r="AP517" s="80" t="str">
        <f>IFERROR(__xludf.DUMMYFUNCTION("""COMPUTED_VALUE"""),"12890005123910001")</f>
        <v>12890005123910001</v>
      </c>
      <c r="AQ517" s="83"/>
      <c r="AR517" s="80"/>
      <c r="AS517" s="80"/>
      <c r="AT517" s="80" t="str">
        <f>IFERROR(__xludf.DUMMYFUNCTION("""COMPUTED_VALUE"""),"-7.5749269")</f>
        <v>-7.5749269</v>
      </c>
      <c r="AU517" s="80" t="str">
        <f>IFERROR(__xludf.DUMMYFUNCTION("""COMPUTED_VALUE"""),"110.1482207")</f>
        <v>110.1482207</v>
      </c>
      <c r="AV517" s="80"/>
      <c r="AW517" s="80"/>
      <c r="AX517" s="80"/>
      <c r="AY517" s="80"/>
      <c r="AZ517" s="80"/>
      <c r="BA517" s="80"/>
      <c r="BB517" s="80"/>
      <c r="BC517" s="80"/>
      <c r="BD517" s="80"/>
      <c r="BE517" s="80"/>
      <c r="BF517" s="80"/>
      <c r="BG517" s="80"/>
      <c r="BH517" s="80"/>
      <c r="BI517" s="80"/>
      <c r="BJ517" s="80"/>
      <c r="BK517" s="80"/>
      <c r="BL517" s="80"/>
      <c r="BM517" s="80"/>
      <c r="BN517" s="80"/>
      <c r="BO517" s="80"/>
      <c r="BP517" s="80"/>
      <c r="BQ517" s="80"/>
      <c r="BR517" s="80"/>
      <c r="BS517" s="80"/>
      <c r="BT517" s="80"/>
      <c r="BU517" s="80"/>
      <c r="BV517" s="80"/>
      <c r="BW517" s="80"/>
      <c r="BX517" s="80" t="str">
        <f>IFERROR(__xludf.DUMMYFUNCTION("""COMPUTED_VALUE"""),"MULTIKURIR - SPX")</f>
        <v>MULTIKURIR - SPX</v>
      </c>
      <c r="BY517" s="80"/>
      <c r="BZ517" s="80"/>
      <c r="CA517" s="80"/>
      <c r="CB517" s="80"/>
      <c r="CC517" s="80"/>
      <c r="CD517" s="80"/>
      <c r="CE517" s="80"/>
      <c r="CF517" s="80"/>
      <c r="CG517" s="80"/>
      <c r="CH517" s="80"/>
      <c r="CI517" s="80"/>
      <c r="CJ517" s="80"/>
      <c r="CK517" s="2"/>
    </row>
    <row r="518" ht="12.75" customHeight="1">
      <c r="A518" s="85">
        <f>IFERROR(__xludf.DUMMYFUNCTION("""COMPUTED_VALUE"""),515.0)</f>
        <v>515</v>
      </c>
      <c r="B518" s="85"/>
      <c r="C518" s="85"/>
      <c r="D518" s="86">
        <f>IFERROR(__xludf.DUMMYFUNCTION("""COMPUTED_VALUE"""),45824.0)</f>
        <v>45824</v>
      </c>
      <c r="E518" s="88"/>
      <c r="F518" s="85"/>
      <c r="G518" s="86">
        <f>IFERROR(__xludf.DUMMYFUNCTION("""COMPUTED_VALUE"""),45866.0)</f>
        <v>45866</v>
      </c>
      <c r="H518" s="85"/>
      <c r="I518" s="85"/>
      <c r="J518" s="85"/>
      <c r="K518" s="85"/>
      <c r="L518" s="85">
        <f>IFERROR(__xludf.DUMMYFUNCTION("""COMPUTED_VALUE"""),42.0)</f>
        <v>42</v>
      </c>
      <c r="M518" s="85" t="str">
        <f>IFERROR(__xludf.DUMMYFUNCTION("""COMPUTED_VALUE"""),"ü")</f>
        <v>ü</v>
      </c>
      <c r="N518" s="85"/>
      <c r="O518" s="85"/>
      <c r="P518" s="85" t="str">
        <f>IFERROR(__xludf.DUMMYFUNCTION("""COMPUTED_VALUE"""),"MUCSPA63155PSIND")</f>
        <v>MUCSPA63155PSIND</v>
      </c>
      <c r="Q518" s="85" t="str">
        <f>IFERROR(__xludf.DUMMYFUNCTION("""COMPUTED_VALUE"""),"MUC ALBI")</f>
        <v>MUC ALBI</v>
      </c>
      <c r="R518" s="85" t="str">
        <f>IFERROR(__xludf.DUMMYFUNCTION("""COMPUTED_VALUE"""),"MUC ALBI")</f>
        <v>MUC ALBI</v>
      </c>
      <c r="S518" s="85" t="str">
        <f>IFERROR(__xludf.DUMMYFUNCTION("""COMPUTED_VALUE"""),"TRISNA MULYAWAN")</f>
        <v>TRISNA MULYAWAN</v>
      </c>
      <c r="T518" s="85" t="str">
        <f>IFERROR(__xludf.DUMMYFUNCTION("""COMPUTED_VALUE"""),"DUSUN CITAMAN RT.015 RW.007 KEL. BOJONGLOA KEC. BUAHDUA KAB SUMEDANG JAWA BARAT")</f>
        <v>DUSUN CITAMAN RT.015 RW.007 KEL. BOJONGLOA KEC. BUAHDUA KAB SUMEDANG JAWA BARAT</v>
      </c>
      <c r="U518" s="85" t="str">
        <f>IFERROR(__xludf.DUMMYFUNCTION("""COMPUTED_VALUE"""),"Dusun Citaman Rt15/07")</f>
        <v>Dusun Citaman Rt15/07</v>
      </c>
      <c r="V518" s="85"/>
      <c r="W518" s="85" t="str">
        <f>IFERROR(__xludf.DUMMYFUNCTION("""COMPUTED_VALUE"""),"Bojongloa")</f>
        <v>Bojongloa</v>
      </c>
      <c r="X518" s="85" t="str">
        <f>IFERROR(__xludf.DUMMYFUNCTION("""COMPUTED_VALUE"""),"Buahdua")</f>
        <v>Buahdua</v>
      </c>
      <c r="Y518" s="85" t="str">
        <f>IFERROR(__xludf.DUMMYFUNCTION("""COMPUTED_VALUE"""),"Kab. Sumedang")</f>
        <v>Kab. Sumedang</v>
      </c>
      <c r="Z518" s="85" t="str">
        <f>IFERROR(__xludf.DUMMYFUNCTION("""COMPUTED_VALUE"""),"Jawa Barat")</f>
        <v>Jawa Barat</v>
      </c>
      <c r="AA518" s="85" t="str">
        <f>IFERROR(__xludf.DUMMYFUNCTION("""COMPUTED_VALUE"""),"45392")</f>
        <v>45392</v>
      </c>
      <c r="AB518" s="85" t="str">
        <f>IFERROR(__xludf.DUMMYFUNCTION("""COMPUTED_VALUE"""),"3211100106770002")</f>
        <v>3211100106770002</v>
      </c>
      <c r="AC518" s="85" t="str">
        <f>IFERROR(__xludf.DUMMYFUNCTION("""COMPUTED_VALUE"""),"96.589.868.7-446.000")</f>
        <v>96.589.868.7-446.000</v>
      </c>
      <c r="AD518" s="85" t="str">
        <f>IFERROR(__xludf.DUMMYFUNCTION("""COMPUTED_VALUE"""),"CUM - PS - NONKORGEN")</f>
        <v>CUM - PS - NONKORGEN</v>
      </c>
      <c r="AE518" s="85" t="str">
        <f>IFERROR(__xludf.DUMMYFUNCTION("""COMPUTED_VALUE"""),"PAK YANA")</f>
        <v>PAK YANA</v>
      </c>
      <c r="AF518" s="85" t="str">
        <f>IFERROR(__xludf.DUMMYFUNCTION("""COMPUTED_VALUE"""),"081320142221")</f>
        <v>081320142221</v>
      </c>
      <c r="AG518" s="85"/>
      <c r="AH518" s="85" t="str">
        <f>IFERROR(__xludf.DUMMYFUNCTION("""COMPUTED_VALUE"""),"albicomputer25@gmail.com")</f>
        <v>albicomputer25@gmail.com</v>
      </c>
      <c r="AI518" s="85" t="str">
        <f>IFERROR(__xludf.DUMMYFUNCTION("""COMPUTED_VALUE"""),"45392S1")</f>
        <v>45392S1</v>
      </c>
      <c r="AJ518" s="85" t="str">
        <f>IFERROR(__xludf.DUMMYFUNCTION("""COMPUTED_VALUE"""),"6880596f31e1a0a43209ba37")</f>
        <v>6880596f31e1a0a43209ba37</v>
      </c>
      <c r="AK518" s="85" t="str">
        <f>IFERROR(__xludf.DUMMYFUNCTION("""COMPUTED_VALUE"""),"dm45392s1")</f>
        <v>dm45392s1</v>
      </c>
      <c r="AL518" s="85" t="str">
        <f>IFERROR(__xludf.DUMMYFUNCTION("""COMPUTED_VALUE"""),"#45392Pos")</f>
        <v>#45392Pos</v>
      </c>
      <c r="AM518" s="85" t="str">
        <f>IFERROR(__xludf.DUMMYFUNCTION("""COMPUTED_VALUE"""),"KANTOR REGIONAL III BANDUNG 40004")</f>
        <v>KANTOR REGIONAL III BANDUNG 40004</v>
      </c>
      <c r="AN518" s="85" t="str">
        <f>IFERROR(__xludf.DUMMYFUNCTION("""COMPUTED_VALUE"""),"KC SUMEDANG")</f>
        <v>KC SUMEDANG</v>
      </c>
      <c r="AO518" s="85" t="str">
        <f>IFERROR(__xludf.DUMMYFUNCTION("""COMPUTED_VALUE"""),"1106250101982")</f>
        <v>1106250101982</v>
      </c>
      <c r="AP518" s="85" t="str">
        <f>IFERROR(__xludf.DUMMYFUNCTION("""COMPUTED_VALUE"""),"11062501019820001")</f>
        <v>11062501019820001</v>
      </c>
      <c r="AQ518" s="93"/>
      <c r="AR518" s="85"/>
      <c r="AS518" s="85"/>
      <c r="AT518" s="85" t="str">
        <f>IFERROR(__xludf.DUMMYFUNCTION("""COMPUTED_VALUE"""),"-6.715983")</f>
        <v>-6.715983</v>
      </c>
      <c r="AU518" s="85" t="str">
        <f>IFERROR(__xludf.DUMMYFUNCTION("""COMPUTED_VALUE"""),"107.939848")</f>
        <v>107.939848</v>
      </c>
      <c r="AV518" s="85"/>
      <c r="AW518" s="85"/>
      <c r="AX518" s="85"/>
      <c r="AY518" s="85"/>
      <c r="AZ518" s="85"/>
      <c r="BA518" s="85"/>
      <c r="BB518" s="85"/>
      <c r="BC518" s="85"/>
      <c r="BD518" s="85"/>
      <c r="BE518" s="85"/>
      <c r="BF518" s="85"/>
      <c r="BG518" s="85"/>
      <c r="BH518" s="85"/>
      <c r="BI518" s="85"/>
      <c r="BJ518" s="85"/>
      <c r="BK518" s="85"/>
      <c r="BL518" s="85"/>
      <c r="BM518" s="85"/>
      <c r="BN518" s="85"/>
      <c r="BO518" s="85"/>
      <c r="BP518" s="85"/>
      <c r="BQ518" s="85"/>
      <c r="BR518" s="85"/>
      <c r="BS518" s="85"/>
      <c r="BT518" s="85"/>
      <c r="BU518" s="85"/>
      <c r="BV518" s="85"/>
      <c r="BW518" s="85"/>
      <c r="BX518" s="85" t="str">
        <f>IFERROR(__xludf.DUMMYFUNCTION("""COMPUTED_VALUE"""),"NEWBIE")</f>
        <v>NEWBIE</v>
      </c>
      <c r="BY518" s="85"/>
      <c r="BZ518" s="85"/>
      <c r="CA518" s="85"/>
      <c r="CB518" s="85"/>
      <c r="CC518" s="85"/>
      <c r="CD518" s="85"/>
      <c r="CE518" s="85"/>
      <c r="CF518" s="85"/>
      <c r="CG518" s="85"/>
      <c r="CH518" s="85"/>
      <c r="CI518" s="85"/>
      <c r="CJ518" s="85"/>
      <c r="CK518" s="2"/>
    </row>
    <row r="519" ht="12.75" customHeight="1">
      <c r="A519" s="80">
        <f>IFERROR(__xludf.DUMMYFUNCTION("""COMPUTED_VALUE"""),516.0)</f>
        <v>516</v>
      </c>
      <c r="B519" s="80"/>
      <c r="C519" s="80"/>
      <c r="D519" s="81">
        <f>IFERROR(__xludf.DUMMYFUNCTION("""COMPUTED_VALUE"""),45824.0)</f>
        <v>45824</v>
      </c>
      <c r="E519" s="82"/>
      <c r="F519" s="80"/>
      <c r="G519" s="81"/>
      <c r="H519" s="80"/>
      <c r="I519" s="80"/>
      <c r="J519" s="80"/>
      <c r="K519" s="80"/>
      <c r="L519" s="80"/>
      <c r="M519" s="80" t="str">
        <f>IFERROR(__xludf.DUMMYFUNCTION("""COMPUTED_VALUE"""),"ü")</f>
        <v>ü</v>
      </c>
      <c r="N519" s="80"/>
      <c r="O519" s="80"/>
      <c r="P519" s="80" t="str">
        <f>IFERROR(__xludf.DUMMYFUNCTION("""COMPUTED_VALUE"""),"MLO5500034CUMPOS")</f>
        <v>MLO5500034CUMPOS</v>
      </c>
      <c r="Q519" s="80" t="str">
        <f>IFERROR(__xludf.DUMMYFUNCTION("""COMPUTED_VALUE"""),"MUC Clover Market")</f>
        <v>MUC Clover Market</v>
      </c>
      <c r="R519" s="80" t="str">
        <f>IFERROR(__xludf.DUMMYFUNCTION("""COMPUTED_VALUE"""),"MUC Clover Market")</f>
        <v>MUC Clover Market</v>
      </c>
      <c r="S519" s="80" t="str">
        <f>IFERROR(__xludf.DUMMYFUNCTION("""COMPUTED_VALUE"""),"MIFTAH HUSNA SUHADA")</f>
        <v>MIFTAH HUSNA SUHADA</v>
      </c>
      <c r="T519" s="80" t="str">
        <f>IFERROR(__xludf.DUMMYFUNCTION("""COMPUTED_VALUE"""),"DUSUN PAHING RT.005 RW.001 DARMAGUNA CILEDUG KAB.CIREBON JAWA BARAT")</f>
        <v>DUSUN PAHING RT.005 RW.001 DARMAGUNA CILEDUG KAB.CIREBON JAWA BARAT</v>
      </c>
      <c r="U519" s="80" t="str">
        <f>IFERROR(__xludf.DUMMYFUNCTION("""COMPUTED_VALUE"""),"Perumahan griya pabuaran Blok 11 No 5")</f>
        <v>Perumahan griya pabuaran Blok 11 No 5</v>
      </c>
      <c r="V519" s="80"/>
      <c r="W519" s="80" t="str">
        <f>IFERROR(__xludf.DUMMYFUNCTION("""COMPUTED_VALUE"""),"Sukadana")</f>
        <v>Sukadana</v>
      </c>
      <c r="X519" s="80" t="str">
        <f>IFERROR(__xludf.DUMMYFUNCTION("""COMPUTED_VALUE"""),"Pabuaran")</f>
        <v>Pabuaran</v>
      </c>
      <c r="Y519" s="80" t="str">
        <f>IFERROR(__xludf.DUMMYFUNCTION("""COMPUTED_VALUE"""),"Cirebon")</f>
        <v>Cirebon</v>
      </c>
      <c r="Z519" s="80" t="str">
        <f>IFERROR(__xludf.DUMMYFUNCTION("""COMPUTED_VALUE"""),"Jawa Barat")</f>
        <v>Jawa Barat</v>
      </c>
      <c r="AA519" s="80" t="str">
        <f>IFERROR(__xludf.DUMMYFUNCTION("""COMPUTED_VALUE"""),"45188")</f>
        <v>45188</v>
      </c>
      <c r="AB519" s="80" t="str">
        <f>IFERROR(__xludf.DUMMYFUNCTION("""COMPUTED_VALUE"""),"3209010805980004")</f>
        <v>3209010805980004</v>
      </c>
      <c r="AC519" s="80" t="str">
        <f>IFERROR(__xludf.DUMMYFUNCTION("""COMPUTED_VALUE"""),"3209 0108 0598 0004")</f>
        <v>3209 0108 0598 0004</v>
      </c>
      <c r="AD519" s="80" t="str">
        <f>IFERROR(__xludf.DUMMYFUNCTION("""COMPUTED_VALUE"""),"CUM - PS - NONKORGEN")</f>
        <v>CUM - PS - NONKORGEN</v>
      </c>
      <c r="AE519" s="80" t="str">
        <f>IFERROR(__xludf.DUMMYFUNCTION("""COMPUTED_VALUE"""),"PAK JOHAN KCU CIREBON")</f>
        <v>PAK JOHAN KCU CIREBON</v>
      </c>
      <c r="AF519" s="80" t="str">
        <f>IFERROR(__xludf.DUMMYFUNCTION("""COMPUTED_VALUE"""),"085775857338")</f>
        <v>085775857338</v>
      </c>
      <c r="AG519" s="80"/>
      <c r="AH519" s="80" t="str">
        <f>IFERROR(__xludf.DUMMYFUNCTION("""COMPUTED_VALUE"""),"Jakalalanan08@Gmail.com")</f>
        <v>Jakalalanan08@Gmail.com</v>
      </c>
      <c r="AI519" s="80" t="str">
        <f>IFERROR(__xludf.DUMMYFUNCTION("""COMPUTED_VALUE"""),"45696S1")</f>
        <v>45696S1</v>
      </c>
      <c r="AJ519" s="80" t="str">
        <f>IFERROR(__xludf.DUMMYFUNCTION("""COMPUTED_VALUE"""),"6877559909747af13b03cb5f")</f>
        <v>6877559909747af13b03cb5f</v>
      </c>
      <c r="AK519" s="80" t="str">
        <f>IFERROR(__xludf.DUMMYFUNCTION("""COMPUTED_VALUE"""),"dm45696s1")</f>
        <v>dm45696s1</v>
      </c>
      <c r="AL519" s="80" t="str">
        <f>IFERROR(__xludf.DUMMYFUNCTION("""COMPUTED_VALUE"""),"#45696Pos")</f>
        <v>#45696Pos</v>
      </c>
      <c r="AM519" s="80" t="str">
        <f>IFERROR(__xludf.DUMMYFUNCTION("""COMPUTED_VALUE"""),"KANTOR REGIONAL III BANDUNG 40004")</f>
        <v>KANTOR REGIONAL III BANDUNG 40004</v>
      </c>
      <c r="AN519" s="80" t="str">
        <f>IFERROR(__xludf.DUMMYFUNCTION("""COMPUTED_VALUE"""),"KCU CIREBON 45100")</f>
        <v>KCU CIREBON 45100</v>
      </c>
      <c r="AO519" s="80" t="str">
        <f>IFERROR(__xludf.DUMMYFUNCTION("""COMPUTED_VALUE"""),"1206250008405")</f>
        <v>1206250008405</v>
      </c>
      <c r="AP519" s="80" t="str">
        <f>IFERROR(__xludf.DUMMYFUNCTION("""COMPUTED_VALUE"""),"12062500084050001")</f>
        <v>12062500084050001</v>
      </c>
      <c r="AQ519" s="83"/>
      <c r="AR519" s="80"/>
      <c r="AS519" s="80"/>
      <c r="AT519" s="80" t="str">
        <f>IFERROR(__xludf.DUMMYFUNCTION("""COMPUTED_VALUE"""),"-6.910253")</f>
        <v>-6.910253</v>
      </c>
      <c r="AU519" s="80" t="str">
        <f>IFERROR(__xludf.DUMMYFUNCTION("""COMPUTED_VALUE"""),"108.727078")</f>
        <v>108.727078</v>
      </c>
      <c r="AV519" s="80"/>
      <c r="AW519" s="80"/>
      <c r="AX519" s="80"/>
      <c r="AY519" s="80"/>
      <c r="AZ519" s="80"/>
      <c r="BA519" s="80"/>
      <c r="BB519" s="80"/>
      <c r="BC519" s="80"/>
      <c r="BD519" s="80"/>
      <c r="BE519" s="80"/>
      <c r="BF519" s="80"/>
      <c r="BG519" s="80"/>
      <c r="BH519" s="80"/>
      <c r="BI519" s="80"/>
      <c r="BJ519" s="80"/>
      <c r="BK519" s="80"/>
      <c r="BL519" s="80"/>
      <c r="BM519" s="80"/>
      <c r="BN519" s="80"/>
      <c r="BO519" s="80"/>
      <c r="BP519" s="80"/>
      <c r="BQ519" s="80"/>
      <c r="BR519" s="80"/>
      <c r="BS519" s="80"/>
      <c r="BT519" s="80"/>
      <c r="BU519" s="80"/>
      <c r="BV519" s="80"/>
      <c r="BW519" s="80"/>
      <c r="BX519" s="80" t="str">
        <f>IFERROR(__xludf.DUMMYFUNCTION("""COMPUTED_VALUE"""),"SELLER COD")</f>
        <v>SELLER COD</v>
      </c>
      <c r="BY519" s="80"/>
      <c r="BZ519" s="80"/>
      <c r="CA519" s="80"/>
      <c r="CB519" s="80"/>
      <c r="CC519" s="80"/>
      <c r="CD519" s="80"/>
      <c r="CE519" s="80"/>
      <c r="CF519" s="80"/>
      <c r="CG519" s="80"/>
      <c r="CH519" s="80"/>
      <c r="CI519" s="80"/>
      <c r="CJ519" s="80"/>
      <c r="CK519" s="2"/>
    </row>
    <row r="520" ht="12.75" customHeight="1">
      <c r="A520" s="85">
        <f>IFERROR(__xludf.DUMMYFUNCTION("""COMPUTED_VALUE"""),517.0)</f>
        <v>517</v>
      </c>
      <c r="B520" s="85"/>
      <c r="C520" s="85"/>
      <c r="D520" s="86">
        <f>IFERROR(__xludf.DUMMYFUNCTION("""COMPUTED_VALUE"""),45824.0)</f>
        <v>45824</v>
      </c>
      <c r="E520" s="88"/>
      <c r="F520" s="85"/>
      <c r="G520" s="86"/>
      <c r="H520" s="85"/>
      <c r="I520" s="85"/>
      <c r="J520" s="85"/>
      <c r="K520" s="85"/>
      <c r="L520" s="85"/>
      <c r="M520" s="85" t="str">
        <f>IFERROR(__xludf.DUMMYFUNCTION("""COMPUTED_VALUE"""),"ü")</f>
        <v>ü</v>
      </c>
      <c r="N520" s="85"/>
      <c r="O520" s="85"/>
      <c r="P520" s="85" t="str">
        <f>IFERROR(__xludf.DUMMYFUNCTION("""COMPUTED_VALUE"""),"MLO5500035CUMPOS")</f>
        <v>MLO5500035CUMPOS</v>
      </c>
      <c r="Q520" s="85" t="str">
        <f>IFERROR(__xludf.DUMMYFUNCTION("""COMPUTED_VALUE"""),"MUC Clover Market II")</f>
        <v>MUC Clover Market II</v>
      </c>
      <c r="R520" s="85" t="str">
        <f>IFERROR(__xludf.DUMMYFUNCTION("""COMPUTED_VALUE"""),"MUC Clover Market II")</f>
        <v>MUC Clover Market II</v>
      </c>
      <c r="S520" s="85" t="str">
        <f>IFERROR(__xludf.DUMMYFUNCTION("""COMPUTED_VALUE"""),"SUBHAN ARIA PRIATNA")</f>
        <v>SUBHAN ARIA PRIATNA</v>
      </c>
      <c r="T520" s="85" t="str">
        <f>IFERROR(__xludf.DUMMYFUNCTION("""COMPUTED_VALUE"""),"DUSUN II RT.002 RW.004 KEL CILENGKRANG KEC PASALEMAN KAB CIREBON JAWA BARAT")</f>
        <v>DUSUN II RT.002 RW.004 KEL CILENGKRANG KEC PASALEMAN KAB CIREBON JAWA BARAT</v>
      </c>
      <c r="U520" s="85" t="str">
        <f>IFERROR(__xludf.DUMMYFUNCTION("""COMPUTED_VALUE"""),"Dusun II No.131 RT 02 RW 04")</f>
        <v>Dusun II No.131 RT 02 RW 04</v>
      </c>
      <c r="V520" s="85"/>
      <c r="W520" s="85" t="str">
        <f>IFERROR(__xludf.DUMMYFUNCTION("""COMPUTED_VALUE"""),"Cilengkrang")</f>
        <v>Cilengkrang</v>
      </c>
      <c r="X520" s="85" t="str">
        <f>IFERROR(__xludf.DUMMYFUNCTION("""COMPUTED_VALUE"""),"Pasaleman")</f>
        <v>Pasaleman</v>
      </c>
      <c r="Y520" s="85" t="str">
        <f>IFERROR(__xludf.DUMMYFUNCTION("""COMPUTED_VALUE"""),"Kab.Cirebon")</f>
        <v>Kab.Cirebon</v>
      </c>
      <c r="Z520" s="85" t="str">
        <f>IFERROR(__xludf.DUMMYFUNCTION("""COMPUTED_VALUE"""),"Jawa Barat")</f>
        <v>Jawa Barat</v>
      </c>
      <c r="AA520" s="85" t="str">
        <f>IFERROR(__xludf.DUMMYFUNCTION("""COMPUTED_VALUE"""),"45187")</f>
        <v>45187</v>
      </c>
      <c r="AB520" s="85" t="str">
        <f>IFERROR(__xludf.DUMMYFUNCTION("""COMPUTED_VALUE"""),"3209010203950008")</f>
        <v>3209010203950008</v>
      </c>
      <c r="AC520" s="85" t="str">
        <f>IFERROR(__xludf.DUMMYFUNCTION("""COMPUTED_VALUE"""),"83.952.646.4-426.000")</f>
        <v>83.952.646.4-426.000</v>
      </c>
      <c r="AD520" s="85" t="str">
        <f>IFERROR(__xludf.DUMMYFUNCTION("""COMPUTED_VALUE"""),"CUM - PS - NONKORGEN")</f>
        <v>CUM - PS - NONKORGEN</v>
      </c>
      <c r="AE520" s="85" t="str">
        <f>IFERROR(__xludf.DUMMYFUNCTION("""COMPUTED_VALUE"""),"PAK JOHAN KCU CIREBON")</f>
        <v>PAK JOHAN KCU CIREBON</v>
      </c>
      <c r="AF520" s="85" t="str">
        <f>IFERROR(__xludf.DUMMYFUNCTION("""COMPUTED_VALUE"""),"089606185355")</f>
        <v>089606185355</v>
      </c>
      <c r="AG520" s="85"/>
      <c r="AH520" s="85" t="str">
        <f>IFERROR(__xludf.DUMMYFUNCTION("""COMPUTED_VALUE"""),"subhanaria17@gmail.com")</f>
        <v>subhanaria17@gmail.com</v>
      </c>
      <c r="AI520" s="85" t="str">
        <f>IFERROR(__xludf.DUMMYFUNCTION("""COMPUTED_VALUE"""),"45697S1")</f>
        <v>45697S1</v>
      </c>
      <c r="AJ520" s="85" t="str">
        <f>IFERROR(__xludf.DUMMYFUNCTION("""COMPUTED_VALUE"""),"68776a8563961754f30f7854")</f>
        <v>68776a8563961754f30f7854</v>
      </c>
      <c r="AK520" s="85" t="str">
        <f>IFERROR(__xludf.DUMMYFUNCTION("""COMPUTED_VALUE"""),"dm45697s1")</f>
        <v>dm45697s1</v>
      </c>
      <c r="AL520" s="85" t="str">
        <f>IFERROR(__xludf.DUMMYFUNCTION("""COMPUTED_VALUE"""),"#45697Pos")</f>
        <v>#45697Pos</v>
      </c>
      <c r="AM520" s="85" t="str">
        <f>IFERROR(__xludf.DUMMYFUNCTION("""COMPUTED_VALUE"""),"KANTOR REGIONAL III BANDUNG 40004")</f>
        <v>KANTOR REGIONAL III BANDUNG 40004</v>
      </c>
      <c r="AN520" s="85" t="str">
        <f>IFERROR(__xludf.DUMMYFUNCTION("""COMPUTED_VALUE"""),"KCU CIREBON 45100")</f>
        <v>KCU CIREBON 45100</v>
      </c>
      <c r="AO520" s="85" t="str">
        <f>IFERROR(__xludf.DUMMYFUNCTION("""COMPUTED_VALUE"""),"1106250106853")</f>
        <v>1106250106853</v>
      </c>
      <c r="AP520" s="85" t="str">
        <f>IFERROR(__xludf.DUMMYFUNCTION("""COMPUTED_VALUE"""),"11062501068530001")</f>
        <v>11062501068530001</v>
      </c>
      <c r="AQ520" s="93"/>
      <c r="AR520" s="85"/>
      <c r="AS520" s="85"/>
      <c r="AT520" s="85" t="str">
        <f>IFERROR(__xludf.DUMMYFUNCTION("""COMPUTED_VALUE"""),"-6.914468")</f>
        <v>-6.914468</v>
      </c>
      <c r="AU520" s="85" t="str">
        <f>IFERROR(__xludf.DUMMYFUNCTION("""COMPUTED_VALUE"""),"108.741512")</f>
        <v>108.741512</v>
      </c>
      <c r="AV520" s="85"/>
      <c r="AW520" s="85"/>
      <c r="AX520" s="85"/>
      <c r="AY520" s="85"/>
      <c r="AZ520" s="85"/>
      <c r="BA520" s="85"/>
      <c r="BB520" s="85"/>
      <c r="BC520" s="85"/>
      <c r="BD520" s="85"/>
      <c r="BE520" s="85"/>
      <c r="BF520" s="85"/>
      <c r="BG520" s="85"/>
      <c r="BH520" s="85"/>
      <c r="BI520" s="85"/>
      <c r="BJ520" s="85"/>
      <c r="BK520" s="85"/>
      <c r="BL520" s="85"/>
      <c r="BM520" s="85"/>
      <c r="BN520" s="85"/>
      <c r="BO520" s="85"/>
      <c r="BP520" s="85"/>
      <c r="BQ520" s="85"/>
      <c r="BR520" s="85"/>
      <c r="BS520" s="85"/>
      <c r="BT520" s="85"/>
      <c r="BU520" s="85"/>
      <c r="BV520" s="85"/>
      <c r="BW520" s="85"/>
      <c r="BX520" s="85" t="str">
        <f>IFERROR(__xludf.DUMMYFUNCTION("""COMPUTED_VALUE"""),"SELLER COD")</f>
        <v>SELLER COD</v>
      </c>
      <c r="BY520" s="85"/>
      <c r="BZ520" s="85"/>
      <c r="CA520" s="85"/>
      <c r="CB520" s="85"/>
      <c r="CC520" s="85"/>
      <c r="CD520" s="85"/>
      <c r="CE520" s="85"/>
      <c r="CF520" s="85"/>
      <c r="CG520" s="85"/>
      <c r="CH520" s="85"/>
      <c r="CI520" s="85"/>
      <c r="CJ520" s="85"/>
      <c r="CK520" s="2"/>
    </row>
    <row r="521" ht="12.75" customHeight="1">
      <c r="A521" s="80">
        <f>IFERROR(__xludf.DUMMYFUNCTION("""COMPUTED_VALUE"""),518.0)</f>
        <v>518</v>
      </c>
      <c r="B521" s="80"/>
      <c r="C521" s="80"/>
      <c r="D521" s="81">
        <f>IFERROR(__xludf.DUMMYFUNCTION("""COMPUTED_VALUE"""),45824.0)</f>
        <v>45824</v>
      </c>
      <c r="E521" s="82"/>
      <c r="F521" s="80"/>
      <c r="G521" s="81"/>
      <c r="H521" s="80"/>
      <c r="I521" s="80"/>
      <c r="J521" s="80"/>
      <c r="K521" s="80"/>
      <c r="L521" s="80"/>
      <c r="M521" s="80" t="str">
        <f>IFERROR(__xludf.DUMMYFUNCTION("""COMPUTED_VALUE"""),"ü")</f>
        <v>ü</v>
      </c>
      <c r="N521" s="80"/>
      <c r="O521" s="80"/>
      <c r="P521" s="80" t="str">
        <f>IFERROR(__xludf.DUMMYFUNCTION("""COMPUTED_VALUE"""),"MUCSPA63156PSIND")</f>
        <v>MUCSPA63156PSIND</v>
      </c>
      <c r="Q521" s="80" t="str">
        <f>IFERROR(__xludf.DUMMYFUNCTION("""COMPUTED_VALUE"""),"MUC M2M PUTRA")</f>
        <v>MUC M2M PUTRA</v>
      </c>
      <c r="R521" s="80" t="str">
        <f>IFERROR(__xludf.DUMMYFUNCTION("""COMPUTED_VALUE"""),"MUC M2M PUTRA")</f>
        <v>MUC M2M PUTRA</v>
      </c>
      <c r="S521" s="80" t="str">
        <f>IFERROR(__xludf.DUMMYFUNCTION("""COMPUTED_VALUE"""),"HERNAWATI")</f>
        <v>HERNAWATI</v>
      </c>
      <c r="T521" s="80" t="str">
        <f>IFERROR(__xludf.DUMMYFUNCTION("""COMPUTED_VALUE"""),"KP. PENGKOLAN RT 001 RW 001 SAWAHKULON PASAWAHAN")</f>
        <v>KP. PENGKOLAN RT 001 RW 001 SAWAHKULON PASAWAHAN</v>
      </c>
      <c r="U521" s="80" t="str">
        <f>IFERROR(__xludf.DUMMYFUNCTION("""COMPUTED_VALUE"""),"JL. TERS. KAPTEN HALIM NO. 18 KP. PASAWAHAN RT 002 RW 001")</f>
        <v>JL. TERS. KAPTEN HALIM NO. 18 KP. PASAWAHAN RT 002 RW 001</v>
      </c>
      <c r="V521" s="80"/>
      <c r="W521" s="80" t="str">
        <f>IFERROR(__xludf.DUMMYFUNCTION("""COMPUTED_VALUE"""),"PASAWAHANKIDUL")</f>
        <v>PASAWAHANKIDUL</v>
      </c>
      <c r="X521" s="80" t="str">
        <f>IFERROR(__xludf.DUMMYFUNCTION("""COMPUTED_VALUE"""),"PASAWAHAN")</f>
        <v>PASAWAHAN</v>
      </c>
      <c r="Y521" s="80" t="str">
        <f>IFERROR(__xludf.DUMMYFUNCTION("""COMPUTED_VALUE"""),"KAB. PURWAKARTA")</f>
        <v>KAB. PURWAKARTA</v>
      </c>
      <c r="Z521" s="80" t="str">
        <f>IFERROR(__xludf.DUMMYFUNCTION("""COMPUTED_VALUE"""),"JAWA BARAT")</f>
        <v>JAWA BARAT</v>
      </c>
      <c r="AA521" s="80" t="str">
        <f>IFERROR(__xludf.DUMMYFUNCTION("""COMPUTED_VALUE"""),"41172")</f>
        <v>41172</v>
      </c>
      <c r="AB521" s="80" t="str">
        <f>IFERROR(__xludf.DUMMYFUNCTION("""COMPUTED_VALUE"""),"3214106703940001")</f>
        <v>3214106703940001</v>
      </c>
      <c r="AC521" s="80" t="str">
        <f>IFERROR(__xludf.DUMMYFUNCTION("""COMPUTED_VALUE"""),"86.236.308.2-409.000")</f>
        <v>86.236.308.2-409.000</v>
      </c>
      <c r="AD521" s="80" t="str">
        <f>IFERROR(__xludf.DUMMYFUNCTION("""COMPUTED_VALUE"""),"CUM - PS - MRY")</f>
        <v>CUM - PS - MRY</v>
      </c>
      <c r="AE521" s="80" t="str">
        <f>IFERROR(__xludf.DUMMYFUNCTION("""COMPUTED_VALUE"""),"SUB RIZKI YAKIN POS")</f>
        <v>SUB RIZKI YAKIN POS</v>
      </c>
      <c r="AF521" s="80" t="str">
        <f>IFERROR(__xludf.DUMMYFUNCTION("""COMPUTED_VALUE"""),"081912575692")</f>
        <v>081912575692</v>
      </c>
      <c r="AG521" s="80"/>
      <c r="AH521" s="80" t="str">
        <f>IFERROR(__xludf.DUMMYFUNCTION("""COMPUTED_VALUE"""),"herna4616@gmail.com")</f>
        <v>herna4616@gmail.com</v>
      </c>
      <c r="AI521" s="80" t="str">
        <f>IFERROR(__xludf.DUMMYFUNCTION("""COMPUTED_VALUE"""),"41172S1")</f>
        <v>41172S1</v>
      </c>
      <c r="AJ521" s="80" t="str">
        <f>IFERROR(__xludf.DUMMYFUNCTION("""COMPUTED_VALUE"""),"686ce4e3a01dfecf020d27c3")</f>
        <v>686ce4e3a01dfecf020d27c3</v>
      </c>
      <c r="AK521" s="80" t="str">
        <f>IFERROR(__xludf.DUMMYFUNCTION("""COMPUTED_VALUE"""),"dm41172s1")</f>
        <v>dm41172s1</v>
      </c>
      <c r="AL521" s="80" t="str">
        <f>IFERROR(__xludf.DUMMYFUNCTION("""COMPUTED_VALUE"""),"#41172Pos")</f>
        <v>#41172Pos</v>
      </c>
      <c r="AM521" s="80" t="str">
        <f>IFERROR(__xludf.DUMMYFUNCTION("""COMPUTED_VALUE"""),"KANTOR REGIONAL III BANDUNG 40004")</f>
        <v>KANTOR REGIONAL III BANDUNG 40004</v>
      </c>
      <c r="AN521" s="80" t="str">
        <f>IFERROR(__xludf.DUMMYFUNCTION("""COMPUTED_VALUE"""),"KC PURWAKARTA 41100")</f>
        <v>KC PURWAKARTA 41100</v>
      </c>
      <c r="AO521" s="80" t="str">
        <f>IFERROR(__xludf.DUMMYFUNCTION("""COMPUTED_VALUE"""),"1606250038019")</f>
        <v>1606250038019</v>
      </c>
      <c r="AP521" s="80" t="str">
        <f>IFERROR(__xludf.DUMMYFUNCTION("""COMPUTED_VALUE"""),"16062500380190001")</f>
        <v>16062500380190001</v>
      </c>
      <c r="AQ521" s="83"/>
      <c r="AR521" s="80"/>
      <c r="AS521" s="80"/>
      <c r="AT521" s="80" t="str">
        <f>IFERROR(__xludf.DUMMYFUNCTION("""COMPUTED_VALUE"""),"-6.5865887")</f>
        <v>-6.5865887</v>
      </c>
      <c r="AU521" s="80" t="str">
        <f>IFERROR(__xludf.DUMMYFUNCTION("""COMPUTED_VALUE"""),"107.4691527")</f>
        <v>107.4691527</v>
      </c>
      <c r="AV521" s="80"/>
      <c r="AW521" s="80"/>
      <c r="AX521" s="80"/>
      <c r="AY521" s="80"/>
      <c r="AZ521" s="80"/>
      <c r="BA521" s="80"/>
      <c r="BB521" s="80"/>
      <c r="BC521" s="80"/>
      <c r="BD521" s="80"/>
      <c r="BE521" s="80"/>
      <c r="BF521" s="80"/>
      <c r="BG521" s="80"/>
      <c r="BH521" s="80"/>
      <c r="BI521" s="80"/>
      <c r="BJ521" s="80"/>
      <c r="BK521" s="80"/>
      <c r="BL521" s="80"/>
      <c r="BM521" s="80"/>
      <c r="BN521" s="80"/>
      <c r="BO521" s="80"/>
      <c r="BP521" s="80"/>
      <c r="BQ521" s="80"/>
      <c r="BR521" s="80"/>
      <c r="BS521" s="80"/>
      <c r="BT521" s="80"/>
      <c r="BU521" s="80"/>
      <c r="BV521" s="80"/>
      <c r="BW521" s="80"/>
      <c r="BX521" s="80" t="str">
        <f>IFERROR(__xludf.DUMMYFUNCTION("""COMPUTED_VALUE"""),"MULTIKURIR - JNT CARGO")</f>
        <v>MULTIKURIR - JNT CARGO</v>
      </c>
      <c r="BY521" s="80"/>
      <c r="BZ521" s="80"/>
      <c r="CA521" s="80"/>
      <c r="CB521" s="80"/>
      <c r="CC521" s="80"/>
      <c r="CD521" s="80"/>
      <c r="CE521" s="80"/>
      <c r="CF521" s="80"/>
      <c r="CG521" s="80"/>
      <c r="CH521" s="80"/>
      <c r="CI521" s="80"/>
      <c r="CJ521" s="80"/>
      <c r="CK521" s="2"/>
    </row>
    <row r="522" ht="12.75" customHeight="1">
      <c r="A522" s="85">
        <f>IFERROR(__xludf.DUMMYFUNCTION("""COMPUTED_VALUE"""),519.0)</f>
        <v>519</v>
      </c>
      <c r="B522" s="85"/>
      <c r="C522" s="85"/>
      <c r="D522" s="86">
        <f>IFERROR(__xludf.DUMMYFUNCTION("""COMPUTED_VALUE"""),45824.0)</f>
        <v>45824</v>
      </c>
      <c r="E522" s="88"/>
      <c r="F522" s="85"/>
      <c r="G522" s="86">
        <f>IFERROR(__xludf.DUMMYFUNCTION("""COMPUTED_VALUE"""),45866.0)</f>
        <v>45866</v>
      </c>
      <c r="H522" s="85"/>
      <c r="I522" s="85"/>
      <c r="J522" s="85"/>
      <c r="K522" s="85"/>
      <c r="L522" s="85">
        <f>IFERROR(__xludf.DUMMYFUNCTION("""COMPUTED_VALUE"""),42.0)</f>
        <v>42</v>
      </c>
      <c r="M522" s="85" t="str">
        <f>IFERROR(__xludf.DUMMYFUNCTION("""COMPUTED_VALUE"""),"ü")</f>
        <v>ü</v>
      </c>
      <c r="N522" s="85"/>
      <c r="O522" s="85"/>
      <c r="P522" s="85" t="str">
        <f>IFERROR(__xludf.DUMMYFUNCTION("""COMPUTED_VALUE"""),"MUCSPA63157PSIND")</f>
        <v>MUCSPA63157PSIND</v>
      </c>
      <c r="Q522" s="85" t="str">
        <f>IFERROR(__xludf.DUMMYFUNCTION("""COMPUTED_VALUE"""),"MUC TEGAL MELATI")</f>
        <v>MUC TEGAL MELATI</v>
      </c>
      <c r="R522" s="85" t="str">
        <f>IFERROR(__xludf.DUMMYFUNCTION("""COMPUTED_VALUE"""),"MUC TEGAL MELATI")</f>
        <v>MUC TEGAL MELATI</v>
      </c>
      <c r="S522" s="85" t="str">
        <f>IFERROR(__xludf.DUMMYFUNCTION("""COMPUTED_VALUE"""),"SATRIO HUTOMO")</f>
        <v>SATRIO HUTOMO</v>
      </c>
      <c r="T522" s="85" t="str">
        <f>IFERROR(__xludf.DUMMYFUNCTION("""COMPUTED_VALUE"""),"JL.TEGAL MELATI NO.84 C JONGKANG RT.006 RW.036 SARIHARJO NGAGLIK KAB.SLEMAN YOGYAKARTA")</f>
        <v>JL.TEGAL MELATI NO.84 C JONGKANG RT.006 RW.036 SARIHARJO NGAGLIK KAB.SLEMAN YOGYAKARTA</v>
      </c>
      <c r="U522" s="85" t="str">
        <f>IFERROR(__xludf.DUMMYFUNCTION("""COMPUTED_VALUE"""),"Jl Tegal Melati No.84C RT.006/RW.36")</f>
        <v>Jl Tegal Melati No.84C RT.006/RW.36</v>
      </c>
      <c r="V522" s="85"/>
      <c r="W522" s="85" t="str">
        <f>IFERROR(__xludf.DUMMYFUNCTION("""COMPUTED_VALUE"""),"Sariharjo")</f>
        <v>Sariharjo</v>
      </c>
      <c r="X522" s="85" t="str">
        <f>IFERROR(__xludf.DUMMYFUNCTION("""COMPUTED_VALUE"""),"Ngaglik")</f>
        <v>Ngaglik</v>
      </c>
      <c r="Y522" s="85" t="str">
        <f>IFERROR(__xludf.DUMMYFUNCTION("""COMPUTED_VALUE"""),"Sleman")</f>
        <v>Sleman</v>
      </c>
      <c r="Z522" s="85" t="str">
        <f>IFERROR(__xludf.DUMMYFUNCTION("""COMPUTED_VALUE"""),"D I Yogyakarta")</f>
        <v>D I Yogyakarta</v>
      </c>
      <c r="AA522" s="85" t="str">
        <f>IFERROR(__xludf.DUMMYFUNCTION("""COMPUTED_VALUE"""),"55581")</f>
        <v>55581</v>
      </c>
      <c r="AB522" s="85" t="str">
        <f>IFERROR(__xludf.DUMMYFUNCTION("""COMPUTED_VALUE"""),"3404122212880001")</f>
        <v>3404122212880001</v>
      </c>
      <c r="AC522" s="85" t="str">
        <f>IFERROR(__xludf.DUMMYFUNCTION("""COMPUTED_VALUE"""),"20.108.670.9-542.000")</f>
        <v>20.108.670.9-542.000</v>
      </c>
      <c r="AD522" s="85" t="str">
        <f>IFERROR(__xludf.DUMMYFUNCTION("""COMPUTED_VALUE"""),"CUM - PS - BPKT")</f>
        <v>CUM - PS - BPKT</v>
      </c>
      <c r="AE522" s="85" t="str">
        <f>IFERROR(__xludf.DUMMYFUNCTION("""COMPUTED_VALUE"""),"SUB PURBO POS")</f>
        <v>SUB PURBO POS</v>
      </c>
      <c r="AF522" s="85" t="str">
        <f>IFERROR(__xludf.DUMMYFUNCTION("""COMPUTED_VALUE"""),"087839869577")</f>
        <v>087839869577</v>
      </c>
      <c r="AG522" s="85"/>
      <c r="AH522" s="85" t="str">
        <f>IFERROR(__xludf.DUMMYFUNCTION("""COMPUTED_VALUE"""),"tegalmelatiexpress@gmail.com")</f>
        <v>tegalmelatiexpress@gmail.com</v>
      </c>
      <c r="AI522" s="85" t="str">
        <f>IFERROR(__xludf.DUMMYFUNCTION("""COMPUTED_VALUE"""),"55581SB")</f>
        <v>55581SB</v>
      </c>
      <c r="AJ522" s="85" t="str">
        <f>IFERROR(__xludf.DUMMYFUNCTION("""COMPUTED_VALUE"""),"6884cfa81cee6c5035068596")</f>
        <v>6884cfa81cee6c5035068596</v>
      </c>
      <c r="AK522" s="85" t="str">
        <f>IFERROR(__xludf.DUMMYFUNCTION("""COMPUTED_VALUE"""),"dm55581sb")</f>
        <v>dm55581sb</v>
      </c>
      <c r="AL522" s="85" t="str">
        <f>IFERROR(__xludf.DUMMYFUNCTION("""COMPUTED_VALUE"""),"#55581Pos")</f>
        <v>#55581Pos</v>
      </c>
      <c r="AM522" s="85" t="str">
        <f>IFERROR(__xludf.DUMMYFUNCTION("""COMPUTED_VALUE"""),"KANTOR REGIONAL IV SEMARANG 50004")</f>
        <v>KANTOR REGIONAL IV SEMARANG 50004</v>
      </c>
      <c r="AN522" s="85" t="str">
        <f>IFERROR(__xludf.DUMMYFUNCTION("""COMPUTED_VALUE"""),"KCU YOGYAKARTA 55000")</f>
        <v>KCU YOGYAKARTA 55000</v>
      </c>
      <c r="AO522" s="85" t="str">
        <f>IFERROR(__xludf.DUMMYFUNCTION("""COMPUTED_VALUE"""),"1206250013827")</f>
        <v>1206250013827</v>
      </c>
      <c r="AP522" s="85" t="str">
        <f>IFERROR(__xludf.DUMMYFUNCTION("""COMPUTED_VALUE"""),"12062500138270001")</f>
        <v>12062500138270001</v>
      </c>
      <c r="AQ522" s="93"/>
      <c r="AR522" s="85"/>
      <c r="AS522" s="85"/>
      <c r="AT522" s="85" t="str">
        <f>IFERROR(__xludf.DUMMYFUNCTION("""COMPUTED_VALUE"""),"-7.747169")</f>
        <v>-7.747169</v>
      </c>
      <c r="AU522" s="85" t="str">
        <f>IFERROR(__xludf.DUMMYFUNCTION("""COMPUTED_VALUE"""),"110.368993")</f>
        <v>110.368993</v>
      </c>
      <c r="AV522" s="85"/>
      <c r="AW522" s="85"/>
      <c r="AX522" s="85"/>
      <c r="AY522" s="85"/>
      <c r="AZ522" s="85"/>
      <c r="BA522" s="85"/>
      <c r="BB522" s="85"/>
      <c r="BC522" s="85"/>
      <c r="BD522" s="85"/>
      <c r="BE522" s="85"/>
      <c r="BF522" s="85"/>
      <c r="BG522" s="85"/>
      <c r="BH522" s="85"/>
      <c r="BI522" s="85"/>
      <c r="BJ522" s="85"/>
      <c r="BK522" s="85"/>
      <c r="BL522" s="85"/>
      <c r="BM522" s="85"/>
      <c r="BN522" s="85"/>
      <c r="BO522" s="85"/>
      <c r="BP522" s="85"/>
      <c r="BQ522" s="85"/>
      <c r="BR522" s="85"/>
      <c r="BS522" s="85"/>
      <c r="BT522" s="85"/>
      <c r="BU522" s="85"/>
      <c r="BV522" s="85"/>
      <c r="BW522" s="85"/>
      <c r="BX522" s="85" t="str">
        <f>IFERROR(__xludf.DUMMYFUNCTION("""COMPUTED_VALUE"""),"MULTIKURIR - WAHANA")</f>
        <v>MULTIKURIR - WAHANA</v>
      </c>
      <c r="BY522" s="85"/>
      <c r="BZ522" s="85"/>
      <c r="CA522" s="85"/>
      <c r="CB522" s="85"/>
      <c r="CC522" s="85"/>
      <c r="CD522" s="85"/>
      <c r="CE522" s="85"/>
      <c r="CF522" s="85"/>
      <c r="CG522" s="85"/>
      <c r="CH522" s="85"/>
      <c r="CI522" s="85"/>
      <c r="CJ522" s="85"/>
      <c r="CK522" s="2"/>
    </row>
    <row r="523" ht="12.75" customHeight="1">
      <c r="A523" s="80">
        <f>IFERROR(__xludf.DUMMYFUNCTION("""COMPUTED_VALUE"""),520.0)</f>
        <v>520</v>
      </c>
      <c r="B523" s="80"/>
      <c r="C523" s="80"/>
      <c r="D523" s="81">
        <f>IFERROR(__xludf.DUMMYFUNCTION("""COMPUTED_VALUE"""),45826.0)</f>
        <v>45826</v>
      </c>
      <c r="E523" s="82"/>
      <c r="F523" s="80"/>
      <c r="G523" s="81"/>
      <c r="H523" s="80"/>
      <c r="I523" s="80"/>
      <c r="J523" s="80"/>
      <c r="K523" s="80"/>
      <c r="L523" s="80"/>
      <c r="M523" s="80" t="str">
        <f>IFERROR(__xludf.DUMMYFUNCTION("""COMPUTED_VALUE"""),"ü")</f>
        <v>ü</v>
      </c>
      <c r="N523" s="80"/>
      <c r="O523" s="80"/>
      <c r="P523" s="80" t="str">
        <f>IFERROR(__xludf.DUMMYFUNCTION("""COMPUTED_VALUE"""),"53BSPA09563JBEEN")</f>
        <v>53BSPA09563JBEEN</v>
      </c>
      <c r="Q523" s="80" t="str">
        <f>IFERROR(__xludf.DUMMYFUNCTION("""COMPUTED_VALUE"""),"MUC Telukgong")</f>
        <v>MUC Telukgong</v>
      </c>
      <c r="R523" s="80" t="str">
        <f>IFERROR(__xludf.DUMMYFUNCTION("""COMPUTED_VALUE"""),"MUC Telukgong")</f>
        <v>MUC Telukgong</v>
      </c>
      <c r="S523" s="80" t="str">
        <f>IFERROR(__xludf.DUMMYFUNCTION("""COMPUTED_VALUE"""),"ASMADI TRISNADI")</f>
        <v>ASMADI TRISNADI</v>
      </c>
      <c r="T523" s="80" t="str">
        <f>IFERROR(__xludf.DUMMYFUNCTION("""COMPUTED_VALUE"""),"JL. PTB ANGKE GRAWISA A/5 RT.005 RW.001 WIJAYA KUSUMA GROGOL PETAMBURAN JAKARTA BARAT DKI JAKARTA")</f>
        <v>JL. PTB ANGKE GRAWISA A/5 RT.005 RW.001 WIJAYA KUSUMA GROGOL PETAMBURAN JAKARTA BARAT DKI JAKARTA</v>
      </c>
      <c r="U523" s="80" t="str">
        <f>IFERROR(__xludf.DUMMYFUNCTION("""COMPUTED_VALUE"""),"Jl. B Raya No.26, Telukgong")</f>
        <v>Jl. B Raya No.26, Telukgong</v>
      </c>
      <c r="V523" s="80"/>
      <c r="W523" s="80" t="str">
        <f>IFERROR(__xludf.DUMMYFUNCTION("""COMPUTED_VALUE"""),"Pejagalan")</f>
        <v>Pejagalan</v>
      </c>
      <c r="X523" s="80" t="str">
        <f>IFERROR(__xludf.DUMMYFUNCTION("""COMPUTED_VALUE"""),"Penjaringan")</f>
        <v>Penjaringan</v>
      </c>
      <c r="Y523" s="80" t="str">
        <f>IFERROR(__xludf.DUMMYFUNCTION("""COMPUTED_VALUE"""),"Jakarta Utara")</f>
        <v>Jakarta Utara</v>
      </c>
      <c r="Z523" s="80" t="str">
        <f>IFERROR(__xludf.DUMMYFUNCTION("""COMPUTED_VALUE"""),"DKI Jakarta")</f>
        <v>DKI Jakarta</v>
      </c>
      <c r="AA523" s="80" t="str">
        <f>IFERROR(__xludf.DUMMYFUNCTION("""COMPUTED_VALUE"""),"14450")</f>
        <v>14450</v>
      </c>
      <c r="AB523" s="80" t="str">
        <f>IFERROR(__xludf.DUMMYFUNCTION("""COMPUTED_VALUE"""),"3173022108540003")</f>
        <v>3173022108540003</v>
      </c>
      <c r="AC523" s="80" t="str">
        <f>IFERROR(__xludf.DUMMYFUNCTION("""COMPUTED_VALUE"""),"06.160.649.1-036.000")</f>
        <v>06.160.649.1-036.000</v>
      </c>
      <c r="AD523" s="80" t="str">
        <f>IFERROR(__xludf.DUMMYFUNCTION("""COMPUTED_VALUE"""),"CUM - EEN")</f>
        <v>CUM - EEN</v>
      </c>
      <c r="AE523" s="80" t="str">
        <f>IFERROR(__xludf.DUMMYFUNCTION("""COMPUTED_VALUE"""),"SUB EEN")</f>
        <v>SUB EEN</v>
      </c>
      <c r="AF523" s="80" t="str">
        <f>IFERROR(__xludf.DUMMYFUNCTION("""COMPUTED_VALUE"""),"08128777978")</f>
        <v>08128777978</v>
      </c>
      <c r="AG523" s="80"/>
      <c r="AH523" s="80" t="str">
        <f>IFERROR(__xludf.DUMMYFUNCTION("""COMPUTED_VALUE"""),"edwinejosephus@yahoo.com")</f>
        <v>edwinejosephus@yahoo.com</v>
      </c>
      <c r="AI523" s="80" t="str">
        <f>IFERROR(__xludf.DUMMYFUNCTION("""COMPUTED_VALUE"""),"14450S5")</f>
        <v>14450S5</v>
      </c>
      <c r="AJ523" s="80" t="str">
        <f>IFERROR(__xludf.DUMMYFUNCTION("""COMPUTED_VALUE"""),"68661aa8ce7aa0e91a0611f7")</f>
        <v>68661aa8ce7aa0e91a0611f7</v>
      </c>
      <c r="AK523" s="80" t="str">
        <f>IFERROR(__xludf.DUMMYFUNCTION("""COMPUTED_VALUE"""),"dm14450s5")</f>
        <v>dm14450s5</v>
      </c>
      <c r="AL523" s="80" t="str">
        <f>IFERROR(__xludf.DUMMYFUNCTION("""COMPUTED_VALUE"""),"#14450Pos")</f>
        <v>#14450Pos</v>
      </c>
      <c r="AM523" s="80" t="str">
        <f>IFERROR(__xludf.DUMMYFUNCTION("""COMPUTED_VALUE"""),"KANTOR REGIONAL II JAKARTA 10004")</f>
        <v>KANTOR REGIONAL II JAKARTA 10004</v>
      </c>
      <c r="AN523" s="80" t="str">
        <f>IFERROR(__xludf.DUMMYFUNCTION("""COMPUTED_VALUE"""),"KCU JAKARTAPREMIER 13000")</f>
        <v>KCU JAKARTAPREMIER 13000</v>
      </c>
      <c r="AO523" s="80" t="str">
        <f>IFERROR(__xludf.DUMMYFUNCTION("""COMPUTED_VALUE"""),"1606250102156")</f>
        <v>1606250102156</v>
      </c>
      <c r="AP523" s="80" t="str">
        <f>IFERROR(__xludf.DUMMYFUNCTION("""COMPUTED_VALUE"""),"16062501021560001")</f>
        <v>16062501021560001</v>
      </c>
      <c r="AQ523" s="83"/>
      <c r="AR523" s="80"/>
      <c r="AS523" s="80"/>
      <c r="AT523" s="80" t="str">
        <f>IFERROR(__xludf.DUMMYFUNCTION("""COMPUTED_VALUE"""),"-6.135539")</f>
        <v>-6.135539</v>
      </c>
      <c r="AU523" s="80" t="str">
        <f>IFERROR(__xludf.DUMMYFUNCTION("""COMPUTED_VALUE"""),"106.777305")</f>
        <v>106.777305</v>
      </c>
      <c r="AV523" s="80"/>
      <c r="AW523" s="80"/>
      <c r="AX523" s="80"/>
      <c r="AY523" s="80"/>
      <c r="AZ523" s="80"/>
      <c r="BA523" s="80"/>
      <c r="BB523" s="80"/>
      <c r="BC523" s="80"/>
      <c r="BD523" s="80"/>
      <c r="BE523" s="80"/>
      <c r="BF523" s="80"/>
      <c r="BG523" s="80"/>
      <c r="BH523" s="80"/>
      <c r="BI523" s="80"/>
      <c r="BJ523" s="80"/>
      <c r="BK523" s="80"/>
      <c r="BL523" s="80"/>
      <c r="BM523" s="80"/>
      <c r="BN523" s="80"/>
      <c r="BO523" s="80"/>
      <c r="BP523" s="80"/>
      <c r="BQ523" s="80"/>
      <c r="BR523" s="80"/>
      <c r="BS523" s="80"/>
      <c r="BT523" s="80"/>
      <c r="BU523" s="80"/>
      <c r="BV523" s="80"/>
      <c r="BW523" s="80"/>
      <c r="BX523" s="80" t="str">
        <f>IFERROR(__xludf.DUMMYFUNCTION("""COMPUTED_VALUE"""),"MULTIKURIR - WAHANA - SICEPAT - SPX")</f>
        <v>MULTIKURIR - WAHANA - SICEPAT - SPX</v>
      </c>
      <c r="BY523" s="80"/>
      <c r="BZ523" s="80"/>
      <c r="CA523" s="80"/>
      <c r="CB523" s="80"/>
      <c r="CC523" s="80"/>
      <c r="CD523" s="80"/>
      <c r="CE523" s="80"/>
      <c r="CF523" s="80"/>
      <c r="CG523" s="80"/>
      <c r="CH523" s="80"/>
      <c r="CI523" s="80"/>
      <c r="CJ523" s="80"/>
      <c r="CK523" s="2"/>
    </row>
    <row r="524" ht="14.25" customHeight="1">
      <c r="A524" s="85">
        <f>IFERROR(__xludf.DUMMYFUNCTION("""COMPUTED_VALUE"""),521.0)</f>
        <v>521</v>
      </c>
      <c r="B524" s="85"/>
      <c r="C524" s="85"/>
      <c r="D524" s="86">
        <f>IFERROR(__xludf.DUMMYFUNCTION("""COMPUTED_VALUE"""),45826.0)</f>
        <v>45826</v>
      </c>
      <c r="E524" s="88"/>
      <c r="F524" s="85"/>
      <c r="G524" s="86">
        <f>IFERROR(__xludf.DUMMYFUNCTION("""COMPUTED_VALUE"""),45866.0)</f>
        <v>45866</v>
      </c>
      <c r="H524" s="85"/>
      <c r="I524" s="85"/>
      <c r="J524" s="85"/>
      <c r="K524" s="85"/>
      <c r="L524" s="85">
        <f>IFERROR(__xludf.DUMMYFUNCTION("""COMPUTED_VALUE"""),40.0)</f>
        <v>40</v>
      </c>
      <c r="M524" s="85"/>
      <c r="N524" s="85" t="str">
        <f>IFERROR(__xludf.DUMMYFUNCTION("""COMPUTED_VALUE"""),"ü")</f>
        <v>ü</v>
      </c>
      <c r="O524" s="85"/>
      <c r="P524" s="85" t="str">
        <f>IFERROR(__xludf.DUMMYFUNCTION("""COMPUTED_VALUE"""),"MUCSPA63159PSIND")</f>
        <v>MUCSPA63159PSIND</v>
      </c>
      <c r="Q524" s="85" t="str">
        <f>IFERROR(__xludf.DUMMYFUNCTION("""COMPUTED_VALUE"""),"MUC TERAPI LANGIT")</f>
        <v>MUC TERAPI LANGIT</v>
      </c>
      <c r="R524" s="85" t="str">
        <f>IFERROR(__xludf.DUMMYFUNCTION("""COMPUTED_VALUE"""),"MUC TERAPI LANGIT")</f>
        <v>MUC TERAPI LANGIT</v>
      </c>
      <c r="S524" s="85" t="str">
        <f>IFERROR(__xludf.DUMMYFUNCTION("""COMPUTED_VALUE"""),"ROHMAT SAWALI")</f>
        <v>ROHMAT SAWALI</v>
      </c>
      <c r="T524" s="85" t="str">
        <f>IFERROR(__xludf.DUMMYFUNCTION("""COMPUTED_VALUE"""),"JL. CIMANUK GG. 2 NO. 34 RT 001 RW 007 MINTARAGEN TEGAL ")</f>
        <v>JL. CIMANUK GG. 2 NO. 34 RT 001 RW 007 MINTARAGEN TEGAL </v>
      </c>
      <c r="U524" s="85" t="str">
        <f>IFERROR(__xludf.DUMMYFUNCTION("""COMPUTED_VALUE"""),"Griya Ngoto Asri No.D10")</f>
        <v>Griya Ngoto Asri No.D10</v>
      </c>
      <c r="V524" s="85"/>
      <c r="W524" s="85" t="str">
        <f>IFERROR(__xludf.DUMMYFUNCTION("""COMPUTED_VALUE"""),"BANGUNHARJO")</f>
        <v>BANGUNHARJO</v>
      </c>
      <c r="X524" s="85" t="str">
        <f>IFERROR(__xludf.DUMMYFUNCTION("""COMPUTED_VALUE"""),"SEWON")</f>
        <v>SEWON</v>
      </c>
      <c r="Y524" s="85" t="str">
        <f>IFERROR(__xludf.DUMMYFUNCTION("""COMPUTED_VALUE"""),"BANTUL")</f>
        <v>BANTUL</v>
      </c>
      <c r="Z524" s="85" t="str">
        <f>IFERROR(__xludf.DUMMYFUNCTION("""COMPUTED_VALUE"""),"D I Yogyakarta")</f>
        <v>D I Yogyakarta</v>
      </c>
      <c r="AA524" s="85" t="str">
        <f>IFERROR(__xludf.DUMMYFUNCTION("""COMPUTED_VALUE"""),"55188")</f>
        <v>55188</v>
      </c>
      <c r="AB524" s="85" t="str">
        <f>IFERROR(__xludf.DUMMYFUNCTION("""COMPUTED_VALUE"""),"3376022204910003")</f>
        <v>3376022204910003</v>
      </c>
      <c r="AC524" s="85" t="str">
        <f>IFERROR(__xludf.DUMMYFUNCTION("""COMPUTED_VALUE"""),"79.190.138.2-501.000")</f>
        <v>79.190.138.2-501.000</v>
      </c>
      <c r="AD524" s="85" t="str">
        <f>IFERROR(__xludf.DUMMYFUNCTION("""COMPUTED_VALUE"""),"CUM - PS - NONKORGEN")</f>
        <v>CUM - PS - NONKORGEN</v>
      </c>
      <c r="AE524" s="85" t="str">
        <f>IFERROR(__xludf.DUMMYFUNCTION("""COMPUTED_VALUE"""),"BU WHESTRY NON KORGEN")</f>
        <v>BU WHESTRY NON KORGEN</v>
      </c>
      <c r="AF524" s="85" t="str">
        <f>IFERROR(__xludf.DUMMYFUNCTION("""COMPUTED_VALUE"""),"085601819147")</f>
        <v>085601819147</v>
      </c>
      <c r="AG524" s="85"/>
      <c r="AH524" s="85" t="str">
        <f>IFERROR(__xludf.DUMMYFUNCTION("""COMPUTED_VALUE"""),"official.terapianak@gmail.com")</f>
        <v>official.terapianak@gmail.com</v>
      </c>
      <c r="AI524" s="85" t="str">
        <f>IFERROR(__xludf.DUMMYFUNCTION("""COMPUTED_VALUE"""),"55714S2")</f>
        <v>55714S2</v>
      </c>
      <c r="AJ524" s="85" t="str">
        <f>IFERROR(__xludf.DUMMYFUNCTION("""COMPUTED_VALUE"""),"6881dd5e29da406cc00bd123")</f>
        <v>6881dd5e29da406cc00bd123</v>
      </c>
      <c r="AK524" s="85" t="str">
        <f>IFERROR(__xludf.DUMMYFUNCTION("""COMPUTED_VALUE"""),"dm55714s2")</f>
        <v>dm55714s2</v>
      </c>
      <c r="AL524" s="85" t="str">
        <f>IFERROR(__xludf.DUMMYFUNCTION("""COMPUTED_VALUE"""),"#55714Pos")</f>
        <v>#55714Pos</v>
      </c>
      <c r="AM524" s="85" t="str">
        <f>IFERROR(__xludf.DUMMYFUNCTION("""COMPUTED_VALUE"""),"KANTOR REGIONAL IV SEMARANG 50004")</f>
        <v>KANTOR REGIONAL IV SEMARANG 50004</v>
      </c>
      <c r="AN524" s="85" t="str">
        <f>IFERROR(__xludf.DUMMYFUNCTION("""COMPUTED_VALUE"""),"KC BANTUL 55700")</f>
        <v>KC BANTUL 55700</v>
      </c>
      <c r="AO524" s="85" t="str">
        <f>IFERROR(__xludf.DUMMYFUNCTION("""COMPUTED_VALUE"""),"1906250071346")</f>
        <v>1906250071346</v>
      </c>
      <c r="AP524" s="85" t="str">
        <f>IFERROR(__xludf.DUMMYFUNCTION("""COMPUTED_VALUE"""),"19062500713460001")</f>
        <v>19062500713460001</v>
      </c>
      <c r="AQ524" s="93"/>
      <c r="AR524" s="85"/>
      <c r="AS524" s="85"/>
      <c r="AT524" s="85" t="str">
        <f>IFERROR(__xludf.DUMMYFUNCTION("""COMPUTED_VALUE"""),"-7.846998")</f>
        <v>-7.846998</v>
      </c>
      <c r="AU524" s="85" t="str">
        <f>IFERROR(__xludf.DUMMYFUNCTION("""COMPUTED_VALUE"""),"110.370169")</f>
        <v>110.370169</v>
      </c>
      <c r="AV524" s="85"/>
      <c r="AW524" s="85"/>
      <c r="AX524" s="85"/>
      <c r="AY524" s="85"/>
      <c r="AZ524" s="85"/>
      <c r="BA524" s="85"/>
      <c r="BB524" s="85"/>
      <c r="BC524" s="85"/>
      <c r="BD524" s="85"/>
      <c r="BE524" s="85"/>
      <c r="BF524" s="85"/>
      <c r="BG524" s="85"/>
      <c r="BH524" s="85"/>
      <c r="BI524" s="85"/>
      <c r="BJ524" s="85"/>
      <c r="BK524" s="85"/>
      <c r="BL524" s="85"/>
      <c r="BM524" s="85"/>
      <c r="BN524" s="85"/>
      <c r="BO524" s="85"/>
      <c r="BP524" s="85"/>
      <c r="BQ524" s="85"/>
      <c r="BR524" s="85"/>
      <c r="BS524" s="85"/>
      <c r="BT524" s="85"/>
      <c r="BU524" s="85"/>
      <c r="BV524" s="85"/>
      <c r="BW524" s="85"/>
      <c r="BX524" s="85" t="str">
        <f>IFERROR(__xludf.DUMMYFUNCTION("""COMPUTED_VALUE"""),"NEWBIE")</f>
        <v>NEWBIE</v>
      </c>
      <c r="BY524" s="85"/>
      <c r="BZ524" s="85"/>
      <c r="CA524" s="85"/>
      <c r="CB524" s="85"/>
      <c r="CC524" s="85"/>
      <c r="CD524" s="85"/>
      <c r="CE524" s="85"/>
      <c r="CF524" s="85"/>
      <c r="CG524" s="85"/>
      <c r="CH524" s="85"/>
      <c r="CI524" s="85"/>
      <c r="CJ524" s="85"/>
      <c r="CK524" s="2"/>
    </row>
    <row r="525" ht="12.75" customHeight="1">
      <c r="A525" s="80">
        <f>IFERROR(__xludf.DUMMYFUNCTION("""COMPUTED_VALUE"""),522.0)</f>
        <v>522</v>
      </c>
      <c r="B525" s="80"/>
      <c r="C525" s="80"/>
      <c r="D525" s="81">
        <f>IFERROR(__xludf.DUMMYFUNCTION("""COMPUTED_VALUE"""),45827.0)</f>
        <v>45827</v>
      </c>
      <c r="E525" s="82"/>
      <c r="F525" s="80"/>
      <c r="G525" s="81"/>
      <c r="H525" s="80"/>
      <c r="I525" s="80"/>
      <c r="J525" s="80"/>
      <c r="K525" s="80"/>
      <c r="L525" s="80"/>
      <c r="M525" s="80" t="str">
        <f>IFERROR(__xludf.DUMMYFUNCTION("""COMPUTED_VALUE"""),"ü")</f>
        <v>ü</v>
      </c>
      <c r="N525" s="80"/>
      <c r="O525" s="80"/>
      <c r="P525" s="80" t="str">
        <f>IFERROR(__xludf.DUMMYFUNCTION("""COMPUTED_VALUE"""),"MUCSPA63160PSIND")</f>
        <v>MUCSPA63160PSIND</v>
      </c>
      <c r="Q525" s="80" t="str">
        <f>IFERROR(__xludf.DUMMYFUNCTION("""COMPUTED_VALUE"""),"MUC NTR KARAWANG TIMUR")</f>
        <v>MUC NTR KARAWANG TIMUR</v>
      </c>
      <c r="R525" s="80" t="str">
        <f>IFERROR(__xludf.DUMMYFUNCTION("""COMPUTED_VALUE"""),"MUC NTR KARAWANG TIMUR")</f>
        <v>MUC NTR KARAWANG TIMUR</v>
      </c>
      <c r="S525" s="80" t="str">
        <f>IFERROR(__xludf.DUMMYFUNCTION("""COMPUTED_VALUE"""),"Tommy Utomo ")</f>
        <v>Tommy Utomo </v>
      </c>
      <c r="T525" s="80" t="str">
        <f>IFERROR(__xludf.DUMMYFUNCTION("""COMPUTED_VALUE"""),"NUANSA TRADISI RESIDENCE A.12 A/24 RT.044 RW.013 KONDANGJAYA KARAWANG TIMUR KAB.KARAWANG")</f>
        <v>NUANSA TRADISI RESIDENCE A.12 A/24 RT.044 RW.013 KONDANGJAYA KARAWANG TIMUR KAB.KARAWANG</v>
      </c>
      <c r="U525" s="80" t="str">
        <f>IFERROR(__xludf.DUMMYFUNCTION("""COMPUTED_VALUE"""),"Perum NTR Blok A01 / No.8")</f>
        <v>Perum NTR Blok A01 / No.8</v>
      </c>
      <c r="V525" s="80"/>
      <c r="W525" s="80" t="str">
        <f>IFERROR(__xludf.DUMMYFUNCTION("""COMPUTED_VALUE"""),"Kondang Jaya")</f>
        <v>Kondang Jaya</v>
      </c>
      <c r="X525" s="80" t="str">
        <f>IFERROR(__xludf.DUMMYFUNCTION("""COMPUTED_VALUE"""),"Karawang Timur ")</f>
        <v>Karawang Timur </v>
      </c>
      <c r="Y525" s="80" t="str">
        <f>IFERROR(__xludf.DUMMYFUNCTION("""COMPUTED_VALUE"""),"Karawang ")</f>
        <v>Karawang </v>
      </c>
      <c r="Z525" s="80" t="str">
        <f>IFERROR(__xludf.DUMMYFUNCTION("""COMPUTED_VALUE"""),"Jawa Barat ")</f>
        <v>Jawa Barat </v>
      </c>
      <c r="AA525" s="80" t="str">
        <f>IFERROR(__xludf.DUMMYFUNCTION("""COMPUTED_VALUE"""),"41324")</f>
        <v>41324</v>
      </c>
      <c r="AB525" s="80" t="str">
        <f>IFERROR(__xludf.DUMMYFUNCTION("""COMPUTED_VALUE"""),"3318081105860021")</f>
        <v>3318081105860021</v>
      </c>
      <c r="AC525" s="80" t="str">
        <f>IFERROR(__xludf.DUMMYFUNCTION("""COMPUTED_VALUE"""),"48.024.026.6-408.000")</f>
        <v>48.024.026.6-408.000</v>
      </c>
      <c r="AD525" s="80" t="str">
        <f>IFERROR(__xludf.DUMMYFUNCTION("""COMPUTED_VALUE"""),"CUM - PS - SITIH")</f>
        <v>CUM - PS - SITIH</v>
      </c>
      <c r="AE525" s="80" t="str">
        <f>IFERROR(__xludf.DUMMYFUNCTION("""COMPUTED_VALUE"""),"SUB SITI POS")</f>
        <v>SUB SITI POS</v>
      </c>
      <c r="AF525" s="80" t="str">
        <f>IFERROR(__xludf.DUMMYFUNCTION("""COMPUTED_VALUE"""),"081287787798 ")</f>
        <v>081287787798 </v>
      </c>
      <c r="AG525" s="80"/>
      <c r="AH525" s="80" t="str">
        <f>IFERROR(__xludf.DUMMYFUNCTION("""COMPUTED_VALUE"""),"tommmyutomo@gmail.com")</f>
        <v>tommmyutomo@gmail.com</v>
      </c>
      <c r="AI525" s="80" t="str">
        <f>IFERROR(__xludf.DUMMYFUNCTION("""COMPUTED_VALUE"""),"41324S3")</f>
        <v>41324S3</v>
      </c>
      <c r="AJ525" s="80" t="str">
        <f>IFERROR(__xludf.DUMMYFUNCTION("""COMPUTED_VALUE"""),"68677e2494044913600dab3b")</f>
        <v>68677e2494044913600dab3b</v>
      </c>
      <c r="AK525" s="80" t="str">
        <f>IFERROR(__xludf.DUMMYFUNCTION("""COMPUTED_VALUE"""),"dm41324s3")</f>
        <v>dm41324s3</v>
      </c>
      <c r="AL525" s="80" t="str">
        <f>IFERROR(__xludf.DUMMYFUNCTION("""COMPUTED_VALUE"""),"#41324Pos")</f>
        <v>#41324Pos</v>
      </c>
      <c r="AM525" s="80" t="str">
        <f>IFERROR(__xludf.DUMMYFUNCTION("""COMPUTED_VALUE"""),"KANTOR REGIONAL III BANDUNG 40004")</f>
        <v>KANTOR REGIONAL III BANDUNG 40004</v>
      </c>
      <c r="AN525" s="80" t="str">
        <f>IFERROR(__xludf.DUMMYFUNCTION("""COMPUTED_VALUE"""),"KCU KARAWANG 41300")</f>
        <v>KCU KARAWANG 41300</v>
      </c>
      <c r="AO525" s="80" t="str">
        <f>IFERROR(__xludf.DUMMYFUNCTION("""COMPUTED_VALUE"""),"1606250091595")</f>
        <v>1606250091595</v>
      </c>
      <c r="AP525" s="80" t="str">
        <f>IFERROR(__xludf.DUMMYFUNCTION("""COMPUTED_VALUE"""),"16062500915950001")</f>
        <v>16062500915950001</v>
      </c>
      <c r="AQ525" s="83"/>
      <c r="AR525" s="80"/>
      <c r="AS525" s="80"/>
      <c r="AT525" s="80" t="str">
        <f>IFERROR(__xludf.DUMMYFUNCTION("""COMPUTED_VALUE"""),"-6.332167")</f>
        <v>-6.332167</v>
      </c>
      <c r="AU525" s="80" t="str">
        <f>IFERROR(__xludf.DUMMYFUNCTION("""COMPUTED_VALUE"""),"107.340865")</f>
        <v>107.340865</v>
      </c>
      <c r="AV525" s="80"/>
      <c r="AW525" s="80"/>
      <c r="AX525" s="80"/>
      <c r="AY525" s="80"/>
      <c r="AZ525" s="80"/>
      <c r="BA525" s="80"/>
      <c r="BB525" s="80"/>
      <c r="BC525" s="80"/>
      <c r="BD525" s="80"/>
      <c r="BE525" s="80"/>
      <c r="BF525" s="80"/>
      <c r="BG525" s="80"/>
      <c r="BH525" s="80"/>
      <c r="BI525" s="80"/>
      <c r="BJ525" s="80"/>
      <c r="BK525" s="80"/>
      <c r="BL525" s="80"/>
      <c r="BM525" s="80"/>
      <c r="BN525" s="80"/>
      <c r="BO525" s="80"/>
      <c r="BP525" s="80"/>
      <c r="BQ525" s="80"/>
      <c r="BR525" s="80"/>
      <c r="BS525" s="80"/>
      <c r="BT525" s="80"/>
      <c r="BU525" s="80"/>
      <c r="BV525" s="80"/>
      <c r="BW525" s="80"/>
      <c r="BX525" s="80" t="str">
        <f>IFERROR(__xludf.DUMMYFUNCTION("""COMPUTED_VALUE"""),"MULTIKURIR - JNT CARGO")</f>
        <v>MULTIKURIR - JNT CARGO</v>
      </c>
      <c r="BY525" s="80"/>
      <c r="BZ525" s="80"/>
      <c r="CA525" s="80"/>
      <c r="CB525" s="80"/>
      <c r="CC525" s="80"/>
      <c r="CD525" s="80"/>
      <c r="CE525" s="80"/>
      <c r="CF525" s="80"/>
      <c r="CG525" s="80"/>
      <c r="CH525" s="80"/>
      <c r="CI525" s="80"/>
      <c r="CJ525" s="80"/>
      <c r="CK525" s="2"/>
    </row>
    <row r="526" ht="12.75" customHeight="1">
      <c r="A526" s="85">
        <f>IFERROR(__xludf.DUMMYFUNCTION("""COMPUTED_VALUE"""),523.0)</f>
        <v>523</v>
      </c>
      <c r="B526" s="85"/>
      <c r="C526" s="85"/>
      <c r="D526" s="86">
        <f>IFERROR(__xludf.DUMMYFUNCTION("""COMPUTED_VALUE"""),45828.0)</f>
        <v>45828</v>
      </c>
      <c r="E526" s="88"/>
      <c r="F526" s="85"/>
      <c r="G526" s="86"/>
      <c r="H526" s="85"/>
      <c r="I526" s="85"/>
      <c r="J526" s="85"/>
      <c r="K526" s="85"/>
      <c r="L526" s="85"/>
      <c r="M526" s="85" t="str">
        <f>IFERROR(__xludf.DUMMYFUNCTION("""COMPUTED_VALUE"""),"ü")</f>
        <v>ü</v>
      </c>
      <c r="N526" s="85"/>
      <c r="O526" s="85"/>
      <c r="P526" s="85" t="str">
        <f>IFERROR(__xludf.DUMMYFUNCTION("""COMPUTED_VALUE"""),"MUCSPA63161PSIND")</f>
        <v>MUCSPA63161PSIND</v>
      </c>
      <c r="Q526" s="85" t="str">
        <f>IFERROR(__xludf.DUMMYFUNCTION("""COMPUTED_VALUE"""),"MUC SETIA BERSAMA")</f>
        <v>MUC SETIA BERSAMA</v>
      </c>
      <c r="R526" s="85" t="str">
        <f>IFERROR(__xludf.DUMMYFUNCTION("""COMPUTED_VALUE"""),"MUC SETIA BERSAMA")</f>
        <v>MUC SETIA BERSAMA</v>
      </c>
      <c r="S526" s="85" t="str">
        <f>IFERROR(__xludf.DUMMYFUNCTION("""COMPUTED_VALUE"""),"MUHAMMAD TAUFAN")</f>
        <v>MUHAMMAD TAUFAN</v>
      </c>
      <c r="T526" s="85" t="str">
        <f>IFERROR(__xludf.DUMMYFUNCTION("""COMPUTED_VALUE"""),"PERUM KALIDONAN JL. MUARA DONAN NO. 36 RT 004 RW 003 KEBON MASIN CILACAP")</f>
        <v>PERUM KALIDONAN JL. MUARA DONAN NO. 36 RT 004 RW 003 KEBON MASIN CILACAP</v>
      </c>
      <c r="U526" s="85" t="str">
        <f>IFERROR(__xludf.DUMMYFUNCTION("""COMPUTED_VALUE"""),"JL. NASIONAL NO. 6 CIDUNGAN RT 002 RW 005")</f>
        <v>JL. NASIONAL NO. 6 CIDUNGAN RT 002 RW 005</v>
      </c>
      <c r="V526" s="85"/>
      <c r="W526" s="85" t="str">
        <f>IFERROR(__xludf.DUMMYFUNCTION("""COMPUTED_VALUE"""),"JERUKLEGI WETAN")</f>
        <v>JERUKLEGI WETAN</v>
      </c>
      <c r="X526" s="85" t="str">
        <f>IFERROR(__xludf.DUMMYFUNCTION("""COMPUTED_VALUE"""),"JERUKLEGI")</f>
        <v>JERUKLEGI</v>
      </c>
      <c r="Y526" s="85" t="str">
        <f>IFERROR(__xludf.DUMMYFUNCTION("""COMPUTED_VALUE"""),"KAB. CILACAP")</f>
        <v>KAB. CILACAP</v>
      </c>
      <c r="Z526" s="85" t="str">
        <f>IFERROR(__xludf.DUMMYFUNCTION("""COMPUTED_VALUE"""),"JAWA TENGAH")</f>
        <v>JAWA TENGAH</v>
      </c>
      <c r="AA526" s="85" t="str">
        <f>IFERROR(__xludf.DUMMYFUNCTION("""COMPUTED_VALUE"""),"53252")</f>
        <v>53252</v>
      </c>
      <c r="AB526" s="85" t="str">
        <f>IFERROR(__xludf.DUMMYFUNCTION("""COMPUTED_VALUE"""),"3301231607660003")</f>
        <v>3301231607660003</v>
      </c>
      <c r="AC526" s="85" t="str">
        <f>IFERROR(__xludf.DUMMYFUNCTION("""COMPUTED_VALUE"""),"57.069.352.3-522.000")</f>
        <v>57.069.352.3-522.000</v>
      </c>
      <c r="AD526" s="85" t="str">
        <f>IFERROR(__xludf.DUMMYFUNCTION("""COMPUTED_VALUE"""),"CUM - PS - NVWT")</f>
        <v>CUM - PS - NVWT</v>
      </c>
      <c r="AE526" s="85" t="str">
        <f>IFERROR(__xludf.DUMMYFUNCTION("""COMPUTED_VALUE"""),"SUB NOVY POS")</f>
        <v>SUB NOVY POS</v>
      </c>
      <c r="AF526" s="85" t="str">
        <f>IFERROR(__xludf.DUMMYFUNCTION("""COMPUTED_VALUE"""),"08123636037")</f>
        <v>08123636037</v>
      </c>
      <c r="AG526" s="85"/>
      <c r="AH526" s="85"/>
      <c r="AI526" s="85" t="str">
        <f>IFERROR(__xludf.DUMMYFUNCTION("""COMPUTED_VALUE"""),"53252S3")</f>
        <v>53252S3</v>
      </c>
      <c r="AJ526" s="85" t="str">
        <f>IFERROR(__xludf.DUMMYFUNCTION("""COMPUTED_VALUE"""),"686b45c0c4891093530306bd")</f>
        <v>686b45c0c4891093530306bd</v>
      </c>
      <c r="AK526" s="85" t="str">
        <f>IFERROR(__xludf.DUMMYFUNCTION("""COMPUTED_VALUE"""),"dm53252s3")</f>
        <v>dm53252s3</v>
      </c>
      <c r="AL526" s="85" t="str">
        <f>IFERROR(__xludf.DUMMYFUNCTION("""COMPUTED_VALUE"""),"#53252Pos")</f>
        <v>#53252Pos</v>
      </c>
      <c r="AM526" s="85" t="str">
        <f>IFERROR(__xludf.DUMMYFUNCTION("""COMPUTED_VALUE"""),"KANTOR REGIONAL IV SEMARANG 50004")</f>
        <v>KANTOR REGIONAL IV SEMARANG 50004</v>
      </c>
      <c r="AN526" s="85" t="str">
        <f>IFERROR(__xludf.DUMMYFUNCTION("""COMPUTED_VALUE"""),"KC CILACAP ")</f>
        <v>KC CILACAP </v>
      </c>
      <c r="AO526" s="85" t="str">
        <f>IFERROR(__xludf.DUMMYFUNCTION("""COMPUTED_VALUE"""),"2006250102476")</f>
        <v>2006250102476</v>
      </c>
      <c r="AP526" s="85" t="str">
        <f>IFERROR(__xludf.DUMMYFUNCTION("""COMPUTED_VALUE"""),"20062501024760001")</f>
        <v>20062501024760001</v>
      </c>
      <c r="AQ526" s="93"/>
      <c r="AR526" s="85"/>
      <c r="AS526" s="85"/>
      <c r="AT526" s="85" t="str">
        <f>IFERROR(__xludf.DUMMYFUNCTION("""COMPUTED_VALUE"""),"-7.6154716")</f>
        <v>-7.6154716</v>
      </c>
      <c r="AU526" s="85" t="str">
        <f>IFERROR(__xludf.DUMMYFUNCTION("""COMPUTED_VALUE"""),"109.0203263")</f>
        <v>109.0203263</v>
      </c>
      <c r="AV526" s="85"/>
      <c r="AW526" s="85"/>
      <c r="AX526" s="85"/>
      <c r="AY526" s="85"/>
      <c r="AZ526" s="85"/>
      <c r="BA526" s="85"/>
      <c r="BB526" s="85"/>
      <c r="BC526" s="85"/>
      <c r="BD526" s="85"/>
      <c r="BE526" s="85"/>
      <c r="BF526" s="85"/>
      <c r="BG526" s="85"/>
      <c r="BH526" s="85"/>
      <c r="BI526" s="85"/>
      <c r="BJ526" s="85"/>
      <c r="BK526" s="85"/>
      <c r="BL526" s="85"/>
      <c r="BM526" s="85"/>
      <c r="BN526" s="85"/>
      <c r="BO526" s="85"/>
      <c r="BP526" s="85"/>
      <c r="BQ526" s="85"/>
      <c r="BR526" s="85"/>
      <c r="BS526" s="85"/>
      <c r="BT526" s="85"/>
      <c r="BU526" s="85"/>
      <c r="BV526" s="85"/>
      <c r="BW526" s="85"/>
      <c r="BX526" s="85" t="str">
        <f>IFERROR(__xludf.DUMMYFUNCTION("""COMPUTED_VALUE"""),"NEWBIE")</f>
        <v>NEWBIE</v>
      </c>
      <c r="BY526" s="85"/>
      <c r="BZ526" s="85"/>
      <c r="CA526" s="85"/>
      <c r="CB526" s="85"/>
      <c r="CC526" s="85"/>
      <c r="CD526" s="85"/>
      <c r="CE526" s="85"/>
      <c r="CF526" s="85"/>
      <c r="CG526" s="85"/>
      <c r="CH526" s="85"/>
      <c r="CI526" s="85"/>
      <c r="CJ526" s="85"/>
      <c r="CK526" s="2"/>
    </row>
    <row r="527" ht="12.75" customHeight="1">
      <c r="A527" s="80">
        <f>IFERROR(__xludf.DUMMYFUNCTION("""COMPUTED_VALUE"""),524.0)</f>
        <v>524</v>
      </c>
      <c r="B527" s="80"/>
      <c r="C527" s="80"/>
      <c r="D527" s="81">
        <f>IFERROR(__xludf.DUMMYFUNCTION("""COMPUTED_VALUE"""),45828.0)</f>
        <v>45828</v>
      </c>
      <c r="E527" s="82"/>
      <c r="F527" s="80"/>
      <c r="G527" s="81">
        <f>IFERROR(__xludf.DUMMYFUNCTION("""COMPUTED_VALUE"""),45828.0)</f>
        <v>45828</v>
      </c>
      <c r="H527" s="80"/>
      <c r="I527" s="80"/>
      <c r="J527" s="80"/>
      <c r="K527" s="80"/>
      <c r="L527" s="80">
        <f>IFERROR(__xludf.DUMMYFUNCTION("""COMPUTED_VALUE"""),0.0)</f>
        <v>0</v>
      </c>
      <c r="M527" s="80" t="str">
        <f>IFERROR(__xludf.DUMMYFUNCTION("""COMPUTED_VALUE"""),"ü")</f>
        <v>ü</v>
      </c>
      <c r="N527" s="80"/>
      <c r="O527" s="80"/>
      <c r="P527" s="80" t="str">
        <f>IFERROR(__xludf.DUMMYFUNCTION("""COMPUTED_VALUE"""),"MUCSPA63162PSIND")</f>
        <v>MUCSPA63162PSIND</v>
      </c>
      <c r="Q527" s="80" t="str">
        <f>IFERROR(__xludf.DUMMYFUNCTION("""COMPUTED_VALUE"""),"MUC ALLINDA FOTOCOPY")</f>
        <v>MUC ALLINDA FOTOCOPY</v>
      </c>
      <c r="R527" s="80" t="str">
        <f>IFERROR(__xludf.DUMMYFUNCTION("""COMPUTED_VALUE"""),"MUC ALLINDA FOTOCOPY")</f>
        <v>MUC ALLINDA FOTOCOPY</v>
      </c>
      <c r="S527" s="80" t="str">
        <f>IFERROR(__xludf.DUMMYFUNCTION("""COMPUTED_VALUE"""),"ARIF ALIN SAPUTRA")</f>
        <v>ARIF ALIN SAPUTRA</v>
      </c>
      <c r="T527" s="80" t="str">
        <f>IFERROR(__xludf.DUMMYFUNCTION("""COMPUTED_VALUE"""),"PERUM DUTA MEKAR ASRI BLOK R.5A NO.08 RT.003 RW.018")</f>
        <v>PERUM DUTA MEKAR ASRI BLOK R.5A NO.08 RT.003 RW.018</v>
      </c>
      <c r="U527" s="80" t="str">
        <f>IFERROR(__xludf.DUMMYFUNCTION("""COMPUTED_VALUE"""),"Ruko Permata Cibubur blok B4 No 8")</f>
        <v>Ruko Permata Cibubur blok B4 No 8</v>
      </c>
      <c r="V527" s="80"/>
      <c r="W527" s="80" t="str">
        <f>IFERROR(__xludf.DUMMYFUNCTION("""COMPUTED_VALUE"""),"Cileungsi Kidul")</f>
        <v>Cileungsi Kidul</v>
      </c>
      <c r="X527" s="80" t="str">
        <f>IFERROR(__xludf.DUMMYFUNCTION("""COMPUTED_VALUE"""),"Cileungsi")</f>
        <v>Cileungsi</v>
      </c>
      <c r="Y527" s="80" t="str">
        <f>IFERROR(__xludf.DUMMYFUNCTION("""COMPUTED_VALUE"""),"Kab. Bogor")</f>
        <v>Kab. Bogor</v>
      </c>
      <c r="Z527" s="80" t="str">
        <f>IFERROR(__xludf.DUMMYFUNCTION("""COMPUTED_VALUE"""),"Jawa Barat")</f>
        <v>Jawa Barat</v>
      </c>
      <c r="AA527" s="80" t="str">
        <f>IFERROR(__xludf.DUMMYFUNCTION("""COMPUTED_VALUE"""),"16820")</f>
        <v>16820</v>
      </c>
      <c r="AB527" s="80" t="str">
        <f>IFERROR(__xludf.DUMMYFUNCTION("""COMPUTED_VALUE"""),"3201021509900006")</f>
        <v>3201021509900006</v>
      </c>
      <c r="AC527" s="80" t="str">
        <f>IFERROR(__xludf.DUMMYFUNCTION("""COMPUTED_VALUE"""),"80.472.140.5-403.000")</f>
        <v>80.472.140.5-403.000</v>
      </c>
      <c r="AD527" s="80" t="str">
        <f>IFERROR(__xludf.DUMMYFUNCTION("""COMPUTED_VALUE"""),"CUM - PS - NITA")</f>
        <v>CUM - PS - NITA</v>
      </c>
      <c r="AE527" s="80" t="str">
        <f>IFERROR(__xludf.DUMMYFUNCTION("""COMPUTED_VALUE"""),"SUB NITA POS")</f>
        <v>SUB NITA POS</v>
      </c>
      <c r="AF527" s="80" t="str">
        <f>IFERROR(__xludf.DUMMYFUNCTION("""COMPUTED_VALUE"""),"081228200987")</f>
        <v>081228200987</v>
      </c>
      <c r="AG527" s="80"/>
      <c r="AH527" s="80" t="str">
        <f>IFERROR(__xludf.DUMMYFUNCTION("""COMPUTED_VALUE"""),"alindafotocopy@gmail.com")</f>
        <v>alindafotocopy@gmail.com</v>
      </c>
      <c r="AI527" s="80"/>
      <c r="AJ527" s="80"/>
      <c r="AK527" s="80"/>
      <c r="AL527" s="80"/>
      <c r="AM527" s="80" t="str">
        <f>IFERROR(__xludf.DUMMYFUNCTION("""COMPUTED_VALUE"""),"KANTOR REGIONAL II JAKARTA 10004")</f>
        <v>KANTOR REGIONAL II JAKARTA 10004</v>
      </c>
      <c r="AN527" s="80" t="str">
        <f>IFERROR(__xludf.DUMMYFUNCTION("""COMPUTED_VALUE"""),"KC CIBINONG")</f>
        <v>KC CIBINONG</v>
      </c>
      <c r="AO527" s="80" t="str">
        <f>IFERROR(__xludf.DUMMYFUNCTION("""COMPUTED_VALUE"""),"-")</f>
        <v>-</v>
      </c>
      <c r="AP527" s="80" t="str">
        <f>IFERROR(__xludf.DUMMYFUNCTION("""COMPUTED_VALUE"""),"-")</f>
        <v>-</v>
      </c>
      <c r="AQ527" s="83"/>
      <c r="AR527" s="80"/>
      <c r="AS527" s="80"/>
      <c r="AT527" s="80" t="str">
        <f>IFERROR(__xludf.DUMMYFUNCTION("""COMPUTED_VALUE"""),"-6.413914")</f>
        <v>-6.413914</v>
      </c>
      <c r="AU527" s="80" t="str">
        <f>IFERROR(__xludf.DUMMYFUNCTION("""COMPUTED_VALUE"""),"106.965146")</f>
        <v>106.965146</v>
      </c>
      <c r="AV527" s="80"/>
      <c r="AW527" s="80"/>
      <c r="AX527" s="80"/>
      <c r="AY527" s="80"/>
      <c r="AZ527" s="80"/>
      <c r="BA527" s="80"/>
      <c r="BB527" s="80"/>
      <c r="BC527" s="80"/>
      <c r="BD527" s="80"/>
      <c r="BE527" s="80"/>
      <c r="BF527" s="80"/>
      <c r="BG527" s="80"/>
      <c r="BH527" s="80"/>
      <c r="BI527" s="80"/>
      <c r="BJ527" s="80"/>
      <c r="BK527" s="80"/>
      <c r="BL527" s="80"/>
      <c r="BM527" s="80"/>
      <c r="BN527" s="80"/>
      <c r="BO527" s="80"/>
      <c r="BP527" s="80"/>
      <c r="BQ527" s="80"/>
      <c r="BR527" s="80"/>
      <c r="BS527" s="80"/>
      <c r="BT527" s="80"/>
      <c r="BU527" s="80"/>
      <c r="BV527" s="80"/>
      <c r="BW527" s="80"/>
      <c r="BX527" s="80" t="str">
        <f>IFERROR(__xludf.DUMMYFUNCTION("""COMPUTED_VALUE"""),"NEWBIE FOTOCOPY")</f>
        <v>NEWBIE FOTOCOPY</v>
      </c>
      <c r="BY527" s="80"/>
      <c r="BZ527" s="80"/>
      <c r="CA527" s="80"/>
      <c r="CB527" s="80"/>
      <c r="CC527" s="80"/>
      <c r="CD527" s="80"/>
      <c r="CE527" s="80"/>
      <c r="CF527" s="80"/>
      <c r="CG527" s="80"/>
      <c r="CH527" s="80"/>
      <c r="CI527" s="80"/>
      <c r="CJ527" s="80"/>
      <c r="CK527" s="2"/>
    </row>
    <row r="528" ht="12.75" customHeight="1">
      <c r="A528" s="85">
        <f>IFERROR(__xludf.DUMMYFUNCTION("""COMPUTED_VALUE"""),525.0)</f>
        <v>525</v>
      </c>
      <c r="B528" s="85"/>
      <c r="C528" s="85"/>
      <c r="D528" s="86">
        <f>IFERROR(__xludf.DUMMYFUNCTION("""COMPUTED_VALUE"""),45831.0)</f>
        <v>45831</v>
      </c>
      <c r="E528" s="88"/>
      <c r="F528" s="85"/>
      <c r="G528" s="86">
        <f>IFERROR(__xludf.DUMMYFUNCTION("""COMPUTED_VALUE"""),45831.0)</f>
        <v>45831</v>
      </c>
      <c r="H528" s="85"/>
      <c r="I528" s="85"/>
      <c r="J528" s="85"/>
      <c r="K528" s="85"/>
      <c r="L528" s="85">
        <f>IFERROR(__xludf.DUMMYFUNCTION("""COMPUTED_VALUE"""),0.0)</f>
        <v>0</v>
      </c>
      <c r="M528" s="85"/>
      <c r="N528" s="85" t="str">
        <f>IFERROR(__xludf.DUMMYFUNCTION("""COMPUTED_VALUE"""),"ü")</f>
        <v>ü</v>
      </c>
      <c r="O528" s="85"/>
      <c r="P528" s="85" t="str">
        <f>IFERROR(__xludf.DUMMYFUNCTION("""COMPUTED_VALUE"""),"MUCSPA63163PSIND")</f>
        <v>MUCSPA63163PSIND</v>
      </c>
      <c r="Q528" s="85" t="str">
        <f>IFERROR(__xludf.DUMMYFUNCTION("""COMPUTED_VALUE"""),"MUC KDMP CILEUNYI WETAN")</f>
        <v>MUC KDMP CILEUNYI WETAN</v>
      </c>
      <c r="R528" s="85" t="str">
        <f>IFERROR(__xludf.DUMMYFUNCTION("""COMPUTED_VALUE"""),"MUC KDMP CILEUNYI WETAN")</f>
        <v>MUC KDMP CILEUNYI WETAN</v>
      </c>
      <c r="S528" s="85" t="str">
        <f>IFERROR(__xludf.DUMMYFUNCTION("""COMPUTED_VALUE"""),"RISMA ANGGRAENI")</f>
        <v>RISMA ANGGRAENI</v>
      </c>
      <c r="T528" s="85" t="str">
        <f>IFERROR(__xludf.DUMMYFUNCTION("""COMPUTED_VALUE"""),"KP. ANDIR RT 001 RW 016 KEL. CILEUNYI WETAN KEC. CILEUNYI KAB. BANDUNG")</f>
        <v>KP. ANDIR RT 001 RW 016 KEL. CILEUNYI WETAN KEC. CILEUNYI KAB. BANDUNG</v>
      </c>
      <c r="U528" s="85" t="str">
        <f>IFERROR(__xludf.DUMMYFUNCTION("""COMPUTED_VALUE"""),"JL. RAYA CILEUNYI WETAN")</f>
        <v>JL. RAYA CILEUNYI WETAN</v>
      </c>
      <c r="V528" s="85"/>
      <c r="W528" s="85" t="str">
        <f>IFERROR(__xludf.DUMMYFUNCTION("""COMPUTED_VALUE"""),"CILEUNYI WETAN")</f>
        <v>CILEUNYI WETAN</v>
      </c>
      <c r="X528" s="85" t="str">
        <f>IFERROR(__xludf.DUMMYFUNCTION("""COMPUTED_VALUE"""),"CILEUNYI")</f>
        <v>CILEUNYI</v>
      </c>
      <c r="Y528" s="85" t="str">
        <f>IFERROR(__xludf.DUMMYFUNCTION("""COMPUTED_VALUE"""),"KAB. BANDUNG")</f>
        <v>KAB. BANDUNG</v>
      </c>
      <c r="Z528" s="85" t="str">
        <f>IFERROR(__xludf.DUMMYFUNCTION("""COMPUTED_VALUE"""),"JAWA BARAT")</f>
        <v>JAWA BARAT</v>
      </c>
      <c r="AA528" s="85" t="str">
        <f>IFERROR(__xludf.DUMMYFUNCTION("""COMPUTED_VALUE"""),"40622")</f>
        <v>40622</v>
      </c>
      <c r="AB528" s="85" t="str">
        <f>IFERROR(__xludf.DUMMYFUNCTION("""COMPUTED_VALUE"""),"3204055204950004")</f>
        <v>3204055204950004</v>
      </c>
      <c r="AC528" s="85" t="str">
        <f>IFERROR(__xludf.DUMMYFUNCTION("""COMPUTED_VALUE"""),"39.394.012.7-444.000")</f>
        <v>39.394.012.7-444.000</v>
      </c>
      <c r="AD528" s="85" t="str">
        <f>IFERROR(__xludf.DUMMYFUNCTION("""COMPUTED_VALUE"""),"CUM - PS - THI")</f>
        <v>CUM - PS - THI</v>
      </c>
      <c r="AE528" s="85" t="str">
        <f>IFERROR(__xludf.DUMMYFUNCTION("""COMPUTED_VALUE"""),"SUB THIO POS")</f>
        <v>SUB THIO POS</v>
      </c>
      <c r="AF528" s="85" t="str">
        <f>IFERROR(__xludf.DUMMYFUNCTION("""COMPUTED_VALUE"""),"081321420052")</f>
        <v>081321420052</v>
      </c>
      <c r="AG528" s="85"/>
      <c r="AH528" s="85" t="str">
        <f>IFERROR(__xludf.DUMMYFUNCTION("""COMPUTED_VALUE"""),"dedinurendi42@gmail.com")</f>
        <v>dedinurendi42@gmail.com</v>
      </c>
      <c r="AI528" s="85" t="str">
        <f>IFERROR(__xludf.DUMMYFUNCTION("""COMPUTED_VALUE"""),"40393SB")</f>
        <v>40393SB</v>
      </c>
      <c r="AJ528" s="85" t="str">
        <f>IFERROR(__xludf.DUMMYFUNCTION("""COMPUTED_VALUE"""),"6858da420ddb55ca2a07c1ca")</f>
        <v>6858da420ddb55ca2a07c1ca</v>
      </c>
      <c r="AK528" s="85" t="str">
        <f>IFERROR(__xludf.DUMMYFUNCTION("""COMPUTED_VALUE"""),"dm40393sb")</f>
        <v>dm40393sb</v>
      </c>
      <c r="AL528" s="85" t="str">
        <f>IFERROR(__xludf.DUMMYFUNCTION("""COMPUTED_VALUE"""),"#40393Pos")</f>
        <v>#40393Pos</v>
      </c>
      <c r="AM528" s="85" t="str">
        <f>IFERROR(__xludf.DUMMYFUNCTION("""COMPUTED_VALUE"""),"KANTOR REGIONAL III BANDUNG 40004")</f>
        <v>KANTOR REGIONAL III BANDUNG 40004</v>
      </c>
      <c r="AN528" s="85" t="str">
        <f>IFERROR(__xludf.DUMMYFUNCTION("""COMPUTED_VALUE"""),"KC UJUNGBERUNG ")</f>
        <v>KC UJUNGBERUNG </v>
      </c>
      <c r="AO528" s="85" t="str">
        <f>IFERROR(__xludf.DUMMYFUNCTION("""COMPUTED_VALUE"""),"2306250016935")</f>
        <v>2306250016935</v>
      </c>
      <c r="AP528" s="85" t="str">
        <f>IFERROR(__xludf.DUMMYFUNCTION("""COMPUTED_VALUE"""),"23062500169350001")</f>
        <v>23062500169350001</v>
      </c>
      <c r="AQ528" s="93"/>
      <c r="AR528" s="85"/>
      <c r="AS528" s="85"/>
      <c r="AT528" s="85" t="str">
        <f>IFERROR(__xludf.DUMMYFUNCTION("""COMPUTED_VALUE"""),"-6.9381234")</f>
        <v>-6.9381234</v>
      </c>
      <c r="AU528" s="85" t="str">
        <f>IFERROR(__xludf.DUMMYFUNCTION("""COMPUTED_VALUE"""),"107.7552952")</f>
        <v>107.7552952</v>
      </c>
      <c r="AV528" s="85"/>
      <c r="AW528" s="85"/>
      <c r="AX528" s="85"/>
      <c r="AY528" s="85"/>
      <c r="AZ528" s="85"/>
      <c r="BA528" s="85"/>
      <c r="BB528" s="85"/>
      <c r="BC528" s="85"/>
      <c r="BD528" s="85"/>
      <c r="BE528" s="85"/>
      <c r="BF528" s="85"/>
      <c r="BG528" s="85"/>
      <c r="BH528" s="85"/>
      <c r="BI528" s="85"/>
      <c r="BJ528" s="85"/>
      <c r="BK528" s="85"/>
      <c r="BL528" s="85"/>
      <c r="BM528" s="85"/>
      <c r="BN528" s="85"/>
      <c r="BO528" s="85"/>
      <c r="BP528" s="85"/>
      <c r="BQ528" s="85"/>
      <c r="BR528" s="85"/>
      <c r="BS528" s="85"/>
      <c r="BT528" s="85"/>
      <c r="BU528" s="85"/>
      <c r="BV528" s="85"/>
      <c r="BW528" s="85"/>
      <c r="BX528" s="85" t="str">
        <f>IFERROR(__xludf.DUMMYFUNCTION("""COMPUTED_VALUE"""),"NEWBIE KDMP")</f>
        <v>NEWBIE KDMP</v>
      </c>
      <c r="BY528" s="85"/>
      <c r="BZ528" s="85"/>
      <c r="CA528" s="85"/>
      <c r="CB528" s="85"/>
      <c r="CC528" s="85"/>
      <c r="CD528" s="85"/>
      <c r="CE528" s="85"/>
      <c r="CF528" s="85"/>
      <c r="CG528" s="85"/>
      <c r="CH528" s="85"/>
      <c r="CI528" s="85"/>
      <c r="CJ528" s="85"/>
      <c r="CK528" s="2"/>
    </row>
    <row r="529" ht="12.75" customHeight="1">
      <c r="A529" s="80">
        <f>IFERROR(__xludf.DUMMYFUNCTION("""COMPUTED_VALUE"""),526.0)</f>
        <v>526</v>
      </c>
      <c r="B529" s="80"/>
      <c r="C529" s="80"/>
      <c r="D529" s="81">
        <f>IFERROR(__xludf.DUMMYFUNCTION("""COMPUTED_VALUE"""),45831.0)</f>
        <v>45831</v>
      </c>
      <c r="E529" s="82"/>
      <c r="F529" s="80"/>
      <c r="G529" s="81"/>
      <c r="H529" s="80"/>
      <c r="I529" s="80"/>
      <c r="J529" s="80"/>
      <c r="K529" s="80"/>
      <c r="L529" s="80"/>
      <c r="M529" s="80"/>
      <c r="N529" s="80" t="str">
        <f>IFERROR(__xludf.DUMMYFUNCTION("""COMPUTED_VALUE"""),"ü")</f>
        <v>ü</v>
      </c>
      <c r="O529" s="80"/>
      <c r="P529" s="80" t="str">
        <f>IFERROR(__xludf.DUMMYFUNCTION("""COMPUTED_VALUE"""),"MUCSPA63164PSIND")</f>
        <v>MUCSPA63164PSIND</v>
      </c>
      <c r="Q529" s="80" t="str">
        <f>IFERROR(__xludf.DUMMYFUNCTION("""COMPUTED_VALUE"""),"MUC AMANAH POST")</f>
        <v>MUC AMANAH POST</v>
      </c>
      <c r="R529" s="80" t="str">
        <f>IFERROR(__xludf.DUMMYFUNCTION("""COMPUTED_VALUE"""),"MUC AMANAH POST")</f>
        <v>MUC AMANAH POST</v>
      </c>
      <c r="S529" s="80" t="str">
        <f>IFERROR(__xludf.DUMMYFUNCTION("""COMPUTED_VALUE"""),"NGADIRIN")</f>
        <v>NGADIRIN</v>
      </c>
      <c r="T529" s="80" t="str">
        <f>IFERROR(__xludf.DUMMYFUNCTION("""COMPUTED_VALUE"""),"BREGAN RT 003 MULYODADI BAMBANGLIPURO BANTUL ")</f>
        <v>BREGAN RT 003 MULYODADI BAMBANGLIPURO BANTUL </v>
      </c>
      <c r="U529" s="80" t="str">
        <f>IFERROR(__xludf.DUMMYFUNCTION("""COMPUTED_VALUE"""),"BREGAN RT 003")</f>
        <v>BREGAN RT 003</v>
      </c>
      <c r="V529" s="80"/>
      <c r="W529" s="80" t="str">
        <f>IFERROR(__xludf.DUMMYFUNCTION("""COMPUTED_VALUE"""),"MULYODADI")</f>
        <v>MULYODADI</v>
      </c>
      <c r="X529" s="80" t="str">
        <f>IFERROR(__xludf.DUMMYFUNCTION("""COMPUTED_VALUE"""),"BAMBANGLIPURO ")</f>
        <v>BAMBANGLIPURO </v>
      </c>
      <c r="Y529" s="80" t="str">
        <f>IFERROR(__xludf.DUMMYFUNCTION("""COMPUTED_VALUE"""),"KAB. BANTUL")</f>
        <v>KAB. BANTUL</v>
      </c>
      <c r="Z529" s="80" t="str">
        <f>IFERROR(__xludf.DUMMYFUNCTION("""COMPUTED_VALUE"""),"D I Yogyakarta")</f>
        <v>D I Yogyakarta</v>
      </c>
      <c r="AA529" s="80" t="str">
        <f>IFERROR(__xludf.DUMMYFUNCTION("""COMPUTED_VALUE"""),"55764")</f>
        <v>55764</v>
      </c>
      <c r="AB529" s="80" t="str">
        <f>IFERROR(__xludf.DUMMYFUNCTION("""COMPUTED_VALUE"""),"3402051206550001")</f>
        <v>3402051206550001</v>
      </c>
      <c r="AC529" s="80" t="str">
        <f>IFERROR(__xludf.DUMMYFUNCTION("""COMPUTED_VALUE"""),"49.479.752.5-543.000")</f>
        <v>49.479.752.5-543.000</v>
      </c>
      <c r="AD529" s="80" t="str">
        <f>IFERROR(__xludf.DUMMYFUNCTION("""COMPUTED_VALUE"""),"CUM - PS - NONKORGEN")</f>
        <v>CUM - PS - NONKORGEN</v>
      </c>
      <c r="AE529" s="80" t="str">
        <f>IFERROR(__xludf.DUMMYFUNCTION("""COMPUTED_VALUE"""),"BU WHESTRY NON KORGEN")</f>
        <v>BU WHESTRY NON KORGEN</v>
      </c>
      <c r="AF529" s="80" t="str">
        <f>IFERROR(__xludf.DUMMYFUNCTION("""COMPUTED_VALUE"""),"088225165349")</f>
        <v>088225165349</v>
      </c>
      <c r="AG529" s="80"/>
      <c r="AH529" s="80" t="str">
        <f>IFERROR(__xludf.DUMMYFUNCTION("""COMPUTED_VALUE"""),"heritrimaryanto26@gmail.com")</f>
        <v>heritrimaryanto26@gmail.com</v>
      </c>
      <c r="AI529" s="80" t="str">
        <f>IFERROR(__xludf.DUMMYFUNCTION("""COMPUTED_VALUE"""),"55764S4")</f>
        <v>55764S4</v>
      </c>
      <c r="AJ529" s="80" t="str">
        <f>IFERROR(__xludf.DUMMYFUNCTION("""COMPUTED_VALUE"""),"68678b099f384070f10e3846")</f>
        <v>68678b099f384070f10e3846</v>
      </c>
      <c r="AK529" s="80" t="str">
        <f>IFERROR(__xludf.DUMMYFUNCTION("""COMPUTED_VALUE"""),"dm55764s4")</f>
        <v>dm55764s4</v>
      </c>
      <c r="AL529" s="80" t="str">
        <f>IFERROR(__xludf.DUMMYFUNCTION("""COMPUTED_VALUE"""),"#55764Pos")</f>
        <v>#55764Pos</v>
      </c>
      <c r="AM529" s="80" t="str">
        <f>IFERROR(__xludf.DUMMYFUNCTION("""COMPUTED_VALUE"""),"KANTOR REGIONAL IV SEMARANG 50004")</f>
        <v>KANTOR REGIONAL IV SEMARANG 50004</v>
      </c>
      <c r="AN529" s="80" t="str">
        <f>IFERROR(__xludf.DUMMYFUNCTION("""COMPUTED_VALUE"""),"KC BANTUL 55700")</f>
        <v>KC BANTUL 55700</v>
      </c>
      <c r="AO529" s="80" t="str">
        <f>IFERROR(__xludf.DUMMYFUNCTION("""COMPUTED_VALUE"""),"2306250062554")</f>
        <v>2306250062554</v>
      </c>
      <c r="AP529" s="80" t="str">
        <f>IFERROR(__xludf.DUMMYFUNCTION("""COMPUTED_VALUE"""),"23062500625540001")</f>
        <v>23062500625540001</v>
      </c>
      <c r="AQ529" s="83"/>
      <c r="AR529" s="80"/>
      <c r="AS529" s="80"/>
      <c r="AT529" s="80" t="str">
        <f>IFERROR(__xludf.DUMMYFUNCTION("""COMPUTED_VALUE"""),"-7.9438636")</f>
        <v>-7.9438636</v>
      </c>
      <c r="AU529" s="80" t="str">
        <f>IFERROR(__xludf.DUMMYFUNCTION("""COMPUTED_VALUE"""),"110.3145846")</f>
        <v>110.3145846</v>
      </c>
      <c r="AV529" s="80"/>
      <c r="AW529" s="80"/>
      <c r="AX529" s="80"/>
      <c r="AY529" s="80"/>
      <c r="AZ529" s="80"/>
      <c r="BA529" s="80"/>
      <c r="BB529" s="80"/>
      <c r="BC529" s="80"/>
      <c r="BD529" s="80"/>
      <c r="BE529" s="80"/>
      <c r="BF529" s="80"/>
      <c r="BG529" s="80"/>
      <c r="BH529" s="80"/>
      <c r="BI529" s="80"/>
      <c r="BJ529" s="80"/>
      <c r="BK529" s="80"/>
      <c r="BL529" s="80"/>
      <c r="BM529" s="80"/>
      <c r="BN529" s="80"/>
      <c r="BO529" s="80"/>
      <c r="BP529" s="80"/>
      <c r="BQ529" s="80"/>
      <c r="BR529" s="80"/>
      <c r="BS529" s="80"/>
      <c r="BT529" s="80"/>
      <c r="BU529" s="80"/>
      <c r="BV529" s="80"/>
      <c r="BW529" s="80"/>
      <c r="BX529" s="80" t="str">
        <f>IFERROR(__xludf.DUMMYFUNCTION("""COMPUTED_VALUE"""),"NEWBIE")</f>
        <v>NEWBIE</v>
      </c>
      <c r="BY529" s="80"/>
      <c r="BZ529" s="80"/>
      <c r="CA529" s="80"/>
      <c r="CB529" s="80"/>
      <c r="CC529" s="80"/>
      <c r="CD529" s="80"/>
      <c r="CE529" s="80"/>
      <c r="CF529" s="80"/>
      <c r="CG529" s="80"/>
      <c r="CH529" s="80"/>
      <c r="CI529" s="80"/>
      <c r="CJ529" s="80"/>
      <c r="CK529" s="2"/>
    </row>
    <row r="530" ht="12.75" customHeight="1">
      <c r="A530" s="85">
        <f>IFERROR(__xludf.DUMMYFUNCTION("""COMPUTED_VALUE"""),527.0)</f>
        <v>527</v>
      </c>
      <c r="B530" s="85"/>
      <c r="C530" s="85"/>
      <c r="D530" s="86">
        <f>IFERROR(__xludf.DUMMYFUNCTION("""COMPUTED_VALUE"""),45831.0)</f>
        <v>45831</v>
      </c>
      <c r="E530" s="88"/>
      <c r="F530" s="85"/>
      <c r="G530" s="86">
        <f>IFERROR(__xludf.DUMMYFUNCTION("""COMPUTED_VALUE"""),45838.0)</f>
        <v>45838</v>
      </c>
      <c r="H530" s="85"/>
      <c r="I530" s="85"/>
      <c r="J530" s="85"/>
      <c r="K530" s="85"/>
      <c r="L530" s="85">
        <f>IFERROR(__xludf.DUMMYFUNCTION("""COMPUTED_VALUE"""),7.0)</f>
        <v>7</v>
      </c>
      <c r="M530" s="85" t="str">
        <f>IFERROR(__xludf.DUMMYFUNCTION("""COMPUTED_VALUE"""),"ü")</f>
        <v>ü</v>
      </c>
      <c r="N530" s="85"/>
      <c r="O530" s="85"/>
      <c r="P530" s="85" t="str">
        <f>IFERROR(__xludf.DUMMYFUNCTION("""COMPUTED_VALUE"""),"MUCSPA63165PSIND")</f>
        <v>MUCSPA63165PSIND</v>
      </c>
      <c r="Q530" s="85" t="str">
        <f>IFERROR(__xludf.DUMMYFUNCTION("""COMPUTED_VALUE"""),"MUC MARIGOLD")</f>
        <v>MUC MARIGOLD</v>
      </c>
      <c r="R530" s="85" t="str">
        <f>IFERROR(__xludf.DUMMYFUNCTION("""COMPUTED_VALUE"""),"MUC MARIGOLD")</f>
        <v>MUC MARIGOLD</v>
      </c>
      <c r="S530" s="85" t="str">
        <f>IFERROR(__xludf.DUMMYFUNCTION("""COMPUTED_VALUE"""),"ALIKA LUTFIANA DAHLAN")</f>
        <v>ALIKA LUTFIANA DAHLAN</v>
      </c>
      <c r="T530" s="85" t="str">
        <f>IFERROR(__xludf.DUMMYFUNCTION("""COMPUTED_VALUE"""),"BESARI RT 009 RW 005 SIRAMAN WONOSARI")</f>
        <v>BESARI RT 009 RW 005 SIRAMAN WONOSARI</v>
      </c>
      <c r="U530" s="85" t="str">
        <f>IFERROR(__xludf.DUMMYFUNCTION("""COMPUTED_VALUE"""),"WARENG II")</f>
        <v>WARENG II</v>
      </c>
      <c r="V530" s="85"/>
      <c r="W530" s="85" t="str">
        <f>IFERROR(__xludf.DUMMYFUNCTION("""COMPUTED_VALUE"""),"WARENG")</f>
        <v>WARENG</v>
      </c>
      <c r="X530" s="85" t="str">
        <f>IFERROR(__xludf.DUMMYFUNCTION("""COMPUTED_VALUE"""),"WONOSARI")</f>
        <v>WONOSARI</v>
      </c>
      <c r="Y530" s="85" t="str">
        <f>IFERROR(__xludf.DUMMYFUNCTION("""COMPUTED_VALUE"""),"GUNUNGKIDUL")</f>
        <v>GUNUNGKIDUL</v>
      </c>
      <c r="Z530" s="85" t="str">
        <f>IFERROR(__xludf.DUMMYFUNCTION("""COMPUTED_VALUE"""),"D I Yogyakarta")</f>
        <v>D I Yogyakarta</v>
      </c>
      <c r="AA530" s="85" t="str">
        <f>IFERROR(__xludf.DUMMYFUNCTION("""COMPUTED_VALUE"""),"55851")</f>
        <v>55851</v>
      </c>
      <c r="AB530" s="85" t="str">
        <f>IFERROR(__xludf.DUMMYFUNCTION("""COMPUTED_VALUE"""),"3403015508020003")</f>
        <v>3403015508020003</v>
      </c>
      <c r="AC530" s="85" t="str">
        <f>IFERROR(__xludf.DUMMYFUNCTION("""COMPUTED_VALUE"""),"3403 0155 0802 0003")</f>
        <v>3403 0155 0802 0003</v>
      </c>
      <c r="AD530" s="85" t="str">
        <f>IFERROR(__xludf.DUMMYFUNCTION("""COMPUTED_VALUE"""),"CUM - PS - ARKW")</f>
        <v>CUM - PS - ARKW</v>
      </c>
      <c r="AE530" s="85" t="str">
        <f>IFERROR(__xludf.DUMMYFUNCTION("""COMPUTED_VALUE"""),"SUB ARIF POS")</f>
        <v>SUB ARIF POS</v>
      </c>
      <c r="AF530" s="85" t="str">
        <f>IFERROR(__xludf.DUMMYFUNCTION("""COMPUTED_VALUE"""),"081327755851")</f>
        <v>081327755851</v>
      </c>
      <c r="AG530" s="85"/>
      <c r="AH530" s="85" t="str">
        <f>IFERROR(__xludf.DUMMYFUNCTION("""COMPUTED_VALUE"""),"alikadahlan05.al@gmail.com")</f>
        <v>alikadahlan05.al@gmail.com</v>
      </c>
      <c r="AI530" s="85" t="str">
        <f>IFERROR(__xludf.DUMMYFUNCTION("""COMPUTED_VALUE"""),"55816S1")</f>
        <v>55816S1</v>
      </c>
      <c r="AJ530" s="85" t="str">
        <f>IFERROR(__xludf.DUMMYFUNCTION("""COMPUTED_VALUE"""),"686224c3625cd1445103c3e0")</f>
        <v>686224c3625cd1445103c3e0</v>
      </c>
      <c r="AK530" s="85" t="str">
        <f>IFERROR(__xludf.DUMMYFUNCTION("""COMPUTED_VALUE"""),"dm55816s1")</f>
        <v>dm55816s1</v>
      </c>
      <c r="AL530" s="85" t="str">
        <f>IFERROR(__xludf.DUMMYFUNCTION("""COMPUTED_VALUE"""),"#55816Pos")</f>
        <v>#55816Pos</v>
      </c>
      <c r="AM530" s="85" t="str">
        <f>IFERROR(__xludf.DUMMYFUNCTION("""COMPUTED_VALUE"""),"KANTOR REGIONAL IV SEMARANG 50004")</f>
        <v>KANTOR REGIONAL IV SEMARANG 50004</v>
      </c>
      <c r="AN530" s="85" t="str">
        <f>IFERROR(__xludf.DUMMYFUNCTION("""COMPUTED_VALUE"""),"KC WONOSARIYOGYA 55800")</f>
        <v>KC WONOSARIYOGYA 55800</v>
      </c>
      <c r="AO530" s="85" t="str">
        <f>IFERROR(__xludf.DUMMYFUNCTION("""COMPUTED_VALUE"""),"2306250040379")</f>
        <v>2306250040379</v>
      </c>
      <c r="AP530" s="85" t="str">
        <f>IFERROR(__xludf.DUMMYFUNCTION("""COMPUTED_VALUE"""),"23062500403790001")</f>
        <v>23062500403790001</v>
      </c>
      <c r="AQ530" s="93"/>
      <c r="AR530" s="85"/>
      <c r="AS530" s="85"/>
      <c r="AT530" s="85" t="str">
        <f>IFERROR(__xludf.DUMMYFUNCTION("""COMPUTED_VALUE"""),"-7.989436222799225")</f>
        <v>-7.989436222799225</v>
      </c>
      <c r="AU530" s="85" t="str">
        <f>IFERROR(__xludf.DUMMYFUNCTION("""COMPUTED_VALUE"""),"110.57490206561643")</f>
        <v>110.57490206561643</v>
      </c>
      <c r="AV530" s="85"/>
      <c r="AW530" s="85"/>
      <c r="AX530" s="85"/>
      <c r="AY530" s="85"/>
      <c r="AZ530" s="85"/>
      <c r="BA530" s="85"/>
      <c r="BB530" s="85"/>
      <c r="BC530" s="85"/>
      <c r="BD530" s="85"/>
      <c r="BE530" s="85"/>
      <c r="BF530" s="85"/>
      <c r="BG530" s="85"/>
      <c r="BH530" s="85"/>
      <c r="BI530" s="85"/>
      <c r="BJ530" s="85"/>
      <c r="BK530" s="85"/>
      <c r="BL530" s="85"/>
      <c r="BM530" s="85"/>
      <c r="BN530" s="85"/>
      <c r="BO530" s="85"/>
      <c r="BP530" s="85"/>
      <c r="BQ530" s="85"/>
      <c r="BR530" s="85"/>
      <c r="BS530" s="85"/>
      <c r="BT530" s="85"/>
      <c r="BU530" s="85"/>
      <c r="BV530" s="85"/>
      <c r="BW530" s="85"/>
      <c r="BX530" s="85" t="str">
        <f>IFERROR(__xludf.DUMMYFUNCTION("""COMPUTED_VALUE"""),"NEWBIE - TOKO BANGUNAN")</f>
        <v>NEWBIE - TOKO BANGUNAN</v>
      </c>
      <c r="BY530" s="85"/>
      <c r="BZ530" s="85"/>
      <c r="CA530" s="85"/>
      <c r="CB530" s="85"/>
      <c r="CC530" s="85"/>
      <c r="CD530" s="85"/>
      <c r="CE530" s="85"/>
      <c r="CF530" s="85"/>
      <c r="CG530" s="85"/>
      <c r="CH530" s="85"/>
      <c r="CI530" s="85"/>
      <c r="CJ530" s="85"/>
      <c r="CK530" s="2"/>
    </row>
    <row r="531" ht="12.75" customHeight="1">
      <c r="A531" s="80">
        <f>IFERROR(__xludf.DUMMYFUNCTION("""COMPUTED_VALUE"""),528.0)</f>
        <v>528</v>
      </c>
      <c r="B531" s="80"/>
      <c r="C531" s="80"/>
      <c r="D531" s="81">
        <f>IFERROR(__xludf.DUMMYFUNCTION("""COMPUTED_VALUE"""),45831.0)</f>
        <v>45831</v>
      </c>
      <c r="E531" s="82"/>
      <c r="F531" s="80"/>
      <c r="G531" s="81"/>
      <c r="H531" s="80"/>
      <c r="I531" s="80"/>
      <c r="J531" s="80"/>
      <c r="K531" s="80"/>
      <c r="L531" s="80"/>
      <c r="M531" s="80" t="str">
        <f>IFERROR(__xludf.DUMMYFUNCTION("""COMPUTED_VALUE"""),"ü")</f>
        <v>ü</v>
      </c>
      <c r="N531" s="80"/>
      <c r="O531" s="80"/>
      <c r="P531" s="80" t="str">
        <f>IFERROR(__xludf.DUMMYFUNCTION("""COMPUTED_VALUE"""),"MUCSPA63166PSIND")</f>
        <v>MUCSPA63166PSIND</v>
      </c>
      <c r="Q531" s="80" t="str">
        <f>IFERROR(__xludf.DUMMYFUNCTION("""COMPUTED_VALUE"""),"MUC Ganbaru")</f>
        <v>MUC Ganbaru</v>
      </c>
      <c r="R531" s="80" t="str">
        <f>IFERROR(__xludf.DUMMYFUNCTION("""COMPUTED_VALUE"""),"MUC Ganbaru")</f>
        <v>MUC Ganbaru</v>
      </c>
      <c r="S531" s="80" t="str">
        <f>IFERROR(__xludf.DUMMYFUNCTION("""COMPUTED_VALUE"""),"Sheila Sukmasari Devi")</f>
        <v>Sheila Sukmasari Devi</v>
      </c>
      <c r="T531" s="80" t="str">
        <f>IFERROR(__xludf.DUMMYFUNCTION("""COMPUTED_VALUE"""),"Apartemen mediterania garden 1 tower azalea lantai 29 unit BAC")</f>
        <v>Apartemen mediterania garden 1 tower azalea lantai 29 unit BAC</v>
      </c>
      <c r="U531" s="80" t="str">
        <f>IFERROR(__xludf.DUMMYFUNCTION("""COMPUTED_VALUE"""),"Ganbaru Inn Jl. Kota bambu selatan III RT012/06")</f>
        <v>Ganbaru Inn Jl. Kota bambu selatan III RT012/06</v>
      </c>
      <c r="V531" s="80"/>
      <c r="W531" s="80" t="str">
        <f>IFERROR(__xludf.DUMMYFUNCTION("""COMPUTED_VALUE"""),"Kota bambu selatan")</f>
        <v>Kota bambu selatan</v>
      </c>
      <c r="X531" s="80" t="str">
        <f>IFERROR(__xludf.DUMMYFUNCTION("""COMPUTED_VALUE"""),"palmerah")</f>
        <v>palmerah</v>
      </c>
      <c r="Y531" s="80" t="str">
        <f>IFERROR(__xludf.DUMMYFUNCTION("""COMPUTED_VALUE"""),"jakarta barat")</f>
        <v>jakarta barat</v>
      </c>
      <c r="Z531" s="80" t="str">
        <f>IFERROR(__xludf.DUMMYFUNCTION("""COMPUTED_VALUE"""),"DKI Jakarta")</f>
        <v>DKI Jakarta</v>
      </c>
      <c r="AA531" s="80" t="str">
        <f>IFERROR(__xludf.DUMMYFUNCTION("""COMPUTED_VALUE"""),"11420")</f>
        <v>11420</v>
      </c>
      <c r="AB531" s="80" t="str">
        <f>IFERROR(__xludf.DUMMYFUNCTION("""COMPUTED_VALUE"""),"3311095011810002")</f>
        <v>3311095011810002</v>
      </c>
      <c r="AC531" s="80" t="str">
        <f>IFERROR(__xludf.DUMMYFUNCTION("""COMPUTED_VALUE"""),"48.892.254.3-532.000")</f>
        <v>48.892.254.3-532.000</v>
      </c>
      <c r="AD531" s="80" t="str">
        <f>IFERROR(__xludf.DUMMYFUNCTION("""COMPUTED_VALUE"""),"CUM - PS - SUSU")</f>
        <v>CUM - PS - SUSU</v>
      </c>
      <c r="AE531" s="80" t="str">
        <f>IFERROR(__xludf.DUMMYFUNCTION("""COMPUTED_VALUE"""),"SUB SUGENG POS")</f>
        <v>SUB SUGENG POS</v>
      </c>
      <c r="AF531" s="80" t="str">
        <f>IFERROR(__xludf.DUMMYFUNCTION("""COMPUTED_VALUE"""),"08111797970")</f>
        <v>08111797970</v>
      </c>
      <c r="AG531" s="80"/>
      <c r="AH531" s="80" t="str">
        <f>IFERROR(__xludf.DUMMYFUNCTION("""COMPUTED_VALUE"""),"sheila.sukmasari@gmail.com")</f>
        <v>sheila.sukmasari@gmail.com</v>
      </c>
      <c r="AI531" s="80" t="str">
        <f>IFERROR(__xludf.DUMMYFUNCTION("""COMPUTED_VALUE"""),"11420S1")</f>
        <v>11420S1</v>
      </c>
      <c r="AJ531" s="80" t="str">
        <f>IFERROR(__xludf.DUMMYFUNCTION("""COMPUTED_VALUE"""),"6863ad5ee8ac4a6a7803e5e6")</f>
        <v>6863ad5ee8ac4a6a7803e5e6</v>
      </c>
      <c r="AK531" s="80" t="str">
        <f>IFERROR(__xludf.DUMMYFUNCTION("""COMPUTED_VALUE"""),"dm11420s1")</f>
        <v>dm11420s1</v>
      </c>
      <c r="AL531" s="80" t="str">
        <f>IFERROR(__xludf.DUMMYFUNCTION("""COMPUTED_VALUE"""),"#11420Pos")</f>
        <v>#11420Pos</v>
      </c>
      <c r="AM531" s="80" t="str">
        <f>IFERROR(__xludf.DUMMYFUNCTION("""COMPUTED_VALUE"""),"KANTOR REGIONAL II JAKARTA 10004")</f>
        <v>KANTOR REGIONAL II JAKARTA 10004</v>
      </c>
      <c r="AN531" s="80" t="str">
        <f>IFERROR(__xludf.DUMMYFUNCTION("""COMPUTED_VALUE"""),"KCU JAKARTAOCEANIA 11000")</f>
        <v>KCU JAKARTAOCEANIA 11000</v>
      </c>
      <c r="AO531" s="80" t="str">
        <f>IFERROR(__xludf.DUMMYFUNCTION("""COMPUTED_VALUE"""),"1806250098461")</f>
        <v>1806250098461</v>
      </c>
      <c r="AP531" s="80" t="str">
        <f>IFERROR(__xludf.DUMMYFUNCTION("""COMPUTED_VALUE"""),"18062500984610001")</f>
        <v>18062500984610001</v>
      </c>
      <c r="AQ531" s="83"/>
      <c r="AR531" s="80"/>
      <c r="AS531" s="80"/>
      <c r="AT531" s="80" t="str">
        <f>IFERROR(__xludf.DUMMYFUNCTION("""COMPUTED_VALUE"""),"-6.184425")</f>
        <v>-6.184425</v>
      </c>
      <c r="AU531" s="80" t="str">
        <f>IFERROR(__xludf.DUMMYFUNCTION("""COMPUTED_VALUE"""),"106.801257")</f>
        <v>106.801257</v>
      </c>
      <c r="AV531" s="80"/>
      <c r="AW531" s="80"/>
      <c r="AX531" s="80"/>
      <c r="AY531" s="80"/>
      <c r="AZ531" s="80"/>
      <c r="BA531" s="80"/>
      <c r="BB531" s="80"/>
      <c r="BC531" s="80"/>
      <c r="BD531" s="80"/>
      <c r="BE531" s="80"/>
      <c r="BF531" s="80"/>
      <c r="BG531" s="80"/>
      <c r="BH531" s="80"/>
      <c r="BI531" s="80"/>
      <c r="BJ531" s="80"/>
      <c r="BK531" s="80"/>
      <c r="BL531" s="80"/>
      <c r="BM531" s="80"/>
      <c r="BN531" s="80"/>
      <c r="BO531" s="80"/>
      <c r="BP531" s="80"/>
      <c r="BQ531" s="80"/>
      <c r="BR531" s="80"/>
      <c r="BS531" s="80"/>
      <c r="BT531" s="80"/>
      <c r="BU531" s="80"/>
      <c r="BV531" s="80"/>
      <c r="BW531" s="80"/>
      <c r="BX531" s="80" t="str">
        <f>IFERROR(__xludf.DUMMYFUNCTION("""COMPUTED_VALUE"""),"NEWBIE")</f>
        <v>NEWBIE</v>
      </c>
      <c r="BY531" s="80"/>
      <c r="BZ531" s="80"/>
      <c r="CA531" s="80"/>
      <c r="CB531" s="80"/>
      <c r="CC531" s="80"/>
      <c r="CD531" s="80"/>
      <c r="CE531" s="80"/>
      <c r="CF531" s="80"/>
      <c r="CG531" s="80"/>
      <c r="CH531" s="80"/>
      <c r="CI531" s="80"/>
      <c r="CJ531" s="80"/>
      <c r="CK531" s="2"/>
    </row>
    <row r="532" ht="12.75" customHeight="1">
      <c r="A532" s="85">
        <f>IFERROR(__xludf.DUMMYFUNCTION("""COMPUTED_VALUE"""),529.0)</f>
        <v>529</v>
      </c>
      <c r="B532" s="85"/>
      <c r="C532" s="85"/>
      <c r="D532" s="86">
        <f>IFERROR(__xludf.DUMMYFUNCTION("""COMPUTED_VALUE"""),45831.0)</f>
        <v>45831</v>
      </c>
      <c r="E532" s="88"/>
      <c r="F532" s="85"/>
      <c r="G532" s="86"/>
      <c r="H532" s="85"/>
      <c r="I532" s="85"/>
      <c r="J532" s="85"/>
      <c r="K532" s="85"/>
      <c r="L532" s="85"/>
      <c r="M532" s="85" t="str">
        <f>IFERROR(__xludf.DUMMYFUNCTION("""COMPUTED_VALUE"""),"ü")</f>
        <v>ü</v>
      </c>
      <c r="N532" s="85"/>
      <c r="O532" s="85"/>
      <c r="P532" s="85" t="str">
        <f>IFERROR(__xludf.DUMMYFUNCTION("""COMPUTED_VALUE"""),"MUCSPA63167PSIND")</f>
        <v>MUCSPA63167PSIND</v>
      </c>
      <c r="Q532" s="85" t="str">
        <f>IFERROR(__xludf.DUMMYFUNCTION("""COMPUTED_VALUE"""),"MUC PASTI SAMPAI")</f>
        <v>MUC PASTI SAMPAI</v>
      </c>
      <c r="R532" s="85" t="str">
        <f>IFERROR(__xludf.DUMMYFUNCTION("""COMPUTED_VALUE"""),"MUC PASTI SAMPAI")</f>
        <v>MUC PASTI SAMPAI</v>
      </c>
      <c r="S532" s="85" t="str">
        <f>IFERROR(__xludf.DUMMYFUNCTION("""COMPUTED_VALUE"""),"AGUS SALIM,ST")</f>
        <v>AGUS SALIM,ST</v>
      </c>
      <c r="T532" s="85" t="str">
        <f>IFERROR(__xludf.DUMMYFUNCTION("""COMPUTED_VALUE"""),"JL.TEBET TIMUR DALAM RAYA/36 RT.004 RW.005 TEBET TIMUR TEBET JAKARTA SELATAN")</f>
        <v>JL.TEBET TIMUR DALAM RAYA/36 RT.004 RW.005 TEBET TIMUR TEBET JAKARTA SELATAN</v>
      </c>
      <c r="U532" s="85" t="str">
        <f>IFERROR(__xludf.DUMMYFUNCTION("""COMPUTED_VALUE"""),"Jl. Tebet Timur Dalam V")</f>
        <v>Jl. Tebet Timur Dalam V</v>
      </c>
      <c r="V532" s="85"/>
      <c r="W532" s="85" t="str">
        <f>IFERROR(__xludf.DUMMYFUNCTION("""COMPUTED_VALUE"""),"Tebet Timur")</f>
        <v>Tebet Timur</v>
      </c>
      <c r="X532" s="85" t="str">
        <f>IFERROR(__xludf.DUMMYFUNCTION("""COMPUTED_VALUE"""),"Tebet")</f>
        <v>Tebet</v>
      </c>
      <c r="Y532" s="85" t="str">
        <f>IFERROR(__xludf.DUMMYFUNCTION("""COMPUTED_VALUE"""),"Jakarta Selatan")</f>
        <v>Jakarta Selatan</v>
      </c>
      <c r="Z532" s="85" t="str">
        <f>IFERROR(__xludf.DUMMYFUNCTION("""COMPUTED_VALUE"""),"DKI Jakarta")</f>
        <v>DKI Jakarta</v>
      </c>
      <c r="AA532" s="85" t="str">
        <f>IFERROR(__xludf.DUMMYFUNCTION("""COMPUTED_VALUE"""),"12820")</f>
        <v>12820</v>
      </c>
      <c r="AB532" s="85" t="str">
        <f>IFERROR(__xludf.DUMMYFUNCTION("""COMPUTED_VALUE"""),"3175071608650002")</f>
        <v>3175071608650002</v>
      </c>
      <c r="AC532" s="85" t="str">
        <f>IFERROR(__xludf.DUMMYFUNCTION("""COMPUTED_VALUE"""),"90.814.101.3-015.000")</f>
        <v>90.814.101.3-015.000</v>
      </c>
      <c r="AD532" s="85" t="str">
        <f>IFERROR(__xludf.DUMMYFUNCTION("""COMPUTED_VALUE"""),"CUM - PS - MIRS")</f>
        <v>CUM - PS - MIRS</v>
      </c>
      <c r="AE532" s="85" t="str">
        <f>IFERROR(__xludf.DUMMYFUNCTION("""COMPUTED_VALUE"""),"SUB ANGGA POS")</f>
        <v>SUB ANGGA POS</v>
      </c>
      <c r="AF532" s="85" t="str">
        <f>IFERROR(__xludf.DUMMYFUNCTION("""COMPUTED_VALUE"""),"081213303399")</f>
        <v>081213303399</v>
      </c>
      <c r="AG532" s="85"/>
      <c r="AH532" s="85" t="str">
        <f>IFERROR(__xludf.DUMMYFUNCTION("""COMPUTED_VALUE"""),"sagus1768@gmail.com")</f>
        <v>sagus1768@gmail.com</v>
      </c>
      <c r="AI532" s="85" t="str">
        <f>IFERROR(__xludf.DUMMYFUNCTION("""COMPUTED_VALUE"""),"12820S1")</f>
        <v>12820S1</v>
      </c>
      <c r="AJ532" s="85" t="str">
        <f>IFERROR(__xludf.DUMMYFUNCTION("""COMPUTED_VALUE"""),"686f33ee2d3c6091af067bfc")</f>
        <v>686f33ee2d3c6091af067bfc</v>
      </c>
      <c r="AK532" s="85" t="str">
        <f>IFERROR(__xludf.DUMMYFUNCTION("""COMPUTED_VALUE"""),"dm12820s1")</f>
        <v>dm12820s1</v>
      </c>
      <c r="AL532" s="85" t="str">
        <f>IFERROR(__xludf.DUMMYFUNCTION("""COMPUTED_VALUE"""),"#12820Pos")</f>
        <v>#12820Pos</v>
      </c>
      <c r="AM532" s="85" t="str">
        <f>IFERROR(__xludf.DUMMYFUNCTION("""COMPUTED_VALUE"""),"KANTOR REGIONAL II JAKARTA 10004")</f>
        <v>KANTOR REGIONAL II JAKARTA 10004</v>
      </c>
      <c r="AN532" s="85" t="str">
        <f>IFERROR(__xludf.DUMMYFUNCTION("""COMPUTED_VALUE"""),"KCU JAKARTAFLORA 12000")</f>
        <v>KCU JAKARTAFLORA 12000</v>
      </c>
      <c r="AO532" s="85" t="str">
        <f>IFERROR(__xludf.DUMMYFUNCTION("""COMPUTED_VALUE"""),"1701250072046")</f>
        <v>1701250072046</v>
      </c>
      <c r="AP532" s="85" t="str">
        <f>IFERROR(__xludf.DUMMYFUNCTION("""COMPUTED_VALUE"""),"17012500720460002")</f>
        <v>17012500720460002</v>
      </c>
      <c r="AQ532" s="93"/>
      <c r="AR532" s="85"/>
      <c r="AS532" s="85"/>
      <c r="AT532" s="85" t="str">
        <f>IFERROR(__xludf.DUMMYFUNCTION("""COMPUTED_VALUE"""),"-6.232527")</f>
        <v>-6.232527</v>
      </c>
      <c r="AU532" s="85" t="str">
        <f>IFERROR(__xludf.DUMMYFUNCTION("""COMPUTED_VALUE"""),"106.855669")</f>
        <v>106.855669</v>
      </c>
      <c r="AV532" s="85"/>
      <c r="AW532" s="85"/>
      <c r="AX532" s="85"/>
      <c r="AY532" s="85"/>
      <c r="AZ532" s="85"/>
      <c r="BA532" s="85"/>
      <c r="BB532" s="85"/>
      <c r="BC532" s="85"/>
      <c r="BD532" s="85"/>
      <c r="BE532" s="85"/>
      <c r="BF532" s="85"/>
      <c r="BG532" s="85"/>
      <c r="BH532" s="85"/>
      <c r="BI532" s="85"/>
      <c r="BJ532" s="85"/>
      <c r="BK532" s="85"/>
      <c r="BL532" s="85"/>
      <c r="BM532" s="85"/>
      <c r="BN532" s="85"/>
      <c r="BO532" s="85"/>
      <c r="BP532" s="85"/>
      <c r="BQ532" s="85"/>
      <c r="BR532" s="85"/>
      <c r="BS532" s="85"/>
      <c r="BT532" s="85"/>
      <c r="BU532" s="85"/>
      <c r="BV532" s="85"/>
      <c r="BW532" s="85"/>
      <c r="BX532" s="85"/>
      <c r="BY532" s="85"/>
      <c r="BZ532" s="85"/>
      <c r="CA532" s="85"/>
      <c r="CB532" s="85"/>
      <c r="CC532" s="85"/>
      <c r="CD532" s="85"/>
      <c r="CE532" s="85"/>
      <c r="CF532" s="85"/>
      <c r="CG532" s="85"/>
      <c r="CH532" s="85"/>
      <c r="CI532" s="85"/>
      <c r="CJ532" s="85"/>
      <c r="CK532" s="2"/>
    </row>
    <row r="533" ht="12.75" customHeight="1">
      <c r="A533" s="80">
        <f>IFERROR(__xludf.DUMMYFUNCTION("""COMPUTED_VALUE"""),530.0)</f>
        <v>530</v>
      </c>
      <c r="B533" s="80"/>
      <c r="C533" s="80"/>
      <c r="D533" s="81">
        <f>IFERROR(__xludf.DUMMYFUNCTION("""COMPUTED_VALUE"""),45832.0)</f>
        <v>45832</v>
      </c>
      <c r="E533" s="82"/>
      <c r="F533" s="80"/>
      <c r="G533" s="81"/>
      <c r="H533" s="80"/>
      <c r="I533" s="80"/>
      <c r="J533" s="80"/>
      <c r="K533" s="80"/>
      <c r="L533" s="80"/>
      <c r="M533" s="80" t="str">
        <f>IFERROR(__xludf.DUMMYFUNCTION("""COMPUTED_VALUE"""),"ü")</f>
        <v>ü</v>
      </c>
      <c r="N533" s="80"/>
      <c r="O533" s="80"/>
      <c r="P533" s="80" t="str">
        <f>IFERROR(__xludf.DUMMYFUNCTION("""COMPUTED_VALUE"""),"MUCSPA63168PSIND")</f>
        <v>MUCSPA63168PSIND</v>
      </c>
      <c r="Q533" s="80" t="str">
        <f>IFERROR(__xludf.DUMMYFUNCTION("""COMPUTED_VALUE"""),"MUC TRIJAYA SELULER")</f>
        <v>MUC TRIJAYA SELULER</v>
      </c>
      <c r="R533" s="80" t="str">
        <f>IFERROR(__xludf.DUMMYFUNCTION("""COMPUTED_VALUE"""),"MUC TRIJAYA SELULER")</f>
        <v>MUC TRIJAYA SELULER</v>
      </c>
      <c r="S533" s="80" t="str">
        <f>IFERROR(__xludf.DUMMYFUNCTION("""COMPUTED_VALUE"""),"ACHMAD RAHAYU")</f>
        <v>ACHMAD RAHAYU</v>
      </c>
      <c r="T533" s="80" t="str">
        <f>IFERROR(__xludf.DUMMYFUNCTION("""COMPUTED_VALUE"""),"KP.MUARA SELATAN RT.12 RW.007 ANDIR BALEENDAH KAB. BANDUNG")</f>
        <v>KP.MUARA SELATAN RT.12 RW.007 ANDIR BALEENDAH KAB. BANDUNG</v>
      </c>
      <c r="U533" s="80" t="str">
        <f>IFERROR(__xludf.DUMMYFUNCTION("""COMPUTED_VALUE"""),"Kamp. Muara selatan, RT.012/007")</f>
        <v>Kamp. Muara selatan, RT.012/007</v>
      </c>
      <c r="V533" s="80"/>
      <c r="W533" s="80" t="str">
        <f>IFERROR(__xludf.DUMMYFUNCTION("""COMPUTED_VALUE"""),"Andir")</f>
        <v>Andir</v>
      </c>
      <c r="X533" s="80" t="str">
        <f>IFERROR(__xludf.DUMMYFUNCTION("""COMPUTED_VALUE"""),"Baleendah")</f>
        <v>Baleendah</v>
      </c>
      <c r="Y533" s="80" t="str">
        <f>IFERROR(__xludf.DUMMYFUNCTION("""COMPUTED_VALUE"""),"Kab.Bandung")</f>
        <v>Kab.Bandung</v>
      </c>
      <c r="Z533" s="80" t="str">
        <f>IFERROR(__xludf.DUMMYFUNCTION("""COMPUTED_VALUE"""),"Jawa Barat")</f>
        <v>Jawa Barat</v>
      </c>
      <c r="AA533" s="80" t="str">
        <f>IFERROR(__xludf.DUMMYFUNCTION("""COMPUTED_VALUE"""),"40375")</f>
        <v>40375</v>
      </c>
      <c r="AB533" s="80" t="str">
        <f>IFERROR(__xludf.DUMMYFUNCTION("""COMPUTED_VALUE"""),"3204320609730001")</f>
        <v>3204320609730001</v>
      </c>
      <c r="AC533" s="80" t="str">
        <f>IFERROR(__xludf.DUMMYFUNCTION("""COMPUTED_VALUE"""),"86.168.882.8-445.000")</f>
        <v>86.168.882.8-445.000</v>
      </c>
      <c r="AD533" s="80" t="str">
        <f>IFERROR(__xludf.DUMMYFUNCTION("""COMPUTED_VALUE"""),"CUM - PS - RSS")</f>
        <v>CUM - PS - RSS</v>
      </c>
      <c r="AE533" s="80" t="str">
        <f>IFERROR(__xludf.DUMMYFUNCTION("""COMPUTED_VALUE"""),"SUB RONY POS")</f>
        <v>SUB RONY POS</v>
      </c>
      <c r="AF533" s="80" t="str">
        <f>IFERROR(__xludf.DUMMYFUNCTION("""COMPUTED_VALUE"""),"081220119357")</f>
        <v>081220119357</v>
      </c>
      <c r="AG533" s="80"/>
      <c r="AH533" s="80" t="str">
        <f>IFERROR(__xludf.DUMMYFUNCTION("""COMPUTED_VALUE"""),"achmadrahayu060973@gmail.com")</f>
        <v>achmadrahayu060973@gmail.com</v>
      </c>
      <c r="AI533" s="80" t="str">
        <f>IFERROR(__xludf.DUMMYFUNCTION("""COMPUTED_VALUE"""),"40375SB")</f>
        <v>40375SB</v>
      </c>
      <c r="AJ533" s="80" t="str">
        <f>IFERROR(__xludf.DUMMYFUNCTION("""COMPUTED_VALUE"""),"6866249e2d53a6914601dbe3")</f>
        <v>6866249e2d53a6914601dbe3</v>
      </c>
      <c r="AK533" s="80" t="str">
        <f>IFERROR(__xludf.DUMMYFUNCTION("""COMPUTED_VALUE"""),"dm40375sb")</f>
        <v>dm40375sb</v>
      </c>
      <c r="AL533" s="80" t="str">
        <f>IFERROR(__xludf.DUMMYFUNCTION("""COMPUTED_VALUE"""),"#40375Pos")</f>
        <v>#40375Pos</v>
      </c>
      <c r="AM533" s="80" t="str">
        <f>IFERROR(__xludf.DUMMYFUNCTION("""COMPUTED_VALUE"""),"KANTOR REGIONAL III BANDUNG 40004")</f>
        <v>KANTOR REGIONAL III BANDUNG 40004</v>
      </c>
      <c r="AN533" s="80" t="str">
        <f>IFERROR(__xludf.DUMMYFUNCTION("""COMPUTED_VALUE"""),"KC SOREANG 40900")</f>
        <v>KC SOREANG 40900</v>
      </c>
      <c r="AO533" s="80" t="str">
        <f>IFERROR(__xludf.DUMMYFUNCTION("""COMPUTED_VALUE"""),"1806250031273")</f>
        <v>1806250031273</v>
      </c>
      <c r="AP533" s="80" t="str">
        <f>IFERROR(__xludf.DUMMYFUNCTION("""COMPUTED_VALUE"""),"18062500312730001")</f>
        <v>18062500312730001</v>
      </c>
      <c r="AQ533" s="83"/>
      <c r="AR533" s="80"/>
      <c r="AS533" s="80"/>
      <c r="AT533" s="80" t="str">
        <f>IFERROR(__xludf.DUMMYFUNCTION("""COMPUTED_VALUE"""),"-6.990270")</f>
        <v>-6.990270</v>
      </c>
      <c r="AU533" s="80" t="str">
        <f>IFERROR(__xludf.DUMMYFUNCTION("""COMPUTED_VALUE"""),"107.622802")</f>
        <v>107.622802</v>
      </c>
      <c r="AV533" s="80"/>
      <c r="AW533" s="80"/>
      <c r="AX533" s="80"/>
      <c r="AY533" s="80"/>
      <c r="AZ533" s="80"/>
      <c r="BA533" s="80"/>
      <c r="BB533" s="80"/>
      <c r="BC533" s="80"/>
      <c r="BD533" s="80"/>
      <c r="BE533" s="80"/>
      <c r="BF533" s="80"/>
      <c r="BG533" s="80"/>
      <c r="BH533" s="80"/>
      <c r="BI533" s="80"/>
      <c r="BJ533" s="80"/>
      <c r="BK533" s="80"/>
      <c r="BL533" s="80"/>
      <c r="BM533" s="80"/>
      <c r="BN533" s="80"/>
      <c r="BO533" s="80"/>
      <c r="BP533" s="80"/>
      <c r="BQ533" s="80"/>
      <c r="BR533" s="80"/>
      <c r="BS533" s="80"/>
      <c r="BT533" s="80"/>
      <c r="BU533" s="80"/>
      <c r="BV533" s="80"/>
      <c r="BW533" s="80"/>
      <c r="BX533" s="80" t="str">
        <f>IFERROR(__xludf.DUMMYFUNCTION("""COMPUTED_VALUE"""),"NEWBIE KONTER")</f>
        <v>NEWBIE KONTER</v>
      </c>
      <c r="BY533" s="80"/>
      <c r="BZ533" s="80"/>
      <c r="CA533" s="80"/>
      <c r="CB533" s="80"/>
      <c r="CC533" s="80"/>
      <c r="CD533" s="80"/>
      <c r="CE533" s="80"/>
      <c r="CF533" s="80"/>
      <c r="CG533" s="80"/>
      <c r="CH533" s="80"/>
      <c r="CI533" s="80"/>
      <c r="CJ533" s="80"/>
      <c r="CK533" s="2"/>
    </row>
    <row r="534" ht="12.75" customHeight="1">
      <c r="A534" s="85">
        <f>IFERROR(__xludf.DUMMYFUNCTION("""COMPUTED_VALUE"""),531.0)</f>
        <v>531</v>
      </c>
      <c r="B534" s="85"/>
      <c r="C534" s="85"/>
      <c r="D534" s="86">
        <f>IFERROR(__xludf.DUMMYFUNCTION("""COMPUTED_VALUE"""),45832.0)</f>
        <v>45832</v>
      </c>
      <c r="E534" s="88"/>
      <c r="F534" s="85"/>
      <c r="G534" s="86">
        <f>IFERROR(__xludf.DUMMYFUNCTION("""COMPUTED_VALUE"""),45832.0)</f>
        <v>45832</v>
      </c>
      <c r="H534" s="85"/>
      <c r="I534" s="85"/>
      <c r="J534" s="85"/>
      <c r="K534" s="85"/>
      <c r="L534" s="85">
        <f>IFERROR(__xludf.DUMMYFUNCTION("""COMPUTED_VALUE"""),0.0)</f>
        <v>0</v>
      </c>
      <c r="M534" s="85"/>
      <c r="N534" s="85" t="str">
        <f>IFERROR(__xludf.DUMMYFUNCTION("""COMPUTED_VALUE"""),"ü")</f>
        <v>ü</v>
      </c>
      <c r="O534" s="85"/>
      <c r="P534" s="85" t="str">
        <f>IFERROR(__xludf.DUMMYFUNCTION("""COMPUTED_VALUE"""),"MUCSPA63169PSIND")</f>
        <v>MUCSPA63169PSIND</v>
      </c>
      <c r="Q534" s="85" t="str">
        <f>IFERROR(__xludf.DUMMYFUNCTION("""COMPUTED_VALUE"""),"MUC KDMP CANGKUANG WETAN")</f>
        <v>MUC KDMP CANGKUANG WETAN</v>
      </c>
      <c r="R534" s="85" t="str">
        <f>IFERROR(__xludf.DUMMYFUNCTION("""COMPUTED_VALUE"""),"MUC KDMP CANGKUANG WETAN")</f>
        <v>MUC KDMP CANGKUANG WETAN</v>
      </c>
      <c r="S534" s="85" t="str">
        <f>IFERROR(__xludf.DUMMYFUNCTION("""COMPUTED_VALUE"""),"HATAMAMI")</f>
        <v>HATAMAMI</v>
      </c>
      <c r="T534" s="85" t="str">
        <f>IFERROR(__xludf.DUMMYFUNCTION("""COMPUTED_VALUE"""),"TAMAN CIBADUYUT INDAH BLOK J 30 RT.001 RW.011 CANGKUANG WETAN DAYEUHKOLOT KAB.BANDUNG")</f>
        <v>TAMAN CIBADUYUT INDAH BLOK J 30 RT.001 RW.011 CANGKUANG WETAN DAYEUHKOLOT KAB.BANDUNG</v>
      </c>
      <c r="U534" s="85" t="str">
        <f>IFERROR(__xludf.DUMMYFUNCTION("""COMPUTED_VALUE"""),"Kp. Cibedug Girang RT 2 RW 2")</f>
        <v>Kp. Cibedug Girang RT 2 RW 2</v>
      </c>
      <c r="V534" s="85"/>
      <c r="W534" s="85" t="str">
        <f>IFERROR(__xludf.DUMMYFUNCTION("""COMPUTED_VALUE"""),"Cangkuang Wetan")</f>
        <v>Cangkuang Wetan</v>
      </c>
      <c r="X534" s="85" t="str">
        <f>IFERROR(__xludf.DUMMYFUNCTION("""COMPUTED_VALUE"""),"Dayeuhkolot")</f>
        <v>Dayeuhkolot</v>
      </c>
      <c r="Y534" s="85" t="str">
        <f>IFERROR(__xludf.DUMMYFUNCTION("""COMPUTED_VALUE"""),"Bandung")</f>
        <v>Bandung</v>
      </c>
      <c r="Z534" s="85" t="str">
        <f>IFERROR(__xludf.DUMMYFUNCTION("""COMPUTED_VALUE"""),"Jawa Barat")</f>
        <v>Jawa Barat</v>
      </c>
      <c r="AA534" s="85" t="str">
        <f>IFERROR(__xludf.DUMMYFUNCTION("""COMPUTED_VALUE"""),"40238")</f>
        <v>40238</v>
      </c>
      <c r="AB534" s="85" t="str">
        <f>IFERROR(__xludf.DUMMYFUNCTION("""COMPUTED_VALUE"""),"3173032807680005")</f>
        <v>3173032807680005</v>
      </c>
      <c r="AC534" s="85" t="str">
        <f>IFERROR(__xludf.DUMMYFUNCTION("""COMPUTED_VALUE"""),"1000.0000.0302.5157")</f>
        <v>1000.0000.0302.5157</v>
      </c>
      <c r="AD534" s="85" t="str">
        <f>IFERROR(__xludf.DUMMYFUNCTION("""COMPUTED_VALUE"""),"CUM - PS - RSS")</f>
        <v>CUM - PS - RSS</v>
      </c>
      <c r="AE534" s="85" t="str">
        <f>IFERROR(__xludf.DUMMYFUNCTION("""COMPUTED_VALUE"""),"SUB RONY POS")</f>
        <v>SUB RONY POS</v>
      </c>
      <c r="AF534" s="85" t="str">
        <f>IFERROR(__xludf.DUMMYFUNCTION("""COMPUTED_VALUE"""),"087821738765")</f>
        <v>087821738765</v>
      </c>
      <c r="AG534" s="85"/>
      <c r="AH534" s="85" t="str">
        <f>IFERROR(__xludf.DUMMYFUNCTION("""COMPUTED_VALUE"""),"kopdesmerahputihcangkuangwetan@gmail.com")</f>
        <v>kopdesmerahputihcangkuangwetan@gmail.com</v>
      </c>
      <c r="AI534" s="85" t="str">
        <f>IFERROR(__xludf.DUMMYFUNCTION("""COMPUTED_VALUE"""),"40353S8")</f>
        <v>40353S8</v>
      </c>
      <c r="AJ534" s="85" t="str">
        <f>IFERROR(__xludf.DUMMYFUNCTION("""COMPUTED_VALUE"""),"685a49a52eea14c0720ccf80")</f>
        <v>685a49a52eea14c0720ccf80</v>
      </c>
      <c r="AK534" s="85" t="str">
        <f>IFERROR(__xludf.DUMMYFUNCTION("""COMPUTED_VALUE"""),"dm40353s8")</f>
        <v>dm40353s8</v>
      </c>
      <c r="AL534" s="85" t="str">
        <f>IFERROR(__xludf.DUMMYFUNCTION("""COMPUTED_VALUE"""),"#40353Pos")</f>
        <v>#40353Pos</v>
      </c>
      <c r="AM534" s="85" t="str">
        <f>IFERROR(__xludf.DUMMYFUNCTION("""COMPUTED_VALUE"""),"KANTOR REGIONAL III BANDUNG 40004")</f>
        <v>KANTOR REGIONAL III BANDUNG 40004</v>
      </c>
      <c r="AN534" s="85" t="str">
        <f>IFERROR(__xludf.DUMMYFUNCTION("""COMPUTED_VALUE"""),"KC SOREANG 40900")</f>
        <v>KC SOREANG 40900</v>
      </c>
      <c r="AO534" s="85" t="str">
        <f>IFERROR(__xludf.DUMMYFUNCTION("""COMPUTED_VALUE"""),"2306250092175")</f>
        <v>2306250092175</v>
      </c>
      <c r="AP534" s="85" t="str">
        <f>IFERROR(__xludf.DUMMYFUNCTION("""COMPUTED_VALUE"""),"23062500921750001")</f>
        <v>23062500921750001</v>
      </c>
      <c r="AQ534" s="93"/>
      <c r="AR534" s="85"/>
      <c r="AS534" s="85"/>
      <c r="AT534" s="85" t="str">
        <f>IFERROR(__xludf.DUMMYFUNCTION("""COMPUTED_VALUE"""),"-6.971978")</f>
        <v>-6.971978</v>
      </c>
      <c r="AU534" s="85" t="str">
        <f>IFERROR(__xludf.DUMMYFUNCTION("""COMPUTED_VALUE"""),"107.601275")</f>
        <v>107.601275</v>
      </c>
      <c r="AV534" s="85"/>
      <c r="AW534" s="85"/>
      <c r="AX534" s="85"/>
      <c r="AY534" s="85"/>
      <c r="AZ534" s="85"/>
      <c r="BA534" s="85"/>
      <c r="BB534" s="85"/>
      <c r="BC534" s="85"/>
      <c r="BD534" s="85"/>
      <c r="BE534" s="85"/>
      <c r="BF534" s="85"/>
      <c r="BG534" s="85"/>
      <c r="BH534" s="85"/>
      <c r="BI534" s="85"/>
      <c r="BJ534" s="85"/>
      <c r="BK534" s="85"/>
      <c r="BL534" s="85"/>
      <c r="BM534" s="85"/>
      <c r="BN534" s="85"/>
      <c r="BO534" s="85"/>
      <c r="BP534" s="85"/>
      <c r="BQ534" s="85"/>
      <c r="BR534" s="85"/>
      <c r="BS534" s="85"/>
      <c r="BT534" s="85"/>
      <c r="BU534" s="85"/>
      <c r="BV534" s="85"/>
      <c r="BW534" s="85"/>
      <c r="BX534" s="85" t="str">
        <f>IFERROR(__xludf.DUMMYFUNCTION("""COMPUTED_VALUE"""),"KDMP")</f>
        <v>KDMP</v>
      </c>
      <c r="BY534" s="85"/>
      <c r="BZ534" s="85"/>
      <c r="CA534" s="85"/>
      <c r="CB534" s="85"/>
      <c r="CC534" s="85"/>
      <c r="CD534" s="85"/>
      <c r="CE534" s="85"/>
      <c r="CF534" s="85"/>
      <c r="CG534" s="85"/>
      <c r="CH534" s="85"/>
      <c r="CI534" s="85"/>
      <c r="CJ534" s="85"/>
      <c r="CK534" s="2"/>
    </row>
    <row r="535" ht="12.75" customHeight="1">
      <c r="A535" s="80">
        <f>IFERROR(__xludf.DUMMYFUNCTION("""COMPUTED_VALUE"""),532.0)</f>
        <v>532</v>
      </c>
      <c r="B535" s="80"/>
      <c r="C535" s="80"/>
      <c r="D535" s="81">
        <f>IFERROR(__xludf.DUMMYFUNCTION("""COMPUTED_VALUE"""),45832.0)</f>
        <v>45832</v>
      </c>
      <c r="E535" s="82"/>
      <c r="F535" s="80"/>
      <c r="G535" s="81">
        <f>IFERROR(__xludf.DUMMYFUNCTION("""COMPUTED_VALUE"""),45839.0)</f>
        <v>45839</v>
      </c>
      <c r="H535" s="80"/>
      <c r="I535" s="80"/>
      <c r="J535" s="80"/>
      <c r="K535" s="80"/>
      <c r="L535" s="80">
        <f>IFERROR(__xludf.DUMMYFUNCTION("""COMPUTED_VALUE"""),7.0)</f>
        <v>7</v>
      </c>
      <c r="M535" s="80" t="str">
        <f>IFERROR(__xludf.DUMMYFUNCTION("""COMPUTED_VALUE"""),"ü")</f>
        <v>ü</v>
      </c>
      <c r="N535" s="80"/>
      <c r="O535" s="80"/>
      <c r="P535" s="80" t="str">
        <f>IFERROR(__xludf.DUMMYFUNCTION("""COMPUTED_VALUE"""),"53BSPA09508JBEEN")</f>
        <v>53BSPA09508JBEEN</v>
      </c>
      <c r="Q535" s="80" t="str">
        <f>IFERROR(__xludf.DUMMYFUNCTION("""COMPUTED_VALUE"""),"MUC HJ Domang")</f>
        <v>MUC HJ Domang</v>
      </c>
      <c r="R535" s="80" t="str">
        <f>IFERROR(__xludf.DUMMYFUNCTION("""COMPUTED_VALUE"""),"MUC HJ Domang")</f>
        <v>MUC HJ Domang</v>
      </c>
      <c r="S535" s="80" t="str">
        <f>IFERROR(__xludf.DUMMYFUNCTION("""COMPUTED_VALUE"""),"SUSILOWATI")</f>
        <v>SUSILOWATI</v>
      </c>
      <c r="T535" s="80" t="str">
        <f>IFERROR(__xludf.DUMMYFUNCTION("""COMPUTED_VALUE"""),"JL. DPR I NO. 47-A RT.003 RW.002, KEBON JERUK, KEBON JERUK, JAKARTA BARAT")</f>
        <v>JL. DPR I NO. 47-A RT.003 RW.002, KEBON JERUK, KEBON JERUK, JAKARTA BARAT</v>
      </c>
      <c r="U535" s="80" t="str">
        <f>IFERROR(__xludf.DUMMYFUNCTION("""COMPUTED_VALUE"""),"JL DPR I RT 03 RW 02 no 47 A")</f>
        <v>JL DPR I RT 03 RW 02 no 47 A</v>
      </c>
      <c r="V535" s="80"/>
      <c r="W535" s="80" t="str">
        <f>IFERROR(__xludf.DUMMYFUNCTION("""COMPUTED_VALUE"""),"Kebon Jeruk")</f>
        <v>Kebon Jeruk</v>
      </c>
      <c r="X535" s="80" t="str">
        <f>IFERROR(__xludf.DUMMYFUNCTION("""COMPUTED_VALUE"""),"Kebon Jeruk")</f>
        <v>Kebon Jeruk</v>
      </c>
      <c r="Y535" s="80" t="str">
        <f>IFERROR(__xludf.DUMMYFUNCTION("""COMPUTED_VALUE"""),"Jakarta Barat")</f>
        <v>Jakarta Barat</v>
      </c>
      <c r="Z535" s="80" t="str">
        <f>IFERROR(__xludf.DUMMYFUNCTION("""COMPUTED_VALUE"""),"DKI Jakarta")</f>
        <v>DKI Jakarta</v>
      </c>
      <c r="AA535" s="80" t="str">
        <f>IFERROR(__xludf.DUMMYFUNCTION("""COMPUTED_VALUE"""),"11530")</f>
        <v>11530</v>
      </c>
      <c r="AB535" s="80" t="str">
        <f>IFERROR(__xludf.DUMMYFUNCTION("""COMPUTED_VALUE"""),"3175034911810006")</f>
        <v>3175034911810006</v>
      </c>
      <c r="AC535" s="80" t="str">
        <f>IFERROR(__xludf.DUMMYFUNCTION("""COMPUTED_VALUE"""),"41.732.687.3-035.000")</f>
        <v>41.732.687.3-035.000</v>
      </c>
      <c r="AD535" s="80" t="str">
        <f>IFERROR(__xludf.DUMMYFUNCTION("""COMPUTED_VALUE"""),"CUM - EEN")</f>
        <v>CUM - EEN</v>
      </c>
      <c r="AE535" s="80" t="str">
        <f>IFERROR(__xludf.DUMMYFUNCTION("""COMPUTED_VALUE"""),"SUB EEN")</f>
        <v>SUB EEN</v>
      </c>
      <c r="AF535" s="80" t="str">
        <f>IFERROR(__xludf.DUMMYFUNCTION("""COMPUTED_VALUE"""),"081284250468")</f>
        <v>081284250468</v>
      </c>
      <c r="AG535" s="80"/>
      <c r="AH535" s="80" t="str">
        <f>IFERROR(__xludf.DUMMYFUNCTION("""COMPUTED_VALUE"""),"wgcsusi@gmail.com")</f>
        <v>wgcsusi@gmail.com</v>
      </c>
      <c r="AI535" s="80" t="str">
        <f>IFERROR(__xludf.DUMMYFUNCTION("""COMPUTED_VALUE"""),"11530S5")</f>
        <v>11530S5</v>
      </c>
      <c r="AJ535" s="80" t="str">
        <f>IFERROR(__xludf.DUMMYFUNCTION("""COMPUTED_VALUE"""),"68635d888fed1db44a0efadd")</f>
        <v>68635d888fed1db44a0efadd</v>
      </c>
      <c r="AK535" s="80" t="str">
        <f>IFERROR(__xludf.DUMMYFUNCTION("""COMPUTED_VALUE"""),"dm11530s5")</f>
        <v>dm11530s5</v>
      </c>
      <c r="AL535" s="80" t="str">
        <f>IFERROR(__xludf.DUMMYFUNCTION("""COMPUTED_VALUE"""),"#11530Pos")</f>
        <v>#11530Pos</v>
      </c>
      <c r="AM535" s="80" t="str">
        <f>IFERROR(__xludf.DUMMYFUNCTION("""COMPUTED_VALUE"""),"KANTOR REGIONAL II JAKARTA 10004")</f>
        <v>KANTOR REGIONAL II JAKARTA 10004</v>
      </c>
      <c r="AN535" s="80" t="str">
        <f>IFERROR(__xludf.DUMMYFUNCTION("""COMPUTED_VALUE"""),"KCU JAKARTAOCEANIA 11000")</f>
        <v>KCU JAKARTAOCEANIA 11000</v>
      </c>
      <c r="AO535" s="80" t="str">
        <f>IFERROR(__xludf.DUMMYFUNCTION("""COMPUTED_VALUE"""),"0910220017875")</f>
        <v>0910220017875</v>
      </c>
      <c r="AP535" s="80" t="str">
        <f>IFERROR(__xludf.DUMMYFUNCTION("""COMPUTED_VALUE"""),"09102200178750001")</f>
        <v>09102200178750001</v>
      </c>
      <c r="AQ535" s="83"/>
      <c r="AR535" s="80"/>
      <c r="AS535" s="80"/>
      <c r="AT535" s="80" t="str">
        <f>IFERROR(__xludf.DUMMYFUNCTION("""COMPUTED_VALUE"""),"-6.202166 ")</f>
        <v>-6.202166 </v>
      </c>
      <c r="AU535" s="80" t="str">
        <f>IFERROR(__xludf.DUMMYFUNCTION("""COMPUTED_VALUE"""),"106.772857")</f>
        <v>106.772857</v>
      </c>
      <c r="AV535" s="80"/>
      <c r="AW535" s="80"/>
      <c r="AX535" s="80"/>
      <c r="AY535" s="80"/>
      <c r="AZ535" s="80"/>
      <c r="BA535" s="80"/>
      <c r="BB535" s="80"/>
      <c r="BC535" s="80"/>
      <c r="BD535" s="80"/>
      <c r="BE535" s="80"/>
      <c r="BF535" s="80"/>
      <c r="BG535" s="80"/>
      <c r="BH535" s="80"/>
      <c r="BI535" s="80"/>
      <c r="BJ535" s="80"/>
      <c r="BK535" s="80"/>
      <c r="BL535" s="80"/>
      <c r="BM535" s="80"/>
      <c r="BN535" s="80"/>
      <c r="BO535" s="80"/>
      <c r="BP535" s="80"/>
      <c r="BQ535" s="80"/>
      <c r="BR535" s="80"/>
      <c r="BS535" s="80"/>
      <c r="BT535" s="80"/>
      <c r="BU535" s="80"/>
      <c r="BV535" s="80"/>
      <c r="BW535" s="80"/>
      <c r="BX535" s="80" t="str">
        <f>IFERROR(__xludf.DUMMYFUNCTION("""COMPUTED_VALUE"""),"MULTIKURIR - LEX")</f>
        <v>MULTIKURIR - LEX</v>
      </c>
      <c r="BY535" s="80"/>
      <c r="BZ535" s="80"/>
      <c r="CA535" s="80"/>
      <c r="CB535" s="80"/>
      <c r="CC535" s="80"/>
      <c r="CD535" s="80"/>
      <c r="CE535" s="80"/>
      <c r="CF535" s="80"/>
      <c r="CG535" s="80"/>
      <c r="CH535" s="80"/>
      <c r="CI535" s="80"/>
      <c r="CJ535" s="80"/>
      <c r="CK535" s="2"/>
    </row>
    <row r="536" ht="12.75" customHeight="1">
      <c r="A536" s="85">
        <f>IFERROR(__xludf.DUMMYFUNCTION("""COMPUTED_VALUE"""),533.0)</f>
        <v>533</v>
      </c>
      <c r="B536" s="85"/>
      <c r="C536" s="85"/>
      <c r="D536" s="86"/>
      <c r="E536" s="88"/>
      <c r="F536" s="85"/>
      <c r="G536" s="86"/>
      <c r="H536" s="85"/>
      <c r="I536" s="85"/>
      <c r="J536" s="85"/>
      <c r="K536" s="85"/>
      <c r="L536" s="85"/>
      <c r="M536" s="85" t="str">
        <f>IFERROR(__xludf.DUMMYFUNCTION("""COMPUTED_VALUE"""),"ü")</f>
        <v>ü</v>
      </c>
      <c r="N536" s="85"/>
      <c r="O536" s="85"/>
      <c r="P536" s="85" t="str">
        <f>IFERROR(__xludf.DUMMYFUNCTION("""COMPUTED_VALUE"""),"MUCSPA63170PSIND")</f>
        <v>MUCSPA63170PSIND</v>
      </c>
      <c r="Q536" s="85" t="str">
        <f>IFERROR(__xludf.DUMMYFUNCTION("""COMPUTED_VALUE"""),"MUC Atharishopbanjaran")</f>
        <v>MUC Atharishopbanjaran</v>
      </c>
      <c r="R536" s="85" t="str">
        <f>IFERROR(__xludf.DUMMYFUNCTION("""COMPUTED_VALUE"""),"MUC Atharishopbanjaran")</f>
        <v>MUC Atharishopbanjaran</v>
      </c>
      <c r="S536" s="85" t="str">
        <f>IFERROR(__xludf.DUMMYFUNCTION("""COMPUTED_VALUE"""),"Rosdiah")</f>
        <v>Rosdiah</v>
      </c>
      <c r="T536" s="85" t="str">
        <f>IFERROR(__xludf.DUMMYFUNCTION("""COMPUTED_VALUE"""),"Kp. Bugel girang RT 03 RW 08 desa neglasari kecamatan banjaran")</f>
        <v>Kp. Bugel girang RT 03 RW 08 desa neglasari kecamatan banjaran</v>
      </c>
      <c r="U536" s="85" t="str">
        <f>IFERROR(__xludf.DUMMYFUNCTION("""COMPUTED_VALUE"""),"Kp. Bugel girang RT 03 RW 08")</f>
        <v>Kp. Bugel girang RT 03 RW 08</v>
      </c>
      <c r="V536" s="85"/>
      <c r="W536" s="85" t="str">
        <f>IFERROR(__xludf.DUMMYFUNCTION("""COMPUTED_VALUE"""),"Neglasari")</f>
        <v>Neglasari</v>
      </c>
      <c r="X536" s="85" t="str">
        <f>IFERROR(__xludf.DUMMYFUNCTION("""COMPUTED_VALUE"""),"Banjaran")</f>
        <v>Banjaran</v>
      </c>
      <c r="Y536" s="85" t="str">
        <f>IFERROR(__xludf.DUMMYFUNCTION("""COMPUTED_VALUE"""),"Kabupaten Bandung")</f>
        <v>Kabupaten Bandung</v>
      </c>
      <c r="Z536" s="85" t="str">
        <f>IFERROR(__xludf.DUMMYFUNCTION("""COMPUTED_VALUE"""),"Jawa Barat")</f>
        <v>Jawa Barat</v>
      </c>
      <c r="AA536" s="85" t="str">
        <f>IFERROR(__xludf.DUMMYFUNCTION("""COMPUTED_VALUE"""),"40377")</f>
        <v>40377</v>
      </c>
      <c r="AB536" s="85" t="str">
        <f>IFERROR(__xludf.DUMMYFUNCTION("""COMPUTED_VALUE"""),"3204130603860004")</f>
        <v>3204130603860004</v>
      </c>
      <c r="AC536" s="85" t="str">
        <f>IFERROR(__xludf.DUMMYFUNCTION("""COMPUTED_VALUE"""),"74.921.111.6-422.000")</f>
        <v>74.921.111.6-422.000</v>
      </c>
      <c r="AD536" s="85" t="str">
        <f>IFERROR(__xludf.DUMMYFUNCTION("""COMPUTED_VALUE"""),"CUM - PS - RSS")</f>
        <v>CUM - PS - RSS</v>
      </c>
      <c r="AE536" s="85" t="str">
        <f>IFERROR(__xludf.DUMMYFUNCTION("""COMPUTED_VALUE"""),"SUB RONY POS")</f>
        <v>SUB RONY POS</v>
      </c>
      <c r="AF536" s="85" t="str">
        <f>IFERROR(__xludf.DUMMYFUNCTION("""COMPUTED_VALUE"""),"085722255006")</f>
        <v>085722255006</v>
      </c>
      <c r="AG536" s="85"/>
      <c r="AH536" s="85" t="str">
        <f>IFERROR(__xludf.DUMMYFUNCTION("""COMPUTED_VALUE"""),"atharishop.bjrn@gmail.com")</f>
        <v>atharishop.bjrn@gmail.com</v>
      </c>
      <c r="AI536" s="85"/>
      <c r="AJ536" s="85"/>
      <c r="AK536" s="85"/>
      <c r="AL536" s="85"/>
      <c r="AM536" s="85" t="str">
        <f>IFERROR(__xludf.DUMMYFUNCTION("""COMPUTED_VALUE"""),"KANTOR REGIONAL III BANDUNG 40004")</f>
        <v>KANTOR REGIONAL III BANDUNG 40004</v>
      </c>
      <c r="AN536" s="85" t="str">
        <f>IFERROR(__xludf.DUMMYFUNCTION("""COMPUTED_VALUE"""),"KC SOREANG 40900")</f>
        <v>KC SOREANG 40900</v>
      </c>
      <c r="AO536" s="85" t="str">
        <f>IFERROR(__xludf.DUMMYFUNCTION("""COMPUTED_VALUE"""),"0229010041488")</f>
        <v>0229010041488</v>
      </c>
      <c r="AP536" s="85" t="str">
        <f>IFERROR(__xludf.DUMMYFUNCTION("""COMPUTED_VALUE"""),"02290100414880001")</f>
        <v>02290100414880001</v>
      </c>
      <c r="AQ536" s="93"/>
      <c r="AR536" s="85"/>
      <c r="AS536" s="85"/>
      <c r="AT536" s="85" t="str">
        <f>IFERROR(__xludf.DUMMYFUNCTION("""COMPUTED_VALUE"""),"-7,0630453")</f>
        <v>-7,0630453</v>
      </c>
      <c r="AU536" s="85" t="str">
        <f>IFERROR(__xludf.DUMMYFUNCTION("""COMPUTED_VALUE"""),"107,5730389")</f>
        <v>107,5730389</v>
      </c>
      <c r="AV536" s="85"/>
      <c r="AW536" s="85"/>
      <c r="AX536" s="85"/>
      <c r="AY536" s="85"/>
      <c r="AZ536" s="85"/>
      <c r="BA536" s="85"/>
      <c r="BB536" s="85"/>
      <c r="BC536" s="85"/>
      <c r="BD536" s="85"/>
      <c r="BE536" s="85"/>
      <c r="BF536" s="85"/>
      <c r="BG536" s="85"/>
      <c r="BH536" s="85"/>
      <c r="BI536" s="85"/>
      <c r="BJ536" s="85"/>
      <c r="BK536" s="85"/>
      <c r="BL536" s="85"/>
      <c r="BM536" s="85"/>
      <c r="BN536" s="85"/>
      <c r="BO536" s="85"/>
      <c r="BP536" s="85"/>
      <c r="BQ536" s="85"/>
      <c r="BR536" s="85"/>
      <c r="BS536" s="85"/>
      <c r="BT536" s="85"/>
      <c r="BU536" s="85"/>
      <c r="BV536" s="85"/>
      <c r="BW536" s="85"/>
      <c r="BX536" s="85" t="str">
        <f>IFERROR(__xludf.DUMMYFUNCTION("""COMPUTED_VALUE"""),"NEWBIE BRILINK")</f>
        <v>NEWBIE BRILINK</v>
      </c>
      <c r="BY536" s="85"/>
      <c r="BZ536" s="85"/>
      <c r="CA536" s="85"/>
      <c r="CB536" s="85"/>
      <c r="CC536" s="85"/>
      <c r="CD536" s="85"/>
      <c r="CE536" s="85"/>
      <c r="CF536" s="85"/>
      <c r="CG536" s="85"/>
      <c r="CH536" s="85"/>
      <c r="CI536" s="85"/>
      <c r="CJ536" s="85"/>
      <c r="CK536" s="2"/>
    </row>
    <row r="537" ht="12.75" customHeight="1">
      <c r="A537" s="80">
        <f>IFERROR(__xludf.DUMMYFUNCTION("""COMPUTED_VALUE"""),534.0)</f>
        <v>534</v>
      </c>
      <c r="B537" s="80"/>
      <c r="C537" s="80"/>
      <c r="D537" s="81">
        <f>IFERROR(__xludf.DUMMYFUNCTION("""COMPUTED_VALUE"""),45834.0)</f>
        <v>45834</v>
      </c>
      <c r="E537" s="82"/>
      <c r="F537" s="80"/>
      <c r="G537" s="81"/>
      <c r="H537" s="80"/>
      <c r="I537" s="80"/>
      <c r="J537" s="80"/>
      <c r="K537" s="80"/>
      <c r="L537" s="80"/>
      <c r="M537" s="80" t="str">
        <f>IFERROR(__xludf.DUMMYFUNCTION("""COMPUTED_VALUE"""),"ü")</f>
        <v>ü</v>
      </c>
      <c r="N537" s="80"/>
      <c r="O537" s="80"/>
      <c r="P537" s="80" t="str">
        <f>IFERROR(__xludf.DUMMYFUNCTION("""COMPUTED_VALUE"""),"MUCSPA63171PSIND")</f>
        <v>MUCSPA63171PSIND</v>
      </c>
      <c r="Q537" s="80" t="str">
        <f>IFERROR(__xludf.DUMMYFUNCTION("""COMPUTED_VALUE"""),"MUC GUNUNG PATI")</f>
        <v>MUC GUNUNG PATI</v>
      </c>
      <c r="R537" s="80" t="str">
        <f>IFERROR(__xludf.DUMMYFUNCTION("""COMPUTED_VALUE"""),"MUC GUNUNG PATI")</f>
        <v>MUC GUNUNG PATI</v>
      </c>
      <c r="S537" s="80" t="str">
        <f>IFERROR(__xludf.DUMMYFUNCTION("""COMPUTED_VALUE"""),"ANISA WULANDARI")</f>
        <v>ANISA WULANDARI</v>
      </c>
      <c r="T537" s="80" t="str">
        <f>IFERROR(__xludf.DUMMYFUNCTION("""COMPUTED_VALUE"""),"JL. GEDONGSONGO BARAT RT 2 RW 2 MANYARAN SEMARANG BARAT")</f>
        <v>JL. GEDONGSONGO BARAT RT 2 RW 2 MANYARAN SEMARANG BARAT</v>
      </c>
      <c r="U537" s="80" t="str">
        <f>IFERROR(__xludf.DUMMYFUNCTION("""COMPUTED_VALUE"""),"JL. RAYA MANYARAN-GUNUNGPATI")</f>
        <v>JL. RAYA MANYARAN-GUNUNGPATI</v>
      </c>
      <c r="V537" s="80"/>
      <c r="W537" s="80" t="str">
        <f>IFERROR(__xludf.DUMMYFUNCTION("""COMPUTED_VALUE"""),"PONGANGAN")</f>
        <v>PONGANGAN</v>
      </c>
      <c r="X537" s="80" t="str">
        <f>IFERROR(__xludf.DUMMYFUNCTION("""COMPUTED_VALUE"""),"GUNUNG PATI")</f>
        <v>GUNUNG PATI</v>
      </c>
      <c r="Y537" s="80" t="str">
        <f>IFERROR(__xludf.DUMMYFUNCTION("""COMPUTED_VALUE"""),"SEMARANG")</f>
        <v>SEMARANG</v>
      </c>
      <c r="Z537" s="80" t="str">
        <f>IFERROR(__xludf.DUMMYFUNCTION("""COMPUTED_VALUE"""),"JAWA TENGAH")</f>
        <v>JAWA TENGAH</v>
      </c>
      <c r="AA537" s="80" t="str">
        <f>IFERROR(__xludf.DUMMYFUNCTION("""COMPUTED_VALUE"""),"50222")</f>
        <v>50222</v>
      </c>
      <c r="AB537" s="80" t="str">
        <f>IFERROR(__xludf.DUMMYFUNCTION("""COMPUTED_VALUE"""),"3374134208980002")</f>
        <v>3374134208980002</v>
      </c>
      <c r="AC537" s="80" t="str">
        <f>IFERROR(__xludf.DUMMYFUNCTION("""COMPUTED_VALUE"""),"85.481.155.1-503.000")</f>
        <v>85.481.155.1-503.000</v>
      </c>
      <c r="AD537" s="80" t="str">
        <f>IFERROR(__xludf.DUMMYFUNCTION("""COMPUTED_VALUE"""),"CUM - PS - PDW")</f>
        <v>CUM - PS - PDW</v>
      </c>
      <c r="AE537" s="80" t="str">
        <f>IFERROR(__xludf.DUMMYFUNCTION("""COMPUTED_VALUE"""),"SUB BOWO POS")</f>
        <v>SUB BOWO POS</v>
      </c>
      <c r="AF537" s="80" t="str">
        <f>IFERROR(__xludf.DUMMYFUNCTION("""COMPUTED_VALUE"""),"087810094597")</f>
        <v>087810094597</v>
      </c>
      <c r="AG537" s="80"/>
      <c r="AH537" s="80" t="str">
        <f>IFERROR(__xludf.DUMMYFUNCTION("""COMPUTED_VALUE"""),"Whexpress9798@gmail.com")</f>
        <v>Whexpress9798@gmail.com</v>
      </c>
      <c r="AI537" s="80" t="str">
        <f>IFERROR(__xludf.DUMMYFUNCTION("""COMPUTED_VALUE"""),"50224S2")</f>
        <v>50224S2</v>
      </c>
      <c r="AJ537" s="80" t="str">
        <f>IFERROR(__xludf.DUMMYFUNCTION("""COMPUTED_VALUE"""),"6877811b2c3a0417150f86a3")</f>
        <v>6877811b2c3a0417150f86a3</v>
      </c>
      <c r="AK537" s="80" t="str">
        <f>IFERROR(__xludf.DUMMYFUNCTION("""COMPUTED_VALUE"""),"dm50224s2")</f>
        <v>dm50224s2</v>
      </c>
      <c r="AL537" s="80" t="str">
        <f>IFERROR(__xludf.DUMMYFUNCTION("""COMPUTED_VALUE"""),"#50224Pos")</f>
        <v>#50224Pos</v>
      </c>
      <c r="AM537" s="80" t="str">
        <f>IFERROR(__xludf.DUMMYFUNCTION("""COMPUTED_VALUE"""),"KANTOR REGIONAL IV SEMARANG 50004")</f>
        <v>KANTOR REGIONAL IV SEMARANG 50004</v>
      </c>
      <c r="AN537" s="80" t="str">
        <f>IFERROR(__xludf.DUMMYFUNCTION("""COMPUTED_VALUE"""),"KCU SEMARANG 50000")</f>
        <v>KCU SEMARANG 50000</v>
      </c>
      <c r="AO537" s="80" t="str">
        <f>IFERROR(__xludf.DUMMYFUNCTION("""COMPUTED_VALUE"""),"2606250012901")</f>
        <v>2606250012901</v>
      </c>
      <c r="AP537" s="80" t="str">
        <f>IFERROR(__xludf.DUMMYFUNCTION("""COMPUTED_VALUE"""),"26062500129010001")</f>
        <v>26062500129010001</v>
      </c>
      <c r="AQ537" s="83" t="str">
        <f>IFERROR(__xludf.DUMMYFUNCTION("""COMPUTED_VALUE"""),"0149106643")</f>
        <v>0149106643</v>
      </c>
      <c r="AR537" s="80" t="str">
        <f>IFERROR(__xludf.DUMMYFUNCTION("""COMPUTED_VALUE"""),"GIROPOS")</f>
        <v>GIROPOS</v>
      </c>
      <c r="AS537" s="80" t="str">
        <f>IFERROR(__xludf.DUMMYFUNCTION("""COMPUTED_VALUE"""),"Anisa Wulan Dari")</f>
        <v>Anisa Wulan Dari</v>
      </c>
      <c r="AT537" s="80" t="str">
        <f>IFERROR(__xludf.DUMMYFUNCTION("""COMPUTED_VALUE"""),"-7.0449312")</f>
        <v>-7.0449312</v>
      </c>
      <c r="AU537" s="80" t="str">
        <f>IFERROR(__xludf.DUMMYFUNCTION("""COMPUTED_VALUE"""),"110.3603742")</f>
        <v>110.3603742</v>
      </c>
      <c r="AV537" s="80"/>
      <c r="AW537" s="80"/>
      <c r="AX537" s="80"/>
      <c r="AY537" s="80"/>
      <c r="AZ537" s="80"/>
      <c r="BA537" s="80"/>
      <c r="BB537" s="80"/>
      <c r="BC537" s="80"/>
      <c r="BD537" s="80"/>
      <c r="BE537" s="80"/>
      <c r="BF537" s="80"/>
      <c r="BG537" s="80"/>
      <c r="BH537" s="80"/>
      <c r="BI537" s="80"/>
      <c r="BJ537" s="80"/>
      <c r="BK537" s="80"/>
      <c r="BL537" s="80"/>
      <c r="BM537" s="80"/>
      <c r="BN537" s="80"/>
      <c r="BO537" s="80"/>
      <c r="BP537" s="80"/>
      <c r="BQ537" s="80"/>
      <c r="BR537" s="80"/>
      <c r="BS537" s="80"/>
      <c r="BT537" s="80"/>
      <c r="BU537" s="80"/>
      <c r="BV537" s="80"/>
      <c r="BW537" s="80"/>
      <c r="BX537" s="80" t="str">
        <f>IFERROR(__xludf.DUMMYFUNCTION("""COMPUTED_VALUE"""),"MULTIKURIR - WAHANA")</f>
        <v>MULTIKURIR - WAHANA</v>
      </c>
      <c r="BY537" s="80"/>
      <c r="BZ537" s="80"/>
      <c r="CA537" s="80"/>
      <c r="CB537" s="80"/>
      <c r="CC537" s="80"/>
      <c r="CD537" s="80"/>
      <c r="CE537" s="80"/>
      <c r="CF537" s="80"/>
      <c r="CG537" s="80"/>
      <c r="CH537" s="80"/>
      <c r="CI537" s="80"/>
      <c r="CJ537" s="80"/>
      <c r="CK537" s="2"/>
    </row>
    <row r="538" ht="12.75" customHeight="1">
      <c r="A538" s="85">
        <f>IFERROR(__xludf.DUMMYFUNCTION("""COMPUTED_VALUE"""),535.0)</f>
        <v>535</v>
      </c>
      <c r="B538" s="85"/>
      <c r="C538" s="85"/>
      <c r="D538" s="86">
        <f>IFERROR(__xludf.DUMMYFUNCTION("""COMPUTED_VALUE"""),45834.0)</f>
        <v>45834</v>
      </c>
      <c r="E538" s="88"/>
      <c r="F538" s="85"/>
      <c r="G538" s="86"/>
      <c r="H538" s="85"/>
      <c r="I538" s="85"/>
      <c r="J538" s="85"/>
      <c r="K538" s="85"/>
      <c r="L538" s="85"/>
      <c r="M538" s="85" t="str">
        <f>IFERROR(__xludf.DUMMYFUNCTION("""COMPUTED_VALUE"""),"ü")</f>
        <v>ü</v>
      </c>
      <c r="N538" s="85"/>
      <c r="O538" s="85"/>
      <c r="P538" s="85" t="str">
        <f>IFERROR(__xludf.DUMMYFUNCTION("""COMPUTED_VALUE"""),"MUCSPA63172PSIND")</f>
        <v>MUCSPA63172PSIND</v>
      </c>
      <c r="Q538" s="85" t="str">
        <f>IFERROR(__xludf.DUMMYFUNCTION("""COMPUTED_VALUE"""),"MUC KDMP Syariah Bilelando")</f>
        <v>MUC KDMP Syariah Bilelando</v>
      </c>
      <c r="R538" s="85" t="str">
        <f>IFERROR(__xludf.DUMMYFUNCTION("""COMPUTED_VALUE"""),"MUC KDMP Syariah Bilelando")</f>
        <v>MUC KDMP Syariah Bilelando</v>
      </c>
      <c r="S538" s="85" t="str">
        <f>IFERROR(__xludf.DUMMYFUNCTION("""COMPUTED_VALUE"""),"AKHMAD RAEYOMANG")</f>
        <v>AKHMAD RAEYOMANG</v>
      </c>
      <c r="T538" s="85" t="str">
        <f>IFERROR(__xludf.DUMMYFUNCTION("""COMPUTED_VALUE"""),"SELENGARAN, BILELANDO PRAYA TIMUR LOMBOK TENGAH")</f>
        <v>SELENGARAN, BILELANDO PRAYA TIMUR LOMBOK TENGAH</v>
      </c>
      <c r="U538" s="85" t="str">
        <f>IFERROR(__xludf.DUMMYFUNCTION("""COMPUTED_VALUE"""),"Dusun Selengaran")</f>
        <v>Dusun Selengaran</v>
      </c>
      <c r="V538" s="85"/>
      <c r="W538" s="85" t="str">
        <f>IFERROR(__xludf.DUMMYFUNCTION("""COMPUTED_VALUE"""),"Bilelando")</f>
        <v>Bilelando</v>
      </c>
      <c r="X538" s="85" t="str">
        <f>IFERROR(__xludf.DUMMYFUNCTION("""COMPUTED_VALUE"""),"Praya Timur")</f>
        <v>Praya Timur</v>
      </c>
      <c r="Y538" s="85" t="str">
        <f>IFERROR(__xludf.DUMMYFUNCTION("""COMPUTED_VALUE"""),"Lombok Tengah")</f>
        <v>Lombok Tengah</v>
      </c>
      <c r="Z538" s="85" t="str">
        <f>IFERROR(__xludf.DUMMYFUNCTION("""COMPUTED_VALUE"""),"NTB")</f>
        <v>NTB</v>
      </c>
      <c r="AA538" s="85" t="str">
        <f>IFERROR(__xludf.DUMMYFUNCTION("""COMPUTED_VALUE"""),"83581")</f>
        <v>83581</v>
      </c>
      <c r="AB538" s="85" t="str">
        <f>IFERROR(__xludf.DUMMYFUNCTION("""COMPUTED_VALUE"""),"5202061406990001")</f>
        <v>5202061406990001</v>
      </c>
      <c r="AC538" s="85" t="str">
        <f>IFERROR(__xludf.DUMMYFUNCTION("""COMPUTED_VALUE"""),"40.749.408.7-915.000")</f>
        <v>40.749.408.7-915.000</v>
      </c>
      <c r="AD538" s="85" t="str">
        <f>IFERROR(__xludf.DUMMYFUNCTION("""COMPUTED_VALUE"""),"CUM - PS - NONKORGEN")</f>
        <v>CUM - PS - NONKORGEN</v>
      </c>
      <c r="AE538" s="85" t="str">
        <f>IFERROR(__xludf.DUMMYFUNCTION("""COMPUTED_VALUE"""),"BU DIAN KCU MATARAM")</f>
        <v>BU DIAN KCU MATARAM</v>
      </c>
      <c r="AF538" s="85" t="str">
        <f>IFERROR(__xludf.DUMMYFUNCTION("""COMPUTED_VALUE"""),"087765251552")</f>
        <v>087765251552</v>
      </c>
      <c r="AG538" s="85"/>
      <c r="AH538" s="85" t="str">
        <f>IFERROR(__xludf.DUMMYFUNCTION("""COMPUTED_VALUE"""),"akhmadrareyomang@gmail.com")</f>
        <v>akhmadrareyomang@gmail.com</v>
      </c>
      <c r="AI538" s="85" t="str">
        <f>IFERROR(__xludf.DUMMYFUNCTION("""COMPUTED_VALUE"""),"83581S4")</f>
        <v>83581S4</v>
      </c>
      <c r="AJ538" s="85" t="str">
        <f>IFERROR(__xludf.DUMMYFUNCTION("""COMPUTED_VALUE"""),"6863f5dea2b4af54e80f8f98")</f>
        <v>6863f5dea2b4af54e80f8f98</v>
      </c>
      <c r="AK538" s="85" t="str">
        <f>IFERROR(__xludf.DUMMYFUNCTION("""COMPUTED_VALUE"""),"dm83581s4")</f>
        <v>dm83581s4</v>
      </c>
      <c r="AL538" s="85" t="str">
        <f>IFERROR(__xludf.DUMMYFUNCTION("""COMPUTED_VALUE"""),"#83581Pos")</f>
        <v>#83581Pos</v>
      </c>
      <c r="AM538" s="85" t="str">
        <f>IFERROR(__xludf.DUMMYFUNCTION("""COMPUTED_VALUE"""),"KANTOR REGIONAL V SURABAYA 60004")</f>
        <v>KANTOR REGIONAL V SURABAYA 60004</v>
      </c>
      <c r="AN538" s="85" t="str">
        <f>IFERROR(__xludf.DUMMYFUNCTION("""COMPUTED_VALUE"""),"KCU MATARAM")</f>
        <v>KCU MATARAM</v>
      </c>
      <c r="AO538" s="85" t="str">
        <f>IFERROR(__xludf.DUMMYFUNCTION("""COMPUTED_VALUE"""),"0406250096902")</f>
        <v>0406250096902</v>
      </c>
      <c r="AP538" s="85" t="str">
        <f>IFERROR(__xludf.DUMMYFUNCTION("""COMPUTED_VALUE"""),"04062500969020001")</f>
        <v>04062500969020001</v>
      </c>
      <c r="AQ538" s="93"/>
      <c r="AR538" s="85"/>
      <c r="AS538" s="85"/>
      <c r="AT538" s="85" t="str">
        <f>IFERROR(__xludf.DUMMYFUNCTION("""COMPUTED_VALUE"""),"-8.853424")</f>
        <v>-8.853424</v>
      </c>
      <c r="AU538" s="85" t="str">
        <f>IFERROR(__xludf.DUMMYFUNCTION("""COMPUTED_VALUE"""),"116.398395")</f>
        <v>116.398395</v>
      </c>
      <c r="AV538" s="85"/>
      <c r="AW538" s="85"/>
      <c r="AX538" s="85"/>
      <c r="AY538" s="85"/>
      <c r="AZ538" s="85"/>
      <c r="BA538" s="85"/>
      <c r="BB538" s="85"/>
      <c r="BC538" s="85"/>
      <c r="BD538" s="85"/>
      <c r="BE538" s="85"/>
      <c r="BF538" s="85"/>
      <c r="BG538" s="85"/>
      <c r="BH538" s="85"/>
      <c r="BI538" s="85"/>
      <c r="BJ538" s="85"/>
      <c r="BK538" s="85"/>
      <c r="BL538" s="85"/>
      <c r="BM538" s="85"/>
      <c r="BN538" s="85"/>
      <c r="BO538" s="85"/>
      <c r="BP538" s="85"/>
      <c r="BQ538" s="85"/>
      <c r="BR538" s="85"/>
      <c r="BS538" s="85"/>
      <c r="BT538" s="85"/>
      <c r="BU538" s="85"/>
      <c r="BV538" s="85"/>
      <c r="BW538" s="85"/>
      <c r="BX538" s="85" t="str">
        <f>IFERROR(__xludf.DUMMYFUNCTION("""COMPUTED_VALUE"""),"KDMP")</f>
        <v>KDMP</v>
      </c>
      <c r="BY538" s="85"/>
      <c r="BZ538" s="85"/>
      <c r="CA538" s="85"/>
      <c r="CB538" s="85"/>
      <c r="CC538" s="85"/>
      <c r="CD538" s="85"/>
      <c r="CE538" s="85"/>
      <c r="CF538" s="85"/>
      <c r="CG538" s="85"/>
      <c r="CH538" s="85"/>
      <c r="CI538" s="85"/>
      <c r="CJ538" s="85"/>
      <c r="CK538" s="2"/>
    </row>
    <row r="539" ht="12.75" customHeight="1">
      <c r="A539" s="80">
        <f>IFERROR(__xludf.DUMMYFUNCTION("""COMPUTED_VALUE"""),536.0)</f>
        <v>536</v>
      </c>
      <c r="B539" s="80"/>
      <c r="C539" s="80"/>
      <c r="D539" s="81">
        <f>IFERROR(__xludf.DUMMYFUNCTION("""COMPUTED_VALUE"""),45838.0)</f>
        <v>45838</v>
      </c>
      <c r="E539" s="82"/>
      <c r="F539" s="80"/>
      <c r="G539" s="81"/>
      <c r="H539" s="80"/>
      <c r="I539" s="80"/>
      <c r="J539" s="80"/>
      <c r="K539" s="80"/>
      <c r="L539" s="80"/>
      <c r="M539" s="80"/>
      <c r="N539" s="80" t="str">
        <f>IFERROR(__xludf.DUMMYFUNCTION("""COMPUTED_VALUE"""),"ü")</f>
        <v>ü</v>
      </c>
      <c r="O539" s="80"/>
      <c r="P539" s="80" t="str">
        <f>IFERROR(__xludf.DUMMYFUNCTION("""COMPUTED_VALUE"""),"MLO5500038CUMPOS")</f>
        <v>MLO5500038CUMPOS</v>
      </c>
      <c r="Q539" s="80" t="str">
        <f>IFERROR(__xludf.DUMMYFUNCTION("""COMPUTED_VALUE"""),"MUC WJ Store")</f>
        <v>MUC WJ Store</v>
      </c>
      <c r="R539" s="80" t="str">
        <f>IFERROR(__xludf.DUMMYFUNCTION("""COMPUTED_VALUE"""),"MUC WJ Store")</f>
        <v>MUC WJ Store</v>
      </c>
      <c r="S539" s="80" t="str">
        <f>IFERROR(__xludf.DUMMYFUNCTION("""COMPUTED_VALUE"""),"TEGUH BUDI PURWANTO")</f>
        <v>TEGUH BUDI PURWANTO</v>
      </c>
      <c r="T539" s="80" t="str">
        <f>IFERROR(__xludf.DUMMYFUNCTION("""COMPUTED_VALUE"""),"KARANGTENGAH RT.005 RW.003, KARANGTENGAH, KEMANGKON, KAB PURBALINGGA")</f>
        <v>KARANGTENGAH RT.005 RW.003, KARANGTENGAH, KEMANGKON, KAB PURBALINGGA</v>
      </c>
      <c r="U539" s="80" t="str">
        <f>IFERROR(__xludf.DUMMYFUNCTION("""COMPUTED_VALUE"""),"Jalan Raya, Kedungwuluh Satu")</f>
        <v>Jalan Raya, Kedungwuluh Satu</v>
      </c>
      <c r="V539" s="80"/>
      <c r="W539" s="80" t="str">
        <f>IFERROR(__xludf.DUMMYFUNCTION("""COMPUTED_VALUE"""),"Kedungwuluh")</f>
        <v>Kedungwuluh</v>
      </c>
      <c r="X539" s="80" t="str">
        <f>IFERROR(__xludf.DUMMYFUNCTION("""COMPUTED_VALUE"""),"Kalimanah")</f>
        <v>Kalimanah</v>
      </c>
      <c r="Y539" s="80" t="str">
        <f>IFERROR(__xludf.DUMMYFUNCTION("""COMPUTED_VALUE"""),"Kab. Purbalingga")</f>
        <v>Kab. Purbalingga</v>
      </c>
      <c r="Z539" s="80" t="str">
        <f>IFERROR(__xludf.DUMMYFUNCTION("""COMPUTED_VALUE"""),"Jawa Tengah")</f>
        <v>Jawa Tengah</v>
      </c>
      <c r="AA539" s="80" t="str">
        <f>IFERROR(__xludf.DUMMYFUNCTION("""COMPUTED_VALUE"""),"53371")</f>
        <v>53371</v>
      </c>
      <c r="AB539" s="80" t="str">
        <f>IFERROR(__xludf.DUMMYFUNCTION("""COMPUTED_VALUE"""),"3303010612710001")</f>
        <v>3303010612710001</v>
      </c>
      <c r="AC539" s="80" t="str">
        <f>IFERROR(__xludf.DUMMYFUNCTION("""COMPUTED_VALUE"""),"3303 0106 1271 0001")</f>
        <v>3303 0106 1271 0001</v>
      </c>
      <c r="AD539" s="80" t="str">
        <f>IFERROR(__xludf.DUMMYFUNCTION("""COMPUTED_VALUE"""),"CUM - PS - RYKY")</f>
        <v>CUM - PS - RYKY</v>
      </c>
      <c r="AE539" s="80" t="str">
        <f>IFERROR(__xludf.DUMMYFUNCTION("""COMPUTED_VALUE"""),"SUB ERTHA POS")</f>
        <v>SUB ERTHA POS</v>
      </c>
      <c r="AF539" s="80" t="str">
        <f>IFERROR(__xludf.DUMMYFUNCTION("""COMPUTED_VALUE"""),"082220534334")</f>
        <v>082220534334</v>
      </c>
      <c r="AG539" s="80"/>
      <c r="AH539" s="80" t="str">
        <f>IFERROR(__xludf.DUMMYFUNCTION("""COMPUTED_VALUE"""),"teguhbudi101@gmail.com")</f>
        <v>teguhbudi101@gmail.com</v>
      </c>
      <c r="AI539" s="80" t="str">
        <f>IFERROR(__xludf.DUMMYFUNCTION("""COMPUTED_VALUE"""),"53371S6")</f>
        <v>53371S6</v>
      </c>
      <c r="AJ539" s="80" t="str">
        <f>IFERROR(__xludf.DUMMYFUNCTION("""COMPUTED_VALUE"""),"686be05ea5dff51aae06e44b")</f>
        <v>686be05ea5dff51aae06e44b</v>
      </c>
      <c r="AK539" s="80" t="str">
        <f>IFERROR(__xludf.DUMMYFUNCTION("""COMPUTED_VALUE"""),"dm53371s6")</f>
        <v>dm53371s6</v>
      </c>
      <c r="AL539" s="80" t="str">
        <f>IFERROR(__xludf.DUMMYFUNCTION("""COMPUTED_VALUE"""),"#53371Pos")</f>
        <v>#53371Pos</v>
      </c>
      <c r="AM539" s="80" t="str">
        <f>IFERROR(__xludf.DUMMYFUNCTION("""COMPUTED_VALUE"""),"KANTOR REGIONAL IV SEMARANG 50004")</f>
        <v>KANTOR REGIONAL IV SEMARANG 50004</v>
      </c>
      <c r="AN539" s="80" t="str">
        <f>IFERROR(__xludf.DUMMYFUNCTION("""COMPUTED_VALUE"""),"KC PURBALINGGA")</f>
        <v>KC PURBALINGGA</v>
      </c>
      <c r="AO539" s="80" t="str">
        <f>IFERROR(__xludf.DUMMYFUNCTION("""COMPUTED_VALUE"""),"0302250095824")</f>
        <v>0302250095824</v>
      </c>
      <c r="AP539" s="80" t="str">
        <f>IFERROR(__xludf.DUMMYFUNCTION("""COMPUTED_VALUE"""),"03022500958240001")</f>
        <v>03022500958240001</v>
      </c>
      <c r="AQ539" s="83"/>
      <c r="AR539" s="80"/>
      <c r="AS539" s="80"/>
      <c r="AT539" s="80" t="str">
        <f>IFERROR(__xludf.DUMMYFUNCTION("""COMPUTED_VALUE"""),"-7.401525")</f>
        <v>-7.401525</v>
      </c>
      <c r="AU539" s="80" t="str">
        <f>IFERROR(__xludf.DUMMYFUNCTION("""COMPUTED_VALUE"""),"109.328975")</f>
        <v>109.328975</v>
      </c>
      <c r="AV539" s="80"/>
      <c r="AW539" s="80"/>
      <c r="AX539" s="80"/>
      <c r="AY539" s="80"/>
      <c r="AZ539" s="80"/>
      <c r="BA539" s="80"/>
      <c r="BB539" s="80"/>
      <c r="BC539" s="80"/>
      <c r="BD539" s="80"/>
      <c r="BE539" s="80"/>
      <c r="BF539" s="80"/>
      <c r="BG539" s="80"/>
      <c r="BH539" s="80"/>
      <c r="BI539" s="80"/>
      <c r="BJ539" s="80"/>
      <c r="BK539" s="80"/>
      <c r="BL539" s="80"/>
      <c r="BM539" s="80"/>
      <c r="BN539" s="80"/>
      <c r="BO539" s="80"/>
      <c r="BP539" s="80"/>
      <c r="BQ539" s="80"/>
      <c r="BR539" s="80"/>
      <c r="BS539" s="80"/>
      <c r="BT539" s="80"/>
      <c r="BU539" s="80"/>
      <c r="BV539" s="80"/>
      <c r="BW539" s="80"/>
      <c r="BX539" s="80" t="str">
        <f>IFERROR(__xludf.DUMMYFUNCTION("""COMPUTED_VALUE"""),"SELLER AKRILIK")</f>
        <v>SELLER AKRILIK</v>
      </c>
      <c r="BY539" s="80"/>
      <c r="BZ539" s="80"/>
      <c r="CA539" s="80"/>
      <c r="CB539" s="80"/>
      <c r="CC539" s="80"/>
      <c r="CD539" s="80"/>
      <c r="CE539" s="80"/>
      <c r="CF539" s="80"/>
      <c r="CG539" s="80"/>
      <c r="CH539" s="80"/>
      <c r="CI539" s="80"/>
      <c r="CJ539" s="80"/>
      <c r="CK539" s="2"/>
    </row>
    <row r="540" ht="12.75" customHeight="1">
      <c r="A540" s="85">
        <f>IFERROR(__xludf.DUMMYFUNCTION("""COMPUTED_VALUE"""),537.0)</f>
        <v>537</v>
      </c>
      <c r="B540" s="85"/>
      <c r="C540" s="85"/>
      <c r="D540" s="86">
        <f>IFERROR(__xludf.DUMMYFUNCTION("""COMPUTED_VALUE"""),45838.0)</f>
        <v>45838</v>
      </c>
      <c r="E540" s="88"/>
      <c r="F540" s="85"/>
      <c r="G540" s="86"/>
      <c r="H540" s="85"/>
      <c r="I540" s="85"/>
      <c r="J540" s="85"/>
      <c r="K540" s="85"/>
      <c r="L540" s="85"/>
      <c r="M540" s="85"/>
      <c r="N540" s="85" t="str">
        <f>IFERROR(__xludf.DUMMYFUNCTION("""COMPUTED_VALUE"""),"ü")</f>
        <v>ü</v>
      </c>
      <c r="O540" s="85"/>
      <c r="P540" s="85" t="str">
        <f>IFERROR(__xludf.DUMMYFUNCTION("""COMPUTED_VALUE"""),"MUCSPA63173PSIND")</f>
        <v>MUCSPA63173PSIND</v>
      </c>
      <c r="Q540" s="85" t="str">
        <f>IFERROR(__xludf.DUMMYFUNCTION("""COMPUTED_VALUE"""),"MUC KDMP SIKANCO NUSAWUNGU")</f>
        <v>MUC KDMP SIKANCO NUSAWUNGU</v>
      </c>
      <c r="R540" s="85" t="str">
        <f>IFERROR(__xludf.DUMMYFUNCTION("""COMPUTED_VALUE"""),"MUC KDMP SIKANCO NUSAWUNGU")</f>
        <v>MUC KDMP SIKANCO NUSAWUNGU</v>
      </c>
      <c r="S540" s="85" t="str">
        <f>IFERROR(__xludf.DUMMYFUNCTION("""COMPUTED_VALUE"""),"TONI SETYAWAN")</f>
        <v>TONI SETYAWAN</v>
      </c>
      <c r="T540" s="85" t="str">
        <f>IFERROR(__xludf.DUMMYFUNCTION("""COMPUTED_VALUE"""),"DUSUN GUNUNGJAYA RT.001 RW.003 SIKANCO NUSAWUNGU KAB.CILACAP")</f>
        <v>DUSUN GUNUNGJAYA RT.001 RW.003 SIKANCO NUSAWUNGU KAB.CILACAP</v>
      </c>
      <c r="U540" s="85" t="str">
        <f>IFERROR(__xludf.DUMMYFUNCTION("""COMPUTED_VALUE"""),"Jl. Jend. Soedirman No. 8 RT 001 RW 003 Dusun Gunung Jaya")</f>
        <v>Jl. Jend. Soedirman No. 8 RT 001 RW 003 Dusun Gunung Jaya</v>
      </c>
      <c r="V540" s="85"/>
      <c r="W540" s="85" t="str">
        <f>IFERROR(__xludf.DUMMYFUNCTION("""COMPUTED_VALUE"""),"Sikanco")</f>
        <v>Sikanco</v>
      </c>
      <c r="X540" s="85" t="str">
        <f>IFERROR(__xludf.DUMMYFUNCTION("""COMPUTED_VALUE"""),"Nusawungu")</f>
        <v>Nusawungu</v>
      </c>
      <c r="Y540" s="85" t="str">
        <f>IFERROR(__xludf.DUMMYFUNCTION("""COMPUTED_VALUE"""),"Cilacap")</f>
        <v>Cilacap</v>
      </c>
      <c r="Z540" s="85" t="str">
        <f>IFERROR(__xludf.DUMMYFUNCTION("""COMPUTED_VALUE"""),"Jawa Tengah")</f>
        <v>Jawa Tengah</v>
      </c>
      <c r="AA540" s="85" t="str">
        <f>IFERROR(__xludf.DUMMYFUNCTION("""COMPUTED_VALUE"""),"53283")</f>
        <v>53283</v>
      </c>
      <c r="AB540" s="85" t="str">
        <f>IFERROR(__xludf.DUMMYFUNCTION("""COMPUTED_VALUE"""),"3301051807820001")</f>
        <v>3301051807820001</v>
      </c>
      <c r="AC540" s="85" t="str">
        <f>IFERROR(__xludf.DUMMYFUNCTION("""COMPUTED_VALUE"""),"1000 0000 0316 6469")</f>
        <v>1000 0000 0316 6469</v>
      </c>
      <c r="AD540" s="85" t="str">
        <f>IFERROR(__xludf.DUMMYFUNCTION("""COMPUTED_VALUE"""),"CUM - PS - NVWT")</f>
        <v>CUM - PS - NVWT</v>
      </c>
      <c r="AE540" s="85" t="str">
        <f>IFERROR(__xludf.DUMMYFUNCTION("""COMPUTED_VALUE"""),"SUB NOVY POS")</f>
        <v>SUB NOVY POS</v>
      </c>
      <c r="AF540" s="85" t="str">
        <f>IFERROR(__xludf.DUMMYFUNCTION("""COMPUTED_VALUE"""),"081327379667")</f>
        <v>081327379667</v>
      </c>
      <c r="AG540" s="85"/>
      <c r="AH540" s="85" t="str">
        <f>IFERROR(__xludf.DUMMYFUNCTION("""COMPUTED_VALUE"""),"kdmp.desa.sikanco@gmail.com")</f>
        <v>kdmp.desa.sikanco@gmail.com</v>
      </c>
      <c r="AI540" s="85" t="str">
        <f>IFERROR(__xludf.DUMMYFUNCTION("""COMPUTED_VALUE"""),"53283S6")</f>
        <v>53283S6</v>
      </c>
      <c r="AJ540" s="85" t="str">
        <f>IFERROR(__xludf.DUMMYFUNCTION("""COMPUTED_VALUE"""),"6874b855b20c744ac80f541d")</f>
        <v>6874b855b20c744ac80f541d</v>
      </c>
      <c r="AK540" s="85" t="str">
        <f>IFERROR(__xludf.DUMMYFUNCTION("""COMPUTED_VALUE"""),"dm53283s6")</f>
        <v>dm53283s6</v>
      </c>
      <c r="AL540" s="85" t="str">
        <f>IFERROR(__xludf.DUMMYFUNCTION("""COMPUTED_VALUE"""),"#53283Pos")</f>
        <v>#53283Pos</v>
      </c>
      <c r="AM540" s="85" t="str">
        <f>IFERROR(__xludf.DUMMYFUNCTION("""COMPUTED_VALUE"""),"KANTOR REGIONAL IV SEMARANG 50004")</f>
        <v>KANTOR REGIONAL IV SEMARANG 50004</v>
      </c>
      <c r="AN540" s="85" t="str">
        <f>IFERROR(__xludf.DUMMYFUNCTION("""COMPUTED_VALUE"""),"KC CILACAP ")</f>
        <v>KC CILACAP </v>
      </c>
      <c r="AO540" s="85" t="str">
        <f>IFERROR(__xludf.DUMMYFUNCTION("""COMPUTED_VALUE"""),"2006250078775")</f>
        <v>2006250078775</v>
      </c>
      <c r="AP540" s="85" t="str">
        <f>IFERROR(__xludf.DUMMYFUNCTION("""COMPUTED_VALUE"""),"20062500787750020")</f>
        <v>20062500787750020</v>
      </c>
      <c r="AQ540" s="93"/>
      <c r="AR540" s="85"/>
      <c r="AS540" s="85"/>
      <c r="AT540" s="85" t="str">
        <f>IFERROR(__xludf.DUMMYFUNCTION("""COMPUTED_VALUE"""),"-7.63965")</f>
        <v>-7.63965</v>
      </c>
      <c r="AU540" s="85" t="str">
        <f>IFERROR(__xludf.DUMMYFUNCTION("""COMPUTED_VALUE"""),"109.29721")</f>
        <v>109.29721</v>
      </c>
      <c r="AV540" s="85"/>
      <c r="AW540" s="85"/>
      <c r="AX540" s="85"/>
      <c r="AY540" s="85"/>
      <c r="AZ540" s="85"/>
      <c r="BA540" s="85"/>
      <c r="BB540" s="85"/>
      <c r="BC540" s="85"/>
      <c r="BD540" s="85"/>
      <c r="BE540" s="85"/>
      <c r="BF540" s="85"/>
      <c r="BG540" s="85"/>
      <c r="BH540" s="85"/>
      <c r="BI540" s="85"/>
      <c r="BJ540" s="85"/>
      <c r="BK540" s="85"/>
      <c r="BL540" s="85"/>
      <c r="BM540" s="85"/>
      <c r="BN540" s="85"/>
      <c r="BO540" s="85"/>
      <c r="BP540" s="85"/>
      <c r="BQ540" s="85"/>
      <c r="BR540" s="85"/>
      <c r="BS540" s="85"/>
      <c r="BT540" s="85"/>
      <c r="BU540" s="85"/>
      <c r="BV540" s="85"/>
      <c r="BW540" s="85"/>
      <c r="BX540" s="85" t="str">
        <f>IFERROR(__xludf.DUMMYFUNCTION("""COMPUTED_VALUE"""),"KDMP")</f>
        <v>KDMP</v>
      </c>
      <c r="BY540" s="85"/>
      <c r="BZ540" s="85"/>
      <c r="CA540" s="85"/>
      <c r="CB540" s="85"/>
      <c r="CC540" s="85"/>
      <c r="CD540" s="85"/>
      <c r="CE540" s="85"/>
      <c r="CF540" s="85"/>
      <c r="CG540" s="85"/>
      <c r="CH540" s="85"/>
      <c r="CI540" s="85"/>
      <c r="CJ540" s="85"/>
      <c r="CK540" s="2"/>
    </row>
    <row r="541" ht="12.75" customHeight="1">
      <c r="A541" s="80">
        <f>IFERROR(__xludf.DUMMYFUNCTION("""COMPUTED_VALUE"""),538.0)</f>
        <v>538</v>
      </c>
      <c r="B541" s="80"/>
      <c r="C541" s="80"/>
      <c r="D541" s="81">
        <f>IFERROR(__xludf.DUMMYFUNCTION("""COMPUTED_VALUE"""),45838.0)</f>
        <v>45838</v>
      </c>
      <c r="E541" s="82"/>
      <c r="F541" s="80"/>
      <c r="G541" s="81">
        <f>IFERROR(__xludf.DUMMYFUNCTION("""COMPUTED_VALUE"""),45866.0)</f>
        <v>45866</v>
      </c>
      <c r="H541" s="80"/>
      <c r="I541" s="80"/>
      <c r="J541" s="80"/>
      <c r="K541" s="80"/>
      <c r="L541" s="80">
        <f>IFERROR(__xludf.DUMMYFUNCTION("""COMPUTED_VALUE"""),28.0)</f>
        <v>28</v>
      </c>
      <c r="M541" s="80" t="str">
        <f>IFERROR(__xludf.DUMMYFUNCTION("""COMPUTED_VALUE"""),"ü")</f>
        <v>ü</v>
      </c>
      <c r="N541" s="80"/>
      <c r="O541" s="80"/>
      <c r="P541" s="80" t="str">
        <f>IFERROR(__xludf.DUMMYFUNCTION("""COMPUTED_VALUE"""),"MUCSPA63174PSIND")</f>
        <v>MUCSPA63174PSIND</v>
      </c>
      <c r="Q541" s="80" t="str">
        <f>IFERROR(__xludf.DUMMYFUNCTION("""COMPUTED_VALUE"""),"MUC DNA")</f>
        <v>MUC DNA</v>
      </c>
      <c r="R541" s="80" t="str">
        <f>IFERROR(__xludf.DUMMYFUNCTION("""COMPUTED_VALUE"""),"MUC DNA")</f>
        <v>MUC DNA</v>
      </c>
      <c r="S541" s="80" t="str">
        <f>IFERROR(__xludf.DUMMYFUNCTION("""COMPUTED_VALUE"""),"Muhammad Faiqal Arsyad")</f>
        <v>Muhammad Faiqal Arsyad</v>
      </c>
      <c r="T541" s="80" t="str">
        <f>IFERROR(__xludf.DUMMYFUNCTION("""COMPUTED_VALUE"""),"PAMOTAN RT 01 RW 07, PAMOTAN, PAMOTAN, REMBANG")</f>
        <v>PAMOTAN RT 01 RW 07, PAMOTAN, PAMOTAN, REMBANG</v>
      </c>
      <c r="U541" s="80" t="str">
        <f>IFERROR(__xludf.DUMMYFUNCTION("""COMPUTED_VALUE"""),"link karangjati rt 02 rw 01")</f>
        <v>link karangjati rt 02 rw 01</v>
      </c>
      <c r="V541" s="80"/>
      <c r="W541" s="80" t="str">
        <f>IFERROR(__xludf.DUMMYFUNCTION("""COMPUTED_VALUE"""),"Karangjati")</f>
        <v>Karangjati</v>
      </c>
      <c r="X541" s="80" t="str">
        <f>IFERROR(__xludf.DUMMYFUNCTION("""COMPUTED_VALUE"""),"Bergas")</f>
        <v>Bergas</v>
      </c>
      <c r="Y541" s="80" t="str">
        <f>IFERROR(__xludf.DUMMYFUNCTION("""COMPUTED_VALUE"""),"Semarang")</f>
        <v>Semarang</v>
      </c>
      <c r="Z541" s="80" t="str">
        <f>IFERROR(__xludf.DUMMYFUNCTION("""COMPUTED_VALUE"""),"Jawa Tengah")</f>
        <v>Jawa Tengah</v>
      </c>
      <c r="AA541" s="80" t="str">
        <f>IFERROR(__xludf.DUMMYFUNCTION("""COMPUTED_VALUE"""),"50552")</f>
        <v>50552</v>
      </c>
      <c r="AB541" s="80" t="str">
        <f>IFERROR(__xludf.DUMMYFUNCTION("""COMPUTED_VALUE"""),"3317072004000003")</f>
        <v>3317072004000003</v>
      </c>
      <c r="AC541" s="80" t="str">
        <f>IFERROR(__xludf.DUMMYFUNCTION("""COMPUTED_VALUE"""),"28.578.084.7-505.000")</f>
        <v>28.578.084.7-505.000</v>
      </c>
      <c r="AD541" s="80" t="str">
        <f>IFERROR(__xludf.DUMMYFUNCTION("""COMPUTED_VALUE"""),"CUM - PS - NONKORGEN")</f>
        <v>CUM - PS - NONKORGEN</v>
      </c>
      <c r="AE541" s="80" t="str">
        <f>IFERROR(__xludf.DUMMYFUNCTION("""COMPUTED_VALUE"""),"BU RENI EM UNGARAN")</f>
        <v>BU RENI EM UNGARAN</v>
      </c>
      <c r="AF541" s="80" t="str">
        <f>IFERROR(__xludf.DUMMYFUNCTION("""COMPUTED_VALUE"""),"082141414058")</f>
        <v>082141414058</v>
      </c>
      <c r="AG541" s="80"/>
      <c r="AH541" s="80" t="str">
        <f>IFERROR(__xludf.DUMMYFUNCTION("""COMPUTED_VALUE"""),"dutanusantaraangkasa@gmail.com")</f>
        <v>dutanusantaraangkasa@gmail.com</v>
      </c>
      <c r="AI541" s="80" t="str">
        <f>IFERROR(__xludf.DUMMYFUNCTION("""COMPUTED_VALUE"""),"50552S6")</f>
        <v>50552S6</v>
      </c>
      <c r="AJ541" s="80" t="str">
        <f>IFERROR(__xludf.DUMMYFUNCTION("""COMPUTED_VALUE"""),"688376e7d55eb82ec60ad3f7")</f>
        <v>688376e7d55eb82ec60ad3f7</v>
      </c>
      <c r="AK541" s="80" t="str">
        <f>IFERROR(__xludf.DUMMYFUNCTION("""COMPUTED_VALUE"""),"dm50552s6")</f>
        <v>dm50552s6</v>
      </c>
      <c r="AL541" s="80" t="str">
        <f>IFERROR(__xludf.DUMMYFUNCTION("""COMPUTED_VALUE"""),"#50552Pos")</f>
        <v>#50552Pos</v>
      </c>
      <c r="AM541" s="80" t="str">
        <f>IFERROR(__xludf.DUMMYFUNCTION("""COMPUTED_VALUE"""),"KANTOR REGIONAL IV SEMARANG 50004")</f>
        <v>KANTOR REGIONAL IV SEMARANG 50004</v>
      </c>
      <c r="AN541" s="80" t="str">
        <f>IFERROR(__xludf.DUMMYFUNCTION("""COMPUTED_VALUE"""),"KC UNGARAN")</f>
        <v>KC UNGARAN</v>
      </c>
      <c r="AO541" s="80" t="str">
        <f>IFERROR(__xludf.DUMMYFUNCTION("""COMPUTED_VALUE"""),"0101250021589")</f>
        <v>0101250021589</v>
      </c>
      <c r="AP541" s="80" t="str">
        <f>IFERROR(__xludf.DUMMYFUNCTION("""COMPUTED_VALUE"""),"01012500215890003")</f>
        <v>01012500215890003</v>
      </c>
      <c r="AQ541" s="83"/>
      <c r="AR541" s="80"/>
      <c r="AS541" s="80"/>
      <c r="AT541" s="80" t="str">
        <f>IFERROR(__xludf.DUMMYFUNCTION("""COMPUTED_VALUE"""),"-7,1849794")</f>
        <v>-7,1849794</v>
      </c>
      <c r="AU541" s="80" t="str">
        <f>IFERROR(__xludf.DUMMYFUNCTION("""COMPUTED_VALUE"""),"110,4285270")</f>
        <v>110,4285270</v>
      </c>
      <c r="AV541" s="80"/>
      <c r="AW541" s="80"/>
      <c r="AX541" s="80"/>
      <c r="AY541" s="80"/>
      <c r="AZ541" s="80"/>
      <c r="BA541" s="80"/>
      <c r="BB541" s="80"/>
      <c r="BC541" s="80"/>
      <c r="BD541" s="80"/>
      <c r="BE541" s="80"/>
      <c r="BF541" s="80"/>
      <c r="BG541" s="80"/>
      <c r="BH541" s="80"/>
      <c r="BI541" s="80"/>
      <c r="BJ541" s="80"/>
      <c r="BK541" s="80"/>
      <c r="BL541" s="80"/>
      <c r="BM541" s="80"/>
      <c r="BN541" s="80"/>
      <c r="BO541" s="80"/>
      <c r="BP541" s="80"/>
      <c r="BQ541" s="80"/>
      <c r="BR541" s="80"/>
      <c r="BS541" s="80"/>
      <c r="BT541" s="80"/>
      <c r="BU541" s="80"/>
      <c r="BV541" s="80"/>
      <c r="BW541" s="80"/>
      <c r="BX541" s="80" t="str">
        <f>IFERROR(__xludf.DUMMYFUNCTION("""COMPUTED_VALUE"""),"NEWBIE")</f>
        <v>NEWBIE</v>
      </c>
      <c r="BY541" s="80"/>
      <c r="BZ541" s="80"/>
      <c r="CA541" s="80"/>
      <c r="CB541" s="80"/>
      <c r="CC541" s="80"/>
      <c r="CD541" s="80"/>
      <c r="CE541" s="80"/>
      <c r="CF541" s="80"/>
      <c r="CG541" s="80"/>
      <c r="CH541" s="80"/>
      <c r="CI541" s="80"/>
      <c r="CJ541" s="80"/>
      <c r="CK541" s="2"/>
    </row>
    <row r="542" ht="12.75" customHeight="1">
      <c r="A542" s="85">
        <f>IFERROR(__xludf.DUMMYFUNCTION("""COMPUTED_VALUE"""),539.0)</f>
        <v>539</v>
      </c>
      <c r="B542" s="85"/>
      <c r="C542" s="85"/>
      <c r="D542" s="86">
        <f>IFERROR(__xludf.DUMMYFUNCTION("""COMPUTED_VALUE"""),45839.0)</f>
        <v>45839</v>
      </c>
      <c r="E542" s="88"/>
      <c r="F542" s="85"/>
      <c r="G542" s="86"/>
      <c r="H542" s="85"/>
      <c r="I542" s="85"/>
      <c r="J542" s="85"/>
      <c r="K542" s="85"/>
      <c r="L542" s="85"/>
      <c r="M542" s="85" t="str">
        <f>IFERROR(__xludf.DUMMYFUNCTION("""COMPUTED_VALUE"""),"ü")</f>
        <v>ü</v>
      </c>
      <c r="N542" s="85"/>
      <c r="O542" s="85"/>
      <c r="P542" s="85" t="str">
        <f>IFERROR(__xludf.DUMMYFUNCTION("""COMPUTED_VALUE"""),"MUCSPA63175PSIND")</f>
        <v>MUCSPA63175PSIND</v>
      </c>
      <c r="Q542" s="85" t="str">
        <f>IFERROR(__xludf.DUMMYFUNCTION("""COMPUTED_VALUE"""),"MUC Semanggi Dewutan")</f>
        <v>MUC Semanggi Dewutan</v>
      </c>
      <c r="R542" s="85" t="str">
        <f>IFERROR(__xludf.DUMMYFUNCTION("""COMPUTED_VALUE"""),"MUC Semanggi Dewutan")</f>
        <v>MUC Semanggi Dewutan</v>
      </c>
      <c r="S542" s="85" t="str">
        <f>IFERROR(__xludf.DUMMYFUNCTION("""COMPUTED_VALUE"""),"Ir. AGUSTINUS AGUS TERDJAKAHANA")</f>
        <v>Ir. AGUSTINUS AGUS TERDJAKAHANA</v>
      </c>
      <c r="T542" s="85" t="str">
        <f>IFERROR(__xludf.DUMMYFUNCTION("""COMPUTED_VALUE"""),"JL PELANGI SELATAN 6 RT.02 RW.28 MOJOSONGO, JEBRES, KOTA SURAKARTA JAWA TENGAH")</f>
        <v>JL PELANGI SELATAN 6 RT.02 RW.28 MOJOSONGO, JEBRES, KOTA SURAKARTA JAWA TENGAH</v>
      </c>
      <c r="U542" s="85" t="str">
        <f>IFERROR(__xludf.DUMMYFUNCTION("""COMPUTED_VALUE"""),"Jl. Dewutan No 143 RT 01/ 13")</f>
        <v>Jl. Dewutan No 143 RT 01/ 13</v>
      </c>
      <c r="V542" s="85"/>
      <c r="W542" s="85" t="str">
        <f>IFERROR(__xludf.DUMMYFUNCTION("""COMPUTED_VALUE"""),"Semanggi")</f>
        <v>Semanggi</v>
      </c>
      <c r="X542" s="85" t="str">
        <f>IFERROR(__xludf.DUMMYFUNCTION("""COMPUTED_VALUE"""),"Pasar Kliwon")</f>
        <v>Pasar Kliwon</v>
      </c>
      <c r="Y542" s="85" t="str">
        <f>IFERROR(__xludf.DUMMYFUNCTION("""COMPUTED_VALUE"""),"Surakarta")</f>
        <v>Surakarta</v>
      </c>
      <c r="Z542" s="85" t="str">
        <f>IFERROR(__xludf.DUMMYFUNCTION("""COMPUTED_VALUE"""),"Jawa Tengah")</f>
        <v>Jawa Tengah</v>
      </c>
      <c r="AA542" s="85" t="str">
        <f>IFERROR(__xludf.DUMMYFUNCTION("""COMPUTED_VALUE"""),"57117")</f>
        <v>57117</v>
      </c>
      <c r="AB542" s="85" t="str">
        <f>IFERROR(__xludf.DUMMYFUNCTION("""COMPUTED_VALUE"""),"3372040208640001")</f>
        <v>3372040208640001</v>
      </c>
      <c r="AC542" s="85" t="str">
        <f>IFERROR(__xludf.DUMMYFUNCTION("""COMPUTED_VALUE"""),"24.340.974.50529.000")</f>
        <v>24.340.974.50529.000</v>
      </c>
      <c r="AD542" s="85" t="str">
        <f>IFERROR(__xludf.DUMMYFUNCTION("""COMPUTED_VALUE"""),"CUM - PS - RFSI")</f>
        <v>CUM - PS - RFSI</v>
      </c>
      <c r="AE542" s="85" t="str">
        <f>IFERROR(__xludf.DUMMYFUNCTION("""COMPUTED_VALUE"""),"SUB RIZKI POS")</f>
        <v>SUB RIZKI POS</v>
      </c>
      <c r="AF542" s="85" t="str">
        <f>IFERROR(__xludf.DUMMYFUNCTION("""COMPUTED_VALUE"""),"081228452016")</f>
        <v>081228452016</v>
      </c>
      <c r="AG542" s="85"/>
      <c r="AH542" s="85" t="str">
        <f>IFERROR(__xludf.DUMMYFUNCTION("""COMPUTED_VALUE"""),"agustinus.at@gmail.com")</f>
        <v>agustinus.at@gmail.com</v>
      </c>
      <c r="AI542" s="85" t="str">
        <f>IFERROR(__xludf.DUMMYFUNCTION("""COMPUTED_VALUE"""),"57117S2")</f>
        <v>57117S2</v>
      </c>
      <c r="AJ542" s="85" t="str">
        <f>IFERROR(__xludf.DUMMYFUNCTION("""COMPUTED_VALUE"""),"6871b229548dbe54000c35c3")</f>
        <v>6871b229548dbe54000c35c3</v>
      </c>
      <c r="AK542" s="85" t="str">
        <f>IFERROR(__xludf.DUMMYFUNCTION("""COMPUTED_VALUE"""),"dm57117s2")</f>
        <v>dm57117s2</v>
      </c>
      <c r="AL542" s="85" t="str">
        <f>IFERROR(__xludf.DUMMYFUNCTION("""COMPUTED_VALUE"""),"#57117Pos")</f>
        <v>#57117Pos</v>
      </c>
      <c r="AM542" s="85" t="str">
        <f>IFERROR(__xludf.DUMMYFUNCTION("""COMPUTED_VALUE"""),"KANTOR REGIONAL IV SEMARANG 50004")</f>
        <v>KANTOR REGIONAL IV SEMARANG 50004</v>
      </c>
      <c r="AN542" s="85" t="str">
        <f>IFERROR(__xludf.DUMMYFUNCTION("""COMPUTED_VALUE"""),"KCU SOLO 57100")</f>
        <v>KCU SOLO 57100</v>
      </c>
      <c r="AO542" s="85" t="str">
        <f>IFERROR(__xludf.DUMMYFUNCTION("""COMPUTED_VALUE"""),"2006250042064")</f>
        <v>2006250042064</v>
      </c>
      <c r="AP542" s="85" t="str">
        <f>IFERROR(__xludf.DUMMYFUNCTION("""COMPUTED_VALUE"""),"20062500420640001")</f>
        <v>20062500420640001</v>
      </c>
      <c r="AQ542" s="93"/>
      <c r="AR542" s="85"/>
      <c r="AS542" s="85"/>
      <c r="AT542" s="85" t="str">
        <f>IFERROR(__xludf.DUMMYFUNCTION("""COMPUTED_VALUE"""),"-7.583416")</f>
        <v>-7.583416</v>
      </c>
      <c r="AU542" s="85" t="str">
        <f>IFERROR(__xludf.DUMMYFUNCTION("""COMPUTED_VALUE"""),"110.831654")</f>
        <v>110.831654</v>
      </c>
      <c r="AV542" s="85"/>
      <c r="AW542" s="85"/>
      <c r="AX542" s="85"/>
      <c r="AY542" s="85"/>
      <c r="AZ542" s="85"/>
      <c r="BA542" s="85"/>
      <c r="BB542" s="85"/>
      <c r="BC542" s="85"/>
      <c r="BD542" s="85"/>
      <c r="BE542" s="85"/>
      <c r="BF542" s="85"/>
      <c r="BG542" s="85"/>
      <c r="BH542" s="85"/>
      <c r="BI542" s="85"/>
      <c r="BJ542" s="85"/>
      <c r="BK542" s="85"/>
      <c r="BL542" s="85"/>
      <c r="BM542" s="85"/>
      <c r="BN542" s="85"/>
      <c r="BO542" s="85"/>
      <c r="BP542" s="85"/>
      <c r="BQ542" s="85"/>
      <c r="BR542" s="85"/>
      <c r="BS542" s="85"/>
      <c r="BT542" s="85"/>
      <c r="BU542" s="85"/>
      <c r="BV542" s="85"/>
      <c r="BW542" s="85"/>
      <c r="BX542" s="85" t="str">
        <f>IFERROR(__xludf.DUMMYFUNCTION("""COMPUTED_VALUE"""),"MULTIKURIR - NINJA EXPRESS")</f>
        <v>MULTIKURIR - NINJA EXPRESS</v>
      </c>
      <c r="BY542" s="85"/>
      <c r="BZ542" s="85"/>
      <c r="CA542" s="85"/>
      <c r="CB542" s="85"/>
      <c r="CC542" s="85"/>
      <c r="CD542" s="85"/>
      <c r="CE542" s="85"/>
      <c r="CF542" s="85"/>
      <c r="CG542" s="85"/>
      <c r="CH542" s="85"/>
      <c r="CI542" s="85"/>
      <c r="CJ542" s="85"/>
      <c r="CK542" s="2"/>
    </row>
    <row r="543" ht="12.75" customHeight="1">
      <c r="A543" s="80">
        <f>IFERROR(__xludf.DUMMYFUNCTION("""COMPUTED_VALUE"""),540.0)</f>
        <v>540</v>
      </c>
      <c r="B543" s="80"/>
      <c r="C543" s="80"/>
      <c r="D543" s="81">
        <f>IFERROR(__xludf.DUMMYFUNCTION("""COMPUTED_VALUE"""),45839.0)</f>
        <v>45839</v>
      </c>
      <c r="E543" s="82"/>
      <c r="F543" s="80"/>
      <c r="G543" s="81">
        <f>IFERROR(__xludf.DUMMYFUNCTION("""COMPUTED_VALUE"""),45867.0)</f>
        <v>45867</v>
      </c>
      <c r="H543" s="80"/>
      <c r="I543" s="80"/>
      <c r="J543" s="80"/>
      <c r="K543" s="80"/>
      <c r="L543" s="80">
        <f>IFERROR(__xludf.DUMMYFUNCTION("""COMPUTED_VALUE"""),28.0)</f>
        <v>28</v>
      </c>
      <c r="M543" s="80" t="str">
        <f>IFERROR(__xludf.DUMMYFUNCTION("""COMPUTED_VALUE"""),"ü")</f>
        <v>ü</v>
      </c>
      <c r="N543" s="80"/>
      <c r="O543" s="80"/>
      <c r="P543" s="80" t="str">
        <f>IFERROR(__xludf.DUMMYFUNCTION("""COMPUTED_VALUE"""),"MUCSPA63176PSIND")</f>
        <v>MUCSPA63176PSIND</v>
      </c>
      <c r="Q543" s="80" t="str">
        <f>IFERROR(__xludf.DUMMYFUNCTION("""COMPUTED_VALUE"""),"MUC SANTI")</f>
        <v>MUC SANTI</v>
      </c>
      <c r="R543" s="80" t="str">
        <f>IFERROR(__xludf.DUMMYFUNCTION("""COMPUTED_VALUE"""),"MUC SANTI")</f>
        <v>MUC SANTI</v>
      </c>
      <c r="S543" s="80" t="str">
        <f>IFERROR(__xludf.DUMMYFUNCTION("""COMPUTED_VALUE"""),"TRI SUSANTI")</f>
        <v>TRI SUSANTI</v>
      </c>
      <c r="T543" s="80" t="str">
        <f>IFERROR(__xludf.DUMMYFUNCTION("""COMPUTED_VALUE"""),"TEGALWANGI RT 006 RW 002 TEGALWANGI TALANG KAB. TEGAL")</f>
        <v>TEGALWANGI RT 006 RW 002 TEGALWANGI TALANG KAB. TEGAL</v>
      </c>
      <c r="U543" s="80" t="str">
        <f>IFERROR(__xludf.DUMMYFUNCTION("""COMPUTED_VALUE"""),"JL. RAYA TEGALWANGI WIRANTAKAN")</f>
        <v>JL. RAYA TEGALWANGI WIRANTAKAN</v>
      </c>
      <c r="V543" s="80"/>
      <c r="W543" s="80" t="str">
        <f>IFERROR(__xludf.DUMMYFUNCTION("""COMPUTED_VALUE"""),"TEGALWANGI")</f>
        <v>TEGALWANGI</v>
      </c>
      <c r="X543" s="80" t="str">
        <f>IFERROR(__xludf.DUMMYFUNCTION("""COMPUTED_VALUE"""),"TALANG")</f>
        <v>TALANG</v>
      </c>
      <c r="Y543" s="80" t="str">
        <f>IFERROR(__xludf.DUMMYFUNCTION("""COMPUTED_VALUE"""),"KAB. TEGAL")</f>
        <v>KAB. TEGAL</v>
      </c>
      <c r="Z543" s="80" t="str">
        <f>IFERROR(__xludf.DUMMYFUNCTION("""COMPUTED_VALUE"""),"JAWA TENGAH")</f>
        <v>JAWA TENGAH</v>
      </c>
      <c r="AA543" s="80" t="str">
        <f>IFERROR(__xludf.DUMMYFUNCTION("""COMPUTED_VALUE"""),"52193")</f>
        <v>52193</v>
      </c>
      <c r="AB543" s="80" t="str">
        <f>IFERROR(__xludf.DUMMYFUNCTION("""COMPUTED_VALUE"""),"3328136906800002")</f>
        <v>3328136906800002</v>
      </c>
      <c r="AC543" s="80" t="str">
        <f>IFERROR(__xludf.DUMMYFUNCTION("""COMPUTED_VALUE"""),"3328 1369 0680 0002")</f>
        <v>3328 1369 0680 0002</v>
      </c>
      <c r="AD543" s="80" t="str">
        <f>IFERROR(__xludf.DUMMYFUNCTION("""COMPUTED_VALUE"""),"CUM - PS - SYF")</f>
        <v>CUM - PS - SYF</v>
      </c>
      <c r="AE543" s="80" t="str">
        <f>IFERROR(__xludf.DUMMYFUNCTION("""COMPUTED_VALUE"""),"SUB SYAIFULLOH POS")</f>
        <v>SUB SYAIFULLOH POS</v>
      </c>
      <c r="AF543" s="80" t="str">
        <f>IFERROR(__xludf.DUMMYFUNCTION("""COMPUTED_VALUE"""),"085293118585")</f>
        <v>085293118585</v>
      </c>
      <c r="AG543" s="80"/>
      <c r="AH543" s="80" t="str">
        <f>IFERROR(__xludf.DUMMYFUNCTION("""COMPUTED_VALUE"""),"trisusanti290680@gmail.com")</f>
        <v>trisusanti290680@gmail.com</v>
      </c>
      <c r="AI543" s="80" t="str">
        <f>IFERROR(__xludf.DUMMYFUNCTION("""COMPUTED_VALUE"""),"52493S9")</f>
        <v>52493S9</v>
      </c>
      <c r="AJ543" s="80" t="str">
        <f>IFERROR(__xludf.DUMMYFUNCTION("""COMPUTED_VALUE"""),"68871af8b7cbe992e1059b2e")</f>
        <v>68871af8b7cbe992e1059b2e</v>
      </c>
      <c r="AK543" s="80" t="str">
        <f>IFERROR(__xludf.DUMMYFUNCTION("""COMPUTED_VALUE"""),"dm52493s9")</f>
        <v>dm52493s9</v>
      </c>
      <c r="AL543" s="80" t="str">
        <f>IFERROR(__xludf.DUMMYFUNCTION("""COMPUTED_VALUE"""),"#52493Pos")</f>
        <v>#52493Pos</v>
      </c>
      <c r="AM543" s="80" t="str">
        <f>IFERROR(__xludf.DUMMYFUNCTION("""COMPUTED_VALUE"""),"KANTOR REGIONAL IV SEMARANG 50004")</f>
        <v>KANTOR REGIONAL IV SEMARANG 50004</v>
      </c>
      <c r="AN543" s="80" t="str">
        <f>IFERROR(__xludf.DUMMYFUNCTION("""COMPUTED_VALUE"""),"KC TEGAL 52100")</f>
        <v>KC TEGAL 52100</v>
      </c>
      <c r="AO543" s="80" t="str">
        <f>IFERROR(__xludf.DUMMYFUNCTION("""COMPUTED_VALUE"""),"0107250040769")</f>
        <v>0107250040769</v>
      </c>
      <c r="AP543" s="80" t="str">
        <f>IFERROR(__xludf.DUMMYFUNCTION("""COMPUTED_VALUE"""),"01072500407690001 ")</f>
        <v>01072500407690001 </v>
      </c>
      <c r="AQ543" s="83"/>
      <c r="AR543" s="80"/>
      <c r="AS543" s="80"/>
      <c r="AT543" s="80" t="str">
        <f>IFERROR(__xludf.DUMMYFUNCTION("""COMPUTED_VALUE"""),"-6.9084976")</f>
        <v>-6.9084976</v>
      </c>
      <c r="AU543" s="80" t="str">
        <f>IFERROR(__xludf.DUMMYFUNCTION("""COMPUTED_VALUE"""),"109.1280048")</f>
        <v>109.1280048</v>
      </c>
      <c r="AV543" s="80"/>
      <c r="AW543" s="80"/>
      <c r="AX543" s="80"/>
      <c r="AY543" s="80"/>
      <c r="AZ543" s="80"/>
      <c r="BA543" s="80"/>
      <c r="BB543" s="80"/>
      <c r="BC543" s="80"/>
      <c r="BD543" s="80"/>
      <c r="BE543" s="80"/>
      <c r="BF543" s="80"/>
      <c r="BG543" s="80"/>
      <c r="BH543" s="80"/>
      <c r="BI543" s="80"/>
      <c r="BJ543" s="80"/>
      <c r="BK543" s="80"/>
      <c r="BL543" s="80"/>
      <c r="BM543" s="80"/>
      <c r="BN543" s="80"/>
      <c r="BO543" s="80"/>
      <c r="BP543" s="80"/>
      <c r="BQ543" s="80"/>
      <c r="BR543" s="80"/>
      <c r="BS543" s="80"/>
      <c r="BT543" s="80"/>
      <c r="BU543" s="80"/>
      <c r="BV543" s="80"/>
      <c r="BW543" s="80"/>
      <c r="BX543" s="80" t="str">
        <f>IFERROR(__xludf.DUMMYFUNCTION("""COMPUTED_VALUE"""),"NEWBIE")</f>
        <v>NEWBIE</v>
      </c>
      <c r="BY543" s="80"/>
      <c r="BZ543" s="80"/>
      <c r="CA543" s="80"/>
      <c r="CB543" s="80"/>
      <c r="CC543" s="80"/>
      <c r="CD543" s="80"/>
      <c r="CE543" s="80"/>
      <c r="CF543" s="80"/>
      <c r="CG543" s="80"/>
      <c r="CH543" s="80"/>
      <c r="CI543" s="80"/>
      <c r="CJ543" s="80"/>
      <c r="CK543" s="2"/>
    </row>
    <row r="544" ht="12.75" customHeight="1">
      <c r="A544" s="85">
        <f>IFERROR(__xludf.DUMMYFUNCTION("""COMPUTED_VALUE"""),541.0)</f>
        <v>541</v>
      </c>
      <c r="B544" s="85"/>
      <c r="C544" s="85"/>
      <c r="D544" s="86">
        <f>IFERROR(__xludf.DUMMYFUNCTION("""COMPUTED_VALUE"""),45839.0)</f>
        <v>45839</v>
      </c>
      <c r="E544" s="88"/>
      <c r="F544" s="85"/>
      <c r="G544" s="86"/>
      <c r="H544" s="85"/>
      <c r="I544" s="85"/>
      <c r="J544" s="85"/>
      <c r="K544" s="85"/>
      <c r="L544" s="85"/>
      <c r="M544" s="85" t="str">
        <f>IFERROR(__xludf.DUMMYFUNCTION("""COMPUTED_VALUE"""),"ü")</f>
        <v>ü</v>
      </c>
      <c r="N544" s="85"/>
      <c r="O544" s="85"/>
      <c r="P544" s="85" t="str">
        <f>IFERROR(__xludf.DUMMYFUNCTION("""COMPUTED_VALUE"""),"53BSPA09505JBEEN")</f>
        <v>53BSPA09505JBEEN</v>
      </c>
      <c r="Q544" s="85" t="str">
        <f>IFERROR(__xludf.DUMMYFUNCTION("""COMPUTED_VALUE"""),"MUC Citra Elok")</f>
        <v>MUC Citra Elok</v>
      </c>
      <c r="R544" s="85" t="str">
        <f>IFERROR(__xludf.DUMMYFUNCTION("""COMPUTED_VALUE"""),"MUC Citra Elok")</f>
        <v>MUC Citra Elok</v>
      </c>
      <c r="S544" s="85" t="str">
        <f>IFERROR(__xludf.DUMMYFUNCTION("""COMPUTED_VALUE"""),"MEILY NURMAILIASARI")</f>
        <v>MEILY NURMAILIASARI</v>
      </c>
      <c r="T544" s="85" t="str">
        <f>IFERROR(__xludf.DUMMYFUNCTION("""COMPUTED_VALUE"""),"PERUM CITRA ELOK BLOK B 2 NO.29 RT.001 RW.005 KEL. SINGAJAYA KEC. JONGGOL KAB. BOGOR")</f>
        <v>PERUM CITRA ELOK BLOK B 2 NO.29 RT.001 RW.005 KEL. SINGAJAYA KEC. JONGGOL KAB. BOGOR</v>
      </c>
      <c r="U544" s="85" t="str">
        <f>IFERROR(__xludf.DUMMYFUNCTION("""COMPUTED_VALUE"""),"Perumahan Citra Elok blok A4 No 24, RT 001 RW 005")</f>
        <v>Perumahan Citra Elok blok A4 No 24, RT 001 RW 005</v>
      </c>
      <c r="V544" s="85"/>
      <c r="W544" s="85" t="str">
        <f>IFERROR(__xludf.DUMMYFUNCTION("""COMPUTED_VALUE"""),"Singajaya")</f>
        <v>Singajaya</v>
      </c>
      <c r="X544" s="85" t="str">
        <f>IFERROR(__xludf.DUMMYFUNCTION("""COMPUTED_VALUE"""),"Jonggol")</f>
        <v>Jonggol</v>
      </c>
      <c r="Y544" s="85" t="str">
        <f>IFERROR(__xludf.DUMMYFUNCTION("""COMPUTED_VALUE"""),"Kab. Bogor")</f>
        <v>Kab. Bogor</v>
      </c>
      <c r="Z544" s="85" t="str">
        <f>IFERROR(__xludf.DUMMYFUNCTION("""COMPUTED_VALUE"""),"Jawa Barat")</f>
        <v>Jawa Barat</v>
      </c>
      <c r="AA544" s="85" t="str">
        <f>IFERROR(__xludf.DUMMYFUNCTION("""COMPUTED_VALUE"""),"16830")</f>
        <v>16830</v>
      </c>
      <c r="AB544" s="85" t="str">
        <f>IFERROR(__xludf.DUMMYFUNCTION("""COMPUTED_VALUE"""),"3175096005780002")</f>
        <v>3175096005780002</v>
      </c>
      <c r="AC544" s="85" t="str">
        <f>IFERROR(__xludf.DUMMYFUNCTION("""COMPUTED_VALUE"""),"82.546.775.6-009.000")</f>
        <v>82.546.775.6-009.000</v>
      </c>
      <c r="AD544" s="85" t="str">
        <f>IFERROR(__xludf.DUMMYFUNCTION("""COMPUTED_VALUE"""),"CUM - EEN")</f>
        <v>CUM - EEN</v>
      </c>
      <c r="AE544" s="85" t="str">
        <f>IFERROR(__xludf.DUMMYFUNCTION("""COMPUTED_VALUE"""),"SUB EEN")</f>
        <v>SUB EEN</v>
      </c>
      <c r="AF544" s="85" t="str">
        <f>IFERROR(__xludf.DUMMYFUNCTION("""COMPUTED_VALUE"""),"082130161978")</f>
        <v>082130161978</v>
      </c>
      <c r="AG544" s="85"/>
      <c r="AH544" s="85" t="str">
        <f>IFERROR(__xludf.DUMMYFUNCTION("""COMPUTED_VALUE"""),"nurmailiasarimeily215@gmail.com")</f>
        <v>nurmailiasarimeily215@gmail.com</v>
      </c>
      <c r="AI544" s="85" t="str">
        <f>IFERROR(__xludf.DUMMYFUNCTION("""COMPUTED_VALUE"""),"16834S1")</f>
        <v>16834S1</v>
      </c>
      <c r="AJ544" s="85" t="str">
        <f>IFERROR(__xludf.DUMMYFUNCTION("""COMPUTED_VALUE"""),"686c8d122d9e8ff9c907af9d")</f>
        <v>686c8d122d9e8ff9c907af9d</v>
      </c>
      <c r="AK544" s="85" t="str">
        <f>IFERROR(__xludf.DUMMYFUNCTION("""COMPUTED_VALUE"""),"dm16834s1")</f>
        <v>dm16834s1</v>
      </c>
      <c r="AL544" s="85" t="str">
        <f>IFERROR(__xludf.DUMMYFUNCTION("""COMPUTED_VALUE"""),"#16834Pos")</f>
        <v>#16834Pos</v>
      </c>
      <c r="AM544" s="85" t="str">
        <f>IFERROR(__xludf.DUMMYFUNCTION("""COMPUTED_VALUE"""),"KANTOR REGIONAL II JAKARTA 10004")</f>
        <v>KANTOR REGIONAL II JAKARTA 10004</v>
      </c>
      <c r="AN544" s="85" t="str">
        <f>IFERROR(__xludf.DUMMYFUNCTION("""COMPUTED_VALUE"""),"KC CIBINONG")</f>
        <v>KC CIBINONG</v>
      </c>
      <c r="AO544" s="85" t="str">
        <f>IFERROR(__xludf.DUMMYFUNCTION("""COMPUTED_VALUE"""),"2506250027291")</f>
        <v>2506250027291</v>
      </c>
      <c r="AP544" s="85" t="str">
        <f>IFERROR(__xludf.DUMMYFUNCTION("""COMPUTED_VALUE"""),"25062500272910001")</f>
        <v>25062500272910001</v>
      </c>
      <c r="AQ544" s="93"/>
      <c r="AR544" s="85"/>
      <c r="AS544" s="85"/>
      <c r="AT544" s="85" t="str">
        <f>IFERROR(__xludf.DUMMYFUNCTION("""COMPUTED_VALUE"""),"-6.469235")</f>
        <v>-6.469235</v>
      </c>
      <c r="AU544" s="85" t="str">
        <f>IFERROR(__xludf.DUMMYFUNCTION("""COMPUTED_VALUE"""),"107.050437")</f>
        <v>107.050437</v>
      </c>
      <c r="AV544" s="85"/>
      <c r="AW544" s="85"/>
      <c r="AX544" s="85"/>
      <c r="AY544" s="85"/>
      <c r="AZ544" s="85"/>
      <c r="BA544" s="85"/>
      <c r="BB544" s="85"/>
      <c r="BC544" s="85"/>
      <c r="BD544" s="85"/>
      <c r="BE544" s="85"/>
      <c r="BF544" s="85"/>
      <c r="BG544" s="85"/>
      <c r="BH544" s="85"/>
      <c r="BI544" s="85"/>
      <c r="BJ544" s="85"/>
      <c r="BK544" s="85"/>
      <c r="BL544" s="85"/>
      <c r="BM544" s="85"/>
      <c r="BN544" s="85"/>
      <c r="BO544" s="85"/>
      <c r="BP544" s="85"/>
      <c r="BQ544" s="85"/>
      <c r="BR544" s="85"/>
      <c r="BS544" s="85"/>
      <c r="BT544" s="85"/>
      <c r="BU544" s="85"/>
      <c r="BV544" s="85"/>
      <c r="BW544" s="85"/>
      <c r="BX544" s="85" t="str">
        <f>IFERROR(__xludf.DUMMYFUNCTION("""COMPUTED_VALUE"""),"NEWBIE")</f>
        <v>NEWBIE</v>
      </c>
      <c r="BY544" s="85"/>
      <c r="BZ544" s="85"/>
      <c r="CA544" s="85"/>
      <c r="CB544" s="85"/>
      <c r="CC544" s="85"/>
      <c r="CD544" s="85"/>
      <c r="CE544" s="85"/>
      <c r="CF544" s="85"/>
      <c r="CG544" s="85"/>
      <c r="CH544" s="85"/>
      <c r="CI544" s="85"/>
      <c r="CJ544" s="85"/>
      <c r="CK544" s="2"/>
    </row>
    <row r="545" ht="12.75" customHeight="1">
      <c r="A545" s="80">
        <f>IFERROR(__xludf.DUMMYFUNCTION("""COMPUTED_VALUE"""),542.0)</f>
        <v>542</v>
      </c>
      <c r="B545" s="80"/>
      <c r="C545" s="80"/>
      <c r="D545" s="81">
        <f>IFERROR(__xludf.DUMMYFUNCTION("""COMPUTED_VALUE"""),45839.0)</f>
        <v>45839</v>
      </c>
      <c r="E545" s="82"/>
      <c r="F545" s="80"/>
      <c r="G545" s="81"/>
      <c r="H545" s="80"/>
      <c r="I545" s="80"/>
      <c r="J545" s="80"/>
      <c r="K545" s="80"/>
      <c r="L545" s="80"/>
      <c r="M545" s="80" t="str">
        <f>IFERROR(__xludf.DUMMYFUNCTION("""COMPUTED_VALUE"""),"ü")</f>
        <v>ü</v>
      </c>
      <c r="N545" s="80"/>
      <c r="O545" s="80"/>
      <c r="P545" s="80" t="str">
        <f>IFERROR(__xludf.DUMMYFUNCTION("""COMPUTED_VALUE"""),"53BSPA09564JBEEN")</f>
        <v>53BSPA09564JBEEN</v>
      </c>
      <c r="Q545" s="80" t="str">
        <f>IFERROR(__xludf.DUMMYFUNCTION("""COMPUTED_VALUE"""),"MUC Ekspedisi Raya Geluran")</f>
        <v>MUC Ekspedisi Raya Geluran</v>
      </c>
      <c r="R545" s="80" t="str">
        <f>IFERROR(__xludf.DUMMYFUNCTION("""COMPUTED_VALUE"""),"MUC Ekspedisi Raya Geluran")</f>
        <v>MUC Ekspedisi Raya Geluran</v>
      </c>
      <c r="S545" s="80" t="str">
        <f>IFERROR(__xludf.DUMMYFUNCTION("""COMPUTED_VALUE"""),"ANDREAS REZA NOVRENDO")</f>
        <v>ANDREAS REZA NOVRENDO</v>
      </c>
      <c r="T545" s="80" t="str">
        <f>IFERROR(__xludf.DUMMYFUNCTION("""COMPUTED_VALUE"""),"TAMAN INFAH REGENCY BLOK BB-32 RT.038/002 GELURAN, TAMAN, KAB. SIDOARJO")</f>
        <v>TAMAN INFAH REGENCY BLOK BB-32 RT.038/002 GELURAN, TAMAN, KAB. SIDOARJO</v>
      </c>
      <c r="U545" s="80" t="str">
        <f>IFERROR(__xludf.DUMMYFUNCTION("""COMPUTED_VALUE"""),"Jl. Raya Geluran No.14 RT.4/RW.1")</f>
        <v>Jl. Raya Geluran No.14 RT.4/RW.1</v>
      </c>
      <c r="V545" s="80"/>
      <c r="W545" s="80" t="str">
        <f>IFERROR(__xludf.DUMMYFUNCTION("""COMPUTED_VALUE"""),"Geluran")</f>
        <v>Geluran</v>
      </c>
      <c r="X545" s="80" t="str">
        <f>IFERROR(__xludf.DUMMYFUNCTION("""COMPUTED_VALUE"""),"Taman")</f>
        <v>Taman</v>
      </c>
      <c r="Y545" s="80" t="str">
        <f>IFERROR(__xludf.DUMMYFUNCTION("""COMPUTED_VALUE"""),"Sidoarjo")</f>
        <v>Sidoarjo</v>
      </c>
      <c r="Z545" s="80" t="str">
        <f>IFERROR(__xludf.DUMMYFUNCTION("""COMPUTED_VALUE"""),"Jawa Timur")</f>
        <v>Jawa Timur</v>
      </c>
      <c r="AA545" s="80" t="str">
        <f>IFERROR(__xludf.DUMMYFUNCTION("""COMPUTED_VALUE"""),"61257")</f>
        <v>61257</v>
      </c>
      <c r="AB545" s="80" t="str">
        <f>IFERROR(__xludf.DUMMYFUNCTION("""COMPUTED_VALUE"""),"3515133011860002")</f>
        <v>3515133011860002</v>
      </c>
      <c r="AC545" s="80" t="str">
        <f>IFERROR(__xludf.DUMMYFUNCTION("""COMPUTED_VALUE"""),"74.455.597.0-603.000")</f>
        <v>74.455.597.0-603.000</v>
      </c>
      <c r="AD545" s="80" t="str">
        <f>IFERROR(__xludf.DUMMYFUNCTION("""COMPUTED_VALUE"""),"CUM - EEN")</f>
        <v>CUM - EEN</v>
      </c>
      <c r="AE545" s="80" t="str">
        <f>IFERROR(__xludf.DUMMYFUNCTION("""COMPUTED_VALUE"""),"SUB EEN")</f>
        <v>SUB EEN</v>
      </c>
      <c r="AF545" s="80" t="str">
        <f>IFERROR(__xludf.DUMMYFUNCTION("""COMPUTED_VALUE"""),"085808322988")</f>
        <v>085808322988</v>
      </c>
      <c r="AG545" s="80"/>
      <c r="AH545" s="80" t="str">
        <f>IFERROR(__xludf.DUMMYFUNCTION("""COMPUTED_VALUE"""),"novrendo@gmail.com")</f>
        <v>novrendo@gmail.com</v>
      </c>
      <c r="AI545" s="80" t="str">
        <f>IFERROR(__xludf.DUMMYFUNCTION("""COMPUTED_VALUE"""),"61257SU")</f>
        <v>61257SU</v>
      </c>
      <c r="AJ545" s="80" t="str">
        <f>IFERROR(__xludf.DUMMYFUNCTION("""COMPUTED_VALUE"""),"6869fab44e63c27df509954d")</f>
        <v>6869fab44e63c27df509954d</v>
      </c>
      <c r="AK545" s="80" t="str">
        <f>IFERROR(__xludf.DUMMYFUNCTION("""COMPUTED_VALUE"""),"dm61257su")</f>
        <v>dm61257su</v>
      </c>
      <c r="AL545" s="80" t="str">
        <f>IFERROR(__xludf.DUMMYFUNCTION("""COMPUTED_VALUE"""),"#61257Pos")</f>
        <v>#61257Pos</v>
      </c>
      <c r="AM545" s="80" t="str">
        <f>IFERROR(__xludf.DUMMYFUNCTION("""COMPUTED_VALUE"""),"KANTOR REGIONAL V SURABAYA 60004")</f>
        <v>KANTOR REGIONAL V SURABAYA 60004</v>
      </c>
      <c r="AN545" s="80" t="str">
        <f>IFERROR(__xludf.DUMMYFUNCTION("""COMPUTED_VALUE"""),"KC SIDOARJO")</f>
        <v>KC SIDOARJO</v>
      </c>
      <c r="AO545" s="80" t="str">
        <f>IFERROR(__xludf.DUMMYFUNCTION("""COMPUTED_VALUE"""),"2208230002253")</f>
        <v>2208230002253</v>
      </c>
      <c r="AP545" s="80" t="str">
        <f>IFERROR(__xludf.DUMMYFUNCTION("""COMPUTED_VALUE"""),"22082300022530001")</f>
        <v>22082300022530001</v>
      </c>
      <c r="AQ545" s="83"/>
      <c r="AR545" s="80"/>
      <c r="AS545" s="80"/>
      <c r="AT545" s="80" t="str">
        <f>IFERROR(__xludf.DUMMYFUNCTION("""COMPUTED_VALUE"""),"-7.356817")</f>
        <v>-7.356817</v>
      </c>
      <c r="AU545" s="80" t="str">
        <f>IFERROR(__xludf.DUMMYFUNCTION("""COMPUTED_VALUE"""),"112.691554")</f>
        <v>112.691554</v>
      </c>
      <c r="AV545" s="80"/>
      <c r="AW545" s="80"/>
      <c r="AX545" s="80"/>
      <c r="AY545" s="80"/>
      <c r="AZ545" s="80" t="str">
        <f>IFERROR(__xludf.DUMMYFUNCTION("""COMPUTED_VALUE"""),"sudah")</f>
        <v>sudah</v>
      </c>
      <c r="BA545" s="80"/>
      <c r="BB545" s="80"/>
      <c r="BC545" s="80"/>
      <c r="BD545" s="80"/>
      <c r="BE545" s="80"/>
      <c r="BF545" s="80"/>
      <c r="BG545" s="80"/>
      <c r="BH545" s="80"/>
      <c r="BI545" s="80"/>
      <c r="BJ545" s="80"/>
      <c r="BK545" s="80"/>
      <c r="BL545" s="80"/>
      <c r="BM545" s="80"/>
      <c r="BN545" s="80"/>
      <c r="BO545" s="80"/>
      <c r="BP545" s="80"/>
      <c r="BQ545" s="80"/>
      <c r="BR545" s="80"/>
      <c r="BS545" s="80"/>
      <c r="BT545" s="80"/>
      <c r="BU545" s="80"/>
      <c r="BV545" s="80"/>
      <c r="BW545" s="80"/>
      <c r="BX545" s="80" t="str">
        <f>IFERROR(__xludf.DUMMYFUNCTION("""COMPUTED_VALUE"""),"MULTIKURIR - LION PARCEL - WAHANA - JNE - SPX - LELEXPRESS - ID EXPRESS")</f>
        <v>MULTIKURIR - LION PARCEL - WAHANA - JNE - SPX - LELEXPRESS - ID EXPRESS</v>
      </c>
      <c r="BY545" s="80"/>
      <c r="BZ545" s="80"/>
      <c r="CA545" s="80"/>
      <c r="CB545" s="80"/>
      <c r="CC545" s="80"/>
      <c r="CD545" s="80"/>
      <c r="CE545" s="80"/>
      <c r="CF545" s="80"/>
      <c r="CG545" s="80"/>
      <c r="CH545" s="80"/>
      <c r="CI545" s="80"/>
      <c r="CJ545" s="80"/>
      <c r="CK545" s="2"/>
    </row>
    <row r="546" ht="12.75" customHeight="1">
      <c r="A546" s="85">
        <f>IFERROR(__xludf.DUMMYFUNCTION("""COMPUTED_VALUE"""),543.0)</f>
        <v>543</v>
      </c>
      <c r="B546" s="85"/>
      <c r="C546" s="85"/>
      <c r="D546" s="86">
        <f>IFERROR(__xludf.DUMMYFUNCTION("""COMPUTED_VALUE"""),45839.0)</f>
        <v>45839</v>
      </c>
      <c r="E546" s="88"/>
      <c r="F546" s="85"/>
      <c r="G546" s="86"/>
      <c r="H546" s="85"/>
      <c r="I546" s="85"/>
      <c r="J546" s="85"/>
      <c r="K546" s="85"/>
      <c r="L546" s="85"/>
      <c r="M546" s="85"/>
      <c r="N546" s="85" t="str">
        <f>IFERROR(__xludf.DUMMYFUNCTION("""COMPUTED_VALUE"""),"ü")</f>
        <v>ü</v>
      </c>
      <c r="O546" s="85"/>
      <c r="P546" s="85" t="str">
        <f>IFERROR(__xludf.DUMMYFUNCTION("""COMPUTED_VALUE"""),"MLO5500039CUMPOS")</f>
        <v>MLO5500039CUMPOS</v>
      </c>
      <c r="Q546" s="85" t="str">
        <f>IFERROR(__xludf.DUMMYFUNCTION("""COMPUTED_VALUE"""),"MUC AKSARA SEMESTA")</f>
        <v>MUC AKSARA SEMESTA</v>
      </c>
      <c r="R546" s="85" t="str">
        <f>IFERROR(__xludf.DUMMYFUNCTION("""COMPUTED_VALUE"""),"MUC AKSARA SEMESTA")</f>
        <v>MUC AKSARA SEMESTA</v>
      </c>
      <c r="S546" s="85" t="str">
        <f>IFERROR(__xludf.DUMMYFUNCTION("""COMPUTED_VALUE"""),"Dimas Fawwaz Nazzmudin ")</f>
        <v>Dimas Fawwaz Nazzmudin </v>
      </c>
      <c r="T546" s="85" t="str">
        <f>IFERROR(__xludf.DUMMYFUNCTION("""COMPUTED_VALUE"""),"Jl Raya Kalibening RT1 RW2 No.13 Desa Kalibening Kec.Kalibening Kab.Banjarnegara ")</f>
        <v>Jl Raya Kalibening RT1 RW2 No.13 Desa Kalibening Kec.Kalibening Kab.Banjarnegara </v>
      </c>
      <c r="U546" s="85" t="str">
        <f>IFERROR(__xludf.DUMMYFUNCTION("""COMPUTED_VALUE"""),"Perumahan Griya Bukateja Baru RT7 RW10")</f>
        <v>Perumahan Griya Bukateja Baru RT7 RW10</v>
      </c>
      <c r="V546" s="85"/>
      <c r="W546" s="85" t="str">
        <f>IFERROR(__xludf.DUMMYFUNCTION("""COMPUTED_VALUE"""),"Kedungjati")</f>
        <v>Kedungjati</v>
      </c>
      <c r="X546" s="85" t="str">
        <f>IFERROR(__xludf.DUMMYFUNCTION("""COMPUTED_VALUE"""),"Bukateja")</f>
        <v>Bukateja</v>
      </c>
      <c r="Y546" s="85" t="str">
        <f>IFERROR(__xludf.DUMMYFUNCTION("""COMPUTED_VALUE"""),"Purbalingga")</f>
        <v>Purbalingga</v>
      </c>
      <c r="Z546" s="85" t="str">
        <f>IFERROR(__xludf.DUMMYFUNCTION("""COMPUTED_VALUE"""),"Jawa Tengah")</f>
        <v>Jawa Tengah</v>
      </c>
      <c r="AA546" s="85" t="str">
        <f>IFERROR(__xludf.DUMMYFUNCTION("""COMPUTED_VALUE"""),"53383")</f>
        <v>53383</v>
      </c>
      <c r="AB546" s="85" t="str">
        <f>IFERROR(__xludf.DUMMYFUNCTION("""COMPUTED_VALUE"""),"3304181210030001")</f>
        <v>3304181210030001</v>
      </c>
      <c r="AC546" s="85" t="str">
        <f>IFERROR(__xludf.DUMMYFUNCTION("""COMPUTED_VALUE"""),"02.023.045.4-529.000")</f>
        <v>02.023.045.4-529.000</v>
      </c>
      <c r="AD546" s="85" t="str">
        <f>IFERROR(__xludf.DUMMYFUNCTION("""COMPUTED_VALUE"""),"CUM - PS - RYKY")</f>
        <v>CUM - PS - RYKY</v>
      </c>
      <c r="AE546" s="85" t="str">
        <f>IFERROR(__xludf.DUMMYFUNCTION("""COMPUTED_VALUE"""),"SUB ERTHA POS")</f>
        <v>SUB ERTHA POS</v>
      </c>
      <c r="AF546" s="85" t="str">
        <f>IFERROR(__xludf.DUMMYFUNCTION("""COMPUTED_VALUE"""),"083138042605")</f>
        <v>083138042605</v>
      </c>
      <c r="AG546" s="85"/>
      <c r="AH546" s="85" t="str">
        <f>IFERROR(__xludf.DUMMYFUNCTION("""COMPUTED_VALUE"""),"elsvarga27@gmail.com")</f>
        <v>elsvarga27@gmail.com</v>
      </c>
      <c r="AI546" s="85" t="str">
        <f>IFERROR(__xludf.DUMMYFUNCTION("""COMPUTED_VALUE"""),"53382S5")</f>
        <v>53382S5</v>
      </c>
      <c r="AJ546" s="85" t="str">
        <f>IFERROR(__xludf.DUMMYFUNCTION("""COMPUTED_VALUE"""),"686f7fc0caed6ba9ff09aef7")</f>
        <v>686f7fc0caed6ba9ff09aef7</v>
      </c>
      <c r="AK546" s="85" t="str">
        <f>IFERROR(__xludf.DUMMYFUNCTION("""COMPUTED_VALUE"""),"dm53382s5")</f>
        <v>dm53382s5</v>
      </c>
      <c r="AL546" s="85" t="str">
        <f>IFERROR(__xludf.DUMMYFUNCTION("""COMPUTED_VALUE"""),"#53382Pos")</f>
        <v>#53382Pos</v>
      </c>
      <c r="AM546" s="85" t="str">
        <f>IFERROR(__xludf.DUMMYFUNCTION("""COMPUTED_VALUE"""),"KANTOR REGIONAL IV SEMARANG 50004")</f>
        <v>KANTOR REGIONAL IV SEMARANG 50004</v>
      </c>
      <c r="AN546" s="85" t="str">
        <f>IFERROR(__xludf.DUMMYFUNCTION("""COMPUTED_VALUE"""),"KC PURBALINGGA")</f>
        <v>KC PURBALINGGA</v>
      </c>
      <c r="AO546" s="85" t="str">
        <f>IFERROR(__xludf.DUMMYFUNCTION("""COMPUTED_VALUE"""),"2906250022095")</f>
        <v>2906250022095</v>
      </c>
      <c r="AP546" s="85" t="str">
        <f>IFERROR(__xludf.DUMMYFUNCTION("""COMPUTED_VALUE"""),"29062500220950001")</f>
        <v>29062500220950001</v>
      </c>
      <c r="AQ546" s="93"/>
      <c r="AR546" s="85"/>
      <c r="AS546" s="85"/>
      <c r="AT546" s="85" t="str">
        <f>IFERROR(__xludf.DUMMYFUNCTION("""COMPUTED_VALUE"""),"-7.436262")</f>
        <v>-7.436262</v>
      </c>
      <c r="AU546" s="85" t="str">
        <f>IFERROR(__xludf.DUMMYFUNCTION("""COMPUTED_VALUE"""),"109.435241")</f>
        <v>109.435241</v>
      </c>
      <c r="AV546" s="85"/>
      <c r="AW546" s="85"/>
      <c r="AX546" s="85"/>
      <c r="AY546" s="85"/>
      <c r="AZ546" s="85"/>
      <c r="BA546" s="85"/>
      <c r="BB546" s="85"/>
      <c r="BC546" s="85"/>
      <c r="BD546" s="85"/>
      <c r="BE546" s="85"/>
      <c r="BF546" s="85"/>
      <c r="BG546" s="85"/>
      <c r="BH546" s="85"/>
      <c r="BI546" s="85"/>
      <c r="BJ546" s="85"/>
      <c r="BK546" s="85"/>
      <c r="BL546" s="85"/>
      <c r="BM546" s="85"/>
      <c r="BN546" s="85"/>
      <c r="BO546" s="85"/>
      <c r="BP546" s="85"/>
      <c r="BQ546" s="85"/>
      <c r="BR546" s="85"/>
      <c r="BS546" s="85"/>
      <c r="BT546" s="85"/>
      <c r="BU546" s="85"/>
      <c r="BV546" s="85"/>
      <c r="BW546" s="85"/>
      <c r="BX546" s="85" t="str">
        <f>IFERROR(__xludf.DUMMYFUNCTION("""COMPUTED_VALUE"""),"POS")</f>
        <v>POS</v>
      </c>
      <c r="BY546" s="85"/>
      <c r="BZ546" s="85"/>
      <c r="CA546" s="85"/>
      <c r="CB546" s="85"/>
      <c r="CC546" s="85"/>
      <c r="CD546" s="85"/>
      <c r="CE546" s="85"/>
      <c r="CF546" s="85"/>
      <c r="CG546" s="85"/>
      <c r="CH546" s="85"/>
      <c r="CI546" s="85"/>
      <c r="CJ546" s="85"/>
      <c r="CK546" s="2"/>
    </row>
    <row r="547" ht="12.75" customHeight="1">
      <c r="A547" s="80">
        <f>IFERROR(__xludf.DUMMYFUNCTION("""COMPUTED_VALUE"""),544.0)</f>
        <v>544</v>
      </c>
      <c r="B547" s="80"/>
      <c r="C547" s="80"/>
      <c r="D547" s="81">
        <f>IFERROR(__xludf.DUMMYFUNCTION("""COMPUTED_VALUE"""),45840.0)</f>
        <v>45840</v>
      </c>
      <c r="E547" s="82"/>
      <c r="F547" s="80"/>
      <c r="G547" s="81">
        <f>IFERROR(__xludf.DUMMYFUNCTION("""COMPUTED_VALUE"""),45867.0)</f>
        <v>45867</v>
      </c>
      <c r="H547" s="80"/>
      <c r="I547" s="80"/>
      <c r="J547" s="80"/>
      <c r="K547" s="80"/>
      <c r="L547" s="80">
        <f>IFERROR(__xludf.DUMMYFUNCTION("""COMPUTED_VALUE"""),27.0)</f>
        <v>27</v>
      </c>
      <c r="M547" s="80"/>
      <c r="N547" s="80" t="str">
        <f>IFERROR(__xludf.DUMMYFUNCTION("""COMPUTED_VALUE"""),"ü")</f>
        <v>ü</v>
      </c>
      <c r="O547" s="80"/>
      <c r="P547" s="80" t="str">
        <f>IFERROR(__xludf.DUMMYFUNCTION("""COMPUTED_VALUE"""),"MLO5500040CUMPOS")</f>
        <v>MLO5500040CUMPOS</v>
      </c>
      <c r="Q547" s="80" t="str">
        <f>IFERROR(__xludf.DUMMYFUNCTION("""COMPUTED_VALUE"""),"MUC Al-Azizi")</f>
        <v>MUC Al-Azizi</v>
      </c>
      <c r="R547" s="80" t="str">
        <f>IFERROR(__xludf.DUMMYFUNCTION("""COMPUTED_VALUE"""),"MUC Al-Azizi")</f>
        <v>MUC Al-Azizi</v>
      </c>
      <c r="S547" s="80" t="str">
        <f>IFERROR(__xludf.DUMMYFUNCTION("""COMPUTED_VALUE"""),"Apong Rukmini")</f>
        <v>Apong Rukmini</v>
      </c>
      <c r="T547" s="80" t="str">
        <f>IFERROR(__xludf.DUMMYFUNCTION("""COMPUTED_VALUE"""),"Perum Mega Mutiara Tasik Regency Blok G 179 RT 007 RW 009 Cibunigeulis Bungursari ")</f>
        <v>Perum Mega Mutiara Tasik Regency Blok G 179 RT 007 RW 009 Cibunigeulis Bungursari </v>
      </c>
      <c r="U547" s="80" t="str">
        <f>IFERROR(__xludf.DUMMYFUNCTION("""COMPUTED_VALUE"""),"Perum Mega Mutiara Tasik Regency Blok G 179 RT 007 RW 009")</f>
        <v>Perum Mega Mutiara Tasik Regency Blok G 179 RT 007 RW 009</v>
      </c>
      <c r="V547" s="80"/>
      <c r="W547" s="80" t="str">
        <f>IFERROR(__xludf.DUMMYFUNCTION("""COMPUTED_VALUE"""),"Cibunigeulis")</f>
        <v>Cibunigeulis</v>
      </c>
      <c r="X547" s="80" t="str">
        <f>IFERROR(__xludf.DUMMYFUNCTION("""COMPUTED_VALUE"""),"Bungursari")</f>
        <v>Bungursari</v>
      </c>
      <c r="Y547" s="80" t="str">
        <f>IFERROR(__xludf.DUMMYFUNCTION("""COMPUTED_VALUE"""),"Kota Tasikmalaya")</f>
        <v>Kota Tasikmalaya</v>
      </c>
      <c r="Z547" s="80" t="str">
        <f>IFERROR(__xludf.DUMMYFUNCTION("""COMPUTED_VALUE"""),"Jawa Barat")</f>
        <v>Jawa Barat</v>
      </c>
      <c r="AA547" s="80" t="str">
        <f>IFERROR(__xludf.DUMMYFUNCTION("""COMPUTED_VALUE"""),"46151")</f>
        <v>46151</v>
      </c>
      <c r="AB547" s="80" t="str">
        <f>IFERROR(__xludf.DUMMYFUNCTION("""COMPUTED_VALUE"""),"3206376207910001")</f>
        <v>3206376207910001</v>
      </c>
      <c r="AC547" s="80" t="str">
        <f>IFERROR(__xludf.DUMMYFUNCTION("""COMPUTED_VALUE"""),"92.287.800.4-425.000")</f>
        <v>92.287.800.4-425.000</v>
      </c>
      <c r="AD547" s="80" t="str">
        <f>IFERROR(__xludf.DUMMYFUNCTION("""COMPUTED_VALUE"""),"CUM - PS - IKF")</f>
        <v>CUM - PS - IKF</v>
      </c>
      <c r="AE547" s="80" t="str">
        <f>IFERROR(__xludf.DUMMYFUNCTION("""COMPUTED_VALUE"""),"SUB IKHFAN POS")</f>
        <v>SUB IKHFAN POS</v>
      </c>
      <c r="AF547" s="80" t="str">
        <f>IFERROR(__xludf.DUMMYFUNCTION("""COMPUTED_VALUE"""),"082321811164")</f>
        <v>082321811164</v>
      </c>
      <c r="AG547" s="80"/>
      <c r="AH547" s="80" t="str">
        <f>IFERROR(__xludf.DUMMYFUNCTION("""COMPUTED_VALUE"""),"citrarata2207@gmail.com")</f>
        <v>citrarata2207@gmail.com</v>
      </c>
      <c r="AI547" s="80" t="str">
        <f>IFERROR(__xludf.DUMMYFUNCTION("""COMPUTED_VALUE"""),"46139S1")</f>
        <v>46139S1</v>
      </c>
      <c r="AJ547" s="80" t="str">
        <f>IFERROR(__xludf.DUMMYFUNCTION("""COMPUTED_VALUE"""),"686106a5b40996293c0c2cf8")</f>
        <v>686106a5b40996293c0c2cf8</v>
      </c>
      <c r="AK547" s="80" t="str">
        <f>IFERROR(__xludf.DUMMYFUNCTION("""COMPUTED_VALUE"""),"dm46139s1")</f>
        <v>dm46139s1</v>
      </c>
      <c r="AL547" s="80" t="str">
        <f>IFERROR(__xludf.DUMMYFUNCTION("""COMPUTED_VALUE"""),"#46139Pos")</f>
        <v>#46139Pos</v>
      </c>
      <c r="AM547" s="80" t="str">
        <f>IFERROR(__xludf.DUMMYFUNCTION("""COMPUTED_VALUE"""),"KANTOR REGIONAL III BANDUNG 40004")</f>
        <v>KANTOR REGIONAL III BANDUNG 40004</v>
      </c>
      <c r="AN547" s="80" t="str">
        <f>IFERROR(__xludf.DUMMYFUNCTION("""COMPUTED_VALUE"""),"KC TASIKMALAYA")</f>
        <v>KC TASIKMALAYA</v>
      </c>
      <c r="AO547" s="80" t="str">
        <f>IFERROR(__xludf.DUMMYFUNCTION("""COMPUTED_VALUE"""),"0506250024631")</f>
        <v>0506250024631</v>
      </c>
      <c r="AP547" s="80" t="str">
        <f>IFERROR(__xludf.DUMMYFUNCTION("""COMPUTED_VALUE"""),"05062500246310001")</f>
        <v>05062500246310001</v>
      </c>
      <c r="AQ547" s="83"/>
      <c r="AR547" s="80"/>
      <c r="AS547" s="80"/>
      <c r="AT547" s="80" t="str">
        <f>IFERROR(__xludf.DUMMYFUNCTION("""COMPUTED_VALUE"""),"-7.321617")</f>
        <v>-7.321617</v>
      </c>
      <c r="AU547" s="80" t="str">
        <f>IFERROR(__xludf.DUMMYFUNCTION("""COMPUTED_VALUE"""),"108.167763")</f>
        <v>108.167763</v>
      </c>
      <c r="AV547" s="80"/>
      <c r="AW547" s="80"/>
      <c r="AX547" s="80"/>
      <c r="AY547" s="80"/>
      <c r="AZ547" s="80"/>
      <c r="BA547" s="80"/>
      <c r="BB547" s="80"/>
      <c r="BC547" s="80"/>
      <c r="BD547" s="80"/>
      <c r="BE547" s="80"/>
      <c r="BF547" s="80"/>
      <c r="BG547" s="80"/>
      <c r="BH547" s="80"/>
      <c r="BI547" s="80"/>
      <c r="BJ547" s="80"/>
      <c r="BK547" s="80"/>
      <c r="BL547" s="80"/>
      <c r="BM547" s="80"/>
      <c r="BN547" s="80"/>
      <c r="BO547" s="80"/>
      <c r="BP547" s="80"/>
      <c r="BQ547" s="80"/>
      <c r="BR547" s="80"/>
      <c r="BS547" s="80"/>
      <c r="BT547" s="80"/>
      <c r="BU547" s="80"/>
      <c r="BV547" s="80"/>
      <c r="BW547" s="80"/>
      <c r="BX547" s="80" t="str">
        <f>IFERROR(__xludf.DUMMYFUNCTION("""COMPUTED_VALUE"""),"POS")</f>
        <v>POS</v>
      </c>
      <c r="BY547" s="80"/>
      <c r="BZ547" s="80"/>
      <c r="CA547" s="80"/>
      <c r="CB547" s="80"/>
      <c r="CC547" s="80"/>
      <c r="CD547" s="80"/>
      <c r="CE547" s="80"/>
      <c r="CF547" s="80"/>
      <c r="CG547" s="80"/>
      <c r="CH547" s="80"/>
      <c r="CI547" s="80"/>
      <c r="CJ547" s="80"/>
      <c r="CK547" s="2"/>
    </row>
    <row r="548" ht="12.75" customHeight="1">
      <c r="A548" s="85">
        <f>IFERROR(__xludf.DUMMYFUNCTION("""COMPUTED_VALUE"""),545.0)</f>
        <v>545</v>
      </c>
      <c r="B548" s="85"/>
      <c r="C548" s="85"/>
      <c r="D548" s="86">
        <f>IFERROR(__xludf.DUMMYFUNCTION("""COMPUTED_VALUE"""),45840.0)</f>
        <v>45840</v>
      </c>
      <c r="E548" s="88"/>
      <c r="F548" s="85"/>
      <c r="G548" s="86">
        <f>IFERROR(__xludf.DUMMYFUNCTION("""COMPUTED_VALUE"""),45866.0)</f>
        <v>45866</v>
      </c>
      <c r="H548" s="85"/>
      <c r="I548" s="85"/>
      <c r="J548" s="85"/>
      <c r="K548" s="85"/>
      <c r="L548" s="85">
        <f>IFERROR(__xludf.DUMMYFUNCTION("""COMPUTED_VALUE"""),26.0)</f>
        <v>26</v>
      </c>
      <c r="M548" s="85" t="str">
        <f>IFERROR(__xludf.DUMMYFUNCTION("""COMPUTED_VALUE"""),"ü")</f>
        <v>ü</v>
      </c>
      <c r="N548" s="85"/>
      <c r="O548" s="85"/>
      <c r="P548" s="85" t="str">
        <f>IFERROR(__xludf.DUMMYFUNCTION("""COMPUTED_VALUE"""),"52BSPA07693JTWWK")</f>
        <v>52BSPA07693JTWWK</v>
      </c>
      <c r="Q548" s="85" t="str">
        <f>IFERROR(__xludf.DUMMYFUNCTION("""COMPUTED_VALUE"""),"MUC Warung Altaaf")</f>
        <v>MUC Warung Altaaf</v>
      </c>
      <c r="R548" s="85" t="str">
        <f>IFERROR(__xludf.DUMMYFUNCTION("""COMPUTED_VALUE"""),"MUC Warung Altaaf")</f>
        <v>MUC Warung Altaaf</v>
      </c>
      <c r="S548" s="85" t="str">
        <f>IFERROR(__xludf.DUMMYFUNCTION("""COMPUTED_VALUE"""),"Prima Astri Utami")</f>
        <v>Prima Astri Utami</v>
      </c>
      <c r="T548" s="85" t="str">
        <f>IFERROR(__xludf.DUMMYFUNCTION("""COMPUTED_VALUE"""),"Jl Sunan Ampel 7 RT 4 RW 1 jurangombo selatan Magelang selatan ")</f>
        <v>Jl Sunan Ampel 7 RT 4 RW 1 jurangombo selatan Magelang selatan </v>
      </c>
      <c r="U548" s="85" t="str">
        <f>IFERROR(__xludf.DUMMYFUNCTION("""COMPUTED_VALUE"""),"Jln sunan Ampel 7 RT 4 RW 1 ")</f>
        <v>Jln sunan Ampel 7 RT 4 RW 1 </v>
      </c>
      <c r="V548" s="85"/>
      <c r="W548" s="85" t="str">
        <f>IFERROR(__xludf.DUMMYFUNCTION("""COMPUTED_VALUE"""),"Jurangombo Selatan")</f>
        <v>Jurangombo Selatan</v>
      </c>
      <c r="X548" s="85" t="str">
        <f>IFERROR(__xludf.DUMMYFUNCTION("""COMPUTED_VALUE"""),"Magelang Selatan")</f>
        <v>Magelang Selatan</v>
      </c>
      <c r="Y548" s="85" t="str">
        <f>IFERROR(__xludf.DUMMYFUNCTION("""COMPUTED_VALUE"""),"Magelang")</f>
        <v>Magelang</v>
      </c>
      <c r="Z548" s="85" t="str">
        <f>IFERROR(__xludf.DUMMYFUNCTION("""COMPUTED_VALUE"""),"Jawa Tengah")</f>
        <v>Jawa Tengah</v>
      </c>
      <c r="AA548" s="85" t="str">
        <f>IFERROR(__xludf.DUMMYFUNCTION("""COMPUTED_VALUE"""),"56123")</f>
        <v>56123</v>
      </c>
      <c r="AB548" s="85" t="str">
        <f>IFERROR(__xludf.DUMMYFUNCTION("""COMPUTED_VALUE"""),"3371015604910004")</f>
        <v>3371015604910004</v>
      </c>
      <c r="AC548" s="85" t="str">
        <f>IFERROR(__xludf.DUMMYFUNCTION("""COMPUTED_VALUE"""),"71.923.235.7-524.000")</f>
        <v>71.923.235.7-524.000</v>
      </c>
      <c r="AD548" s="85" t="str">
        <f>IFERROR(__xludf.DUMMYFUNCTION("""COMPUTED_VALUE"""),"CUM - WWK")</f>
        <v>CUM - WWK</v>
      </c>
      <c r="AE548" s="85" t="str">
        <f>IFERROR(__xludf.DUMMYFUNCTION("""COMPUTED_VALUE"""),"SUB WIWIK")</f>
        <v>SUB WIWIK</v>
      </c>
      <c r="AF548" s="85" t="str">
        <f>IFERROR(__xludf.DUMMYFUNCTION("""COMPUTED_VALUE"""),"081476671800")</f>
        <v>081476671800</v>
      </c>
      <c r="AG548" s="85"/>
      <c r="AH548" s="85" t="str">
        <f>IFERROR(__xludf.DUMMYFUNCTION("""COMPUTED_VALUE"""),"primau53@gmail.com")</f>
        <v>primau53@gmail.com</v>
      </c>
      <c r="AI548" s="85" t="str">
        <f>IFERROR(__xludf.DUMMYFUNCTION("""COMPUTED_VALUE"""),"56123S2")</f>
        <v>56123S2</v>
      </c>
      <c r="AJ548" s="85" t="str">
        <f>IFERROR(__xludf.DUMMYFUNCTION("""COMPUTED_VALUE"""),"68836363d2b102a53505f98e")</f>
        <v>68836363d2b102a53505f98e</v>
      </c>
      <c r="AK548" s="85" t="str">
        <f>IFERROR(__xludf.DUMMYFUNCTION("""COMPUTED_VALUE"""),"dm56123s2")</f>
        <v>dm56123s2</v>
      </c>
      <c r="AL548" s="85" t="str">
        <f>IFERROR(__xludf.DUMMYFUNCTION("""COMPUTED_VALUE"""),"#56123Pos")</f>
        <v>#56123Pos</v>
      </c>
      <c r="AM548" s="85" t="str">
        <f>IFERROR(__xludf.DUMMYFUNCTION("""COMPUTED_VALUE"""),"KANTOR REGIONAL IV SEMARANG 50004")</f>
        <v>KANTOR REGIONAL IV SEMARANG 50004</v>
      </c>
      <c r="AN548" s="85" t="str">
        <f>IFERROR(__xludf.DUMMYFUNCTION("""COMPUTED_VALUE"""),"KC MAGELANG 56100")</f>
        <v>KC MAGELANG 56100</v>
      </c>
      <c r="AO548" s="85" t="str">
        <f>IFERROR(__xludf.DUMMYFUNCTION("""COMPUTED_VALUE"""),"2606250098559")</f>
        <v>2606250098559</v>
      </c>
      <c r="AP548" s="85" t="str">
        <f>IFERROR(__xludf.DUMMYFUNCTION("""COMPUTED_VALUE"""),"26062500985590001")</f>
        <v>26062500985590001</v>
      </c>
      <c r="AQ548" s="93"/>
      <c r="AR548" s="85"/>
      <c r="AS548" s="85"/>
      <c r="AT548" s="85" t="str">
        <f>IFERROR(__xludf.DUMMYFUNCTION("""COMPUTED_VALUE"""),"-7.491961")</f>
        <v>-7.491961</v>
      </c>
      <c r="AU548" s="85" t="str">
        <f>IFERROR(__xludf.DUMMYFUNCTION("""COMPUTED_VALUE"""),"110.209734")</f>
        <v>110.209734</v>
      </c>
      <c r="AV548" s="85"/>
      <c r="AW548" s="85"/>
      <c r="AX548" s="85"/>
      <c r="AY548" s="85"/>
      <c r="AZ548" s="85"/>
      <c r="BA548" s="85"/>
      <c r="BB548" s="85"/>
      <c r="BC548" s="85"/>
      <c r="BD548" s="85"/>
      <c r="BE548" s="85"/>
      <c r="BF548" s="85"/>
      <c r="BG548" s="85"/>
      <c r="BH548" s="85"/>
      <c r="BI548" s="85"/>
      <c r="BJ548" s="85"/>
      <c r="BK548" s="85"/>
      <c r="BL548" s="85"/>
      <c r="BM548" s="85"/>
      <c r="BN548" s="85"/>
      <c r="BO548" s="85"/>
      <c r="BP548" s="85"/>
      <c r="BQ548" s="85"/>
      <c r="BR548" s="85"/>
      <c r="BS548" s="85"/>
      <c r="BT548" s="85"/>
      <c r="BU548" s="85"/>
      <c r="BV548" s="85"/>
      <c r="BW548" s="85"/>
      <c r="BX548" s="85" t="str">
        <f>IFERROR(__xludf.DUMMYFUNCTION("""COMPUTED_VALUE"""),"NEWBIE/PPOB")</f>
        <v>NEWBIE/PPOB</v>
      </c>
      <c r="BY548" s="85"/>
      <c r="BZ548" s="85"/>
      <c r="CA548" s="85"/>
      <c r="CB548" s="85"/>
      <c r="CC548" s="85"/>
      <c r="CD548" s="85"/>
      <c r="CE548" s="85"/>
      <c r="CF548" s="85"/>
      <c r="CG548" s="85"/>
      <c r="CH548" s="85"/>
      <c r="CI548" s="85"/>
      <c r="CJ548" s="85"/>
      <c r="CK548" s="2"/>
    </row>
    <row r="549" ht="12.75" customHeight="1">
      <c r="A549" s="80">
        <f>IFERROR(__xludf.DUMMYFUNCTION("""COMPUTED_VALUE"""),546.0)</f>
        <v>546</v>
      </c>
      <c r="B549" s="80"/>
      <c r="C549" s="80"/>
      <c r="D549" s="81">
        <f>IFERROR(__xludf.DUMMYFUNCTION("""COMPUTED_VALUE"""),45840.0)</f>
        <v>45840</v>
      </c>
      <c r="E549" s="82"/>
      <c r="F549" s="80"/>
      <c r="G549" s="81"/>
      <c r="H549" s="80"/>
      <c r="I549" s="80"/>
      <c r="J549" s="80"/>
      <c r="K549" s="80"/>
      <c r="L549" s="80"/>
      <c r="M549" s="80" t="str">
        <f>IFERROR(__xludf.DUMMYFUNCTION("""COMPUTED_VALUE"""),"ü")</f>
        <v>ü</v>
      </c>
      <c r="N549" s="80"/>
      <c r="O549" s="80"/>
      <c r="P549" s="80" t="str">
        <f>IFERROR(__xludf.DUMMYFUNCTION("""COMPUTED_VALUE"""),"MUCSPA63177PSIND")</f>
        <v>MUCSPA63177PSIND</v>
      </c>
      <c r="Q549" s="80" t="str">
        <f>IFERROR(__xludf.DUMMYFUNCTION("""COMPUTED_VALUE"""),"MUC SOETTA")</f>
        <v>MUC SOETTA</v>
      </c>
      <c r="R549" s="80" t="str">
        <f>IFERROR(__xludf.DUMMYFUNCTION("""COMPUTED_VALUE"""),"MUC SOETTA")</f>
        <v>MUC SOETTA</v>
      </c>
      <c r="S549" s="80" t="str">
        <f>IFERROR(__xludf.DUMMYFUNCTION("""COMPUTED_VALUE"""),"ALOYSIUS BUANO RAHARDJO")</f>
        <v>ALOYSIUS BUANO RAHARDJO</v>
      </c>
      <c r="T549" s="80" t="str">
        <f>IFERROR(__xludf.DUMMYFUNCTION("""COMPUTED_VALUE"""),"JL. KEPITING LINGK. STENDO RT.001 RW.007")</f>
        <v>JL. KEPITING LINGK. STENDO RT.001 RW.007</v>
      </c>
      <c r="U549" s="80" t="str">
        <f>IFERROR(__xludf.DUMMYFUNCTION("""COMPUTED_VALUE"""),"JL. SOEKARNO HATTA NO 179")</f>
        <v>JL. SOEKARNO HATTA NO 179</v>
      </c>
      <c r="V549" s="80"/>
      <c r="W549" s="80" t="str">
        <f>IFERROR(__xludf.DUMMYFUNCTION("""COMPUTED_VALUE"""),"Palebon")</f>
        <v>Palebon</v>
      </c>
      <c r="X549" s="80" t="str">
        <f>IFERROR(__xludf.DUMMYFUNCTION("""COMPUTED_VALUE"""),"Pedurungan")</f>
        <v>Pedurungan</v>
      </c>
      <c r="Y549" s="80" t="str">
        <f>IFERROR(__xludf.DUMMYFUNCTION("""COMPUTED_VALUE"""),"Kota Semarang")</f>
        <v>Kota Semarang</v>
      </c>
      <c r="Z549" s="80" t="str">
        <f>IFERROR(__xludf.DUMMYFUNCTION("""COMPUTED_VALUE"""),"Jawa Tengah")</f>
        <v>Jawa Tengah</v>
      </c>
      <c r="AA549" s="80" t="str">
        <f>IFERROR(__xludf.DUMMYFUNCTION("""COMPUTED_VALUE"""),"50246")</f>
        <v>50246</v>
      </c>
      <c r="AB549" s="80" t="str">
        <f>IFERROR(__xludf.DUMMYFUNCTION("""COMPUTED_VALUE"""),"3374021510850001")</f>
        <v>3374021510850001</v>
      </c>
      <c r="AC549" s="80" t="str">
        <f>IFERROR(__xludf.DUMMYFUNCTION("""COMPUTED_VALUE"""),"46.016.931.1-627.000")</f>
        <v>46.016.931.1-627.000</v>
      </c>
      <c r="AD549" s="80" t="str">
        <f>IFERROR(__xludf.DUMMYFUNCTION("""COMPUTED_VALUE"""),"CUM - PS - PDW")</f>
        <v>CUM - PS - PDW</v>
      </c>
      <c r="AE549" s="80" t="str">
        <f>IFERROR(__xludf.DUMMYFUNCTION("""COMPUTED_VALUE"""),"SUB BOWO POS")</f>
        <v>SUB BOWO POS</v>
      </c>
      <c r="AF549" s="80" t="str">
        <f>IFERROR(__xludf.DUMMYFUNCTION("""COMPUTED_VALUE"""),"0816583888")</f>
        <v>0816583888</v>
      </c>
      <c r="AG549" s="80"/>
      <c r="AH549" s="80" t="str">
        <f>IFERROR(__xludf.DUMMYFUNCTION("""COMPUTED_VALUE"""),"aloy_ssb@yahoo.com")</f>
        <v>aloy_ssb@yahoo.com</v>
      </c>
      <c r="AI549" s="80" t="str">
        <f>IFERROR(__xludf.DUMMYFUNCTION("""COMPUTED_VALUE"""),"50199S4")</f>
        <v>50199S4</v>
      </c>
      <c r="AJ549" s="80" t="str">
        <f>IFERROR(__xludf.DUMMYFUNCTION("""COMPUTED_VALUE"""),"686e16a251f7e5cca20eead6")</f>
        <v>686e16a251f7e5cca20eead6</v>
      </c>
      <c r="AK549" s="80" t="str">
        <f>IFERROR(__xludf.DUMMYFUNCTION("""COMPUTED_VALUE"""),"dm50199s4")</f>
        <v>dm50199s4</v>
      </c>
      <c r="AL549" s="80" t="str">
        <f>IFERROR(__xludf.DUMMYFUNCTION("""COMPUTED_VALUE"""),"#50199Pos")</f>
        <v>#50199Pos</v>
      </c>
      <c r="AM549" s="80" t="str">
        <f>IFERROR(__xludf.DUMMYFUNCTION("""COMPUTED_VALUE"""),"KANTOR REGIONAL IV SEMARANG 50004")</f>
        <v>KANTOR REGIONAL IV SEMARANG 50004</v>
      </c>
      <c r="AN549" s="80" t="str">
        <f>IFERROR(__xludf.DUMMYFUNCTION("""COMPUTED_VALUE"""),"KCU SEMARANG 50000")</f>
        <v>KCU SEMARANG 50000</v>
      </c>
      <c r="AO549" s="80" t="str">
        <f>IFERROR(__xludf.DUMMYFUNCTION("""COMPUTED_VALUE"""),"1209240051811")</f>
        <v>1209240051811</v>
      </c>
      <c r="AP549" s="80" t="str">
        <f>IFERROR(__xludf.DUMMYFUNCTION("""COMPUTED_VALUE"""),"12092400518110001")</f>
        <v>12092400518110001</v>
      </c>
      <c r="AQ549" s="83"/>
      <c r="AR549" s="80"/>
      <c r="AS549" s="80"/>
      <c r="AT549" s="80" t="str">
        <f>IFERROR(__xludf.DUMMYFUNCTION("""COMPUTED_VALUE"""),"-6.9955177")</f>
        <v>-6.9955177</v>
      </c>
      <c r="AU549" s="80" t="str">
        <f>IFERROR(__xludf.DUMMYFUNCTION("""COMPUTED_VALUE"""),"110.4614539")</f>
        <v>110.4614539</v>
      </c>
      <c r="AV549" s="80"/>
      <c r="AW549" s="80"/>
      <c r="AX549" s="80"/>
      <c r="AY549" s="80"/>
      <c r="AZ549" s="80"/>
      <c r="BA549" s="80"/>
      <c r="BB549" s="80"/>
      <c r="BC549" s="80"/>
      <c r="BD549" s="80"/>
      <c r="BE549" s="80"/>
      <c r="BF549" s="80"/>
      <c r="BG549" s="80"/>
      <c r="BH549" s="80"/>
      <c r="BI549" s="80"/>
      <c r="BJ549" s="80"/>
      <c r="BK549" s="80"/>
      <c r="BL549" s="80"/>
      <c r="BM549" s="80"/>
      <c r="BN549" s="80"/>
      <c r="BO549" s="80"/>
      <c r="BP549" s="80"/>
      <c r="BQ549" s="80"/>
      <c r="BR549" s="80"/>
      <c r="BS549" s="80"/>
      <c r="BT549" s="80"/>
      <c r="BU549" s="80"/>
      <c r="BV549" s="80"/>
      <c r="BW549" s="80"/>
      <c r="BX549" s="80" t="str">
        <f>IFERROR(__xludf.DUMMYFUNCTION("""COMPUTED_VALUE"""),"MULTIKURIR - JNT EXPRESS - LION PARCEL")</f>
        <v>MULTIKURIR - JNT EXPRESS - LION PARCEL</v>
      </c>
      <c r="BY549" s="80"/>
      <c r="BZ549" s="80"/>
      <c r="CA549" s="80"/>
      <c r="CB549" s="80"/>
      <c r="CC549" s="80"/>
      <c r="CD549" s="80"/>
      <c r="CE549" s="80"/>
      <c r="CF549" s="80"/>
      <c r="CG549" s="80"/>
      <c r="CH549" s="80"/>
      <c r="CI549" s="80"/>
      <c r="CJ549" s="80"/>
      <c r="CK549" s="2"/>
    </row>
    <row r="550" ht="12.75" customHeight="1">
      <c r="A550" s="85">
        <f>IFERROR(__xludf.DUMMYFUNCTION("""COMPUTED_VALUE"""),547.0)</f>
        <v>547</v>
      </c>
      <c r="B550" s="85"/>
      <c r="C550" s="85"/>
      <c r="D550" s="86">
        <f>IFERROR(__xludf.DUMMYFUNCTION("""COMPUTED_VALUE"""),45841.0)</f>
        <v>45841</v>
      </c>
      <c r="E550" s="88"/>
      <c r="F550" s="85"/>
      <c r="G550" s="86"/>
      <c r="H550" s="85"/>
      <c r="I550" s="85"/>
      <c r="J550" s="85"/>
      <c r="K550" s="85"/>
      <c r="L550" s="85"/>
      <c r="M550" s="85" t="str">
        <f>IFERROR(__xludf.DUMMYFUNCTION("""COMPUTED_VALUE"""),"ü")</f>
        <v>ü</v>
      </c>
      <c r="N550" s="85"/>
      <c r="O550" s="85"/>
      <c r="P550" s="85" t="str">
        <f>IFERROR(__xludf.DUMMYFUNCTION("""COMPUTED_VALUE"""),"MUCSPA63178PSIND")</f>
        <v>MUCSPA63178PSIND</v>
      </c>
      <c r="Q550" s="85" t="str">
        <f>IFERROR(__xludf.DUMMYFUNCTION("""COMPUTED_VALUE"""),"MUC Keybexpress")</f>
        <v>MUC Keybexpress</v>
      </c>
      <c r="R550" s="85" t="str">
        <f>IFERROR(__xludf.DUMMYFUNCTION("""COMPUTED_VALUE"""),"MUC Keybexpress")</f>
        <v>MUC Keybexpress</v>
      </c>
      <c r="S550" s="85" t="str">
        <f>IFERROR(__xludf.DUMMYFUNCTION("""COMPUTED_VALUE"""),"DARMAN")</f>
        <v>DARMAN</v>
      </c>
      <c r="T550" s="85" t="str">
        <f>IFERROR(__xludf.DUMMYFUNCTION("""COMPUTED_VALUE"""),"JL. MALEO2-ARSO II RT.026 RW.001 KEL.YUWANAIN KEC.ARSO KAB.KEEROM PAPUA")</f>
        <v>JL. MALEO2-ARSO II RT.026 RW.001 KEL.YUWANAIN KEC.ARSO KAB.KEEROM PAPUA</v>
      </c>
      <c r="U550" s="85" t="str">
        <f>IFERROR(__xludf.DUMMYFUNCTION("""COMPUTED_VALUE"""),"Ruko KMR Blok A No. 1, Jl. Salabenda Raya No. 8, RT 002/RW 004")</f>
        <v>Ruko KMR Blok A No. 1, Jl. Salabenda Raya No. 8, RT 002/RW 004</v>
      </c>
      <c r="V550" s="85"/>
      <c r="W550" s="85" t="str">
        <f>IFERROR(__xludf.DUMMYFUNCTION("""COMPUTED_VALUE"""),"Parakan Jaya")</f>
        <v>Parakan Jaya</v>
      </c>
      <c r="X550" s="85" t="str">
        <f>IFERROR(__xludf.DUMMYFUNCTION("""COMPUTED_VALUE"""),"Kemang")</f>
        <v>Kemang</v>
      </c>
      <c r="Y550" s="85" t="str">
        <f>IFERROR(__xludf.DUMMYFUNCTION("""COMPUTED_VALUE"""),"Kab. Bogor")</f>
        <v>Kab. Bogor</v>
      </c>
      <c r="Z550" s="85" t="str">
        <f>IFERROR(__xludf.DUMMYFUNCTION("""COMPUTED_VALUE"""),"Jawa Barat")</f>
        <v>Jawa Barat</v>
      </c>
      <c r="AA550" s="85" t="str">
        <f>IFERROR(__xludf.DUMMYFUNCTION("""COMPUTED_VALUE"""),"16310")</f>
        <v>16310</v>
      </c>
      <c r="AB550" s="85" t="str">
        <f>IFERROR(__xludf.DUMMYFUNCTION("""COMPUTED_VALUE"""),"9111060505860001")</f>
        <v>9111060505860001</v>
      </c>
      <c r="AC550" s="85" t="str">
        <f>IFERROR(__xludf.DUMMYFUNCTION("""COMPUTED_VALUE"""),"95.673.557.5-952.000")</f>
        <v>95.673.557.5-952.000</v>
      </c>
      <c r="AD550" s="85" t="str">
        <f>IFERROR(__xludf.DUMMYFUNCTION("""COMPUTED_VALUE"""),"CUM - PS - NONKORGEN")</f>
        <v>CUM - PS - NONKORGEN</v>
      </c>
      <c r="AE550" s="85" t="str">
        <f>IFERROR(__xludf.DUMMYFUNCTION("""COMPUTED_VALUE"""),"PAK DERIANA KCU BOGOR")</f>
        <v>PAK DERIANA KCU BOGOR</v>
      </c>
      <c r="AF550" s="85" t="str">
        <f>IFERROR(__xludf.DUMMYFUNCTION("""COMPUTED_VALUE"""),"082293441345")</f>
        <v>082293441345</v>
      </c>
      <c r="AG550" s="85"/>
      <c r="AH550" s="85" t="str">
        <f>IFERROR(__xludf.DUMMYFUNCTION("""COMPUTED_VALUE"""),"keybexpress.logistic@gmail.com")</f>
        <v>keybexpress.logistic@gmail.com</v>
      </c>
      <c r="AI550" s="85" t="str">
        <f>IFERROR(__xludf.DUMMYFUNCTION("""COMPUTED_VALUE"""),"16319S2")</f>
        <v>16319S2</v>
      </c>
      <c r="AJ550" s="85" t="str">
        <f>IFERROR(__xludf.DUMMYFUNCTION("""COMPUTED_VALUE"""),"6871b94f83b4bcf9dd0cc975")</f>
        <v>6871b94f83b4bcf9dd0cc975</v>
      </c>
      <c r="AK550" s="85" t="str">
        <f>IFERROR(__xludf.DUMMYFUNCTION("""COMPUTED_VALUE"""),"dm16319s2")</f>
        <v>dm16319s2</v>
      </c>
      <c r="AL550" s="85" t="str">
        <f>IFERROR(__xludf.DUMMYFUNCTION("""COMPUTED_VALUE"""),"#16319Pos")</f>
        <v>#16319Pos</v>
      </c>
      <c r="AM550" s="85" t="str">
        <f>IFERROR(__xludf.DUMMYFUNCTION("""COMPUTED_VALUE"""),"KANTOR REGIONAL II JAKARTA 10004")</f>
        <v>KANTOR REGIONAL II JAKARTA 10004</v>
      </c>
      <c r="AN550" s="85" t="str">
        <f>IFERROR(__xludf.DUMMYFUNCTION("""COMPUTED_VALUE"""),"KCU BOGOR 16000")</f>
        <v>KCU BOGOR 16000</v>
      </c>
      <c r="AO550" s="85" t="str">
        <f>IFERROR(__xludf.DUMMYFUNCTION("""COMPUTED_VALUE"""),"0107250032489")</f>
        <v>0107250032489</v>
      </c>
      <c r="AP550" s="85" t="str">
        <f>IFERROR(__xludf.DUMMYFUNCTION("""COMPUTED_VALUE"""),"01072500324890001")</f>
        <v>01072500324890001</v>
      </c>
      <c r="AQ550" s="93"/>
      <c r="AR550" s="85"/>
      <c r="AS550" s="85"/>
      <c r="AT550" s="85" t="str">
        <f>IFERROR(__xludf.DUMMYFUNCTION("""COMPUTED_VALUE"""),"-6.527967")</f>
        <v>-6.527967</v>
      </c>
      <c r="AU550" s="85" t="str">
        <f>IFERROR(__xludf.DUMMYFUNCTION("""COMPUTED_VALUE"""),"106.761655")</f>
        <v>106.761655</v>
      </c>
      <c r="AV550" s="85"/>
      <c r="AW550" s="85"/>
      <c r="AX550" s="85"/>
      <c r="AY550" s="85"/>
      <c r="AZ550" s="85"/>
      <c r="BA550" s="85"/>
      <c r="BB550" s="85"/>
      <c r="BC550" s="85"/>
      <c r="BD550" s="85"/>
      <c r="BE550" s="85"/>
      <c r="BF550" s="85"/>
      <c r="BG550" s="85"/>
      <c r="BH550" s="85"/>
      <c r="BI550" s="85"/>
      <c r="BJ550" s="85"/>
      <c r="BK550" s="85"/>
      <c r="BL550" s="85"/>
      <c r="BM550" s="85"/>
      <c r="BN550" s="85"/>
      <c r="BO550" s="85"/>
      <c r="BP550" s="85"/>
      <c r="BQ550" s="85"/>
      <c r="BR550" s="85"/>
      <c r="BS550" s="85"/>
      <c r="BT550" s="85"/>
      <c r="BU550" s="85"/>
      <c r="BV550" s="85"/>
      <c r="BW550" s="85"/>
      <c r="BX550" s="85" t="str">
        <f>IFERROR(__xludf.DUMMYFUNCTION("""COMPUTED_VALUE"""),"KEYBE EXPRESS")</f>
        <v>KEYBE EXPRESS</v>
      </c>
      <c r="BY550" s="85"/>
      <c r="BZ550" s="85"/>
      <c r="CA550" s="85"/>
      <c r="CB550" s="85"/>
      <c r="CC550" s="85"/>
      <c r="CD550" s="85"/>
      <c r="CE550" s="85"/>
      <c r="CF550" s="85"/>
      <c r="CG550" s="85"/>
      <c r="CH550" s="85"/>
      <c r="CI550" s="85"/>
      <c r="CJ550" s="85"/>
      <c r="CK550" s="2"/>
    </row>
    <row r="551" ht="12.75" customHeight="1">
      <c r="A551" s="80">
        <f>IFERROR(__xludf.DUMMYFUNCTION("""COMPUTED_VALUE"""),548.0)</f>
        <v>548</v>
      </c>
      <c r="B551" s="80"/>
      <c r="C551" s="80"/>
      <c r="D551" s="81">
        <f>IFERROR(__xludf.DUMMYFUNCTION("""COMPUTED_VALUE"""),45841.0)</f>
        <v>45841</v>
      </c>
      <c r="E551" s="82"/>
      <c r="F551" s="80"/>
      <c r="G551" s="81"/>
      <c r="H551" s="80"/>
      <c r="I551" s="80"/>
      <c r="J551" s="80"/>
      <c r="K551" s="80"/>
      <c r="L551" s="80"/>
      <c r="M551" s="80" t="str">
        <f>IFERROR(__xludf.DUMMYFUNCTION("""COMPUTED_VALUE"""),"ü")</f>
        <v>ü</v>
      </c>
      <c r="N551" s="80"/>
      <c r="O551" s="80"/>
      <c r="P551" s="80" t="str">
        <f>IFERROR(__xludf.DUMMYFUNCTION("""COMPUTED_VALUE"""),"MUCSPA63179PSIND")</f>
        <v>MUCSPA63179PSIND</v>
      </c>
      <c r="Q551" s="80" t="str">
        <f>IFERROR(__xludf.DUMMYFUNCTION("""COMPUTED_VALUE"""),"MUC Gaga Utama 2")</f>
        <v>MUC Gaga Utama 2</v>
      </c>
      <c r="R551" s="80" t="str">
        <f>IFERROR(__xludf.DUMMYFUNCTION("""COMPUTED_VALUE"""),"MUC Gaga Utama 2")</f>
        <v>MUC Gaga Utama 2</v>
      </c>
      <c r="S551" s="80" t="str">
        <f>IFERROR(__xludf.DUMMYFUNCTION("""COMPUTED_VALUE"""),"YEYET HARYATI")</f>
        <v>YEYET HARYATI</v>
      </c>
      <c r="T551" s="80" t="str">
        <f>IFERROR(__xludf.DUMMYFUNCTION("""COMPUTED_VALUE"""),"TMN PALEM LESTARI BLK A.2 NO.56 RT.009 RW.016 CENGKARENG BARAT CENGKARENG ")</f>
        <v>TMN PALEM LESTARI BLK A.2 NO.56 RT.009 RW.016 CENGKARENG BARAT CENGKARENG </v>
      </c>
      <c r="U551" s="80" t="str">
        <f>IFERROR(__xludf.DUMMYFUNCTION("""COMPUTED_VALUE"""),"Jl Gaga Utama Raya 2 Rt.06/09")</f>
        <v>Jl Gaga Utama Raya 2 Rt.06/09</v>
      </c>
      <c r="V551" s="80"/>
      <c r="W551" s="80" t="str">
        <f>IFERROR(__xludf.DUMMYFUNCTION("""COMPUTED_VALUE"""),"Semanan")</f>
        <v>Semanan</v>
      </c>
      <c r="X551" s="80" t="str">
        <f>IFERROR(__xludf.DUMMYFUNCTION("""COMPUTED_VALUE"""),"Kalideres")</f>
        <v>Kalideres</v>
      </c>
      <c r="Y551" s="80" t="str">
        <f>IFERROR(__xludf.DUMMYFUNCTION("""COMPUTED_VALUE"""),"Jakarta Barat")</f>
        <v>Jakarta Barat</v>
      </c>
      <c r="Z551" s="80" t="str">
        <f>IFERROR(__xludf.DUMMYFUNCTION("""COMPUTED_VALUE"""),"DKI Jakarta")</f>
        <v>DKI Jakarta</v>
      </c>
      <c r="AA551" s="80" t="str">
        <f>IFERROR(__xludf.DUMMYFUNCTION("""COMPUTED_VALUE"""),"11850")</f>
        <v>11850</v>
      </c>
      <c r="AB551" s="80" t="str">
        <f>IFERROR(__xludf.DUMMYFUNCTION("""COMPUTED_VALUE"""),"3173015104700007")</f>
        <v>3173015104700007</v>
      </c>
      <c r="AC551" s="80" t="str">
        <f>IFERROR(__xludf.DUMMYFUNCTION("""COMPUTED_VALUE"""),"93.409.987.0-034.000")</f>
        <v>93.409.987.0-034.000</v>
      </c>
      <c r="AD551" s="80" t="str">
        <f>IFERROR(__xludf.DUMMYFUNCTION("""COMPUTED_VALUE"""),"CUM - PS - SUSU")</f>
        <v>CUM - PS - SUSU</v>
      </c>
      <c r="AE551" s="80" t="str">
        <f>IFERROR(__xludf.DUMMYFUNCTION("""COMPUTED_VALUE"""),"SUB SUGENG POS")</f>
        <v>SUB SUGENG POS</v>
      </c>
      <c r="AF551" s="80" t="str">
        <f>IFERROR(__xludf.DUMMYFUNCTION("""COMPUTED_VALUE"""),"081290218628")</f>
        <v>081290218628</v>
      </c>
      <c r="AG551" s="80"/>
      <c r="AH551" s="80" t="str">
        <f>IFERROR(__xludf.DUMMYFUNCTION("""COMPUTED_VALUE"""),"abduyoedhis@gmail.com")</f>
        <v>abduyoedhis@gmail.com</v>
      </c>
      <c r="AI551" s="80" t="str">
        <f>IFERROR(__xludf.DUMMYFUNCTION("""COMPUTED_VALUE"""),"11850S3")</f>
        <v>11850S3</v>
      </c>
      <c r="AJ551" s="80" t="str">
        <f>IFERROR(__xludf.DUMMYFUNCTION("""COMPUTED_VALUE"""),"686f6ba0e73024520a0166c1")</f>
        <v>686f6ba0e73024520a0166c1</v>
      </c>
      <c r="AK551" s="80" t="str">
        <f>IFERROR(__xludf.DUMMYFUNCTION("""COMPUTED_VALUE"""),"dm11850s3")</f>
        <v>dm11850s3</v>
      </c>
      <c r="AL551" s="80" t="str">
        <f>IFERROR(__xludf.DUMMYFUNCTION("""COMPUTED_VALUE"""),"#11850Pos")</f>
        <v>#11850Pos</v>
      </c>
      <c r="AM551" s="80" t="str">
        <f>IFERROR(__xludf.DUMMYFUNCTION("""COMPUTED_VALUE"""),"KANTOR REGIONAL II JAKARTA 10004")</f>
        <v>KANTOR REGIONAL II JAKARTA 10004</v>
      </c>
      <c r="AN551" s="80" t="str">
        <f>IFERROR(__xludf.DUMMYFUNCTION("""COMPUTED_VALUE"""),"KCU JAKARTAOCEANIA 11000")</f>
        <v>KCU JAKARTAOCEANIA 11000</v>
      </c>
      <c r="AO551" s="80" t="str">
        <f>IFERROR(__xludf.DUMMYFUNCTION("""COMPUTED_VALUE"""),"0307250065997")</f>
        <v>0307250065997</v>
      </c>
      <c r="AP551" s="80" t="str">
        <f>IFERROR(__xludf.DUMMYFUNCTION("""COMPUTED_VALUE"""),"03072500659970001")</f>
        <v>03072500659970001</v>
      </c>
      <c r="AQ551" s="83"/>
      <c r="AR551" s="80"/>
      <c r="AS551" s="80"/>
      <c r="AT551" s="80" t="str">
        <f>IFERROR(__xludf.DUMMYFUNCTION("""COMPUTED_VALUE"""),"-6.1686804")</f>
        <v>-6.1686804</v>
      </c>
      <c r="AU551" s="80" t="str">
        <f>IFERROR(__xludf.DUMMYFUNCTION("""COMPUTED_VALUE"""),"106.6935389")</f>
        <v>106.6935389</v>
      </c>
      <c r="AV551" s="80"/>
      <c r="AW551" s="80"/>
      <c r="AX551" s="80"/>
      <c r="AY551" s="80"/>
      <c r="AZ551" s="80"/>
      <c r="BA551" s="80"/>
      <c r="BB551" s="80"/>
      <c r="BC551" s="80"/>
      <c r="BD551" s="80"/>
      <c r="BE551" s="80"/>
      <c r="BF551" s="80"/>
      <c r="BG551" s="80"/>
      <c r="BH551" s="80"/>
      <c r="BI551" s="80"/>
      <c r="BJ551" s="80"/>
      <c r="BK551" s="80"/>
      <c r="BL551" s="80"/>
      <c r="BM551" s="80"/>
      <c r="BN551" s="80"/>
      <c r="BO551" s="80"/>
      <c r="BP551" s="80"/>
      <c r="BQ551" s="80"/>
      <c r="BR551" s="80"/>
      <c r="BS551" s="80"/>
      <c r="BT551" s="80"/>
      <c r="BU551" s="80"/>
      <c r="BV551" s="80"/>
      <c r="BW551" s="80"/>
      <c r="BX551" s="80" t="str">
        <f>IFERROR(__xludf.DUMMYFUNCTION("""COMPUTED_VALUE"""),"MULTIKURIR - LION PARCEL")</f>
        <v>MULTIKURIR - LION PARCEL</v>
      </c>
      <c r="BY551" s="80"/>
      <c r="BZ551" s="80"/>
      <c r="CA551" s="80"/>
      <c r="CB551" s="80"/>
      <c r="CC551" s="80"/>
      <c r="CD551" s="80"/>
      <c r="CE551" s="80"/>
      <c r="CF551" s="80"/>
      <c r="CG551" s="80"/>
      <c r="CH551" s="80"/>
      <c r="CI551" s="80"/>
      <c r="CJ551" s="80"/>
      <c r="CK551" s="2"/>
    </row>
    <row r="552" ht="12.75" customHeight="1">
      <c r="A552" s="85">
        <f>IFERROR(__xludf.DUMMYFUNCTION("""COMPUTED_VALUE"""),549.0)</f>
        <v>549</v>
      </c>
      <c r="B552" s="85"/>
      <c r="C552" s="85"/>
      <c r="D552" s="86">
        <f>IFERROR(__xludf.DUMMYFUNCTION("""COMPUTED_VALUE"""),45841.0)</f>
        <v>45841</v>
      </c>
      <c r="E552" s="88"/>
      <c r="F552" s="85"/>
      <c r="G552" s="86"/>
      <c r="H552" s="85"/>
      <c r="I552" s="85"/>
      <c r="J552" s="85"/>
      <c r="K552" s="85"/>
      <c r="L552" s="85"/>
      <c r="M552" s="85" t="str">
        <f>IFERROR(__xludf.DUMMYFUNCTION("""COMPUTED_VALUE"""),"ü")</f>
        <v>ü</v>
      </c>
      <c r="N552" s="85"/>
      <c r="O552" s="85"/>
      <c r="P552" s="85" t="str">
        <f>IFERROR(__xludf.DUMMYFUNCTION("""COMPUTED_VALUE"""),"MUCSPA63180PSIND")</f>
        <v>MUCSPA63180PSIND</v>
      </c>
      <c r="Q552" s="85" t="str">
        <f>IFERROR(__xludf.DUMMYFUNCTION("""COMPUTED_VALUE"""),"MUC WISMA HARAPAN")</f>
        <v>MUC WISMA HARAPAN</v>
      </c>
      <c r="R552" s="85" t="str">
        <f>IFERROR(__xludf.DUMMYFUNCTION("""COMPUTED_VALUE"""),"MUC WISMA HARAPAN")</f>
        <v>MUC WISMA HARAPAN</v>
      </c>
      <c r="S552" s="85" t="str">
        <f>IFERROR(__xludf.DUMMYFUNCTION("""COMPUTED_VALUE"""),"Ramdan Suryadi")</f>
        <v>Ramdan Suryadi</v>
      </c>
      <c r="T552" s="85" t="str">
        <f>IFERROR(__xludf.DUMMYFUNCTION("""COMPUTED_VALUE"""),"Pondok Alam Permai Blok M2/05 RT01 RW08 Kel. Alam Jaya Kec. Jati Uwung Kota Tangerang Banten")</f>
        <v>Pondok Alam Permai Blok M2/05 RT01 RW08 Kel. Alam Jaya Kec. Jati Uwung Kota Tangerang Banten</v>
      </c>
      <c r="U552" s="85" t="str">
        <f>IFERROR(__xludf.DUMMYFUNCTION("""COMPUTED_VALUE"""),"Wisma Harapan Blok A5/15")</f>
        <v>Wisma Harapan Blok A5/15</v>
      </c>
      <c r="V552" s="85"/>
      <c r="W552" s="85" t="str">
        <f>IFERROR(__xludf.DUMMYFUNCTION("""COMPUTED_VALUE"""),"Gembor")</f>
        <v>Gembor</v>
      </c>
      <c r="X552" s="85" t="str">
        <f>IFERROR(__xludf.DUMMYFUNCTION("""COMPUTED_VALUE"""),"Periuk")</f>
        <v>Periuk</v>
      </c>
      <c r="Y552" s="85" t="str">
        <f>IFERROR(__xludf.DUMMYFUNCTION("""COMPUTED_VALUE"""),"Tangerang")</f>
        <v>Tangerang</v>
      </c>
      <c r="Z552" s="85" t="str">
        <f>IFERROR(__xludf.DUMMYFUNCTION("""COMPUTED_VALUE"""),"Banten")</f>
        <v>Banten</v>
      </c>
      <c r="AA552" s="85" t="str">
        <f>IFERROR(__xludf.DUMMYFUNCTION("""COMPUTED_VALUE"""),"15133")</f>
        <v>15133</v>
      </c>
      <c r="AB552" s="85" t="str">
        <f>IFERROR(__xludf.DUMMYFUNCTION("""COMPUTED_VALUE"""),"3211032912970003")</f>
        <v>3211032912970003</v>
      </c>
      <c r="AC552" s="85" t="str">
        <f>IFERROR(__xludf.DUMMYFUNCTION("""COMPUTED_VALUE"""),"92.747.567.3-402.000")</f>
        <v>92.747.567.3-402.000</v>
      </c>
      <c r="AD552" s="85" t="str">
        <f>IFERROR(__xludf.DUMMYFUNCTION("""COMPUTED_VALUE"""),"CUM - PS - DWIH")</f>
        <v>CUM - PS - DWIH</v>
      </c>
      <c r="AE552" s="85" t="str">
        <f>IFERROR(__xludf.DUMMYFUNCTION("""COMPUTED_VALUE"""),"SUB DWI HARTANTO POS")</f>
        <v>SUB DWI HARTANTO POS</v>
      </c>
      <c r="AF552" s="85" t="str">
        <f>IFERROR(__xludf.DUMMYFUNCTION("""COMPUTED_VALUE"""),"085215173629")</f>
        <v>085215173629</v>
      </c>
      <c r="AG552" s="85"/>
      <c r="AH552" s="85" t="str">
        <f>IFERROR(__xludf.DUMMYFUNCTION("""COMPUTED_VALUE"""),"ramdansuryadi89@gmail.com")</f>
        <v>ramdansuryadi89@gmail.com</v>
      </c>
      <c r="AI552" s="85" t="str">
        <f>IFERROR(__xludf.DUMMYFUNCTION("""COMPUTED_VALUE"""),"15133S4")</f>
        <v>15133S4</v>
      </c>
      <c r="AJ552" s="85" t="str">
        <f>IFERROR(__xludf.DUMMYFUNCTION("""COMPUTED_VALUE"""),"6871c45ec8cc4187e2090b6d")</f>
        <v>6871c45ec8cc4187e2090b6d</v>
      </c>
      <c r="AK552" s="85" t="str">
        <f>IFERROR(__xludf.DUMMYFUNCTION("""COMPUTED_VALUE"""),"dm15133s4")</f>
        <v>dm15133s4</v>
      </c>
      <c r="AL552" s="85" t="str">
        <f>IFERROR(__xludf.DUMMYFUNCTION("""COMPUTED_VALUE"""),"#15133Pos")</f>
        <v>#15133Pos</v>
      </c>
      <c r="AM552" s="85" t="str">
        <f>IFERROR(__xludf.DUMMYFUNCTION("""COMPUTED_VALUE"""),"KANTOR REGIONAL II JAKARTA 10004")</f>
        <v>KANTOR REGIONAL II JAKARTA 10004</v>
      </c>
      <c r="AN552" s="85" t="str">
        <f>IFERROR(__xludf.DUMMYFUNCTION("""COMPUTED_VALUE"""),"KCU TANGERANG 15000")</f>
        <v>KCU TANGERANG 15000</v>
      </c>
      <c r="AO552" s="85" t="str">
        <f>IFERROR(__xludf.DUMMYFUNCTION("""COMPUTED_VALUE"""),"0107250014419")</f>
        <v>0107250014419</v>
      </c>
      <c r="AP552" s="85" t="str">
        <f>IFERROR(__xludf.DUMMYFUNCTION("""COMPUTED_VALUE"""),"01072500144190001")</f>
        <v>01072500144190001</v>
      </c>
      <c r="AQ552" s="93"/>
      <c r="AR552" s="85"/>
      <c r="AS552" s="85"/>
      <c r="AT552" s="85" t="str">
        <f>IFERROR(__xludf.DUMMYFUNCTION("""COMPUTED_VALUE"""),"-6.1761618")</f>
        <v>-6.1761618</v>
      </c>
      <c r="AU552" s="85" t="str">
        <f>IFERROR(__xludf.DUMMYFUNCTION("""COMPUTED_VALUE"""),"106.5771139")</f>
        <v>106.5771139</v>
      </c>
      <c r="AV552" s="85"/>
      <c r="AW552" s="85"/>
      <c r="AX552" s="85"/>
      <c r="AY552" s="85"/>
      <c r="AZ552" s="85"/>
      <c r="BA552" s="85"/>
      <c r="BB552" s="85"/>
      <c r="BC552" s="85"/>
      <c r="BD552" s="85"/>
      <c r="BE552" s="85"/>
      <c r="BF552" s="85"/>
      <c r="BG552" s="85"/>
      <c r="BH552" s="85"/>
      <c r="BI552" s="85"/>
      <c r="BJ552" s="85"/>
      <c r="BK552" s="85"/>
      <c r="BL552" s="85"/>
      <c r="BM552" s="85"/>
      <c r="BN552" s="85"/>
      <c r="BO552" s="85"/>
      <c r="BP552" s="85"/>
      <c r="BQ552" s="85"/>
      <c r="BR552" s="85"/>
      <c r="BS552" s="85"/>
      <c r="BT552" s="85"/>
      <c r="BU552" s="85"/>
      <c r="BV552" s="85"/>
      <c r="BW552" s="85"/>
      <c r="BX552" s="85" t="str">
        <f>IFERROR(__xludf.DUMMYFUNCTION("""COMPUTED_VALUE"""),"MULTIKURIR - TIKI")</f>
        <v>MULTIKURIR - TIKI</v>
      </c>
      <c r="BY552" s="85"/>
      <c r="BZ552" s="85"/>
      <c r="CA552" s="85"/>
      <c r="CB552" s="85"/>
      <c r="CC552" s="85"/>
      <c r="CD552" s="85"/>
      <c r="CE552" s="85"/>
      <c r="CF552" s="85"/>
      <c r="CG552" s="85"/>
      <c r="CH552" s="85"/>
      <c r="CI552" s="85"/>
      <c r="CJ552" s="85"/>
      <c r="CK552" s="2"/>
    </row>
    <row r="553" ht="12.75" customHeight="1">
      <c r="A553" s="80">
        <f>IFERROR(__xludf.DUMMYFUNCTION("""COMPUTED_VALUE"""),550.0)</f>
        <v>550</v>
      </c>
      <c r="B553" s="80"/>
      <c r="C553" s="80"/>
      <c r="D553" s="81">
        <f>IFERROR(__xludf.DUMMYFUNCTION("""COMPUTED_VALUE"""),45842.0)</f>
        <v>45842</v>
      </c>
      <c r="E553" s="82"/>
      <c r="F553" s="80"/>
      <c r="G553" s="81"/>
      <c r="H553" s="80"/>
      <c r="I553" s="80"/>
      <c r="J553" s="80"/>
      <c r="K553" s="80"/>
      <c r="L553" s="80"/>
      <c r="M553" s="80" t="str">
        <f>IFERROR(__xludf.DUMMYFUNCTION("""COMPUTED_VALUE"""),"ü")</f>
        <v>ü</v>
      </c>
      <c r="N553" s="80"/>
      <c r="O553" s="80"/>
      <c r="P553" s="80" t="str">
        <f>IFERROR(__xludf.DUMMYFUNCTION("""COMPUTED_VALUE"""),"53BSPA09081JBCUM")</f>
        <v>53BSPA09081JBCUM</v>
      </c>
      <c r="Q553" s="80" t="str">
        <f>IFERROR(__xludf.DUMMYFUNCTION("""COMPUTED_VALUE"""),"MUC SINARJATI")</f>
        <v>MUC SINARJATI</v>
      </c>
      <c r="R553" s="80" t="str">
        <f>IFERROR(__xludf.DUMMYFUNCTION("""COMPUTED_VALUE"""),"MUC SINARJATI")</f>
        <v>MUC SINARJATI</v>
      </c>
      <c r="S553" s="80" t="str">
        <f>IFERROR(__xludf.DUMMYFUNCTION("""COMPUTED_VALUE"""),"ASEP NUGRAHA ")</f>
        <v>ASEP NUGRAHA </v>
      </c>
      <c r="T553" s="80" t="str">
        <f>IFERROR(__xludf.DUMMYFUNCTION("""COMPUTED_VALUE"""),"JL. KARANG ARUM XIII NO. 136 RT 2 RW 1 ")</f>
        <v>JL. KARANG ARUM XIII NO. 136 RT 2 RW 1 </v>
      </c>
      <c r="U553" s="80" t="str">
        <f>IFERROR(__xludf.DUMMYFUNCTION("""COMPUTED_VALUE"""),"JL. PASIR ENDAH NO. D121")</f>
        <v>JL. PASIR ENDAH NO. D121</v>
      </c>
      <c r="V553" s="80"/>
      <c r="W553" s="80" t="str">
        <f>IFERROR(__xludf.DUMMYFUNCTION("""COMPUTED_VALUE"""),"JATIENDAH")</f>
        <v>JATIENDAH</v>
      </c>
      <c r="X553" s="80" t="str">
        <f>IFERROR(__xludf.DUMMYFUNCTION("""COMPUTED_VALUE"""),"CILENGKRANG")</f>
        <v>CILENGKRANG</v>
      </c>
      <c r="Y553" s="80" t="str">
        <f>IFERROR(__xludf.DUMMYFUNCTION("""COMPUTED_VALUE"""),"KAB. BANDUNG")</f>
        <v>KAB. BANDUNG</v>
      </c>
      <c r="Z553" s="80" t="str">
        <f>IFERROR(__xludf.DUMMYFUNCTION("""COMPUTED_VALUE"""),"JAWA BARAT")</f>
        <v>JAWA BARAT</v>
      </c>
      <c r="AA553" s="80" t="str">
        <f>IFERROR(__xludf.DUMMYFUNCTION("""COMPUTED_VALUE"""),"40616")</f>
        <v>40616</v>
      </c>
      <c r="AB553" s="80" t="str">
        <f>IFERROR(__xludf.DUMMYFUNCTION("""COMPUTED_VALUE"""),"3204073011740001")</f>
        <v>3204073011740001</v>
      </c>
      <c r="AC553" s="80" t="str">
        <f>IFERROR(__xludf.DUMMYFUNCTION("""COMPUTED_VALUE"""),"57.582.539.3-444.000")</f>
        <v>57.582.539.3-444.000</v>
      </c>
      <c r="AD553" s="80" t="str">
        <f>IFERROR(__xludf.DUMMYFUNCTION("""COMPUTED_VALUE"""),"CUM")</f>
        <v>CUM</v>
      </c>
      <c r="AE553" s="80" t="str">
        <f>IFERROR(__xludf.DUMMYFUNCTION("""COMPUTED_VALUE"""),"CUM")</f>
        <v>CUM</v>
      </c>
      <c r="AF553" s="80" t="str">
        <f>IFERROR(__xludf.DUMMYFUNCTION("""COMPUTED_VALUE"""),"081322196174")</f>
        <v>081322196174</v>
      </c>
      <c r="AG553" s="80"/>
      <c r="AH553" s="80" t="str">
        <f>IFERROR(__xludf.DUMMYFUNCTION("""COMPUTED_VALUE"""),"asep.wiron@gmail.com")</f>
        <v>asep.wiron@gmail.com</v>
      </c>
      <c r="AI553" s="80"/>
      <c r="AJ553" s="80"/>
      <c r="AK553" s="80"/>
      <c r="AL553" s="80"/>
      <c r="AM553" s="80" t="str">
        <f>IFERROR(__xludf.DUMMYFUNCTION("""COMPUTED_VALUE"""),"KANTOR REGIONAL III BANDUNG 40004")</f>
        <v>KANTOR REGIONAL III BANDUNG 40004</v>
      </c>
      <c r="AN553" s="80" t="str">
        <f>IFERROR(__xludf.DUMMYFUNCTION("""COMPUTED_VALUE"""),"KC UJUNGBERUNG ")</f>
        <v>KC UJUNGBERUNG </v>
      </c>
      <c r="AO553" s="80" t="str">
        <f>IFERROR(__xludf.DUMMYFUNCTION("""COMPUTED_VALUE"""),"0407250017216")</f>
        <v>0407250017216</v>
      </c>
      <c r="AP553" s="80" t="str">
        <f>IFERROR(__xludf.DUMMYFUNCTION("""COMPUTED_VALUE"""),"04072500172160001")</f>
        <v>04072500172160001</v>
      </c>
      <c r="AQ553" s="83"/>
      <c r="AR553" s="80"/>
      <c r="AS553" s="80"/>
      <c r="AT553" s="80" t="str">
        <f>IFERROR(__xludf.DUMMYFUNCTION("""COMPUTED_VALUE"""),"-6.9019145")</f>
        <v>-6.9019145</v>
      </c>
      <c r="AU553" s="80" t="str">
        <f>IFERROR(__xludf.DUMMYFUNCTION("""COMPUTED_VALUE"""),"107.6978813")</f>
        <v>107.6978813</v>
      </c>
      <c r="AV553" s="80"/>
      <c r="AW553" s="80"/>
      <c r="AX553" s="80"/>
      <c r="AY553" s="80"/>
      <c r="AZ553" s="80"/>
      <c r="BA553" s="80"/>
      <c r="BB553" s="80"/>
      <c r="BC553" s="80"/>
      <c r="BD553" s="80"/>
      <c r="BE553" s="80"/>
      <c r="BF553" s="80"/>
      <c r="BG553" s="80"/>
      <c r="BH553" s="80"/>
      <c r="BI553" s="80"/>
      <c r="BJ553" s="80"/>
      <c r="BK553" s="80"/>
      <c r="BL553" s="80"/>
      <c r="BM553" s="80"/>
      <c r="BN553" s="80"/>
      <c r="BO553" s="80"/>
      <c r="BP553" s="80"/>
      <c r="BQ553" s="80"/>
      <c r="BR553" s="80"/>
      <c r="BS553" s="80"/>
      <c r="BT553" s="80"/>
      <c r="BU553" s="80"/>
      <c r="BV553" s="80"/>
      <c r="BW553" s="80"/>
      <c r="BX553" s="80" t="str">
        <f>IFERROR(__xludf.DUMMYFUNCTION("""COMPUTED_VALUE"""),"PPOB")</f>
        <v>PPOB</v>
      </c>
      <c r="BY553" s="80"/>
      <c r="BZ553" s="80"/>
      <c r="CA553" s="80"/>
      <c r="CB553" s="80"/>
      <c r="CC553" s="80"/>
      <c r="CD553" s="80"/>
      <c r="CE553" s="80"/>
      <c r="CF553" s="80"/>
      <c r="CG553" s="80"/>
      <c r="CH553" s="80"/>
      <c r="CI553" s="80"/>
      <c r="CJ553" s="80"/>
      <c r="CK553" s="2"/>
    </row>
    <row r="554" ht="12.75" customHeight="1">
      <c r="A554" s="85">
        <f>IFERROR(__xludf.DUMMYFUNCTION("""COMPUTED_VALUE"""),551.0)</f>
        <v>551</v>
      </c>
      <c r="B554" s="85"/>
      <c r="C554" s="85"/>
      <c r="D554" s="86">
        <f>IFERROR(__xludf.DUMMYFUNCTION("""COMPUTED_VALUE"""),45845.0)</f>
        <v>45845</v>
      </c>
      <c r="E554" s="88"/>
      <c r="F554" s="85"/>
      <c r="G554" s="86"/>
      <c r="H554" s="85"/>
      <c r="I554" s="85"/>
      <c r="J554" s="85"/>
      <c r="K554" s="85"/>
      <c r="L554" s="85"/>
      <c r="M554" s="85" t="str">
        <f>IFERROR(__xludf.DUMMYFUNCTION("""COMPUTED_VALUE"""),"ü")</f>
        <v>ü</v>
      </c>
      <c r="N554" s="85"/>
      <c r="O554" s="85"/>
      <c r="P554" s="85" t="str">
        <f>IFERROR(__xludf.DUMMYFUNCTION("""COMPUTED_VALUE"""),"MUCSPA63181PSIND")</f>
        <v>MUCSPA63181PSIND</v>
      </c>
      <c r="Q554" s="85" t="str">
        <f>IFERROR(__xludf.DUMMYFUNCTION("""COMPUTED_VALUE"""),"MUC Gumarang")</f>
        <v>MUC Gumarang</v>
      </c>
      <c r="R554" s="85" t="str">
        <f>IFERROR(__xludf.DUMMYFUNCTION("""COMPUTED_VALUE"""),"MUC Gumarang")</f>
        <v>MUC Gumarang</v>
      </c>
      <c r="S554" s="85" t="str">
        <f>IFERROR(__xludf.DUMMYFUNCTION("""COMPUTED_VALUE"""),"REFNALDI, ST, MT")</f>
        <v>REFNALDI, ST, MT</v>
      </c>
      <c r="T554" s="85" t="str">
        <f>IFERROR(__xludf.DUMMYFUNCTION("""COMPUTED_VALUE"""),"JL. PERMATA HARAPAN BARU BLOK F.3/31 RT.001 RW.014")</f>
        <v>JL. PERMATA HARAPAN BARU BLOK F.3/31 RT.001 RW.014</v>
      </c>
      <c r="U554" s="85" t="str">
        <f>IFERROR(__xludf.DUMMYFUNCTION("""COMPUTED_VALUE"""),"Pondok Ungu Permai sektor C, Blok H2 No 11, RT.005/RW.034")</f>
        <v>Pondok Ungu Permai sektor C, Blok H2 No 11, RT.005/RW.034</v>
      </c>
      <c r="V554" s="85"/>
      <c r="W554" s="85" t="str">
        <f>IFERROR(__xludf.DUMMYFUNCTION("""COMPUTED_VALUE"""),"Bahagia")</f>
        <v>Bahagia</v>
      </c>
      <c r="X554" s="85" t="str">
        <f>IFERROR(__xludf.DUMMYFUNCTION("""COMPUTED_VALUE"""),"Babelan")</f>
        <v>Babelan</v>
      </c>
      <c r="Y554" s="85" t="str">
        <f>IFERROR(__xludf.DUMMYFUNCTION("""COMPUTED_VALUE"""),"Kab. Bekasi")</f>
        <v>Kab. Bekasi</v>
      </c>
      <c r="Z554" s="85" t="str">
        <f>IFERROR(__xludf.DUMMYFUNCTION("""COMPUTED_VALUE"""),"Jawa Barat")</f>
        <v>Jawa Barat</v>
      </c>
      <c r="AA554" s="85" t="str">
        <f>IFERROR(__xludf.DUMMYFUNCTION("""COMPUTED_VALUE"""),"17612")</f>
        <v>17612</v>
      </c>
      <c r="AB554" s="85" t="str">
        <f>IFERROR(__xludf.DUMMYFUNCTION("""COMPUTED_VALUE"""),"3275062305690008")</f>
        <v>3275062305690008</v>
      </c>
      <c r="AC554" s="85" t="str">
        <f>IFERROR(__xludf.DUMMYFUNCTION("""COMPUTED_VALUE"""),"25.836.214.4-407.000")</f>
        <v>25.836.214.4-407.000</v>
      </c>
      <c r="AD554" s="85" t="str">
        <f>IFERROR(__xludf.DUMMYFUNCTION("""COMPUTED_VALUE"""),"CUM - PS - AYS")</f>
        <v>CUM - PS - AYS</v>
      </c>
      <c r="AE554" s="85" t="str">
        <f>IFERROR(__xludf.DUMMYFUNCTION("""COMPUTED_VALUE"""),"SUB YUNUS POS")</f>
        <v>SUB YUNUS POS</v>
      </c>
      <c r="AF554" s="85" t="str">
        <f>IFERROR(__xludf.DUMMYFUNCTION("""COMPUTED_VALUE"""),"081281176491")</f>
        <v>081281176491</v>
      </c>
      <c r="AG554" s="85"/>
      <c r="AH554" s="85" t="str">
        <f>IFERROR(__xludf.DUMMYFUNCTION("""COMPUTED_VALUE"""),"radjabrefnaldi18@hmail.com")</f>
        <v>radjabrefnaldi18@hmail.com</v>
      </c>
      <c r="AI554" s="85" t="str">
        <f>IFERROR(__xludf.DUMMYFUNCTION("""COMPUTED_VALUE"""),"17612S5")</f>
        <v>17612S5</v>
      </c>
      <c r="AJ554" s="85" t="str">
        <f>IFERROR(__xludf.DUMMYFUNCTION("""COMPUTED_VALUE"""),"6871d3b9b36188d25e00b3b8")</f>
        <v>6871d3b9b36188d25e00b3b8</v>
      </c>
      <c r="AK554" s="85" t="str">
        <f>IFERROR(__xludf.DUMMYFUNCTION("""COMPUTED_VALUE"""),"dm17612s5")</f>
        <v>dm17612s5</v>
      </c>
      <c r="AL554" s="85" t="str">
        <f>IFERROR(__xludf.DUMMYFUNCTION("""COMPUTED_VALUE"""),"#17612Pos")</f>
        <v>#17612Pos</v>
      </c>
      <c r="AM554" s="85" t="str">
        <f>IFERROR(__xludf.DUMMYFUNCTION("""COMPUTED_VALUE"""),"KANTOR REGIONAL II JAKARTA 10004")</f>
        <v>KANTOR REGIONAL II JAKARTA 10004</v>
      </c>
      <c r="AN554" s="85" t="str">
        <f>IFERROR(__xludf.DUMMYFUNCTION("""COMPUTED_VALUE"""),"KCU BEKASI 17000")</f>
        <v>KCU BEKASI 17000</v>
      </c>
      <c r="AO554" s="85" t="str">
        <f>IFERROR(__xludf.DUMMYFUNCTION("""COMPUTED_VALUE"""),"0307250053619")</f>
        <v>0307250053619</v>
      </c>
      <c r="AP554" s="85" t="str">
        <f>IFERROR(__xludf.DUMMYFUNCTION("""COMPUTED_VALUE"""),"03072500536190001")</f>
        <v>03072500536190001</v>
      </c>
      <c r="AQ554" s="93"/>
      <c r="AR554" s="85"/>
      <c r="AS554" s="85"/>
      <c r="AT554" s="85" t="str">
        <f>IFERROR(__xludf.DUMMYFUNCTION("""COMPUTED_VALUE"""),"-6.173026")</f>
        <v>-6.173026</v>
      </c>
      <c r="AU554" s="85" t="str">
        <f>IFERROR(__xludf.DUMMYFUNCTION("""COMPUTED_VALUE"""),"107.014919")</f>
        <v>107.014919</v>
      </c>
      <c r="AV554" s="85"/>
      <c r="AW554" s="85"/>
      <c r="AX554" s="85"/>
      <c r="AY554" s="85"/>
      <c r="AZ554" s="85"/>
      <c r="BA554" s="85"/>
      <c r="BB554" s="85"/>
      <c r="BC554" s="85"/>
      <c r="BD554" s="85"/>
      <c r="BE554" s="85"/>
      <c r="BF554" s="85"/>
      <c r="BG554" s="85"/>
      <c r="BH554" s="85"/>
      <c r="BI554" s="85"/>
      <c r="BJ554" s="85"/>
      <c r="BK554" s="85"/>
      <c r="BL554" s="85"/>
      <c r="BM554" s="85"/>
      <c r="BN554" s="85"/>
      <c r="BO554" s="85"/>
      <c r="BP554" s="85"/>
      <c r="BQ554" s="85"/>
      <c r="BR554" s="85"/>
      <c r="BS554" s="85"/>
      <c r="BT554" s="85"/>
      <c r="BU554" s="85"/>
      <c r="BV554" s="85"/>
      <c r="BW554" s="85"/>
      <c r="BX554" s="85" t="str">
        <f>IFERROR(__xludf.DUMMYFUNCTION("""COMPUTED_VALUE"""),"NEWBIE")</f>
        <v>NEWBIE</v>
      </c>
      <c r="BY554" s="85"/>
      <c r="BZ554" s="85"/>
      <c r="CA554" s="85"/>
      <c r="CB554" s="85"/>
      <c r="CC554" s="85"/>
      <c r="CD554" s="85"/>
      <c r="CE554" s="85"/>
      <c r="CF554" s="85"/>
      <c r="CG554" s="85"/>
      <c r="CH554" s="85"/>
      <c r="CI554" s="85"/>
      <c r="CJ554" s="85"/>
      <c r="CK554" s="2"/>
    </row>
    <row r="555" ht="12.75" customHeight="1">
      <c r="A555" s="80">
        <f>IFERROR(__xludf.DUMMYFUNCTION("""COMPUTED_VALUE"""),552.0)</f>
        <v>552</v>
      </c>
      <c r="B555" s="80"/>
      <c r="C555" s="80"/>
      <c r="D555" s="81">
        <f>IFERROR(__xludf.DUMMYFUNCTION("""COMPUTED_VALUE"""),45845.0)</f>
        <v>45845</v>
      </c>
      <c r="E555" s="82"/>
      <c r="F555" s="80"/>
      <c r="G555" s="81">
        <f>IFERROR(__xludf.DUMMYFUNCTION("""COMPUTED_VALUE"""),45866.0)</f>
        <v>45866</v>
      </c>
      <c r="H555" s="80"/>
      <c r="I555" s="80"/>
      <c r="J555" s="80"/>
      <c r="K555" s="80"/>
      <c r="L555" s="80">
        <f>IFERROR(__xludf.DUMMYFUNCTION("""COMPUTED_VALUE"""),21.0)</f>
        <v>21</v>
      </c>
      <c r="M555" s="80" t="str">
        <f>IFERROR(__xludf.DUMMYFUNCTION("""COMPUTED_VALUE"""),"ü")</f>
        <v>ü</v>
      </c>
      <c r="N555" s="80"/>
      <c r="O555" s="80"/>
      <c r="P555" s="80" t="str">
        <f>IFERROR(__xludf.DUMMYFUNCTION("""COMPUTED_VALUE"""),"MUCSPA63182PSIND")</f>
        <v>MUCSPA63182PSIND</v>
      </c>
      <c r="Q555" s="80" t="str">
        <f>IFERROR(__xludf.DUMMYFUNCTION("""COMPUTED_VALUE"""),"MUC GRAHA BEKA 100")</f>
        <v>MUC GRAHA BEKA 100</v>
      </c>
      <c r="R555" s="80" t="str">
        <f>IFERROR(__xludf.DUMMYFUNCTION("""COMPUTED_VALUE"""),"MUC GRAHA BEKA 100")</f>
        <v>MUC GRAHA BEKA 100</v>
      </c>
      <c r="S555" s="80" t="str">
        <f>IFERROR(__xludf.DUMMYFUNCTION("""COMPUTED_VALUE"""),"MUHAMMAD TEDY")</f>
        <v>MUHAMMAD TEDY</v>
      </c>
      <c r="T555" s="80" t="str">
        <f>IFERROR(__xludf.DUMMYFUNCTION("""COMPUTED_VALUE"""),"JL.MANDORETY NO.25 RT.002 RW.003 TANAH BARU BEJI KOTA DEPOK")</f>
        <v>JL.MANDORETY NO.25 RT.002 RW.003 TANAH BARU BEJI KOTA DEPOK</v>
      </c>
      <c r="U555" s="80" t="str">
        <f>IFERROR(__xludf.DUMMYFUNCTION("""COMPUTED_VALUE"""),"Jl Rs Fatmawati No.100")</f>
        <v>Jl Rs Fatmawati No.100</v>
      </c>
      <c r="V555" s="80"/>
      <c r="W555" s="80" t="str">
        <f>IFERROR(__xludf.DUMMYFUNCTION("""COMPUTED_VALUE"""),"Cilandak Barat")</f>
        <v>Cilandak Barat</v>
      </c>
      <c r="X555" s="80" t="str">
        <f>IFERROR(__xludf.DUMMYFUNCTION("""COMPUTED_VALUE"""),"Cilandak")</f>
        <v>Cilandak</v>
      </c>
      <c r="Y555" s="80" t="str">
        <f>IFERROR(__xludf.DUMMYFUNCTION("""COMPUTED_VALUE"""),"Jakarta Selatan")</f>
        <v>Jakarta Selatan</v>
      </c>
      <c r="Z555" s="80" t="str">
        <f>IFERROR(__xludf.DUMMYFUNCTION("""COMPUTED_VALUE"""),"DKI Jakarta")</f>
        <v>DKI Jakarta</v>
      </c>
      <c r="AA555" s="80" t="str">
        <f>IFERROR(__xludf.DUMMYFUNCTION("""COMPUTED_VALUE"""),"12430")</f>
        <v>12430</v>
      </c>
      <c r="AB555" s="80" t="str">
        <f>IFERROR(__xludf.DUMMYFUNCTION("""COMPUTED_VALUE"""),"3310071105920001")</f>
        <v>3310071105920001</v>
      </c>
      <c r="AC555" s="80" t="str">
        <f>IFERROR(__xludf.DUMMYFUNCTION("""COMPUTED_VALUE"""),"75.539.758.5-525.000")</f>
        <v>75.539.758.5-525.000</v>
      </c>
      <c r="AD555" s="80" t="str">
        <f>IFERROR(__xludf.DUMMYFUNCTION("""COMPUTED_VALUE"""),"CUM - PS - MIRS")</f>
        <v>CUM - PS - MIRS</v>
      </c>
      <c r="AE555" s="80" t="str">
        <f>IFERROR(__xludf.DUMMYFUNCTION("""COMPUTED_VALUE"""),"SUB ANGGA POS")</f>
        <v>SUB ANGGA POS</v>
      </c>
      <c r="AF555" s="80" t="str">
        <f>IFERROR(__xludf.DUMMYFUNCTION("""COMPUTED_VALUE"""),"08121314867")</f>
        <v>08121314867</v>
      </c>
      <c r="AG555" s="80"/>
      <c r="AH555" s="80" t="str">
        <f>IFERROR(__xludf.DUMMYFUNCTION("""COMPUTED_VALUE"""),"starindo.travelservice@yahoo.com")</f>
        <v>starindo.travelservice@yahoo.com</v>
      </c>
      <c r="AI555" s="80" t="str">
        <f>IFERROR(__xludf.DUMMYFUNCTION("""COMPUTED_VALUE"""),"12430S3")</f>
        <v>12430S3</v>
      </c>
      <c r="AJ555" s="80" t="str">
        <f>IFERROR(__xludf.DUMMYFUNCTION("""COMPUTED_VALUE"""),"6881e73c330e8dc7b70a1ac2")</f>
        <v>6881e73c330e8dc7b70a1ac2</v>
      </c>
      <c r="AK555" s="80" t="str">
        <f>IFERROR(__xludf.DUMMYFUNCTION("""COMPUTED_VALUE"""),"dm12430s3")</f>
        <v>dm12430s3</v>
      </c>
      <c r="AL555" s="80" t="str">
        <f>IFERROR(__xludf.DUMMYFUNCTION("""COMPUTED_VALUE"""),"#12430Pos")</f>
        <v>#12430Pos</v>
      </c>
      <c r="AM555" s="80" t="str">
        <f>IFERROR(__xludf.DUMMYFUNCTION("""COMPUTED_VALUE"""),"KANTOR REGIONAL II JAKARTA 10004")</f>
        <v>KANTOR REGIONAL II JAKARTA 10004</v>
      </c>
      <c r="AN555" s="80" t="str">
        <f>IFERROR(__xludf.DUMMYFUNCTION("""COMPUTED_VALUE"""),"KCU JAKARTAFLORA 12000")</f>
        <v>KCU JAKARTAFLORA 12000</v>
      </c>
      <c r="AO555" s="80" t="str">
        <f>IFERROR(__xludf.DUMMYFUNCTION("""COMPUTED_VALUE"""),"0307250069496")</f>
        <v>0307250069496</v>
      </c>
      <c r="AP555" s="80" t="str">
        <f>IFERROR(__xludf.DUMMYFUNCTION("""COMPUTED_VALUE"""),"03072500694960001")</f>
        <v>03072500694960001</v>
      </c>
      <c r="AQ555" s="83"/>
      <c r="AR555" s="80"/>
      <c r="AS555" s="80"/>
      <c r="AT555" s="80" t="str">
        <f>IFERROR(__xludf.DUMMYFUNCTION("""COMPUTED_VALUE"""),"-6.2907057")</f>
        <v>-6.2907057</v>
      </c>
      <c r="AU555" s="80" t="str">
        <f>IFERROR(__xludf.DUMMYFUNCTION("""COMPUTED_VALUE"""),"106.7954523")</f>
        <v>106.7954523</v>
      </c>
      <c r="AV555" s="80"/>
      <c r="AW555" s="80"/>
      <c r="AX555" s="80"/>
      <c r="AY555" s="80"/>
      <c r="AZ555" s="80"/>
      <c r="BA555" s="80"/>
      <c r="BB555" s="80"/>
      <c r="BC555" s="80"/>
      <c r="BD555" s="80"/>
      <c r="BE555" s="80"/>
      <c r="BF555" s="80"/>
      <c r="BG555" s="80"/>
      <c r="BH555" s="80"/>
      <c r="BI555" s="80"/>
      <c r="BJ555" s="80"/>
      <c r="BK555" s="80"/>
      <c r="BL555" s="80"/>
      <c r="BM555" s="80"/>
      <c r="BN555" s="80"/>
      <c r="BO555" s="80"/>
      <c r="BP555" s="80"/>
      <c r="BQ555" s="80"/>
      <c r="BR555" s="80"/>
      <c r="BS555" s="80"/>
      <c r="BT555" s="80"/>
      <c r="BU555" s="80"/>
      <c r="BV555" s="80"/>
      <c r="BW555" s="80"/>
      <c r="BX555" s="80" t="str">
        <f>IFERROR(__xludf.DUMMYFUNCTION("""COMPUTED_VALUE"""),"NEWBIE - TOUR TRAVEL")</f>
        <v>NEWBIE - TOUR TRAVEL</v>
      </c>
      <c r="BY555" s="80"/>
      <c r="BZ555" s="80"/>
      <c r="CA555" s="80"/>
      <c r="CB555" s="80"/>
      <c r="CC555" s="80"/>
      <c r="CD555" s="80"/>
      <c r="CE555" s="80"/>
      <c r="CF555" s="80"/>
      <c r="CG555" s="80"/>
      <c r="CH555" s="80"/>
      <c r="CI555" s="80"/>
      <c r="CJ555" s="80"/>
      <c r="CK555" s="2"/>
    </row>
    <row r="556" ht="12.75" customHeight="1">
      <c r="A556" s="85">
        <f>IFERROR(__xludf.DUMMYFUNCTION("""COMPUTED_VALUE"""),553.0)</f>
        <v>553</v>
      </c>
      <c r="B556" s="85"/>
      <c r="C556" s="85"/>
      <c r="D556" s="86">
        <f>IFERROR(__xludf.DUMMYFUNCTION("""COMPUTED_VALUE"""),45846.0)</f>
        <v>45846</v>
      </c>
      <c r="E556" s="88"/>
      <c r="F556" s="85"/>
      <c r="G556" s="86"/>
      <c r="H556" s="85"/>
      <c r="I556" s="85"/>
      <c r="J556" s="85"/>
      <c r="K556" s="85"/>
      <c r="L556" s="85"/>
      <c r="M556" s="85"/>
      <c r="N556" s="85" t="str">
        <f>IFERROR(__xludf.DUMMYFUNCTION("""COMPUTED_VALUE"""),"ü")</f>
        <v>ü</v>
      </c>
      <c r="O556" s="85"/>
      <c r="P556" s="85" t="str">
        <f>IFERROR(__xludf.DUMMYFUNCTION("""COMPUTED_VALUE"""),"MUCSPA63183PSIND")</f>
        <v>MUCSPA63183PSIND</v>
      </c>
      <c r="Q556" s="85" t="str">
        <f>IFERROR(__xludf.DUMMYFUNCTION("""COMPUTED_VALUE"""),"MUC KDMP TARIKOLOT ")</f>
        <v>MUC KDMP TARIKOLOT </v>
      </c>
      <c r="R556" s="85" t="str">
        <f>IFERROR(__xludf.DUMMYFUNCTION("""COMPUTED_VALUE"""),"MUC KDMP TARIKOLOT ")</f>
        <v>MUC KDMP TARIKOLOT </v>
      </c>
      <c r="S556" s="85" t="str">
        <f>IFERROR(__xludf.DUMMYFUNCTION("""COMPUTED_VALUE"""),"REDWIN KUSMAYANA")</f>
        <v>REDWIN KUSMAYANA</v>
      </c>
      <c r="T556" s="85" t="str">
        <f>IFERROR(__xludf.DUMMYFUNCTION("""COMPUTED_VALUE"""),"DUSUN BOJONGJATI RT 003 RW 002 TARIKOLOT JATINUNGGAL ")</f>
        <v>DUSUN BOJONGJATI RT 003 RW 002 TARIKOLOT JATINUNGGAL </v>
      </c>
      <c r="U556" s="85" t="str">
        <f>IFERROR(__xludf.DUMMYFUNCTION("""COMPUTED_VALUE"""),"KIOS PASAR TARIKOLOT LT. 2 JL. WADO-KIRISIK KM 04 DUSUN BOJONGJATI RT 2 RW 2")</f>
        <v>KIOS PASAR TARIKOLOT LT. 2 JL. WADO-KIRISIK KM 04 DUSUN BOJONGJATI RT 2 RW 2</v>
      </c>
      <c r="V556" s="85"/>
      <c r="W556" s="85" t="str">
        <f>IFERROR(__xludf.DUMMYFUNCTION("""COMPUTED_VALUE"""),"TARIKOLOT")</f>
        <v>TARIKOLOT</v>
      </c>
      <c r="X556" s="85" t="str">
        <f>IFERROR(__xludf.DUMMYFUNCTION("""COMPUTED_VALUE"""),"JATINUNGGAL")</f>
        <v>JATINUNGGAL</v>
      </c>
      <c r="Y556" s="85" t="str">
        <f>IFERROR(__xludf.DUMMYFUNCTION("""COMPUTED_VALUE"""),"KAB. SUMEDANG")</f>
        <v>KAB. SUMEDANG</v>
      </c>
      <c r="Z556" s="85" t="str">
        <f>IFERROR(__xludf.DUMMYFUNCTION("""COMPUTED_VALUE"""),"JAWA BARAT")</f>
        <v>JAWA BARAT</v>
      </c>
      <c r="AA556" s="85" t="str">
        <f>IFERROR(__xludf.DUMMYFUNCTION("""COMPUTED_VALUE"""),"45376")</f>
        <v>45376</v>
      </c>
      <c r="AB556" s="85" t="str">
        <f>IFERROR(__xludf.DUMMYFUNCTION("""COMPUTED_VALUE"""),"3211021102900008")</f>
        <v>3211021102900008</v>
      </c>
      <c r="AC556" s="85" t="str">
        <f>IFERROR(__xludf.DUMMYFUNCTION("""COMPUTED_VALUE"""),"11.088.283.4-446.000")</f>
        <v>11.088.283.4-446.000</v>
      </c>
      <c r="AD556" s="85" t="str">
        <f>IFERROR(__xludf.DUMMYFUNCTION("""COMPUTED_VALUE"""),"PAK YANA ")</f>
        <v>PAK YANA </v>
      </c>
      <c r="AE556" s="85" t="str">
        <f>IFERROR(__xludf.DUMMYFUNCTION("""COMPUTED_VALUE"""),"SUB NONKORGEN")</f>
        <v>SUB NONKORGEN</v>
      </c>
      <c r="AF556" s="85" t="str">
        <f>IFERROR(__xludf.DUMMYFUNCTION("""COMPUTED_VALUE"""),"0859106800207")</f>
        <v>0859106800207</v>
      </c>
      <c r="AG556" s="85"/>
      <c r="AH556" s="85" t="str">
        <f>IFERROR(__xludf.DUMMYFUNCTION("""COMPUTED_VALUE"""),"kmpdestar2025@gmail.com")</f>
        <v>kmpdestar2025@gmail.com</v>
      </c>
      <c r="AI556" s="85" t="str">
        <f>IFERROR(__xludf.DUMMYFUNCTION("""COMPUTED_VALUE"""),"45376S2")</f>
        <v>45376S2</v>
      </c>
      <c r="AJ556" s="85" t="str">
        <f>IFERROR(__xludf.DUMMYFUNCTION("""COMPUTED_VALUE"""),"6878ace53d488117bb0dddaf")</f>
        <v>6878ace53d488117bb0dddaf</v>
      </c>
      <c r="AK556" s="85" t="str">
        <f>IFERROR(__xludf.DUMMYFUNCTION("""COMPUTED_VALUE"""),"dm45376s2")</f>
        <v>dm45376s2</v>
      </c>
      <c r="AL556" s="85" t="str">
        <f>IFERROR(__xludf.DUMMYFUNCTION("""COMPUTED_VALUE"""),"#45376Pos")</f>
        <v>#45376Pos</v>
      </c>
      <c r="AM556" s="85" t="str">
        <f>IFERROR(__xludf.DUMMYFUNCTION("""COMPUTED_VALUE"""),"KANTOR REGIONAL III BANDUNG 40004")</f>
        <v>KANTOR REGIONAL III BANDUNG 40004</v>
      </c>
      <c r="AN556" s="85" t="str">
        <f>IFERROR(__xludf.DUMMYFUNCTION("""COMPUTED_VALUE"""),"KC SUMEDANG")</f>
        <v>KC SUMEDANG</v>
      </c>
      <c r="AO556" s="85" t="str">
        <f>IFERROR(__xludf.DUMMYFUNCTION("""COMPUTED_VALUE"""),"0807250066241")</f>
        <v>0807250066241</v>
      </c>
      <c r="AP556" s="85" t="str">
        <f>IFERROR(__xludf.DUMMYFUNCTION("""COMPUTED_VALUE"""),"08072500662410001")</f>
        <v>08072500662410001</v>
      </c>
      <c r="AQ556" s="93"/>
      <c r="AR556" s="85"/>
      <c r="AS556" s="85"/>
      <c r="AT556" s="85" t="str">
        <f>IFERROR(__xludf.DUMMYFUNCTION("""COMPUTED_VALUE"""),"-6.9489196")</f>
        <v>-6.9489196</v>
      </c>
      <c r="AU556" s="85" t="str">
        <f>IFERROR(__xludf.DUMMYFUNCTION("""COMPUTED_VALUE"""),"108.1206121")</f>
        <v>108.1206121</v>
      </c>
      <c r="AV556" s="85"/>
      <c r="AW556" s="85"/>
      <c r="AX556" s="85"/>
      <c r="AY556" s="85"/>
      <c r="AZ556" s="85"/>
      <c r="BA556" s="85"/>
      <c r="BB556" s="85"/>
      <c r="BC556" s="85"/>
      <c r="BD556" s="85"/>
      <c r="BE556" s="85"/>
      <c r="BF556" s="85"/>
      <c r="BG556" s="85"/>
      <c r="BH556" s="85"/>
      <c r="BI556" s="85"/>
      <c r="BJ556" s="85"/>
      <c r="BK556" s="85"/>
      <c r="BL556" s="85"/>
      <c r="BM556" s="85"/>
      <c r="BN556" s="85"/>
      <c r="BO556" s="85"/>
      <c r="BP556" s="85"/>
      <c r="BQ556" s="85"/>
      <c r="BR556" s="85"/>
      <c r="BS556" s="85"/>
      <c r="BT556" s="85"/>
      <c r="BU556" s="85"/>
      <c r="BV556" s="85"/>
      <c r="BW556" s="85"/>
      <c r="BX556" s="85" t="str">
        <f>IFERROR(__xludf.DUMMYFUNCTION("""COMPUTED_VALUE"""),"KDMP")</f>
        <v>KDMP</v>
      </c>
      <c r="BY556" s="85"/>
      <c r="BZ556" s="85"/>
      <c r="CA556" s="85"/>
      <c r="CB556" s="85"/>
      <c r="CC556" s="85"/>
      <c r="CD556" s="85"/>
      <c r="CE556" s="85"/>
      <c r="CF556" s="85"/>
      <c r="CG556" s="85"/>
      <c r="CH556" s="85"/>
      <c r="CI556" s="85"/>
      <c r="CJ556" s="85"/>
      <c r="CK556" s="2"/>
    </row>
    <row r="557" ht="12.75" customHeight="1">
      <c r="A557" s="80">
        <f>IFERROR(__xludf.DUMMYFUNCTION("""COMPUTED_VALUE"""),554.0)</f>
        <v>554</v>
      </c>
      <c r="B557" s="80"/>
      <c r="C557" s="80"/>
      <c r="D557" s="81">
        <f>IFERROR(__xludf.DUMMYFUNCTION("""COMPUTED_VALUE"""),45847.0)</f>
        <v>45847</v>
      </c>
      <c r="E557" s="82"/>
      <c r="F557" s="80"/>
      <c r="G557" s="81"/>
      <c r="H557" s="80"/>
      <c r="I557" s="80"/>
      <c r="J557" s="80"/>
      <c r="K557" s="80"/>
      <c r="L557" s="80"/>
      <c r="M557" s="80" t="str">
        <f>IFERROR(__xludf.DUMMYFUNCTION("""COMPUTED_VALUE"""),"ü")</f>
        <v>ü</v>
      </c>
      <c r="N557" s="80"/>
      <c r="O557" s="80"/>
      <c r="P557" s="80" t="str">
        <f>IFERROR(__xludf.DUMMYFUNCTION("""COMPUTED_VALUE"""),"MUCSPA63184PSIND")</f>
        <v>MUCSPA63184PSIND</v>
      </c>
      <c r="Q557" s="80" t="str">
        <f>IFERROR(__xludf.DUMMYFUNCTION("""COMPUTED_VALUE"""),"MUC KBIHU ALBARKAH")</f>
        <v>MUC KBIHU ALBARKAH</v>
      </c>
      <c r="R557" s="80" t="str">
        <f>IFERROR(__xludf.DUMMYFUNCTION("""COMPUTED_VALUE"""),"MUC KBIHU ALBARKAH")</f>
        <v>MUC KBIHU ALBARKAH</v>
      </c>
      <c r="S557" s="80" t="str">
        <f>IFERROR(__xludf.DUMMYFUNCTION("""COMPUTED_VALUE"""),"HJ SRI MARTUTI")</f>
        <v>HJ SRI MARTUTI</v>
      </c>
      <c r="T557" s="80" t="str">
        <f>IFERROR(__xludf.DUMMYFUNCTION("""COMPUTED_VALUE"""),"JL BUNI NO 12 RT.011 RW.12 MUNJUL CIPAYUNG JAKARTA TIMUR")</f>
        <v>JL BUNI NO 12 RT.011 RW.12 MUNJUL CIPAYUNG JAKARTA TIMUR</v>
      </c>
      <c r="U557" s="80" t="str">
        <f>IFERROR(__xludf.DUMMYFUNCTION("""COMPUTED_VALUE"""),"JL. RAYA MUNJUL NO.1")</f>
        <v>JL. RAYA MUNJUL NO.1</v>
      </c>
      <c r="V557" s="80"/>
      <c r="W557" s="80" t="str">
        <f>IFERROR(__xludf.DUMMYFUNCTION("""COMPUTED_VALUE"""),"Munjul")</f>
        <v>Munjul</v>
      </c>
      <c r="X557" s="80" t="str">
        <f>IFERROR(__xludf.DUMMYFUNCTION("""COMPUTED_VALUE"""),"Cipayung")</f>
        <v>Cipayung</v>
      </c>
      <c r="Y557" s="80" t="str">
        <f>IFERROR(__xludf.DUMMYFUNCTION("""COMPUTED_VALUE"""),"Jakarta Timur")</f>
        <v>Jakarta Timur</v>
      </c>
      <c r="Z557" s="80" t="str">
        <f>IFERROR(__xludf.DUMMYFUNCTION("""COMPUTED_VALUE"""),"DKI Jakarta")</f>
        <v>DKI Jakarta</v>
      </c>
      <c r="AA557" s="80" t="str">
        <f>IFERROR(__xludf.DUMMYFUNCTION("""COMPUTED_VALUE"""),"13850")</f>
        <v>13850</v>
      </c>
      <c r="AB557" s="80" t="str">
        <f>IFERROR(__xludf.DUMMYFUNCTION("""COMPUTED_VALUE"""),"3175105612580001")</f>
        <v>3175105612580001</v>
      </c>
      <c r="AC557" s="80" t="str">
        <f>IFERROR(__xludf.DUMMYFUNCTION("""COMPUTED_VALUE"""),"17.961.938.2-009.001")</f>
        <v>17.961.938.2-009.001</v>
      </c>
      <c r="AD557" s="80" t="str">
        <f>IFERROR(__xludf.DUMMYFUNCTION("""COMPUTED_VALUE"""),"CUM - PS - ARKT")</f>
        <v>CUM - PS - ARKT</v>
      </c>
      <c r="AE557" s="80" t="str">
        <f>IFERROR(__xludf.DUMMYFUNCTION("""COMPUTED_VALUE"""),"SUB ARIS POS")</f>
        <v>SUB ARIS POS</v>
      </c>
      <c r="AF557" s="80" t="str">
        <f>IFERROR(__xludf.DUMMYFUNCTION("""COMPUTED_VALUE"""),"081389798131")</f>
        <v>081389798131</v>
      </c>
      <c r="AG557" s="80"/>
      <c r="AH557" s="80" t="str">
        <f>IFERROR(__xludf.DUMMYFUNCTION("""COMPUTED_VALUE"""),"s.martuti59@gmail.com")</f>
        <v>s.martuti59@gmail.com</v>
      </c>
      <c r="AI557" s="80" t="str">
        <f>IFERROR(__xludf.DUMMYFUNCTION("""COMPUTED_VALUE"""),"13850S1")</f>
        <v>13850S1</v>
      </c>
      <c r="AJ557" s="80" t="str">
        <f>IFERROR(__xludf.DUMMYFUNCTION("""COMPUTED_VALUE"""),"687f0962c1faee854509f1ba")</f>
        <v>687f0962c1faee854509f1ba</v>
      </c>
      <c r="AK557" s="80" t="str">
        <f>IFERROR(__xludf.DUMMYFUNCTION("""COMPUTED_VALUE"""),"dm13850s1")</f>
        <v>dm13850s1</v>
      </c>
      <c r="AL557" s="80" t="str">
        <f>IFERROR(__xludf.DUMMYFUNCTION("""COMPUTED_VALUE"""),"#13850Pos")</f>
        <v>#13850Pos</v>
      </c>
      <c r="AM557" s="80" t="str">
        <f>IFERROR(__xludf.DUMMYFUNCTION("""COMPUTED_VALUE"""),"KANTOR REGIONAL II JAKARTA 10004")</f>
        <v>KANTOR REGIONAL II JAKARTA 10004</v>
      </c>
      <c r="AN557" s="80" t="str">
        <f>IFERROR(__xludf.DUMMYFUNCTION("""COMPUTED_VALUE"""),"KCU JAKARTAPREMIER 13000")</f>
        <v>KCU JAKARTAPREMIER 13000</v>
      </c>
      <c r="AO557" s="80" t="str">
        <f>IFERROR(__xludf.DUMMYFUNCTION("""COMPUTED_VALUE"""),"0904250042407")</f>
        <v>0904250042407</v>
      </c>
      <c r="AP557" s="80" t="str">
        <f>IFERROR(__xludf.DUMMYFUNCTION("""COMPUTED_VALUE"""),"09042500424070001")</f>
        <v>09042500424070001</v>
      </c>
      <c r="AQ557" s="83"/>
      <c r="AR557" s="80"/>
      <c r="AS557" s="80"/>
      <c r="AT557" s="80" t="str">
        <f>IFERROR(__xludf.DUMMYFUNCTION("""COMPUTED_VALUE"""),"-6.3493127")</f>
        <v>-6.3493127</v>
      </c>
      <c r="AU557" s="80" t="str">
        <f>IFERROR(__xludf.DUMMYFUNCTION("""COMPUTED_VALUE"""),"106.8932337")</f>
        <v>106.8932337</v>
      </c>
      <c r="AV557" s="80"/>
      <c r="AW557" s="80"/>
      <c r="AX557" s="80"/>
      <c r="AY557" s="80"/>
      <c r="AZ557" s="80"/>
      <c r="BA557" s="80"/>
      <c r="BB557" s="80"/>
      <c r="BC557" s="80"/>
      <c r="BD557" s="80"/>
      <c r="BE557" s="80"/>
      <c r="BF557" s="80"/>
      <c r="BG557" s="80"/>
      <c r="BH557" s="80"/>
      <c r="BI557" s="80"/>
      <c r="BJ557" s="80"/>
      <c r="BK557" s="80"/>
      <c r="BL557" s="80"/>
      <c r="BM557" s="80"/>
      <c r="BN557" s="80"/>
      <c r="BO557" s="80"/>
      <c r="BP557" s="80"/>
      <c r="BQ557" s="80"/>
      <c r="BR557" s="80"/>
      <c r="BS557" s="80"/>
      <c r="BT557" s="80"/>
      <c r="BU557" s="80"/>
      <c r="BV557" s="80"/>
      <c r="BW557" s="80"/>
      <c r="BX557" s="80" t="str">
        <f>IFERROR(__xludf.DUMMYFUNCTION("""COMPUTED_VALUE"""),"YAYASAN SEKOLAH")</f>
        <v>YAYASAN SEKOLAH</v>
      </c>
      <c r="BY557" s="80"/>
      <c r="BZ557" s="80"/>
      <c r="CA557" s="80"/>
      <c r="CB557" s="80"/>
      <c r="CC557" s="80"/>
      <c r="CD557" s="80"/>
      <c r="CE557" s="80"/>
      <c r="CF557" s="80"/>
      <c r="CG557" s="80"/>
      <c r="CH557" s="80"/>
      <c r="CI557" s="80"/>
      <c r="CJ557" s="80"/>
      <c r="CK557" s="2"/>
    </row>
    <row r="558" ht="12.75" customHeight="1">
      <c r="A558" s="85">
        <f>IFERROR(__xludf.DUMMYFUNCTION("""COMPUTED_VALUE"""),555.0)</f>
        <v>555</v>
      </c>
      <c r="B558" s="85"/>
      <c r="C558" s="85"/>
      <c r="D558" s="86">
        <f>IFERROR(__xludf.DUMMYFUNCTION("""COMPUTED_VALUE"""),45847.0)</f>
        <v>45847</v>
      </c>
      <c r="E558" s="88"/>
      <c r="F558" s="85"/>
      <c r="G558" s="86">
        <f>IFERROR(__xludf.DUMMYFUNCTION("""COMPUTED_VALUE"""),45880.0)</f>
        <v>45880</v>
      </c>
      <c r="H558" s="85"/>
      <c r="I558" s="85"/>
      <c r="J558" s="85"/>
      <c r="K558" s="85"/>
      <c r="L558" s="85">
        <f>IFERROR(__xludf.DUMMYFUNCTION("""COMPUTED_VALUE"""),33.0)</f>
        <v>33</v>
      </c>
      <c r="M558" s="85" t="str">
        <f>IFERROR(__xludf.DUMMYFUNCTION("""COMPUTED_VALUE"""),"ü")</f>
        <v>ü</v>
      </c>
      <c r="N558" s="85"/>
      <c r="O558" s="85"/>
      <c r="P558" s="85" t="str">
        <f>IFERROR(__xludf.DUMMYFUNCTION("""COMPUTED_VALUE"""),"53BSPA09567JBEEN")</f>
        <v>53BSPA09567JBEEN</v>
      </c>
      <c r="Q558" s="85" t="str">
        <f>IFERROR(__xludf.DUMMYFUNCTION("""COMPUTED_VALUE"""),"MUC POST Indonesia Batu Tulis")</f>
        <v>MUC POST Indonesia Batu Tulis</v>
      </c>
      <c r="R558" s="85" t="str">
        <f>IFERROR(__xludf.DUMMYFUNCTION("""COMPUTED_VALUE"""),"MUC POST Indonesia Batu Tulis")</f>
        <v>MUC POST Indonesia Batu Tulis</v>
      </c>
      <c r="S558" s="85" t="str">
        <f>IFERROR(__xludf.DUMMYFUNCTION("""COMPUTED_VALUE"""),"ERICK HALIM LADJUARDI")</f>
        <v>ERICK HALIM LADJUARDI</v>
      </c>
      <c r="T558" s="85" t="str">
        <f>IFERROR(__xludf.DUMMYFUNCTION("""COMPUTED_VALUE"""),"JL. KREKOT JAYA BLOK J NO.2 RT.002 RW.007 PASAR BARU SAWAH BESAR JAKARTA PUSAT")</f>
        <v>JL. KREKOT JAYA BLOK J NO.2 RT.002 RW.007 PASAR BARU SAWAH BESAR JAKARTA PUSAT</v>
      </c>
      <c r="U558" s="85" t="str">
        <f>IFERROR(__xludf.DUMMYFUNCTION("""COMPUTED_VALUE"""),"Jl Batu Tulis Raya No.22b")</f>
        <v>Jl Batu Tulis Raya No.22b</v>
      </c>
      <c r="V558" s="85"/>
      <c r="W558" s="85" t="str">
        <f>IFERROR(__xludf.DUMMYFUNCTION("""COMPUTED_VALUE"""),"Kebon Kelapa")</f>
        <v>Kebon Kelapa</v>
      </c>
      <c r="X558" s="85" t="str">
        <f>IFERROR(__xludf.DUMMYFUNCTION("""COMPUTED_VALUE"""),"Gambir")</f>
        <v>Gambir</v>
      </c>
      <c r="Y558" s="85" t="str">
        <f>IFERROR(__xludf.DUMMYFUNCTION("""COMPUTED_VALUE"""),"Jakarta Pusat")</f>
        <v>Jakarta Pusat</v>
      </c>
      <c r="Z558" s="85" t="str">
        <f>IFERROR(__xludf.DUMMYFUNCTION("""COMPUTED_VALUE"""),"DKI Jakarta")</f>
        <v>DKI Jakarta</v>
      </c>
      <c r="AA558" s="85" t="str">
        <f>IFERROR(__xludf.DUMMYFUNCTION("""COMPUTED_VALUE"""),"10120")</f>
        <v>10120</v>
      </c>
      <c r="AB558" s="85" t="str">
        <f>IFERROR(__xludf.DUMMYFUNCTION("""COMPUTED_VALUE"""),"3171020107800005")</f>
        <v>3171020107800005</v>
      </c>
      <c r="AC558" s="85" t="str">
        <f>IFERROR(__xludf.DUMMYFUNCTION("""COMPUTED_VALUE"""),"49.158.977.6-075.000")</f>
        <v>49.158.977.6-075.000</v>
      </c>
      <c r="AD558" s="85" t="str">
        <f>IFERROR(__xludf.DUMMYFUNCTION("""COMPUTED_VALUE"""),"CUM - EEN")</f>
        <v>CUM - EEN</v>
      </c>
      <c r="AE558" s="85" t="str">
        <f>IFERROR(__xludf.DUMMYFUNCTION("""COMPUTED_VALUE"""),"SUB EEN")</f>
        <v>SUB EEN</v>
      </c>
      <c r="AF558" s="85" t="str">
        <f>IFERROR(__xludf.DUMMYFUNCTION("""COMPUTED_VALUE"""),"0816104220")</f>
        <v>0816104220</v>
      </c>
      <c r="AG558" s="85"/>
      <c r="AH558" s="85" t="str">
        <f>IFERROR(__xludf.DUMMYFUNCTION("""COMPUTED_VALUE"""),"ur5ul1n88@gmail.com")</f>
        <v>ur5ul1n88@gmail.com</v>
      </c>
      <c r="AI558" s="85" t="str">
        <f>IFERROR(__xludf.DUMMYFUNCTION("""COMPUTED_VALUE"""),"10120S2")</f>
        <v>10120S2</v>
      </c>
      <c r="AJ558" s="85" t="str">
        <f>IFERROR(__xludf.DUMMYFUNCTION("""COMPUTED_VALUE"""),"6894125bae9a100487096827")</f>
        <v>6894125bae9a100487096827</v>
      </c>
      <c r="AK558" s="85" t="str">
        <f>IFERROR(__xludf.DUMMYFUNCTION("""COMPUTED_VALUE"""),"dm10120s2")</f>
        <v>dm10120s2</v>
      </c>
      <c r="AL558" s="85" t="str">
        <f>IFERROR(__xludf.DUMMYFUNCTION("""COMPUTED_VALUE"""),"#10120Pos")</f>
        <v>#10120Pos</v>
      </c>
      <c r="AM558" s="85" t="str">
        <f>IFERROR(__xludf.DUMMYFUNCTION("""COMPUTED_VALUE"""),"KANTOR REGIONAL II JAKARTA 10004")</f>
        <v>KANTOR REGIONAL II JAKARTA 10004</v>
      </c>
      <c r="AN558" s="85" t="str">
        <f>IFERROR(__xludf.DUMMYFUNCTION("""COMPUTED_VALUE"""),"KCU JAKARTACENTRUM 10000")</f>
        <v>KCU JAKARTACENTRUM 10000</v>
      </c>
      <c r="AO558" s="85" t="str">
        <f>IFERROR(__xludf.DUMMYFUNCTION("""COMPUTED_VALUE"""),"0807250128971")</f>
        <v>0807250128971</v>
      </c>
      <c r="AP558" s="85" t="str">
        <f>IFERROR(__xludf.DUMMYFUNCTION("""COMPUTED_VALUE"""),"08072501289710001")</f>
        <v>08072501289710001</v>
      </c>
      <c r="AQ558" s="93"/>
      <c r="AR558" s="85"/>
      <c r="AS558" s="85"/>
      <c r="AT558" s="85" t="str">
        <f>IFERROR(__xludf.DUMMYFUNCTION("""COMPUTED_VALUE"""),"-6.163323")</f>
        <v>-6.163323</v>
      </c>
      <c r="AU558" s="85" t="str">
        <f>IFERROR(__xludf.DUMMYFUNCTION("""COMPUTED_VALUE"""),"106.823542")</f>
        <v>106.823542</v>
      </c>
      <c r="AV558" s="85"/>
      <c r="AW558" s="85"/>
      <c r="AX558" s="85"/>
      <c r="AY558" s="85"/>
      <c r="AZ558" s="85"/>
      <c r="BA558" s="85"/>
      <c r="BB558" s="85"/>
      <c r="BC558" s="85"/>
      <c r="BD558" s="85"/>
      <c r="BE558" s="85"/>
      <c r="BF558" s="85"/>
      <c r="BG558" s="85"/>
      <c r="BH558" s="85"/>
      <c r="BI558" s="85"/>
      <c r="BJ558" s="85"/>
      <c r="BK558" s="85"/>
      <c r="BL558" s="85"/>
      <c r="BM558" s="85"/>
      <c r="BN558" s="85"/>
      <c r="BO558" s="85"/>
      <c r="BP558" s="85"/>
      <c r="BQ558" s="85"/>
      <c r="BR558" s="85"/>
      <c r="BS558" s="85"/>
      <c r="BT558" s="85"/>
      <c r="BU558" s="85"/>
      <c r="BV558" s="85"/>
      <c r="BW558" s="85"/>
      <c r="BX558" s="85" t="str">
        <f>IFERROR(__xludf.DUMMYFUNCTION("""COMPUTED_VALUE"""),"MULTIKURIR - JNT EXPRESS - SICEPAT - WAHANA - JNE - LION PARCEL - JNT CARGO")</f>
        <v>MULTIKURIR - JNT EXPRESS - SICEPAT - WAHANA - JNE - LION PARCEL - JNT CARGO</v>
      </c>
      <c r="BY558" s="85"/>
      <c r="BZ558" s="85"/>
      <c r="CA558" s="85"/>
      <c r="CB558" s="85"/>
      <c r="CC558" s="85"/>
      <c r="CD558" s="85"/>
      <c r="CE558" s="85"/>
      <c r="CF558" s="85"/>
      <c r="CG558" s="85"/>
      <c r="CH558" s="85"/>
      <c r="CI558" s="85"/>
      <c r="CJ558" s="85"/>
      <c r="CK558" s="2"/>
    </row>
    <row r="559" ht="12.75" customHeight="1">
      <c r="A559" s="80">
        <f>IFERROR(__xludf.DUMMYFUNCTION("""COMPUTED_VALUE"""),556.0)</f>
        <v>556</v>
      </c>
      <c r="B559" s="80"/>
      <c r="C559" s="80"/>
      <c r="D559" s="81">
        <f>IFERROR(__xludf.DUMMYFUNCTION("""COMPUTED_VALUE"""),45848.0)</f>
        <v>45848</v>
      </c>
      <c r="E559" s="82"/>
      <c r="F559" s="80"/>
      <c r="G559" s="81"/>
      <c r="H559" s="80"/>
      <c r="I559" s="80"/>
      <c r="J559" s="80"/>
      <c r="K559" s="80"/>
      <c r="L559" s="80"/>
      <c r="M559" s="80"/>
      <c r="N559" s="80" t="str">
        <f>IFERROR(__xludf.DUMMYFUNCTION("""COMPUTED_VALUE"""),"ü")</f>
        <v>ü</v>
      </c>
      <c r="O559" s="80"/>
      <c r="P559" s="80" t="str">
        <f>IFERROR(__xludf.DUMMYFUNCTION("""COMPUTED_VALUE"""),"MUCSPA63185PSIND")</f>
        <v>MUCSPA63185PSIND</v>
      </c>
      <c r="Q559" s="80" t="str">
        <f>IFERROR(__xludf.DUMMYFUNCTION("""COMPUTED_VALUE"""),"MUC KDMP KEKERI")</f>
        <v>MUC KDMP KEKERI</v>
      </c>
      <c r="R559" s="80" t="str">
        <f>IFERROR(__xludf.DUMMYFUNCTION("""COMPUTED_VALUE"""),"MUC KDMP KEKERI")</f>
        <v>MUC KDMP KEKERI</v>
      </c>
      <c r="S559" s="80" t="str">
        <f>IFERROR(__xludf.DUMMYFUNCTION("""COMPUTED_VALUE"""),"IBRAHIM")</f>
        <v>IBRAHIM</v>
      </c>
      <c r="T559" s="80" t="str">
        <f>IFERROR(__xludf.DUMMYFUNCTION("""COMPUTED_VALUE"""),"JL TGH NURUDDIN DUSUN KEKERI TIMUR RT.002 KEKERI GUNUNGSARI KAB.LOMBOK BARAT")</f>
        <v>JL TGH NURUDDIN DUSUN KEKERI TIMUR RT.002 KEKERI GUNUNGSARI KAB.LOMBOK BARAT</v>
      </c>
      <c r="U559" s="80" t="str">
        <f>IFERROR(__xludf.DUMMYFUNCTION("""COMPUTED_VALUE"""),"Jl TGH NURUDDIN, DESA KEKERI ")</f>
        <v>Jl TGH NURUDDIN, DESA KEKERI </v>
      </c>
      <c r="V559" s="80"/>
      <c r="W559" s="80" t="str">
        <f>IFERROR(__xludf.DUMMYFUNCTION("""COMPUTED_VALUE"""),"Kekeri")</f>
        <v>Kekeri</v>
      </c>
      <c r="X559" s="80" t="str">
        <f>IFERROR(__xludf.DUMMYFUNCTION("""COMPUTED_VALUE"""),"Gunungsari")</f>
        <v>Gunungsari</v>
      </c>
      <c r="Y559" s="80" t="str">
        <f>IFERROR(__xludf.DUMMYFUNCTION("""COMPUTED_VALUE"""),"Lombok Barat")</f>
        <v>Lombok Barat</v>
      </c>
      <c r="Z559" s="80" t="str">
        <f>IFERROR(__xludf.DUMMYFUNCTION("""COMPUTED_VALUE"""),"Nusa tenggara Barat ")</f>
        <v>Nusa tenggara Barat </v>
      </c>
      <c r="AA559" s="80" t="str">
        <f>IFERROR(__xludf.DUMMYFUNCTION("""COMPUTED_VALUE"""),"83351")</f>
        <v>83351</v>
      </c>
      <c r="AB559" s="80" t="str">
        <f>IFERROR(__xludf.DUMMYFUNCTION("""COMPUTED_VALUE"""),"5201091910050004")</f>
        <v>5201091910050004</v>
      </c>
      <c r="AC559" s="80" t="str">
        <f>IFERROR(__xludf.DUMMYFUNCTION("""COMPUTED_VALUE"""),"1000 0000 0207 4729")</f>
        <v>1000 0000 0207 4729</v>
      </c>
      <c r="AD559" s="80" t="str">
        <f>IFERROR(__xludf.DUMMYFUNCTION("""COMPUTED_VALUE"""),"CUM - PS - NONKORGEN")</f>
        <v>CUM - PS - NONKORGEN</v>
      </c>
      <c r="AE559" s="80" t="str">
        <f>IFERROR(__xludf.DUMMYFUNCTION("""COMPUTED_VALUE"""),"BU DIAN KCU MATARAM")</f>
        <v>BU DIAN KCU MATARAM</v>
      </c>
      <c r="AF559" s="80" t="str">
        <f>IFERROR(__xludf.DUMMYFUNCTION("""COMPUTED_VALUE"""),"081991300239")</f>
        <v>081991300239</v>
      </c>
      <c r="AG559" s="80"/>
      <c r="AH559" s="80" t="str">
        <f>IFERROR(__xludf.DUMMYFUNCTION("""COMPUTED_VALUE"""),"kmpkekeri@gmail.com")</f>
        <v>kmpkekeri@gmail.com</v>
      </c>
      <c r="AI559" s="80" t="str">
        <f>IFERROR(__xludf.DUMMYFUNCTION("""COMPUTED_VALUE"""),"83351S3")</f>
        <v>83351S3</v>
      </c>
      <c r="AJ559" s="80" t="str">
        <f>IFERROR(__xludf.DUMMYFUNCTION("""COMPUTED_VALUE"""),"687a39f377ca042c77003c84")</f>
        <v>687a39f377ca042c77003c84</v>
      </c>
      <c r="AK559" s="80" t="str">
        <f>IFERROR(__xludf.DUMMYFUNCTION("""COMPUTED_VALUE"""),"dm83351s3")</f>
        <v>dm83351s3</v>
      </c>
      <c r="AL559" s="80" t="str">
        <f>IFERROR(__xludf.DUMMYFUNCTION("""COMPUTED_VALUE"""),"#83351Pos")</f>
        <v>#83351Pos</v>
      </c>
      <c r="AM559" s="80" t="str">
        <f>IFERROR(__xludf.DUMMYFUNCTION("""COMPUTED_VALUE"""),"KANTOR REGIONAL V SURABAYA 60004")</f>
        <v>KANTOR REGIONAL V SURABAYA 60004</v>
      </c>
      <c r="AN559" s="80" t="str">
        <f>IFERROR(__xludf.DUMMYFUNCTION("""COMPUTED_VALUE"""),"KCU MATARAM")</f>
        <v>KCU MATARAM</v>
      </c>
      <c r="AO559" s="80" t="str">
        <f>IFERROR(__xludf.DUMMYFUNCTION("""COMPUTED_VALUE"""),"1405250027782")</f>
        <v>1405250027782</v>
      </c>
      <c r="AP559" s="80" t="str">
        <f>IFERROR(__xludf.DUMMYFUNCTION("""COMPUTED_VALUE"""),"14052500277820002")</f>
        <v>14052500277820002</v>
      </c>
      <c r="AQ559" s="83"/>
      <c r="AR559" s="80"/>
      <c r="AS559" s="80"/>
      <c r="AT559" s="80" t="str">
        <f>IFERROR(__xludf.DUMMYFUNCTION("""COMPUTED_VALUE"""),"-8.5599444")</f>
        <v>-8.5599444</v>
      </c>
      <c r="AU559" s="80" t="str">
        <f>IFERROR(__xludf.DUMMYFUNCTION("""COMPUTED_VALUE"""),"116.1313889")</f>
        <v>116.1313889</v>
      </c>
      <c r="AV559" s="80"/>
      <c r="AW559" s="80"/>
      <c r="AX559" s="80"/>
      <c r="AY559" s="80"/>
      <c r="AZ559" s="80"/>
      <c r="BA559" s="80"/>
      <c r="BB559" s="80"/>
      <c r="BC559" s="80"/>
      <c r="BD559" s="80"/>
      <c r="BE559" s="80"/>
      <c r="BF559" s="80"/>
      <c r="BG559" s="80"/>
      <c r="BH559" s="80"/>
      <c r="BI559" s="80"/>
      <c r="BJ559" s="80"/>
      <c r="BK559" s="80"/>
      <c r="BL559" s="80"/>
      <c r="BM559" s="80"/>
      <c r="BN559" s="80"/>
      <c r="BO559" s="80"/>
      <c r="BP559" s="80"/>
      <c r="BQ559" s="80"/>
      <c r="BR559" s="80"/>
      <c r="BS559" s="80"/>
      <c r="BT559" s="80"/>
      <c r="BU559" s="80"/>
      <c r="BV559" s="80"/>
      <c r="BW559" s="80"/>
      <c r="BX559" s="80" t="str">
        <f>IFERROR(__xludf.DUMMYFUNCTION("""COMPUTED_VALUE"""),"KDMP")</f>
        <v>KDMP</v>
      </c>
      <c r="BY559" s="80"/>
      <c r="BZ559" s="80"/>
      <c r="CA559" s="80"/>
      <c r="CB559" s="80"/>
      <c r="CC559" s="80"/>
      <c r="CD559" s="80"/>
      <c r="CE559" s="80"/>
      <c r="CF559" s="80"/>
      <c r="CG559" s="80"/>
      <c r="CH559" s="80"/>
      <c r="CI559" s="80"/>
      <c r="CJ559" s="80"/>
      <c r="CK559" s="2"/>
    </row>
    <row r="560" ht="12.75" customHeight="1">
      <c r="A560" s="85">
        <f>IFERROR(__xludf.DUMMYFUNCTION("""COMPUTED_VALUE"""),557.0)</f>
        <v>557</v>
      </c>
      <c r="B560" s="85"/>
      <c r="C560" s="85"/>
      <c r="D560" s="86">
        <f>IFERROR(__xludf.DUMMYFUNCTION("""COMPUTED_VALUE"""),45849.0)</f>
        <v>45849</v>
      </c>
      <c r="E560" s="88"/>
      <c r="F560" s="85"/>
      <c r="G560" s="86">
        <f>IFERROR(__xludf.DUMMYFUNCTION("""COMPUTED_VALUE"""),45870.0)</f>
        <v>45870</v>
      </c>
      <c r="H560" s="85"/>
      <c r="I560" s="85"/>
      <c r="J560" s="85"/>
      <c r="K560" s="85"/>
      <c r="L560" s="85">
        <f>IFERROR(__xludf.DUMMYFUNCTION("""COMPUTED_VALUE"""),21.0)</f>
        <v>21</v>
      </c>
      <c r="M560" s="85" t="str">
        <f>IFERROR(__xludf.DUMMYFUNCTION("""COMPUTED_VALUE"""),"ü")</f>
        <v>ü</v>
      </c>
      <c r="N560" s="85"/>
      <c r="O560" s="85"/>
      <c r="P560" s="85" t="str">
        <f>IFERROR(__xludf.DUMMYFUNCTION("""COMPUTED_VALUE"""),"MUCSPA63186PSIND")</f>
        <v>MUCSPA63186PSIND</v>
      </c>
      <c r="Q560" s="85" t="str">
        <f>IFERROR(__xludf.DUMMYFUNCTION("""COMPUTED_VALUE"""),"MUC POST PRIMAVERA RESIDENCE")</f>
        <v>MUC POST PRIMAVERA RESIDENCE</v>
      </c>
      <c r="R560" s="85" t="str">
        <f>IFERROR(__xludf.DUMMYFUNCTION("""COMPUTED_VALUE"""),"MUC POST PRIMAVERA RESIDENCE")</f>
        <v>MUC POST PRIMAVERA RESIDENCE</v>
      </c>
      <c r="S560" s="85" t="str">
        <f>IFERROR(__xludf.DUMMYFUNCTION("""COMPUTED_VALUE"""),"JUNIARDI SITANGGANG")</f>
        <v>JUNIARDI SITANGGANG</v>
      </c>
      <c r="T560" s="85" t="str">
        <f>IFERROR(__xludf.DUMMYFUNCTION("""COMPUTED_VALUE"""),"KARANG POLA II DLM / 50 RT.001 RW.009 JATI PADANG PASAR MINGGU JAKARTA SELATAN")</f>
        <v>KARANG POLA II DLM / 50 RT.001 RW.009 JATI PADANG PASAR MINGGU JAKARTA SELATAN</v>
      </c>
      <c r="U560" s="85" t="str">
        <f>IFERROR(__xludf.DUMMYFUNCTION("""COMPUTED_VALUE"""),"Perum. Primavera Residence Blok E1/1 Rt. 001/010")</f>
        <v>Perum. Primavera Residence Blok E1/1 Rt. 001/010</v>
      </c>
      <c r="V560" s="85"/>
      <c r="W560" s="85" t="str">
        <f>IFERROR(__xludf.DUMMYFUNCTION("""COMPUTED_VALUE"""),"Bojong")</f>
        <v>Bojong</v>
      </c>
      <c r="X560" s="85" t="str">
        <f>IFERROR(__xludf.DUMMYFUNCTION("""COMPUTED_VALUE"""),"Klapanunggal")</f>
        <v>Klapanunggal</v>
      </c>
      <c r="Y560" s="85" t="str">
        <f>IFERROR(__xludf.DUMMYFUNCTION("""COMPUTED_VALUE"""),"Kab.Bogor")</f>
        <v>Kab.Bogor</v>
      </c>
      <c r="Z560" s="85" t="str">
        <f>IFERROR(__xludf.DUMMYFUNCTION("""COMPUTED_VALUE"""),"Jawa Barat")</f>
        <v>Jawa Barat</v>
      </c>
      <c r="AA560" s="85" t="str">
        <f>IFERROR(__xludf.DUMMYFUNCTION("""COMPUTED_VALUE"""),"16710")</f>
        <v>16710</v>
      </c>
      <c r="AB560" s="85" t="str">
        <f>IFERROR(__xludf.DUMMYFUNCTION("""COMPUTED_VALUE"""),"2174042706850002")</f>
        <v>2174042706850002</v>
      </c>
      <c r="AC560" s="85" t="str">
        <f>IFERROR(__xludf.DUMMYFUNCTION("""COMPUTED_VALUE"""),"83.023.452.2-017.000")</f>
        <v>83.023.452.2-017.000</v>
      </c>
      <c r="AD560" s="85" t="str">
        <f>IFERROR(__xludf.DUMMYFUNCTION("""COMPUTED_VALUE"""),"CUM - PS - NITA")</f>
        <v>CUM - PS - NITA</v>
      </c>
      <c r="AE560" s="85" t="str">
        <f>IFERROR(__xludf.DUMMYFUNCTION("""COMPUTED_VALUE"""),"SUB NITA POS")</f>
        <v>SUB NITA POS</v>
      </c>
      <c r="AF560" s="85" t="str">
        <f>IFERROR(__xludf.DUMMYFUNCTION("""COMPUTED_VALUE"""),"081398020052")</f>
        <v>081398020052</v>
      </c>
      <c r="AG560" s="85"/>
      <c r="AH560" s="85" t="str">
        <f>IFERROR(__xludf.DUMMYFUNCTION("""COMPUTED_VALUE"""),"ardi2706.js@gmail.com")</f>
        <v>ardi2706.js@gmail.com</v>
      </c>
      <c r="AI560" s="85" t="str">
        <f>IFERROR(__xludf.DUMMYFUNCTION("""COMPUTED_VALUE"""),"16878S2")</f>
        <v>16878S2</v>
      </c>
      <c r="AJ560" s="85" t="str">
        <f>IFERROR(__xludf.DUMMYFUNCTION("""COMPUTED_VALUE"""),"688958705cc0d1c9770bf86c")</f>
        <v>688958705cc0d1c9770bf86c</v>
      </c>
      <c r="AK560" s="85" t="str">
        <f>IFERROR(__xludf.DUMMYFUNCTION("""COMPUTED_VALUE"""),"dm16878s2")</f>
        <v>dm16878s2</v>
      </c>
      <c r="AL560" s="85" t="str">
        <f>IFERROR(__xludf.DUMMYFUNCTION("""COMPUTED_VALUE"""),"#16878Pos")</f>
        <v>#16878Pos</v>
      </c>
      <c r="AM560" s="85" t="str">
        <f>IFERROR(__xludf.DUMMYFUNCTION("""COMPUTED_VALUE"""),"KANTOR REGIONAL II JAKARTA 10004")</f>
        <v>KANTOR REGIONAL II JAKARTA 10004</v>
      </c>
      <c r="AN560" s="85" t="str">
        <f>IFERROR(__xludf.DUMMYFUNCTION("""COMPUTED_VALUE"""),"KC CIBINONG")</f>
        <v>KC CIBINONG</v>
      </c>
      <c r="AO560" s="85" t="str">
        <f>IFERROR(__xludf.DUMMYFUNCTION("""COMPUTED_VALUE"""),"1107250074759")</f>
        <v>1107250074759</v>
      </c>
      <c r="AP560" s="85" t="str">
        <f>IFERROR(__xludf.DUMMYFUNCTION("""COMPUTED_VALUE"""),"11072500747590001")</f>
        <v>11072500747590001</v>
      </c>
      <c r="AQ560" s="93"/>
      <c r="AR560" s="85"/>
      <c r="AS560" s="85"/>
      <c r="AT560" s="85" t="str">
        <f>IFERROR(__xludf.DUMMYFUNCTION("""COMPUTED_VALUE"""),"-6.449763")</f>
        <v>-6.449763</v>
      </c>
      <c r="AU560" s="85" t="str">
        <f>IFERROR(__xludf.DUMMYFUNCTION("""COMPUTED_VALUE"""),"107.003424")</f>
        <v>107.003424</v>
      </c>
      <c r="AV560" s="85"/>
      <c r="AW560" s="85"/>
      <c r="AX560" s="85"/>
      <c r="AY560" s="85"/>
      <c r="AZ560" s="85"/>
      <c r="BA560" s="85"/>
      <c r="BB560" s="85"/>
      <c r="BC560" s="85"/>
      <c r="BD560" s="85"/>
      <c r="BE560" s="85"/>
      <c r="BF560" s="85"/>
      <c r="BG560" s="85"/>
      <c r="BH560" s="85"/>
      <c r="BI560" s="85"/>
      <c r="BJ560" s="85"/>
      <c r="BK560" s="85"/>
      <c r="BL560" s="85"/>
      <c r="BM560" s="85"/>
      <c r="BN560" s="85"/>
      <c r="BO560" s="85"/>
      <c r="BP560" s="85"/>
      <c r="BQ560" s="85"/>
      <c r="BR560" s="85"/>
      <c r="BS560" s="85"/>
      <c r="BT560" s="85"/>
      <c r="BU560" s="85"/>
      <c r="BV560" s="85"/>
      <c r="BW560" s="85"/>
      <c r="BX560" s="85" t="str">
        <f>IFERROR(__xludf.DUMMYFUNCTION("""COMPUTED_VALUE"""),"MULTIKURIR - LION PARCEL - WAHANA")</f>
        <v>MULTIKURIR - LION PARCEL - WAHANA</v>
      </c>
      <c r="BY560" s="85"/>
      <c r="BZ560" s="85"/>
      <c r="CA560" s="85"/>
      <c r="CB560" s="85"/>
      <c r="CC560" s="85"/>
      <c r="CD560" s="85"/>
      <c r="CE560" s="85"/>
      <c r="CF560" s="85"/>
      <c r="CG560" s="85"/>
      <c r="CH560" s="85"/>
      <c r="CI560" s="85"/>
      <c r="CJ560" s="85"/>
      <c r="CK560" s="2"/>
    </row>
    <row r="561" ht="12.75" customHeight="1">
      <c r="A561" s="80">
        <f>IFERROR(__xludf.DUMMYFUNCTION("""COMPUTED_VALUE"""),558.0)</f>
        <v>558</v>
      </c>
      <c r="B561" s="80"/>
      <c r="C561" s="80"/>
      <c r="D561" s="81">
        <f>IFERROR(__xludf.DUMMYFUNCTION("""COMPUTED_VALUE"""),45852.0)</f>
        <v>45852</v>
      </c>
      <c r="E561" s="82"/>
      <c r="F561" s="80"/>
      <c r="G561" s="81"/>
      <c r="H561" s="80"/>
      <c r="I561" s="80"/>
      <c r="J561" s="80"/>
      <c r="K561" s="80"/>
      <c r="L561" s="80"/>
      <c r="M561" s="80"/>
      <c r="N561" s="80" t="str">
        <f>IFERROR(__xludf.DUMMYFUNCTION("""COMPUTED_VALUE"""),"ü")</f>
        <v>ü</v>
      </c>
      <c r="O561" s="80"/>
      <c r="P561" s="80" t="str">
        <f>IFERROR(__xludf.DUMMYFUNCTION("""COMPUTED_VALUE"""),"MUCSPA63187PSIND")</f>
        <v>MUCSPA63187PSIND</v>
      </c>
      <c r="Q561" s="80" t="str">
        <f>IFERROR(__xludf.DUMMYFUNCTION("""COMPUTED_VALUE"""),"MUC KDMP Mekarwangi ")</f>
        <v>MUC KDMP Mekarwangi </v>
      </c>
      <c r="R561" s="80" t="str">
        <f>IFERROR(__xludf.DUMMYFUNCTION("""COMPUTED_VALUE"""),"MUC KDMP Mekarwangi ")</f>
        <v>MUC KDMP Mekarwangi </v>
      </c>
      <c r="S561" s="80" t="str">
        <f>IFERROR(__xludf.DUMMYFUNCTION("""COMPUTED_VALUE"""),"Sutarko  S.pd . M.Mpd")</f>
        <v>Sutarko  S.pd . M.Mpd</v>
      </c>
      <c r="T561" s="80" t="str">
        <f>IFERROR(__xludf.DUMMYFUNCTION("""COMPUTED_VALUE"""),"Kp Pasir Gombong Rt 01 RW 04 Desa Mekarwangi Kec Haurwangi Kab Cianjur")</f>
        <v>Kp Pasir Gombong Rt 01 RW 04 Desa Mekarwangi Kec Haurwangi Kab Cianjur</v>
      </c>
      <c r="U561" s="80" t="str">
        <f>IFERROR(__xludf.DUMMYFUNCTION("""COMPUTED_VALUE"""),"Kp Pasir Gombong Rt 01 RW 04 Desa Mekarwangi Kec Haurwangi Kab Cianjur")</f>
        <v>Kp Pasir Gombong Rt 01 RW 04 Desa Mekarwangi Kec Haurwangi Kab Cianjur</v>
      </c>
      <c r="V561" s="80"/>
      <c r="W561" s="80" t="str">
        <f>IFERROR(__xludf.DUMMYFUNCTION("""COMPUTED_VALUE"""),"Mekarwangi")</f>
        <v>Mekarwangi</v>
      </c>
      <c r="X561" s="80" t="str">
        <f>IFERROR(__xludf.DUMMYFUNCTION("""COMPUTED_VALUE"""),"Haurwangi")</f>
        <v>Haurwangi</v>
      </c>
      <c r="Y561" s="80" t="str">
        <f>IFERROR(__xludf.DUMMYFUNCTION("""COMPUTED_VALUE"""),"Cianjur")</f>
        <v>Cianjur</v>
      </c>
      <c r="Z561" s="80" t="str">
        <f>IFERROR(__xludf.DUMMYFUNCTION("""COMPUTED_VALUE"""),"Jawabarat")</f>
        <v>Jawabarat</v>
      </c>
      <c r="AA561" s="80" t="str">
        <f>IFERROR(__xludf.DUMMYFUNCTION("""COMPUTED_VALUE"""),"43283")</f>
        <v>43283</v>
      </c>
      <c r="AB561" s="80" t="str">
        <f>IFERROR(__xludf.DUMMYFUNCTION("""COMPUTED_VALUE"""),"3203052412680004")</f>
        <v>3203052412680004</v>
      </c>
      <c r="AC561" s="80" t="str">
        <f>IFERROR(__xludf.DUMMYFUNCTION("""COMPUTED_VALUE"""),"25.288.530.6-406.000")</f>
        <v>25.288.530.6-406.000</v>
      </c>
      <c r="AD561" s="80" t="str">
        <f>IFERROR(__xludf.DUMMYFUNCTION("""COMPUTED_VALUE"""),"CUM - FTN")</f>
        <v>CUM - FTN</v>
      </c>
      <c r="AE561" s="80" t="str">
        <f>IFERROR(__xludf.DUMMYFUNCTION("""COMPUTED_VALUE"""),"SUB FATHONI")</f>
        <v>SUB FATHONI</v>
      </c>
      <c r="AF561" s="80" t="str">
        <f>IFERROR(__xludf.DUMMYFUNCTION("""COMPUTED_VALUE"""),"081932314293")</f>
        <v>081932314293</v>
      </c>
      <c r="AG561" s="80"/>
      <c r="AH561" s="80" t="str">
        <f>IFERROR(__xludf.DUMMYFUNCTION("""COMPUTED_VALUE"""),"kopdesmerahputihmekarwangi@gmail.com")</f>
        <v>kopdesmerahputihmekarwangi@gmail.com</v>
      </c>
      <c r="AI561" s="80" t="str">
        <f>IFERROR(__xludf.DUMMYFUNCTION("""COMPUTED_VALUE"""),"43286S1")</f>
        <v>43286S1</v>
      </c>
      <c r="AJ561" s="80" t="str">
        <f>IFERROR(__xludf.DUMMYFUNCTION("""COMPUTED_VALUE"""),"68779365e04365715006afa9")</f>
        <v>68779365e04365715006afa9</v>
      </c>
      <c r="AK561" s="80" t="str">
        <f>IFERROR(__xludf.DUMMYFUNCTION("""COMPUTED_VALUE"""),"dm43286s1")</f>
        <v>dm43286s1</v>
      </c>
      <c r="AL561" s="80" t="str">
        <f>IFERROR(__xludf.DUMMYFUNCTION("""COMPUTED_VALUE"""),"#43286Pos")</f>
        <v>#43286Pos</v>
      </c>
      <c r="AM561" s="80" t="str">
        <f>IFERROR(__xludf.DUMMYFUNCTION("""COMPUTED_VALUE"""),"KANTOR REGIONAL III BANDUNG 40004")</f>
        <v>KANTOR REGIONAL III BANDUNG 40004</v>
      </c>
      <c r="AN561" s="80" t="str">
        <f>IFERROR(__xludf.DUMMYFUNCTION("""COMPUTED_VALUE"""),"KC CIANJUR 43200")</f>
        <v>KC CIANJUR 43200</v>
      </c>
      <c r="AO561" s="80" t="str">
        <f>IFERROR(__xludf.DUMMYFUNCTION("""COMPUTED_VALUE"""),"1204250011676")</f>
        <v>1204250011676</v>
      </c>
      <c r="AP561" s="80" t="str">
        <f>IFERROR(__xludf.DUMMYFUNCTION("""COMPUTED_VALUE"""),"12042500116760017")</f>
        <v>12042500116760017</v>
      </c>
      <c r="AQ561" s="83"/>
      <c r="AR561" s="80"/>
      <c r="AS561" s="80"/>
      <c r="AT561" s="80" t="str">
        <f>IFERROR(__xludf.DUMMYFUNCTION("""COMPUTED_VALUE"""),"-6.822512")</f>
        <v>-6.822512</v>
      </c>
      <c r="AU561" s="80" t="str">
        <f>IFERROR(__xludf.DUMMYFUNCTION("""COMPUTED_VALUE"""),"107.289844")</f>
        <v>107.289844</v>
      </c>
      <c r="AV561" s="80"/>
      <c r="AW561" s="80"/>
      <c r="AX561" s="80"/>
      <c r="AY561" s="80"/>
      <c r="AZ561" s="80"/>
      <c r="BA561" s="80"/>
      <c r="BB561" s="80"/>
      <c r="BC561" s="80"/>
      <c r="BD561" s="80"/>
      <c r="BE561" s="80"/>
      <c r="BF561" s="80"/>
      <c r="BG561" s="80"/>
      <c r="BH561" s="80"/>
      <c r="BI561" s="80"/>
      <c r="BJ561" s="80"/>
      <c r="BK561" s="80"/>
      <c r="BL561" s="80"/>
      <c r="BM561" s="80"/>
      <c r="BN561" s="80"/>
      <c r="BO561" s="80"/>
      <c r="BP561" s="80"/>
      <c r="BQ561" s="80"/>
      <c r="BR561" s="80"/>
      <c r="BS561" s="80"/>
      <c r="BT561" s="80"/>
      <c r="BU561" s="80"/>
      <c r="BV561" s="80"/>
      <c r="BW561" s="80"/>
      <c r="BX561" s="80" t="str">
        <f>IFERROR(__xludf.DUMMYFUNCTION("""COMPUTED_VALUE"""),"KDMP")</f>
        <v>KDMP</v>
      </c>
      <c r="BY561" s="80"/>
      <c r="BZ561" s="80"/>
      <c r="CA561" s="80"/>
      <c r="CB561" s="80"/>
      <c r="CC561" s="80"/>
      <c r="CD561" s="80"/>
      <c r="CE561" s="80"/>
      <c r="CF561" s="80"/>
      <c r="CG561" s="80"/>
      <c r="CH561" s="80"/>
      <c r="CI561" s="80"/>
      <c r="CJ561" s="80"/>
      <c r="CK561" s="2"/>
    </row>
    <row r="562" ht="12.75" customHeight="1">
      <c r="A562" s="85">
        <f>IFERROR(__xludf.DUMMYFUNCTION("""COMPUTED_VALUE"""),559.0)</f>
        <v>559</v>
      </c>
      <c r="B562" s="85"/>
      <c r="C562" s="85"/>
      <c r="D562" s="86">
        <f>IFERROR(__xludf.DUMMYFUNCTION("""COMPUTED_VALUE"""),45852.0)</f>
        <v>45852</v>
      </c>
      <c r="E562" s="88"/>
      <c r="F562" s="85"/>
      <c r="G562" s="86"/>
      <c r="H562" s="85"/>
      <c r="I562" s="85"/>
      <c r="J562" s="85"/>
      <c r="K562" s="85"/>
      <c r="L562" s="85"/>
      <c r="M562" s="85"/>
      <c r="N562" s="85" t="str">
        <f>IFERROR(__xludf.DUMMYFUNCTION("""COMPUTED_VALUE"""),"ü")</f>
        <v>ü</v>
      </c>
      <c r="O562" s="85"/>
      <c r="P562" s="85" t="str">
        <f>IFERROR(__xludf.DUMMYFUNCTION("""COMPUTED_VALUE"""),"MUCSPA63188PSIND")</f>
        <v>MUCSPA63188PSIND</v>
      </c>
      <c r="Q562" s="85" t="str">
        <f>IFERROR(__xludf.DUMMYFUNCTION("""COMPUTED_VALUE"""),"MUC KDMP MEKARJAYA")</f>
        <v>MUC KDMP MEKARJAYA</v>
      </c>
      <c r="R562" s="85" t="str">
        <f>IFERROR(__xludf.DUMMYFUNCTION("""COMPUTED_VALUE"""),"MUC KDMP MEKARJAYA")</f>
        <v>MUC KDMP MEKARJAYA</v>
      </c>
      <c r="S562" s="85" t="str">
        <f>IFERROR(__xludf.DUMMYFUNCTION("""COMPUTED_VALUE"""),"Rangga Wianggadana")</f>
        <v>Rangga Wianggadana</v>
      </c>
      <c r="T562" s="85" t="str">
        <f>IFERROR(__xludf.DUMMYFUNCTION("""COMPUTED_VALUE"""),"Dusun babakan sukasari RT 003- RW 007 Desa Mekarjaya Kec Sumedang Utara kab sumedang ")</f>
        <v>Dusun babakan sukasari RT 003- RW 007 Desa Mekarjaya Kec Sumedang Utara kab sumedang </v>
      </c>
      <c r="U562" s="85" t="str">
        <f>IFERROR(__xludf.DUMMYFUNCTION("""COMPUTED_VALUE"""),"Jln Mekarjaya No 83 Dusun Nanggerang RT 03 RE 04")</f>
        <v>Jln Mekarjaya No 83 Dusun Nanggerang RT 03 RE 04</v>
      </c>
      <c r="V562" s="85"/>
      <c r="W562" s="85" t="str">
        <f>IFERROR(__xludf.DUMMYFUNCTION("""COMPUTED_VALUE"""),"Mekarjaya")</f>
        <v>Mekarjaya</v>
      </c>
      <c r="X562" s="85" t="str">
        <f>IFERROR(__xludf.DUMMYFUNCTION("""COMPUTED_VALUE"""),"Sumedang Utara")</f>
        <v>Sumedang Utara</v>
      </c>
      <c r="Y562" s="85" t="str">
        <f>IFERROR(__xludf.DUMMYFUNCTION("""COMPUTED_VALUE"""),"Sumedang")</f>
        <v>Sumedang</v>
      </c>
      <c r="Z562" s="85" t="str">
        <f>IFERROR(__xludf.DUMMYFUNCTION("""COMPUTED_VALUE"""),"Jawa Barat")</f>
        <v>Jawa Barat</v>
      </c>
      <c r="AA562" s="85" t="str">
        <f>IFERROR(__xludf.DUMMYFUNCTION("""COMPUTED_VALUE"""),"45321")</f>
        <v>45321</v>
      </c>
      <c r="AB562" s="85" t="str">
        <f>IFERROR(__xludf.DUMMYFUNCTION("""COMPUTED_VALUE"""),"3211180906820003")</f>
        <v>3211180906820003</v>
      </c>
      <c r="AC562" s="85" t="str">
        <f>IFERROR(__xludf.DUMMYFUNCTION("""COMPUTED_VALUE"""),"25.576.664.4-446.000")</f>
        <v>25.576.664.4-446.000</v>
      </c>
      <c r="AD562" s="85" t="str">
        <f>IFERROR(__xludf.DUMMYFUNCTION("""COMPUTED_VALUE"""),"PAK YANA ")</f>
        <v>PAK YANA </v>
      </c>
      <c r="AE562" s="85" t="str">
        <f>IFERROR(__xludf.DUMMYFUNCTION("""COMPUTED_VALUE"""),"SUB NONKORGEN")</f>
        <v>SUB NONKORGEN</v>
      </c>
      <c r="AF562" s="85" t="str">
        <f>IFERROR(__xludf.DUMMYFUNCTION("""COMPUTED_VALUE"""),"082220222133")</f>
        <v>082220222133</v>
      </c>
      <c r="AG562" s="85"/>
      <c r="AH562" s="85" t="str">
        <f>IFERROR(__xludf.DUMMYFUNCTION("""COMPUTED_VALUE"""),"kdmpmekarjayasumedang@gmail.com")</f>
        <v>kdmpmekarjayasumedang@gmail.com</v>
      </c>
      <c r="AI562" s="85" t="str">
        <f>IFERROR(__xludf.DUMMYFUNCTION("""COMPUTED_VALUE"""),"45328S1")</f>
        <v>45328S1</v>
      </c>
      <c r="AJ562" s="85" t="str">
        <f>IFERROR(__xludf.DUMMYFUNCTION("""COMPUTED_VALUE"""),"68789037d0f27a530b0987a1")</f>
        <v>68789037d0f27a530b0987a1</v>
      </c>
      <c r="AK562" s="85" t="str">
        <f>IFERROR(__xludf.DUMMYFUNCTION("""COMPUTED_VALUE"""),"dm45328s1")</f>
        <v>dm45328s1</v>
      </c>
      <c r="AL562" s="85" t="str">
        <f>IFERROR(__xludf.DUMMYFUNCTION("""COMPUTED_VALUE"""),"#45328Pos")</f>
        <v>#45328Pos</v>
      </c>
      <c r="AM562" s="85" t="str">
        <f>IFERROR(__xludf.DUMMYFUNCTION("""COMPUTED_VALUE"""),"KANTOR REGIONAL III BANDUNG 40004")</f>
        <v>KANTOR REGIONAL III BANDUNG 40004</v>
      </c>
      <c r="AN562" s="85" t="str">
        <f>IFERROR(__xludf.DUMMYFUNCTION("""COMPUTED_VALUE"""),"KC SUMEDANG")</f>
        <v>KC SUMEDANG</v>
      </c>
      <c r="AO562" s="85" t="str">
        <f>IFERROR(__xludf.DUMMYFUNCTION("""COMPUTED_VALUE"""),"0107250054892")</f>
        <v>0107250054892</v>
      </c>
      <c r="AP562" s="85" t="str">
        <f>IFERROR(__xludf.DUMMYFUNCTION("""COMPUTED_VALUE"""),"01072500548920009")</f>
        <v>01072500548920009</v>
      </c>
      <c r="AQ562" s="93"/>
      <c r="AR562" s="85"/>
      <c r="AS562" s="85"/>
      <c r="AT562" s="85" t="str">
        <f>IFERROR(__xludf.DUMMYFUNCTION("""COMPUTED_VALUE"""),"-6.8249787")</f>
        <v>-6.8249787</v>
      </c>
      <c r="AU562" s="85" t="str">
        <f>IFERROR(__xludf.DUMMYFUNCTION("""COMPUTED_VALUE"""),"107.9055932")</f>
        <v>107.9055932</v>
      </c>
      <c r="AV562" s="85"/>
      <c r="AW562" s="85"/>
      <c r="AX562" s="85"/>
      <c r="AY562" s="85"/>
      <c r="AZ562" s="85"/>
      <c r="BA562" s="85"/>
      <c r="BB562" s="85"/>
      <c r="BC562" s="85"/>
      <c r="BD562" s="85"/>
      <c r="BE562" s="85"/>
      <c r="BF562" s="85"/>
      <c r="BG562" s="85"/>
      <c r="BH562" s="85"/>
      <c r="BI562" s="85"/>
      <c r="BJ562" s="85"/>
      <c r="BK562" s="85"/>
      <c r="BL562" s="85"/>
      <c r="BM562" s="85"/>
      <c r="BN562" s="85"/>
      <c r="BO562" s="85"/>
      <c r="BP562" s="85"/>
      <c r="BQ562" s="85"/>
      <c r="BR562" s="85"/>
      <c r="BS562" s="85"/>
      <c r="BT562" s="85"/>
      <c r="BU562" s="85"/>
      <c r="BV562" s="85"/>
      <c r="BW562" s="85"/>
      <c r="BX562" s="85" t="str">
        <f>IFERROR(__xludf.DUMMYFUNCTION("""COMPUTED_VALUE"""),"KDMP")</f>
        <v>KDMP</v>
      </c>
      <c r="BY562" s="85"/>
      <c r="BZ562" s="85"/>
      <c r="CA562" s="85"/>
      <c r="CB562" s="85"/>
      <c r="CC562" s="85"/>
      <c r="CD562" s="85"/>
      <c r="CE562" s="85"/>
      <c r="CF562" s="85"/>
      <c r="CG562" s="85"/>
      <c r="CH562" s="85"/>
      <c r="CI562" s="85"/>
      <c r="CJ562" s="85"/>
      <c r="CK562" s="2"/>
    </row>
    <row r="563" ht="12.75" customHeight="1">
      <c r="A563" s="80">
        <f>IFERROR(__xludf.DUMMYFUNCTION("""COMPUTED_VALUE"""),560.0)</f>
        <v>560</v>
      </c>
      <c r="B563" s="80"/>
      <c r="C563" s="80"/>
      <c r="D563" s="81">
        <f>IFERROR(__xludf.DUMMYFUNCTION("""COMPUTED_VALUE"""),45852.0)</f>
        <v>45852</v>
      </c>
      <c r="E563" s="82"/>
      <c r="F563" s="80"/>
      <c r="G563" s="81"/>
      <c r="H563" s="80"/>
      <c r="I563" s="80"/>
      <c r="J563" s="80"/>
      <c r="K563" s="80"/>
      <c r="L563" s="80"/>
      <c r="M563" s="80"/>
      <c r="N563" s="80" t="str">
        <f>IFERROR(__xludf.DUMMYFUNCTION("""COMPUTED_VALUE"""),"ü")</f>
        <v>ü</v>
      </c>
      <c r="O563" s="80"/>
      <c r="P563" s="80" t="str">
        <f>IFERROR(__xludf.DUMMYFUNCTION("""COMPUTED_VALUE"""),"MUCSPA63189PSIND")</f>
        <v>MUCSPA63189PSIND</v>
      </c>
      <c r="Q563" s="80" t="str">
        <f>IFERROR(__xludf.DUMMYFUNCTION("""COMPUTED_VALUE"""),"MUC KDMP CIKOLE CIMALAKA")</f>
        <v>MUC KDMP CIKOLE CIMALAKA</v>
      </c>
      <c r="R563" s="80" t="str">
        <f>IFERROR(__xludf.DUMMYFUNCTION("""COMPUTED_VALUE"""),"MUC KDMP CIKOLE CIMALAKA")</f>
        <v>MUC KDMP CIKOLE CIMALAKA</v>
      </c>
      <c r="S563" s="80" t="str">
        <f>IFERROR(__xludf.DUMMYFUNCTION("""COMPUTED_VALUE"""),"SUPIAN APANDI")</f>
        <v>SUPIAN APANDI</v>
      </c>
      <c r="T563" s="80" t="str">
        <f>IFERROR(__xludf.DUMMYFUNCTION("""COMPUTED_VALUE"""),"DUSUN CIKOLE RT 4 RW 1 DESA CIKOLE CIMALAKA")</f>
        <v>DUSUN CIKOLE RT 4 RW 1 DESA CIKOLE CIMALAKA</v>
      </c>
      <c r="U563" s="80" t="str">
        <f>IFERROR(__xludf.DUMMYFUNCTION("""COMPUTED_VALUE"""),"JL. DESA CIKOLE NO. 32 RT 1 RW 2")</f>
        <v>JL. DESA CIKOLE NO. 32 RT 1 RW 2</v>
      </c>
      <c r="V563" s="80"/>
      <c r="W563" s="80" t="str">
        <f>IFERROR(__xludf.DUMMYFUNCTION("""COMPUTED_VALUE"""),"CIKOLE")</f>
        <v>CIKOLE</v>
      </c>
      <c r="X563" s="80" t="str">
        <f>IFERROR(__xludf.DUMMYFUNCTION("""COMPUTED_VALUE"""),"CIMALAKA")</f>
        <v>CIMALAKA</v>
      </c>
      <c r="Y563" s="80" t="str">
        <f>IFERROR(__xludf.DUMMYFUNCTION("""COMPUTED_VALUE"""),"KAB. SUMEDANG")</f>
        <v>KAB. SUMEDANG</v>
      </c>
      <c r="Z563" s="80" t="str">
        <f>IFERROR(__xludf.DUMMYFUNCTION("""COMPUTED_VALUE"""),"JAWA BARAT")</f>
        <v>JAWA BARAT</v>
      </c>
      <c r="AA563" s="80" t="str">
        <f>IFERROR(__xludf.DUMMYFUNCTION("""COMPUTED_VALUE"""),"45353")</f>
        <v>45353</v>
      </c>
      <c r="AB563" s="80" t="str">
        <f>IFERROR(__xludf.DUMMYFUNCTION("""COMPUTED_VALUE"""),"3211181402780007")</f>
        <v>3211181402780007</v>
      </c>
      <c r="AC563" s="80" t="str">
        <f>IFERROR(__xludf.DUMMYFUNCTION("""COMPUTED_VALUE"""),"46.329.073.4-446.000")</f>
        <v>46.329.073.4-446.000</v>
      </c>
      <c r="AD563" s="80" t="str">
        <f>IFERROR(__xludf.DUMMYFUNCTION("""COMPUTED_VALUE"""),"PAK YANA ")</f>
        <v>PAK YANA </v>
      </c>
      <c r="AE563" s="80" t="str">
        <f>IFERROR(__xludf.DUMMYFUNCTION("""COMPUTED_VALUE"""),"SUB NONKORGEN")</f>
        <v>SUB NONKORGEN</v>
      </c>
      <c r="AF563" s="80" t="str">
        <f>IFERROR(__xludf.DUMMYFUNCTION("""COMPUTED_VALUE"""),"081803333317")</f>
        <v>081803333317</v>
      </c>
      <c r="AG563" s="80"/>
      <c r="AH563" s="80" t="str">
        <f>IFERROR(__xludf.DUMMYFUNCTION("""COMPUTED_VALUE"""),"kdmpcikole@gmail.com")</f>
        <v>kdmpcikole@gmail.com</v>
      </c>
      <c r="AI563" s="80" t="str">
        <f>IFERROR(__xludf.DUMMYFUNCTION("""COMPUTED_VALUE"""),"45353S1")</f>
        <v>45353S1</v>
      </c>
      <c r="AJ563" s="80" t="str">
        <f>IFERROR(__xludf.DUMMYFUNCTION("""COMPUTED_VALUE"""),"68784f1e582a9a22360a789b")</f>
        <v>68784f1e582a9a22360a789b</v>
      </c>
      <c r="AK563" s="80" t="str">
        <f>IFERROR(__xludf.DUMMYFUNCTION("""COMPUTED_VALUE"""),"dm45353s1")</f>
        <v>dm45353s1</v>
      </c>
      <c r="AL563" s="80" t="str">
        <f>IFERROR(__xludf.DUMMYFUNCTION("""COMPUTED_VALUE"""),"#45353Pos")</f>
        <v>#45353Pos</v>
      </c>
      <c r="AM563" s="80" t="str">
        <f>IFERROR(__xludf.DUMMYFUNCTION("""COMPUTED_VALUE"""),"KANTOR REGIONAL III BANDUNG 40004")</f>
        <v>KANTOR REGIONAL III BANDUNG 40004</v>
      </c>
      <c r="AN563" s="80" t="str">
        <f>IFERROR(__xludf.DUMMYFUNCTION("""COMPUTED_VALUE"""),"KC SUMEDANG")</f>
        <v>KC SUMEDANG</v>
      </c>
      <c r="AO563" s="80" t="str">
        <f>IFERROR(__xludf.DUMMYFUNCTION("""COMPUTED_VALUE"""),"3006250069721")</f>
        <v>3006250069721</v>
      </c>
      <c r="AP563" s="80" t="str">
        <f>IFERROR(__xludf.DUMMYFUNCTION("""COMPUTED_VALUE"""),"30062500697210007")</f>
        <v>30062500697210007</v>
      </c>
      <c r="AQ563" s="83"/>
      <c r="AR563" s="80"/>
      <c r="AS563" s="80"/>
      <c r="AT563" s="80" t="str">
        <f>IFERROR(__xludf.DUMMYFUNCTION("""COMPUTED_VALUE"""),"-6.8084864")</f>
        <v>-6.8084864</v>
      </c>
      <c r="AU563" s="80" t="str">
        <f>IFERROR(__xludf.DUMMYFUNCTION("""COMPUTED_VALUE"""),"107.9365534")</f>
        <v>107.9365534</v>
      </c>
      <c r="AV563" s="80"/>
      <c r="AW563" s="80"/>
      <c r="AX563" s="80"/>
      <c r="AY563" s="80"/>
      <c r="AZ563" s="80"/>
      <c r="BA563" s="80"/>
      <c r="BB563" s="80"/>
      <c r="BC563" s="80"/>
      <c r="BD563" s="80"/>
      <c r="BE563" s="80"/>
      <c r="BF563" s="80"/>
      <c r="BG563" s="80"/>
      <c r="BH563" s="80"/>
      <c r="BI563" s="80"/>
      <c r="BJ563" s="80"/>
      <c r="BK563" s="80"/>
      <c r="BL563" s="80"/>
      <c r="BM563" s="80"/>
      <c r="BN563" s="80"/>
      <c r="BO563" s="80"/>
      <c r="BP563" s="80"/>
      <c r="BQ563" s="80"/>
      <c r="BR563" s="80"/>
      <c r="BS563" s="80"/>
      <c r="BT563" s="80"/>
      <c r="BU563" s="80"/>
      <c r="BV563" s="80"/>
      <c r="BW563" s="80"/>
      <c r="BX563" s="80" t="str">
        <f>IFERROR(__xludf.DUMMYFUNCTION("""COMPUTED_VALUE"""),"KDMP")</f>
        <v>KDMP</v>
      </c>
      <c r="BY563" s="80"/>
      <c r="BZ563" s="80"/>
      <c r="CA563" s="80"/>
      <c r="CB563" s="80"/>
      <c r="CC563" s="80"/>
      <c r="CD563" s="80"/>
      <c r="CE563" s="80"/>
      <c r="CF563" s="80"/>
      <c r="CG563" s="80"/>
      <c r="CH563" s="80"/>
      <c r="CI563" s="80"/>
      <c r="CJ563" s="80"/>
      <c r="CK563" s="2"/>
    </row>
    <row r="564" ht="12.75" customHeight="1">
      <c r="A564" s="85">
        <f>IFERROR(__xludf.DUMMYFUNCTION("""COMPUTED_VALUE"""),561.0)</f>
        <v>561</v>
      </c>
      <c r="B564" s="85"/>
      <c r="C564" s="85"/>
      <c r="D564" s="86">
        <f>IFERROR(__xludf.DUMMYFUNCTION("""COMPUTED_VALUE"""),45852.0)</f>
        <v>45852</v>
      </c>
      <c r="E564" s="88"/>
      <c r="F564" s="85"/>
      <c r="G564" s="86">
        <f>IFERROR(__xludf.DUMMYFUNCTION("""COMPUTED_VALUE"""),45866.0)</f>
        <v>45866</v>
      </c>
      <c r="H564" s="85"/>
      <c r="I564" s="85"/>
      <c r="J564" s="85"/>
      <c r="K564" s="85"/>
      <c r="L564" s="85">
        <f>IFERROR(__xludf.DUMMYFUNCTION("""COMPUTED_VALUE"""),14.0)</f>
        <v>14</v>
      </c>
      <c r="M564" s="85" t="str">
        <f>IFERROR(__xludf.DUMMYFUNCTION("""COMPUTED_VALUE"""),"ü")</f>
        <v>ü</v>
      </c>
      <c r="N564" s="85"/>
      <c r="O564" s="85"/>
      <c r="P564" s="85" t="str">
        <f>IFERROR(__xludf.DUMMYFUNCTION("""COMPUTED_VALUE"""),"MUCSPA63190PSIND")</f>
        <v>MUCSPA63190PSIND</v>
      </c>
      <c r="Q564" s="85" t="str">
        <f>IFERROR(__xludf.DUMMYFUNCTION("""COMPUTED_VALUE"""),"MUC Japan Iku Mediatama")</f>
        <v>MUC Japan Iku Mediatama</v>
      </c>
      <c r="R564" s="85" t="str">
        <f>IFERROR(__xludf.DUMMYFUNCTION("""COMPUTED_VALUE"""),"MUC Japan Iku Mediatama")</f>
        <v>MUC Japan Iku Mediatama</v>
      </c>
      <c r="S564" s="85" t="str">
        <f>IFERROR(__xludf.DUMMYFUNCTION("""COMPUTED_VALUE"""),"Angga Dianita")</f>
        <v>Angga Dianita</v>
      </c>
      <c r="T564" s="85" t="str">
        <f>IFERROR(__xludf.DUMMYFUNCTION("""COMPUTED_VALUE"""),"Jl. Cermai Timur 7 No. 57 Bibis Wetan RT 004 RW 021, Kel. Gilingan, Kec. Banjarsari, Kota Surakarta")</f>
        <v>Jl. Cermai Timur 7 No. 57 Bibis Wetan RT 004 RW 021, Kel. Gilingan, Kec. Banjarsari, Kota Surakarta</v>
      </c>
      <c r="U564" s="85" t="str">
        <f>IFERROR(__xludf.DUMMYFUNCTION("""COMPUTED_VALUE"""),"Jl. Brigjend Katamso No. 53")</f>
        <v>Jl. Brigjend Katamso No. 53</v>
      </c>
      <c r="V564" s="85"/>
      <c r="W564" s="85" t="str">
        <f>IFERROR(__xludf.DUMMYFUNCTION("""COMPUTED_VALUE"""),"Jebres")</f>
        <v>Jebres</v>
      </c>
      <c r="X564" s="85" t="str">
        <f>IFERROR(__xludf.DUMMYFUNCTION("""COMPUTED_VALUE"""),"Jebres")</f>
        <v>Jebres</v>
      </c>
      <c r="Y564" s="85" t="str">
        <f>IFERROR(__xludf.DUMMYFUNCTION("""COMPUTED_VALUE"""),"Surakarta")</f>
        <v>Surakarta</v>
      </c>
      <c r="Z564" s="85" t="str">
        <f>IFERROR(__xludf.DUMMYFUNCTION("""COMPUTED_VALUE"""),"Jawa Tengah")</f>
        <v>Jawa Tengah</v>
      </c>
      <c r="AA564" s="85" t="str">
        <f>IFERROR(__xludf.DUMMYFUNCTION("""COMPUTED_VALUE"""),"57128")</f>
        <v>57128</v>
      </c>
      <c r="AB564" s="85" t="str">
        <f>IFERROR(__xludf.DUMMYFUNCTION("""COMPUTED_VALUE"""),"3313022806920001")</f>
        <v>3313022806920001</v>
      </c>
      <c r="AC564" s="85" t="str">
        <f>IFERROR(__xludf.DUMMYFUNCTION("""COMPUTED_VALUE"""),"63.855.340.4-526.000")</f>
        <v>63.855.340.4-526.000</v>
      </c>
      <c r="AD564" s="85" t="str">
        <f>IFERROR(__xludf.DUMMYFUNCTION("""COMPUTED_VALUE"""),"CUM - PS - RFSI")</f>
        <v>CUM - PS - RFSI</v>
      </c>
      <c r="AE564" s="85" t="str">
        <f>IFERROR(__xludf.DUMMYFUNCTION("""COMPUTED_VALUE"""),"SUB RIZKI POS")</f>
        <v>SUB RIZKI POS</v>
      </c>
      <c r="AF564" s="85" t="str">
        <f>IFERROR(__xludf.DUMMYFUNCTION("""COMPUTED_VALUE"""),"089663170666")</f>
        <v>089663170666</v>
      </c>
      <c r="AG564" s="85"/>
      <c r="AH564" s="85" t="str">
        <f>IFERROR(__xludf.DUMMYFUNCTION("""COMPUTED_VALUE"""),"japanikumediatama@gmail.com")</f>
        <v>japanikumediatama@gmail.com</v>
      </c>
      <c r="AI564" s="85" t="str">
        <f>IFERROR(__xludf.DUMMYFUNCTION("""COMPUTED_VALUE"""),"57126S6")</f>
        <v>57126S6</v>
      </c>
      <c r="AJ564" s="85" t="str">
        <f>IFERROR(__xludf.DUMMYFUNCTION("""COMPUTED_VALUE"""),"6884de2ba5f835b7940e1a22")</f>
        <v>6884de2ba5f835b7940e1a22</v>
      </c>
      <c r="AK564" s="85" t="str">
        <f>IFERROR(__xludf.DUMMYFUNCTION("""COMPUTED_VALUE"""),"dm57126s6")</f>
        <v>dm57126s6</v>
      </c>
      <c r="AL564" s="85" t="str">
        <f>IFERROR(__xludf.DUMMYFUNCTION("""COMPUTED_VALUE"""),"#57126Pos")</f>
        <v>#57126Pos</v>
      </c>
      <c r="AM564" s="85" t="str">
        <f>IFERROR(__xludf.DUMMYFUNCTION("""COMPUTED_VALUE"""),"KANTOR REGIONAL IV SEMARANG 50004")</f>
        <v>KANTOR REGIONAL IV SEMARANG 50004</v>
      </c>
      <c r="AN564" s="85" t="str">
        <f>IFERROR(__xludf.DUMMYFUNCTION("""COMPUTED_VALUE"""),"KCU SOLO 57100")</f>
        <v>KCU SOLO 57100</v>
      </c>
      <c r="AO564" s="85" t="str">
        <f>IFERROR(__xludf.DUMMYFUNCTION("""COMPUTED_VALUE"""),"3003220023585")</f>
        <v>3003220023585</v>
      </c>
      <c r="AP564" s="85" t="str">
        <f>IFERROR(__xludf.DUMMYFUNCTION("""COMPUTED_VALUE"""),"30032200235850010")</f>
        <v>30032200235850010</v>
      </c>
      <c r="AQ564" s="93"/>
      <c r="AR564" s="85"/>
      <c r="AS564" s="85"/>
      <c r="AT564" s="85" t="str">
        <f>IFERROR(__xludf.DUMMYFUNCTION("""COMPUTED_VALUE"""),"-7.5563061")</f>
        <v>-7.5563061</v>
      </c>
      <c r="AU564" s="85" t="str">
        <f>IFERROR(__xludf.DUMMYFUNCTION("""COMPUTED_VALUE"""),"110.8383393")</f>
        <v>110.8383393</v>
      </c>
      <c r="AV564" s="85"/>
      <c r="AW564" s="85"/>
      <c r="AX564" s="85"/>
      <c r="AY564" s="85"/>
      <c r="AZ564" s="85"/>
      <c r="BA564" s="85"/>
      <c r="BB564" s="85"/>
      <c r="BC564" s="85"/>
      <c r="BD564" s="85"/>
      <c r="BE564" s="85"/>
      <c r="BF564" s="85"/>
      <c r="BG564" s="85"/>
      <c r="BH564" s="85"/>
      <c r="BI564" s="85"/>
      <c r="BJ564" s="85"/>
      <c r="BK564" s="85"/>
      <c r="BL564" s="85"/>
      <c r="BM564" s="85"/>
      <c r="BN564" s="85"/>
      <c r="BO564" s="85"/>
      <c r="BP564" s="85"/>
      <c r="BQ564" s="85"/>
      <c r="BR564" s="85"/>
      <c r="BS564" s="85"/>
      <c r="BT564" s="85"/>
      <c r="BU564" s="85"/>
      <c r="BV564" s="85"/>
      <c r="BW564" s="85"/>
      <c r="BX564" s="85" t="str">
        <f>IFERROR(__xludf.DUMMYFUNCTION("""COMPUTED_VALUE"""),"LPK JEPANG")</f>
        <v>LPK JEPANG</v>
      </c>
      <c r="BY564" s="85"/>
      <c r="BZ564" s="85"/>
      <c r="CA564" s="85"/>
      <c r="CB564" s="85"/>
      <c r="CC564" s="85"/>
      <c r="CD564" s="85"/>
      <c r="CE564" s="85"/>
      <c r="CF564" s="85"/>
      <c r="CG564" s="85"/>
      <c r="CH564" s="85"/>
      <c r="CI564" s="85"/>
      <c r="CJ564" s="85"/>
      <c r="CK564" s="2"/>
    </row>
    <row r="565" ht="12.75" customHeight="1">
      <c r="A565" s="80">
        <f>IFERROR(__xludf.DUMMYFUNCTION("""COMPUTED_VALUE"""),562.0)</f>
        <v>562</v>
      </c>
      <c r="B565" s="80"/>
      <c r="C565" s="80"/>
      <c r="D565" s="81">
        <f>IFERROR(__xludf.DUMMYFUNCTION("""COMPUTED_VALUE"""),45853.0)</f>
        <v>45853</v>
      </c>
      <c r="E565" s="82"/>
      <c r="F565" s="80"/>
      <c r="G565" s="81">
        <f>IFERROR(__xludf.DUMMYFUNCTION("""COMPUTED_VALUE"""),45867.0)</f>
        <v>45867</v>
      </c>
      <c r="H565" s="80"/>
      <c r="I565" s="80"/>
      <c r="J565" s="80"/>
      <c r="K565" s="80"/>
      <c r="L565" s="80">
        <f>IFERROR(__xludf.DUMMYFUNCTION("""COMPUTED_VALUE"""),14.0)</f>
        <v>14</v>
      </c>
      <c r="M565" s="80" t="str">
        <f>IFERROR(__xludf.DUMMYFUNCTION("""COMPUTED_VALUE"""),"ü")</f>
        <v>ü</v>
      </c>
      <c r="N565" s="80"/>
      <c r="O565" s="80"/>
      <c r="P565" s="80" t="str">
        <f>IFERROR(__xludf.DUMMYFUNCTION("""COMPUTED_VALUE"""),"MUCSPA63191PSIND")</f>
        <v>MUCSPA63191PSIND</v>
      </c>
      <c r="Q565" s="80" t="str">
        <f>IFERROR(__xludf.DUMMYFUNCTION("""COMPUTED_VALUE"""),"MUC BELAKANG TERMINAL")</f>
        <v>MUC BELAKANG TERMINAL</v>
      </c>
      <c r="R565" s="80" t="str">
        <f>IFERROR(__xludf.DUMMYFUNCTION("""COMPUTED_VALUE"""),"MUC BELAKANG TERMINAL")</f>
        <v>MUC BELAKANG TERMINAL</v>
      </c>
      <c r="S565" s="80" t="str">
        <f>IFERROR(__xludf.DUMMYFUNCTION("""COMPUTED_VALUE"""),"ANWAR MUHAMMAD")</f>
        <v>ANWAR MUHAMMAD</v>
      </c>
      <c r="T565" s="80" t="str">
        <f>IFERROR(__xludf.DUMMYFUNCTION("""COMPUTED_VALUE"""),"BANJAR AGUNG INDAH C1/1 RT 5 RW 9")</f>
        <v>BANJAR AGUNG INDAH C1/1 RT 5 RW 9</v>
      </c>
      <c r="U565" s="80" t="str">
        <f>IFERROR(__xludf.DUMMYFUNCTION("""COMPUTED_VALUE"""),"PERUM BANJAR AGUNG INDAH FS2 NO. 5")</f>
        <v>PERUM BANJAR AGUNG INDAH FS2 NO. 5</v>
      </c>
      <c r="V565" s="80"/>
      <c r="W565" s="80" t="str">
        <f>IFERROR(__xludf.DUMMYFUNCTION("""COMPUTED_VALUE"""),"BANJAR AGUNG")</f>
        <v>BANJAR AGUNG</v>
      </c>
      <c r="X565" s="80" t="str">
        <f>IFERROR(__xludf.DUMMYFUNCTION("""COMPUTED_VALUE"""),"CIPOCOK JAYA")</f>
        <v>CIPOCOK JAYA</v>
      </c>
      <c r="Y565" s="80" t="str">
        <f>IFERROR(__xludf.DUMMYFUNCTION("""COMPUTED_VALUE"""),"SERANG")</f>
        <v>SERANG</v>
      </c>
      <c r="Z565" s="80" t="str">
        <f>IFERROR(__xludf.DUMMYFUNCTION("""COMPUTED_VALUE"""),"BANTEN")</f>
        <v>BANTEN</v>
      </c>
      <c r="AA565" s="80" t="str">
        <f>IFERROR(__xludf.DUMMYFUNCTION("""COMPUTED_VALUE"""),"42122")</f>
        <v>42122</v>
      </c>
      <c r="AB565" s="80" t="str">
        <f>IFERROR(__xludf.DUMMYFUNCTION("""COMPUTED_VALUE"""),"3673051401920001 ")</f>
        <v>3673051401920001 </v>
      </c>
      <c r="AC565" s="80" t="str">
        <f>IFERROR(__xludf.DUMMYFUNCTION("""COMPUTED_VALUE"""),"3673 051 40192 0001")</f>
        <v>3673 051 40192 0001</v>
      </c>
      <c r="AD565" s="80" t="str">
        <f>IFERROR(__xludf.DUMMYFUNCTION("""COMPUTED_VALUE"""),"BU NELA SERANG")</f>
        <v>BU NELA SERANG</v>
      </c>
      <c r="AE565" s="80" t="str">
        <f>IFERROR(__xludf.DUMMYFUNCTION("""COMPUTED_VALUE"""),"BU NELA SERANG")</f>
        <v>BU NELA SERANG</v>
      </c>
      <c r="AF565" s="80" t="str">
        <f>IFERROR(__xludf.DUMMYFUNCTION("""COMPUTED_VALUE"""),"085176767932")</f>
        <v>085176767932</v>
      </c>
      <c r="AG565" s="80"/>
      <c r="AH565" s="80" t="str">
        <f>IFERROR(__xludf.DUMMYFUNCTION("""COMPUTED_VALUE"""),"anwarmuh558@gmail.com")</f>
        <v>anwarmuh558@gmail.com</v>
      </c>
      <c r="AI565" s="80" t="str">
        <f>IFERROR(__xludf.DUMMYFUNCTION("""COMPUTED_VALUE"""),"42122S1")</f>
        <v>42122S1</v>
      </c>
      <c r="AJ565" s="80" t="str">
        <f>IFERROR(__xludf.DUMMYFUNCTION("""COMPUTED_VALUE"""),"688585343d7b1481af030293")</f>
        <v>688585343d7b1481af030293</v>
      </c>
      <c r="AK565" s="80" t="str">
        <f>IFERROR(__xludf.DUMMYFUNCTION("""COMPUTED_VALUE"""),"dm42122s1")</f>
        <v>dm42122s1</v>
      </c>
      <c r="AL565" s="80" t="str">
        <f>IFERROR(__xludf.DUMMYFUNCTION("""COMPUTED_VALUE"""),"#42122Pos")</f>
        <v>#42122Pos</v>
      </c>
      <c r="AM565" s="80" t="str">
        <f>IFERROR(__xludf.DUMMYFUNCTION("""COMPUTED_VALUE"""),"KANTOR REGIONAL II JAKARTA 10004")</f>
        <v>KANTOR REGIONAL II JAKARTA 10004</v>
      </c>
      <c r="AN565" s="80" t="str">
        <f>IFERROR(__xludf.DUMMYFUNCTION("""COMPUTED_VALUE"""),"KCU SERANG")</f>
        <v>KCU SERANG</v>
      </c>
      <c r="AO565" s="80" t="str">
        <f>IFERROR(__xludf.DUMMYFUNCTION("""COMPUTED_VALUE"""),"0202250037218")</f>
        <v>0202250037218</v>
      </c>
      <c r="AP565" s="80" t="str">
        <f>IFERROR(__xludf.DUMMYFUNCTION("""COMPUTED_VALUE"""),"02022500372180001")</f>
        <v>02022500372180001</v>
      </c>
      <c r="AQ565" s="83"/>
      <c r="AR565" s="80"/>
      <c r="AS565" s="80"/>
      <c r="AT565" s="80" t="str">
        <f>IFERROR(__xludf.DUMMYFUNCTION("""COMPUTED_VALUE"""),"-6.122572")</f>
        <v>-6.122572</v>
      </c>
      <c r="AU565" s="80" t="str">
        <f>IFERROR(__xludf.DUMMYFUNCTION("""COMPUTED_VALUE"""),"106.200409")</f>
        <v>106.200409</v>
      </c>
      <c r="AV565" s="80"/>
      <c r="AW565" s="80"/>
      <c r="AX565" s="80"/>
      <c r="AY565" s="80"/>
      <c r="AZ565" s="80"/>
      <c r="BA565" s="80"/>
      <c r="BB565" s="80"/>
      <c r="BC565" s="80"/>
      <c r="BD565" s="80"/>
      <c r="BE565" s="80"/>
      <c r="BF565" s="80"/>
      <c r="BG565" s="80"/>
      <c r="BH565" s="80"/>
      <c r="BI565" s="80"/>
      <c r="BJ565" s="80"/>
      <c r="BK565" s="80"/>
      <c r="BL565" s="80"/>
      <c r="BM565" s="80"/>
      <c r="BN565" s="80"/>
      <c r="BO565" s="80"/>
      <c r="BP565" s="80"/>
      <c r="BQ565" s="80"/>
      <c r="BR565" s="80"/>
      <c r="BS565" s="80"/>
      <c r="BT565" s="80"/>
      <c r="BU565" s="80"/>
      <c r="BV565" s="80"/>
      <c r="BW565" s="80"/>
      <c r="BX565" s="80" t="str">
        <f>IFERROR(__xludf.DUMMYFUNCTION("""COMPUTED_VALUE"""),"MULTIKURIR - JNT CARGO")</f>
        <v>MULTIKURIR - JNT CARGO</v>
      </c>
      <c r="BY565" s="80"/>
      <c r="BZ565" s="80"/>
      <c r="CA565" s="80"/>
      <c r="CB565" s="80"/>
      <c r="CC565" s="80"/>
      <c r="CD565" s="80"/>
      <c r="CE565" s="80"/>
      <c r="CF565" s="80"/>
      <c r="CG565" s="80"/>
      <c r="CH565" s="80"/>
      <c r="CI565" s="80"/>
      <c r="CJ565" s="80"/>
      <c r="CK565" s="2"/>
    </row>
    <row r="566" ht="12.75" customHeight="1">
      <c r="A566" s="85">
        <f>IFERROR(__xludf.DUMMYFUNCTION("""COMPUTED_VALUE"""),563.0)</f>
        <v>563</v>
      </c>
      <c r="B566" s="85"/>
      <c r="C566" s="85"/>
      <c r="D566" s="86">
        <f>IFERROR(__xludf.DUMMYFUNCTION("""COMPUTED_VALUE"""),45853.0)</f>
        <v>45853</v>
      </c>
      <c r="E566" s="88"/>
      <c r="F566" s="85"/>
      <c r="G566" s="86">
        <f>IFERROR(__xludf.DUMMYFUNCTION("""COMPUTED_VALUE"""),45867.0)</f>
        <v>45867</v>
      </c>
      <c r="H566" s="85"/>
      <c r="I566" s="85"/>
      <c r="J566" s="85"/>
      <c r="K566" s="85"/>
      <c r="L566" s="85">
        <f>IFERROR(__xludf.DUMMYFUNCTION("""COMPUTED_VALUE"""),14.0)</f>
        <v>14</v>
      </c>
      <c r="M566" s="85" t="str">
        <f>IFERROR(__xludf.DUMMYFUNCTION("""COMPUTED_VALUE"""),"ü")</f>
        <v>ü</v>
      </c>
      <c r="N566" s="85"/>
      <c r="O566" s="85"/>
      <c r="P566" s="85" t="str">
        <f>IFERROR(__xludf.DUMMYFUNCTION("""COMPUTED_VALUE"""),"MUCSPA63192PSIND")</f>
        <v>MUCSPA63192PSIND</v>
      </c>
      <c r="Q566" s="85" t="str">
        <f>IFERROR(__xludf.DUMMYFUNCTION("""COMPUTED_VALUE"""),"MUC TOKO ALIF")</f>
        <v>MUC TOKO ALIF</v>
      </c>
      <c r="R566" s="85" t="str">
        <f>IFERROR(__xludf.DUMMYFUNCTION("""COMPUTED_VALUE"""),"MUC TOKO ALIF")</f>
        <v>MUC TOKO ALIF</v>
      </c>
      <c r="S566" s="85" t="str">
        <f>IFERROR(__xludf.DUMMYFUNCTION("""COMPUTED_VALUE"""),"LUCKE PRISMADIA KUSUMA")</f>
        <v>LUCKE PRISMADIA KUSUMA</v>
      </c>
      <c r="T566" s="85" t="str">
        <f>IFERROR(__xludf.DUMMYFUNCTION("""COMPUTED_VALUE"""),"KRAJAN RT 006 RW 006")</f>
        <v>KRAJAN RT 006 RW 006</v>
      </c>
      <c r="U566" s="85" t="str">
        <f>IFERROR(__xludf.DUMMYFUNCTION("""COMPUTED_VALUE"""),"DUSUN KRAJAN RT 006 RW 006")</f>
        <v>DUSUN KRAJAN RT 006 RW 006</v>
      </c>
      <c r="V566" s="85"/>
      <c r="W566" s="85" t="str">
        <f>IFERROR(__xludf.DUMMYFUNCTION("""COMPUTED_VALUE"""),"KRASAK")</f>
        <v>KRASAK</v>
      </c>
      <c r="X566" s="85" t="str">
        <f>IFERROR(__xludf.DUMMYFUNCTION("""COMPUTED_VALUE"""),"SALAMAN")</f>
        <v>SALAMAN</v>
      </c>
      <c r="Y566" s="85" t="str">
        <f>IFERROR(__xludf.DUMMYFUNCTION("""COMPUTED_VALUE"""),"KAB. MAGELANG")</f>
        <v>KAB. MAGELANG</v>
      </c>
      <c r="Z566" s="85" t="str">
        <f>IFERROR(__xludf.DUMMYFUNCTION("""COMPUTED_VALUE"""),"JAWA TENGAH")</f>
        <v>JAWA TENGAH</v>
      </c>
      <c r="AA566" s="85" t="str">
        <f>IFERROR(__xludf.DUMMYFUNCTION("""COMPUTED_VALUE"""),"56162")</f>
        <v>56162</v>
      </c>
      <c r="AB566" s="85" t="str">
        <f>IFERROR(__xludf.DUMMYFUNCTION("""COMPUTED_VALUE"""),"3308080404910002")</f>
        <v>3308080404910002</v>
      </c>
      <c r="AC566" s="85" t="str">
        <f>IFERROR(__xludf.DUMMYFUNCTION("""COMPUTED_VALUE"""),"71.866.627.4-524.000")</f>
        <v>71.866.627.4-524.000</v>
      </c>
      <c r="AD566" s="85" t="str">
        <f>IFERROR(__xludf.DUMMYFUNCTION("""COMPUTED_VALUE"""),"CUM - PS - AMIA")</f>
        <v>CUM - PS - AMIA</v>
      </c>
      <c r="AE566" s="85" t="str">
        <f>IFERROR(__xludf.DUMMYFUNCTION("""COMPUTED_VALUE"""),"SUB AMILDA POS")</f>
        <v>SUB AMILDA POS</v>
      </c>
      <c r="AF566" s="85" t="str">
        <f>IFERROR(__xludf.DUMMYFUNCTION("""COMPUTED_VALUE"""),"082140048484")</f>
        <v>082140048484</v>
      </c>
      <c r="AG566" s="85"/>
      <c r="AH566" s="85" t="str">
        <f>IFERROR(__xludf.DUMMYFUNCTION("""COMPUTED_VALUE"""),"tokoalifsalaman@gmail.com")</f>
        <v>tokoalifsalaman@gmail.com</v>
      </c>
      <c r="AI566" s="85" t="str">
        <f>IFERROR(__xludf.DUMMYFUNCTION("""COMPUTED_VALUE"""),"56562S6")</f>
        <v>56562S6</v>
      </c>
      <c r="AJ566" s="85" t="str">
        <f>IFERROR(__xludf.DUMMYFUNCTION("""COMPUTED_VALUE"""),"6884524a36e280e06804a6fa")</f>
        <v>6884524a36e280e06804a6fa</v>
      </c>
      <c r="AK566" s="85" t="str">
        <f>IFERROR(__xludf.DUMMYFUNCTION("""COMPUTED_VALUE"""),"dm56562s6")</f>
        <v>dm56562s6</v>
      </c>
      <c r="AL566" s="85" t="str">
        <f>IFERROR(__xludf.DUMMYFUNCTION("""COMPUTED_VALUE"""),"#56562Pos")</f>
        <v>#56562Pos</v>
      </c>
      <c r="AM566" s="85" t="str">
        <f>IFERROR(__xludf.DUMMYFUNCTION("""COMPUTED_VALUE"""),"KANTOR REGIONAL IV SEMARANG 50004")</f>
        <v>KANTOR REGIONAL IV SEMARANG 50004</v>
      </c>
      <c r="AN566" s="85" t="str">
        <f>IFERROR(__xludf.DUMMYFUNCTION("""COMPUTED_VALUE"""),"KC MAGELANG 56100")</f>
        <v>KC MAGELANG 56100</v>
      </c>
      <c r="AO566" s="85" t="str">
        <f>IFERROR(__xludf.DUMMYFUNCTION("""COMPUTED_VALUE"""),"9120005550285")</f>
        <v>9120005550285</v>
      </c>
      <c r="AP566" s="85" t="str">
        <f>IFERROR(__xludf.DUMMYFUNCTION("""COMPUTED_VALUE"""),"91200055502850002")</f>
        <v>91200055502850002</v>
      </c>
      <c r="AQ566" s="93"/>
      <c r="AR566" s="85"/>
      <c r="AS566" s="85"/>
      <c r="AT566" s="85" t="str">
        <f>IFERROR(__xludf.DUMMYFUNCTION("""COMPUTED_VALUE"""),"-7.561934")</f>
        <v>-7.561934</v>
      </c>
      <c r="AU566" s="85" t="str">
        <f>IFERROR(__xludf.DUMMYFUNCTION("""COMPUTED_VALUE"""),"110.107671")</f>
        <v>110.107671</v>
      </c>
      <c r="AV566" s="85"/>
      <c r="AW566" s="85"/>
      <c r="AX566" s="85"/>
      <c r="AY566" s="85"/>
      <c r="AZ566" s="85"/>
      <c r="BA566" s="85"/>
      <c r="BB566" s="85"/>
      <c r="BC566" s="85"/>
      <c r="BD566" s="85"/>
      <c r="BE566" s="85"/>
      <c r="BF566" s="85"/>
      <c r="BG566" s="85"/>
      <c r="BH566" s="85"/>
      <c r="BI566" s="85"/>
      <c r="BJ566" s="85"/>
      <c r="BK566" s="85"/>
      <c r="BL566" s="85"/>
      <c r="BM566" s="85"/>
      <c r="BN566" s="85"/>
      <c r="BO566" s="85"/>
      <c r="BP566" s="85"/>
      <c r="BQ566" s="85"/>
      <c r="BR566" s="85"/>
      <c r="BS566" s="85"/>
      <c r="BT566" s="85"/>
      <c r="BU566" s="85"/>
      <c r="BV566" s="85"/>
      <c r="BW566" s="85"/>
      <c r="BX566" s="85" t="str">
        <f>IFERROR(__xludf.DUMMYFUNCTION("""COMPUTED_VALUE"""),"SRC")</f>
        <v>SRC</v>
      </c>
      <c r="BY566" s="85"/>
      <c r="BZ566" s="85"/>
      <c r="CA566" s="85"/>
      <c r="CB566" s="85"/>
      <c r="CC566" s="85"/>
      <c r="CD566" s="85"/>
      <c r="CE566" s="85"/>
      <c r="CF566" s="85"/>
      <c r="CG566" s="85"/>
      <c r="CH566" s="85"/>
      <c r="CI566" s="85"/>
      <c r="CJ566" s="85"/>
      <c r="CK566" s="2"/>
    </row>
    <row r="567" ht="12.75" customHeight="1">
      <c r="A567" s="80">
        <f>IFERROR(__xludf.DUMMYFUNCTION("""COMPUTED_VALUE"""),564.0)</f>
        <v>564</v>
      </c>
      <c r="B567" s="80"/>
      <c r="C567" s="80"/>
      <c r="D567" s="81">
        <f>IFERROR(__xludf.DUMMYFUNCTION("""COMPUTED_VALUE"""),45853.0)</f>
        <v>45853</v>
      </c>
      <c r="E567" s="82"/>
      <c r="F567" s="80"/>
      <c r="G567" s="81"/>
      <c r="H567" s="80"/>
      <c r="I567" s="80"/>
      <c r="J567" s="80"/>
      <c r="K567" s="80"/>
      <c r="L567" s="80"/>
      <c r="M567" s="80"/>
      <c r="N567" s="80" t="str">
        <f>IFERROR(__xludf.DUMMYFUNCTION("""COMPUTED_VALUE"""),"ü")</f>
        <v>ü</v>
      </c>
      <c r="O567" s="80"/>
      <c r="P567" s="80" t="str">
        <f>IFERROR(__xludf.DUMMYFUNCTION("""COMPUTED_VALUE"""),"MUCSPA63194PSIND")</f>
        <v>MUCSPA63194PSIND</v>
      </c>
      <c r="Q567" s="80" t="str">
        <f>IFERROR(__xludf.DUMMYFUNCTION("""COMPUTED_VALUE"""),"MUC KDMP KEDUNGWARINGIN")</f>
        <v>MUC KDMP KEDUNGWARINGIN</v>
      </c>
      <c r="R567" s="80" t="str">
        <f>IFERROR(__xludf.DUMMYFUNCTION("""COMPUTED_VALUE"""),"MUC KDMP KEDUNGWARINGIN")</f>
        <v>MUC KDMP KEDUNGWARINGIN</v>
      </c>
      <c r="S567" s="80" t="str">
        <f>IFERROR(__xludf.DUMMYFUNCTION("""COMPUTED_VALUE"""),"TRI WURYANTORO")</f>
        <v>TRI WURYANTORO</v>
      </c>
      <c r="T567" s="80" t="str">
        <f>IFERROR(__xludf.DUMMYFUNCTION("""COMPUTED_VALUE"""),"PERUM KEDUNG WARINGIN BLOK.A3 NO.12 RT.023 RW.004 KEDUNGWARINGIN, KEDUNGWARINGIN, KAB. BEKASI JAWA BARAT")</f>
        <v>PERUM KEDUNG WARINGIN BLOK.A3 NO.12 RT.023 RW.004 KEDUNGWARINGIN, KEDUNGWARINGIN, KAB. BEKASI JAWA BARAT</v>
      </c>
      <c r="U567" s="80" t="str">
        <f>IFERROR(__xludf.DUMMYFUNCTION("""COMPUTED_VALUE"""),"Jalan Raya Kedunggede")</f>
        <v>Jalan Raya Kedunggede</v>
      </c>
      <c r="V567" s="80"/>
      <c r="W567" s="80" t="str">
        <f>IFERROR(__xludf.DUMMYFUNCTION("""COMPUTED_VALUE"""),"Kedungwaringin")</f>
        <v>Kedungwaringin</v>
      </c>
      <c r="X567" s="80" t="str">
        <f>IFERROR(__xludf.DUMMYFUNCTION("""COMPUTED_VALUE"""),"Kedung Waringin")</f>
        <v>Kedung Waringin</v>
      </c>
      <c r="Y567" s="80" t="str">
        <f>IFERROR(__xludf.DUMMYFUNCTION("""COMPUTED_VALUE"""),"Kab. Bekasi")</f>
        <v>Kab. Bekasi</v>
      </c>
      <c r="Z567" s="80" t="str">
        <f>IFERROR(__xludf.DUMMYFUNCTION("""COMPUTED_VALUE"""),"Jawa Barat")</f>
        <v>Jawa Barat</v>
      </c>
      <c r="AA567" s="80" t="str">
        <f>IFERROR(__xludf.DUMMYFUNCTION("""COMPUTED_VALUE"""),"17540")</f>
        <v>17540</v>
      </c>
      <c r="AB567" s="80" t="str">
        <f>IFERROR(__xludf.DUMMYFUNCTION("""COMPUTED_VALUE"""),"3216122912710001")</f>
        <v>3216122912710001</v>
      </c>
      <c r="AC567" s="80" t="str">
        <f>IFERROR(__xludf.DUMMYFUNCTION("""COMPUTED_VALUE"""),"1000 0000 0299 4986")</f>
        <v>1000 0000 0299 4986</v>
      </c>
      <c r="AD567" s="80" t="str">
        <f>IFERROR(__xludf.DUMMYFUNCTION("""COMPUTED_VALUE"""),"CUM - PS - JMN")</f>
        <v>CUM - PS - JMN</v>
      </c>
      <c r="AE567" s="80" t="str">
        <f>IFERROR(__xludf.DUMMYFUNCTION("""COMPUTED_VALUE"""),"SUB JAMJAM POS")</f>
        <v>SUB JAMJAM POS</v>
      </c>
      <c r="AF567" s="80" t="str">
        <f>IFERROR(__xludf.DUMMYFUNCTION("""COMPUTED_VALUE"""),"081286884626")</f>
        <v>081286884626</v>
      </c>
      <c r="AG567" s="80"/>
      <c r="AH567" s="80" t="str">
        <f>IFERROR(__xludf.DUMMYFUNCTION("""COMPUTED_VALUE"""),"kedungwaringin.kmp@gmail.com")</f>
        <v>kedungwaringin.kmp@gmail.com</v>
      </c>
      <c r="AI567" s="80" t="str">
        <f>IFERROR(__xludf.DUMMYFUNCTION("""COMPUTED_VALUE"""),"17541S2")</f>
        <v>17541S2</v>
      </c>
      <c r="AJ567" s="80" t="str">
        <f>IFERROR(__xludf.DUMMYFUNCTION("""COMPUTED_VALUE"""),"687a0186b0a9a66ea205e3b1")</f>
        <v>687a0186b0a9a66ea205e3b1</v>
      </c>
      <c r="AK567" s="80" t="str">
        <f>IFERROR(__xludf.DUMMYFUNCTION("""COMPUTED_VALUE"""),"dm17541s2")</f>
        <v>dm17541s2</v>
      </c>
      <c r="AL567" s="80" t="str">
        <f>IFERROR(__xludf.DUMMYFUNCTION("""COMPUTED_VALUE"""),"#17541Pos")</f>
        <v>#17541Pos</v>
      </c>
      <c r="AM567" s="80" t="str">
        <f>IFERROR(__xludf.DUMMYFUNCTION("""COMPUTED_VALUE"""),"KANTOR REGIONAL II JAKARTA 10004")</f>
        <v>KANTOR REGIONAL II JAKARTA 10004</v>
      </c>
      <c r="AN567" s="80" t="str">
        <f>IFERROR(__xludf.DUMMYFUNCTION("""COMPUTED_VALUE"""),"KC CIKARANG 17500")</f>
        <v>KC CIKARANG 17500</v>
      </c>
      <c r="AO567" s="80" t="str">
        <f>IFERROR(__xludf.DUMMYFUNCTION("""COMPUTED_VALUE"""),"1606250096591")</f>
        <v>1606250096591</v>
      </c>
      <c r="AP567" s="80" t="str">
        <f>IFERROR(__xludf.DUMMYFUNCTION("""COMPUTED_VALUE"""),"16062500965910002")</f>
        <v>16062500965910002</v>
      </c>
      <c r="AQ567" s="83"/>
      <c r="AR567" s="80"/>
      <c r="AS567" s="80"/>
      <c r="AT567" s="80" t="str">
        <f>IFERROR(__xludf.DUMMYFUNCTION("""COMPUTED_VALUE"""),"-6.265929")</f>
        <v>-6.265929</v>
      </c>
      <c r="AU567" s="80" t="str">
        <f>IFERROR(__xludf.DUMMYFUNCTION("""COMPUTED_VALUE"""),"107.273033")</f>
        <v>107.273033</v>
      </c>
      <c r="AV567" s="80"/>
      <c r="AW567" s="80"/>
      <c r="AX567" s="80"/>
      <c r="AY567" s="80"/>
      <c r="AZ567" s="80"/>
      <c r="BA567" s="80"/>
      <c r="BB567" s="80"/>
      <c r="BC567" s="80"/>
      <c r="BD567" s="80"/>
      <c r="BE567" s="80"/>
      <c r="BF567" s="80"/>
      <c r="BG567" s="80"/>
      <c r="BH567" s="80"/>
      <c r="BI567" s="80"/>
      <c r="BJ567" s="80"/>
      <c r="BK567" s="80"/>
      <c r="BL567" s="80"/>
      <c r="BM567" s="80"/>
      <c r="BN567" s="80"/>
      <c r="BO567" s="80"/>
      <c r="BP567" s="80"/>
      <c r="BQ567" s="80"/>
      <c r="BR567" s="80"/>
      <c r="BS567" s="80"/>
      <c r="BT567" s="80"/>
      <c r="BU567" s="80"/>
      <c r="BV567" s="80"/>
      <c r="BW567" s="80"/>
      <c r="BX567" s="80" t="str">
        <f>IFERROR(__xludf.DUMMYFUNCTION("""COMPUTED_VALUE"""),"KDMP")</f>
        <v>KDMP</v>
      </c>
      <c r="BY567" s="80"/>
      <c r="BZ567" s="80"/>
      <c r="CA567" s="80"/>
      <c r="CB567" s="80"/>
      <c r="CC567" s="80"/>
      <c r="CD567" s="80"/>
      <c r="CE567" s="80"/>
      <c r="CF567" s="80"/>
      <c r="CG567" s="80"/>
      <c r="CH567" s="80"/>
      <c r="CI567" s="80"/>
      <c r="CJ567" s="80"/>
      <c r="CK567" s="2"/>
    </row>
    <row r="568" ht="12.75" customHeight="1">
      <c r="A568" s="85">
        <f>IFERROR(__xludf.DUMMYFUNCTION("""COMPUTED_VALUE"""),565.0)</f>
        <v>565</v>
      </c>
      <c r="B568" s="85"/>
      <c r="C568" s="85"/>
      <c r="D568" s="86">
        <f>IFERROR(__xludf.DUMMYFUNCTION("""COMPUTED_VALUE"""),45854.0)</f>
        <v>45854</v>
      </c>
      <c r="E568" s="88"/>
      <c r="F568" s="85"/>
      <c r="G568" s="86"/>
      <c r="H568" s="85"/>
      <c r="I568" s="85"/>
      <c r="J568" s="85"/>
      <c r="K568" s="85"/>
      <c r="L568" s="85"/>
      <c r="M568" s="85"/>
      <c r="N568" s="85" t="str">
        <f>IFERROR(__xludf.DUMMYFUNCTION("""COMPUTED_VALUE"""),"ü")</f>
        <v>ü</v>
      </c>
      <c r="O568" s="85"/>
      <c r="P568" s="85" t="str">
        <f>IFERROR(__xludf.DUMMYFUNCTION("""COMPUTED_VALUE"""),"MUCSPA63195PSIND")</f>
        <v>MUCSPA63195PSIND</v>
      </c>
      <c r="Q568" s="85" t="str">
        <f>IFERROR(__xludf.DUMMYFUNCTION("""COMPUTED_VALUE"""),"MUC KKMP KOTABUMI CILEGON")</f>
        <v>MUC KKMP KOTABUMI CILEGON</v>
      </c>
      <c r="R568" s="85" t="str">
        <f>IFERROR(__xludf.DUMMYFUNCTION("""COMPUTED_VALUE"""),"MUC KKMP KOTABUMI CILEGON")</f>
        <v>MUC KKMP KOTABUMI CILEGON</v>
      </c>
      <c r="S568" s="85" t="str">
        <f>IFERROR(__xludf.DUMMYFUNCTION("""COMPUTED_VALUE"""),"SITI ROHMAH")</f>
        <v>SITI ROHMAH</v>
      </c>
      <c r="T568" s="85" t="str">
        <f>IFERROR(__xludf.DUMMYFUNCTION("""COMPUTED_VALUE"""),"LINK. LEUWEUNGSAWO RT 2 RW 9 KOTABUMI PURWAKARTA CILEGON")</f>
        <v>LINK. LEUWEUNGSAWO RT 2 RW 9 KOTABUMI PURWAKARTA CILEGON</v>
      </c>
      <c r="U568" s="85" t="str">
        <f>IFERROR(__xludf.DUMMYFUNCTION("""COMPUTED_VALUE"""),"JL. TEGAL PADANG NO.1")</f>
        <v>JL. TEGAL PADANG NO.1</v>
      </c>
      <c r="V568" s="85"/>
      <c r="W568" s="85" t="str">
        <f>IFERROR(__xludf.DUMMYFUNCTION("""COMPUTED_VALUE"""),"KOTABUMI")</f>
        <v>KOTABUMI</v>
      </c>
      <c r="X568" s="85" t="str">
        <f>IFERROR(__xludf.DUMMYFUNCTION("""COMPUTED_VALUE"""),"PURWAKARTA")</f>
        <v>PURWAKARTA</v>
      </c>
      <c r="Y568" s="85" t="str">
        <f>IFERROR(__xludf.DUMMYFUNCTION("""COMPUTED_VALUE"""),"CILEGON")</f>
        <v>CILEGON</v>
      </c>
      <c r="Z568" s="85" t="str">
        <f>IFERROR(__xludf.DUMMYFUNCTION("""COMPUTED_VALUE"""),"BANTEN")</f>
        <v>BANTEN</v>
      </c>
      <c r="AA568" s="85" t="str">
        <f>IFERROR(__xludf.DUMMYFUNCTION("""COMPUTED_VALUE"""),"42442")</f>
        <v>42442</v>
      </c>
      <c r="AB568" s="85" t="str">
        <f>IFERROR(__xludf.DUMMYFUNCTION("""COMPUTED_VALUE"""),"3672076601850001")</f>
        <v>3672076601850001</v>
      </c>
      <c r="AC568" s="85" t="str">
        <f>IFERROR(__xludf.DUMMYFUNCTION("""COMPUTED_VALUE"""),"1000 0000 0321 9929")</f>
        <v>1000 0000 0321 9929</v>
      </c>
      <c r="AD568" s="85" t="str">
        <f>IFERROR(__xludf.DUMMYFUNCTION("""COMPUTED_VALUE"""),"CUM - PS - AFS")</f>
        <v>CUM - PS - AFS</v>
      </c>
      <c r="AE568" s="85" t="str">
        <f>IFERROR(__xludf.DUMMYFUNCTION("""COMPUTED_VALUE"""),"SUB FARIS POS")</f>
        <v>SUB FARIS POS</v>
      </c>
      <c r="AF568" s="85" t="str">
        <f>IFERROR(__xludf.DUMMYFUNCTION("""COMPUTED_VALUE"""),"087771818612")</f>
        <v>087771818612</v>
      </c>
      <c r="AG568" s="85"/>
      <c r="AH568" s="85" t="str">
        <f>IFERROR(__xludf.DUMMYFUNCTION("""COMPUTED_VALUE"""),"kkmpkotabumicilegon@gmail.com")</f>
        <v>kkmpkotabumicilegon@gmail.com</v>
      </c>
      <c r="AI568" s="85" t="str">
        <f>IFERROR(__xludf.DUMMYFUNCTION("""COMPUTED_VALUE"""),"42434S2")</f>
        <v>42434S2</v>
      </c>
      <c r="AJ568" s="85" t="str">
        <f>IFERROR(__xludf.DUMMYFUNCTION("""COMPUTED_VALUE"""),"68774c42cd12118ccd006481")</f>
        <v>68774c42cd12118ccd006481</v>
      </c>
      <c r="AK568" s="85" t="str">
        <f>IFERROR(__xludf.DUMMYFUNCTION("""COMPUTED_VALUE"""),"dm42434s2")</f>
        <v>dm42434s2</v>
      </c>
      <c r="AL568" s="85" t="str">
        <f>IFERROR(__xludf.DUMMYFUNCTION("""COMPUTED_VALUE"""),"#42434Pos")</f>
        <v>#42434Pos</v>
      </c>
      <c r="AM568" s="85" t="str">
        <f>IFERROR(__xludf.DUMMYFUNCTION("""COMPUTED_VALUE"""),"KANTOR REGIONAL II JAKARTA 10004")</f>
        <v>KANTOR REGIONAL II JAKARTA 10004</v>
      </c>
      <c r="AN568" s="85" t="str">
        <f>IFERROR(__xludf.DUMMYFUNCTION("""COMPUTED_VALUE"""),"KC CILEGON 42400")</f>
        <v>KC CILEGON 42400</v>
      </c>
      <c r="AO568" s="85" t="str">
        <f>IFERROR(__xludf.DUMMYFUNCTION("""COMPUTED_VALUE"""),"2006250092824")</f>
        <v>2006250092824</v>
      </c>
      <c r="AP568" s="85" t="str">
        <f>IFERROR(__xludf.DUMMYFUNCTION("""COMPUTED_VALUE"""),"20062500928240001")</f>
        <v>20062500928240001</v>
      </c>
      <c r="AQ568" s="93"/>
      <c r="AR568" s="85"/>
      <c r="AS568" s="85"/>
      <c r="AT568" s="85" t="str">
        <f>IFERROR(__xludf.DUMMYFUNCTION("""COMPUTED_VALUE"""),"-5.9914097")</f>
        <v>-5.9914097</v>
      </c>
      <c r="AU568" s="85" t="str">
        <f>IFERROR(__xludf.DUMMYFUNCTION("""COMPUTED_VALUE"""),"106.048161")</f>
        <v>106.048161</v>
      </c>
      <c r="AV568" s="85"/>
      <c r="AW568" s="85"/>
      <c r="AX568" s="85"/>
      <c r="AY568" s="85"/>
      <c r="AZ568" s="85"/>
      <c r="BA568" s="85"/>
      <c r="BB568" s="85"/>
      <c r="BC568" s="85"/>
      <c r="BD568" s="85"/>
      <c r="BE568" s="85"/>
      <c r="BF568" s="85"/>
      <c r="BG568" s="85"/>
      <c r="BH568" s="85"/>
      <c r="BI568" s="85"/>
      <c r="BJ568" s="85"/>
      <c r="BK568" s="85"/>
      <c r="BL568" s="85"/>
      <c r="BM568" s="85"/>
      <c r="BN568" s="85"/>
      <c r="BO568" s="85"/>
      <c r="BP568" s="85"/>
      <c r="BQ568" s="85"/>
      <c r="BR568" s="85"/>
      <c r="BS568" s="85"/>
      <c r="BT568" s="85"/>
      <c r="BU568" s="85"/>
      <c r="BV568" s="85"/>
      <c r="BW568" s="85"/>
      <c r="BX568" s="85" t="str">
        <f>IFERROR(__xludf.DUMMYFUNCTION("""COMPUTED_VALUE"""),"KKMP")</f>
        <v>KKMP</v>
      </c>
      <c r="BY568" s="85"/>
      <c r="BZ568" s="85"/>
      <c r="CA568" s="85"/>
      <c r="CB568" s="85"/>
      <c r="CC568" s="85"/>
      <c r="CD568" s="85"/>
      <c r="CE568" s="85"/>
      <c r="CF568" s="85"/>
      <c r="CG568" s="85"/>
      <c r="CH568" s="85"/>
      <c r="CI568" s="85"/>
      <c r="CJ568" s="85"/>
      <c r="CK568" s="2"/>
    </row>
    <row r="569" ht="12.75" customHeight="1">
      <c r="A569" s="80">
        <f>IFERROR(__xludf.DUMMYFUNCTION("""COMPUTED_VALUE"""),566.0)</f>
        <v>566</v>
      </c>
      <c r="B569" s="80"/>
      <c r="C569" s="80"/>
      <c r="D569" s="81">
        <f>IFERROR(__xludf.DUMMYFUNCTION("""COMPUTED_VALUE"""),45854.0)</f>
        <v>45854</v>
      </c>
      <c r="E569" s="82"/>
      <c r="F569" s="80"/>
      <c r="G569" s="81">
        <f>IFERROR(__xludf.DUMMYFUNCTION("""COMPUTED_VALUE"""),45867.0)</f>
        <v>45867</v>
      </c>
      <c r="H569" s="80"/>
      <c r="I569" s="80"/>
      <c r="J569" s="80"/>
      <c r="K569" s="80"/>
      <c r="L569" s="80">
        <f>IFERROR(__xludf.DUMMYFUNCTION("""COMPUTED_VALUE"""),13.0)</f>
        <v>13</v>
      </c>
      <c r="M569" s="80" t="str">
        <f>IFERROR(__xludf.DUMMYFUNCTION("""COMPUTED_VALUE"""),"ü")</f>
        <v>ü</v>
      </c>
      <c r="N569" s="80"/>
      <c r="O569" s="80"/>
      <c r="P569" s="80" t="str">
        <f>IFERROR(__xludf.DUMMYFUNCTION("""COMPUTED_VALUE"""),"MUCSPA63196PSIND")</f>
        <v>MUCSPA63196PSIND</v>
      </c>
      <c r="Q569" s="80" t="str">
        <f>IFERROR(__xludf.DUMMYFUNCTION("""COMPUTED_VALUE"""),"MUC SAKA TIGA")</f>
        <v>MUC SAKA TIGA</v>
      </c>
      <c r="R569" s="80" t="str">
        <f>IFERROR(__xludf.DUMMYFUNCTION("""COMPUTED_VALUE"""),"MUC SAKA TIGA")</f>
        <v>MUC SAKA TIGA</v>
      </c>
      <c r="S569" s="80" t="str">
        <f>IFERROR(__xludf.DUMMYFUNCTION("""COMPUTED_VALUE"""),"LUTHFYARDI ERICK RAHMAWAN")</f>
        <v>LUTHFYARDI ERICK RAHMAWAN</v>
      </c>
      <c r="T569" s="80" t="str">
        <f>IFERROR(__xludf.DUMMYFUNCTION("""COMPUTED_VALUE"""),"JL. MURIA NO. 42 ARGAJAYA KALINEGORO")</f>
        <v>JL. MURIA NO. 42 ARGAJAYA KALINEGORO</v>
      </c>
      <c r="U569" s="80" t="str">
        <f>IFERROR(__xludf.DUMMYFUNCTION("""COMPUTED_VALUE"""),"JL. MAYOR UNUS NO. 51")</f>
        <v>JL. MAYOR UNUS NO. 51</v>
      </c>
      <c r="V569" s="80"/>
      <c r="W569" s="80" t="str">
        <f>IFERROR(__xludf.DUMMYFUNCTION("""COMPUTED_VALUE"""),"KALINEGORO")</f>
        <v>KALINEGORO</v>
      </c>
      <c r="X569" s="80" t="str">
        <f>IFERROR(__xludf.DUMMYFUNCTION("""COMPUTED_VALUE"""),"MERTOYUDAN ")</f>
        <v>MERTOYUDAN </v>
      </c>
      <c r="Y569" s="80" t="str">
        <f>IFERROR(__xludf.DUMMYFUNCTION("""COMPUTED_VALUE"""),"MAGELANG ")</f>
        <v>MAGELANG </v>
      </c>
      <c r="Z569" s="80" t="str">
        <f>IFERROR(__xludf.DUMMYFUNCTION("""COMPUTED_VALUE"""),"JAWA TENGAH ")</f>
        <v>JAWA TENGAH </v>
      </c>
      <c r="AA569" s="80" t="str">
        <f>IFERROR(__xludf.DUMMYFUNCTION("""COMPUTED_VALUE"""),"56172")</f>
        <v>56172</v>
      </c>
      <c r="AB569" s="80" t="str">
        <f>IFERROR(__xludf.DUMMYFUNCTION("""COMPUTED_VALUE"""),"3308101301860003")</f>
        <v>3308101301860003</v>
      </c>
      <c r="AC569" s="80" t="str">
        <f>IFERROR(__xludf.DUMMYFUNCTION("""COMPUTED_VALUE"""),"35.165.526.1-524.000")</f>
        <v>35.165.526.1-524.000</v>
      </c>
      <c r="AD569" s="80" t="str">
        <f>IFERROR(__xludf.DUMMYFUNCTION("""COMPUTED_VALUE"""),"CUM - PS - AMIA")</f>
        <v>CUM - PS - AMIA</v>
      </c>
      <c r="AE569" s="80" t="str">
        <f>IFERROR(__xludf.DUMMYFUNCTION("""COMPUTED_VALUE"""),"SUB AMILDA POS")</f>
        <v>SUB AMILDA POS</v>
      </c>
      <c r="AF569" s="80" t="str">
        <f>IFERROR(__xludf.DUMMYFUNCTION("""COMPUTED_VALUE"""),"0816935866")</f>
        <v>0816935866</v>
      </c>
      <c r="AG569" s="80"/>
      <c r="AH569" s="80" t="str">
        <f>IFERROR(__xludf.DUMMYFUNCTION("""COMPUTED_VALUE"""),"superic13@gmail.com")</f>
        <v>superic13@gmail.com</v>
      </c>
      <c r="AI569" s="80" t="str">
        <f>IFERROR(__xludf.DUMMYFUNCTION("""COMPUTED_VALUE"""),"56572SE")</f>
        <v>56572SE</v>
      </c>
      <c r="AJ569" s="80" t="str">
        <f>IFERROR(__xludf.DUMMYFUNCTION("""COMPUTED_VALUE"""),"6885a9e89495c71dce0cbbb3")</f>
        <v>6885a9e89495c71dce0cbbb3</v>
      </c>
      <c r="AK569" s="80" t="str">
        <f>IFERROR(__xludf.DUMMYFUNCTION("""COMPUTED_VALUE"""),"dm56572se")</f>
        <v>dm56572se</v>
      </c>
      <c r="AL569" s="80" t="str">
        <f>IFERROR(__xludf.DUMMYFUNCTION("""COMPUTED_VALUE"""),"#56572Pos")</f>
        <v>#56572Pos</v>
      </c>
      <c r="AM569" s="80" t="str">
        <f>IFERROR(__xludf.DUMMYFUNCTION("""COMPUTED_VALUE"""),"KANTOR REGIONAL IV SEMARANG 50004")</f>
        <v>KANTOR REGIONAL IV SEMARANG 50004</v>
      </c>
      <c r="AN569" s="80" t="str">
        <f>IFERROR(__xludf.DUMMYFUNCTION("""COMPUTED_VALUE"""),"KC MAGELANG 56100")</f>
        <v>KC MAGELANG 56100</v>
      </c>
      <c r="AO569" s="80" t="str">
        <f>IFERROR(__xludf.DUMMYFUNCTION("""COMPUTED_VALUE"""),"1607250076046")</f>
        <v>1607250076046</v>
      </c>
      <c r="AP569" s="80" t="str">
        <f>IFERROR(__xludf.DUMMYFUNCTION("""COMPUTED_VALUE"""),"16072500760460001")</f>
        <v>16072500760460001</v>
      </c>
      <c r="AQ569" s="83"/>
      <c r="AR569" s="80"/>
      <c r="AS569" s="80"/>
      <c r="AT569" s="80" t="str">
        <f>IFERROR(__xludf.DUMMYFUNCTION("""COMPUTED_VALUE"""),"-7.5560585")</f>
        <v>-7.5560585</v>
      </c>
      <c r="AU569" s="80" t="str">
        <f>IFERROR(__xludf.DUMMYFUNCTION("""COMPUTED_VALUE"""),"110.1965354")</f>
        <v>110.1965354</v>
      </c>
      <c r="AV569" s="80"/>
      <c r="AW569" s="80"/>
      <c r="AX569" s="80"/>
      <c r="AY569" s="80"/>
      <c r="AZ569" s="80"/>
      <c r="BA569" s="80"/>
      <c r="BB569" s="80"/>
      <c r="BC569" s="80"/>
      <c r="BD569" s="80"/>
      <c r="BE569" s="80"/>
      <c r="BF569" s="80"/>
      <c r="BG569" s="80"/>
      <c r="BH569" s="80"/>
      <c r="BI569" s="80"/>
      <c r="BJ569" s="80"/>
      <c r="BK569" s="80"/>
      <c r="BL569" s="80"/>
      <c r="BM569" s="80"/>
      <c r="BN569" s="80"/>
      <c r="BO569" s="80"/>
      <c r="BP569" s="80"/>
      <c r="BQ569" s="80"/>
      <c r="BR569" s="80"/>
      <c r="BS569" s="80"/>
      <c r="BT569" s="80"/>
      <c r="BU569" s="80"/>
      <c r="BV569" s="80"/>
      <c r="BW569" s="80"/>
      <c r="BX569" s="80" t="str">
        <f>IFERROR(__xludf.DUMMYFUNCTION("""COMPUTED_VALUE"""),"SELLER")</f>
        <v>SELLER</v>
      </c>
      <c r="BY569" s="80"/>
      <c r="BZ569" s="80"/>
      <c r="CA569" s="80"/>
      <c r="CB569" s="80"/>
      <c r="CC569" s="80"/>
      <c r="CD569" s="80"/>
      <c r="CE569" s="80"/>
      <c r="CF569" s="80"/>
      <c r="CG569" s="80"/>
      <c r="CH569" s="80"/>
      <c r="CI569" s="80"/>
      <c r="CJ569" s="80"/>
      <c r="CK569" s="2"/>
    </row>
    <row r="570" ht="12.75" customHeight="1">
      <c r="A570" s="85">
        <f>IFERROR(__xludf.DUMMYFUNCTION("""COMPUTED_VALUE"""),567.0)</f>
        <v>567</v>
      </c>
      <c r="B570" s="85"/>
      <c r="C570" s="85"/>
      <c r="D570" s="86">
        <f>IFERROR(__xludf.DUMMYFUNCTION("""COMPUTED_VALUE"""),45854.0)</f>
        <v>45854</v>
      </c>
      <c r="E570" s="88"/>
      <c r="F570" s="85"/>
      <c r="G570" s="86"/>
      <c r="H570" s="85"/>
      <c r="I570" s="85"/>
      <c r="J570" s="85"/>
      <c r="K570" s="85"/>
      <c r="L570" s="85"/>
      <c r="M570" s="85"/>
      <c r="N570" s="85" t="str">
        <f>IFERROR(__xludf.DUMMYFUNCTION("""COMPUTED_VALUE"""),"ü")</f>
        <v>ü</v>
      </c>
      <c r="O570" s="85"/>
      <c r="P570" s="85" t="str">
        <f>IFERROR(__xludf.DUMMYFUNCTION("""COMPUTED_VALUE"""),"MUCSPA63197PSIND")</f>
        <v>MUCSPA63197PSIND</v>
      </c>
      <c r="Q570" s="85" t="str">
        <f>IFERROR(__xludf.DUMMYFUNCTION("""COMPUTED_VALUE"""),"MUC KDMP LAMBANGSARI")</f>
        <v>MUC KDMP LAMBANGSARI</v>
      </c>
      <c r="R570" s="85" t="str">
        <f>IFERROR(__xludf.DUMMYFUNCTION("""COMPUTED_VALUE"""),"MUC KDMP LAMBANGSARI")</f>
        <v>MUC KDMP LAMBANGSARI</v>
      </c>
      <c r="S570" s="85" t="str">
        <f>IFERROR(__xludf.DUMMYFUNCTION("""COMPUTED_VALUE"""),"NURYANTI")</f>
        <v>NURYANTI</v>
      </c>
      <c r="T570" s="85" t="str">
        <f>IFERROR(__xludf.DUMMYFUNCTION("""COMPUTED_VALUE"""),"KP KALIJAMBE RT.004 RW.003 LAMBANGSARI TAMBUN SELATAN KAB. BEKASI JAWA BARAT")</f>
        <v>KP KALIJAMBE RT.004 RW.003 LAMBANGSARI TAMBUN SELATAN KAB. BEKASI JAWA BARAT</v>
      </c>
      <c r="U570" s="85" t="str">
        <f>IFERROR(__xludf.DUMMYFUNCTION("""COMPUTED_VALUE"""),"Jalan Raya Mustikajaya - tambun RT.001/005")</f>
        <v>Jalan Raya Mustikajaya - tambun RT.001/005</v>
      </c>
      <c r="V570" s="85"/>
      <c r="W570" s="85" t="str">
        <f>IFERROR(__xludf.DUMMYFUNCTION("""COMPUTED_VALUE"""),"Lambangsari")</f>
        <v>Lambangsari</v>
      </c>
      <c r="X570" s="85" t="str">
        <f>IFERROR(__xludf.DUMMYFUNCTION("""COMPUTED_VALUE"""),"Tambunsari")</f>
        <v>Tambunsari</v>
      </c>
      <c r="Y570" s="85" t="str">
        <f>IFERROR(__xludf.DUMMYFUNCTION("""COMPUTED_VALUE"""),"Kab. Bekasi")</f>
        <v>Kab. Bekasi</v>
      </c>
      <c r="Z570" s="85" t="str">
        <f>IFERROR(__xludf.DUMMYFUNCTION("""COMPUTED_VALUE"""),"Jawa Barat")</f>
        <v>Jawa Barat</v>
      </c>
      <c r="AA570" s="85" t="str">
        <f>IFERROR(__xludf.DUMMYFUNCTION("""COMPUTED_VALUE"""),"17513")</f>
        <v>17513</v>
      </c>
      <c r="AB570" s="85" t="str">
        <f>IFERROR(__xludf.DUMMYFUNCTION("""COMPUTED_VALUE"""),"3216065506700090")</f>
        <v>3216065506700090</v>
      </c>
      <c r="AC570" s="85" t="str">
        <f>IFERROR(__xludf.DUMMYFUNCTION("""COMPUTED_VALUE"""),"1000 0000 0342 7259")</f>
        <v>1000 0000 0342 7259</v>
      </c>
      <c r="AD570" s="85" t="str">
        <f>IFERROR(__xludf.DUMMYFUNCTION("""COMPUTED_VALUE"""),"CUM - PS - JMN")</f>
        <v>CUM - PS - JMN</v>
      </c>
      <c r="AE570" s="85" t="str">
        <f>IFERROR(__xludf.DUMMYFUNCTION("""COMPUTED_VALUE"""),"SUB JAMJAM POS")</f>
        <v>SUB JAMJAM POS</v>
      </c>
      <c r="AF570" s="85" t="str">
        <f>IFERROR(__xludf.DUMMYFUNCTION("""COMPUTED_VALUE"""),"081310841791")</f>
        <v>081310841791</v>
      </c>
      <c r="AG570" s="85"/>
      <c r="AH570" s="85" t="str">
        <f>IFERROR(__xludf.DUMMYFUNCTION("""COMPUTED_VALUE"""),"kdmplambangsari@gmail.com")</f>
        <v>kdmplambangsari@gmail.com</v>
      </c>
      <c r="AI570" s="85" t="str">
        <f>IFERROR(__xludf.DUMMYFUNCTION("""COMPUTED_VALUE"""),"17513S1")</f>
        <v>17513S1</v>
      </c>
      <c r="AJ570" s="85" t="str">
        <f>IFERROR(__xludf.DUMMYFUNCTION("""COMPUTED_VALUE"""),"687ae995414f0fc23b094aa3")</f>
        <v>687ae995414f0fc23b094aa3</v>
      </c>
      <c r="AK570" s="85" t="str">
        <f>IFERROR(__xludf.DUMMYFUNCTION("""COMPUTED_VALUE"""),"dm17513s1")</f>
        <v>dm17513s1</v>
      </c>
      <c r="AL570" s="85" t="str">
        <f>IFERROR(__xludf.DUMMYFUNCTION("""COMPUTED_VALUE"""),"#17513Pos")</f>
        <v>#17513Pos</v>
      </c>
      <c r="AM570" s="85" t="str">
        <f>IFERROR(__xludf.DUMMYFUNCTION("""COMPUTED_VALUE"""),"KANTOR REGIONAL II JAKARTA 10004")</f>
        <v>KANTOR REGIONAL II JAKARTA 10004</v>
      </c>
      <c r="AN570" s="85" t="str">
        <f>IFERROR(__xludf.DUMMYFUNCTION("""COMPUTED_VALUE"""),"KC CIKARANG 17500")</f>
        <v>KC CIKARANG 17500</v>
      </c>
      <c r="AO570" s="85" t="str">
        <f>IFERROR(__xludf.DUMMYFUNCTION("""COMPUTED_VALUE"""),"2906250012432")</f>
        <v>2906250012432</v>
      </c>
      <c r="AP570" s="85" t="str">
        <f>IFERROR(__xludf.DUMMYFUNCTION("""COMPUTED_VALUE"""),"29062500124320002")</f>
        <v>29062500124320002</v>
      </c>
      <c r="AQ570" s="93"/>
      <c r="AR570" s="85"/>
      <c r="AS570" s="85"/>
      <c r="AT570" s="85" t="str">
        <f>IFERROR(__xludf.DUMMYFUNCTION("""COMPUTED_VALUE"""),"-6.2807146")</f>
        <v>-6.2807146</v>
      </c>
      <c r="AU570" s="85" t="str">
        <f>IFERROR(__xludf.DUMMYFUNCTION("""COMPUTED_VALUE"""),"107.0383217")</f>
        <v>107.0383217</v>
      </c>
      <c r="AV570" s="85"/>
      <c r="AW570" s="85"/>
      <c r="AX570" s="85"/>
      <c r="AY570" s="85"/>
      <c r="AZ570" s="85"/>
      <c r="BA570" s="85"/>
      <c r="BB570" s="85"/>
      <c r="BC570" s="85"/>
      <c r="BD570" s="85"/>
      <c r="BE570" s="85"/>
      <c r="BF570" s="85"/>
      <c r="BG570" s="85"/>
      <c r="BH570" s="85"/>
      <c r="BI570" s="85"/>
      <c r="BJ570" s="85"/>
      <c r="BK570" s="85"/>
      <c r="BL570" s="85"/>
      <c r="BM570" s="85"/>
      <c r="BN570" s="85"/>
      <c r="BO570" s="85"/>
      <c r="BP570" s="85"/>
      <c r="BQ570" s="85"/>
      <c r="BR570" s="85"/>
      <c r="BS570" s="85"/>
      <c r="BT570" s="85"/>
      <c r="BU570" s="85"/>
      <c r="BV570" s="85"/>
      <c r="BW570" s="85"/>
      <c r="BX570" s="85" t="str">
        <f>IFERROR(__xludf.DUMMYFUNCTION("""COMPUTED_VALUE"""),"KDMP")</f>
        <v>KDMP</v>
      </c>
      <c r="BY570" s="85"/>
      <c r="BZ570" s="85"/>
      <c r="CA570" s="85"/>
      <c r="CB570" s="85"/>
      <c r="CC570" s="85"/>
      <c r="CD570" s="85"/>
      <c r="CE570" s="85"/>
      <c r="CF570" s="85"/>
      <c r="CG570" s="85"/>
      <c r="CH570" s="85"/>
      <c r="CI570" s="85"/>
      <c r="CJ570" s="85"/>
      <c r="CK570" s="2"/>
    </row>
    <row r="571" ht="12.75" customHeight="1">
      <c r="A571" s="80">
        <f>IFERROR(__xludf.DUMMYFUNCTION("""COMPUTED_VALUE"""),568.0)</f>
        <v>568</v>
      </c>
      <c r="B571" s="80"/>
      <c r="C571" s="80"/>
      <c r="D571" s="81">
        <f>IFERROR(__xludf.DUMMYFUNCTION("""COMPUTED_VALUE"""),45856.0)</f>
        <v>45856</v>
      </c>
      <c r="E571" s="82"/>
      <c r="F571" s="80"/>
      <c r="G571" s="81">
        <f>IFERROR(__xludf.DUMMYFUNCTION("""COMPUTED_VALUE"""),45870.0)</f>
        <v>45870</v>
      </c>
      <c r="H571" s="80"/>
      <c r="I571" s="80"/>
      <c r="J571" s="80"/>
      <c r="K571" s="80"/>
      <c r="L571" s="80">
        <f>IFERROR(__xludf.DUMMYFUNCTION("""COMPUTED_VALUE"""),14.0)</f>
        <v>14</v>
      </c>
      <c r="M571" s="80" t="str">
        <f>IFERROR(__xludf.DUMMYFUNCTION("""COMPUTED_VALUE"""),"ü")</f>
        <v>ü</v>
      </c>
      <c r="N571" s="80"/>
      <c r="O571" s="80"/>
      <c r="P571" s="80" t="str">
        <f>IFERROR(__xludf.DUMMYFUNCTION("""COMPUTED_VALUE"""),"53BSPA09571JBEEN")</f>
        <v>53BSPA09571JBEEN</v>
      </c>
      <c r="Q571" s="80" t="str">
        <f>IFERROR(__xludf.DUMMYFUNCTION("""COMPUTED_VALUE"""),"MUC Natali")</f>
        <v>MUC Natali</v>
      </c>
      <c r="R571" s="80" t="str">
        <f>IFERROR(__xludf.DUMMYFUNCTION("""COMPUTED_VALUE"""),"MUC Natali")</f>
        <v>MUC Natali</v>
      </c>
      <c r="S571" s="80" t="str">
        <f>IFERROR(__xludf.DUMMYFUNCTION("""COMPUTED_VALUE"""),"NATALIA MARIA BANASE")</f>
        <v>NATALIA MARIA BANASE</v>
      </c>
      <c r="T571" s="80" t="str">
        <f>IFERROR(__xludf.DUMMYFUNCTION("""COMPUTED_VALUE"""),"KELURAHAN OEBUFU RT.031 RW.009 OEBUFU, OEBOBO KOTA KUPANG")</f>
        <v>KELURAHAN OEBUFU RT.031 RW.009 OEBUFU, OEBOBO KOTA KUPANG</v>
      </c>
      <c r="U571" s="80" t="str">
        <f>IFERROR(__xludf.DUMMYFUNCTION("""COMPUTED_VALUE"""),"Jl. Parama, Pelamunan")</f>
        <v>Jl. Parama, Pelamunan</v>
      </c>
      <c r="V571" s="80"/>
      <c r="W571" s="80" t="str">
        <f>IFERROR(__xludf.DUMMYFUNCTION("""COMPUTED_VALUE"""),"Pelamunan")</f>
        <v>Pelamunan</v>
      </c>
      <c r="X571" s="80" t="str">
        <f>IFERROR(__xludf.DUMMYFUNCTION("""COMPUTED_VALUE"""),"Kramatwatu ")</f>
        <v>Kramatwatu </v>
      </c>
      <c r="Y571" s="80" t="str">
        <f>IFERROR(__xludf.DUMMYFUNCTION("""COMPUTED_VALUE"""),"Kabupaten Serang ")</f>
        <v>Kabupaten Serang </v>
      </c>
      <c r="Z571" s="80" t="str">
        <f>IFERROR(__xludf.DUMMYFUNCTION("""COMPUTED_VALUE"""),"Banten")</f>
        <v>Banten</v>
      </c>
      <c r="AA571" s="80" t="str">
        <f>IFERROR(__xludf.DUMMYFUNCTION("""COMPUTED_VALUE"""),"42161")</f>
        <v>42161</v>
      </c>
      <c r="AB571" s="80" t="str">
        <f>IFERROR(__xludf.DUMMYFUNCTION("""COMPUTED_VALUE"""),"5371045412980001")</f>
        <v>5371045412980001</v>
      </c>
      <c r="AC571" s="80" t="str">
        <f>IFERROR(__xludf.DUMMYFUNCTION("""COMPUTED_VALUE"""),"42.001.234.6-922.000")</f>
        <v>42.001.234.6-922.000</v>
      </c>
      <c r="AD571" s="80" t="str">
        <f>IFERROR(__xludf.DUMMYFUNCTION("""COMPUTED_VALUE"""),"CUM - EEN")</f>
        <v>CUM - EEN</v>
      </c>
      <c r="AE571" s="80" t="str">
        <f>IFERROR(__xludf.DUMMYFUNCTION("""COMPUTED_VALUE"""),"SUB EEN")</f>
        <v>SUB EEN</v>
      </c>
      <c r="AF571" s="80" t="str">
        <f>IFERROR(__xludf.DUMMYFUNCTION("""COMPUTED_VALUE"""),"082322205341")</f>
        <v>082322205341</v>
      </c>
      <c r="AG571" s="80"/>
      <c r="AH571" s="80" t="str">
        <f>IFERROR(__xludf.DUMMYFUNCTION("""COMPUTED_VALUE"""),"banasenatalia1412@gmail.com")</f>
        <v>banasenatalia1412@gmail.com</v>
      </c>
      <c r="AI571" s="80" t="str">
        <f>IFERROR(__xludf.DUMMYFUNCTION("""COMPUTED_VALUE"""),"42161S2")</f>
        <v>42161S2</v>
      </c>
      <c r="AJ571" s="80" t="str">
        <f>IFERROR(__xludf.DUMMYFUNCTION("""COMPUTED_VALUE"""),"688b0a2e4909bd73ef011296")</f>
        <v>688b0a2e4909bd73ef011296</v>
      </c>
      <c r="AK571" s="80" t="str">
        <f>IFERROR(__xludf.DUMMYFUNCTION("""COMPUTED_VALUE"""),"dm42161s2")</f>
        <v>dm42161s2</v>
      </c>
      <c r="AL571" s="80" t="str">
        <f>IFERROR(__xludf.DUMMYFUNCTION("""COMPUTED_VALUE"""),"#42161Pos")</f>
        <v>#42161Pos</v>
      </c>
      <c r="AM571" s="80" t="str">
        <f>IFERROR(__xludf.DUMMYFUNCTION("""COMPUTED_VALUE"""),"KANTOR REGIONAL II JAKARTA 10004")</f>
        <v>KANTOR REGIONAL II JAKARTA 10004</v>
      </c>
      <c r="AN571" s="80" t="str">
        <f>IFERROR(__xludf.DUMMYFUNCTION("""COMPUTED_VALUE"""),"KCU SERANG")</f>
        <v>KCU SERANG</v>
      </c>
      <c r="AO571" s="80" t="str">
        <f>IFERROR(__xludf.DUMMYFUNCTION("""COMPUTED_VALUE"""),"1407250062963")</f>
        <v>1407250062963</v>
      </c>
      <c r="AP571" s="80" t="str">
        <f>IFERROR(__xludf.DUMMYFUNCTION("""COMPUTED_VALUE"""),"14072500629630001")</f>
        <v>14072500629630001</v>
      </c>
      <c r="AQ571" s="83"/>
      <c r="AR571" s="80"/>
      <c r="AS571" s="80"/>
      <c r="AT571" s="80" t="str">
        <f>IFERROR(__xludf.DUMMYFUNCTION("""COMPUTED_VALUE"""),"-6.081041")</f>
        <v>-6.081041</v>
      </c>
      <c r="AU571" s="80" t="str">
        <f>IFERROR(__xludf.DUMMYFUNCTION("""COMPUTED_VALUE"""),"106.119526")</f>
        <v>106.119526</v>
      </c>
      <c r="AV571" s="80"/>
      <c r="AW571" s="80"/>
      <c r="AX571" s="80"/>
      <c r="AY571" s="80"/>
      <c r="AZ571" s="80"/>
      <c r="BA571" s="80"/>
      <c r="BB571" s="80"/>
      <c r="BC571" s="80"/>
      <c r="BD571" s="80"/>
      <c r="BE571" s="80"/>
      <c r="BF571" s="80"/>
      <c r="BG571" s="80"/>
      <c r="BH571" s="80"/>
      <c r="BI571" s="80"/>
      <c r="BJ571" s="80"/>
      <c r="BK571" s="80"/>
      <c r="BL571" s="80"/>
      <c r="BM571" s="80"/>
      <c r="BN571" s="80"/>
      <c r="BO571" s="80"/>
      <c r="BP571" s="80"/>
      <c r="BQ571" s="80"/>
      <c r="BR571" s="80"/>
      <c r="BS571" s="80"/>
      <c r="BT571" s="80"/>
      <c r="BU571" s="80"/>
      <c r="BV571" s="80"/>
      <c r="BW571" s="80"/>
      <c r="BX571" s="80" t="str">
        <f>IFERROR(__xludf.DUMMYFUNCTION("""COMPUTED_VALUE"""),"HEXA")</f>
        <v>HEXA</v>
      </c>
      <c r="BY571" s="80"/>
      <c r="BZ571" s="80"/>
      <c r="CA571" s="80"/>
      <c r="CB571" s="80"/>
      <c r="CC571" s="80"/>
      <c r="CD571" s="80"/>
      <c r="CE571" s="80"/>
      <c r="CF571" s="80"/>
      <c r="CG571" s="80"/>
      <c r="CH571" s="80"/>
      <c r="CI571" s="80"/>
      <c r="CJ571" s="80"/>
      <c r="CK571" s="2"/>
    </row>
    <row r="572" ht="12.75" customHeight="1">
      <c r="A572" s="85">
        <f>IFERROR(__xludf.DUMMYFUNCTION("""COMPUTED_VALUE"""),569.0)</f>
        <v>569</v>
      </c>
      <c r="B572" s="85"/>
      <c r="C572" s="85"/>
      <c r="D572" s="86">
        <f>IFERROR(__xludf.DUMMYFUNCTION("""COMPUTED_VALUE"""),45856.0)</f>
        <v>45856</v>
      </c>
      <c r="E572" s="88"/>
      <c r="F572" s="85"/>
      <c r="G572" s="86">
        <f>IFERROR(__xludf.DUMMYFUNCTION("""COMPUTED_VALUE"""),45867.0)</f>
        <v>45867</v>
      </c>
      <c r="H572" s="85"/>
      <c r="I572" s="85"/>
      <c r="J572" s="85"/>
      <c r="K572" s="85"/>
      <c r="L572" s="85">
        <f>IFERROR(__xludf.DUMMYFUNCTION("""COMPUTED_VALUE"""),11.0)</f>
        <v>11</v>
      </c>
      <c r="M572" s="85"/>
      <c r="N572" s="85" t="str">
        <f>IFERROR(__xludf.DUMMYFUNCTION("""COMPUTED_VALUE"""),"ü")</f>
        <v>ü</v>
      </c>
      <c r="O572" s="85"/>
      <c r="P572" s="85" t="str">
        <f>IFERROR(__xludf.DUMMYFUNCTION("""COMPUTED_VALUE"""),"MLO5500043CUMPOS")</f>
        <v>MLO5500043CUMPOS</v>
      </c>
      <c r="Q572" s="85" t="str">
        <f>IFERROR(__xludf.DUMMYFUNCTION("""COMPUTED_VALUE"""),"MUC SAVAGE STORE")</f>
        <v>MUC SAVAGE STORE</v>
      </c>
      <c r="R572" s="85" t="str">
        <f>IFERROR(__xludf.DUMMYFUNCTION("""COMPUTED_VALUE"""),"MUC SAVAGE STORE")</f>
        <v>MUC SAVAGE STORE</v>
      </c>
      <c r="S572" s="85" t="str">
        <f>IFERROR(__xludf.DUMMYFUNCTION("""COMPUTED_VALUE"""),"SUMARNO")</f>
        <v>SUMARNO</v>
      </c>
      <c r="T572" s="85" t="str">
        <f>IFERROR(__xludf.DUMMYFUNCTION("""COMPUTED_VALUE"""),"DUSUN I KR TAJUG RT.002 RW.001 MUNDU PESISIR, MUNDU, KAB. CIREBON")</f>
        <v>DUSUN I KR TAJUG RT.002 RW.001 MUNDU PESISIR, MUNDU, KAB. CIREBON</v>
      </c>
      <c r="U572" s="85" t="str">
        <f>IFERROR(__xludf.DUMMYFUNCTION("""COMPUTED_VALUE"""),"DUSUN 02")</f>
        <v>DUSUN 02</v>
      </c>
      <c r="V572" s="85"/>
      <c r="W572" s="85" t="str">
        <f>IFERROR(__xludf.DUMMYFUNCTION("""COMPUTED_VALUE"""),"karang asem")</f>
        <v>karang asem</v>
      </c>
      <c r="X572" s="85" t="str">
        <f>IFERROR(__xludf.DUMMYFUNCTION("""COMPUTED_VALUE"""),"karang wareng")</f>
        <v>karang wareng</v>
      </c>
      <c r="Y572" s="85" t="str">
        <f>IFERROR(__xludf.DUMMYFUNCTION("""COMPUTED_VALUE"""),"cirebon")</f>
        <v>cirebon</v>
      </c>
      <c r="Z572" s="85" t="str">
        <f>IFERROR(__xludf.DUMMYFUNCTION("""COMPUTED_VALUE"""),"jawa barat")</f>
        <v>jawa barat</v>
      </c>
      <c r="AA572" s="85" t="str">
        <f>IFERROR(__xludf.DUMMYFUNCTION("""COMPUTED_VALUE"""),"45186")</f>
        <v>45186</v>
      </c>
      <c r="AB572" s="85" t="str">
        <f>IFERROR(__xludf.DUMMYFUNCTION("""COMPUTED_VALUE"""),"3209342103890001")</f>
        <v>3209342103890001</v>
      </c>
      <c r="AC572" s="85" t="str">
        <f>IFERROR(__xludf.DUMMYFUNCTION("""COMPUTED_VALUE"""),"3209 3421 0389 0001")</f>
        <v>3209 3421 0389 0001</v>
      </c>
      <c r="AD572" s="85" t="str">
        <f>IFERROR(__xludf.DUMMYFUNCTION("""COMPUTED_VALUE"""),"CUM - PS - JHR")</f>
        <v>CUM - PS - JHR</v>
      </c>
      <c r="AE572" s="85" t="str">
        <f>IFERROR(__xludf.DUMMYFUNCTION("""COMPUTED_VALUE"""),"SUB JOHAN POS")</f>
        <v>SUB JOHAN POS</v>
      </c>
      <c r="AF572" s="85" t="str">
        <f>IFERROR(__xludf.DUMMYFUNCTION("""COMPUTED_VALUE"""),"081310472793")</f>
        <v>081310472793</v>
      </c>
      <c r="AG572" s="85"/>
      <c r="AH572" s="85" t="str">
        <f>IFERROR(__xludf.DUMMYFUNCTION("""COMPUTED_VALUE"""),"putrisavage355@gmail.com")</f>
        <v>putrisavage355@gmail.com</v>
      </c>
      <c r="AI572" s="85" t="str">
        <f>IFERROR(__xludf.DUMMYFUNCTION("""COMPUTED_VALUE"""),"45695S1")</f>
        <v>45695S1</v>
      </c>
      <c r="AJ572" s="85" t="str">
        <f>IFERROR(__xludf.DUMMYFUNCTION("""COMPUTED_VALUE"""),"68884c9c445900119101030f")</f>
        <v>68884c9c445900119101030f</v>
      </c>
      <c r="AK572" s="85" t="str">
        <f>IFERROR(__xludf.DUMMYFUNCTION("""COMPUTED_VALUE"""),"dm45695s1")</f>
        <v>dm45695s1</v>
      </c>
      <c r="AL572" s="85" t="str">
        <f>IFERROR(__xludf.DUMMYFUNCTION("""COMPUTED_VALUE"""),"#45695Pos")</f>
        <v>#45695Pos</v>
      </c>
      <c r="AM572" s="85" t="str">
        <f>IFERROR(__xludf.DUMMYFUNCTION("""COMPUTED_VALUE"""),"KANTOR REGIONAL III BANDUNG 40004")</f>
        <v>KANTOR REGIONAL III BANDUNG 40004</v>
      </c>
      <c r="AN572" s="85" t="str">
        <f>IFERROR(__xludf.DUMMYFUNCTION("""COMPUTED_VALUE"""),"KCU CIREBON 45100")</f>
        <v>KCU CIREBON 45100</v>
      </c>
      <c r="AO572" s="85" t="str">
        <f>IFERROR(__xludf.DUMMYFUNCTION("""COMPUTED_VALUE"""),"1507250104575")</f>
        <v>1507250104575</v>
      </c>
      <c r="AP572" s="85" t="str">
        <f>IFERROR(__xludf.DUMMYFUNCTION("""COMPUTED_VALUE"""),"15072501045750001")</f>
        <v>15072501045750001</v>
      </c>
      <c r="AQ572" s="93"/>
      <c r="AR572" s="85"/>
      <c r="AS572" s="85"/>
      <c r="AT572" s="85" t="str">
        <f>IFERROR(__xludf.DUMMYFUNCTION("""COMPUTED_VALUE"""),"-6.860452 ")</f>
        <v>-6.860452 </v>
      </c>
      <c r="AU572" s="85" t="str">
        <f>IFERROR(__xludf.DUMMYFUNCTION("""COMPUTED_VALUE"""),"108.647367")</f>
        <v>108.647367</v>
      </c>
      <c r="AV572" s="85"/>
      <c r="AW572" s="85"/>
      <c r="AX572" s="85"/>
      <c r="AY572" s="85"/>
      <c r="AZ572" s="85"/>
      <c r="BA572" s="85"/>
      <c r="BB572" s="85"/>
      <c r="BC572" s="85"/>
      <c r="BD572" s="85"/>
      <c r="BE572" s="85"/>
      <c r="BF572" s="85"/>
      <c r="BG572" s="85"/>
      <c r="BH572" s="85"/>
      <c r="BI572" s="85"/>
      <c r="BJ572" s="85"/>
      <c r="BK572" s="85"/>
      <c r="BL572" s="85"/>
      <c r="BM572" s="85"/>
      <c r="BN572" s="85"/>
      <c r="BO572" s="85"/>
      <c r="BP572" s="85"/>
      <c r="BQ572" s="85"/>
      <c r="BR572" s="85"/>
      <c r="BS572" s="85"/>
      <c r="BT572" s="85"/>
      <c r="BU572" s="85"/>
      <c r="BV572" s="85"/>
      <c r="BW572" s="85"/>
      <c r="BX572" s="85" t="str">
        <f>IFERROR(__xludf.DUMMYFUNCTION("""COMPUTED_VALUE"""),"SELLER")</f>
        <v>SELLER</v>
      </c>
      <c r="BY572" s="85"/>
      <c r="BZ572" s="85"/>
      <c r="CA572" s="85"/>
      <c r="CB572" s="85"/>
      <c r="CC572" s="85"/>
      <c r="CD572" s="85"/>
      <c r="CE572" s="85"/>
      <c r="CF572" s="85"/>
      <c r="CG572" s="85"/>
      <c r="CH572" s="85"/>
      <c r="CI572" s="85"/>
      <c r="CJ572" s="85"/>
      <c r="CK572" s="2"/>
    </row>
    <row r="573" ht="12.75" customHeight="1">
      <c r="A573" s="80">
        <f>IFERROR(__xludf.DUMMYFUNCTION("""COMPUTED_VALUE"""),570.0)</f>
        <v>570</v>
      </c>
      <c r="B573" s="80"/>
      <c r="C573" s="80"/>
      <c r="D573" s="81">
        <f>IFERROR(__xludf.DUMMYFUNCTION("""COMPUTED_VALUE"""),45856.0)</f>
        <v>45856</v>
      </c>
      <c r="E573" s="82"/>
      <c r="F573" s="80"/>
      <c r="G573" s="81">
        <f>IFERROR(__xludf.DUMMYFUNCTION("""COMPUTED_VALUE"""),45866.0)</f>
        <v>45866</v>
      </c>
      <c r="H573" s="80"/>
      <c r="I573" s="80"/>
      <c r="J573" s="80"/>
      <c r="K573" s="80"/>
      <c r="L573" s="80">
        <f>IFERROR(__xludf.DUMMYFUNCTION("""COMPUTED_VALUE"""),10.0)</f>
        <v>10</v>
      </c>
      <c r="M573" s="80" t="str">
        <f>IFERROR(__xludf.DUMMYFUNCTION("""COMPUTED_VALUE"""),"ü")</f>
        <v>ü</v>
      </c>
      <c r="N573" s="80"/>
      <c r="O573" s="80"/>
      <c r="P573" s="80" t="str">
        <f>IFERROR(__xludf.DUMMYFUNCTION("""COMPUTED_VALUE"""),"MUCSPA63193PSIND")</f>
        <v>MUCSPA63193PSIND</v>
      </c>
      <c r="Q573" s="80" t="str">
        <f>IFERROR(__xludf.DUMMYFUNCTION("""COMPUTED_VALUE"""),"MUC Parici")</f>
        <v>MUC Parici</v>
      </c>
      <c r="R573" s="80" t="str">
        <f>IFERROR(__xludf.DUMMYFUNCTION("""COMPUTED_VALUE"""),"MUC Parici")</f>
        <v>MUC Parici</v>
      </c>
      <c r="S573" s="80" t="str">
        <f>IFERROR(__xludf.DUMMYFUNCTION("""COMPUTED_VALUE"""),"Puji Tri Hartanto")</f>
        <v>Puji Tri Hartanto</v>
      </c>
      <c r="T573" s="80" t="str">
        <f>IFERROR(__xludf.DUMMYFUNCTION("""COMPUTED_VALUE"""),"Bojong, RT 008/005, Bojong Pondok Terong, Kec. Cipayung")</f>
        <v>Bojong, RT 008/005, Bojong Pondok Terong, Kec. Cipayung</v>
      </c>
      <c r="U573" s="80" t="str">
        <f>IFERROR(__xludf.DUMMYFUNCTION("""COMPUTED_VALUE"""),"Citayam Raya Streets ")</f>
        <v>Citayam Raya Streets </v>
      </c>
      <c r="V573" s="80"/>
      <c r="W573" s="80" t="str">
        <f>IFERROR(__xludf.DUMMYFUNCTION("""COMPUTED_VALUE"""),"Bojong Pondok Terong")</f>
        <v>Bojong Pondok Terong</v>
      </c>
      <c r="X573" s="80" t="str">
        <f>IFERROR(__xludf.DUMMYFUNCTION("""COMPUTED_VALUE"""),"Cipayung")</f>
        <v>Cipayung</v>
      </c>
      <c r="Y573" s="80" t="str">
        <f>IFERROR(__xludf.DUMMYFUNCTION("""COMPUTED_VALUE"""),"Depok")</f>
        <v>Depok</v>
      </c>
      <c r="Z573" s="80" t="str">
        <f>IFERROR(__xludf.DUMMYFUNCTION("""COMPUTED_VALUE"""),"Jawa Barat")</f>
        <v>Jawa Barat</v>
      </c>
      <c r="AA573" s="80" t="str">
        <f>IFERROR(__xludf.DUMMYFUNCTION("""COMPUTED_VALUE"""),"16444")</f>
        <v>16444</v>
      </c>
      <c r="AB573" s="80" t="str">
        <f>IFERROR(__xludf.DUMMYFUNCTION("""COMPUTED_VALUE"""),"3276010412870004")</f>
        <v>3276010412870004</v>
      </c>
      <c r="AC573" s="80" t="str">
        <f>IFERROR(__xludf.DUMMYFUNCTION("""COMPUTED_VALUE"""),"96.118.910.7-412.000")</f>
        <v>96.118.910.7-412.000</v>
      </c>
      <c r="AD573" s="80" t="str">
        <f>IFERROR(__xludf.DUMMYFUNCTION("""COMPUTED_VALUE"""),"CUM - PS - HPR")</f>
        <v>CUM - PS - HPR</v>
      </c>
      <c r="AE573" s="80" t="str">
        <f>IFERROR(__xludf.DUMMYFUNCTION("""COMPUTED_VALUE"""),"SUB HADI POS")</f>
        <v>SUB HADI POS</v>
      </c>
      <c r="AF573" s="80" t="str">
        <f>IFERROR(__xludf.DUMMYFUNCTION("""COMPUTED_VALUE"""),"08989823680")</f>
        <v>08989823680</v>
      </c>
      <c r="AG573" s="80"/>
      <c r="AH573" s="80" t="str">
        <f>IFERROR(__xludf.DUMMYFUNCTION("""COMPUTED_VALUE"""),"cucurut57@gmail.com")</f>
        <v>cucurut57@gmail.com</v>
      </c>
      <c r="AI573" s="80" t="str">
        <f>IFERROR(__xludf.DUMMYFUNCTION("""COMPUTED_VALUE"""),"16444S4")</f>
        <v>16444S4</v>
      </c>
      <c r="AJ573" s="80" t="str">
        <f>IFERROR(__xludf.DUMMYFUNCTION("""COMPUTED_VALUE"""),"6884eacaa7490e923f01a348")</f>
        <v>6884eacaa7490e923f01a348</v>
      </c>
      <c r="AK573" s="80" t="str">
        <f>IFERROR(__xludf.DUMMYFUNCTION("""COMPUTED_VALUE"""),"dm16444s4")</f>
        <v>dm16444s4</v>
      </c>
      <c r="AL573" s="80" t="str">
        <f>IFERROR(__xludf.DUMMYFUNCTION("""COMPUTED_VALUE"""),"#16444Pos")</f>
        <v>#16444Pos</v>
      </c>
      <c r="AM573" s="80" t="str">
        <f>IFERROR(__xludf.DUMMYFUNCTION("""COMPUTED_VALUE"""),"KANTOR REGIONAL II JAKARTA 10004")</f>
        <v>KANTOR REGIONAL II JAKARTA 10004</v>
      </c>
      <c r="AN573" s="80" t="str">
        <f>IFERROR(__xludf.DUMMYFUNCTION("""COMPUTED_VALUE"""),"KC DEPOK 16400")</f>
        <v>KC DEPOK 16400</v>
      </c>
      <c r="AO573" s="80" t="str">
        <f>IFERROR(__xludf.DUMMYFUNCTION("""COMPUTED_VALUE"""),"2306220006334")</f>
        <v>2306220006334</v>
      </c>
      <c r="AP573" s="80" t="str">
        <f>IFERROR(__xludf.DUMMYFUNCTION("""COMPUTED_VALUE"""),"23062200063340001")</f>
        <v>23062200063340001</v>
      </c>
      <c r="AQ573" s="83"/>
      <c r="AR573" s="80"/>
      <c r="AS573" s="80"/>
      <c r="AT573" s="80" t="str">
        <f>IFERROR(__xludf.DUMMYFUNCTION("""COMPUTED_VALUE"""),"-6.451898")</f>
        <v>-6.451898</v>
      </c>
      <c r="AU573" s="80" t="str">
        <f>IFERROR(__xludf.DUMMYFUNCTION("""COMPUTED_VALUE"""),"106.798817")</f>
        <v>106.798817</v>
      </c>
      <c r="AV573" s="80"/>
      <c r="AW573" s="80"/>
      <c r="AX573" s="80"/>
      <c r="AY573" s="80"/>
      <c r="AZ573" s="80"/>
      <c r="BA573" s="80"/>
      <c r="BB573" s="80"/>
      <c r="BC573" s="80"/>
      <c r="BD573" s="80"/>
      <c r="BE573" s="80"/>
      <c r="BF573" s="80"/>
      <c r="BG573" s="80"/>
      <c r="BH573" s="80"/>
      <c r="BI573" s="80"/>
      <c r="BJ573" s="80"/>
      <c r="BK573" s="80"/>
      <c r="BL573" s="80"/>
      <c r="BM573" s="80"/>
      <c r="BN573" s="80"/>
      <c r="BO573" s="80"/>
      <c r="BP573" s="80"/>
      <c r="BQ573" s="80"/>
      <c r="BR573" s="80"/>
      <c r="BS573" s="80"/>
      <c r="BT573" s="80"/>
      <c r="BU573" s="80"/>
      <c r="BV573" s="80"/>
      <c r="BW573" s="80"/>
      <c r="BX573" s="80" t="str">
        <f>IFERROR(__xludf.DUMMYFUNCTION("""COMPUTED_VALUE"""),"NEWBIE")</f>
        <v>NEWBIE</v>
      </c>
      <c r="BY573" s="80"/>
      <c r="BZ573" s="80"/>
      <c r="CA573" s="80"/>
      <c r="CB573" s="80"/>
      <c r="CC573" s="80"/>
      <c r="CD573" s="80"/>
      <c r="CE573" s="80"/>
      <c r="CF573" s="80"/>
      <c r="CG573" s="80"/>
      <c r="CH573" s="80"/>
      <c r="CI573" s="80"/>
      <c r="CJ573" s="80"/>
      <c r="CK573" s="2"/>
    </row>
    <row r="574" ht="12.75" customHeight="1">
      <c r="A574" s="85">
        <f>IFERROR(__xludf.DUMMYFUNCTION("""COMPUTED_VALUE"""),571.0)</f>
        <v>571</v>
      </c>
      <c r="B574" s="85"/>
      <c r="C574" s="85"/>
      <c r="D574" s="86">
        <f>IFERROR(__xludf.DUMMYFUNCTION("""COMPUTED_VALUE"""),45856.0)</f>
        <v>45856</v>
      </c>
      <c r="E574" s="88">
        <f>IFERROR(__xludf.DUMMYFUNCTION("""COMPUTED_VALUE"""),45856.0)</f>
        <v>45856</v>
      </c>
      <c r="F574" s="85" t="str">
        <f>IFERROR(__xludf.DUMMYFUNCTION("""COMPUTED_VALUE"""),"18 July 2025")</f>
        <v>18 July 2025</v>
      </c>
      <c r="G574" s="86">
        <f>IFERROR(__xludf.DUMMYFUNCTION("""COMPUTED_VALUE"""),45882.0)</f>
        <v>45882</v>
      </c>
      <c r="H574" s="85"/>
      <c r="I574" s="85"/>
      <c r="J574" s="85"/>
      <c r="K574" s="85"/>
      <c r="L574" s="85">
        <f>IFERROR(__xludf.DUMMYFUNCTION("""COMPUTED_VALUE"""),26.0)</f>
        <v>26</v>
      </c>
      <c r="M574" s="85" t="str">
        <f>IFERROR(__xludf.DUMMYFUNCTION("""COMPUTED_VALUE"""),"ü")</f>
        <v>ü</v>
      </c>
      <c r="N574" s="85"/>
      <c r="O574" s="85"/>
      <c r="P574" s="85" t="str">
        <f>IFERROR(__xludf.DUMMYFUNCTION("""COMPUTED_VALUE"""),"MUCSPA63198PSIND")</f>
        <v>MUCSPA63198PSIND</v>
      </c>
      <c r="Q574" s="85" t="str">
        <f>IFERROR(__xludf.DUMMYFUNCTION("""COMPUTED_VALUE"""),"MUC CAHAYA REJEKI")</f>
        <v>MUC CAHAYA REJEKI</v>
      </c>
      <c r="R574" s="85" t="str">
        <f>IFERROR(__xludf.DUMMYFUNCTION("""COMPUTED_VALUE"""),"MUC CAHAYA REJEKI")</f>
        <v>MUC CAHAYA REJEKI</v>
      </c>
      <c r="S574" s="85" t="str">
        <f>IFERROR(__xludf.DUMMYFUNCTION("""COMPUTED_VALUE"""),"Irwan Prihantanto")</f>
        <v>Irwan Prihantanto</v>
      </c>
      <c r="T574" s="85" t="str">
        <f>IFERROR(__xludf.DUMMYFUNCTION("""COMPUTED_VALUE"""),"PERUMNAS BLK. C 12 / 11 RT.007 RW. 010 CENGKARENG TIMUR, CENGKARENG JAKARTA BARAT DKI JAKARTA")</f>
        <v>PERUMNAS BLK. C 12 / 11 RT.007 RW. 010 CENGKARENG TIMUR, CENGKARENG JAKARTA BARAT DKI JAKARTA</v>
      </c>
      <c r="U574" s="85" t="str">
        <f>IFERROR(__xludf.DUMMYFUNCTION("""COMPUTED_VALUE"""),"Jl Gatot Subroto Kp Utan Jati ")</f>
        <v>Jl Gatot Subroto Kp Utan Jati </v>
      </c>
      <c r="V574" s="85"/>
      <c r="W574" s="85" t="str">
        <f>IFERROR(__xludf.DUMMYFUNCTION("""COMPUTED_VALUE"""),"kedaung barat")</f>
        <v>kedaung barat</v>
      </c>
      <c r="X574" s="85" t="str">
        <f>IFERROR(__xludf.DUMMYFUNCTION("""COMPUTED_VALUE"""),"sepatan timur")</f>
        <v>sepatan timur</v>
      </c>
      <c r="Y574" s="85" t="str">
        <f>IFERROR(__xludf.DUMMYFUNCTION("""COMPUTED_VALUE"""),"kab. Tangerang")</f>
        <v>kab. Tangerang</v>
      </c>
      <c r="Z574" s="85" t="str">
        <f>IFERROR(__xludf.DUMMYFUNCTION("""COMPUTED_VALUE"""),"banten")</f>
        <v>banten</v>
      </c>
      <c r="AA574" s="85" t="str">
        <f>IFERROR(__xludf.DUMMYFUNCTION("""COMPUTED_VALUE"""),"15520")</f>
        <v>15520</v>
      </c>
      <c r="AB574" s="85" t="str">
        <f>IFERROR(__xludf.DUMMYFUNCTION("""COMPUTED_VALUE"""),"3173011904780005")</f>
        <v>3173011904780005</v>
      </c>
      <c r="AC574" s="85" t="str">
        <f>IFERROR(__xludf.DUMMYFUNCTION("""COMPUTED_VALUE"""),"58.442.706.6-03.4000")</f>
        <v>58.442.706.6-03.4000</v>
      </c>
      <c r="AD574" s="85" t="str">
        <f>IFERROR(__xludf.DUMMYFUNCTION("""COMPUTED_VALUE"""),"CUM - PS - DWIH")</f>
        <v>CUM - PS - DWIH</v>
      </c>
      <c r="AE574" s="85" t="str">
        <f>IFERROR(__xludf.DUMMYFUNCTION("""COMPUTED_VALUE"""),"SUB DWI HARTANTO POS")</f>
        <v>SUB DWI HARTANTO POS</v>
      </c>
      <c r="AF574" s="85" t="str">
        <f>IFERROR(__xludf.DUMMYFUNCTION("""COMPUTED_VALUE"""),"081319409861")</f>
        <v>081319409861</v>
      </c>
      <c r="AG574" s="85"/>
      <c r="AH574" s="85" t="str">
        <f>IFERROR(__xludf.DUMMYFUNCTION("""COMPUTED_VALUE"""),"kangirwan3@gmail.com")</f>
        <v>kangirwan3@gmail.com</v>
      </c>
      <c r="AI574" s="85" t="str">
        <f>IFERROR(__xludf.DUMMYFUNCTION("""COMPUTED_VALUE"""),"15583S1")</f>
        <v>15583S1</v>
      </c>
      <c r="AJ574" s="85" t="str">
        <f>IFERROR(__xludf.DUMMYFUNCTION("""COMPUTED_VALUE"""),"6889a155278a0801500662b6")</f>
        <v>6889a155278a0801500662b6</v>
      </c>
      <c r="AK574" s="85" t="str">
        <f>IFERROR(__xludf.DUMMYFUNCTION("""COMPUTED_VALUE"""),"dm15583s1")</f>
        <v>dm15583s1</v>
      </c>
      <c r="AL574" s="85" t="str">
        <f>IFERROR(__xludf.DUMMYFUNCTION("""COMPUTED_VALUE"""),"#15583Pos")</f>
        <v>#15583Pos</v>
      </c>
      <c r="AM574" s="85" t="str">
        <f>IFERROR(__xludf.DUMMYFUNCTION("""COMPUTED_VALUE"""),"KANTOR REGIONAL II JAKARTA 10004")</f>
        <v>KANTOR REGIONAL II JAKARTA 10004</v>
      </c>
      <c r="AN574" s="85" t="str">
        <f>IFERROR(__xludf.DUMMYFUNCTION("""COMPUTED_VALUE"""),"KCU TANGERANG 15000")</f>
        <v>KCU TANGERANG 15000</v>
      </c>
      <c r="AO574" s="85" t="str">
        <f>IFERROR(__xludf.DUMMYFUNCTION("""COMPUTED_VALUE"""),"1807250091969")</f>
        <v>1807250091969</v>
      </c>
      <c r="AP574" s="85" t="str">
        <f>IFERROR(__xludf.DUMMYFUNCTION("""COMPUTED_VALUE"""),"18072500919690001")</f>
        <v>18072500919690001</v>
      </c>
      <c r="AQ574" s="93"/>
      <c r="AR574" s="85"/>
      <c r="AS574" s="85"/>
      <c r="AT574" s="85" t="str">
        <f>IFERROR(__xludf.DUMMYFUNCTION("""COMPUTED_VALUE"""),"-6.122472")</f>
        <v>-6.122472</v>
      </c>
      <c r="AU574" s="85" t="str">
        <f>IFERROR(__xludf.DUMMYFUNCTION("""COMPUTED_VALUE"""),"106.603163")</f>
        <v>106.603163</v>
      </c>
      <c r="AV574" s="85"/>
      <c r="AW574" s="85"/>
      <c r="AX574" s="85"/>
      <c r="AY574" s="85"/>
      <c r="AZ574" s="85"/>
      <c r="BA574" s="85"/>
      <c r="BB574" s="85"/>
      <c r="BC574" s="85"/>
      <c r="BD574" s="85"/>
      <c r="BE574" s="85"/>
      <c r="BF574" s="85"/>
      <c r="BG574" s="85"/>
      <c r="BH574" s="85"/>
      <c r="BI574" s="85"/>
      <c r="BJ574" s="85"/>
      <c r="BK574" s="85"/>
      <c r="BL574" s="85"/>
      <c r="BM574" s="85"/>
      <c r="BN574" s="85"/>
      <c r="BO574" s="85"/>
      <c r="BP574" s="85"/>
      <c r="BQ574" s="85"/>
      <c r="BR574" s="85"/>
      <c r="BS574" s="85"/>
      <c r="BT574" s="85"/>
      <c r="BU574" s="85"/>
      <c r="BV574" s="85"/>
      <c r="BW574" s="85"/>
      <c r="BX574" s="85" t="str">
        <f>IFERROR(__xludf.DUMMYFUNCTION("""COMPUTED_VALUE"""),"NEWBIE")</f>
        <v>NEWBIE</v>
      </c>
      <c r="BY574" s="85"/>
      <c r="BZ574" s="85"/>
      <c r="CA574" s="85"/>
      <c r="CB574" s="85"/>
      <c r="CC574" s="85"/>
      <c r="CD574" s="85"/>
      <c r="CE574" s="85"/>
      <c r="CF574" s="85"/>
      <c r="CG574" s="85"/>
      <c r="CH574" s="85"/>
      <c r="CI574" s="85"/>
      <c r="CJ574" s="85"/>
      <c r="CK574" s="2"/>
    </row>
    <row r="575" ht="12.75" customHeight="1">
      <c r="A575" s="80">
        <f>IFERROR(__xludf.DUMMYFUNCTION("""COMPUTED_VALUE"""),572.0)</f>
        <v>572</v>
      </c>
      <c r="B575" s="80"/>
      <c r="C575" s="80"/>
      <c r="D575" s="81">
        <f>IFERROR(__xludf.DUMMYFUNCTION("""COMPUTED_VALUE"""),45859.0)</f>
        <v>45859</v>
      </c>
      <c r="E575" s="82"/>
      <c r="F575" s="80"/>
      <c r="G575" s="81">
        <f>IFERROR(__xludf.DUMMYFUNCTION("""COMPUTED_VALUE"""),45880.0)</f>
        <v>45880</v>
      </c>
      <c r="H575" s="80"/>
      <c r="I575" s="80"/>
      <c r="J575" s="80"/>
      <c r="K575" s="80"/>
      <c r="L575" s="80">
        <f>IFERROR(__xludf.DUMMYFUNCTION("""COMPUTED_VALUE"""),21.0)</f>
        <v>21</v>
      </c>
      <c r="M575" s="80" t="str">
        <f>IFERROR(__xludf.DUMMYFUNCTION("""COMPUTED_VALUE"""),"ü")</f>
        <v>ü</v>
      </c>
      <c r="N575" s="80"/>
      <c r="O575" s="80"/>
      <c r="P575" s="80" t="str">
        <f>IFERROR(__xludf.DUMMYFUNCTION("""COMPUTED_VALUE"""),"MUCSPA63199PSIND")</f>
        <v>MUCSPA63199PSIND</v>
      </c>
      <c r="Q575" s="80" t="str">
        <f>IFERROR(__xludf.DUMMYFUNCTION("""COMPUTED_VALUE"""),"MUC DINASTI")</f>
        <v>MUC DINASTI</v>
      </c>
      <c r="R575" s="80" t="str">
        <f>IFERROR(__xludf.DUMMYFUNCTION("""COMPUTED_VALUE"""),"MUC DINASTI")</f>
        <v>MUC DINASTI</v>
      </c>
      <c r="S575" s="80" t="str">
        <f>IFERROR(__xludf.DUMMYFUNCTION("""COMPUTED_VALUE"""),"Riski Faizal Rohmat")</f>
        <v>Riski Faizal Rohmat</v>
      </c>
      <c r="T575" s="80" t="str">
        <f>IFERROR(__xludf.DUMMYFUNCTION("""COMPUTED_VALUE"""),"Jln Bebedahan No 9B RT/RW:01/03 Desa Rajapolah Kecamatan Rajapolah Kabupaten Tasikmalaya Jawa Barat ")</f>
        <v>Jln Bebedahan No 9B RT/RW:01/03 Desa Rajapolah Kecamatan Rajapolah Kabupaten Tasikmalaya Jawa Barat </v>
      </c>
      <c r="U575" s="80" t="str">
        <f>IFERROR(__xludf.DUMMYFUNCTION("""COMPUTED_VALUE"""),"Jln Bebedahan No 9A RT/RW:01/03 Desa Rajapolah ")</f>
        <v>Jln Bebedahan No 9A RT/RW:01/03 Desa Rajapolah </v>
      </c>
      <c r="V575" s="80"/>
      <c r="W575" s="80" t="str">
        <f>IFERROR(__xludf.DUMMYFUNCTION("""COMPUTED_VALUE"""),"Rajapolah")</f>
        <v>Rajapolah</v>
      </c>
      <c r="X575" s="80" t="str">
        <f>IFERROR(__xludf.DUMMYFUNCTION("""COMPUTED_VALUE"""),"Rajapolah ")</f>
        <v>Rajapolah </v>
      </c>
      <c r="Y575" s="80" t="str">
        <f>IFERROR(__xludf.DUMMYFUNCTION("""COMPUTED_VALUE"""),"Tasikmalaya ")</f>
        <v>Tasikmalaya </v>
      </c>
      <c r="Z575" s="80" t="str">
        <f>IFERROR(__xludf.DUMMYFUNCTION("""COMPUTED_VALUE"""),"Jawa Barat")</f>
        <v>Jawa Barat</v>
      </c>
      <c r="AA575" s="80" t="str">
        <f>IFERROR(__xludf.DUMMYFUNCTION("""COMPUTED_VALUE"""),"46155")</f>
        <v>46155</v>
      </c>
      <c r="AB575" s="80" t="str">
        <f>IFERROR(__xludf.DUMMYFUNCTION("""COMPUTED_VALUE"""),"3206342209960001")</f>
        <v>3206342209960001</v>
      </c>
      <c r="AC575" s="80" t="str">
        <f>IFERROR(__xludf.DUMMYFUNCTION("""COMPUTED_VALUE"""),"95.929.092.5-425.000")</f>
        <v>95.929.092.5-425.000</v>
      </c>
      <c r="AD575" s="80" t="str">
        <f>IFERROR(__xludf.DUMMYFUNCTION("""COMPUTED_VALUE"""),"CUM - PS - IKF")</f>
        <v>CUM - PS - IKF</v>
      </c>
      <c r="AE575" s="80" t="str">
        <f>IFERROR(__xludf.DUMMYFUNCTION("""COMPUTED_VALUE"""),"SUB IKHFAN POS")</f>
        <v>SUB IKHFAN POS</v>
      </c>
      <c r="AF575" s="80" t="str">
        <f>IFERROR(__xludf.DUMMYFUNCTION("""COMPUTED_VALUE"""),"081394020006")</f>
        <v>081394020006</v>
      </c>
      <c r="AG575" s="80"/>
      <c r="AH575" s="80" t="str">
        <f>IFERROR(__xludf.DUMMYFUNCTION("""COMPUTED_VALUE"""),"riskifaizal22@gmail.com")</f>
        <v>riskifaizal22@gmail.com</v>
      </c>
      <c r="AI575" s="80" t="str">
        <f>IFERROR(__xludf.DUMMYFUNCTION("""COMPUTED_VALUE"""),"46455S4")</f>
        <v>46455S4</v>
      </c>
      <c r="AJ575" s="80" t="str">
        <f>IFERROR(__xludf.DUMMYFUNCTION("""COMPUTED_VALUE"""),"6894313e05c1ea52730f6cde")</f>
        <v>6894313e05c1ea52730f6cde</v>
      </c>
      <c r="AK575" s="80" t="str">
        <f>IFERROR(__xludf.DUMMYFUNCTION("""COMPUTED_VALUE"""),"dm46455s4")</f>
        <v>dm46455s4</v>
      </c>
      <c r="AL575" s="80" t="str">
        <f>IFERROR(__xludf.DUMMYFUNCTION("""COMPUTED_VALUE"""),"#46455Pos")</f>
        <v>#46455Pos</v>
      </c>
      <c r="AM575" s="80" t="str">
        <f>IFERROR(__xludf.DUMMYFUNCTION("""COMPUTED_VALUE"""),"KANTOR REGIONAL III BANDUNG 40004")</f>
        <v>KANTOR REGIONAL III BANDUNG 40004</v>
      </c>
      <c r="AN575" s="80" t="str">
        <f>IFERROR(__xludf.DUMMYFUNCTION("""COMPUTED_VALUE"""),"KC TASIKMALAYA")</f>
        <v>KC TASIKMALAYA</v>
      </c>
      <c r="AO575" s="80" t="str">
        <f>IFERROR(__xludf.DUMMYFUNCTION("""COMPUTED_VALUE"""),"1807250062901")</f>
        <v>1807250062901</v>
      </c>
      <c r="AP575" s="80" t="str">
        <f>IFERROR(__xludf.DUMMYFUNCTION("""COMPUTED_VALUE"""),"18072500629010001")</f>
        <v>18072500629010001</v>
      </c>
      <c r="AQ575" s="83"/>
      <c r="AR575" s="80"/>
      <c r="AS575" s="80"/>
      <c r="AT575" s="80" t="str">
        <f>IFERROR(__xludf.DUMMYFUNCTION("""COMPUTED_VALUE"""),"-7.222442")</f>
        <v>-7.222442</v>
      </c>
      <c r="AU575" s="80" t="str">
        <f>IFERROR(__xludf.DUMMYFUNCTION("""COMPUTED_VALUE"""),"108.189682")</f>
        <v>108.189682</v>
      </c>
      <c r="AV575" s="80"/>
      <c r="AW575" s="80"/>
      <c r="AX575" s="80"/>
      <c r="AY575" s="80"/>
      <c r="AZ575" s="80"/>
      <c r="BA575" s="80"/>
      <c r="BB575" s="80"/>
      <c r="BC575" s="80"/>
      <c r="BD575" s="80"/>
      <c r="BE575" s="80"/>
      <c r="BF575" s="80"/>
      <c r="BG575" s="80"/>
      <c r="BH575" s="80"/>
      <c r="BI575" s="80"/>
      <c r="BJ575" s="80"/>
      <c r="BK575" s="80"/>
      <c r="BL575" s="80"/>
      <c r="BM575" s="80"/>
      <c r="BN575" s="80"/>
      <c r="BO575" s="80"/>
      <c r="BP575" s="80"/>
      <c r="BQ575" s="80"/>
      <c r="BR575" s="80"/>
      <c r="BS575" s="80"/>
      <c r="BT575" s="80"/>
      <c r="BU575" s="80"/>
      <c r="BV575" s="80"/>
      <c r="BW575" s="80"/>
      <c r="BX575" s="80" t="str">
        <f>IFERROR(__xludf.DUMMYFUNCTION("""COMPUTED_VALUE"""),"NEWBIE")</f>
        <v>NEWBIE</v>
      </c>
      <c r="BY575" s="80"/>
      <c r="BZ575" s="80"/>
      <c r="CA575" s="80"/>
      <c r="CB575" s="80"/>
      <c r="CC575" s="80"/>
      <c r="CD575" s="80"/>
      <c r="CE575" s="80"/>
      <c r="CF575" s="80"/>
      <c r="CG575" s="80"/>
      <c r="CH575" s="80"/>
      <c r="CI575" s="80"/>
      <c r="CJ575" s="80"/>
      <c r="CK575" s="2"/>
    </row>
    <row r="576" ht="12.75" customHeight="1">
      <c r="A576" s="85">
        <f>IFERROR(__xludf.DUMMYFUNCTION("""COMPUTED_VALUE"""),573.0)</f>
        <v>573</v>
      </c>
      <c r="B576" s="85"/>
      <c r="C576" s="85"/>
      <c r="D576" s="86">
        <f>IFERROR(__xludf.DUMMYFUNCTION("""COMPUTED_VALUE"""),45861.0)</f>
        <v>45861</v>
      </c>
      <c r="E576" s="88"/>
      <c r="F576" s="85"/>
      <c r="G576" s="86">
        <f>IFERROR(__xludf.DUMMYFUNCTION("""COMPUTED_VALUE"""),45867.0)</f>
        <v>45867</v>
      </c>
      <c r="H576" s="85"/>
      <c r="I576" s="85"/>
      <c r="J576" s="85"/>
      <c r="K576" s="85"/>
      <c r="L576" s="85">
        <f>IFERROR(__xludf.DUMMYFUNCTION("""COMPUTED_VALUE"""),6.0)</f>
        <v>6</v>
      </c>
      <c r="M576" s="85" t="str">
        <f>IFERROR(__xludf.DUMMYFUNCTION("""COMPUTED_VALUE"""),"ü")</f>
        <v>ü</v>
      </c>
      <c r="N576" s="85"/>
      <c r="O576" s="85"/>
      <c r="P576" s="85" t="str">
        <f>IFERROR(__xludf.DUMMYFUNCTION("""COMPUTED_VALUE"""),"53BSPA09566JBEEN")</f>
        <v>53BSPA09566JBEEN</v>
      </c>
      <c r="Q576" s="85" t="str">
        <f>IFERROR(__xludf.DUMMYFUNCTION("""COMPUTED_VALUE"""),"MUC POST TANJUNG BARAT 140")</f>
        <v>MUC POST TANJUNG BARAT 140</v>
      </c>
      <c r="R576" s="85" t="str">
        <f>IFERROR(__xludf.DUMMYFUNCTION("""COMPUTED_VALUE"""),"MUC POST TANJUNG BARAT 140")</f>
        <v>MUC POST TANJUNG BARAT 140</v>
      </c>
      <c r="S576" s="85" t="str">
        <f>IFERROR(__xludf.DUMMYFUNCTION("""COMPUTED_VALUE"""),"VIVERA VEMALA ERGUNDIHAL")</f>
        <v>VIVERA VEMALA ERGUNDIHAL</v>
      </c>
      <c r="T576" s="85" t="str">
        <f>IFERROR(__xludf.DUMMYFUNCTION("""COMPUTED_VALUE"""),"VILLA MELATI MAS BLOK E-8 NO.20 RT.062 RW.008, JELUPANG SERPONG UTARA KOTA ")</f>
        <v>VILLA MELATI MAS BLOK E-8 NO.20 RT.062 RW.008, JELUPANG SERPONG UTARA KOTA </v>
      </c>
      <c r="U576" s="85" t="str">
        <f>IFERROR(__xludf.DUMMYFUNCTION("""COMPUTED_VALUE"""),"Jl. Tanjung Barat Raya No.140 RT. 08/04")</f>
        <v>Jl. Tanjung Barat Raya No.140 RT. 08/04</v>
      </c>
      <c r="V576" s="85"/>
      <c r="W576" s="85" t="str">
        <f>IFERROR(__xludf.DUMMYFUNCTION("""COMPUTED_VALUE"""),"Tanjung Barat")</f>
        <v>Tanjung Barat</v>
      </c>
      <c r="X576" s="85" t="str">
        <f>IFERROR(__xludf.DUMMYFUNCTION("""COMPUTED_VALUE"""),"Jagakarsa")</f>
        <v>Jagakarsa</v>
      </c>
      <c r="Y576" s="85" t="str">
        <f>IFERROR(__xludf.DUMMYFUNCTION("""COMPUTED_VALUE"""),"Jakarta Selatan")</f>
        <v>Jakarta Selatan</v>
      </c>
      <c r="Z576" s="85" t="str">
        <f>IFERROR(__xludf.DUMMYFUNCTION("""COMPUTED_VALUE"""),"DKI Jakarta")</f>
        <v>DKI Jakarta</v>
      </c>
      <c r="AA576" s="85" t="str">
        <f>IFERROR(__xludf.DUMMYFUNCTION("""COMPUTED_VALUE"""),"12530")</f>
        <v>12530</v>
      </c>
      <c r="AB576" s="85" t="str">
        <f>IFERROR(__xludf.DUMMYFUNCTION("""COMPUTED_VALUE"""),"3173073007720002")</f>
        <v>3173073007720002</v>
      </c>
      <c r="AC576" s="85" t="str">
        <f>IFERROR(__xludf.DUMMYFUNCTION("""COMPUTED_VALUE"""),"70.283.049.8-019.000")</f>
        <v>70.283.049.8-019.000</v>
      </c>
      <c r="AD576" s="85" t="str">
        <f>IFERROR(__xludf.DUMMYFUNCTION("""COMPUTED_VALUE"""),"CUM - EEN")</f>
        <v>CUM - EEN</v>
      </c>
      <c r="AE576" s="85" t="str">
        <f>IFERROR(__xludf.DUMMYFUNCTION("""COMPUTED_VALUE"""),"SUB EEN")</f>
        <v>SUB EEN</v>
      </c>
      <c r="AF576" s="85" t="str">
        <f>IFERROR(__xludf.DUMMYFUNCTION("""COMPUTED_VALUE"""),"082258172919")</f>
        <v>082258172919</v>
      </c>
      <c r="AG576" s="85"/>
      <c r="AH576" s="85" t="str">
        <f>IFERROR(__xludf.DUMMYFUNCTION("""COMPUTED_VALUE"""),"miraclesxa@gmail.com")</f>
        <v>miraclesxa@gmail.com</v>
      </c>
      <c r="AI576" s="85" t="str">
        <f>IFERROR(__xludf.DUMMYFUNCTION("""COMPUTED_VALUE"""),"12530S2")</f>
        <v>12530S2</v>
      </c>
      <c r="AJ576" s="85" t="str">
        <f>IFERROR(__xludf.DUMMYFUNCTION("""COMPUTED_VALUE"""),"6886e1d85615e32f350fe797")</f>
        <v>6886e1d85615e32f350fe797</v>
      </c>
      <c r="AK576" s="85" t="str">
        <f>IFERROR(__xludf.DUMMYFUNCTION("""COMPUTED_VALUE"""),"dm12530s2")</f>
        <v>dm12530s2</v>
      </c>
      <c r="AL576" s="85" t="str">
        <f>IFERROR(__xludf.DUMMYFUNCTION("""COMPUTED_VALUE"""),"#12530Pos")</f>
        <v>#12530Pos</v>
      </c>
      <c r="AM576" s="85" t="str">
        <f>IFERROR(__xludf.DUMMYFUNCTION("""COMPUTED_VALUE"""),"KANTOR REGIONAL II JAKARTA 10004")</f>
        <v>KANTOR REGIONAL II JAKARTA 10004</v>
      </c>
      <c r="AN576" s="85" t="str">
        <f>IFERROR(__xludf.DUMMYFUNCTION("""COMPUTED_VALUE"""),"KCU JAKARTAFLORA 12000")</f>
        <v>KCU JAKARTAFLORA 12000</v>
      </c>
      <c r="AO576" s="85" t="str">
        <f>IFERROR(__xludf.DUMMYFUNCTION("""COMPUTED_VALUE"""),"2307250015621")</f>
        <v>2307250015621</v>
      </c>
      <c r="AP576" s="85" t="str">
        <f>IFERROR(__xludf.DUMMYFUNCTION("""COMPUTED_VALUE"""),"23072500156210001")</f>
        <v>23072500156210001</v>
      </c>
      <c r="AQ576" s="93"/>
      <c r="AR576" s="85"/>
      <c r="AS576" s="85"/>
      <c r="AT576" s="85" t="str">
        <f>IFERROR(__xludf.DUMMYFUNCTION("""COMPUTED_VALUE"""),"-6.3000908")</f>
        <v>-6.3000908</v>
      </c>
      <c r="AU576" s="85" t="str">
        <f>IFERROR(__xludf.DUMMYFUNCTION("""COMPUTED_VALUE"""),"106.8408445")</f>
        <v>106.8408445</v>
      </c>
      <c r="AV576" s="85"/>
      <c r="AW576" s="85"/>
      <c r="AX576" s="85"/>
      <c r="AY576" s="85"/>
      <c r="AZ576" s="85"/>
      <c r="BA576" s="85"/>
      <c r="BB576" s="85"/>
      <c r="BC576" s="85"/>
      <c r="BD576" s="85"/>
      <c r="BE576" s="85"/>
      <c r="BF576" s="85"/>
      <c r="BG576" s="85"/>
      <c r="BH576" s="85"/>
      <c r="BI576" s="85"/>
      <c r="BJ576" s="85"/>
      <c r="BK576" s="85"/>
      <c r="BL576" s="85"/>
      <c r="BM576" s="85"/>
      <c r="BN576" s="85"/>
      <c r="BO576" s="85"/>
      <c r="BP576" s="85"/>
      <c r="BQ576" s="85"/>
      <c r="BR576" s="85"/>
      <c r="BS576" s="85"/>
      <c r="BT576" s="85"/>
      <c r="BU576" s="85"/>
      <c r="BV576" s="85"/>
      <c r="BW576" s="85"/>
      <c r="BX576" s="85" t="str">
        <f>IFERROR(__xludf.DUMMYFUNCTION("""COMPUTED_VALUE"""),"MULTIKURIR - LION PARCEL")</f>
        <v>MULTIKURIR - LION PARCEL</v>
      </c>
      <c r="BY576" s="85"/>
      <c r="BZ576" s="85"/>
      <c r="CA576" s="85"/>
      <c r="CB576" s="85"/>
      <c r="CC576" s="85"/>
      <c r="CD576" s="85"/>
      <c r="CE576" s="85"/>
      <c r="CF576" s="85"/>
      <c r="CG576" s="85"/>
      <c r="CH576" s="85"/>
      <c r="CI576" s="85"/>
      <c r="CJ576" s="85"/>
      <c r="CK576" s="2"/>
    </row>
    <row r="577" ht="12.75" customHeight="1">
      <c r="A577" s="80">
        <f>IFERROR(__xludf.DUMMYFUNCTION("""COMPUTED_VALUE"""),574.0)</f>
        <v>574</v>
      </c>
      <c r="B577" s="80"/>
      <c r="C577" s="80"/>
      <c r="D577" s="81">
        <f>IFERROR(__xludf.DUMMYFUNCTION("""COMPUTED_VALUE"""),45861.0)</f>
        <v>45861</v>
      </c>
      <c r="E577" s="82"/>
      <c r="F577" s="80"/>
      <c r="G577" s="81">
        <f>IFERROR(__xludf.DUMMYFUNCTION("""COMPUTED_VALUE"""),45902.0)</f>
        <v>45902</v>
      </c>
      <c r="H577" s="80"/>
      <c r="I577" s="80"/>
      <c r="J577" s="80"/>
      <c r="K577" s="80"/>
      <c r="L577" s="80">
        <f>IFERROR(__xludf.DUMMYFUNCTION("""COMPUTED_VALUE"""),41.0)</f>
        <v>41</v>
      </c>
      <c r="M577" s="80" t="str">
        <f>IFERROR(__xludf.DUMMYFUNCTION("""COMPUTED_VALUE"""),"ü")</f>
        <v>ü</v>
      </c>
      <c r="N577" s="80"/>
      <c r="O577" s="80"/>
      <c r="P577" s="80" t="str">
        <f>IFERROR(__xludf.DUMMYFUNCTION("""COMPUTED_VALUE"""),"53BSPA09596JBEEN")</f>
        <v>53BSPA09596JBEEN</v>
      </c>
      <c r="Q577" s="80" t="str">
        <f>IFERROR(__xludf.DUMMYFUNCTION("""COMPUTED_VALUE"""),"MUC POST FASCHOLITA")</f>
        <v>MUC POST FASCHOLITA</v>
      </c>
      <c r="R577" s="80" t="str">
        <f>IFERROR(__xludf.DUMMYFUNCTION("""COMPUTED_VALUE"""),"MUC POST FASCHOLITA")</f>
        <v>MUC POST FASCHOLITA</v>
      </c>
      <c r="S577" s="80" t="str">
        <f>IFERROR(__xludf.DUMMYFUNCTION("""COMPUTED_VALUE"""),"DEDEN AGUSTIAWAN")</f>
        <v>DEDEN AGUSTIAWAN</v>
      </c>
      <c r="T577" s="80" t="str">
        <f>IFERROR(__xludf.DUMMYFUNCTION("""COMPUTED_VALUE"""),"JLN BAKTI MULYA RT.007 RW.002, TEGAL ALUR, KALIDERES, JAKARTA BARAT")</f>
        <v>JLN BAKTI MULYA RT.007 RW.002, TEGAL ALUR, KALIDERES, JAKARTA BARAT</v>
      </c>
      <c r="U577" s="80" t="str">
        <f>IFERROR(__xludf.DUMMYFUNCTION("""COMPUTED_VALUE"""),"Ruko Villa Pekayon Blok B3 No. 34 Kelurahan, RT.004/RW.015")</f>
        <v>Ruko Villa Pekayon Blok B3 No. 34 Kelurahan, RT.004/RW.015</v>
      </c>
      <c r="V577" s="80"/>
      <c r="W577" s="80" t="str">
        <f>IFERROR(__xludf.DUMMYFUNCTION("""COMPUTED_VALUE"""),"Pekayonjaya")</f>
        <v>Pekayonjaya</v>
      </c>
      <c r="X577" s="80" t="str">
        <f>IFERROR(__xludf.DUMMYFUNCTION("""COMPUTED_VALUE"""),"Bekasi Selatan")</f>
        <v>Bekasi Selatan</v>
      </c>
      <c r="Y577" s="80" t="str">
        <f>IFERROR(__xludf.DUMMYFUNCTION("""COMPUTED_VALUE"""),"Kota Bekasi")</f>
        <v>Kota Bekasi</v>
      </c>
      <c r="Z577" s="80" t="str">
        <f>IFERROR(__xludf.DUMMYFUNCTION("""COMPUTED_VALUE"""),"Jawa Barat ")</f>
        <v>Jawa Barat </v>
      </c>
      <c r="AA577" s="80" t="str">
        <f>IFERROR(__xludf.DUMMYFUNCTION("""COMPUTED_VALUE"""),"17148")</f>
        <v>17148</v>
      </c>
      <c r="AB577" s="80" t="str">
        <f>IFERROR(__xludf.DUMMYFUNCTION("""COMPUTED_VALUE"""),"3173061708800020")</f>
        <v>3173061708800020</v>
      </c>
      <c r="AC577" s="80" t="str">
        <f>IFERROR(__xludf.DUMMYFUNCTION("""COMPUTED_VALUE"""),"81.227.872.9-085.000")</f>
        <v>81.227.872.9-085.000</v>
      </c>
      <c r="AD577" s="80" t="str">
        <f>IFERROR(__xludf.DUMMYFUNCTION("""COMPUTED_VALUE"""),"CUM - EEN")</f>
        <v>CUM - EEN</v>
      </c>
      <c r="AE577" s="80" t="str">
        <f>IFERROR(__xludf.DUMMYFUNCTION("""COMPUTED_VALUE"""),"SUB EEN")</f>
        <v>SUB EEN</v>
      </c>
      <c r="AF577" s="80" t="str">
        <f>IFERROR(__xludf.DUMMYFUNCTION("""COMPUTED_VALUE"""),"082258683189")</f>
        <v>082258683189</v>
      </c>
      <c r="AG577" s="80"/>
      <c r="AH577" s="80" t="str">
        <f>IFERROR(__xludf.DUMMYFUNCTION("""COMPUTED_VALUE"""),"fascholita@gmail.com")</f>
        <v>fascholita@gmail.com</v>
      </c>
      <c r="AI577" s="80" t="str">
        <f>IFERROR(__xludf.DUMMYFUNCTION("""COMPUTED_VALUE"""),"17148S6")</f>
        <v>17148S6</v>
      </c>
      <c r="AJ577" s="80" t="str">
        <f>IFERROR(__xludf.DUMMYFUNCTION("""COMPUTED_VALUE"""),"68b17505f60d12842005de94")</f>
        <v>68b17505f60d12842005de94</v>
      </c>
      <c r="AK577" s="80" t="str">
        <f>IFERROR(__xludf.DUMMYFUNCTION("""COMPUTED_VALUE"""),"dm17148s6")</f>
        <v>dm17148s6</v>
      </c>
      <c r="AL577" s="80" t="str">
        <f>IFERROR(__xludf.DUMMYFUNCTION("""COMPUTED_VALUE"""),"#17148Pos")</f>
        <v>#17148Pos</v>
      </c>
      <c r="AM577" s="80" t="str">
        <f>IFERROR(__xludf.DUMMYFUNCTION("""COMPUTED_VALUE"""),"KANTOR REGIONAL II JAKARTA 10004")</f>
        <v>KANTOR REGIONAL II JAKARTA 10004</v>
      </c>
      <c r="AN577" s="80" t="str">
        <f>IFERROR(__xludf.DUMMYFUNCTION("""COMPUTED_VALUE"""),"KCU BEKASI 17000")</f>
        <v>KCU BEKASI 17000</v>
      </c>
      <c r="AO577" s="80" t="str">
        <f>IFERROR(__xludf.DUMMYFUNCTION("""COMPUTED_VALUE"""),"2307250062004")</f>
        <v>2307250062004</v>
      </c>
      <c r="AP577" s="80" t="str">
        <f>IFERROR(__xludf.DUMMYFUNCTION("""COMPUTED_VALUE"""),"23072500620040001")</f>
        <v>23072500620040001</v>
      </c>
      <c r="AQ577" s="83"/>
      <c r="AR577" s="80"/>
      <c r="AS577" s="80"/>
      <c r="AT577" s="80" t="str">
        <f>IFERROR(__xludf.DUMMYFUNCTION("""COMPUTED_VALUE"""),"-6.2595941")</f>
        <v>-6.2595941</v>
      </c>
      <c r="AU577" s="80" t="str">
        <f>IFERROR(__xludf.DUMMYFUNCTION("""COMPUTED_VALUE"""),"106.9812283")</f>
        <v>106.9812283</v>
      </c>
      <c r="AV577" s="80"/>
      <c r="AW577" s="80"/>
      <c r="AX577" s="80"/>
      <c r="AY577" s="80"/>
      <c r="AZ577" s="80"/>
      <c r="BA577" s="80"/>
      <c r="BB577" s="80"/>
      <c r="BC577" s="80"/>
      <c r="BD577" s="80"/>
      <c r="BE577" s="80"/>
      <c r="BF577" s="80"/>
      <c r="BG577" s="80"/>
      <c r="BH577" s="80"/>
      <c r="BI577" s="80"/>
      <c r="BJ577" s="80"/>
      <c r="BK577" s="80"/>
      <c r="BL577" s="80"/>
      <c r="BM577" s="80"/>
      <c r="BN577" s="80"/>
      <c r="BO577" s="80"/>
      <c r="BP577" s="80"/>
      <c r="BQ577" s="80"/>
      <c r="BR577" s="80"/>
      <c r="BS577" s="80"/>
      <c r="BT577" s="80"/>
      <c r="BU577" s="80"/>
      <c r="BV577" s="80"/>
      <c r="BW577" s="80"/>
      <c r="BX577" s="80" t="str">
        <f>IFERROR(__xludf.DUMMYFUNCTION("""COMPUTED_VALUE"""),"MULTIKURIR - LION PARCEL")</f>
        <v>MULTIKURIR - LION PARCEL</v>
      </c>
      <c r="BY577" s="80"/>
      <c r="BZ577" s="80"/>
      <c r="CA577" s="80"/>
      <c r="CB577" s="80"/>
      <c r="CC577" s="80"/>
      <c r="CD577" s="80"/>
      <c r="CE577" s="80"/>
      <c r="CF577" s="80"/>
      <c r="CG577" s="80"/>
      <c r="CH577" s="80"/>
      <c r="CI577" s="80"/>
      <c r="CJ577" s="80"/>
      <c r="CK577" s="2"/>
    </row>
    <row r="578" ht="12.75" customHeight="1">
      <c r="A578" s="85">
        <f>IFERROR(__xludf.DUMMYFUNCTION("""COMPUTED_VALUE"""),575.0)</f>
        <v>575</v>
      </c>
      <c r="B578" s="85"/>
      <c r="C578" s="85"/>
      <c r="D578" s="86">
        <f>IFERROR(__xludf.DUMMYFUNCTION("""COMPUTED_VALUE"""),45861.0)</f>
        <v>45861</v>
      </c>
      <c r="E578" s="88"/>
      <c r="F578" s="85"/>
      <c r="G578" s="86">
        <f>IFERROR(__xludf.DUMMYFUNCTION("""COMPUTED_VALUE"""),45870.0)</f>
        <v>45870</v>
      </c>
      <c r="H578" s="85"/>
      <c r="I578" s="85"/>
      <c r="J578" s="85"/>
      <c r="K578" s="85"/>
      <c r="L578" s="85">
        <f>IFERROR(__xludf.DUMMYFUNCTION("""COMPUTED_VALUE"""),9.0)</f>
        <v>9</v>
      </c>
      <c r="M578" s="85" t="str">
        <f>IFERROR(__xludf.DUMMYFUNCTION("""COMPUTED_VALUE"""),"ü")</f>
        <v>ü</v>
      </c>
      <c r="N578" s="85"/>
      <c r="O578" s="85"/>
      <c r="P578" s="85" t="str">
        <f>IFERROR(__xludf.DUMMYFUNCTION("""COMPUTED_VALUE"""),"53BSPA09569JBEEN")</f>
        <v>53BSPA09569JBEEN</v>
      </c>
      <c r="Q578" s="85" t="str">
        <f>IFERROR(__xludf.DUMMYFUNCTION("""COMPUTED_VALUE"""),"MUC POST M TOHA")</f>
        <v>MUC POST M TOHA</v>
      </c>
      <c r="R578" s="85" t="str">
        <f>IFERROR(__xludf.DUMMYFUNCTION("""COMPUTED_VALUE"""),"MUC POST M TOHA")</f>
        <v>MUC POST M TOHA</v>
      </c>
      <c r="S578" s="85" t="str">
        <f>IFERROR(__xludf.DUMMYFUNCTION("""COMPUTED_VALUE"""),"M. SARBI")</f>
        <v>M. SARBI</v>
      </c>
      <c r="T578" s="85" t="str">
        <f>IFERROR(__xludf.DUMMYFUNCTION("""COMPUTED_VALUE"""),"BENUA INDAH BLOK E4-4 RT.001 RW. 008, PABUARAN TUMPENG, KARAWACI, KOTA TANGERANG")</f>
        <v>BENUA INDAH BLOK E4-4 RT.001 RW. 008, PABUARAN TUMPENG, KARAWACI, KOTA TANGERANG</v>
      </c>
      <c r="U578" s="85" t="str">
        <f>IFERROR(__xludf.DUMMYFUNCTION("""COMPUTED_VALUE"""),"Jl. Moh Toha")</f>
        <v>Jl. Moh Toha</v>
      </c>
      <c r="V578" s="85"/>
      <c r="W578" s="85" t="str">
        <f>IFERROR(__xludf.DUMMYFUNCTION("""COMPUTED_VALUE"""),"Pabuaran Tumpeng")</f>
        <v>Pabuaran Tumpeng</v>
      </c>
      <c r="X578" s="85" t="str">
        <f>IFERROR(__xludf.DUMMYFUNCTION("""COMPUTED_VALUE"""),"Karawaci")</f>
        <v>Karawaci</v>
      </c>
      <c r="Y578" s="85" t="str">
        <f>IFERROR(__xludf.DUMMYFUNCTION("""COMPUTED_VALUE"""),"Kota Tangerang")</f>
        <v>Kota Tangerang</v>
      </c>
      <c r="Z578" s="85" t="str">
        <f>IFERROR(__xludf.DUMMYFUNCTION("""COMPUTED_VALUE"""),"Banten")</f>
        <v>Banten</v>
      </c>
      <c r="AA578" s="85" t="str">
        <f>IFERROR(__xludf.DUMMYFUNCTION("""COMPUTED_VALUE"""),"15122")</f>
        <v>15122</v>
      </c>
      <c r="AB578" s="85" t="str">
        <f>IFERROR(__xludf.DUMMYFUNCTION("""COMPUTED_VALUE"""),"3671071704570001")</f>
        <v>3671071704570001</v>
      </c>
      <c r="AC578" s="85" t="str">
        <f>IFERROR(__xludf.DUMMYFUNCTION("""COMPUTED_VALUE"""),"48.616.698.6-402.000")</f>
        <v>48.616.698.6-402.000</v>
      </c>
      <c r="AD578" s="85" t="str">
        <f>IFERROR(__xludf.DUMMYFUNCTION("""COMPUTED_VALUE"""),"CUM - EEN")</f>
        <v>CUM - EEN</v>
      </c>
      <c r="AE578" s="85" t="str">
        <f>IFERROR(__xludf.DUMMYFUNCTION("""COMPUTED_VALUE"""),"SUB EEN")</f>
        <v>SUB EEN</v>
      </c>
      <c r="AF578" s="85" t="str">
        <f>IFERROR(__xludf.DUMMYFUNCTION("""COMPUTED_VALUE"""),"082213385692")</f>
        <v>082213385692</v>
      </c>
      <c r="AG578" s="85"/>
      <c r="AH578" s="85" t="str">
        <f>IFERROR(__xludf.DUMMYFUNCTION("""COMPUTED_VALUE"""),"swtyowatiati92@gmail.com")</f>
        <v>swtyowatiati92@gmail.com</v>
      </c>
      <c r="AI578" s="85" t="str">
        <f>IFERROR(__xludf.DUMMYFUNCTION("""COMPUTED_VALUE"""),"15112S2")</f>
        <v>15112S2</v>
      </c>
      <c r="AJ578" s="85" t="str">
        <f>IFERROR(__xludf.DUMMYFUNCTION("""COMPUTED_VALUE"""),"6889d51846762139570b899e")</f>
        <v>6889d51846762139570b899e</v>
      </c>
      <c r="AK578" s="85" t="str">
        <f>IFERROR(__xludf.DUMMYFUNCTION("""COMPUTED_VALUE"""),"dm15112s2")</f>
        <v>dm15112s2</v>
      </c>
      <c r="AL578" s="85" t="str">
        <f>IFERROR(__xludf.DUMMYFUNCTION("""COMPUTED_VALUE"""),"#15112Pos")</f>
        <v>#15112Pos</v>
      </c>
      <c r="AM578" s="85" t="str">
        <f>IFERROR(__xludf.DUMMYFUNCTION("""COMPUTED_VALUE"""),"KANTOR REGIONAL II JAKARTA 10004")</f>
        <v>KANTOR REGIONAL II JAKARTA 10004</v>
      </c>
      <c r="AN578" s="85" t="str">
        <f>IFERROR(__xludf.DUMMYFUNCTION("""COMPUTED_VALUE"""),"KCU TANGERANG 15000")</f>
        <v>KCU TANGERANG 15000</v>
      </c>
      <c r="AO578" s="85" t="str">
        <f>IFERROR(__xludf.DUMMYFUNCTION("""COMPUTED_VALUE"""),"2307250090602")</f>
        <v>2307250090602</v>
      </c>
      <c r="AP578" s="85" t="str">
        <f>IFERROR(__xludf.DUMMYFUNCTION("""COMPUTED_VALUE"""),"23072500906020001")</f>
        <v>23072500906020001</v>
      </c>
      <c r="AQ578" s="93"/>
      <c r="AR578" s="85"/>
      <c r="AS578" s="85"/>
      <c r="AT578" s="85" t="str">
        <f>IFERROR(__xludf.DUMMYFUNCTION("""COMPUTED_VALUE"""),"-6.1705234")</f>
        <v>-6.1705234</v>
      </c>
      <c r="AU578" s="85" t="str">
        <f>IFERROR(__xludf.DUMMYFUNCTION("""COMPUTED_VALUE"""),"106.6166034")</f>
        <v>106.6166034</v>
      </c>
      <c r="AV578" s="85"/>
      <c r="AW578" s="85"/>
      <c r="AX578" s="85"/>
      <c r="AY578" s="85"/>
      <c r="AZ578" s="85"/>
      <c r="BA578" s="85"/>
      <c r="BB578" s="85"/>
      <c r="BC578" s="85"/>
      <c r="BD578" s="85"/>
      <c r="BE578" s="85"/>
      <c r="BF578" s="85"/>
      <c r="BG578" s="85"/>
      <c r="BH578" s="85"/>
      <c r="BI578" s="85"/>
      <c r="BJ578" s="85"/>
      <c r="BK578" s="85"/>
      <c r="BL578" s="85"/>
      <c r="BM578" s="85"/>
      <c r="BN578" s="85"/>
      <c r="BO578" s="85"/>
      <c r="BP578" s="85"/>
      <c r="BQ578" s="85"/>
      <c r="BR578" s="85"/>
      <c r="BS578" s="85"/>
      <c r="BT578" s="85"/>
      <c r="BU578" s="85"/>
      <c r="BV578" s="85"/>
      <c r="BW578" s="85"/>
      <c r="BX578" s="85" t="str">
        <f>IFERROR(__xludf.DUMMYFUNCTION("""COMPUTED_VALUE"""),"PPOB")</f>
        <v>PPOB</v>
      </c>
      <c r="BY578" s="85"/>
      <c r="BZ578" s="85"/>
      <c r="CA578" s="85"/>
      <c r="CB578" s="85"/>
      <c r="CC578" s="85"/>
      <c r="CD578" s="85"/>
      <c r="CE578" s="85"/>
      <c r="CF578" s="85"/>
      <c r="CG578" s="85"/>
      <c r="CH578" s="85"/>
      <c r="CI578" s="85"/>
      <c r="CJ578" s="85"/>
      <c r="CK578" s="2"/>
    </row>
    <row r="579" ht="12.75" customHeight="1">
      <c r="A579" s="80">
        <f>IFERROR(__xludf.DUMMYFUNCTION("""COMPUTED_VALUE"""),576.0)</f>
        <v>576</v>
      </c>
      <c r="B579" s="80"/>
      <c r="C579" s="80"/>
      <c r="D579" s="81">
        <f>IFERROR(__xludf.DUMMYFUNCTION("""COMPUTED_VALUE"""),45861.0)</f>
        <v>45861</v>
      </c>
      <c r="E579" s="82"/>
      <c r="F579" s="80"/>
      <c r="G579" s="81">
        <f>IFERROR(__xludf.DUMMYFUNCTION("""COMPUTED_VALUE"""),45870.0)</f>
        <v>45870</v>
      </c>
      <c r="H579" s="80"/>
      <c r="I579" s="80"/>
      <c r="J579" s="80"/>
      <c r="K579" s="80"/>
      <c r="L579" s="80">
        <f>IFERROR(__xludf.DUMMYFUNCTION("""COMPUTED_VALUE"""),9.0)</f>
        <v>9</v>
      </c>
      <c r="M579" s="80" t="str">
        <f>IFERROR(__xludf.DUMMYFUNCTION("""COMPUTED_VALUE"""),"ü")</f>
        <v>ü</v>
      </c>
      <c r="N579" s="80"/>
      <c r="O579" s="80"/>
      <c r="P579" s="80" t="str">
        <f>IFERROR(__xludf.DUMMYFUNCTION("""COMPUTED_VALUE"""),"MUCSPA63201PSIND")</f>
        <v>MUCSPA63201PSIND</v>
      </c>
      <c r="Q579" s="80" t="str">
        <f>IFERROR(__xludf.DUMMYFUNCTION("""COMPUTED_VALUE"""),"MUC DMC LOGIS")</f>
        <v>MUC DMC LOGIS</v>
      </c>
      <c r="R579" s="80" t="str">
        <f>IFERROR(__xludf.DUMMYFUNCTION("""COMPUTED_VALUE"""),"MUC DMC LOGIS")</f>
        <v>MUC DMC LOGIS</v>
      </c>
      <c r="S579" s="80" t="str">
        <f>IFERROR(__xludf.DUMMYFUNCTION("""COMPUTED_VALUE"""),"SUWANTO")</f>
        <v>SUWANTO</v>
      </c>
      <c r="T579" s="80" t="str">
        <f>IFERROR(__xludf.DUMMYFUNCTION("""COMPUTED_VALUE"""),"PLOSOKEREP RT 04 RW 11, NGRINGO, JATEN, KARANGANYAR")</f>
        <v>PLOSOKEREP RT 04 RW 11, NGRINGO, JATEN, KARANGANYAR</v>
      </c>
      <c r="U579" s="80" t="str">
        <f>IFERROR(__xludf.DUMMYFUNCTION("""COMPUTED_VALUE"""),"Plosokerep RT 04 RW 11")</f>
        <v>Plosokerep RT 04 RW 11</v>
      </c>
      <c r="V579" s="80"/>
      <c r="W579" s="80" t="str">
        <f>IFERROR(__xludf.DUMMYFUNCTION("""COMPUTED_VALUE"""),"Ngringo")</f>
        <v>Ngringo</v>
      </c>
      <c r="X579" s="80" t="str">
        <f>IFERROR(__xludf.DUMMYFUNCTION("""COMPUTED_VALUE"""),"Jaten")</f>
        <v>Jaten</v>
      </c>
      <c r="Y579" s="80" t="str">
        <f>IFERROR(__xludf.DUMMYFUNCTION("""COMPUTED_VALUE"""),"Karanganyar")</f>
        <v>Karanganyar</v>
      </c>
      <c r="Z579" s="80" t="str">
        <f>IFERROR(__xludf.DUMMYFUNCTION("""COMPUTED_VALUE"""),"Jawa Tengah")</f>
        <v>Jawa Tengah</v>
      </c>
      <c r="AA579" s="80" t="str">
        <f>IFERROR(__xludf.DUMMYFUNCTION("""COMPUTED_VALUE"""),"57772")</f>
        <v>57772</v>
      </c>
      <c r="AB579" s="80" t="str">
        <f>IFERROR(__xludf.DUMMYFUNCTION("""COMPUTED_VALUE"""),"3313112906830001")</f>
        <v>3313112906830001</v>
      </c>
      <c r="AC579" s="80" t="str">
        <f>IFERROR(__xludf.DUMMYFUNCTION("""COMPUTED_VALUE"""),"80.689.213.9-528.000")</f>
        <v>80.689.213.9-528.000</v>
      </c>
      <c r="AD579" s="80" t="str">
        <f>IFERROR(__xludf.DUMMYFUNCTION("""COMPUTED_VALUE"""),"CUM - PS - EKO")</f>
        <v>CUM - PS - EKO</v>
      </c>
      <c r="AE579" s="80" t="str">
        <f>IFERROR(__xludf.DUMMYFUNCTION("""COMPUTED_VALUE"""),"SUB EKO POS")</f>
        <v>SUB EKO POS</v>
      </c>
      <c r="AF579" s="80" t="str">
        <f>IFERROR(__xludf.DUMMYFUNCTION("""COMPUTED_VALUE"""),"085725462555")</f>
        <v>085725462555</v>
      </c>
      <c r="AG579" s="80"/>
      <c r="AH579" s="80" t="str">
        <f>IFERROR(__xludf.DUMMYFUNCTION("""COMPUTED_VALUE"""),"tokodmc257@gmail.com")</f>
        <v>tokodmc257@gmail.com</v>
      </c>
      <c r="AI579" s="80" t="str">
        <f>IFERROR(__xludf.DUMMYFUNCTION("""COMPUTED_VALUE"""),"57771S7")</f>
        <v>57771S7</v>
      </c>
      <c r="AJ579" s="80" t="str">
        <f>IFERROR(__xludf.DUMMYFUNCTION("""COMPUTED_VALUE"""),"6889e62a8a1fe32ffd0f4584")</f>
        <v>6889e62a8a1fe32ffd0f4584</v>
      </c>
      <c r="AK579" s="80" t="str">
        <f>IFERROR(__xludf.DUMMYFUNCTION("""COMPUTED_VALUE"""),"dm57771s7")</f>
        <v>dm57771s7</v>
      </c>
      <c r="AL579" s="80" t="str">
        <f>IFERROR(__xludf.DUMMYFUNCTION("""COMPUTED_VALUE"""),"#57771Pos")</f>
        <v>#57771Pos</v>
      </c>
      <c r="AM579" s="80" t="str">
        <f>IFERROR(__xludf.DUMMYFUNCTION("""COMPUTED_VALUE"""),"KANTOR REGIONAL IV SEMARANG 50004")</f>
        <v>KANTOR REGIONAL IV SEMARANG 50004</v>
      </c>
      <c r="AN579" s="80" t="str">
        <f>IFERROR(__xludf.DUMMYFUNCTION("""COMPUTED_VALUE"""),"KC KARANGANYAR")</f>
        <v>KC KARANGANYAR</v>
      </c>
      <c r="AO579" s="80" t="str">
        <f>IFERROR(__xludf.DUMMYFUNCTION("""COMPUTED_VALUE"""),"1411210000894")</f>
        <v>1411210000894</v>
      </c>
      <c r="AP579" s="80" t="str">
        <f>IFERROR(__xludf.DUMMYFUNCTION("""COMPUTED_VALUE"""),"14112100008940001")</f>
        <v>14112100008940001</v>
      </c>
      <c r="AQ579" s="83"/>
      <c r="AR579" s="80"/>
      <c r="AS579" s="80"/>
      <c r="AT579" s="80" t="str">
        <f>IFERROR(__xludf.DUMMYFUNCTION("""COMPUTED_VALUE"""),"-7.551200")</f>
        <v>-7.551200</v>
      </c>
      <c r="AU579" s="80" t="str">
        <f>IFERROR(__xludf.DUMMYFUNCTION("""COMPUTED_VALUE"""),"110.877074")</f>
        <v>110.877074</v>
      </c>
      <c r="AV579" s="80"/>
      <c r="AW579" s="80"/>
      <c r="AX579" s="80"/>
      <c r="AY579" s="80"/>
      <c r="AZ579" s="80"/>
      <c r="BA579" s="80"/>
      <c r="BB579" s="80"/>
      <c r="BC579" s="80"/>
      <c r="BD579" s="80"/>
      <c r="BE579" s="80"/>
      <c r="BF579" s="80"/>
      <c r="BG579" s="80"/>
      <c r="BH579" s="80"/>
      <c r="BI579" s="80"/>
      <c r="BJ579" s="80"/>
      <c r="BK579" s="80"/>
      <c r="BL579" s="80"/>
      <c r="BM579" s="80"/>
      <c r="BN579" s="80"/>
      <c r="BO579" s="80"/>
      <c r="BP579" s="80"/>
      <c r="BQ579" s="80"/>
      <c r="BR579" s="80"/>
      <c r="BS579" s="80"/>
      <c r="BT579" s="80"/>
      <c r="BU579" s="80"/>
      <c r="BV579" s="80"/>
      <c r="BW579" s="80"/>
      <c r="BX579" s="80" t="str">
        <f>IFERROR(__xludf.DUMMYFUNCTION("""COMPUTED_VALUE"""),"PPOB")</f>
        <v>PPOB</v>
      </c>
      <c r="BY579" s="80"/>
      <c r="BZ579" s="80"/>
      <c r="CA579" s="80"/>
      <c r="CB579" s="80"/>
      <c r="CC579" s="80"/>
      <c r="CD579" s="80"/>
      <c r="CE579" s="80"/>
      <c r="CF579" s="80"/>
      <c r="CG579" s="80"/>
      <c r="CH579" s="80"/>
      <c r="CI579" s="80"/>
      <c r="CJ579" s="80"/>
      <c r="CK579" s="2"/>
    </row>
    <row r="580" ht="12.75" customHeight="1">
      <c r="A580" s="85">
        <f>IFERROR(__xludf.DUMMYFUNCTION("""COMPUTED_VALUE"""),577.0)</f>
        <v>577</v>
      </c>
      <c r="B580" s="85"/>
      <c r="C580" s="85"/>
      <c r="D580" s="86">
        <f>IFERROR(__xludf.DUMMYFUNCTION("""COMPUTED_VALUE"""),45862.0)</f>
        <v>45862</v>
      </c>
      <c r="E580" s="88"/>
      <c r="F580" s="85"/>
      <c r="G580" s="86">
        <f>IFERROR(__xludf.DUMMYFUNCTION("""COMPUTED_VALUE"""),45881.0)</f>
        <v>45881</v>
      </c>
      <c r="H580" s="85"/>
      <c r="I580" s="85"/>
      <c r="J580" s="85"/>
      <c r="K580" s="85"/>
      <c r="L580" s="85">
        <f>IFERROR(__xludf.DUMMYFUNCTION("""COMPUTED_VALUE"""),19.0)</f>
        <v>19</v>
      </c>
      <c r="M580" s="85"/>
      <c r="N580" s="85" t="str">
        <f>IFERROR(__xludf.DUMMYFUNCTION("""COMPUTED_VALUE"""),"ü")</f>
        <v>ü</v>
      </c>
      <c r="O580" s="85"/>
      <c r="P580" s="85" t="str">
        <f>IFERROR(__xludf.DUMMYFUNCTION("""COMPUTED_VALUE"""),"MLO5500044CUMPOS")</f>
        <v>MLO5500044CUMPOS</v>
      </c>
      <c r="Q580" s="85" t="str">
        <f>IFERROR(__xludf.DUMMYFUNCTION("""COMPUTED_VALUE"""),"MUC Delisha Store")</f>
        <v>MUC Delisha Store</v>
      </c>
      <c r="R580" s="85" t="str">
        <f>IFERROR(__xludf.DUMMYFUNCTION("""COMPUTED_VALUE"""),"MUC Delisha Store")</f>
        <v>MUC Delisha Store</v>
      </c>
      <c r="S580" s="85" t="str">
        <f>IFERROR(__xludf.DUMMYFUNCTION("""COMPUTED_VALUE"""),"IMAM WAHYUDI")</f>
        <v>IMAM WAHYUDI</v>
      </c>
      <c r="T580" s="85" t="str">
        <f>IFERROR(__xludf.DUMMYFUNCTION("""COMPUTED_VALUE"""),"JL. GEDENG PORMONI DUSUN WAGE RT 001 RW 001 DESA PASALEMAN KEC. PASALEMAN KAB CIREBON ")</f>
        <v>JL. GEDENG PORMONI DUSUN WAGE RT 001 RW 001 DESA PASALEMAN KEC. PASALEMAN KAB CIREBON </v>
      </c>
      <c r="U580" s="85" t="str">
        <f>IFERROR(__xludf.DUMMYFUNCTION("""COMPUTED_VALUE"""),"DUSUN WAGE RT.001 RW.001")</f>
        <v>DUSUN WAGE RT.001 RW.001</v>
      </c>
      <c r="V580" s="85"/>
      <c r="W580" s="85" t="str">
        <f>IFERROR(__xludf.DUMMYFUNCTION("""COMPUTED_VALUE"""),"PASALEMAN")</f>
        <v>PASALEMAN</v>
      </c>
      <c r="X580" s="85" t="str">
        <f>IFERROR(__xludf.DUMMYFUNCTION("""COMPUTED_VALUE"""),"PASALEMAN")</f>
        <v>PASALEMAN</v>
      </c>
      <c r="Y580" s="85" t="str">
        <f>IFERROR(__xludf.DUMMYFUNCTION("""COMPUTED_VALUE"""),"CIREBON")</f>
        <v>CIREBON</v>
      </c>
      <c r="Z580" s="85" t="str">
        <f>IFERROR(__xludf.DUMMYFUNCTION("""COMPUTED_VALUE"""),"JAWA BARAT")</f>
        <v>JAWA BARAT</v>
      </c>
      <c r="AA580" s="85" t="str">
        <f>IFERROR(__xludf.DUMMYFUNCTION("""COMPUTED_VALUE"""),"45187")</f>
        <v>45187</v>
      </c>
      <c r="AB580" s="85" t="str">
        <f>IFERROR(__xludf.DUMMYFUNCTION("""COMPUTED_VALUE"""),"3209010505850007")</f>
        <v>3209010505850007</v>
      </c>
      <c r="AC580" s="85" t="str">
        <f>IFERROR(__xludf.DUMMYFUNCTION("""COMPUTED_VALUE"""),"83.540.327.0-426.000")</f>
        <v>83.540.327.0-426.000</v>
      </c>
      <c r="AD580" s="85" t="str">
        <f>IFERROR(__xludf.DUMMYFUNCTION("""COMPUTED_VALUE"""),"CUM - PS - JHR")</f>
        <v>CUM - PS - JHR</v>
      </c>
      <c r="AE580" s="85" t="str">
        <f>IFERROR(__xludf.DUMMYFUNCTION("""COMPUTED_VALUE"""),"SUB JOHAN POS")</f>
        <v>SUB JOHAN POS</v>
      </c>
      <c r="AF580" s="85" t="str">
        <f>IFERROR(__xludf.DUMMYFUNCTION("""COMPUTED_VALUE"""),"087861344670")</f>
        <v>087861344670</v>
      </c>
      <c r="AG580" s="85"/>
      <c r="AH580" s="85" t="str">
        <f>IFERROR(__xludf.DUMMYFUNCTION("""COMPUTED_VALUE"""),"adi14058588@gmail.com")</f>
        <v>adi14058588@gmail.com</v>
      </c>
      <c r="AI580" s="85" t="str">
        <f>IFERROR(__xludf.DUMMYFUNCTION("""COMPUTED_VALUE"""),"45697S2")</f>
        <v>45697S2</v>
      </c>
      <c r="AJ580" s="85" t="str">
        <f>IFERROR(__xludf.DUMMYFUNCTION("""COMPUTED_VALUE"""),"6896ce8ef157a06fd60a3833")</f>
        <v>6896ce8ef157a06fd60a3833</v>
      </c>
      <c r="AK580" s="85" t="str">
        <f>IFERROR(__xludf.DUMMYFUNCTION("""COMPUTED_VALUE"""),"dm45697s2")</f>
        <v>dm45697s2</v>
      </c>
      <c r="AL580" s="85" t="str">
        <f>IFERROR(__xludf.DUMMYFUNCTION("""COMPUTED_VALUE"""),"#45697Pos")</f>
        <v>#45697Pos</v>
      </c>
      <c r="AM580" s="85" t="str">
        <f>IFERROR(__xludf.DUMMYFUNCTION("""COMPUTED_VALUE"""),"KANTOR REGIONAL III BANDUNG 40004")</f>
        <v>KANTOR REGIONAL III BANDUNG 40004</v>
      </c>
      <c r="AN580" s="85" t="str">
        <f>IFERROR(__xludf.DUMMYFUNCTION("""COMPUTED_VALUE"""),"KCU CIREBON 45100")</f>
        <v>KCU CIREBON 45100</v>
      </c>
      <c r="AO580" s="85" t="str">
        <f>IFERROR(__xludf.DUMMYFUNCTION("""COMPUTED_VALUE"""),"2502250072259")</f>
        <v>2502250072259</v>
      </c>
      <c r="AP580" s="85" t="str">
        <f>IFERROR(__xludf.DUMMYFUNCTION("""COMPUTED_VALUE"""),"25022500722590001")</f>
        <v>25022500722590001</v>
      </c>
      <c r="AQ580" s="93"/>
      <c r="AR580" s="85"/>
      <c r="AS580" s="85"/>
      <c r="AT580" s="85" t="str">
        <f>IFERROR(__xludf.DUMMYFUNCTION("""COMPUTED_VALUE"""),"-6.9197099")</f>
        <v>-6.9197099</v>
      </c>
      <c r="AU580" s="85" t="str">
        <f>IFERROR(__xludf.DUMMYFUNCTION("""COMPUTED_VALUE"""),"108.7281254")</f>
        <v>108.7281254</v>
      </c>
      <c r="AV580" s="85"/>
      <c r="AW580" s="85"/>
      <c r="AX580" s="85"/>
      <c r="AY580" s="85"/>
      <c r="AZ580" s="85"/>
      <c r="BA580" s="85"/>
      <c r="BB580" s="85"/>
      <c r="BC580" s="85"/>
      <c r="BD580" s="85"/>
      <c r="BE580" s="85"/>
      <c r="BF580" s="85"/>
      <c r="BG580" s="85"/>
      <c r="BH580" s="85"/>
      <c r="BI580" s="85"/>
      <c r="BJ580" s="85"/>
      <c r="BK580" s="85"/>
      <c r="BL580" s="85"/>
      <c r="BM580" s="85"/>
      <c r="BN580" s="85"/>
      <c r="BO580" s="85"/>
      <c r="BP580" s="85"/>
      <c r="BQ580" s="85"/>
      <c r="BR580" s="85"/>
      <c r="BS580" s="85"/>
      <c r="BT580" s="85"/>
      <c r="BU580" s="85"/>
      <c r="BV580" s="85"/>
      <c r="BW580" s="85"/>
      <c r="BX580" s="85" t="str">
        <f>IFERROR(__xludf.DUMMYFUNCTION("""COMPUTED_VALUE"""),"SELLER")</f>
        <v>SELLER</v>
      </c>
      <c r="BY580" s="85"/>
      <c r="BZ580" s="85"/>
      <c r="CA580" s="85"/>
      <c r="CB580" s="85"/>
      <c r="CC580" s="85"/>
      <c r="CD580" s="85"/>
      <c r="CE580" s="85"/>
      <c r="CF580" s="85"/>
      <c r="CG580" s="85"/>
      <c r="CH580" s="85"/>
      <c r="CI580" s="85"/>
      <c r="CJ580" s="85"/>
      <c r="CK580" s="2"/>
    </row>
    <row r="581" ht="12.75" customHeight="1">
      <c r="A581" s="80">
        <f>IFERROR(__xludf.DUMMYFUNCTION("""COMPUTED_VALUE"""),578.0)</f>
        <v>578</v>
      </c>
      <c r="B581" s="80"/>
      <c r="C581" s="80"/>
      <c r="D581" s="81">
        <f>IFERROR(__xludf.DUMMYFUNCTION("""COMPUTED_VALUE"""),45863.0)</f>
        <v>45863</v>
      </c>
      <c r="E581" s="82"/>
      <c r="F581" s="80"/>
      <c r="G581" s="81">
        <f>IFERROR(__xludf.DUMMYFUNCTION("""COMPUTED_VALUE"""),45881.0)</f>
        <v>45881</v>
      </c>
      <c r="H581" s="80"/>
      <c r="I581" s="80"/>
      <c r="J581" s="80"/>
      <c r="K581" s="80"/>
      <c r="L581" s="80">
        <f>IFERROR(__xludf.DUMMYFUNCTION("""COMPUTED_VALUE"""),18.0)</f>
        <v>18</v>
      </c>
      <c r="M581" s="80"/>
      <c r="N581" s="80" t="str">
        <f>IFERROR(__xludf.DUMMYFUNCTION("""COMPUTED_VALUE"""),"ü")</f>
        <v>ü</v>
      </c>
      <c r="O581" s="80"/>
      <c r="P581" s="80" t="str">
        <f>IFERROR(__xludf.DUMMYFUNCTION("""COMPUTED_VALUE"""),"MLO5500045CUMPOS")</f>
        <v>MLO5500045CUMPOS</v>
      </c>
      <c r="Q581" s="80" t="str">
        <f>IFERROR(__xludf.DUMMYFUNCTION("""COMPUTED_VALUE"""),"MUC VANESHA COLLECTION")</f>
        <v>MUC VANESHA COLLECTION</v>
      </c>
      <c r="R581" s="80" t="str">
        <f>IFERROR(__xludf.DUMMYFUNCTION("""COMPUTED_VALUE"""),"MUC VANESHA COLLECTION")</f>
        <v>MUC VANESHA COLLECTION</v>
      </c>
      <c r="S581" s="80" t="str">
        <f>IFERROR(__xludf.DUMMYFUNCTION("""COMPUTED_VALUE"""),"MUHAMAD WAHYU AZIZI")</f>
        <v>MUHAMAD WAHYU AZIZI</v>
      </c>
      <c r="T581" s="80" t="str">
        <f>IFERROR(__xludf.DUMMYFUNCTION("""COMPUTED_VALUE"""),"DUSUN MANIS, RT 019,008, DESA PASALEMAN, KEC. PASALEMAN, KAB. CIREBON")</f>
        <v>DUSUN MANIS, RT 019,008, DESA PASALEMAN, KEC. PASALEMAN, KAB. CIREBON</v>
      </c>
      <c r="U581" s="80" t="str">
        <f>IFERROR(__xludf.DUMMYFUNCTION("""COMPUTED_VALUE"""),"JL PANGERAN SUTAJAYA")</f>
        <v>JL PANGERAN SUTAJAYA</v>
      </c>
      <c r="V581" s="80"/>
      <c r="W581" s="80" t="str">
        <f>IFERROR(__xludf.DUMMYFUNCTION("""COMPUTED_VALUE"""),"KUDUKERAS")</f>
        <v>KUDUKERAS</v>
      </c>
      <c r="X581" s="80" t="str">
        <f>IFERROR(__xludf.DUMMYFUNCTION("""COMPUTED_VALUE"""),"BABAKAN")</f>
        <v>BABAKAN</v>
      </c>
      <c r="Y581" s="80" t="str">
        <f>IFERROR(__xludf.DUMMYFUNCTION("""COMPUTED_VALUE"""),"KAB. CIREBON")</f>
        <v>KAB. CIREBON</v>
      </c>
      <c r="Z581" s="80" t="str">
        <f>IFERROR(__xludf.DUMMYFUNCTION("""COMPUTED_VALUE"""),"JAWA BARAT")</f>
        <v>JAWA BARAT</v>
      </c>
      <c r="AA581" s="80" t="str">
        <f>IFERROR(__xludf.DUMMYFUNCTION("""COMPUTED_VALUE"""),"45191")</f>
        <v>45191</v>
      </c>
      <c r="AB581" s="80" t="str">
        <f>IFERROR(__xludf.DUMMYFUNCTION("""COMPUTED_VALUE"""),"3209322706990002")</f>
        <v>3209322706990002</v>
      </c>
      <c r="AC581" s="80" t="str">
        <f>IFERROR(__xludf.DUMMYFUNCTION("""COMPUTED_VALUE"""),"96.152.728.0-455.000")</f>
        <v>96.152.728.0-455.000</v>
      </c>
      <c r="AD581" s="80" t="str">
        <f>IFERROR(__xludf.DUMMYFUNCTION("""COMPUTED_VALUE"""),"CUM - PS - JHR")</f>
        <v>CUM - PS - JHR</v>
      </c>
      <c r="AE581" s="80" t="str">
        <f>IFERROR(__xludf.DUMMYFUNCTION("""COMPUTED_VALUE"""),"SUB JOHAN POS")</f>
        <v>SUB JOHAN POS</v>
      </c>
      <c r="AF581" s="80" t="str">
        <f>IFERROR(__xludf.DUMMYFUNCTION("""COMPUTED_VALUE"""),"085797311767")</f>
        <v>085797311767</v>
      </c>
      <c r="AG581" s="80"/>
      <c r="AH581" s="80" t="str">
        <f>IFERROR(__xludf.DUMMYFUNCTION("""COMPUTED_VALUE"""),"wahyuazizi223344@gmail.com")</f>
        <v>wahyuazizi223344@gmail.com</v>
      </c>
      <c r="AI581" s="80" t="str">
        <f>IFERROR(__xludf.DUMMYFUNCTION("""COMPUTED_VALUE"""),"45691S5")</f>
        <v>45691S5</v>
      </c>
      <c r="AJ581" s="80" t="str">
        <f>IFERROR(__xludf.DUMMYFUNCTION("""COMPUTED_VALUE"""),"6896fee37ca4f3c5e003c697")</f>
        <v>6896fee37ca4f3c5e003c697</v>
      </c>
      <c r="AK581" s="80" t="str">
        <f>IFERROR(__xludf.DUMMYFUNCTION("""COMPUTED_VALUE"""),"dm45691s5")</f>
        <v>dm45691s5</v>
      </c>
      <c r="AL581" s="80" t="str">
        <f>IFERROR(__xludf.DUMMYFUNCTION("""COMPUTED_VALUE"""),"#45691Pos")</f>
        <v>#45691Pos</v>
      </c>
      <c r="AM581" s="80" t="str">
        <f>IFERROR(__xludf.DUMMYFUNCTION("""COMPUTED_VALUE"""),"KANTOR REGIONAL III BANDUNG 40004")</f>
        <v>KANTOR REGIONAL III BANDUNG 40004</v>
      </c>
      <c r="AN581" s="80" t="str">
        <f>IFERROR(__xludf.DUMMYFUNCTION("""COMPUTED_VALUE"""),"KCU CIREBON 45100")</f>
        <v>KCU CIREBON 45100</v>
      </c>
      <c r="AO581" s="80" t="str">
        <f>IFERROR(__xludf.DUMMYFUNCTION("""COMPUTED_VALUE"""),"2407250103451")</f>
        <v>2407250103451</v>
      </c>
      <c r="AP581" s="80" t="str">
        <f>IFERROR(__xludf.DUMMYFUNCTION("""COMPUTED_VALUE"""),"24072501034510001")</f>
        <v>24072501034510001</v>
      </c>
      <c r="AQ581" s="83"/>
      <c r="AR581" s="80"/>
      <c r="AS581" s="80"/>
      <c r="AT581" s="80" t="str">
        <f>IFERROR(__xludf.DUMMYFUNCTION("""COMPUTED_VALUE"""),"-6.878103")</f>
        <v>-6.878103</v>
      </c>
      <c r="AU581" s="80" t="str">
        <f>IFERROR(__xludf.DUMMYFUNCTION("""COMPUTED_VALUE"""),"108.721253")</f>
        <v>108.721253</v>
      </c>
      <c r="AV581" s="80"/>
      <c r="AW581" s="80"/>
      <c r="AX581" s="80"/>
      <c r="AY581" s="80"/>
      <c r="AZ581" s="80"/>
      <c r="BA581" s="80"/>
      <c r="BB581" s="80"/>
      <c r="BC581" s="80"/>
      <c r="BD581" s="80"/>
      <c r="BE581" s="80"/>
      <c r="BF581" s="80"/>
      <c r="BG581" s="80"/>
      <c r="BH581" s="80"/>
      <c r="BI581" s="80"/>
      <c r="BJ581" s="80"/>
      <c r="BK581" s="80"/>
      <c r="BL581" s="80"/>
      <c r="BM581" s="80"/>
      <c r="BN581" s="80"/>
      <c r="BO581" s="80"/>
      <c r="BP581" s="80"/>
      <c r="BQ581" s="80"/>
      <c r="BR581" s="80"/>
      <c r="BS581" s="80"/>
      <c r="BT581" s="80"/>
      <c r="BU581" s="80"/>
      <c r="BV581" s="80"/>
      <c r="BW581" s="80"/>
      <c r="BX581" s="80" t="str">
        <f>IFERROR(__xludf.DUMMYFUNCTION("""COMPUTED_VALUE"""),"SELLER")</f>
        <v>SELLER</v>
      </c>
      <c r="BY581" s="80"/>
      <c r="BZ581" s="80"/>
      <c r="CA581" s="80"/>
      <c r="CB581" s="80"/>
      <c r="CC581" s="80"/>
      <c r="CD581" s="80"/>
      <c r="CE581" s="80"/>
      <c r="CF581" s="80"/>
      <c r="CG581" s="80"/>
      <c r="CH581" s="80"/>
      <c r="CI581" s="80"/>
      <c r="CJ581" s="80"/>
      <c r="CK581" s="2"/>
    </row>
    <row r="582" ht="12.75" customHeight="1">
      <c r="A582" s="85">
        <f>IFERROR(__xludf.DUMMYFUNCTION("""COMPUTED_VALUE"""),579.0)</f>
        <v>579</v>
      </c>
      <c r="B582" s="85"/>
      <c r="C582" s="85"/>
      <c r="D582" s="86">
        <f>IFERROR(__xludf.DUMMYFUNCTION("""COMPUTED_VALUE"""),45863.0)</f>
        <v>45863</v>
      </c>
      <c r="E582" s="88"/>
      <c r="F582" s="85"/>
      <c r="G582" s="86">
        <f>IFERROR(__xludf.DUMMYFUNCTION("""COMPUTED_VALUE"""),45863.0)</f>
        <v>45863</v>
      </c>
      <c r="H582" s="85"/>
      <c r="I582" s="85"/>
      <c r="J582" s="85"/>
      <c r="K582" s="85"/>
      <c r="L582" s="85">
        <f>IFERROR(__xludf.DUMMYFUNCTION("""COMPUTED_VALUE"""),0.0)</f>
        <v>0</v>
      </c>
      <c r="M582" s="85"/>
      <c r="N582" s="85" t="str">
        <f>IFERROR(__xludf.DUMMYFUNCTION("""COMPUTED_VALUE"""),"ü")</f>
        <v>ü</v>
      </c>
      <c r="O582" s="85"/>
      <c r="P582" s="85" t="str">
        <f>IFERROR(__xludf.DUMMYFUNCTION("""COMPUTED_VALUE"""),"MLO5500046CUMPOS")</f>
        <v>MLO5500046CUMPOS</v>
      </c>
      <c r="Q582" s="85" t="str">
        <f>IFERROR(__xludf.DUMMYFUNCTION("""COMPUTED_VALUE"""),"MUC D-POST")</f>
        <v>MUC D-POST</v>
      </c>
      <c r="R582" s="85" t="str">
        <f>IFERROR(__xludf.DUMMYFUNCTION("""COMPUTED_VALUE"""),"MUC D-POST")</f>
        <v>MUC D-POST</v>
      </c>
      <c r="S582" s="85" t="str">
        <f>IFERROR(__xludf.DUMMYFUNCTION("""COMPUTED_VALUE"""),"DEDE WAHYUDI")</f>
        <v>DEDE WAHYUDI</v>
      </c>
      <c r="T582" s="85" t="str">
        <f>IFERROR(__xludf.DUMMYFUNCTION("""COMPUTED_VALUE"""),"JL. KRAMAT LONTAR VIII RT.005 RW.001, PASEBAN, SENEN, JAKARTA PUSAT")</f>
        <v>JL. KRAMAT LONTAR VIII RT.005 RW.001, PASEBAN, SENEN, JAKARTA PUSAT</v>
      </c>
      <c r="U582" s="85" t="str">
        <f>IFERROR(__xludf.DUMMYFUNCTION("""COMPUTED_VALUE"""),"RUMAH BATU RAWA BUNGA JL.BEKASI BARAT 1 NO.14")</f>
        <v>RUMAH BATU RAWA BUNGA JL.BEKASI BARAT 1 NO.14</v>
      </c>
      <c r="V582" s="85"/>
      <c r="W582" s="85" t="str">
        <f>IFERROR(__xludf.DUMMYFUNCTION("""COMPUTED_VALUE"""),"Rawa Bunga")</f>
        <v>Rawa Bunga</v>
      </c>
      <c r="X582" s="85" t="str">
        <f>IFERROR(__xludf.DUMMYFUNCTION("""COMPUTED_VALUE"""),"Jatinegara")</f>
        <v>Jatinegara</v>
      </c>
      <c r="Y582" s="85" t="str">
        <f>IFERROR(__xludf.DUMMYFUNCTION("""COMPUTED_VALUE"""),"Jakarta Timur")</f>
        <v>Jakarta Timur</v>
      </c>
      <c r="Z582" s="85" t="str">
        <f>IFERROR(__xludf.DUMMYFUNCTION("""COMPUTED_VALUE"""),"DKI Jakarta")</f>
        <v>DKI Jakarta</v>
      </c>
      <c r="AA582" s="85" t="str">
        <f>IFERROR(__xludf.DUMMYFUNCTION("""COMPUTED_VALUE"""),"13350")</f>
        <v>13350</v>
      </c>
      <c r="AB582" s="85" t="str">
        <f>IFERROR(__xludf.DUMMYFUNCTION("""COMPUTED_VALUE"""),"3174091503800007")</f>
        <v>3174091503800007</v>
      </c>
      <c r="AC582" s="85" t="str">
        <f>IFERROR(__xludf.DUMMYFUNCTION("""COMPUTED_VALUE"""),"73.968.082.5-017.000")</f>
        <v>73.968.082.5-017.000</v>
      </c>
      <c r="AD582" s="85" t="str">
        <f>IFERROR(__xludf.DUMMYFUNCTION("""COMPUTED_VALUE"""),"CUM - PS - ARKT")</f>
        <v>CUM - PS - ARKT</v>
      </c>
      <c r="AE582" s="85" t="str">
        <f>IFERROR(__xludf.DUMMYFUNCTION("""COMPUTED_VALUE"""),"SUB ARIS POS")</f>
        <v>SUB ARIS POS</v>
      </c>
      <c r="AF582" s="85" t="str">
        <f>IFERROR(__xludf.DUMMYFUNCTION("""COMPUTED_VALUE"""),"08811740532")</f>
        <v>08811740532</v>
      </c>
      <c r="AG582" s="85"/>
      <c r="AH582" s="85" t="str">
        <f>IFERROR(__xludf.DUMMYFUNCTION("""COMPUTED_VALUE"""),"pheri1800@gmail.com")</f>
        <v>pheri1800@gmail.com</v>
      </c>
      <c r="AI582" s="85" t="str">
        <f>IFERROR(__xludf.DUMMYFUNCTION("""COMPUTED_VALUE"""),"13350S1")</f>
        <v>13350S1</v>
      </c>
      <c r="AJ582" s="85" t="str">
        <f>IFERROR(__xludf.DUMMYFUNCTION("""COMPUTED_VALUE"""),"67fb2a695070e9ae180bdc22")</f>
        <v>67fb2a695070e9ae180bdc22</v>
      </c>
      <c r="AK582" s="85" t="str">
        <f>IFERROR(__xludf.DUMMYFUNCTION("""COMPUTED_VALUE"""),"dm13350s1")</f>
        <v>dm13350s1</v>
      </c>
      <c r="AL582" s="85" t="str">
        <f>IFERROR(__xludf.DUMMYFUNCTION("""COMPUTED_VALUE"""),"#13350Pos")</f>
        <v>#13350Pos</v>
      </c>
      <c r="AM582" s="85" t="str">
        <f>IFERROR(__xludf.DUMMYFUNCTION("""COMPUTED_VALUE"""),"KANTOR REGIONAL II JAKARTA 10004")</f>
        <v>KANTOR REGIONAL II JAKARTA 10004</v>
      </c>
      <c r="AN582" s="85" t="str">
        <f>IFERROR(__xludf.DUMMYFUNCTION("""COMPUTED_VALUE"""),"KCU JAKARTAPREMIER 13000")</f>
        <v>KCU JAKARTAPREMIER 13000</v>
      </c>
      <c r="AO582" s="85" t="str">
        <f>IFERROR(__xludf.DUMMYFUNCTION("""COMPUTED_VALUE"""),"0304250006138")</f>
        <v>0304250006138</v>
      </c>
      <c r="AP582" s="85" t="str">
        <f>IFERROR(__xludf.DUMMYFUNCTION("""COMPUTED_VALUE"""),"03042500061380001 ")</f>
        <v>03042500061380001 </v>
      </c>
      <c r="AQ582" s="93"/>
      <c r="AR582" s="85"/>
      <c r="AS582" s="85"/>
      <c r="AT582" s="85" t="str">
        <f>IFERROR(__xludf.DUMMYFUNCTION("""COMPUTED_VALUE"""),"-6.217829 ")</f>
        <v>-6.217829 </v>
      </c>
      <c r="AU582" s="85" t="str">
        <f>IFERROR(__xludf.DUMMYFUNCTION("""COMPUTED_VALUE"""),"106.870213")</f>
        <v>106.870213</v>
      </c>
      <c r="AV582" s="85"/>
      <c r="AW582" s="85"/>
      <c r="AX582" s="85" t="str">
        <f>IFERROR(__xludf.DUMMYFUNCTION("""COMPUTED_VALUE"""),"h")</f>
        <v>h</v>
      </c>
      <c r="AY582" s="85"/>
      <c r="AZ582" s="85"/>
      <c r="BA582" s="85"/>
      <c r="BB582" s="85"/>
      <c r="BC582" s="85"/>
      <c r="BD582" s="85"/>
      <c r="BE582" s="85"/>
      <c r="BF582" s="85"/>
      <c r="BG582" s="85"/>
      <c r="BH582" s="85"/>
      <c r="BI582" s="85"/>
      <c r="BJ582" s="85"/>
      <c r="BK582" s="85"/>
      <c r="BL582" s="85"/>
      <c r="BM582" s="85"/>
      <c r="BN582" s="85"/>
      <c r="BO582" s="85"/>
      <c r="BP582" s="85"/>
      <c r="BQ582" s="85"/>
      <c r="BR582" s="85"/>
      <c r="BS582" s="85"/>
      <c r="BT582" s="85"/>
      <c r="BU582" s="85"/>
      <c r="BV582" s="85"/>
      <c r="BW582" s="85"/>
      <c r="BX582" s="85"/>
      <c r="BY582" s="85" t="str">
        <f>IFERROR(__xludf.DUMMYFUNCTION("""COMPUTED_VALUE"""),"POS ORANGER")</f>
        <v>POS ORANGER</v>
      </c>
      <c r="BZ582" s="85"/>
      <c r="CA582" s="85"/>
      <c r="CB582" s="85"/>
      <c r="CC582" s="85"/>
      <c r="CD582" s="85"/>
      <c r="CE582" s="85"/>
      <c r="CF582" s="85"/>
      <c r="CG582" s="85"/>
      <c r="CH582" s="85"/>
      <c r="CI582" s="85"/>
      <c r="CJ582" s="85"/>
      <c r="CK582" s="2"/>
    </row>
    <row r="583" ht="12.75" customHeight="1">
      <c r="A583" s="80">
        <f>IFERROR(__xludf.DUMMYFUNCTION("""COMPUTED_VALUE"""),580.0)</f>
        <v>580</v>
      </c>
      <c r="B583" s="80"/>
      <c r="C583" s="80"/>
      <c r="D583" s="81">
        <f>IFERROR(__xludf.DUMMYFUNCTION("""COMPUTED_VALUE"""),45866.0)</f>
        <v>45866</v>
      </c>
      <c r="E583" s="82"/>
      <c r="F583" s="80"/>
      <c r="G583" s="81">
        <f>IFERROR(__xludf.DUMMYFUNCTION("""COMPUTED_VALUE"""),45870.0)</f>
        <v>45870</v>
      </c>
      <c r="H583" s="80"/>
      <c r="I583" s="80"/>
      <c r="J583" s="80"/>
      <c r="K583" s="80"/>
      <c r="L583" s="80">
        <f>IFERROR(__xludf.DUMMYFUNCTION("""COMPUTED_VALUE"""),4.0)</f>
        <v>4</v>
      </c>
      <c r="M583" s="80" t="str">
        <f>IFERROR(__xludf.DUMMYFUNCTION("""COMPUTED_VALUE"""),"ü")</f>
        <v>ü</v>
      </c>
      <c r="N583" s="80"/>
      <c r="O583" s="80"/>
      <c r="P583" s="80" t="str">
        <f>IFERROR(__xludf.DUMMYFUNCTION("""COMPUTED_VALUE"""),"MUCSPA63202PSIND")</f>
        <v>MUCSPA63202PSIND</v>
      </c>
      <c r="Q583" s="80" t="str">
        <f>IFERROR(__xludf.DUMMYFUNCTION("""COMPUTED_VALUE"""),"MUC ARKANA")</f>
        <v>MUC ARKANA</v>
      </c>
      <c r="R583" s="80" t="str">
        <f>IFERROR(__xludf.DUMMYFUNCTION("""COMPUTED_VALUE"""),"MUC ARKANA")</f>
        <v>MUC ARKANA</v>
      </c>
      <c r="S583" s="80" t="str">
        <f>IFERROR(__xludf.DUMMYFUNCTION("""COMPUTED_VALUE"""),"RIVAN HENDARMAN")</f>
        <v>RIVAN HENDARMAN</v>
      </c>
      <c r="T583" s="80" t="str">
        <f>IFERROR(__xludf.DUMMYFUNCTION("""COMPUTED_VALUE"""),"JL. PADEMANGAN 2 GG. 30 RT 15 RW 2 ")</f>
        <v>JL. PADEMANGAN 2 GG. 30 RT 15 RW 2 </v>
      </c>
      <c r="U583" s="80" t="str">
        <f>IFERROR(__xludf.DUMMYFUNCTION("""COMPUTED_VALUE"""),"JL.	SAWAH LUHUR DESA/KEL. WARUNG JAUD")</f>
        <v>JL.	SAWAH LUHUR DESA/KEL. WARUNG JAUD</v>
      </c>
      <c r="V583" s="80"/>
      <c r="W583" s="80" t="str">
        <f>IFERROR(__xludf.DUMMYFUNCTION("""COMPUTED_VALUE"""),"WARUNG JAUD")</f>
        <v>WARUNG JAUD</v>
      </c>
      <c r="X583" s="80" t="str">
        <f>IFERROR(__xludf.DUMMYFUNCTION("""COMPUTED_VALUE"""),"KASEMEN")</f>
        <v>KASEMEN</v>
      </c>
      <c r="Y583" s="80" t="str">
        <f>IFERROR(__xludf.DUMMYFUNCTION("""COMPUTED_VALUE"""),"SERANG")</f>
        <v>SERANG</v>
      </c>
      <c r="Z583" s="80" t="str">
        <f>IFERROR(__xludf.DUMMYFUNCTION("""COMPUTED_VALUE"""),"BANTEN")</f>
        <v>BANTEN</v>
      </c>
      <c r="AA583" s="80" t="str">
        <f>IFERROR(__xludf.DUMMYFUNCTION("""COMPUTED_VALUE"""),"42191")</f>
        <v>42191</v>
      </c>
      <c r="AB583" s="80" t="str">
        <f>IFERROR(__xludf.DUMMYFUNCTION("""COMPUTED_VALUE"""),"3172052511950002")</f>
        <v>3172052511950002</v>
      </c>
      <c r="AC583" s="80" t="str">
        <f>IFERROR(__xludf.DUMMYFUNCTION("""COMPUTED_VALUE"""),"80.899.660.7-004.000")</f>
        <v>80.899.660.7-004.000</v>
      </c>
      <c r="AD583" s="80" t="str">
        <f>IFERROR(__xludf.DUMMYFUNCTION("""COMPUTED_VALUE"""),"BU NELA SERANG")</f>
        <v>BU NELA SERANG</v>
      </c>
      <c r="AE583" s="80" t="str">
        <f>IFERROR(__xludf.DUMMYFUNCTION("""COMPUTED_VALUE"""),"BU NELA SERANG")</f>
        <v>BU NELA SERANG</v>
      </c>
      <c r="AF583" s="80" t="str">
        <f>IFERROR(__xludf.DUMMYFUNCTION("""COMPUTED_VALUE"""),"085156055590")</f>
        <v>085156055590</v>
      </c>
      <c r="AG583" s="80"/>
      <c r="AH583" s="80" t="str">
        <f>IFERROR(__xludf.DUMMYFUNCTION("""COMPUTED_VALUE"""),"arkanafotocopyatk@gmail.com")</f>
        <v>arkanafotocopyatk@gmail.com</v>
      </c>
      <c r="AI583" s="80" t="str">
        <f>IFERROR(__xludf.DUMMYFUNCTION("""COMPUTED_VALUE"""),"42142S1")</f>
        <v>42142S1</v>
      </c>
      <c r="AJ583" s="80" t="str">
        <f>IFERROR(__xludf.DUMMYFUNCTION("""COMPUTED_VALUE"""),"688ae0a13ffee0e4d40088da")</f>
        <v>688ae0a13ffee0e4d40088da</v>
      </c>
      <c r="AK583" s="80" t="str">
        <f>IFERROR(__xludf.DUMMYFUNCTION("""COMPUTED_VALUE"""),"dm42142s1")</f>
        <v>dm42142s1</v>
      </c>
      <c r="AL583" s="80" t="str">
        <f>IFERROR(__xludf.DUMMYFUNCTION("""COMPUTED_VALUE"""),"#42142Pos")</f>
        <v>#42142Pos</v>
      </c>
      <c r="AM583" s="80" t="str">
        <f>IFERROR(__xludf.DUMMYFUNCTION("""COMPUTED_VALUE"""),"KANTOR REGIONAL II JAKARTA 10004")</f>
        <v>KANTOR REGIONAL II JAKARTA 10004</v>
      </c>
      <c r="AN583" s="80" t="str">
        <f>IFERROR(__xludf.DUMMYFUNCTION("""COMPUTED_VALUE"""),"KCU SERANG")</f>
        <v>KCU SERANG</v>
      </c>
      <c r="AO583" s="80" t="str">
        <f>IFERROR(__xludf.DUMMYFUNCTION("""COMPUTED_VALUE"""),"9120001211993")</f>
        <v>9120001211993</v>
      </c>
      <c r="AP583" s="80" t="str">
        <f>IFERROR(__xludf.DUMMYFUNCTION("""COMPUTED_VALUE"""),"91200012119930002")</f>
        <v>91200012119930002</v>
      </c>
      <c r="AQ583" s="83"/>
      <c r="AR583" s="80"/>
      <c r="AS583" s="80"/>
      <c r="AT583" s="80" t="str">
        <f>IFERROR(__xludf.DUMMYFUNCTION("""COMPUTED_VALUE"""),"-6.0822393")</f>
        <v>-6.0822393</v>
      </c>
      <c r="AU583" s="80" t="str">
        <f>IFERROR(__xludf.DUMMYFUNCTION("""COMPUTED_VALUE"""),"106.1869034")</f>
        <v>106.1869034</v>
      </c>
      <c r="AV583" s="80"/>
      <c r="AW583" s="80"/>
      <c r="AX583" s="80"/>
      <c r="AY583" s="80"/>
      <c r="AZ583" s="80"/>
      <c r="BA583" s="80"/>
      <c r="BB583" s="80"/>
      <c r="BC583" s="80"/>
      <c r="BD583" s="80"/>
      <c r="BE583" s="80"/>
      <c r="BF583" s="80"/>
      <c r="BG583" s="80"/>
      <c r="BH583" s="80"/>
      <c r="BI583" s="80"/>
      <c r="BJ583" s="80"/>
      <c r="BK583" s="80"/>
      <c r="BL583" s="80"/>
      <c r="BM583" s="80"/>
      <c r="BN583" s="80"/>
      <c r="BO583" s="80"/>
      <c r="BP583" s="80"/>
      <c r="BQ583" s="80"/>
      <c r="BR583" s="80"/>
      <c r="BS583" s="80"/>
      <c r="BT583" s="80"/>
      <c r="BU583" s="80"/>
      <c r="BV583" s="80"/>
      <c r="BW583" s="80"/>
      <c r="BX583" s="80" t="str">
        <f>IFERROR(__xludf.DUMMYFUNCTION("""COMPUTED_VALUE"""),"NEWBIE FOTOCOPY")</f>
        <v>NEWBIE FOTOCOPY</v>
      </c>
      <c r="BY583" s="80"/>
      <c r="BZ583" s="80"/>
      <c r="CA583" s="80"/>
      <c r="CB583" s="80"/>
      <c r="CC583" s="80"/>
      <c r="CD583" s="80"/>
      <c r="CE583" s="80"/>
      <c r="CF583" s="80"/>
      <c r="CG583" s="80"/>
      <c r="CH583" s="80"/>
      <c r="CI583" s="80"/>
      <c r="CJ583" s="80"/>
      <c r="CK583" s="2"/>
    </row>
    <row r="584" ht="12.75" customHeight="1">
      <c r="A584" s="85">
        <f>IFERROR(__xludf.DUMMYFUNCTION("""COMPUTED_VALUE"""),581.0)</f>
        <v>581</v>
      </c>
      <c r="B584" s="85"/>
      <c r="C584" s="85"/>
      <c r="D584" s="86">
        <f>IFERROR(__xludf.DUMMYFUNCTION("""COMPUTED_VALUE"""),45866.0)</f>
        <v>45866</v>
      </c>
      <c r="E584" s="88"/>
      <c r="F584" s="85"/>
      <c r="G584" s="86">
        <f>IFERROR(__xludf.DUMMYFUNCTION("""COMPUTED_VALUE"""),45880.0)</f>
        <v>45880</v>
      </c>
      <c r="H584" s="85"/>
      <c r="I584" s="85"/>
      <c r="J584" s="85"/>
      <c r="K584" s="85"/>
      <c r="L584" s="85">
        <f>IFERROR(__xludf.DUMMYFUNCTION("""COMPUTED_VALUE"""),14.0)</f>
        <v>14</v>
      </c>
      <c r="M584" s="85" t="str">
        <f>IFERROR(__xludf.DUMMYFUNCTION("""COMPUTED_VALUE"""),"ü")</f>
        <v>ü</v>
      </c>
      <c r="N584" s="85"/>
      <c r="O584" s="85"/>
      <c r="P584" s="85" t="str">
        <f>IFERROR(__xludf.DUMMYFUNCTION("""COMPUTED_VALUE"""),"53BSPA09597JBEEN")</f>
        <v>53BSPA09597JBEEN</v>
      </c>
      <c r="Q584" s="85" t="str">
        <f>IFERROR(__xludf.DUMMYFUNCTION("""COMPUTED_VALUE"""),"MUC Subang Cell")</f>
        <v>MUC Subang Cell</v>
      </c>
      <c r="R584" s="85" t="str">
        <f>IFERROR(__xludf.DUMMYFUNCTION("""COMPUTED_VALUE"""),"MUC Subang Cell")</f>
        <v>MUC Subang Cell</v>
      </c>
      <c r="S584" s="85" t="str">
        <f>IFERROR(__xludf.DUMMYFUNCTION("""COMPUTED_VALUE"""),"ABDUL ROHMAN")</f>
        <v>ABDUL ROHMAN</v>
      </c>
      <c r="T584" s="85" t="str">
        <f>IFERROR(__xludf.DUMMYFUNCTION("""COMPUTED_VALUE"""),"PURI PERMATA CAMELIA, B1/06 RT.006 RW.002 PURWASARI, PURWASARI KAB. KARAWANG")</f>
        <v>PURI PERMATA CAMELIA, B1/06 RT.006 RW.002 PURWASARI, PURWASARI KAB. KARAWANG</v>
      </c>
      <c r="U584" s="85" t="str">
        <f>IFERROR(__xludf.DUMMYFUNCTION("""COMPUTED_VALUE"""),"Jl. Raya Purwasari kp Sadang no 21 RT 04 RW 03 ")</f>
        <v>Jl. Raya Purwasari kp Sadang no 21 RT 04 RW 03 </v>
      </c>
      <c r="V584" s="85"/>
      <c r="W584" s="85" t="str">
        <f>IFERROR(__xludf.DUMMYFUNCTION("""COMPUTED_VALUE"""),"Purwasari")</f>
        <v>Purwasari</v>
      </c>
      <c r="X584" s="85" t="str">
        <f>IFERROR(__xludf.DUMMYFUNCTION("""COMPUTED_VALUE"""),"Purwasari")</f>
        <v>Purwasari</v>
      </c>
      <c r="Y584" s="85" t="str">
        <f>IFERROR(__xludf.DUMMYFUNCTION("""COMPUTED_VALUE"""),"Kab. Karawang")</f>
        <v>Kab. Karawang</v>
      </c>
      <c r="Z584" s="85" t="str">
        <f>IFERROR(__xludf.DUMMYFUNCTION("""COMPUTED_VALUE"""),"Jawa Barat")</f>
        <v>Jawa Barat</v>
      </c>
      <c r="AA584" s="85" t="str">
        <f>IFERROR(__xludf.DUMMYFUNCTION("""COMPUTED_VALUE"""),"41373")</f>
        <v>41373</v>
      </c>
      <c r="AB584" s="85" t="str">
        <f>IFERROR(__xludf.DUMMYFUNCTION("""COMPUTED_VALUE"""),"3215291006850006")</f>
        <v>3215291006850006</v>
      </c>
      <c r="AC584" s="85" t="str">
        <f>IFERROR(__xludf.DUMMYFUNCTION("""COMPUTED_VALUE"""),"79.694.510.3-439.000")</f>
        <v>79.694.510.3-439.000</v>
      </c>
      <c r="AD584" s="85" t="str">
        <f>IFERROR(__xludf.DUMMYFUNCTION("""COMPUTED_VALUE"""),"CUM - EEN")</f>
        <v>CUM - EEN</v>
      </c>
      <c r="AE584" s="85" t="str">
        <f>IFERROR(__xludf.DUMMYFUNCTION("""COMPUTED_VALUE"""),"SUB EEN")</f>
        <v>SUB EEN</v>
      </c>
      <c r="AF584" s="85" t="str">
        <f>IFERROR(__xludf.DUMMYFUNCTION("""COMPUTED_VALUE"""),"0895633245600")</f>
        <v>0895633245600</v>
      </c>
      <c r="AG584" s="85"/>
      <c r="AH584" s="85" t="str">
        <f>IFERROR(__xludf.DUMMYFUNCTION("""COMPUTED_VALUE"""),"psmandiristore@gmail.com")</f>
        <v>psmandiristore@gmail.com</v>
      </c>
      <c r="AI584" s="85" t="str">
        <f>IFERROR(__xludf.DUMMYFUNCTION("""COMPUTED_VALUE"""),"41376S4")</f>
        <v>41376S4</v>
      </c>
      <c r="AJ584" s="85" t="str">
        <f>IFERROR(__xludf.DUMMYFUNCTION("""COMPUTED_VALUE"""),"688db9d148022d7742025600")</f>
        <v>688db9d148022d7742025600</v>
      </c>
      <c r="AK584" s="85" t="str">
        <f>IFERROR(__xludf.DUMMYFUNCTION("""COMPUTED_VALUE"""),"dm41376s4")</f>
        <v>dm41376s4</v>
      </c>
      <c r="AL584" s="85" t="str">
        <f>IFERROR(__xludf.DUMMYFUNCTION("""COMPUTED_VALUE"""),"#41376Pos")</f>
        <v>#41376Pos</v>
      </c>
      <c r="AM584" s="85" t="str">
        <f>IFERROR(__xludf.DUMMYFUNCTION("""COMPUTED_VALUE"""),"KANTOR REGIONAL III BANDUNG 40004")</f>
        <v>KANTOR REGIONAL III BANDUNG 40004</v>
      </c>
      <c r="AN584" s="85" t="str">
        <f>IFERROR(__xludf.DUMMYFUNCTION("""COMPUTED_VALUE"""),"KCU KARAWANG 41300")</f>
        <v>KCU KARAWANG 41300</v>
      </c>
      <c r="AO584" s="85" t="str">
        <f>IFERROR(__xludf.DUMMYFUNCTION("""COMPUTED_VALUE"""),"2807250063789")</f>
        <v>2807250063789</v>
      </c>
      <c r="AP584" s="85" t="str">
        <f>IFERROR(__xludf.DUMMYFUNCTION("""COMPUTED_VALUE"""),"28072500637890001")</f>
        <v>28072500637890001</v>
      </c>
      <c r="AQ584" s="93"/>
      <c r="AR584" s="85"/>
      <c r="AS584" s="85"/>
      <c r="AT584" s="85" t="str">
        <f>IFERROR(__xludf.DUMMYFUNCTION("""COMPUTED_VALUE"""),"-6.3888551")</f>
        <v>-6.3888551</v>
      </c>
      <c r="AU584" s="85" t="str">
        <f>IFERROR(__xludf.DUMMYFUNCTION("""COMPUTED_VALUE"""),"107.4072985")</f>
        <v>107.4072985</v>
      </c>
      <c r="AV584" s="85"/>
      <c r="AW584" s="85"/>
      <c r="AX584" s="85"/>
      <c r="AY584" s="85"/>
      <c r="AZ584" s="85"/>
      <c r="BA584" s="85"/>
      <c r="BB584" s="85"/>
      <c r="BC584" s="85"/>
      <c r="BD584" s="85"/>
      <c r="BE584" s="85"/>
      <c r="BF584" s="85"/>
      <c r="BG584" s="85"/>
      <c r="BH584" s="85"/>
      <c r="BI584" s="85"/>
      <c r="BJ584" s="85"/>
      <c r="BK584" s="85"/>
      <c r="BL584" s="85"/>
      <c r="BM584" s="85"/>
      <c r="BN584" s="85"/>
      <c r="BO584" s="85"/>
      <c r="BP584" s="85"/>
      <c r="BQ584" s="85"/>
      <c r="BR584" s="85"/>
      <c r="BS584" s="85"/>
      <c r="BT584" s="85"/>
      <c r="BU584" s="85"/>
      <c r="BV584" s="85"/>
      <c r="BW584" s="85"/>
      <c r="BX584" s="85" t="str">
        <f>IFERROR(__xludf.DUMMYFUNCTION("""COMPUTED_VALUE"""),"PPOB")</f>
        <v>PPOB</v>
      </c>
      <c r="BY584" s="85"/>
      <c r="BZ584" s="85"/>
      <c r="CA584" s="85"/>
      <c r="CB584" s="85"/>
      <c r="CC584" s="85"/>
      <c r="CD584" s="85"/>
      <c r="CE584" s="85"/>
      <c r="CF584" s="85"/>
      <c r="CG584" s="85"/>
      <c r="CH584" s="85"/>
      <c r="CI584" s="85"/>
      <c r="CJ584" s="85"/>
      <c r="CK584" s="2"/>
    </row>
    <row r="585" ht="12.75" customHeight="1">
      <c r="A585" s="80">
        <f>IFERROR(__xludf.DUMMYFUNCTION("""COMPUTED_VALUE"""),582.0)</f>
        <v>582</v>
      </c>
      <c r="B585" s="80"/>
      <c r="C585" s="80"/>
      <c r="D585" s="81">
        <f>IFERROR(__xludf.DUMMYFUNCTION("""COMPUTED_VALUE"""),45866.0)</f>
        <v>45866</v>
      </c>
      <c r="E585" s="82"/>
      <c r="F585" s="80"/>
      <c r="G585" s="81">
        <f>IFERROR(__xludf.DUMMYFUNCTION("""COMPUTED_VALUE"""),45880.0)</f>
        <v>45880</v>
      </c>
      <c r="H585" s="80"/>
      <c r="I585" s="80"/>
      <c r="J585" s="80"/>
      <c r="K585" s="80"/>
      <c r="L585" s="80">
        <f>IFERROR(__xludf.DUMMYFUNCTION("""COMPUTED_VALUE"""),14.0)</f>
        <v>14</v>
      </c>
      <c r="M585" s="80" t="str">
        <f>IFERROR(__xludf.DUMMYFUNCTION("""COMPUTED_VALUE"""),"ü")</f>
        <v>ü</v>
      </c>
      <c r="N585" s="80"/>
      <c r="O585" s="80"/>
      <c r="P585" s="80" t="str">
        <f>IFERROR(__xludf.DUMMYFUNCTION("""COMPUTED_VALUE"""),"MUCSPA63203PSIND")</f>
        <v>MUCSPA63203PSIND</v>
      </c>
      <c r="Q585" s="80" t="str">
        <f>IFERROR(__xludf.DUMMYFUNCTION("""COMPUTED_VALUE"""),"MUC RAYA CELL")</f>
        <v>MUC RAYA CELL</v>
      </c>
      <c r="R585" s="80" t="str">
        <f>IFERROR(__xludf.DUMMYFUNCTION("""COMPUTED_VALUE"""),"MUC RAYA CELL")</f>
        <v>MUC RAYA CELL</v>
      </c>
      <c r="S585" s="80" t="str">
        <f>IFERROR(__xludf.DUMMYFUNCTION("""COMPUTED_VALUE"""),"SODIK PURNOMO")</f>
        <v>SODIK PURNOMO</v>
      </c>
      <c r="T585" s="80" t="str">
        <f>IFERROR(__xludf.DUMMYFUNCTION("""COMPUTED_VALUE"""),"GEMPOLAN RT.003 RW.003, GEMPOLAN, PAKEL, KAB. TULUNGAGUNG")</f>
        <v>GEMPOLAN RT.003 RW.003, GEMPOLAN, PAKEL, KAB. TULUNGAGUNG</v>
      </c>
      <c r="U585" s="80" t="str">
        <f>IFERROR(__xludf.DUMMYFUNCTION("""COMPUTED_VALUE"""),"RT. 03 RW. 03 DESA GEMPOLAN")</f>
        <v>RT. 03 RW. 03 DESA GEMPOLAN</v>
      </c>
      <c r="V585" s="80"/>
      <c r="W585" s="80" t="str">
        <f>IFERROR(__xludf.DUMMYFUNCTION("""COMPUTED_VALUE"""),"GEMPOLAN")</f>
        <v>GEMPOLAN</v>
      </c>
      <c r="X585" s="80" t="str">
        <f>IFERROR(__xludf.DUMMYFUNCTION("""COMPUTED_VALUE"""),"PAKEL")</f>
        <v>PAKEL</v>
      </c>
      <c r="Y585" s="80" t="str">
        <f>IFERROR(__xludf.DUMMYFUNCTION("""COMPUTED_VALUE"""),"KAB. TULUNGAGUNG")</f>
        <v>KAB. TULUNGAGUNG</v>
      </c>
      <c r="Z585" s="80" t="str">
        <f>IFERROR(__xludf.DUMMYFUNCTION("""COMPUTED_VALUE"""),"JAWA TIMUR")</f>
        <v>JAWA TIMUR</v>
      </c>
      <c r="AA585" s="80" t="str">
        <f>IFERROR(__xludf.DUMMYFUNCTION("""COMPUTED_VALUE"""),"66273")</f>
        <v>66273</v>
      </c>
      <c r="AB585" s="80" t="str">
        <f>IFERROR(__xludf.DUMMYFUNCTION("""COMPUTED_VALUE"""),"3504182604770001")</f>
        <v>3504182604770001</v>
      </c>
      <c r="AC585" s="80" t="str">
        <f>IFERROR(__xludf.DUMMYFUNCTION("""COMPUTED_VALUE"""),"14.240.715.4-629.000")</f>
        <v>14.240.715.4-629.000</v>
      </c>
      <c r="AD585" s="80" t="str">
        <f>IFERROR(__xludf.DUMMYFUNCTION("""COMPUTED_VALUE"""),"CUM - PS - EKO")</f>
        <v>CUM - PS - EKO</v>
      </c>
      <c r="AE585" s="80" t="str">
        <f>IFERROR(__xludf.DUMMYFUNCTION("""COMPUTED_VALUE"""),"SUB EKO POS")</f>
        <v>SUB EKO POS</v>
      </c>
      <c r="AF585" s="80" t="str">
        <f>IFERROR(__xludf.DUMMYFUNCTION("""COMPUTED_VALUE"""),"081252460627")</f>
        <v>081252460627</v>
      </c>
      <c r="AG585" s="80"/>
      <c r="AH585" s="80" t="str">
        <f>IFERROR(__xludf.DUMMYFUNCTION("""COMPUTED_VALUE"""),"kencorabumimulia@gmail.com")</f>
        <v>kencorabumimulia@gmail.com</v>
      </c>
      <c r="AI585" s="80" t="str">
        <f>IFERROR(__xludf.DUMMYFUNCTION("""COMPUTED_VALUE"""),"66273S7")</f>
        <v>66273S7</v>
      </c>
      <c r="AJ585" s="80" t="str">
        <f>IFERROR(__xludf.DUMMYFUNCTION("""COMPUTED_VALUE"""),"6895c09b062f5330740f33d3")</f>
        <v>6895c09b062f5330740f33d3</v>
      </c>
      <c r="AK585" s="80" t="str">
        <f>IFERROR(__xludf.DUMMYFUNCTION("""COMPUTED_VALUE"""),"dm66273s7")</f>
        <v>dm66273s7</v>
      </c>
      <c r="AL585" s="80" t="str">
        <f>IFERROR(__xludf.DUMMYFUNCTION("""COMPUTED_VALUE"""),"#66273Pos")</f>
        <v>#66273Pos</v>
      </c>
      <c r="AM585" s="80" t="str">
        <f>IFERROR(__xludf.DUMMYFUNCTION("""COMPUTED_VALUE"""),"KANTOR REGIONAL V SURABAYA 60004")</f>
        <v>KANTOR REGIONAL V SURABAYA 60004</v>
      </c>
      <c r="AN585" s="80" t="str">
        <f>IFERROR(__xludf.DUMMYFUNCTION("""COMPUTED_VALUE"""),"KC TULUNGAGUNG")</f>
        <v>KC TULUNGAGUNG</v>
      </c>
      <c r="AO585" s="80" t="str">
        <f>IFERROR(__xludf.DUMMYFUNCTION("""COMPUTED_VALUE"""),"0265010122126")</f>
        <v>0265010122126</v>
      </c>
      <c r="AP585" s="80" t="str">
        <f>IFERROR(__xludf.DUMMYFUNCTION("""COMPUTED_VALUE"""),"02650101221260003")</f>
        <v>02650101221260003</v>
      </c>
      <c r="AQ585" s="83"/>
      <c r="AR585" s="80"/>
      <c r="AS585" s="80"/>
      <c r="AT585" s="80" t="str">
        <f>IFERROR(__xludf.DUMMYFUNCTION("""COMPUTED_VALUE"""),"-8.1148537")</f>
        <v>-8.1148537</v>
      </c>
      <c r="AU585" s="80" t="str">
        <f>IFERROR(__xludf.DUMMYFUNCTION("""COMPUTED_VALUE"""),"111.8618334")</f>
        <v>111.8618334</v>
      </c>
      <c r="AV585" s="80"/>
      <c r="AW585" s="80"/>
      <c r="AX585" s="80"/>
      <c r="AY585" s="80"/>
      <c r="AZ585" s="80"/>
      <c r="BA585" s="80"/>
      <c r="BB585" s="80"/>
      <c r="BC585" s="80"/>
      <c r="BD585" s="80"/>
      <c r="BE585" s="80"/>
      <c r="BF585" s="80"/>
      <c r="BG585" s="80"/>
      <c r="BH585" s="80"/>
      <c r="BI585" s="80"/>
      <c r="BJ585" s="80"/>
      <c r="BK585" s="80"/>
      <c r="BL585" s="80"/>
      <c r="BM585" s="80"/>
      <c r="BN585" s="80"/>
      <c r="BO585" s="80"/>
      <c r="BP585" s="80"/>
      <c r="BQ585" s="80"/>
      <c r="BR585" s="80"/>
      <c r="BS585" s="80"/>
      <c r="BT585" s="80"/>
      <c r="BU585" s="80"/>
      <c r="BV585" s="80"/>
      <c r="BW585" s="80"/>
      <c r="BX585" s="80" t="str">
        <f>IFERROR(__xludf.DUMMYFUNCTION("""COMPUTED_VALUE"""),"BRILINK")</f>
        <v>BRILINK</v>
      </c>
      <c r="BY585" s="80"/>
      <c r="BZ585" s="80"/>
      <c r="CA585" s="80"/>
      <c r="CB585" s="80"/>
      <c r="CC585" s="80"/>
      <c r="CD585" s="80"/>
      <c r="CE585" s="80"/>
      <c r="CF585" s="80"/>
      <c r="CG585" s="80"/>
      <c r="CH585" s="80"/>
      <c r="CI585" s="80"/>
      <c r="CJ585" s="80"/>
      <c r="CK585" s="2"/>
    </row>
    <row r="586" ht="12.75" customHeight="1">
      <c r="A586" s="85">
        <f>IFERROR(__xludf.DUMMYFUNCTION("""COMPUTED_VALUE"""),583.0)</f>
        <v>583</v>
      </c>
      <c r="B586" s="85"/>
      <c r="C586" s="85"/>
      <c r="D586" s="86">
        <f>IFERROR(__xludf.DUMMYFUNCTION("""COMPUTED_VALUE"""),45866.0)</f>
        <v>45866</v>
      </c>
      <c r="E586" s="88"/>
      <c r="F586" s="85"/>
      <c r="G586" s="86">
        <f>IFERROR(__xludf.DUMMYFUNCTION("""COMPUTED_VALUE"""),45880.0)</f>
        <v>45880</v>
      </c>
      <c r="H586" s="85"/>
      <c r="I586" s="85"/>
      <c r="J586" s="85"/>
      <c r="K586" s="85"/>
      <c r="L586" s="85">
        <f>IFERROR(__xludf.DUMMYFUNCTION("""COMPUTED_VALUE"""),14.0)</f>
        <v>14</v>
      </c>
      <c r="M586" s="85" t="str">
        <f>IFERROR(__xludf.DUMMYFUNCTION("""COMPUTED_VALUE"""),"ü")</f>
        <v>ü</v>
      </c>
      <c r="N586" s="85"/>
      <c r="O586" s="85"/>
      <c r="P586" s="85" t="str">
        <f>IFERROR(__xludf.DUMMYFUNCTION("""COMPUTED_VALUE"""),"53BSPA09598JBEEN")</f>
        <v>53BSPA09598JBEEN</v>
      </c>
      <c r="Q586" s="85" t="str">
        <f>IFERROR(__xludf.DUMMYFUNCTION("""COMPUTED_VALUE"""),"MUC RIFKAR STORE")</f>
        <v>MUC RIFKAR STORE</v>
      </c>
      <c r="R586" s="85" t="str">
        <f>IFERROR(__xludf.DUMMYFUNCTION("""COMPUTED_VALUE"""),"MUC RIFKAR STORE")</f>
        <v>MUC RIFKAR STORE</v>
      </c>
      <c r="S586" s="85" t="str">
        <f>IFERROR(__xludf.DUMMYFUNCTION("""COMPUTED_VALUE"""),"NAJAR ARYANSYAH")</f>
        <v>NAJAR ARYANSYAH</v>
      </c>
      <c r="T586" s="85" t="str">
        <f>IFERROR(__xludf.DUMMYFUNCTION("""COMPUTED_VALUE"""),"PERUM MUTIARA MUKTIWARI BLOK C.1K / 11 RT.005 RW.023 MUKTIWARI, CIBITUNG, KAB. BEKASI JAWA BARAT")</f>
        <v>PERUM MUTIARA MUKTIWARI BLOK C.1K / 11 RT.005 RW.023 MUKTIWARI, CIBITUNG, KAB. BEKASI JAWA BARAT</v>
      </c>
      <c r="U586" s="85" t="str">
        <f>IFERROR(__xludf.DUMMYFUNCTION("""COMPUTED_VALUE"""),"PERUM MUTIARA MUKTIWARI BLOK C.1K / 11 RT.005 RW.023")</f>
        <v>PERUM MUTIARA MUKTIWARI BLOK C.1K / 11 RT.005 RW.023</v>
      </c>
      <c r="V586" s="85"/>
      <c r="W586" s="85" t="str">
        <f>IFERROR(__xludf.DUMMYFUNCTION("""COMPUTED_VALUE"""),"MUKTIWARI")</f>
        <v>MUKTIWARI</v>
      </c>
      <c r="X586" s="85" t="str">
        <f>IFERROR(__xludf.DUMMYFUNCTION("""COMPUTED_VALUE"""),"CIBITUNG")</f>
        <v>CIBITUNG</v>
      </c>
      <c r="Y586" s="85" t="str">
        <f>IFERROR(__xludf.DUMMYFUNCTION("""COMPUTED_VALUE"""),"KAB. BEKASI")</f>
        <v>KAB. BEKASI</v>
      </c>
      <c r="Z586" s="85" t="str">
        <f>IFERROR(__xludf.DUMMYFUNCTION("""COMPUTED_VALUE"""),"JAWA BARAT")</f>
        <v>JAWA BARAT</v>
      </c>
      <c r="AA586" s="85" t="str">
        <f>IFERROR(__xludf.DUMMYFUNCTION("""COMPUTED_VALUE"""),"17520")</f>
        <v>17520</v>
      </c>
      <c r="AB586" s="85" t="str">
        <f>IFERROR(__xludf.DUMMYFUNCTION("""COMPUTED_VALUE"""),"3216070808770019")</f>
        <v>3216070808770019</v>
      </c>
      <c r="AC586" s="85" t="str">
        <f>IFERROR(__xludf.DUMMYFUNCTION("""COMPUTED_VALUE"""),"92.959.919.9-435.000")</f>
        <v>92.959.919.9-435.000</v>
      </c>
      <c r="AD586" s="85" t="str">
        <f>IFERROR(__xludf.DUMMYFUNCTION("""COMPUTED_VALUE"""),"CUM - EEN")</f>
        <v>CUM - EEN</v>
      </c>
      <c r="AE586" s="85" t="str">
        <f>IFERROR(__xludf.DUMMYFUNCTION("""COMPUTED_VALUE"""),"SUB EEN")</f>
        <v>SUB EEN</v>
      </c>
      <c r="AF586" s="85" t="str">
        <f>IFERROR(__xludf.DUMMYFUNCTION("""COMPUTED_VALUE"""),"081299618225")</f>
        <v>081299618225</v>
      </c>
      <c r="AG586" s="85"/>
      <c r="AH586" s="85" t="str">
        <f>IFERROR(__xludf.DUMMYFUNCTION("""COMPUTED_VALUE"""),"bebyrere15@gmail.com")</f>
        <v>bebyrere15@gmail.com</v>
      </c>
      <c r="AI586" s="85" t="str">
        <f>IFERROR(__xludf.DUMMYFUNCTION("""COMPUTED_VALUE"""),"17526S3")</f>
        <v>17526S3</v>
      </c>
      <c r="AJ586" s="85" t="str">
        <f>IFERROR(__xludf.DUMMYFUNCTION("""COMPUTED_VALUE"""),"68944ce2c2d870cb4909f2f3")</f>
        <v>68944ce2c2d870cb4909f2f3</v>
      </c>
      <c r="AK586" s="85" t="str">
        <f>IFERROR(__xludf.DUMMYFUNCTION("""COMPUTED_VALUE"""),"dm17526s3")</f>
        <v>dm17526s3</v>
      </c>
      <c r="AL586" s="85" t="str">
        <f>IFERROR(__xludf.DUMMYFUNCTION("""COMPUTED_VALUE"""),"#17526Pos")</f>
        <v>#17526Pos</v>
      </c>
      <c r="AM586" s="85" t="str">
        <f>IFERROR(__xludf.DUMMYFUNCTION("""COMPUTED_VALUE"""),"KANTOR REGIONAL II JAKARTA 10004")</f>
        <v>KANTOR REGIONAL II JAKARTA 10004</v>
      </c>
      <c r="AN586" s="85" t="str">
        <f>IFERROR(__xludf.DUMMYFUNCTION("""COMPUTED_VALUE"""),"KC CIKARANG 17500")</f>
        <v>KC CIKARANG 17500</v>
      </c>
      <c r="AO586" s="85" t="str">
        <f>IFERROR(__xludf.DUMMYFUNCTION("""COMPUTED_VALUE"""),"2807250083883")</f>
        <v>2807250083883</v>
      </c>
      <c r="AP586" s="85" t="str">
        <f>IFERROR(__xludf.DUMMYFUNCTION("""COMPUTED_VALUE"""),"28072500838830001")</f>
        <v>28072500838830001</v>
      </c>
      <c r="AQ586" s="93"/>
      <c r="AR586" s="85"/>
      <c r="AS586" s="85"/>
      <c r="AT586" s="85" t="str">
        <f>IFERROR(__xludf.DUMMYFUNCTION("""COMPUTED_VALUE"""),"-6.219955")</f>
        <v>-6.219955</v>
      </c>
      <c r="AU586" s="85" t="str">
        <f>IFERROR(__xludf.DUMMYFUNCTION("""COMPUTED_VALUE"""),"107.096256")</f>
        <v>107.096256</v>
      </c>
      <c r="AV586" s="85"/>
      <c r="AW586" s="85"/>
      <c r="AX586" s="85"/>
      <c r="AY586" s="85"/>
      <c r="AZ586" s="85"/>
      <c r="BA586" s="85"/>
      <c r="BB586" s="85"/>
      <c r="BC586" s="85"/>
      <c r="BD586" s="85"/>
      <c r="BE586" s="85"/>
      <c r="BF586" s="85"/>
      <c r="BG586" s="85"/>
      <c r="BH586" s="85"/>
      <c r="BI586" s="85"/>
      <c r="BJ586" s="85"/>
      <c r="BK586" s="85"/>
      <c r="BL586" s="85"/>
      <c r="BM586" s="85"/>
      <c r="BN586" s="85"/>
      <c r="BO586" s="85"/>
      <c r="BP586" s="85"/>
      <c r="BQ586" s="85"/>
      <c r="BR586" s="85"/>
      <c r="BS586" s="85"/>
      <c r="BT586" s="85"/>
      <c r="BU586" s="85"/>
      <c r="BV586" s="85"/>
      <c r="BW586" s="85"/>
      <c r="BX586" s="85" t="str">
        <f>IFERROR(__xludf.DUMMYFUNCTION("""COMPUTED_VALUE"""),"MULTIKURIR - LION PARCEL")</f>
        <v>MULTIKURIR - LION PARCEL</v>
      </c>
      <c r="BY586" s="85"/>
      <c r="BZ586" s="85"/>
      <c r="CA586" s="85"/>
      <c r="CB586" s="85"/>
      <c r="CC586" s="85"/>
      <c r="CD586" s="85"/>
      <c r="CE586" s="85"/>
      <c r="CF586" s="85"/>
      <c r="CG586" s="85"/>
      <c r="CH586" s="85"/>
      <c r="CI586" s="85"/>
      <c r="CJ586" s="85"/>
      <c r="CK586" s="2"/>
    </row>
    <row r="587" ht="12.75" customHeight="1">
      <c r="A587" s="80">
        <f>IFERROR(__xludf.DUMMYFUNCTION("""COMPUTED_VALUE"""),584.0)</f>
        <v>584</v>
      </c>
      <c r="B587" s="80"/>
      <c r="C587" s="80"/>
      <c r="D587" s="81">
        <f>IFERROR(__xludf.DUMMYFUNCTION("""COMPUTED_VALUE"""),45867.0)</f>
        <v>45867</v>
      </c>
      <c r="E587" s="82"/>
      <c r="F587" s="80"/>
      <c r="G587" s="81">
        <f>IFERROR(__xludf.DUMMYFUNCTION("""COMPUTED_VALUE"""),45908.0)</f>
        <v>45908</v>
      </c>
      <c r="H587" s="80"/>
      <c r="I587" s="80"/>
      <c r="J587" s="80"/>
      <c r="K587" s="80"/>
      <c r="L587" s="80">
        <f>IFERROR(__xludf.DUMMYFUNCTION("""COMPUTED_VALUE"""),41.0)</f>
        <v>41</v>
      </c>
      <c r="M587" s="80" t="str">
        <f>IFERROR(__xludf.DUMMYFUNCTION("""COMPUTED_VALUE"""),"ü")</f>
        <v>ü</v>
      </c>
      <c r="N587" s="80"/>
      <c r="O587" s="80"/>
      <c r="P587" s="80" t="str">
        <f>IFERROR(__xludf.DUMMYFUNCTION("""COMPUTED_VALUE"""),"MUCSPA63204PSIND")</f>
        <v>MUCSPA63204PSIND</v>
      </c>
      <c r="Q587" s="80" t="str">
        <f>IFERROR(__xludf.DUMMYFUNCTION("""COMPUTED_VALUE"""),"MUC POST KLAPANUNGGAL")</f>
        <v>MUC POST KLAPANUNGGAL</v>
      </c>
      <c r="R587" s="80" t="str">
        <f>IFERROR(__xludf.DUMMYFUNCTION("""COMPUTED_VALUE"""),"MUC POST KLAPANUNGGAL")</f>
        <v>MUC POST KLAPANUNGGAL</v>
      </c>
      <c r="S587" s="80" t="str">
        <f>IFERROR(__xludf.DUMMYFUNCTION("""COMPUTED_VALUE"""),"GABRIEL GIFSON HASUGIAN")</f>
        <v>GABRIEL GIFSON HASUGIAN</v>
      </c>
      <c r="T587" s="80" t="str">
        <f>IFERROR(__xludf.DUMMYFUNCTION("""COMPUTED_VALUE"""),"KP.BABAKAN RT.005 RW.002 SUKATANI, TAPOS, KOTA DEPOK")</f>
        <v>KP.BABAKAN RT.005 RW.002 SUKATANI, TAPOS, KOTA DEPOK</v>
      </c>
      <c r="U587" s="80" t="str">
        <f>IFERROR(__xludf.DUMMYFUNCTION("""COMPUTED_VALUE"""),"Jl. Raya Raya Bojong Klapanunggal No. 67 Rt. 005/003")</f>
        <v>Jl. Raya Raya Bojong Klapanunggal No. 67 Rt. 005/003</v>
      </c>
      <c r="V587" s="80"/>
      <c r="W587" s="80" t="str">
        <f>IFERROR(__xludf.DUMMYFUNCTION("""COMPUTED_VALUE"""),"Bojong")</f>
        <v>Bojong</v>
      </c>
      <c r="X587" s="80" t="str">
        <f>IFERROR(__xludf.DUMMYFUNCTION("""COMPUTED_VALUE"""),"Klapanunggal")</f>
        <v>Klapanunggal</v>
      </c>
      <c r="Y587" s="80" t="str">
        <f>IFERROR(__xludf.DUMMYFUNCTION("""COMPUTED_VALUE"""),"Kab. Bogor")</f>
        <v>Kab. Bogor</v>
      </c>
      <c r="Z587" s="80" t="str">
        <f>IFERROR(__xludf.DUMMYFUNCTION("""COMPUTED_VALUE"""),"Jawa Barat")</f>
        <v>Jawa Barat</v>
      </c>
      <c r="AA587" s="80" t="str">
        <f>IFERROR(__xludf.DUMMYFUNCTION("""COMPUTED_VALUE"""),"16820")</f>
        <v>16820</v>
      </c>
      <c r="AB587" s="80" t="str">
        <f>IFERROR(__xludf.DUMMYFUNCTION("""COMPUTED_VALUE"""),"3276101906980003")</f>
        <v>3276101906980003</v>
      </c>
      <c r="AC587" s="80" t="str">
        <f>IFERROR(__xludf.DUMMYFUNCTION("""COMPUTED_VALUE"""),"41.016.809.0-412.000")</f>
        <v>41.016.809.0-412.000</v>
      </c>
      <c r="AD587" s="80" t="str">
        <f>IFERROR(__xludf.DUMMYFUNCTION("""COMPUTED_VALUE"""),"CUM - PS - NITA")</f>
        <v>CUM - PS - NITA</v>
      </c>
      <c r="AE587" s="80" t="str">
        <f>IFERROR(__xludf.DUMMYFUNCTION("""COMPUTED_VALUE"""),"SUB NITA POS")</f>
        <v>SUB NITA POS</v>
      </c>
      <c r="AF587" s="80" t="str">
        <f>IFERROR(__xludf.DUMMYFUNCTION("""COMPUTED_VALUE"""),"081310330001")</f>
        <v>081310330001</v>
      </c>
      <c r="AG587" s="80"/>
      <c r="AH587" s="80" t="str">
        <f>IFERROR(__xludf.DUMMYFUNCTION("""COMPUTED_VALUE"""),"gifsonh59@gmail.com")</f>
        <v>gifsonh59@gmail.com</v>
      </c>
      <c r="AI587" s="80" t="str">
        <f>IFERROR(__xludf.DUMMYFUNCTION("""COMPUTED_VALUE"""),"16878S3")</f>
        <v>16878S3</v>
      </c>
      <c r="AJ587" s="80" t="str">
        <f>IFERROR(__xludf.DUMMYFUNCTION("""COMPUTED_VALUE"""),"68bcfbe545e740a45907e27c")</f>
        <v>68bcfbe545e740a45907e27c</v>
      </c>
      <c r="AK587" s="80" t="str">
        <f>IFERROR(__xludf.DUMMYFUNCTION("""COMPUTED_VALUE"""),"dm16878s3")</f>
        <v>dm16878s3</v>
      </c>
      <c r="AL587" s="80" t="str">
        <f>IFERROR(__xludf.DUMMYFUNCTION("""COMPUTED_VALUE"""),"#16878Pos")</f>
        <v>#16878Pos</v>
      </c>
      <c r="AM587" s="80" t="str">
        <f>IFERROR(__xludf.DUMMYFUNCTION("""COMPUTED_VALUE"""),"KANTOR REGIONAL II JAKARTA 10004")</f>
        <v>KANTOR REGIONAL II JAKARTA 10004</v>
      </c>
      <c r="AN587" s="80" t="str">
        <f>IFERROR(__xludf.DUMMYFUNCTION("""COMPUTED_VALUE"""),"KC CIBINONG")</f>
        <v>KC CIBINONG</v>
      </c>
      <c r="AO587" s="80" t="str">
        <f>IFERROR(__xludf.DUMMYFUNCTION("""COMPUTED_VALUE"""),"2807250105887")</f>
        <v>2807250105887</v>
      </c>
      <c r="AP587" s="80" t="str">
        <f>IFERROR(__xludf.DUMMYFUNCTION("""COMPUTED_VALUE"""),"28072501058870001")</f>
        <v>28072501058870001</v>
      </c>
      <c r="AQ587" s="83"/>
      <c r="AR587" s="80"/>
      <c r="AS587" s="80"/>
      <c r="AT587" s="80" t="str">
        <f>IFERROR(__xludf.DUMMYFUNCTION("""COMPUTED_VALUE"""),"-6.443545")</f>
        <v>-6.443545</v>
      </c>
      <c r="AU587" s="80" t="str">
        <f>IFERROR(__xludf.DUMMYFUNCTION("""COMPUTED_VALUE"""),"107.006549")</f>
        <v>107.006549</v>
      </c>
      <c r="AV587" s="80"/>
      <c r="AW587" s="80"/>
      <c r="AX587" s="80"/>
      <c r="AY587" s="80"/>
      <c r="AZ587" s="80"/>
      <c r="BA587" s="80"/>
      <c r="BB587" s="80"/>
      <c r="BC587" s="80"/>
      <c r="BD587" s="80"/>
      <c r="BE587" s="80"/>
      <c r="BF587" s="80"/>
      <c r="BG587" s="80"/>
      <c r="BH587" s="80"/>
      <c r="BI587" s="80"/>
      <c r="BJ587" s="80"/>
      <c r="BK587" s="80"/>
      <c r="BL587" s="80"/>
      <c r="BM587" s="80"/>
      <c r="BN587" s="80"/>
      <c r="BO587" s="80"/>
      <c r="BP587" s="80"/>
      <c r="BQ587" s="80"/>
      <c r="BR587" s="80"/>
      <c r="BS587" s="80"/>
      <c r="BT587" s="80"/>
      <c r="BU587" s="80"/>
      <c r="BV587" s="80"/>
      <c r="BW587" s="80"/>
      <c r="BX587" s="80" t="str">
        <f>IFERROR(__xludf.DUMMYFUNCTION("""COMPUTED_VALUE"""),"MULTIKURIR - JNT EXPRESS")</f>
        <v>MULTIKURIR - JNT EXPRESS</v>
      </c>
      <c r="BY587" s="80"/>
      <c r="BZ587" s="80"/>
      <c r="CA587" s="80"/>
      <c r="CB587" s="80"/>
      <c r="CC587" s="80"/>
      <c r="CD587" s="80"/>
      <c r="CE587" s="80"/>
      <c r="CF587" s="80"/>
      <c r="CG587" s="80"/>
      <c r="CH587" s="80"/>
      <c r="CI587" s="80"/>
      <c r="CJ587" s="80"/>
      <c r="CK587" s="2"/>
    </row>
    <row r="588" ht="12.75" customHeight="1">
      <c r="A588" s="85">
        <f>IFERROR(__xludf.DUMMYFUNCTION("""COMPUTED_VALUE"""),585.0)</f>
        <v>585</v>
      </c>
      <c r="B588" s="85"/>
      <c r="C588" s="85"/>
      <c r="D588" s="86">
        <f>IFERROR(__xludf.DUMMYFUNCTION("""COMPUTED_VALUE"""),45867.0)</f>
        <v>45867</v>
      </c>
      <c r="E588" s="88"/>
      <c r="F588" s="85"/>
      <c r="G588" s="86">
        <f>IFERROR(__xludf.DUMMYFUNCTION("""COMPUTED_VALUE"""),45915.0)</f>
        <v>45915</v>
      </c>
      <c r="H588" s="85"/>
      <c r="I588" s="85"/>
      <c r="J588" s="85"/>
      <c r="K588" s="85"/>
      <c r="L588" s="85">
        <f>IFERROR(__xludf.DUMMYFUNCTION("""COMPUTED_VALUE"""),48.0)</f>
        <v>48</v>
      </c>
      <c r="M588" s="85" t="str">
        <f>IFERROR(__xludf.DUMMYFUNCTION("""COMPUTED_VALUE"""),"ü")</f>
        <v>ü</v>
      </c>
      <c r="N588" s="85"/>
      <c r="O588" s="85"/>
      <c r="P588" s="85" t="str">
        <f>IFERROR(__xludf.DUMMYFUNCTION("""COMPUTED_VALUE"""),"52BSPA07788JTYNA")</f>
        <v>52BSPA07788JTYNA</v>
      </c>
      <c r="Q588" s="85" t="str">
        <f>IFERROR(__xludf.DUMMYFUNCTION("""COMPUTED_VALUE"""),"MUC DP SERVICE CELL")</f>
        <v>MUC DP SERVICE CELL</v>
      </c>
      <c r="R588" s="85" t="str">
        <f>IFERROR(__xludf.DUMMYFUNCTION("""COMPUTED_VALUE"""),"MUC DP SERVICE CELL")</f>
        <v>MUC DP SERVICE CELL</v>
      </c>
      <c r="S588" s="85" t="str">
        <f>IFERROR(__xludf.DUMMYFUNCTION("""COMPUTED_VALUE"""),"ALIF AKBAR SYAIFULLAH")</f>
        <v>ALIF AKBAR SYAIFULLAH</v>
      </c>
      <c r="T588" s="85" t="str">
        <f>IFERROR(__xludf.DUMMYFUNCTION("""COMPUTED_VALUE"""),"TEGAL PURNO RT 3 RW 12, JJIMBUNG KALIKOTES, KLATEN")</f>
        <v>TEGAL PURNO RT 3 RW 12, JJIMBUNG KALIKOTES, KLATEN</v>
      </c>
      <c r="U588" s="85" t="str">
        <f>IFERROR(__xludf.DUMMYFUNCTION("""COMPUTED_VALUE"""),"RUKO GLODOGAN RT 3 RW 6")</f>
        <v>RUKO GLODOGAN RT 3 RW 6</v>
      </c>
      <c r="V588" s="85"/>
      <c r="W588" s="85" t="str">
        <f>IFERROR(__xludf.DUMMYFUNCTION("""COMPUTED_VALUE"""),"GLODOGAN")</f>
        <v>GLODOGAN</v>
      </c>
      <c r="X588" s="85" t="str">
        <f>IFERROR(__xludf.DUMMYFUNCTION("""COMPUTED_VALUE"""),"KLATEN SELATAN")</f>
        <v>KLATEN SELATAN</v>
      </c>
      <c r="Y588" s="85" t="str">
        <f>IFERROR(__xludf.DUMMYFUNCTION("""COMPUTED_VALUE"""),"KLATEN")</f>
        <v>KLATEN</v>
      </c>
      <c r="Z588" s="85" t="str">
        <f>IFERROR(__xludf.DUMMYFUNCTION("""COMPUTED_VALUE"""),"JAWA TENGAH")</f>
        <v>JAWA TENGAH</v>
      </c>
      <c r="AA588" s="85" t="str">
        <f>IFERROR(__xludf.DUMMYFUNCTION("""COMPUTED_VALUE"""),"57419")</f>
        <v>57419</v>
      </c>
      <c r="AB588" s="85" t="str">
        <f>IFERROR(__xludf.DUMMYFUNCTION("""COMPUTED_VALUE"""),"3310230608870002")</f>
        <v>3310230608870002</v>
      </c>
      <c r="AC588" s="85" t="str">
        <f>IFERROR(__xludf.DUMMYFUNCTION("""COMPUTED_VALUE"""),"35.659.286.5-525.000")</f>
        <v>35.659.286.5-525.000</v>
      </c>
      <c r="AD588" s="85" t="str">
        <f>IFERROR(__xludf.DUMMYFUNCTION("""COMPUTED_VALUE"""),"CUM - YNA")</f>
        <v>CUM - YNA</v>
      </c>
      <c r="AE588" s="85" t="str">
        <f>IFERROR(__xludf.DUMMYFUNCTION("""COMPUTED_VALUE"""),"SUB YOHANNITA")</f>
        <v>SUB YOHANNITA</v>
      </c>
      <c r="AF588" s="85" t="str">
        <f>IFERROR(__xludf.DUMMYFUNCTION("""COMPUTED_VALUE"""),"085701104427")</f>
        <v>085701104427</v>
      </c>
      <c r="AG588" s="85"/>
      <c r="AH588" s="85" t="str">
        <f>IFERROR(__xludf.DUMMYFUNCTION("""COMPUTED_VALUE"""),"mahesabima32@gmail.com")</f>
        <v>mahesabima32@gmail.com</v>
      </c>
      <c r="AI588" s="85" t="str">
        <f>IFERROR(__xludf.DUMMYFUNCTION("""COMPUTED_VALUE"""),"57426S1")</f>
        <v>57426S1</v>
      </c>
      <c r="AJ588" s="85" t="str">
        <f>IFERROR(__xludf.DUMMYFUNCTION("""COMPUTED_VALUE"""),"68c7ba277964ec48c1039e4f")</f>
        <v>68c7ba277964ec48c1039e4f</v>
      </c>
      <c r="AK588" s="85" t="str">
        <f>IFERROR(__xludf.DUMMYFUNCTION("""COMPUTED_VALUE"""),"dm57426s1")</f>
        <v>dm57426s1</v>
      </c>
      <c r="AL588" s="85" t="str">
        <f>IFERROR(__xludf.DUMMYFUNCTION("""COMPUTED_VALUE"""),"#57426Pos")</f>
        <v>#57426Pos</v>
      </c>
      <c r="AM588" s="85" t="str">
        <f>IFERROR(__xludf.DUMMYFUNCTION("""COMPUTED_VALUE"""),"KANTOR REGIONAL IV SEMARANG 50004")</f>
        <v>KANTOR REGIONAL IV SEMARANG 50004</v>
      </c>
      <c r="AN588" s="85" t="str">
        <f>IFERROR(__xludf.DUMMYFUNCTION("""COMPUTED_VALUE"""),"KC KLATEN 57400")</f>
        <v>KC KLATEN 57400</v>
      </c>
      <c r="AO588" s="85" t="str">
        <f>IFERROR(__xludf.DUMMYFUNCTION("""COMPUTED_VALUE"""),"1299000420566")</f>
        <v>1299000420566</v>
      </c>
      <c r="AP588" s="85" t="str">
        <f>IFERROR(__xludf.DUMMYFUNCTION("""COMPUTED_VALUE"""),"12990004205660001")</f>
        <v>12990004205660001</v>
      </c>
      <c r="AQ588" s="93"/>
      <c r="AR588" s="85"/>
      <c r="AS588" s="85"/>
      <c r="AT588" s="85" t="str">
        <f>IFERROR(__xludf.DUMMYFUNCTION("""COMPUTED_VALUE"""),"-7.7396322")</f>
        <v>-7.7396322</v>
      </c>
      <c r="AU588" s="85" t="str">
        <f>IFERROR(__xludf.DUMMYFUNCTION("""COMPUTED_VALUE"""),"110.5918709")</f>
        <v>110.5918709</v>
      </c>
      <c r="AV588" s="85"/>
      <c r="AW588" s="85"/>
      <c r="AX588" s="85"/>
      <c r="AY588" s="85"/>
      <c r="AZ588" s="85"/>
      <c r="BA588" s="85"/>
      <c r="BB588" s="85"/>
      <c r="BC588" s="85"/>
      <c r="BD588" s="85"/>
      <c r="BE588" s="85"/>
      <c r="BF588" s="85"/>
      <c r="BG588" s="85"/>
      <c r="BH588" s="85"/>
      <c r="BI588" s="85"/>
      <c r="BJ588" s="85"/>
      <c r="BK588" s="85"/>
      <c r="BL588" s="85"/>
      <c r="BM588" s="85"/>
      <c r="BN588" s="85"/>
      <c r="BO588" s="85"/>
      <c r="BP588" s="85"/>
      <c r="BQ588" s="85"/>
      <c r="BR588" s="85"/>
      <c r="BS588" s="85"/>
      <c r="BT588" s="85"/>
      <c r="BU588" s="85"/>
      <c r="BV588" s="85"/>
      <c r="BW588" s="85"/>
      <c r="BX588" s="85" t="str">
        <f>IFERROR(__xludf.DUMMYFUNCTION("""COMPUTED_VALUE"""),"PPOB")</f>
        <v>PPOB</v>
      </c>
      <c r="BY588" s="85"/>
      <c r="BZ588" s="85"/>
      <c r="CA588" s="85"/>
      <c r="CB588" s="85"/>
      <c r="CC588" s="85"/>
      <c r="CD588" s="85"/>
      <c r="CE588" s="85"/>
      <c r="CF588" s="85"/>
      <c r="CG588" s="85"/>
      <c r="CH588" s="85"/>
      <c r="CI588" s="85"/>
      <c r="CJ588" s="85"/>
      <c r="CK588" s="2"/>
    </row>
    <row r="589" ht="14.25" customHeight="1">
      <c r="A589" s="80">
        <f>IFERROR(__xludf.DUMMYFUNCTION("""COMPUTED_VALUE"""),586.0)</f>
        <v>586</v>
      </c>
      <c r="B589" s="80"/>
      <c r="C589" s="80"/>
      <c r="D589" s="81">
        <f>IFERROR(__xludf.DUMMYFUNCTION("""COMPUTED_VALUE"""),45868.0)</f>
        <v>45868</v>
      </c>
      <c r="E589" s="82"/>
      <c r="F589" s="80"/>
      <c r="G589" s="81">
        <f>IFERROR(__xludf.DUMMYFUNCTION("""COMPUTED_VALUE"""),45881.0)</f>
        <v>45881</v>
      </c>
      <c r="H589" s="80"/>
      <c r="I589" s="80"/>
      <c r="J589" s="80"/>
      <c r="K589" s="80"/>
      <c r="L589" s="80">
        <f>IFERROR(__xludf.DUMMYFUNCTION("""COMPUTED_VALUE"""),13.0)</f>
        <v>13</v>
      </c>
      <c r="M589" s="80" t="str">
        <f>IFERROR(__xludf.DUMMYFUNCTION("""COMPUTED_VALUE"""),"ü")</f>
        <v>ü</v>
      </c>
      <c r="N589" s="80"/>
      <c r="O589" s="80"/>
      <c r="P589" s="80" t="str">
        <f>IFERROR(__xludf.DUMMYFUNCTION("""COMPUTED_VALUE"""),"MUCSPA63205PSIND")</f>
        <v>MUCSPA63205PSIND</v>
      </c>
      <c r="Q589" s="80" t="str">
        <f>IFERROR(__xludf.DUMMYFUNCTION("""COMPUTED_VALUE"""),"MUC BEN")</f>
        <v>MUC BEN</v>
      </c>
      <c r="R589" s="80" t="str">
        <f>IFERROR(__xludf.DUMMYFUNCTION("""COMPUTED_VALUE"""),"MUC BEN")</f>
        <v>MUC BEN</v>
      </c>
      <c r="S589" s="80" t="str">
        <f>IFERROR(__xludf.DUMMYFUNCTION("""COMPUTED_VALUE"""),"BAWIN TARAH ")</f>
        <v>BAWIN TARAH </v>
      </c>
      <c r="T589" s="80" t="str">
        <f>IFERROR(__xludf.DUMMYFUNCTION("""COMPUTED_VALUE"""),"Dusun Karya Makmur")</f>
        <v>Dusun Karya Makmur</v>
      </c>
      <c r="U589" s="80" t="str">
        <f>IFERROR(__xludf.DUMMYFUNCTION("""COMPUTED_VALUE"""),"Dusun Karya Makmur ")</f>
        <v>Dusun Karya Makmur </v>
      </c>
      <c r="V589" s="80"/>
      <c r="W589" s="80" t="str">
        <f>IFERROR(__xludf.DUMMYFUNCTION("""COMPUTED_VALUE"""),"Pasir Tuntung ")</f>
        <v>Pasir Tuntung </v>
      </c>
      <c r="X589" s="80" t="str">
        <f>IFERROR(__xludf.DUMMYFUNCTION("""COMPUTED_VALUE"""),"Kota Pinang")</f>
        <v>Kota Pinang</v>
      </c>
      <c r="Y589" s="80" t="str">
        <f>IFERROR(__xludf.DUMMYFUNCTION("""COMPUTED_VALUE"""),"Labuhanbatu Selatan")</f>
        <v>Labuhanbatu Selatan</v>
      </c>
      <c r="Z589" s="80" t="str">
        <f>IFERROR(__xludf.DUMMYFUNCTION("""COMPUTED_VALUE"""),"Sumatera Utara ")</f>
        <v>Sumatera Utara </v>
      </c>
      <c r="AA589" s="80" t="str">
        <f>IFERROR(__xludf.DUMMYFUNCTION("""COMPUTED_VALUE"""),"21464")</f>
        <v>21464</v>
      </c>
      <c r="AB589" s="80" t="str">
        <f>IFERROR(__xludf.DUMMYFUNCTION("""COMPUTED_VALUE"""),"1222012111930003")</f>
        <v>1222012111930003</v>
      </c>
      <c r="AC589" s="80" t="str">
        <f>IFERROR(__xludf.DUMMYFUNCTION("""COMPUTED_VALUE"""),"91.153.923.7-116.000")</f>
        <v>91.153.923.7-116.000</v>
      </c>
      <c r="AD589" s="80" t="str">
        <f>IFERROR(__xludf.DUMMYFUNCTION("""COMPUTED_VALUE"""),"CUM - PS - ARFI")</f>
        <v>CUM - PS - ARFI</v>
      </c>
      <c r="AE589" s="80" t="str">
        <f>IFERROR(__xludf.DUMMYFUNCTION("""COMPUTED_VALUE"""),"SUB ARIEF POS")</f>
        <v>SUB ARIEF POS</v>
      </c>
      <c r="AF589" s="80" t="str">
        <f>IFERROR(__xludf.DUMMYFUNCTION("""COMPUTED_VALUE"""),"082365145647")</f>
        <v>082365145647</v>
      </c>
      <c r="AG589" s="80"/>
      <c r="AH589" s="80" t="str">
        <f>IFERROR(__xludf.DUMMYFUNCTION("""COMPUTED_VALUE"""),"bawintarah3@gmail.com")</f>
        <v>bawintarah3@gmail.com</v>
      </c>
      <c r="AI589" s="80" t="str">
        <f>IFERROR(__xludf.DUMMYFUNCTION("""COMPUTED_VALUE"""),"21514S1")</f>
        <v>21514S1</v>
      </c>
      <c r="AJ589" s="80" t="str">
        <f>IFERROR(__xludf.DUMMYFUNCTION("""COMPUTED_VALUE"""),"689704757f0b505906050f24")</f>
        <v>689704757f0b505906050f24</v>
      </c>
      <c r="AK589" s="80" t="str">
        <f>IFERROR(__xludf.DUMMYFUNCTION("""COMPUTED_VALUE"""),"dm21514s1")</f>
        <v>dm21514s1</v>
      </c>
      <c r="AL589" s="80" t="str">
        <f>IFERROR(__xludf.DUMMYFUNCTION("""COMPUTED_VALUE"""),"#21514Pos")</f>
        <v>#21514Pos</v>
      </c>
      <c r="AM589" s="80" t="str">
        <f>IFERROR(__xludf.DUMMYFUNCTION("""COMPUTED_VALUE"""),"KANTOR REGIONAL I MEDAN 20004")</f>
        <v>KANTOR REGIONAL I MEDAN 20004</v>
      </c>
      <c r="AN589" s="80" t="str">
        <f>IFERROR(__xludf.DUMMYFUNCTION("""COMPUTED_VALUE"""),"KC RANTAUPRAPAT")</f>
        <v>KC RANTAUPRAPAT</v>
      </c>
      <c r="AO589" s="80" t="str">
        <f>IFERROR(__xludf.DUMMYFUNCTION("""COMPUTED_VALUE"""),"2907250103131")</f>
        <v>2907250103131</v>
      </c>
      <c r="AP589" s="80" t="str">
        <f>IFERROR(__xludf.DUMMYFUNCTION("""COMPUTED_VALUE"""),"29072501031310001")</f>
        <v>29072501031310001</v>
      </c>
      <c r="AQ589" s="83"/>
      <c r="AR589" s="80"/>
      <c r="AS589" s="80"/>
      <c r="AT589" s="80" t="str">
        <f>IFERROR(__xludf.DUMMYFUNCTION("""COMPUTED_VALUE"""),"1.777279")</f>
        <v>1.777279</v>
      </c>
      <c r="AU589" s="80" t="str">
        <f>IFERROR(__xludf.DUMMYFUNCTION("""COMPUTED_VALUE"""),"100.119616")</f>
        <v>100.119616</v>
      </c>
      <c r="AV589" s="80"/>
      <c r="AW589" s="80"/>
      <c r="AX589" s="80"/>
      <c r="AY589" s="80"/>
      <c r="AZ589" s="80"/>
      <c r="BA589" s="80"/>
      <c r="BB589" s="80"/>
      <c r="BC589" s="80"/>
      <c r="BD589" s="80"/>
      <c r="BE589" s="80"/>
      <c r="BF589" s="80"/>
      <c r="BG589" s="80"/>
      <c r="BH589" s="80"/>
      <c r="BI589" s="80"/>
      <c r="BJ589" s="80"/>
      <c r="BK589" s="80"/>
      <c r="BL589" s="80"/>
      <c r="BM589" s="80"/>
      <c r="BN589" s="80"/>
      <c r="BO589" s="80"/>
      <c r="BP589" s="80"/>
      <c r="BQ589" s="80"/>
      <c r="BR589" s="80"/>
      <c r="BS589" s="80"/>
      <c r="BT589" s="80"/>
      <c r="BU589" s="80"/>
      <c r="BV589" s="80"/>
      <c r="BW589" s="80"/>
      <c r="BX589" s="80" t="str">
        <f>IFERROR(__xludf.DUMMYFUNCTION("""COMPUTED_VALUE"""),"FOTOCOPY")</f>
        <v>FOTOCOPY</v>
      </c>
      <c r="BY589" s="80"/>
      <c r="BZ589" s="80"/>
      <c r="CA589" s="80"/>
      <c r="CB589" s="80"/>
      <c r="CC589" s="80"/>
      <c r="CD589" s="80"/>
      <c r="CE589" s="80"/>
      <c r="CF589" s="80"/>
      <c r="CG589" s="80"/>
      <c r="CH589" s="80"/>
      <c r="CI589" s="80"/>
      <c r="CJ589" s="80"/>
      <c r="CK589" s="2"/>
    </row>
    <row r="590" ht="12.75" customHeight="1">
      <c r="A590" s="85">
        <f>IFERROR(__xludf.DUMMYFUNCTION("""COMPUTED_VALUE"""),587.0)</f>
        <v>587</v>
      </c>
      <c r="B590" s="85"/>
      <c r="C590" s="85"/>
      <c r="D590" s="86">
        <f>IFERROR(__xludf.DUMMYFUNCTION("""COMPUTED_VALUE"""),45870.0)</f>
        <v>45870</v>
      </c>
      <c r="E590" s="88"/>
      <c r="F590" s="85"/>
      <c r="G590" s="86">
        <f>IFERROR(__xludf.DUMMYFUNCTION("""COMPUTED_VALUE"""),45895.0)</f>
        <v>45895</v>
      </c>
      <c r="H590" s="85"/>
      <c r="I590" s="85"/>
      <c r="J590" s="85"/>
      <c r="K590" s="85"/>
      <c r="L590" s="85">
        <f>IFERROR(__xludf.DUMMYFUNCTION("""COMPUTED_VALUE"""),25.0)</f>
        <v>25</v>
      </c>
      <c r="M590" s="85" t="str">
        <f>IFERROR(__xludf.DUMMYFUNCTION("""COMPUTED_VALUE"""),"ü")</f>
        <v>ü</v>
      </c>
      <c r="N590" s="85"/>
      <c r="O590" s="85"/>
      <c r="P590" s="85" t="str">
        <f>IFERROR(__xludf.DUMMYFUNCTION("""COMPUTED_VALUE"""),"MUCSPA63206PSIND")</f>
        <v>MUCSPA63206PSIND</v>
      </c>
      <c r="Q590" s="85" t="str">
        <f>IFERROR(__xludf.DUMMYFUNCTION("""COMPUTED_VALUE"""),"MUC INA POST")</f>
        <v>MUC INA POST</v>
      </c>
      <c r="R590" s="85" t="str">
        <f>IFERROR(__xludf.DUMMYFUNCTION("""COMPUTED_VALUE"""),"MUC INA POST")</f>
        <v>MUC INA POST</v>
      </c>
      <c r="S590" s="85" t="str">
        <f>IFERROR(__xludf.DUMMYFUNCTION("""COMPUTED_VALUE"""),"ELISTINA")</f>
        <v>ELISTINA</v>
      </c>
      <c r="T590" s="85" t="str">
        <f>IFERROR(__xludf.DUMMYFUNCTION("""COMPUTED_VALUE"""),"DUSUN MANIS RT 001 RW 005")</f>
        <v>DUSUN MANIS RT 001 RW 005</v>
      </c>
      <c r="U590" s="85" t="str">
        <f>IFERROR(__xludf.DUMMYFUNCTION("""COMPUTED_VALUE"""),"DUSUN MANIS RT 001 RW 005")</f>
        <v>DUSUN MANIS RT 001 RW 005</v>
      </c>
      <c r="V590" s="85"/>
      <c r="W590" s="85" t="str">
        <f>IFERROR(__xludf.DUMMYFUNCTION("""COMPUTED_VALUE"""),"CILEUYA")</f>
        <v>CILEUYA</v>
      </c>
      <c r="X590" s="85" t="str">
        <f>IFERROR(__xludf.DUMMYFUNCTION("""COMPUTED_VALUE"""),"CIMAHI")</f>
        <v>CIMAHI</v>
      </c>
      <c r="Y590" s="85" t="str">
        <f>IFERROR(__xludf.DUMMYFUNCTION("""COMPUTED_VALUE"""),"KAB. KUNINGAN")</f>
        <v>KAB. KUNINGAN</v>
      </c>
      <c r="Z590" s="85" t="str">
        <f>IFERROR(__xludf.DUMMYFUNCTION("""COMPUTED_VALUE"""),"JAWA BARAT")</f>
        <v>JAWA BARAT</v>
      </c>
      <c r="AA590" s="85" t="str">
        <f>IFERROR(__xludf.DUMMYFUNCTION("""COMPUTED_VALUE"""),"45582")</f>
        <v>45582</v>
      </c>
      <c r="AB590" s="85" t="str">
        <f>IFERROR(__xludf.DUMMYFUNCTION("""COMPUTED_VALUE"""),"3208065807960003")</f>
        <v>3208065807960003</v>
      </c>
      <c r="AC590" s="85" t="str">
        <f>IFERROR(__xludf.DUMMYFUNCTION("""COMPUTED_VALUE"""),"81.295.166.3-438.000")</f>
        <v>81.295.166.3-438.000</v>
      </c>
      <c r="AD590" s="85" t="str">
        <f>IFERROR(__xludf.DUMMYFUNCTION("""COMPUTED_VALUE"""),"CUM - NONKORGEN")</f>
        <v>CUM - NONKORGEN</v>
      </c>
      <c r="AE590" s="85" t="str">
        <f>IFERROR(__xludf.DUMMYFUNCTION("""COMPUTED_VALUE"""),"PAK ANO KUNINGAN")</f>
        <v>PAK ANO KUNINGAN</v>
      </c>
      <c r="AF590" s="85" t="str">
        <f>IFERROR(__xludf.DUMMYFUNCTION("""COMPUTED_VALUE"""),"085797508762")</f>
        <v>085797508762</v>
      </c>
      <c r="AG590" s="85"/>
      <c r="AH590" s="85" t="str">
        <f>IFERROR(__xludf.DUMMYFUNCTION("""COMPUTED_VALUE"""),"wi.wardani@gmail.com")</f>
        <v>wi.wardani@gmail.com</v>
      </c>
      <c r="AI590" s="85" t="str">
        <f>IFERROR(__xludf.DUMMYFUNCTION("""COMPUTED_VALUE"""),"45582S2")</f>
        <v>45582S2</v>
      </c>
      <c r="AJ590" s="85" t="str">
        <f>IFERROR(__xludf.DUMMYFUNCTION("""COMPUTED_VALUE"""),"68a91e84a0cd0c2f2a0bf5c8")</f>
        <v>68a91e84a0cd0c2f2a0bf5c8</v>
      </c>
      <c r="AK590" s="85" t="str">
        <f>IFERROR(__xludf.DUMMYFUNCTION("""COMPUTED_VALUE"""),"dm45582s2")</f>
        <v>dm45582s2</v>
      </c>
      <c r="AL590" s="85" t="str">
        <f>IFERROR(__xludf.DUMMYFUNCTION("""COMPUTED_VALUE"""),"#45582Pos")</f>
        <v>#45582Pos</v>
      </c>
      <c r="AM590" s="85" t="str">
        <f>IFERROR(__xludf.DUMMYFUNCTION("""COMPUTED_VALUE"""),"KANTOR REGIONAL III BANDUNG 40004")</f>
        <v>KANTOR REGIONAL III BANDUNG 40004</v>
      </c>
      <c r="AN590" s="85" t="str">
        <f>IFERROR(__xludf.DUMMYFUNCTION("""COMPUTED_VALUE"""),"KC KUNINGAN")</f>
        <v>KC KUNINGAN</v>
      </c>
      <c r="AO590" s="85" t="str">
        <f>IFERROR(__xludf.DUMMYFUNCTION("""COMPUTED_VALUE"""),"0108250141886")</f>
        <v>0108250141886</v>
      </c>
      <c r="AP590" s="85" t="str">
        <f>IFERROR(__xludf.DUMMYFUNCTION("""COMPUTED_VALUE"""),"01082501418860001")</f>
        <v>01082501418860001</v>
      </c>
      <c r="AQ590" s="93"/>
      <c r="AR590" s="85"/>
      <c r="AS590" s="85"/>
      <c r="AT590" s="85" t="str">
        <f>IFERROR(__xludf.DUMMYFUNCTION("""COMPUTED_VALUE"""),"-7.0233158")</f>
        <v>-7.0233158</v>
      </c>
      <c r="AU590" s="85" t="str">
        <f>IFERROR(__xludf.DUMMYFUNCTION("""COMPUTED_VALUE"""),"108.6721338")</f>
        <v>108.6721338</v>
      </c>
      <c r="AV590" s="85"/>
      <c r="AW590" s="85"/>
      <c r="AX590" s="85"/>
      <c r="AY590" s="85"/>
      <c r="AZ590" s="85"/>
      <c r="BA590" s="85"/>
      <c r="BB590" s="85"/>
      <c r="BC590" s="85"/>
      <c r="BD590" s="85"/>
      <c r="BE590" s="85"/>
      <c r="BF590" s="85"/>
      <c r="BG590" s="85"/>
      <c r="BH590" s="85"/>
      <c r="BI590" s="85"/>
      <c r="BJ590" s="85"/>
      <c r="BK590" s="85"/>
      <c r="BL590" s="85"/>
      <c r="BM590" s="85"/>
      <c r="BN590" s="85"/>
      <c r="BO590" s="85"/>
      <c r="BP590" s="85"/>
      <c r="BQ590" s="85"/>
      <c r="BR590" s="85"/>
      <c r="BS590" s="85"/>
      <c r="BT590" s="85"/>
      <c r="BU590" s="85"/>
      <c r="BV590" s="85"/>
      <c r="BW590" s="85"/>
      <c r="BX590" s="85"/>
      <c r="BY590" s="85"/>
      <c r="BZ590" s="85"/>
      <c r="CA590" s="85"/>
      <c r="CB590" s="85"/>
      <c r="CC590" s="85"/>
      <c r="CD590" s="85"/>
      <c r="CE590" s="85"/>
      <c r="CF590" s="85"/>
      <c r="CG590" s="85"/>
      <c r="CH590" s="85"/>
      <c r="CI590" s="85"/>
      <c r="CJ590" s="85"/>
      <c r="CK590" s="2"/>
    </row>
    <row r="591" ht="12.75" customHeight="1">
      <c r="A591" s="80">
        <f>IFERROR(__xludf.DUMMYFUNCTION("""COMPUTED_VALUE"""),588.0)</f>
        <v>588</v>
      </c>
      <c r="B591" s="80"/>
      <c r="C591" s="80"/>
      <c r="D591" s="81">
        <f>IFERROR(__xludf.DUMMYFUNCTION("""COMPUTED_VALUE"""),45870.0)</f>
        <v>45870</v>
      </c>
      <c r="E591" s="82"/>
      <c r="F591" s="80"/>
      <c r="G591" s="81"/>
      <c r="H591" s="80"/>
      <c r="I591" s="80"/>
      <c r="J591" s="80"/>
      <c r="K591" s="80"/>
      <c r="L591" s="80"/>
      <c r="M591" s="80" t="str">
        <f>IFERROR(__xludf.DUMMYFUNCTION("""COMPUTED_VALUE"""),"ü")</f>
        <v>ü</v>
      </c>
      <c r="N591" s="80"/>
      <c r="O591" s="80"/>
      <c r="P591" s="80" t="str">
        <f>IFERROR(__xludf.DUMMYFUNCTION("""COMPUTED_VALUE"""),"MUCSPA63207PSIND")</f>
        <v>MUCSPA63207PSIND</v>
      </c>
      <c r="Q591" s="80" t="str">
        <f>IFERROR(__xludf.DUMMYFUNCTION("""COMPUTED_VALUE"""),"MUC POST ZAIN")</f>
        <v>MUC POST ZAIN</v>
      </c>
      <c r="R591" s="80" t="str">
        <f>IFERROR(__xludf.DUMMYFUNCTION("""COMPUTED_VALUE"""),"MUC POST ZAIN")</f>
        <v>MUC POST ZAIN</v>
      </c>
      <c r="S591" s="80" t="str">
        <f>IFERROR(__xludf.DUMMYFUNCTION("""COMPUTED_VALUE"""),"SAPTO CIPTADI")</f>
        <v>SAPTO CIPTADI</v>
      </c>
      <c r="T591" s="80" t="str">
        <f>IFERROR(__xludf.DUMMYFUNCTION("""COMPUTED_VALUE""")," PERUM NOGOTIRTO 3 JL.KAWI C.197 NUSUPAN RT.008 RW.035 TRIHANGGO, GAMPING")</f>
        <v> PERUM NOGOTIRTO 3 JL.KAWI C.197 NUSUPAN RT.008 RW.035 TRIHANGGO, GAMPING</v>
      </c>
      <c r="U591" s="80" t="str">
        <f>IFERROR(__xludf.DUMMYFUNCTION("""COMPUTED_VALUE"""),"Jl. Bibis, Dsn. Tangkilan No 9 RT 4 RW 12")</f>
        <v>Jl. Bibis, Dsn. Tangkilan No 9 RT 4 RW 12</v>
      </c>
      <c r="V591" s="80"/>
      <c r="W591" s="80" t="str">
        <f>IFERROR(__xludf.DUMMYFUNCTION("""COMPUTED_VALUE"""),"Sidoarum")</f>
        <v>Sidoarum</v>
      </c>
      <c r="X591" s="80" t="str">
        <f>IFERROR(__xludf.DUMMYFUNCTION("""COMPUTED_VALUE"""),"Godean")</f>
        <v>Godean</v>
      </c>
      <c r="Y591" s="80" t="str">
        <f>IFERROR(__xludf.DUMMYFUNCTION("""COMPUTED_VALUE"""),"Kab. Sleman")</f>
        <v>Kab. Sleman</v>
      </c>
      <c r="Z591" s="80" t="str">
        <f>IFERROR(__xludf.DUMMYFUNCTION("""COMPUTED_VALUE"""),"D I Yogyakarta")</f>
        <v>D I Yogyakarta</v>
      </c>
      <c r="AA591" s="80" t="str">
        <f>IFERROR(__xludf.DUMMYFUNCTION("""COMPUTED_VALUE"""),"55264")</f>
        <v>55264</v>
      </c>
      <c r="AB591" s="80" t="str">
        <f>IFERROR(__xludf.DUMMYFUNCTION("""COMPUTED_VALUE"""),"08121222546")</f>
        <v>08121222546</v>
      </c>
      <c r="AC591" s="80" t="str">
        <f>IFERROR(__xludf.DUMMYFUNCTION("""COMPUTED_VALUE"""),"09.397.338.6-443.000")</f>
        <v>09.397.338.6-443.000</v>
      </c>
      <c r="AD591" s="80" t="str">
        <f>IFERROR(__xludf.DUMMYFUNCTION("""COMPUTED_VALUE"""),"CUM - PS - BPKT")</f>
        <v>CUM - PS - BPKT</v>
      </c>
      <c r="AE591" s="80" t="str">
        <f>IFERROR(__xludf.DUMMYFUNCTION("""COMPUTED_VALUE"""),"SUB PURBO POS")</f>
        <v>SUB PURBO POS</v>
      </c>
      <c r="AF591" s="80" t="str">
        <f>IFERROR(__xludf.DUMMYFUNCTION("""COMPUTED_VALUE"""),"08121222546")</f>
        <v>08121222546</v>
      </c>
      <c r="AG591" s="80"/>
      <c r="AH591" s="80" t="str">
        <f>IFERROR(__xludf.DUMMYFUNCTION("""COMPUTED_VALUE"""),"sciptadi@yahoo.com")</f>
        <v>sciptadi@yahoo.com</v>
      </c>
      <c r="AI591" s="80"/>
      <c r="AJ591" s="80"/>
      <c r="AK591" s="80"/>
      <c r="AL591" s="80"/>
      <c r="AM591" s="80" t="str">
        <f>IFERROR(__xludf.DUMMYFUNCTION("""COMPUTED_VALUE"""),"KANTOR REGIONAL IV SEMARANG 50004")</f>
        <v>KANTOR REGIONAL IV SEMARANG 50004</v>
      </c>
      <c r="AN591" s="80" t="str">
        <f>IFERROR(__xludf.DUMMYFUNCTION("""COMPUTED_VALUE"""),"KCU YOGYAKARTA 55000")</f>
        <v>KCU YOGYAKARTA 55000</v>
      </c>
      <c r="AO591" s="80" t="str">
        <f>IFERROR(__xludf.DUMMYFUNCTION("""COMPUTED_VALUE"""),"0220001372903")</f>
        <v>0220001372903</v>
      </c>
      <c r="AP591" s="80" t="str">
        <f>IFERROR(__xludf.DUMMYFUNCTION("""COMPUTED_VALUE"""),"02200013729030001")</f>
        <v>02200013729030001</v>
      </c>
      <c r="AQ591" s="83"/>
      <c r="AR591" s="80"/>
      <c r="AS591" s="80"/>
      <c r="AT591" s="80" t="str">
        <f>IFERROR(__xludf.DUMMYFUNCTION("""COMPUTED_VALUE"""),"-7.7886324")</f>
        <v>-7.7886324</v>
      </c>
      <c r="AU591" s="80" t="str">
        <f>IFERROR(__xludf.DUMMYFUNCTION("""COMPUTED_VALUE"""),"110.3075312")</f>
        <v>110.3075312</v>
      </c>
      <c r="AV591" s="80"/>
      <c r="AW591" s="80"/>
      <c r="AX591" s="80"/>
      <c r="AY591" s="80"/>
      <c r="AZ591" s="80"/>
      <c r="BA591" s="80"/>
      <c r="BB591" s="80"/>
      <c r="BC591" s="80"/>
      <c r="BD591" s="80"/>
      <c r="BE591" s="80"/>
      <c r="BF591" s="80"/>
      <c r="BG591" s="80"/>
      <c r="BH591" s="80"/>
      <c r="BI591" s="80"/>
      <c r="BJ591" s="80"/>
      <c r="BK591" s="80"/>
      <c r="BL591" s="80"/>
      <c r="BM591" s="80"/>
      <c r="BN591" s="80"/>
      <c r="BO591" s="80"/>
      <c r="BP591" s="80"/>
      <c r="BQ591" s="80"/>
      <c r="BR591" s="80"/>
      <c r="BS591" s="80"/>
      <c r="BT591" s="80"/>
      <c r="BU591" s="80"/>
      <c r="BV591" s="80"/>
      <c r="BW591" s="80"/>
      <c r="BX591" s="80" t="str">
        <f>IFERROR(__xludf.DUMMYFUNCTION("""COMPUTED_VALUE"""),"TOKO KELONTONG")</f>
        <v>TOKO KELONTONG</v>
      </c>
      <c r="BY591" s="80"/>
      <c r="BZ591" s="80"/>
      <c r="CA591" s="80"/>
      <c r="CB591" s="80"/>
      <c r="CC591" s="80"/>
      <c r="CD591" s="80"/>
      <c r="CE591" s="80"/>
      <c r="CF591" s="80"/>
      <c r="CG591" s="80"/>
      <c r="CH591" s="80"/>
      <c r="CI591" s="80"/>
      <c r="CJ591" s="80"/>
      <c r="CK591" s="2"/>
    </row>
    <row r="592" ht="12.75" customHeight="1">
      <c r="A592" s="85">
        <f>IFERROR(__xludf.DUMMYFUNCTION("""COMPUTED_VALUE"""),589.0)</f>
        <v>589</v>
      </c>
      <c r="B592" s="85"/>
      <c r="C592" s="85"/>
      <c r="D592" s="86">
        <f>IFERROR(__xludf.DUMMYFUNCTION("""COMPUTED_VALUE"""),45873.0)</f>
        <v>45873</v>
      </c>
      <c r="E592" s="88"/>
      <c r="F592" s="85"/>
      <c r="G592" s="86">
        <f>IFERROR(__xludf.DUMMYFUNCTION("""COMPUTED_VALUE"""),45880.0)</f>
        <v>45880</v>
      </c>
      <c r="H592" s="85"/>
      <c r="I592" s="85"/>
      <c r="J592" s="85"/>
      <c r="K592" s="85"/>
      <c r="L592" s="85">
        <f>IFERROR(__xludf.DUMMYFUNCTION("""COMPUTED_VALUE"""),7.0)</f>
        <v>7</v>
      </c>
      <c r="M592" s="85" t="str">
        <f>IFERROR(__xludf.DUMMYFUNCTION("""COMPUTED_VALUE"""),"ü")</f>
        <v>ü</v>
      </c>
      <c r="N592" s="85"/>
      <c r="O592" s="85"/>
      <c r="P592" s="85" t="str">
        <f>IFERROR(__xludf.DUMMYFUNCTION("""COMPUTED_VALUE"""),"MUCSPA63208PSIND")</f>
        <v>MUCSPA63208PSIND</v>
      </c>
      <c r="Q592" s="85" t="str">
        <f>IFERROR(__xludf.DUMMYFUNCTION("""COMPUTED_VALUE"""),"MUC TERANG BARU")</f>
        <v>MUC TERANG BARU</v>
      </c>
      <c r="R592" s="85" t="str">
        <f>IFERROR(__xludf.DUMMYFUNCTION("""COMPUTED_VALUE"""),"MUC TERANG BARU")</f>
        <v>MUC TERANG BARU</v>
      </c>
      <c r="S592" s="85" t="str">
        <f>IFERROR(__xludf.DUMMYFUNCTION("""COMPUTED_VALUE"""),"Ronald Yanuar Setiono")</f>
        <v>Ronald Yanuar Setiono</v>
      </c>
      <c r="T592" s="85" t="str">
        <f>IFERROR(__xludf.DUMMYFUNCTION("""COMPUTED_VALUE"""),"jl. stasiun no. 12, kutoarjo kab Purworejo")</f>
        <v>jl. stasiun no. 12, kutoarjo kab Purworejo</v>
      </c>
      <c r="U592" s="85" t="str">
        <f>IFERROR(__xludf.DUMMYFUNCTION("""COMPUTED_VALUE"""),"Jl. MT Haryono Kios pasar H.17 ")</f>
        <v>Jl. MT Haryono Kios pasar H.17 </v>
      </c>
      <c r="V592" s="85"/>
      <c r="W592" s="85" t="str">
        <f>IFERROR(__xludf.DUMMYFUNCTION("""COMPUTED_VALUE"""),"Kutoarjo")</f>
        <v>Kutoarjo</v>
      </c>
      <c r="X592" s="85" t="str">
        <f>IFERROR(__xludf.DUMMYFUNCTION("""COMPUTED_VALUE"""),"Kutoarjo")</f>
        <v>Kutoarjo</v>
      </c>
      <c r="Y592" s="85" t="str">
        <f>IFERROR(__xludf.DUMMYFUNCTION("""COMPUTED_VALUE"""),"Purworejo")</f>
        <v>Purworejo</v>
      </c>
      <c r="Z592" s="85" t="str">
        <f>IFERROR(__xludf.DUMMYFUNCTION("""COMPUTED_VALUE"""),"Jawa Tengah")</f>
        <v>Jawa Tengah</v>
      </c>
      <c r="AA592" s="85" t="str">
        <f>IFERROR(__xludf.DUMMYFUNCTION("""COMPUTED_VALUE"""),"54251")</f>
        <v>54251</v>
      </c>
      <c r="AB592" s="85" t="str">
        <f>IFERROR(__xludf.DUMMYFUNCTION("""COMPUTED_VALUE"""),"3306092501830004")</f>
        <v>3306092501830004</v>
      </c>
      <c r="AC592" s="85" t="str">
        <f>IFERROR(__xludf.DUMMYFUNCTION("""COMPUTED_VALUE"""),"07.821.175.2-531.000")</f>
        <v>07.821.175.2-531.000</v>
      </c>
      <c r="AD592" s="85" t="str">
        <f>IFERROR(__xludf.DUMMYFUNCTION("""COMPUTED_VALUE"""),"CUM - NONKORGEN")</f>
        <v>CUM - NONKORGEN</v>
      </c>
      <c r="AE592" s="85" t="str">
        <f>IFERROR(__xludf.DUMMYFUNCTION("""COMPUTED_VALUE"""),"BU UZMA KC PURWOREJO")</f>
        <v>BU UZMA KC PURWOREJO</v>
      </c>
      <c r="AF592" s="85" t="str">
        <f>IFERROR(__xludf.DUMMYFUNCTION("""COMPUTED_VALUE"""),"082360575757")</f>
        <v>082360575757</v>
      </c>
      <c r="AG592" s="85"/>
      <c r="AH592" s="85" t="str">
        <f>IFERROR(__xludf.DUMMYFUNCTION("""COMPUTED_VALUE"""),"ronaldyanuar25@gmail.com")</f>
        <v>ronaldyanuar25@gmail.com</v>
      </c>
      <c r="AI592" s="85" t="str">
        <f>IFERROR(__xludf.DUMMYFUNCTION("""COMPUTED_VALUE"""),"54153S3")</f>
        <v>54153S3</v>
      </c>
      <c r="AJ592" s="85" t="str">
        <f>IFERROR(__xludf.DUMMYFUNCTION("""COMPUTED_VALUE"""),"68945727b7b6f327d2072ee9")</f>
        <v>68945727b7b6f327d2072ee9</v>
      </c>
      <c r="AK592" s="85" t="str">
        <f>IFERROR(__xludf.DUMMYFUNCTION("""COMPUTED_VALUE"""),"dm54153s3")</f>
        <v>dm54153s3</v>
      </c>
      <c r="AL592" s="85" t="str">
        <f>IFERROR(__xludf.DUMMYFUNCTION("""COMPUTED_VALUE"""),"#54153Pos")</f>
        <v>#54153Pos</v>
      </c>
      <c r="AM592" s="85" t="str">
        <f>IFERROR(__xludf.DUMMYFUNCTION("""COMPUTED_VALUE"""),"KANTOR REGIONAL IV SEMARANG 50004")</f>
        <v>KANTOR REGIONAL IV SEMARANG 50004</v>
      </c>
      <c r="AN592" s="85" t="str">
        <f>IFERROR(__xludf.DUMMYFUNCTION("""COMPUTED_VALUE"""),"KC PURWOREJO 54100")</f>
        <v>KC PURWOREJO 54100</v>
      </c>
      <c r="AO592" s="85" t="str">
        <f>IFERROR(__xludf.DUMMYFUNCTION("""COMPUTED_VALUE"""),"0108230085939")</f>
        <v>0108230085939</v>
      </c>
      <c r="AP592" s="85" t="str">
        <f>IFERROR(__xludf.DUMMYFUNCTION("""COMPUTED_VALUE"""),"01082300859390001")</f>
        <v>01082300859390001</v>
      </c>
      <c r="AQ592" s="93"/>
      <c r="AR592" s="85"/>
      <c r="AS592" s="85"/>
      <c r="AT592" s="85" t="str">
        <f>IFERROR(__xludf.DUMMYFUNCTION("""COMPUTED_VALUE"""),"-7.7187088")</f>
        <v>-7.7187088</v>
      </c>
      <c r="AU592" s="85" t="str">
        <f>IFERROR(__xludf.DUMMYFUNCTION("""COMPUTED_VALUE"""),"109.9095661")</f>
        <v>109.9095661</v>
      </c>
      <c r="AV592" s="85"/>
      <c r="AW592" s="85"/>
      <c r="AX592" s="85"/>
      <c r="AY592" s="85"/>
      <c r="AZ592" s="85"/>
      <c r="BA592" s="85"/>
      <c r="BB592" s="85"/>
      <c r="BC592" s="85"/>
      <c r="BD592" s="85"/>
      <c r="BE592" s="85"/>
      <c r="BF592" s="85"/>
      <c r="BG592" s="85"/>
      <c r="BH592" s="85"/>
      <c r="BI592" s="85"/>
      <c r="BJ592" s="85"/>
      <c r="BK592" s="85"/>
      <c r="BL592" s="85"/>
      <c r="BM592" s="85"/>
      <c r="BN592" s="85"/>
      <c r="BO592" s="85"/>
      <c r="BP592" s="85"/>
      <c r="BQ592" s="85"/>
      <c r="BR592" s="85"/>
      <c r="BS592" s="85"/>
      <c r="BT592" s="85"/>
      <c r="BU592" s="85"/>
      <c r="BV592" s="85"/>
      <c r="BW592" s="85"/>
      <c r="BX592" s="85" t="str">
        <f>IFERROR(__xludf.DUMMYFUNCTION("""COMPUTED_VALUE"""),"MULTIKURIR - JNT CARGO")</f>
        <v>MULTIKURIR - JNT CARGO</v>
      </c>
      <c r="BY592" s="85"/>
      <c r="BZ592" s="85"/>
      <c r="CA592" s="85"/>
      <c r="CB592" s="85"/>
      <c r="CC592" s="85"/>
      <c r="CD592" s="85"/>
      <c r="CE592" s="85"/>
      <c r="CF592" s="85"/>
      <c r="CG592" s="85"/>
      <c r="CH592" s="85"/>
      <c r="CI592" s="85"/>
      <c r="CJ592" s="85"/>
      <c r="CK592" s="2"/>
    </row>
    <row r="593" ht="12.75" customHeight="1">
      <c r="A593" s="80">
        <f>IFERROR(__xludf.DUMMYFUNCTION("""COMPUTED_VALUE"""),590.0)</f>
        <v>590</v>
      </c>
      <c r="B593" s="80"/>
      <c r="C593" s="80"/>
      <c r="D593" s="81">
        <f>IFERROR(__xludf.DUMMYFUNCTION("""COMPUTED_VALUE"""),45874.0)</f>
        <v>45874</v>
      </c>
      <c r="E593" s="82"/>
      <c r="F593" s="80"/>
      <c r="G593" s="81">
        <f>IFERROR(__xludf.DUMMYFUNCTION("""COMPUTED_VALUE"""),45882.0)</f>
        <v>45882</v>
      </c>
      <c r="H593" s="80"/>
      <c r="I593" s="80"/>
      <c r="J593" s="80"/>
      <c r="K593" s="80"/>
      <c r="L593" s="80">
        <f>IFERROR(__xludf.DUMMYFUNCTION("""COMPUTED_VALUE"""),8.0)</f>
        <v>8</v>
      </c>
      <c r="M593" s="80" t="str">
        <f>IFERROR(__xludf.DUMMYFUNCTION("""COMPUTED_VALUE"""),"ü")</f>
        <v>ü</v>
      </c>
      <c r="N593" s="80"/>
      <c r="O593" s="80"/>
      <c r="P593" s="80" t="str">
        <f>IFERROR(__xludf.DUMMYFUNCTION("""COMPUTED_VALUE"""),"MUCSPA63210PSIND")</f>
        <v>MUCSPA63210PSIND</v>
      </c>
      <c r="Q593" s="80" t="str">
        <f>IFERROR(__xludf.DUMMYFUNCTION("""COMPUTED_VALUE"""),"MUC AGUNG")</f>
        <v>MUC AGUNG</v>
      </c>
      <c r="R593" s="80" t="str">
        <f>IFERROR(__xludf.DUMMYFUNCTION("""COMPUTED_VALUE"""),"MUC AGUNG")</f>
        <v>MUC AGUNG</v>
      </c>
      <c r="S593" s="80" t="str">
        <f>IFERROR(__xludf.DUMMYFUNCTION("""COMPUTED_VALUE"""),"NORMA PATMAWATI")</f>
        <v>NORMA PATMAWATI</v>
      </c>
      <c r="T593" s="80" t="str">
        <f>IFERROR(__xludf.DUMMYFUNCTION("""COMPUTED_VALUE"""),"KP. CITUGU RT.002 RW.011, TUGUJAYA, CIGOMBONG KAB.BOGOR JAWA BARAT")</f>
        <v>KP. CITUGU RT.002 RW.011, TUGUJAYA, CIGOMBONG KAB.BOGOR JAWA BARAT</v>
      </c>
      <c r="U593" s="80" t="str">
        <f>IFERROR(__xludf.DUMMYFUNCTION("""COMPUTED_VALUE"""),"KP CITUGU")</f>
        <v>KP CITUGU</v>
      </c>
      <c r="V593" s="80"/>
      <c r="W593" s="80" t="str">
        <f>IFERROR(__xludf.DUMMYFUNCTION("""COMPUTED_VALUE"""),"Tugujaya")</f>
        <v>Tugujaya</v>
      </c>
      <c r="X593" s="80" t="str">
        <f>IFERROR(__xludf.DUMMYFUNCTION("""COMPUTED_VALUE"""),"Cigombong")</f>
        <v>Cigombong</v>
      </c>
      <c r="Y593" s="80" t="str">
        <f>IFERROR(__xludf.DUMMYFUNCTION("""COMPUTED_VALUE"""),"Kab. Bogor")</f>
        <v>Kab. Bogor</v>
      </c>
      <c r="Z593" s="80" t="str">
        <f>IFERROR(__xludf.DUMMYFUNCTION("""COMPUTED_VALUE"""),"Jawa Barat")</f>
        <v>Jawa Barat</v>
      </c>
      <c r="AA593" s="80" t="str">
        <f>IFERROR(__xludf.DUMMYFUNCTION("""COMPUTED_VALUE"""),"16730")</f>
        <v>16730</v>
      </c>
      <c r="AB593" s="80" t="str">
        <f>IFERROR(__xludf.DUMMYFUNCTION("""COMPUTED_VALUE"""),"3203114606040003")</f>
        <v>3203114606040003</v>
      </c>
      <c r="AC593" s="80" t="str">
        <f>IFERROR(__xludf.DUMMYFUNCTION("""COMPUTED_VALUE"""),"3203 1146 0604 0003")</f>
        <v>3203 1146 0604 0003</v>
      </c>
      <c r="AD593" s="80" t="str">
        <f>IFERROR(__xludf.DUMMYFUNCTION("""COMPUTED_VALUE"""),"-")</f>
        <v>-</v>
      </c>
      <c r="AE593" s="80" t="str">
        <f>IFERROR(__xludf.DUMMYFUNCTION("""COMPUTED_VALUE"""),"SUB DERIANA POS")</f>
        <v>SUB DERIANA POS</v>
      </c>
      <c r="AF593" s="80" t="str">
        <f>IFERROR(__xludf.DUMMYFUNCTION("""COMPUTED_VALUE"""),"08567666567")</f>
        <v>08567666567</v>
      </c>
      <c r="AG593" s="80"/>
      <c r="AH593" s="80" t="str">
        <f>IFERROR(__xludf.DUMMYFUNCTION("""COMPUTED_VALUE"""),"wdvdrive305@gmail.com")</f>
        <v>wdvdrive305@gmail.com</v>
      </c>
      <c r="AI593" s="80" t="str">
        <f>IFERROR(__xludf.DUMMYFUNCTION("""COMPUTED_VALUE"""),"16749S1")</f>
        <v>16749S1</v>
      </c>
      <c r="AJ593" s="80" t="str">
        <f>IFERROR(__xludf.DUMMYFUNCTION("""COMPUTED_VALUE"""),"689bf62b6312606e990341b8")</f>
        <v>689bf62b6312606e990341b8</v>
      </c>
      <c r="AK593" s="80" t="str">
        <f>IFERROR(__xludf.DUMMYFUNCTION("""COMPUTED_VALUE"""),"dm16749s1")</f>
        <v>dm16749s1</v>
      </c>
      <c r="AL593" s="80" t="str">
        <f>IFERROR(__xludf.DUMMYFUNCTION("""COMPUTED_VALUE"""),"#16749Pos")</f>
        <v>#16749Pos</v>
      </c>
      <c r="AM593" s="80" t="str">
        <f>IFERROR(__xludf.DUMMYFUNCTION("""COMPUTED_VALUE"""),"KANTOR REGIONAL III BANDUNG 40004")</f>
        <v>KANTOR REGIONAL III BANDUNG 40004</v>
      </c>
      <c r="AN593" s="80" t="str">
        <f>IFERROR(__xludf.DUMMYFUNCTION("""COMPUTED_VALUE"""),"KCU BOGOR 16000")</f>
        <v>KCU BOGOR 16000</v>
      </c>
      <c r="AO593" s="80" t="str">
        <f>IFERROR(__xludf.DUMMYFUNCTION("""COMPUTED_VALUE"""),"2907250050652")</f>
        <v>2907250050652</v>
      </c>
      <c r="AP593" s="80" t="str">
        <f>IFERROR(__xludf.DUMMYFUNCTION("""COMPUTED_VALUE"""),"29072500506520001")</f>
        <v>29072500506520001</v>
      </c>
      <c r="AQ593" s="83"/>
      <c r="AR593" s="80"/>
      <c r="AS593" s="80"/>
      <c r="AT593" s="80" t="str">
        <f>IFERROR(__xludf.DUMMYFUNCTION("""COMPUTED_VALUE"""),"-6.707558 ")</f>
        <v>-6.707558 </v>
      </c>
      <c r="AU593" s="80" t="str">
        <f>IFERROR(__xludf.DUMMYFUNCTION("""COMPUTED_VALUE"""),"106.795861")</f>
        <v>106.795861</v>
      </c>
      <c r="AV593" s="80"/>
      <c r="AW593" s="80"/>
      <c r="AX593" s="80"/>
      <c r="AY593" s="80"/>
      <c r="AZ593" s="80"/>
      <c r="BA593" s="80"/>
      <c r="BB593" s="80"/>
      <c r="BC593" s="80"/>
      <c r="BD593" s="80"/>
      <c r="BE593" s="80"/>
      <c r="BF593" s="80"/>
      <c r="BG593" s="80"/>
      <c r="BH593" s="80"/>
      <c r="BI593" s="80"/>
      <c r="BJ593" s="80"/>
      <c r="BK593" s="80"/>
      <c r="BL593" s="80"/>
      <c r="BM593" s="80"/>
      <c r="BN593" s="80"/>
      <c r="BO593" s="80"/>
      <c r="BP593" s="80"/>
      <c r="BQ593" s="80"/>
      <c r="BR593" s="80"/>
      <c r="BS593" s="80"/>
      <c r="BT593" s="80"/>
      <c r="BU593" s="80"/>
      <c r="BV593" s="80"/>
      <c r="BW593" s="80"/>
      <c r="BX593" s="80" t="str">
        <f>IFERROR(__xludf.DUMMYFUNCTION("""COMPUTED_VALUE"""),"TOKO KELONTONG")</f>
        <v>TOKO KELONTONG</v>
      </c>
      <c r="BY593" s="80"/>
      <c r="BZ593" s="80"/>
      <c r="CA593" s="80"/>
      <c r="CB593" s="80"/>
      <c r="CC593" s="80"/>
      <c r="CD593" s="80"/>
      <c r="CE593" s="80"/>
      <c r="CF593" s="80"/>
      <c r="CG593" s="80"/>
      <c r="CH593" s="80"/>
      <c r="CI593" s="80"/>
      <c r="CJ593" s="80"/>
      <c r="CK593" s="2"/>
    </row>
    <row r="594" ht="12.75" customHeight="1">
      <c r="A594" s="85">
        <f>IFERROR(__xludf.DUMMYFUNCTION("""COMPUTED_VALUE"""),591.0)</f>
        <v>591</v>
      </c>
      <c r="B594" s="85"/>
      <c r="C594" s="85"/>
      <c r="D594" s="86">
        <f>IFERROR(__xludf.DUMMYFUNCTION("""COMPUTED_VALUE"""),45874.0)</f>
        <v>45874</v>
      </c>
      <c r="E594" s="88"/>
      <c r="F594" s="85"/>
      <c r="G594" s="86">
        <f>IFERROR(__xludf.DUMMYFUNCTION("""COMPUTED_VALUE"""),45915.0)</f>
        <v>45915</v>
      </c>
      <c r="H594" s="85"/>
      <c r="I594" s="85"/>
      <c r="J594" s="85"/>
      <c r="K594" s="85"/>
      <c r="L594" s="85">
        <f>IFERROR(__xludf.DUMMYFUNCTION("""COMPUTED_VALUE"""),41.0)</f>
        <v>41</v>
      </c>
      <c r="M594" s="85"/>
      <c r="N594" s="85" t="str">
        <f>IFERROR(__xludf.DUMMYFUNCTION("""COMPUTED_VALUE"""),"ü")</f>
        <v>ü</v>
      </c>
      <c r="O594" s="85"/>
      <c r="P594" s="85" t="str">
        <f>IFERROR(__xludf.DUMMYFUNCTION("""COMPUTED_VALUE"""),"MUCSPA63211PSIND")</f>
        <v>MUCSPA63211PSIND</v>
      </c>
      <c r="Q594" s="85" t="str">
        <f>IFERROR(__xludf.DUMMYFUNCTION("""COMPUTED_VALUE"""),"MUC KDMP WIRADADI")</f>
        <v>MUC KDMP WIRADADI</v>
      </c>
      <c r="R594" s="85" t="str">
        <f>IFERROR(__xludf.DUMMYFUNCTION("""COMPUTED_VALUE"""),"MUC KDMP WIRADADI")</f>
        <v>MUC KDMP WIRADADI</v>
      </c>
      <c r="S594" s="85" t="str">
        <f>IFERROR(__xludf.DUMMYFUNCTION("""COMPUTED_VALUE"""),"KUSNANTO")</f>
        <v>KUSNANTO</v>
      </c>
      <c r="T594" s="85" t="str">
        <f>IFERROR(__xludf.DUMMYFUNCTION("""COMPUTED_VALUE"""),"WIRADADI RT.003 RW.003, WIRADADI, SOKARAJA KAB. BANYUMAS JAWA TENGAH")</f>
        <v>WIRADADI RT.003 RW.003, WIRADADI, SOKARAJA KAB. BANYUMAS JAWA TENGAH</v>
      </c>
      <c r="U594" s="85" t="str">
        <f>IFERROR(__xludf.DUMMYFUNCTION("""COMPUTED_VALUE"""),"Jl Wirasetra, Dusun III")</f>
        <v>Jl Wirasetra, Dusun III</v>
      </c>
      <c r="V594" s="85"/>
      <c r="W594" s="85" t="str">
        <f>IFERROR(__xludf.DUMMYFUNCTION("""COMPUTED_VALUE"""),"Wiradadi")</f>
        <v>Wiradadi</v>
      </c>
      <c r="X594" s="85" t="str">
        <f>IFERROR(__xludf.DUMMYFUNCTION("""COMPUTED_VALUE"""),"Sokaraja")</f>
        <v>Sokaraja</v>
      </c>
      <c r="Y594" s="85" t="str">
        <f>IFERROR(__xludf.DUMMYFUNCTION("""COMPUTED_VALUE"""),"Kab. Banyumas")</f>
        <v>Kab. Banyumas</v>
      </c>
      <c r="Z594" s="85" t="str">
        <f>IFERROR(__xludf.DUMMYFUNCTION("""COMPUTED_VALUE"""),"Jawa Tengah")</f>
        <v>Jawa Tengah</v>
      </c>
      <c r="AA594" s="85" t="str">
        <f>IFERROR(__xludf.DUMMYFUNCTION("""COMPUTED_VALUE"""),"53181")</f>
        <v>53181</v>
      </c>
      <c r="AB594" s="85" t="str">
        <f>IFERROR(__xludf.DUMMYFUNCTION("""COMPUTED_VALUE"""),"3303050501700002")</f>
        <v>3303050501700002</v>
      </c>
      <c r="AC594" s="85" t="str">
        <f>IFERROR(__xludf.DUMMYFUNCTION("""COMPUTED_VALUE"""),"1000 0000 0336 2363")</f>
        <v>1000 0000 0336 2363</v>
      </c>
      <c r="AD594" s="85" t="str">
        <f>IFERROR(__xludf.DUMMYFUNCTION("""COMPUTED_VALUE"""),"CUM - NONKORGEN")</f>
        <v>CUM - NONKORGEN</v>
      </c>
      <c r="AE594" s="85" t="str">
        <f>IFERROR(__xludf.DUMMYFUNCTION("""COMPUTED_VALUE"""),"KCU PURWOKERTO")</f>
        <v>KCU PURWOKERTO</v>
      </c>
      <c r="AF594" s="85" t="str">
        <f>IFERROR(__xludf.DUMMYFUNCTION("""COMPUTED_VALUE"""),"082226175585")</f>
        <v>082226175585</v>
      </c>
      <c r="AG594" s="85"/>
      <c r="AH594" s="85" t="str">
        <f>IFERROR(__xludf.DUMMYFUNCTION("""COMPUTED_VALUE"""),"koperasidesamerahputihwiradadi@gmail.com")</f>
        <v>koperasidesamerahputihwiradadi@gmail.com</v>
      </c>
      <c r="AI594" s="85" t="str">
        <f>IFERROR(__xludf.DUMMYFUNCTION("""COMPUTED_VALUE"""),"53181Y1")</f>
        <v>53181Y1</v>
      </c>
      <c r="AJ594" s="85" t="str">
        <f>IFERROR(__xludf.DUMMYFUNCTION("""COMPUTED_VALUE"""),"68c795b44303860aae0d3076")</f>
        <v>68c795b44303860aae0d3076</v>
      </c>
      <c r="AK594" s="85" t="str">
        <f>IFERROR(__xludf.DUMMYFUNCTION("""COMPUTED_VALUE"""),"dm53181y1")</f>
        <v>dm53181y1</v>
      </c>
      <c r="AL594" s="85" t="str">
        <f>IFERROR(__xludf.DUMMYFUNCTION("""COMPUTED_VALUE"""),"#53181Pos")</f>
        <v>#53181Pos</v>
      </c>
      <c r="AM594" s="85" t="str">
        <f>IFERROR(__xludf.DUMMYFUNCTION("""COMPUTED_VALUE"""),"KANTOR REGIONAL IV SEMARANG 50004")</f>
        <v>KANTOR REGIONAL IV SEMARANG 50004</v>
      </c>
      <c r="AN594" s="85" t="str">
        <f>IFERROR(__xludf.DUMMYFUNCTION("""COMPUTED_VALUE"""),"KCU PURWOKERTO 53100")</f>
        <v>KCU PURWOKERTO 53100</v>
      </c>
      <c r="AO594" s="85" t="str">
        <f>IFERROR(__xludf.DUMMYFUNCTION("""COMPUTED_VALUE"""),"2906250001259")</f>
        <v>2906250001259</v>
      </c>
      <c r="AP594" s="85" t="str">
        <f>IFERROR(__xludf.DUMMYFUNCTION("""COMPUTED_VALUE"""),"29062500012590008")</f>
        <v>29062500012590008</v>
      </c>
      <c r="AQ594" s="93"/>
      <c r="AR594" s="85"/>
      <c r="AS594" s="85"/>
      <c r="AT594" s="85" t="str">
        <f>IFERROR(__xludf.DUMMYFUNCTION("""COMPUTED_VALUE"""),"-7.464388")</f>
        <v>-7.464388</v>
      </c>
      <c r="AU594" s="85" t="str">
        <f>IFERROR(__xludf.DUMMYFUNCTION("""COMPUTED_VALUE"""),"109.271740")</f>
        <v>109.271740</v>
      </c>
      <c r="AV594" s="85"/>
      <c r="AW594" s="85"/>
      <c r="AX594" s="85"/>
      <c r="AY594" s="85"/>
      <c r="AZ594" s="85"/>
      <c r="BA594" s="85"/>
      <c r="BB594" s="85"/>
      <c r="BC594" s="85"/>
      <c r="BD594" s="85"/>
      <c r="BE594" s="85"/>
      <c r="BF594" s="85"/>
      <c r="BG594" s="85"/>
      <c r="BH594" s="85"/>
      <c r="BI594" s="85"/>
      <c r="BJ594" s="85"/>
      <c r="BK594" s="85"/>
      <c r="BL594" s="85"/>
      <c r="BM594" s="85"/>
      <c r="BN594" s="85"/>
      <c r="BO594" s="85"/>
      <c r="BP594" s="85"/>
      <c r="BQ594" s="85"/>
      <c r="BR594" s="85"/>
      <c r="BS594" s="85"/>
      <c r="BT594" s="85"/>
      <c r="BU594" s="85"/>
      <c r="BV594" s="85"/>
      <c r="BW594" s="85"/>
      <c r="BX594" s="85" t="str">
        <f>IFERROR(__xludf.DUMMYFUNCTION("""COMPUTED_VALUE"""),"KDMP")</f>
        <v>KDMP</v>
      </c>
      <c r="BY594" s="85"/>
      <c r="BZ594" s="85"/>
      <c r="CA594" s="85"/>
      <c r="CB594" s="85"/>
      <c r="CC594" s="85"/>
      <c r="CD594" s="85"/>
      <c r="CE594" s="85"/>
      <c r="CF594" s="85"/>
      <c r="CG594" s="85"/>
      <c r="CH594" s="85"/>
      <c r="CI594" s="85"/>
      <c r="CJ594" s="85"/>
      <c r="CK594" s="2"/>
    </row>
    <row r="595" ht="12.75" customHeight="1">
      <c r="A595" s="80">
        <f>IFERROR(__xludf.DUMMYFUNCTION("""COMPUTED_VALUE"""),592.0)</f>
        <v>592</v>
      </c>
      <c r="B595" s="80"/>
      <c r="C595" s="80"/>
      <c r="D595" s="81">
        <f>IFERROR(__xludf.DUMMYFUNCTION("""COMPUTED_VALUE"""),45876.0)</f>
        <v>45876</v>
      </c>
      <c r="E595" s="82"/>
      <c r="F595" s="80"/>
      <c r="G595" s="81">
        <f>IFERROR(__xludf.DUMMYFUNCTION("""COMPUTED_VALUE"""),45958.0)</f>
        <v>45958</v>
      </c>
      <c r="H595" s="80"/>
      <c r="I595" s="80"/>
      <c r="J595" s="80"/>
      <c r="K595" s="80"/>
      <c r="L595" s="80">
        <f>IFERROR(__xludf.DUMMYFUNCTION("""COMPUTED_VALUE"""),82.0)</f>
        <v>82</v>
      </c>
      <c r="M595" s="80"/>
      <c r="N595" s="80" t="str">
        <f>IFERROR(__xludf.DUMMYFUNCTION("""COMPUTED_VALUE"""),"ü")</f>
        <v>ü</v>
      </c>
      <c r="O595" s="80"/>
      <c r="P595" s="80" t="str">
        <f>IFERROR(__xludf.DUMMYFUNCTION("""COMPUTED_VALUE"""),"MUCSPA63212PSIND")</f>
        <v>MUCSPA63212PSIND</v>
      </c>
      <c r="Q595" s="80" t="str">
        <f>IFERROR(__xludf.DUMMYFUNCTION("""COMPUTED_VALUE"""),"MUC CITALANG")</f>
        <v>MUC CITALANG</v>
      </c>
      <c r="R595" s="80" t="str">
        <f>IFERROR(__xludf.DUMMYFUNCTION("""COMPUTED_VALUE"""),"MUC CITALANG")</f>
        <v>MUC CITALANG</v>
      </c>
      <c r="S595" s="80" t="str">
        <f>IFERROR(__xludf.DUMMYFUNCTION("""COMPUTED_VALUE"""),"MUCHAMMAD ALDYS PERMANA")</f>
        <v>MUCHAMMAD ALDYS PERMANA</v>
      </c>
      <c r="T595" s="80" t="str">
        <f>IFERROR(__xludf.DUMMYFUNCTION("""COMPUTED_VALUE"""),"KP. CITALANG RT 2 RW 1 ")</f>
        <v>KP. CITALANG RT 2 RW 1 </v>
      </c>
      <c r="U595" s="80" t="str">
        <f>IFERROR(__xludf.DUMMYFUNCTION("""COMPUTED_VALUE"""),"DS. CITALANG")</f>
        <v>DS. CITALANG</v>
      </c>
      <c r="V595" s="80"/>
      <c r="W595" s="80" t="str">
        <f>IFERROR(__xludf.DUMMYFUNCTION("""COMPUTED_VALUE"""),"CITALANG")</f>
        <v>CITALANG</v>
      </c>
      <c r="X595" s="80" t="str">
        <f>IFERROR(__xludf.DUMMYFUNCTION("""COMPUTED_VALUE"""),"PURWAKRTA")</f>
        <v>PURWAKRTA</v>
      </c>
      <c r="Y595" s="80" t="str">
        <f>IFERROR(__xludf.DUMMYFUNCTION("""COMPUTED_VALUE"""),"KAB. PURWAKARTA")</f>
        <v>KAB. PURWAKARTA</v>
      </c>
      <c r="Z595" s="80" t="str">
        <f>IFERROR(__xludf.DUMMYFUNCTION("""COMPUTED_VALUE"""),"JAWA BARAT")</f>
        <v>JAWA BARAT</v>
      </c>
      <c r="AA595" s="80" t="str">
        <f>IFERROR(__xludf.DUMMYFUNCTION("""COMPUTED_VALUE"""),"41111")</f>
        <v>41111</v>
      </c>
      <c r="AB595" s="80" t="str">
        <f>IFERROR(__xludf.DUMMYFUNCTION("""COMPUTED_VALUE"""),"3214012405950005")</f>
        <v>3214012405950005</v>
      </c>
      <c r="AC595" s="80" t="str">
        <f>IFERROR(__xludf.DUMMYFUNCTION("""COMPUTED_VALUE"""),"74.120.562.9-409.000")</f>
        <v>74.120.562.9-409.000</v>
      </c>
      <c r="AD595" s="80" t="str">
        <f>IFERROR(__xludf.DUMMYFUNCTION("""COMPUTED_VALUE"""),"CUM - PS - MRY")</f>
        <v>CUM - PS - MRY</v>
      </c>
      <c r="AE595" s="80" t="str">
        <f>IFERROR(__xludf.DUMMYFUNCTION("""COMPUTED_VALUE"""),"SUB RIZKI YAKIN POS")</f>
        <v>SUB RIZKI YAKIN POS</v>
      </c>
      <c r="AF595" s="80" t="str">
        <f>IFERROR(__xludf.DUMMYFUNCTION("""COMPUTED_VALUE"""),"089666066411")</f>
        <v>089666066411</v>
      </c>
      <c r="AG595" s="80"/>
      <c r="AH595" s="80" t="str">
        <f>IFERROR(__xludf.DUMMYFUNCTION("""COMPUTED_VALUE"""),"Aldyspermana@gmail.com")</f>
        <v>Aldyspermana@gmail.com</v>
      </c>
      <c r="AI595" s="80" t="str">
        <f>IFERROR(__xludf.DUMMYFUNCTION("""COMPUTED_VALUE"""),"41119S1")</f>
        <v>41119S1</v>
      </c>
      <c r="AJ595" s="80" t="str">
        <f>IFERROR(__xludf.DUMMYFUNCTION("""COMPUTED_VALUE"""),"69006082458d04209405dcec")</f>
        <v>69006082458d04209405dcec</v>
      </c>
      <c r="AK595" s="80" t="str">
        <f>IFERROR(__xludf.DUMMYFUNCTION("""COMPUTED_VALUE"""),"dm41119s1")</f>
        <v>dm41119s1</v>
      </c>
      <c r="AL595" s="80" t="str">
        <f>IFERROR(__xludf.DUMMYFUNCTION("""COMPUTED_VALUE"""),"#41119Pos")</f>
        <v>#41119Pos</v>
      </c>
      <c r="AM595" s="80" t="str">
        <f>IFERROR(__xludf.DUMMYFUNCTION("""COMPUTED_VALUE"""),"KANTOR REGIONAL III BANDUNG 40004")</f>
        <v>KANTOR REGIONAL III BANDUNG 40004</v>
      </c>
      <c r="AN595" s="80" t="str">
        <f>IFERROR(__xludf.DUMMYFUNCTION("""COMPUTED_VALUE"""),"KC PURWAKARTA 41100")</f>
        <v>KC PURWAKARTA 41100</v>
      </c>
      <c r="AO595" s="80" t="str">
        <f>IFERROR(__xludf.DUMMYFUNCTION("""COMPUTED_VALUE"""),"1204000650544")</f>
        <v>1204000650544</v>
      </c>
      <c r="AP595" s="80" t="str">
        <f>IFERROR(__xludf.DUMMYFUNCTION("""COMPUTED_VALUE"""),"12040006505440001")</f>
        <v>12040006505440001</v>
      </c>
      <c r="AQ595" s="83"/>
      <c r="AR595" s="80"/>
      <c r="AS595" s="80"/>
      <c r="AT595" s="80" t="str">
        <f>IFERROR(__xludf.DUMMYFUNCTION("""COMPUTED_VALUE"""),"-6.543774")</f>
        <v>-6.543774</v>
      </c>
      <c r="AU595" s="80" t="str">
        <f>IFERROR(__xludf.DUMMYFUNCTION("""COMPUTED_VALUE"""),"107.4640578")</f>
        <v>107.4640578</v>
      </c>
      <c r="AV595" s="80"/>
      <c r="AW595" s="80"/>
      <c r="AX595" s="80"/>
      <c r="AY595" s="80"/>
      <c r="AZ595" s="80"/>
      <c r="BA595" s="80"/>
      <c r="BB595" s="80"/>
      <c r="BC595" s="80"/>
      <c r="BD595" s="80"/>
      <c r="BE595" s="80"/>
      <c r="BF595" s="80"/>
      <c r="BG595" s="80"/>
      <c r="BH595" s="80"/>
      <c r="BI595" s="80"/>
      <c r="BJ595" s="80"/>
      <c r="BK595" s="80"/>
      <c r="BL595" s="80"/>
      <c r="BM595" s="80"/>
      <c r="BN595" s="80"/>
      <c r="BO595" s="80"/>
      <c r="BP595" s="80"/>
      <c r="BQ595" s="80"/>
      <c r="BR595" s="80"/>
      <c r="BS595" s="80"/>
      <c r="BT595" s="80"/>
      <c r="BU595" s="80"/>
      <c r="BV595" s="80"/>
      <c r="BW595" s="80"/>
      <c r="BX595" s="80" t="str">
        <f>IFERROR(__xludf.DUMMYFUNCTION("""COMPUTED_VALUE"""),"MULTIKURIR - JNE")</f>
        <v>MULTIKURIR - JNE</v>
      </c>
      <c r="BY595" s="80"/>
      <c r="BZ595" s="80"/>
      <c r="CA595" s="80"/>
      <c r="CB595" s="80"/>
      <c r="CC595" s="80"/>
      <c r="CD595" s="80"/>
      <c r="CE595" s="80"/>
      <c r="CF595" s="80"/>
      <c r="CG595" s="80"/>
      <c r="CH595" s="80"/>
      <c r="CI595" s="80"/>
      <c r="CJ595" s="80"/>
      <c r="CK595" s="2"/>
    </row>
    <row r="596" ht="12.75" customHeight="1">
      <c r="A596" s="85">
        <f>IFERROR(__xludf.DUMMYFUNCTION("""COMPUTED_VALUE"""),593.0)</f>
        <v>593</v>
      </c>
      <c r="B596" s="85"/>
      <c r="C596" s="85"/>
      <c r="D596" s="86">
        <f>IFERROR(__xludf.DUMMYFUNCTION("""COMPUTED_VALUE"""),45876.0)</f>
        <v>45876</v>
      </c>
      <c r="E596" s="88"/>
      <c r="F596" s="85"/>
      <c r="G596" s="86">
        <f>IFERROR(__xludf.DUMMYFUNCTION("""COMPUTED_VALUE"""),45903.0)</f>
        <v>45903</v>
      </c>
      <c r="H596" s="85"/>
      <c r="I596" s="85"/>
      <c r="J596" s="85"/>
      <c r="K596" s="85"/>
      <c r="L596" s="85">
        <f>IFERROR(__xludf.DUMMYFUNCTION("""COMPUTED_VALUE"""),27.0)</f>
        <v>27</v>
      </c>
      <c r="M596" s="85"/>
      <c r="N596" s="85" t="str">
        <f>IFERROR(__xludf.DUMMYFUNCTION("""COMPUTED_VALUE"""),"ü")</f>
        <v>ü</v>
      </c>
      <c r="O596" s="85"/>
      <c r="P596" s="85" t="str">
        <f>IFERROR(__xludf.DUMMYFUNCTION("""COMPUTED_VALUE"""),"MUCSPA63213PSIND")</f>
        <v>MUCSPA63213PSIND</v>
      </c>
      <c r="Q596" s="85" t="str">
        <f>IFERROR(__xludf.DUMMYFUNCTION("""COMPUTED_VALUE"""),"MUC SAMSAT CIMAHI")</f>
        <v>MUC SAMSAT CIMAHI</v>
      </c>
      <c r="R596" s="85" t="str">
        <f>IFERROR(__xludf.DUMMYFUNCTION("""COMPUTED_VALUE"""),"MUC SAMSAT CIMAHI")</f>
        <v>MUC SAMSAT CIMAHI</v>
      </c>
      <c r="S596" s="85" t="str">
        <f>IFERROR(__xludf.DUMMYFUNCTION("""COMPUTED_VALUE"""),"WINDA WIDYANINGSIH")</f>
        <v>WINDA WIDYANINGSIH</v>
      </c>
      <c r="T596" s="85" t="str">
        <f>IFERROR(__xludf.DUMMYFUNCTION("""COMPUTED_VALUE"""),"PERUM BUMI JAYA INDAH RT 42 RW 11")</f>
        <v>PERUM BUMI JAYA INDAH RT 42 RW 11</v>
      </c>
      <c r="U596" s="85" t="str">
        <f>IFERROR(__xludf.DUMMYFUNCTION("""COMPUTED_VALUE"""),"JL. JEND. H. AMIR MACHMUD NO. 331A")</f>
        <v>JL. JEND. H. AMIR MACHMUD NO. 331A</v>
      </c>
      <c r="V596" s="85"/>
      <c r="W596" s="85" t="str">
        <f>IFERROR(__xludf.DUMMYFUNCTION("""COMPUTED_VALUE"""),"CIGUGUR TENGAH")</f>
        <v>CIGUGUR TENGAH</v>
      </c>
      <c r="X596" s="85" t="str">
        <f>IFERROR(__xludf.DUMMYFUNCTION("""COMPUTED_VALUE"""),"CIMAHI TENGAH")</f>
        <v>CIMAHI TENGAH</v>
      </c>
      <c r="Y596" s="85" t="str">
        <f>IFERROR(__xludf.DUMMYFUNCTION("""COMPUTED_VALUE"""),"CIMAHI")</f>
        <v>CIMAHI</v>
      </c>
      <c r="Z596" s="85" t="str">
        <f>IFERROR(__xludf.DUMMYFUNCTION("""COMPUTED_VALUE"""),"JAWA BARAT")</f>
        <v>JAWA BARAT</v>
      </c>
      <c r="AA596" s="85" t="str">
        <f>IFERROR(__xludf.DUMMYFUNCTION("""COMPUTED_VALUE"""),"40522")</f>
        <v>40522</v>
      </c>
      <c r="AB596" s="85" t="str">
        <f>IFERROR(__xludf.DUMMYFUNCTION("""COMPUTED_VALUE"""),"3214015510990006")</f>
        <v>3214015510990006</v>
      </c>
      <c r="AC596" s="85" t="str">
        <f>IFERROR(__xludf.DUMMYFUNCTION("""COMPUTED_VALUE"""),"20.128.194.6-409.000")</f>
        <v>20.128.194.6-409.000</v>
      </c>
      <c r="AD596" s="85" t="str">
        <f>IFERROR(__xludf.DUMMYFUNCTION("""COMPUTED_VALUE"""),"CUM - PS - ADS")</f>
        <v>CUM - PS - ADS</v>
      </c>
      <c r="AE596" s="85" t="str">
        <f>IFERROR(__xludf.DUMMYFUNCTION("""COMPUTED_VALUE"""),"SUB ADI SONJAYA POS")</f>
        <v>SUB ADI SONJAYA POS</v>
      </c>
      <c r="AF596" s="85" t="str">
        <f>IFERROR(__xludf.DUMMYFUNCTION("""COMPUTED_VALUE"""),"081572233538")</f>
        <v>081572233538</v>
      </c>
      <c r="AG596" s="85"/>
      <c r="AH596" s="85" t="str">
        <f>IFERROR(__xludf.DUMMYFUNCTION("""COMPUTED_VALUE"""),"windawidyaningsih15@gmail.com")</f>
        <v>windawidyaningsih15@gmail.com</v>
      </c>
      <c r="AI596" s="85" t="str">
        <f>IFERROR(__xludf.DUMMYFUNCTION("""COMPUTED_VALUE"""),"40522S3")</f>
        <v>40522S3</v>
      </c>
      <c r="AJ596" s="85" t="str">
        <f>IFERROR(__xludf.DUMMYFUNCTION("""COMPUTED_VALUE"""),"68b64e1b30f34cd8b806fd3a")</f>
        <v>68b64e1b30f34cd8b806fd3a</v>
      </c>
      <c r="AK596" s="85" t="str">
        <f>IFERROR(__xludf.DUMMYFUNCTION("""COMPUTED_VALUE"""),"dm40522s3")</f>
        <v>dm40522s3</v>
      </c>
      <c r="AL596" s="85" t="str">
        <f>IFERROR(__xludf.DUMMYFUNCTION("""COMPUTED_VALUE"""),"#40522Pos")</f>
        <v>#40522Pos</v>
      </c>
      <c r="AM596" s="85" t="str">
        <f>IFERROR(__xludf.DUMMYFUNCTION("""COMPUTED_VALUE"""),"KANTOR REGIONAL III BANDUNG 40004")</f>
        <v>KANTOR REGIONAL III BANDUNG 40004</v>
      </c>
      <c r="AN596" s="85" t="str">
        <f>IFERROR(__xludf.DUMMYFUNCTION("""COMPUTED_VALUE"""),"KC CIMAHI ")</f>
        <v>KC CIMAHI </v>
      </c>
      <c r="AO596" s="85" t="str">
        <f>IFERROR(__xludf.DUMMYFUNCTION("""COMPUTED_VALUE"""),"0608250125546")</f>
        <v>0608250125546</v>
      </c>
      <c r="AP596" s="85" t="str">
        <f>IFERROR(__xludf.DUMMYFUNCTION("""COMPUTED_VALUE"""),"06082501255460001")</f>
        <v>06082501255460001</v>
      </c>
      <c r="AQ596" s="93"/>
      <c r="AR596" s="85"/>
      <c r="AS596" s="85"/>
      <c r="AT596" s="85" t="str">
        <f>IFERROR(__xludf.DUMMYFUNCTION("""COMPUTED_VALUE"""),"-6.8870192")</f>
        <v>-6.8870192</v>
      </c>
      <c r="AU596" s="85" t="str">
        <f>IFERROR(__xludf.DUMMYFUNCTION("""COMPUTED_VALUE"""),"107.5548168")</f>
        <v>107.5548168</v>
      </c>
      <c r="AV596" s="85"/>
      <c r="AW596" s="85"/>
      <c r="AX596" s="85"/>
      <c r="AY596" s="85"/>
      <c r="AZ596" s="85"/>
      <c r="BA596" s="85"/>
      <c r="BB596" s="85"/>
      <c r="BC596" s="85"/>
      <c r="BD596" s="85"/>
      <c r="BE596" s="85"/>
      <c r="BF596" s="85"/>
      <c r="BG596" s="85"/>
      <c r="BH596" s="85"/>
      <c r="BI596" s="85"/>
      <c r="BJ596" s="85"/>
      <c r="BK596" s="85"/>
      <c r="BL596" s="85"/>
      <c r="BM596" s="85"/>
      <c r="BN596" s="85"/>
      <c r="BO596" s="85"/>
      <c r="BP596" s="85"/>
      <c r="BQ596" s="85"/>
      <c r="BR596" s="85"/>
      <c r="BS596" s="85"/>
      <c r="BT596" s="85"/>
      <c r="BU596" s="85"/>
      <c r="BV596" s="85"/>
      <c r="BW596" s="85"/>
      <c r="BX596" s="85" t="str">
        <f>IFERROR(__xludf.DUMMYFUNCTION("""COMPUTED_VALUE"""),"SAMSAT")</f>
        <v>SAMSAT</v>
      </c>
      <c r="BY596" s="85"/>
      <c r="BZ596" s="85"/>
      <c r="CA596" s="85"/>
      <c r="CB596" s="85"/>
      <c r="CC596" s="85"/>
      <c r="CD596" s="85"/>
      <c r="CE596" s="85"/>
      <c r="CF596" s="85"/>
      <c r="CG596" s="85"/>
      <c r="CH596" s="85"/>
      <c r="CI596" s="85"/>
      <c r="CJ596" s="85"/>
      <c r="CK596" s="2"/>
    </row>
    <row r="597" ht="12.75" customHeight="1">
      <c r="A597" s="80">
        <f>IFERROR(__xludf.DUMMYFUNCTION("""COMPUTED_VALUE"""),594.0)</f>
        <v>594</v>
      </c>
      <c r="B597" s="80"/>
      <c r="C597" s="80"/>
      <c r="D597" s="81">
        <f>IFERROR(__xludf.DUMMYFUNCTION("""COMPUTED_VALUE"""),45876.0)</f>
        <v>45876</v>
      </c>
      <c r="E597" s="82"/>
      <c r="F597" s="80"/>
      <c r="G597" s="81">
        <f>IFERROR(__xludf.DUMMYFUNCTION("""COMPUTED_VALUE"""),45884.0)</f>
        <v>45884</v>
      </c>
      <c r="H597" s="80"/>
      <c r="I597" s="80"/>
      <c r="J597" s="80"/>
      <c r="K597" s="80"/>
      <c r="L597" s="80">
        <f>IFERROR(__xludf.DUMMYFUNCTION("""COMPUTED_VALUE"""),8.0)</f>
        <v>8</v>
      </c>
      <c r="M597" s="80" t="str">
        <f>IFERROR(__xludf.DUMMYFUNCTION("""COMPUTED_VALUE"""),"ü")</f>
        <v>ü</v>
      </c>
      <c r="N597" s="80"/>
      <c r="O597" s="80"/>
      <c r="P597" s="80" t="str">
        <f>IFERROR(__xludf.DUMMYFUNCTION("""COMPUTED_VALUE"""),"53BSPA09594JBEEN")</f>
        <v>53BSPA09594JBEEN</v>
      </c>
      <c r="Q597" s="80" t="str">
        <f>IFERROR(__xludf.DUMMYFUNCTION("""COMPUTED_VALUE"""),"MUC Kertamukti Ciputat")</f>
        <v>MUC Kertamukti Ciputat</v>
      </c>
      <c r="R597" s="80" t="str">
        <f>IFERROR(__xludf.DUMMYFUNCTION("""COMPUTED_VALUE"""),"MUC Kertamukti Ciputat")</f>
        <v>MUC Kertamukti Ciputat</v>
      </c>
      <c r="S597" s="80" t="str">
        <f>IFERROR(__xludf.DUMMYFUNCTION("""COMPUTED_VALUE"""),"TAUFIK ADI NUGROHO")</f>
        <v>TAUFIK ADI NUGROHO</v>
      </c>
      <c r="T597" s="80" t="str">
        <f>IFERROR(__xludf.DUMMYFUNCTION("""COMPUTED_VALUE"""),"JL. ALI NO.20 RT.001 RW.001 CIPAYUNG,CIPAYUNG, JAKARTA TIMUR")</f>
        <v>JL. ALI NO.20 RT.001 RW.001 CIPAYUNG,CIPAYUNG, JAKARTA TIMUR</v>
      </c>
      <c r="U597" s="80" t="str">
        <f>IFERROR(__xludf.DUMMYFUNCTION("""COMPUTED_VALUE"""),"Jl Kertamukti No 21 RT04/17")</f>
        <v>Jl Kertamukti No 21 RT04/17</v>
      </c>
      <c r="V597" s="80"/>
      <c r="W597" s="80" t="str">
        <f>IFERROR(__xludf.DUMMYFUNCTION("""COMPUTED_VALUE"""),"Pisangan")</f>
        <v>Pisangan</v>
      </c>
      <c r="X597" s="80" t="str">
        <f>IFERROR(__xludf.DUMMYFUNCTION("""COMPUTED_VALUE"""),"Ciputat Timur")</f>
        <v>Ciputat Timur</v>
      </c>
      <c r="Y597" s="80" t="str">
        <f>IFERROR(__xludf.DUMMYFUNCTION("""COMPUTED_VALUE"""),"Kota Tangerang Selatan")</f>
        <v>Kota Tangerang Selatan</v>
      </c>
      <c r="Z597" s="80" t="str">
        <f>IFERROR(__xludf.DUMMYFUNCTION("""COMPUTED_VALUE"""),"Banten")</f>
        <v>Banten</v>
      </c>
      <c r="AA597" s="80" t="str">
        <f>IFERROR(__xludf.DUMMYFUNCTION("""COMPUTED_VALUE"""),"15419")</f>
        <v>15419</v>
      </c>
      <c r="AB597" s="80" t="str">
        <f>IFERROR(__xludf.DUMMYFUNCTION("""COMPUTED_VALUE"""),"3175102109810004")</f>
        <v>3175102109810004</v>
      </c>
      <c r="AC597" s="80" t="str">
        <f>IFERROR(__xludf.DUMMYFUNCTION("""COMPUTED_VALUE"""),"49.893.264.9-009.000")</f>
        <v>49.893.264.9-009.000</v>
      </c>
      <c r="AD597" s="80" t="str">
        <f>IFERROR(__xludf.DUMMYFUNCTION("""COMPUTED_VALUE"""),"CUM - EEN")</f>
        <v>CUM - EEN</v>
      </c>
      <c r="AE597" s="80" t="str">
        <f>IFERROR(__xludf.DUMMYFUNCTION("""COMPUTED_VALUE"""),"SUB EEN")</f>
        <v>SUB EEN</v>
      </c>
      <c r="AF597" s="80" t="str">
        <f>IFERROR(__xludf.DUMMYFUNCTION("""COMPUTED_VALUE"""),"081316664992")</f>
        <v>081316664992</v>
      </c>
      <c r="AG597" s="80"/>
      <c r="AH597" s="80" t="str">
        <f>IFERROR(__xludf.DUMMYFUNCTION("""COMPUTED_VALUE"""),"taufikadinugr@gmail.com")</f>
        <v>taufikadinugr@gmail.com</v>
      </c>
      <c r="AI597" s="80" t="str">
        <f>IFERROR(__xludf.DUMMYFUNCTION("""COMPUTED_VALUE"""),"15446S5")</f>
        <v>15446S5</v>
      </c>
      <c r="AJ597" s="80" t="str">
        <f>IFERROR(__xludf.DUMMYFUNCTION("""COMPUTED_VALUE"""),"689c0d4a0c60a92e3f0d5aaa")</f>
        <v>689c0d4a0c60a92e3f0d5aaa</v>
      </c>
      <c r="AK597" s="80" t="str">
        <f>IFERROR(__xludf.DUMMYFUNCTION("""COMPUTED_VALUE"""),"dm15446s5")</f>
        <v>dm15446s5</v>
      </c>
      <c r="AL597" s="80" t="str">
        <f>IFERROR(__xludf.DUMMYFUNCTION("""COMPUTED_VALUE"""),"#15446Pos")</f>
        <v>#15446Pos</v>
      </c>
      <c r="AM597" s="80" t="str">
        <f>IFERROR(__xludf.DUMMYFUNCTION("""COMPUTED_VALUE"""),"KANTOR REGIONAL II JAKARTA 10004")</f>
        <v>KANTOR REGIONAL II JAKARTA 10004</v>
      </c>
      <c r="AN597" s="80" t="str">
        <f>IFERROR(__xludf.DUMMYFUNCTION("""COMPUTED_VALUE"""),"KC TANGERANG SELATAN")</f>
        <v>KC TANGERANG SELATAN</v>
      </c>
      <c r="AO597" s="80" t="str">
        <f>IFERROR(__xludf.DUMMYFUNCTION("""COMPUTED_VALUE"""),"0410210038003")</f>
        <v>0410210038003</v>
      </c>
      <c r="AP597" s="80" t="str">
        <f>IFERROR(__xludf.DUMMYFUNCTION("""COMPUTED_VALUE"""),"04102100380030002")</f>
        <v>04102100380030002</v>
      </c>
      <c r="AQ597" s="83"/>
      <c r="AR597" s="80"/>
      <c r="AS597" s="80"/>
      <c r="AT597" s="80" t="str">
        <f>IFERROR(__xludf.DUMMYFUNCTION("""COMPUTED_VALUE"""),"-6.3120395")</f>
        <v>-6.3120395</v>
      </c>
      <c r="AU597" s="80" t="str">
        <f>IFERROR(__xludf.DUMMYFUNCTION("""COMPUTED_VALUE"""),"106.7584927")</f>
        <v>106.7584927</v>
      </c>
      <c r="AV597" s="80"/>
      <c r="AW597" s="80"/>
      <c r="AX597" s="80"/>
      <c r="AY597" s="80"/>
      <c r="AZ597" s="80"/>
      <c r="BA597" s="80"/>
      <c r="BB597" s="80"/>
      <c r="BC597" s="80"/>
      <c r="BD597" s="80"/>
      <c r="BE597" s="80"/>
      <c r="BF597" s="80"/>
      <c r="BG597" s="80"/>
      <c r="BH597" s="80"/>
      <c r="BI597" s="80"/>
      <c r="BJ597" s="80"/>
      <c r="BK597" s="80"/>
      <c r="BL597" s="80"/>
      <c r="BM597" s="80"/>
      <c r="BN597" s="80"/>
      <c r="BO597" s="80"/>
      <c r="BP597" s="80"/>
      <c r="BQ597" s="80"/>
      <c r="BR597" s="80"/>
      <c r="BS597" s="80"/>
      <c r="BT597" s="80"/>
      <c r="BU597" s="80"/>
      <c r="BV597" s="80"/>
      <c r="BW597" s="80"/>
      <c r="BX597" s="80" t="str">
        <f>IFERROR(__xludf.DUMMYFUNCTION("""COMPUTED_VALUE"""),"MULTIKURIR - LION PARCEL - LEL EXPRESS - WAHANA")</f>
        <v>MULTIKURIR - LION PARCEL - LEL EXPRESS - WAHANA</v>
      </c>
      <c r="BY597" s="80"/>
      <c r="BZ597" s="80"/>
      <c r="CA597" s="80"/>
      <c r="CB597" s="80"/>
      <c r="CC597" s="80"/>
      <c r="CD597" s="80"/>
      <c r="CE597" s="80"/>
      <c r="CF597" s="80"/>
      <c r="CG597" s="80"/>
      <c r="CH597" s="80"/>
      <c r="CI597" s="80"/>
      <c r="CJ597" s="80"/>
      <c r="CK597" s="2"/>
    </row>
    <row r="598" ht="12.75" customHeight="1">
      <c r="A598" s="85">
        <f>IFERROR(__xludf.DUMMYFUNCTION("""COMPUTED_VALUE"""),595.0)</f>
        <v>595</v>
      </c>
      <c r="B598" s="85"/>
      <c r="C598" s="85"/>
      <c r="D598" s="86">
        <f>IFERROR(__xludf.DUMMYFUNCTION("""COMPUTED_VALUE"""),45876.0)</f>
        <v>45876</v>
      </c>
      <c r="E598" s="88"/>
      <c r="F598" s="85"/>
      <c r="G598" s="86">
        <f>IFERROR(__xludf.DUMMYFUNCTION("""COMPUTED_VALUE"""),45897.0)</f>
        <v>45897</v>
      </c>
      <c r="H598" s="85"/>
      <c r="I598" s="85"/>
      <c r="J598" s="85"/>
      <c r="K598" s="85"/>
      <c r="L598" s="85">
        <f>IFERROR(__xludf.DUMMYFUNCTION("""COMPUTED_VALUE"""),21.0)</f>
        <v>21</v>
      </c>
      <c r="M598" s="85" t="str">
        <f>IFERROR(__xludf.DUMMYFUNCTION("""COMPUTED_VALUE"""),"ü")</f>
        <v>ü</v>
      </c>
      <c r="N598" s="85"/>
      <c r="O598" s="85"/>
      <c r="P598" s="85" t="str">
        <f>IFERROR(__xludf.DUMMYFUNCTION("""COMPUTED_VALUE"""),"53BSPA09595JBEEN")</f>
        <v>53BSPA09595JBEEN</v>
      </c>
      <c r="Q598" s="85" t="str">
        <f>IFERROR(__xludf.DUMMYFUNCTION("""COMPUTED_VALUE"""),"MUC POST KHM HASAN")</f>
        <v>MUC POST KHM HASAN</v>
      </c>
      <c r="R598" s="85" t="str">
        <f>IFERROR(__xludf.DUMMYFUNCTION("""COMPUTED_VALUE"""),"MUC POST KHM HASAN")</f>
        <v>MUC POST KHM HASAN</v>
      </c>
      <c r="S598" s="85" t="str">
        <f>IFERROR(__xludf.DUMMYFUNCTION("""COMPUTED_VALUE"""),"ANDHIKA ARYA NUGRAHA")</f>
        <v>ANDHIKA ARYA NUGRAHA</v>
      </c>
      <c r="T598" s="85" t="str">
        <f>IFERROR(__xludf.DUMMYFUNCTION("""COMPUTED_VALUE"""),"JL. ALUMUNIUM RAYA NO.16 RT.006 RW.015, CIBODAS BARU, CIBODAS, KOTA TANGERANG")</f>
        <v>JL. ALUMUNIUM RAYA NO.16 RT.006 RW.015, CIBODAS BARU, CIBODAS, KOTA TANGERANG</v>
      </c>
      <c r="U598" s="85" t="str">
        <f>IFERROR(__xludf.DUMMYFUNCTION("""COMPUTED_VALUE"""),"JL. ALUMUNIUM RAYA NO.16 RT.006 RW.015, CIBODAS BARU, CIBODAS, KOTA TANGERANG")</f>
        <v>JL. ALUMUNIUM RAYA NO.16 RT.006 RW.015, CIBODAS BARU, CIBODAS, KOTA TANGERANG</v>
      </c>
      <c r="V598" s="85"/>
      <c r="W598" s="85" t="str">
        <f>IFERROR(__xludf.DUMMYFUNCTION("""COMPUTED_VALUE"""),"Teluknaga")</f>
        <v>Teluknaga</v>
      </c>
      <c r="X598" s="85" t="str">
        <f>IFERROR(__xludf.DUMMYFUNCTION("""COMPUTED_VALUE"""),"Teluknaga")</f>
        <v>Teluknaga</v>
      </c>
      <c r="Y598" s="85" t="str">
        <f>IFERROR(__xludf.DUMMYFUNCTION("""COMPUTED_VALUE"""),"Kab. Tangerang")</f>
        <v>Kab. Tangerang</v>
      </c>
      <c r="Z598" s="85" t="str">
        <f>IFERROR(__xludf.DUMMYFUNCTION("""COMPUTED_VALUE"""),"Banten")</f>
        <v>Banten</v>
      </c>
      <c r="AA598" s="85" t="str">
        <f>IFERROR(__xludf.DUMMYFUNCTION("""COMPUTED_VALUE"""),"15510")</f>
        <v>15510</v>
      </c>
      <c r="AB598" s="85" t="str">
        <f>IFERROR(__xludf.DUMMYFUNCTION("""COMPUTED_VALUE"""),"3671090309830001")</f>
        <v>3671090309830001</v>
      </c>
      <c r="AC598" s="85" t="str">
        <f>IFERROR(__xludf.DUMMYFUNCTION("""COMPUTED_VALUE"""),"86.701.786.5-402.000")</f>
        <v>86.701.786.5-402.000</v>
      </c>
      <c r="AD598" s="85" t="str">
        <f>IFERROR(__xludf.DUMMYFUNCTION("""COMPUTED_VALUE"""),"CUM - EEN")</f>
        <v>CUM - EEN</v>
      </c>
      <c r="AE598" s="85" t="str">
        <f>IFERROR(__xludf.DUMMYFUNCTION("""COMPUTED_VALUE"""),"SUB EEN")</f>
        <v>SUB EEN</v>
      </c>
      <c r="AF598" s="85" t="str">
        <f>IFERROR(__xludf.DUMMYFUNCTION("""COMPUTED_VALUE"""),"081314806884")</f>
        <v>081314806884</v>
      </c>
      <c r="AG598" s="85"/>
      <c r="AH598" s="85" t="str">
        <f>IFERROR(__xludf.DUMMYFUNCTION("""COMPUTED_VALUE"""),"mitrawaw1550@gmail.com")</f>
        <v>mitrawaw1550@gmail.com</v>
      </c>
      <c r="AI598" s="85" t="str">
        <f>IFERROR(__xludf.DUMMYFUNCTION("""COMPUTED_VALUE"""),"15511S3")</f>
        <v>15511S3</v>
      </c>
      <c r="AJ598" s="85" t="str">
        <f>IFERROR(__xludf.DUMMYFUNCTION("""COMPUTED_VALUE"""),"68afba34f2ab9ccd920ee1ca")</f>
        <v>68afba34f2ab9ccd920ee1ca</v>
      </c>
      <c r="AK598" s="85" t="str">
        <f>IFERROR(__xludf.DUMMYFUNCTION("""COMPUTED_VALUE"""),"dm15511s3")</f>
        <v>dm15511s3</v>
      </c>
      <c r="AL598" s="85" t="str">
        <f>IFERROR(__xludf.DUMMYFUNCTION("""COMPUTED_VALUE"""),"#15511Pos")</f>
        <v>#15511Pos</v>
      </c>
      <c r="AM598" s="85" t="str">
        <f>IFERROR(__xludf.DUMMYFUNCTION("""COMPUTED_VALUE"""),"KANTOR REGIONAL II JAKARTA 10004")</f>
        <v>KANTOR REGIONAL II JAKARTA 10004</v>
      </c>
      <c r="AN598" s="85" t="str">
        <f>IFERROR(__xludf.DUMMYFUNCTION("""COMPUTED_VALUE"""),"KCU TANGERANG 15000")</f>
        <v>KCU TANGERANG 15000</v>
      </c>
      <c r="AO598" s="85" t="str">
        <f>IFERROR(__xludf.DUMMYFUNCTION("""COMPUTED_VALUE"""),"1911240076923")</f>
        <v>1911240076923</v>
      </c>
      <c r="AP598" s="85" t="str">
        <f>IFERROR(__xludf.DUMMYFUNCTION("""COMPUTED_VALUE"""),"19112400769230002")</f>
        <v>19112400769230002</v>
      </c>
      <c r="AQ598" s="93"/>
      <c r="AR598" s="85"/>
      <c r="AS598" s="85"/>
      <c r="AT598" s="85" t="str">
        <f>IFERROR(__xludf.DUMMYFUNCTION("""COMPUTED_VALUE"""),"-6.0988889")</f>
        <v>-6.0988889</v>
      </c>
      <c r="AU598" s="85" t="str">
        <f>IFERROR(__xludf.DUMMYFUNCTION("""COMPUTED_VALUE"""),"106.6528889")</f>
        <v>106.6528889</v>
      </c>
      <c r="AV598" s="85"/>
      <c r="AW598" s="85"/>
      <c r="AX598" s="85"/>
      <c r="AY598" s="85"/>
      <c r="AZ598" s="85"/>
      <c r="BA598" s="85"/>
      <c r="BB598" s="85"/>
      <c r="BC598" s="85"/>
      <c r="BD598" s="85"/>
      <c r="BE598" s="85"/>
      <c r="BF598" s="85"/>
      <c r="BG598" s="85"/>
      <c r="BH598" s="85"/>
      <c r="BI598" s="85"/>
      <c r="BJ598" s="85"/>
      <c r="BK598" s="85"/>
      <c r="BL598" s="85"/>
      <c r="BM598" s="85"/>
      <c r="BN598" s="85"/>
      <c r="BO598" s="85"/>
      <c r="BP598" s="85"/>
      <c r="BQ598" s="85"/>
      <c r="BR598" s="85"/>
      <c r="BS598" s="85"/>
      <c r="BT598" s="85"/>
      <c r="BU598" s="85"/>
      <c r="BV598" s="85"/>
      <c r="BW598" s="85"/>
      <c r="BX598" s="85" t="str">
        <f>IFERROR(__xludf.DUMMYFUNCTION("""COMPUTED_VALUE"""),"MULTIKURIR - WAHANA")</f>
        <v>MULTIKURIR - WAHANA</v>
      </c>
      <c r="BY598" s="85"/>
      <c r="BZ598" s="85"/>
      <c r="CA598" s="85"/>
      <c r="CB598" s="85"/>
      <c r="CC598" s="85"/>
      <c r="CD598" s="85"/>
      <c r="CE598" s="85"/>
      <c r="CF598" s="85"/>
      <c r="CG598" s="85"/>
      <c r="CH598" s="85"/>
      <c r="CI598" s="85"/>
      <c r="CJ598" s="85"/>
      <c r="CK598" s="2"/>
    </row>
    <row r="599" ht="12.75" customHeight="1">
      <c r="A599" s="80">
        <f>IFERROR(__xludf.DUMMYFUNCTION("""COMPUTED_VALUE"""),596.0)</f>
        <v>596</v>
      </c>
      <c r="B599" s="80"/>
      <c r="C599" s="80"/>
      <c r="D599" s="81">
        <f>IFERROR(__xludf.DUMMYFUNCTION("""COMPUTED_VALUE"""),45877.0)</f>
        <v>45877</v>
      </c>
      <c r="E599" s="82"/>
      <c r="F599" s="80"/>
      <c r="G599" s="81">
        <f>IFERROR(__xludf.DUMMYFUNCTION("""COMPUTED_VALUE"""),45895.0)</f>
        <v>45895</v>
      </c>
      <c r="H599" s="80"/>
      <c r="I599" s="80"/>
      <c r="J599" s="80"/>
      <c r="K599" s="80"/>
      <c r="L599" s="80">
        <f>IFERROR(__xludf.DUMMYFUNCTION("""COMPUTED_VALUE"""),18.0)</f>
        <v>18</v>
      </c>
      <c r="M599" s="80" t="str">
        <f>IFERROR(__xludf.DUMMYFUNCTION("""COMPUTED_VALUE"""),"ü")</f>
        <v>ü</v>
      </c>
      <c r="N599" s="80"/>
      <c r="O599" s="80"/>
      <c r="P599" s="80" t="str">
        <f>IFERROR(__xludf.DUMMYFUNCTION("""COMPUTED_VALUE"""),"MUCSPA63214PSIND")</f>
        <v>MUCSPA63214PSIND</v>
      </c>
      <c r="Q599" s="80" t="str">
        <f>IFERROR(__xludf.DUMMYFUNCTION("""COMPUTED_VALUE"""),"MUC POST RAWA KALONG ")</f>
        <v>MUC POST RAWA KALONG </v>
      </c>
      <c r="R599" s="80" t="str">
        <f>IFERROR(__xludf.DUMMYFUNCTION("""COMPUTED_VALUE"""),"MUC POST RAWA KALONG ")</f>
        <v>MUC POST RAWA KALONG </v>
      </c>
      <c r="S599" s="80" t="str">
        <f>IFERROR(__xludf.DUMMYFUNCTION("""COMPUTED_VALUE"""),"Ilham Azan Mutasir")</f>
        <v>Ilham Azan Mutasir</v>
      </c>
      <c r="T599" s="80" t="str">
        <f>IFERROR(__xludf.DUMMYFUNCTION("""COMPUTED_VALUE"""),"JL. TERUSAN ARTJUNA NO.010 RT.005 RW.002 DURI KEPA, KEBON JERUK JAKARTA BARAT")</f>
        <v>JL. TERUSAN ARTJUNA NO.010 RT.005 RW.002 DURI KEPA, KEBON JERUK JAKARTA BARAT</v>
      </c>
      <c r="U599" s="80" t="str">
        <f>IFERROR(__xludf.DUMMYFUNCTION("""COMPUTED_VALUE"""),"Jl karangsambung Rt 1 Rw 3")</f>
        <v>Jl karangsambung Rt 1 Rw 3</v>
      </c>
      <c r="V599" s="80"/>
      <c r="W599" s="80" t="str">
        <f>IFERROR(__xludf.DUMMYFUNCTION("""COMPUTED_VALUE"""),"Karangsatria")</f>
        <v>Karangsatria</v>
      </c>
      <c r="X599" s="80" t="str">
        <f>IFERROR(__xludf.DUMMYFUNCTION("""COMPUTED_VALUE"""),"Tambun Utara")</f>
        <v>Tambun Utara</v>
      </c>
      <c r="Y599" s="80" t="str">
        <f>IFERROR(__xludf.DUMMYFUNCTION("""COMPUTED_VALUE"""),"Bekasi")</f>
        <v>Bekasi</v>
      </c>
      <c r="Z599" s="80" t="str">
        <f>IFERROR(__xludf.DUMMYFUNCTION("""COMPUTED_VALUE"""),"Jawa Barat")</f>
        <v>Jawa Barat</v>
      </c>
      <c r="AA599" s="80" t="str">
        <f>IFERROR(__xludf.DUMMYFUNCTION("""COMPUTED_VALUE"""),"17510")</f>
        <v>17510</v>
      </c>
      <c r="AB599" s="80" t="str">
        <f>IFERROR(__xludf.DUMMYFUNCTION("""COMPUTED_VALUE"""),"1103181007940001 ")</f>
        <v>1103181007940001 </v>
      </c>
      <c r="AC599" s="80" t="str">
        <f>IFERROR(__xludf.DUMMYFUNCTION("""COMPUTED_VALUE"""),"73.025.279.8-105.000 ")</f>
        <v>73.025.279.8-105.000 </v>
      </c>
      <c r="AD599" s="80" t="str">
        <f>IFERROR(__xludf.DUMMYFUNCTION("""COMPUTED_VALUE"""),"CUM - PS - JMN")</f>
        <v>CUM - PS - JMN</v>
      </c>
      <c r="AE599" s="80" t="str">
        <f>IFERROR(__xludf.DUMMYFUNCTION("""COMPUTED_VALUE"""),"SUB JAMJAM POS")</f>
        <v>SUB JAMJAM POS</v>
      </c>
      <c r="AF599" s="80" t="str">
        <f>IFERROR(__xludf.DUMMYFUNCTION("""COMPUTED_VALUE"""),"085310906848 ")</f>
        <v>085310906848 </v>
      </c>
      <c r="AG599" s="80"/>
      <c r="AH599" s="80" t="str">
        <f>IFERROR(__xludf.DUMMYFUNCTION("""COMPUTED_VALUE"""),"ilhamazanmutasir@gmail.com")</f>
        <v>ilhamazanmutasir@gmail.com</v>
      </c>
      <c r="AI599" s="80" t="str">
        <f>IFERROR(__xludf.DUMMYFUNCTION("""COMPUTED_VALUE"""),"17564S6")</f>
        <v>17564S6</v>
      </c>
      <c r="AJ599" s="80" t="str">
        <f>IFERROR(__xludf.DUMMYFUNCTION("""COMPUTED_VALUE"""),"689d5619eaa9042a9c0c581c")</f>
        <v>689d5619eaa9042a9c0c581c</v>
      </c>
      <c r="AK599" s="80" t="str">
        <f>IFERROR(__xludf.DUMMYFUNCTION("""COMPUTED_VALUE"""),"dm17564s6")</f>
        <v>dm17564s6</v>
      </c>
      <c r="AL599" s="80" t="str">
        <f>IFERROR(__xludf.DUMMYFUNCTION("""COMPUTED_VALUE"""),"#17564Pos")</f>
        <v>#17564Pos</v>
      </c>
      <c r="AM599" s="80" t="str">
        <f>IFERROR(__xludf.DUMMYFUNCTION("""COMPUTED_VALUE"""),"KANTOR REGIONAL II JAKARTA 10004")</f>
        <v>KANTOR REGIONAL II JAKARTA 10004</v>
      </c>
      <c r="AN599" s="80" t="str">
        <f>IFERROR(__xludf.DUMMYFUNCTION("""COMPUTED_VALUE"""),"KC CIKARANG 17500")</f>
        <v>KC CIKARANG 17500</v>
      </c>
      <c r="AO599" s="80" t="str">
        <f>IFERROR(__xludf.DUMMYFUNCTION("""COMPUTED_VALUE"""),"2012220044273")</f>
        <v>2012220044273</v>
      </c>
      <c r="AP599" s="80" t="str">
        <f>IFERROR(__xludf.DUMMYFUNCTION("""COMPUTED_VALUE"""),"20122200442730002")</f>
        <v>20122200442730002</v>
      </c>
      <c r="AQ599" s="83"/>
      <c r="AR599" s="80"/>
      <c r="AS599" s="80"/>
      <c r="AT599" s="80" t="str">
        <f>IFERROR(__xludf.DUMMYFUNCTION("""COMPUTED_VALUE"""),"-6.2270465")</f>
        <v>-6.2270465</v>
      </c>
      <c r="AU599" s="80" t="str">
        <f>IFERROR(__xludf.DUMMYFUNCTION("""COMPUTED_VALUE"""),"107.0432566")</f>
        <v>107.0432566</v>
      </c>
      <c r="AV599" s="80"/>
      <c r="AW599" s="80"/>
      <c r="AX599" s="80"/>
      <c r="AY599" s="80"/>
      <c r="AZ599" s="80"/>
      <c r="BA599" s="80"/>
      <c r="BB599" s="80"/>
      <c r="BC599" s="80"/>
      <c r="BD599" s="80"/>
      <c r="BE599" s="80"/>
      <c r="BF599" s="80"/>
      <c r="BG599" s="80"/>
      <c r="BH599" s="80"/>
      <c r="BI599" s="80"/>
      <c r="BJ599" s="80"/>
      <c r="BK599" s="80"/>
      <c r="BL599" s="80"/>
      <c r="BM599" s="80"/>
      <c r="BN599" s="80"/>
      <c r="BO599" s="80"/>
      <c r="BP599" s="80"/>
      <c r="BQ599" s="80"/>
      <c r="BR599" s="80"/>
      <c r="BS599" s="80"/>
      <c r="BT599" s="80"/>
      <c r="BU599" s="80"/>
      <c r="BV599" s="80"/>
      <c r="BW599" s="80"/>
      <c r="BX599" s="80" t="str">
        <f>IFERROR(__xludf.DUMMYFUNCTION("""COMPUTED_VALUE"""),"NEWBIE")</f>
        <v>NEWBIE</v>
      </c>
      <c r="BY599" s="80"/>
      <c r="BZ599" s="80"/>
      <c r="CA599" s="80"/>
      <c r="CB599" s="80"/>
      <c r="CC599" s="80"/>
      <c r="CD599" s="80"/>
      <c r="CE599" s="80"/>
      <c r="CF599" s="80"/>
      <c r="CG599" s="80"/>
      <c r="CH599" s="80"/>
      <c r="CI599" s="80"/>
      <c r="CJ599" s="80"/>
      <c r="CK599" s="2"/>
    </row>
    <row r="600" ht="12.75" customHeight="1">
      <c r="A600" s="85">
        <f>IFERROR(__xludf.DUMMYFUNCTION("""COMPUTED_VALUE"""),597.0)</f>
        <v>597</v>
      </c>
      <c r="B600" s="85"/>
      <c r="C600" s="85"/>
      <c r="D600" s="86">
        <f>IFERROR(__xludf.DUMMYFUNCTION("""COMPUTED_VALUE"""),45877.0)</f>
        <v>45877</v>
      </c>
      <c r="E600" s="88"/>
      <c r="F600" s="85"/>
      <c r="G600" s="86">
        <f>IFERROR(__xludf.DUMMYFUNCTION("""COMPUTED_VALUE"""),45936.0)</f>
        <v>45936</v>
      </c>
      <c r="H600" s="85"/>
      <c r="I600" s="85"/>
      <c r="J600" s="85"/>
      <c r="K600" s="85"/>
      <c r="L600" s="85">
        <f>IFERROR(__xludf.DUMMYFUNCTION("""COMPUTED_VALUE"""),59.0)</f>
        <v>59</v>
      </c>
      <c r="M600" s="85" t="str">
        <f>IFERROR(__xludf.DUMMYFUNCTION("""COMPUTED_VALUE"""),"ü")</f>
        <v>ü</v>
      </c>
      <c r="N600" s="85"/>
      <c r="O600" s="85"/>
      <c r="P600" s="85" t="str">
        <f>IFERROR(__xludf.DUMMYFUNCTION("""COMPUTED_VALUE"""),"MUCSPA63215PSIND")</f>
        <v>MUCSPA63215PSIND</v>
      </c>
      <c r="Q600" s="85" t="str">
        <f>IFERROR(__xludf.DUMMYFUNCTION("""COMPUTED_VALUE"""),"MUC MEKAR")</f>
        <v>MUC MEKAR</v>
      </c>
      <c r="R600" s="85" t="str">
        <f>IFERROR(__xludf.DUMMYFUNCTION("""COMPUTED_VALUE"""),"MUC MEKAR")</f>
        <v>MUC MEKAR</v>
      </c>
      <c r="S600" s="85" t="str">
        <f>IFERROR(__xludf.DUMMYFUNCTION("""COMPUTED_VALUE"""),"HARWIANDA ARFANDHI")</f>
        <v>HARWIANDA ARFANDHI</v>
      </c>
      <c r="T600" s="85" t="str">
        <f>IFERROR(__xludf.DUMMYFUNCTION("""COMPUTED_VALUE"""),"JL. PESANTREN RT.013 BUKIT TIMAH, DUMAI SELATAN KOTA DUMAI PROVINSI RIAU")</f>
        <v>JL. PESANTREN RT.013 BUKIT TIMAH, DUMAI SELATAN KOTA DUMAI PROVINSI RIAU</v>
      </c>
      <c r="U600" s="85" t="str">
        <f>IFERROR(__xludf.DUMMYFUNCTION("""COMPUTED_VALUE"""),"JL. PESANTREN RT.13 RW.00")</f>
        <v>JL. PESANTREN RT.13 RW.00</v>
      </c>
      <c r="V600" s="85"/>
      <c r="W600" s="85" t="str">
        <f>IFERROR(__xludf.DUMMYFUNCTION("""COMPUTED_VALUE"""),"Bukit Timah")</f>
        <v>Bukit Timah</v>
      </c>
      <c r="X600" s="85" t="str">
        <f>IFERROR(__xludf.DUMMYFUNCTION("""COMPUTED_VALUE"""),"Dumai Selatan")</f>
        <v>Dumai Selatan</v>
      </c>
      <c r="Y600" s="85" t="str">
        <f>IFERROR(__xludf.DUMMYFUNCTION("""COMPUTED_VALUE"""),"Dumai")</f>
        <v>Dumai</v>
      </c>
      <c r="Z600" s="85" t="str">
        <f>IFERROR(__xludf.DUMMYFUNCTION("""COMPUTED_VALUE"""),"Riau")</f>
        <v>Riau</v>
      </c>
      <c r="AA600" s="85" t="str">
        <f>IFERROR(__xludf.DUMMYFUNCTION("""COMPUTED_VALUE"""),"28825")</f>
        <v>28825</v>
      </c>
      <c r="AB600" s="85" t="str">
        <f>IFERROR(__xludf.DUMMYFUNCTION("""COMPUTED_VALUE"""),"1472011207810002")</f>
        <v>1472011207810002</v>
      </c>
      <c r="AC600" s="85" t="str">
        <f>IFERROR(__xludf.DUMMYFUNCTION("""COMPUTED_VALUE"""),"77.071.110.9-212.000")</f>
        <v>77.071.110.9-212.000</v>
      </c>
      <c r="AD600" s="85" t="str">
        <f>IFERROR(__xludf.DUMMYFUNCTION("""COMPUTED_VALUE"""),"CUM - PS - NONKORGEN")</f>
        <v>CUM - PS - NONKORGEN</v>
      </c>
      <c r="AE600" s="85" t="str">
        <f>IFERROR(__xludf.DUMMYFUNCTION("""COMPUTED_VALUE"""),"BU RANI KC DUMAI")</f>
        <v>BU RANI KC DUMAI</v>
      </c>
      <c r="AF600" s="85" t="str">
        <f>IFERROR(__xludf.DUMMYFUNCTION("""COMPUTED_VALUE"""),"085365514147")</f>
        <v>085365514147</v>
      </c>
      <c r="AG600" s="85"/>
      <c r="AH600" s="85" t="str">
        <f>IFERROR(__xludf.DUMMYFUNCTION("""COMPUTED_VALUE"""),"wianda1287@gmail.com")</f>
        <v>wianda1287@gmail.com</v>
      </c>
      <c r="AI600" s="85" t="str">
        <f>IFERROR(__xludf.DUMMYFUNCTION("""COMPUTED_VALUE"""),"28826S1")</f>
        <v>28826S1</v>
      </c>
      <c r="AJ600" s="85" t="str">
        <f>IFERROR(__xludf.DUMMYFUNCTION("""COMPUTED_VALUE"""),"68e08d4e3a4de4b335090587")</f>
        <v>68e08d4e3a4de4b335090587</v>
      </c>
      <c r="AK600" s="85" t="str">
        <f>IFERROR(__xludf.DUMMYFUNCTION("""COMPUTED_VALUE"""),"dm28826s1")</f>
        <v>dm28826s1</v>
      </c>
      <c r="AL600" s="85" t="str">
        <f>IFERROR(__xludf.DUMMYFUNCTION("""COMPUTED_VALUE"""),"#28826Pos")</f>
        <v>#28826Pos</v>
      </c>
      <c r="AM600" s="85" t="str">
        <f>IFERROR(__xludf.DUMMYFUNCTION("""COMPUTED_VALUE"""),"KANTOR REGIONAL I MEDAN 20004")</f>
        <v>KANTOR REGIONAL I MEDAN 20004</v>
      </c>
      <c r="AN600" s="85" t="str">
        <f>IFERROR(__xludf.DUMMYFUNCTION("""COMPUTED_VALUE"""),"KC DUMAI")</f>
        <v>KC DUMAI</v>
      </c>
      <c r="AO600" s="85" t="str">
        <f>IFERROR(__xludf.DUMMYFUNCTION("""COMPUTED_VALUE"""),"0108250139333")</f>
        <v>0108250139333</v>
      </c>
      <c r="AP600" s="85" t="str">
        <f>IFERROR(__xludf.DUMMYFUNCTION("""COMPUTED_VALUE"""),"01082501393330001")</f>
        <v>01082501393330001</v>
      </c>
      <c r="AQ600" s="93"/>
      <c r="AR600" s="85"/>
      <c r="AS600" s="85"/>
      <c r="AT600" s="85" t="str">
        <f>IFERROR(__xludf.DUMMYFUNCTION("""COMPUTED_VALUE"""),"-1.620979")</f>
        <v>-1.620979</v>
      </c>
      <c r="AU600" s="85" t="str">
        <f>IFERROR(__xludf.DUMMYFUNCTION("""COMPUTED_VALUE"""),"101.363200")</f>
        <v>101.363200</v>
      </c>
      <c r="AV600" s="85"/>
      <c r="AW600" s="85"/>
      <c r="AX600" s="85"/>
      <c r="AY600" s="85"/>
      <c r="AZ600" s="85"/>
      <c r="BA600" s="85"/>
      <c r="BB600" s="85"/>
      <c r="BC600" s="85"/>
      <c r="BD600" s="85"/>
      <c r="BE600" s="85"/>
      <c r="BF600" s="85"/>
      <c r="BG600" s="85"/>
      <c r="BH600" s="85"/>
      <c r="BI600" s="85"/>
      <c r="BJ600" s="85"/>
      <c r="BK600" s="85"/>
      <c r="BL600" s="85"/>
      <c r="BM600" s="85"/>
      <c r="BN600" s="85"/>
      <c r="BO600" s="85"/>
      <c r="BP600" s="85"/>
      <c r="BQ600" s="85"/>
      <c r="BR600" s="85"/>
      <c r="BS600" s="85"/>
      <c r="BT600" s="85"/>
      <c r="BU600" s="85"/>
      <c r="BV600" s="85"/>
      <c r="BW600" s="85"/>
      <c r="BX600" s="85" t="str">
        <f>IFERROR(__xludf.DUMMYFUNCTION("""COMPUTED_VALUE"""),"NEWBIE")</f>
        <v>NEWBIE</v>
      </c>
      <c r="BY600" s="85"/>
      <c r="BZ600" s="85"/>
      <c r="CA600" s="85"/>
      <c r="CB600" s="85"/>
      <c r="CC600" s="85"/>
      <c r="CD600" s="85"/>
      <c r="CE600" s="85"/>
      <c r="CF600" s="85"/>
      <c r="CG600" s="85"/>
      <c r="CH600" s="85"/>
      <c r="CI600" s="85"/>
      <c r="CJ600" s="85"/>
      <c r="CK600" s="2"/>
    </row>
    <row r="601" ht="12.75" customHeight="1">
      <c r="A601" s="80">
        <f>IFERROR(__xludf.DUMMYFUNCTION("""COMPUTED_VALUE"""),598.0)</f>
        <v>598</v>
      </c>
      <c r="B601" s="80"/>
      <c r="C601" s="80"/>
      <c r="D601" s="81">
        <f>IFERROR(__xludf.DUMMYFUNCTION("""COMPUTED_VALUE"""),45880.0)</f>
        <v>45880</v>
      </c>
      <c r="E601" s="82"/>
      <c r="F601" s="80"/>
      <c r="G601" s="81">
        <f>IFERROR(__xludf.DUMMYFUNCTION("""COMPUTED_VALUE"""),45910.0)</f>
        <v>45910</v>
      </c>
      <c r="H601" s="80"/>
      <c r="I601" s="80"/>
      <c r="J601" s="80"/>
      <c r="K601" s="80"/>
      <c r="L601" s="80">
        <f>IFERROR(__xludf.DUMMYFUNCTION("""COMPUTED_VALUE"""),30.0)</f>
        <v>30</v>
      </c>
      <c r="M601" s="80"/>
      <c r="N601" s="80" t="str">
        <f>IFERROR(__xludf.DUMMYFUNCTION("""COMPUTED_VALUE"""),"ü")</f>
        <v>ü</v>
      </c>
      <c r="O601" s="80"/>
      <c r="P601" s="80" t="str">
        <f>IFERROR(__xludf.DUMMYFUNCTION("""COMPUTED_VALUE"""),"MUCSPA63216PSIND")</f>
        <v>MUCSPA63216PSIND</v>
      </c>
      <c r="Q601" s="80" t="str">
        <f>IFERROR(__xludf.DUMMYFUNCTION("""COMPUTED_VALUE"""),"MUC KDMP PAKUTANDANG CIPARAY")</f>
        <v>MUC KDMP PAKUTANDANG CIPARAY</v>
      </c>
      <c r="R601" s="80" t="str">
        <f>IFERROR(__xludf.DUMMYFUNCTION("""COMPUTED_VALUE"""),"MUC KDMP PAKUTANDANG CIPARAY")</f>
        <v>MUC KDMP PAKUTANDANG CIPARAY</v>
      </c>
      <c r="S601" s="80" t="str">
        <f>IFERROR(__xludf.DUMMYFUNCTION("""COMPUTED_VALUE"""),"RENDRA KRISHNA SUNARSA")</f>
        <v>RENDRA KRISHNA SUNARSA</v>
      </c>
      <c r="T601" s="80" t="str">
        <f>IFERROR(__xludf.DUMMYFUNCTION("""COMPUTED_VALUE"""),"KP. CIPAKU RT.001 PAKUTANDANG, CIPARAY, KAB BANDUNG JAWA BARAT")</f>
        <v>KP. CIPAKU RT.001 PAKUTANDANG, CIPARAY, KAB BANDUNG JAWA BARAT</v>
      </c>
      <c r="U601" s="80" t="str">
        <f>IFERROR(__xludf.DUMMYFUNCTION("""COMPUTED_VALUE"""),"Jalan Raya Pacet No. 164")</f>
        <v>Jalan Raya Pacet No. 164</v>
      </c>
      <c r="V601" s="80"/>
      <c r="W601" s="80" t="str">
        <f>IFERROR(__xludf.DUMMYFUNCTION("""COMPUTED_VALUE"""),"Pakutandang")</f>
        <v>Pakutandang</v>
      </c>
      <c r="X601" s="80" t="str">
        <f>IFERROR(__xludf.DUMMYFUNCTION("""COMPUTED_VALUE"""),"Ciparay")</f>
        <v>Ciparay</v>
      </c>
      <c r="Y601" s="80" t="str">
        <f>IFERROR(__xludf.DUMMYFUNCTION("""COMPUTED_VALUE"""),"Kab. Bandung")</f>
        <v>Kab. Bandung</v>
      </c>
      <c r="Z601" s="80" t="str">
        <f>IFERROR(__xludf.DUMMYFUNCTION("""COMPUTED_VALUE"""),"Jawa Barat")</f>
        <v>Jawa Barat</v>
      </c>
      <c r="AA601" s="80" t="str">
        <f>IFERROR(__xludf.DUMMYFUNCTION("""COMPUTED_VALUE"""),"40381")</f>
        <v>40381</v>
      </c>
      <c r="AB601" s="80" t="str">
        <f>IFERROR(__xludf.DUMMYFUNCTION("""COMPUTED_VALUE"""),"3204292904770002")</f>
        <v>3204292904770002</v>
      </c>
      <c r="AC601" s="80" t="str">
        <f>IFERROR(__xludf.DUMMYFUNCTION("""COMPUTED_VALUE"""),"1000 0000 0360 6136")</f>
        <v>1000 0000 0360 6136</v>
      </c>
      <c r="AD601" s="80" t="str">
        <f>IFERROR(__xludf.DUMMYFUNCTION("""COMPUTED_VALUE"""),"CUM - PS - THI")</f>
        <v>CUM - PS - THI</v>
      </c>
      <c r="AE601" s="80" t="str">
        <f>IFERROR(__xludf.DUMMYFUNCTION("""COMPUTED_VALUE"""),"SUB THIO POS")</f>
        <v>SUB THIO POS</v>
      </c>
      <c r="AF601" s="80" t="str">
        <f>IFERROR(__xludf.DUMMYFUNCTION("""COMPUTED_VALUE"""),"085317803979")</f>
        <v>085317803979</v>
      </c>
      <c r="AG601" s="80"/>
      <c r="AH601" s="80" t="str">
        <f>IFERROR(__xludf.DUMMYFUNCTION("""COMPUTED_VALUE"""),"kopdespakutandang@gmail.com")</f>
        <v>kopdespakutandang@gmail.com</v>
      </c>
      <c r="AI601" s="80" t="str">
        <f>IFERROR(__xludf.DUMMYFUNCTION("""COMPUTED_VALUE"""),"40381Y1")</f>
        <v>40381Y1</v>
      </c>
      <c r="AJ601" s="80" t="str">
        <f>IFERROR(__xludf.DUMMYFUNCTION("""COMPUTED_VALUE"""),"68bfd06c189bbcccf30f74cc")</f>
        <v>68bfd06c189bbcccf30f74cc</v>
      </c>
      <c r="AK601" s="80" t="str">
        <f>IFERROR(__xludf.DUMMYFUNCTION("""COMPUTED_VALUE"""),"dm40381y1")</f>
        <v>dm40381y1</v>
      </c>
      <c r="AL601" s="80" t="str">
        <f>IFERROR(__xludf.DUMMYFUNCTION("""COMPUTED_VALUE"""),"#40381Pos")</f>
        <v>#40381Pos</v>
      </c>
      <c r="AM601" s="80" t="str">
        <f>IFERROR(__xludf.DUMMYFUNCTION("""COMPUTED_VALUE"""),"KANTOR REGIONAL III BANDUNG 40004")</f>
        <v>KANTOR REGIONAL III BANDUNG 40004</v>
      </c>
      <c r="AN601" s="80" t="str">
        <f>IFERROR(__xludf.DUMMYFUNCTION("""COMPUTED_VALUE"""),"KC UJUNGBERUNG ")</f>
        <v>KC UJUNGBERUNG </v>
      </c>
      <c r="AO601" s="80" t="str">
        <f>IFERROR(__xludf.DUMMYFUNCTION("""COMPUTED_VALUE"""),"0907250118835")</f>
        <v>0907250118835</v>
      </c>
      <c r="AP601" s="80" t="str">
        <f>IFERROR(__xludf.DUMMYFUNCTION("""COMPUTED_VALUE"""),"09072501188350004")</f>
        <v>09072501188350004</v>
      </c>
      <c r="AQ601" s="83"/>
      <c r="AR601" s="80"/>
      <c r="AS601" s="80"/>
      <c r="AT601" s="80" t="str">
        <f>IFERROR(__xludf.DUMMYFUNCTION("""COMPUTED_VALUE"""),"-7.038309")</f>
        <v>-7.038309</v>
      </c>
      <c r="AU601" s="80" t="str">
        <f>IFERROR(__xludf.DUMMYFUNCTION("""COMPUTED_VALUE"""),"107.712413")</f>
        <v>107.712413</v>
      </c>
      <c r="AV601" s="80"/>
      <c r="AW601" s="80"/>
      <c r="AX601" s="80"/>
      <c r="AY601" s="80"/>
      <c r="AZ601" s="80"/>
      <c r="BA601" s="80"/>
      <c r="BB601" s="80"/>
      <c r="BC601" s="80"/>
      <c r="BD601" s="80"/>
      <c r="BE601" s="80"/>
      <c r="BF601" s="80"/>
      <c r="BG601" s="80"/>
      <c r="BH601" s="80"/>
      <c r="BI601" s="80"/>
      <c r="BJ601" s="80"/>
      <c r="BK601" s="80"/>
      <c r="BL601" s="80"/>
      <c r="BM601" s="80"/>
      <c r="BN601" s="80"/>
      <c r="BO601" s="80"/>
      <c r="BP601" s="80"/>
      <c r="BQ601" s="80"/>
      <c r="BR601" s="80"/>
      <c r="BS601" s="80"/>
      <c r="BT601" s="80"/>
      <c r="BU601" s="80"/>
      <c r="BV601" s="80"/>
      <c r="BW601" s="80"/>
      <c r="BX601" s="80" t="str">
        <f>IFERROR(__xludf.DUMMYFUNCTION("""COMPUTED_VALUE"""),"KDMP")</f>
        <v>KDMP</v>
      </c>
      <c r="BY601" s="80"/>
      <c r="BZ601" s="80"/>
      <c r="CA601" s="80"/>
      <c r="CB601" s="80"/>
      <c r="CC601" s="80"/>
      <c r="CD601" s="80"/>
      <c r="CE601" s="80"/>
      <c r="CF601" s="80"/>
      <c r="CG601" s="80"/>
      <c r="CH601" s="80"/>
      <c r="CI601" s="80"/>
      <c r="CJ601" s="80"/>
      <c r="CK601" s="2"/>
    </row>
    <row r="602" ht="12.75" customHeight="1">
      <c r="A602" s="85">
        <f>IFERROR(__xludf.DUMMYFUNCTION("""COMPUTED_VALUE"""),599.0)</f>
        <v>599</v>
      </c>
      <c r="B602" s="85"/>
      <c r="C602" s="85"/>
      <c r="D602" s="86">
        <f>IFERROR(__xludf.DUMMYFUNCTION("""COMPUTED_VALUE"""),45880.0)</f>
        <v>45880</v>
      </c>
      <c r="E602" s="88"/>
      <c r="F602" s="85"/>
      <c r="G602" s="86">
        <f>IFERROR(__xludf.DUMMYFUNCTION("""COMPUTED_VALUE"""),45890.0)</f>
        <v>45890</v>
      </c>
      <c r="H602" s="85"/>
      <c r="I602" s="85"/>
      <c r="J602" s="85"/>
      <c r="K602" s="85"/>
      <c r="L602" s="85">
        <f>IFERROR(__xludf.DUMMYFUNCTION("""COMPUTED_VALUE"""),10.0)</f>
        <v>10</v>
      </c>
      <c r="M602" s="85" t="str">
        <f>IFERROR(__xludf.DUMMYFUNCTION("""COMPUTED_VALUE"""),"ü")</f>
        <v>ü</v>
      </c>
      <c r="N602" s="85"/>
      <c r="O602" s="85"/>
      <c r="P602" s="85" t="str">
        <f>IFERROR(__xludf.DUMMYFUNCTION("""COMPUTED_VALUE"""),"MUCSPA63217PSIND")</f>
        <v>MUCSPA63217PSIND</v>
      </c>
      <c r="Q602" s="85" t="str">
        <f>IFERROR(__xludf.DUMMYFUNCTION("""COMPUTED_VALUE"""),"MUC POST PEKAYON RAYA")</f>
        <v>MUC POST PEKAYON RAYA</v>
      </c>
      <c r="R602" s="85" t="str">
        <f>IFERROR(__xludf.DUMMYFUNCTION("""COMPUTED_VALUE"""),"MUC POST PEKAYON RAYA")</f>
        <v>MUC POST PEKAYON RAYA</v>
      </c>
      <c r="S602" s="85" t="str">
        <f>IFERROR(__xludf.DUMMYFUNCTION("""COMPUTED_VALUE"""),"Sumiathun Sunarto, SE")</f>
        <v>Sumiathun Sunarto, SE</v>
      </c>
      <c r="T602" s="85" t="str">
        <f>IFERROR(__xludf.DUMMYFUNCTION("""COMPUTED_VALUE"""),"APR. CERVINO VILLAGE L.5 UNIT B JL.KH ABDULLAH SYAFEI KAV RT.018 RW.001 TEBET BARAT, TEBET, JAKARTA SELATAN")</f>
        <v>APR. CERVINO VILLAGE L.5 UNIT B JL.KH ABDULLAH SYAFEI KAV RT.018 RW.001 TEBET BARAT, TEBET, JAKARTA SELATAN</v>
      </c>
      <c r="U602" s="85" t="str">
        <f>IFERROR(__xludf.DUMMYFUNCTION("""COMPUTED_VALUE"""),"Pekayon Jaya No.19")</f>
        <v>Pekayon Jaya No.19</v>
      </c>
      <c r="V602" s="85"/>
      <c r="W602" s="85" t="str">
        <f>IFERROR(__xludf.DUMMYFUNCTION("""COMPUTED_VALUE"""),"Pekayonjaya")</f>
        <v>Pekayonjaya</v>
      </c>
      <c r="X602" s="85" t="str">
        <f>IFERROR(__xludf.DUMMYFUNCTION("""COMPUTED_VALUE"""),"Bekasi Selatan")</f>
        <v>Bekasi Selatan</v>
      </c>
      <c r="Y602" s="85" t="str">
        <f>IFERROR(__xludf.DUMMYFUNCTION("""COMPUTED_VALUE"""),"Kota Bekasi")</f>
        <v>Kota Bekasi</v>
      </c>
      <c r="Z602" s="85" t="str">
        <f>IFERROR(__xludf.DUMMYFUNCTION("""COMPUTED_VALUE"""),"Jawa Barat")</f>
        <v>Jawa Barat</v>
      </c>
      <c r="AA602" s="85" t="str">
        <f>IFERROR(__xludf.DUMMYFUNCTION("""COMPUTED_VALUE"""),"17148")</f>
        <v>17148</v>
      </c>
      <c r="AB602" s="85" t="str">
        <f>IFERROR(__xludf.DUMMYFUNCTION("""COMPUTED_VALUE"""),"3172045410831002")</f>
        <v>3172045410831002</v>
      </c>
      <c r="AC602" s="85" t="str">
        <f>IFERROR(__xludf.DUMMYFUNCTION("""COMPUTED_VALUE"""),"62.941.308.9-017.000")</f>
        <v>62.941.308.9-017.000</v>
      </c>
      <c r="AD602" s="85" t="str">
        <f>IFERROR(__xludf.DUMMYFUNCTION("""COMPUTED_VALUE"""),"CUM - PS - NITA")</f>
        <v>CUM - PS - NITA</v>
      </c>
      <c r="AE602" s="85" t="str">
        <f>IFERROR(__xludf.DUMMYFUNCTION("""COMPUTED_VALUE"""),"SUB NITA POS")</f>
        <v>SUB NITA POS</v>
      </c>
      <c r="AF602" s="85" t="str">
        <f>IFERROR(__xludf.DUMMYFUNCTION("""COMPUTED_VALUE"""),"081315111098")</f>
        <v>081315111098</v>
      </c>
      <c r="AG602" s="85"/>
      <c r="AH602" s="85" t="str">
        <f>IFERROR(__xludf.DUMMYFUNCTION("""COMPUTED_VALUE"""),"miyasunarto18@gmail.com")</f>
        <v>miyasunarto18@gmail.com</v>
      </c>
      <c r="AI602" s="85" t="str">
        <f>IFERROR(__xludf.DUMMYFUNCTION("""COMPUTED_VALUE"""),"17148S5")</f>
        <v>17148S5</v>
      </c>
      <c r="AJ602" s="85" t="str">
        <f>IFERROR(__xludf.DUMMYFUNCTION("""COMPUTED_VALUE"""),"68a6e2c488184b99e90a5088")</f>
        <v>68a6e2c488184b99e90a5088</v>
      </c>
      <c r="AK602" s="85" t="str">
        <f>IFERROR(__xludf.DUMMYFUNCTION("""COMPUTED_VALUE"""),"dm17148s5")</f>
        <v>dm17148s5</v>
      </c>
      <c r="AL602" s="85" t="str">
        <f>IFERROR(__xludf.DUMMYFUNCTION("""COMPUTED_VALUE"""),"#17148Pos")</f>
        <v>#17148Pos</v>
      </c>
      <c r="AM602" s="85" t="str">
        <f>IFERROR(__xludf.DUMMYFUNCTION("""COMPUTED_VALUE"""),"KANTOR REGIONAL II JAKARTA 10004")</f>
        <v>KANTOR REGIONAL II JAKARTA 10004</v>
      </c>
      <c r="AN602" s="85" t="str">
        <f>IFERROR(__xludf.DUMMYFUNCTION("""COMPUTED_VALUE"""),"KCU BEKASI 17000")</f>
        <v>KCU BEKASI 17000</v>
      </c>
      <c r="AO602" s="85" t="str">
        <f>IFERROR(__xludf.DUMMYFUNCTION("""COMPUTED_VALUE"""),"3001240028197")</f>
        <v>3001240028197</v>
      </c>
      <c r="AP602" s="85" t="str">
        <f>IFERROR(__xludf.DUMMYFUNCTION("""COMPUTED_VALUE"""),"30012400281970002")</f>
        <v>30012400281970002</v>
      </c>
      <c r="AQ602" s="93"/>
      <c r="AR602" s="85"/>
      <c r="AS602" s="85"/>
      <c r="AT602" s="85" t="str">
        <f>IFERROR(__xludf.DUMMYFUNCTION("""COMPUTED_VALUE"""),"-6.260435")</f>
        <v>-6.260435</v>
      </c>
      <c r="AU602" s="85" t="str">
        <f>IFERROR(__xludf.DUMMYFUNCTION("""COMPUTED_VALUE"""),"106.987864")</f>
        <v>106.987864</v>
      </c>
      <c r="AV602" s="85"/>
      <c r="AW602" s="85"/>
      <c r="AX602" s="85"/>
      <c r="AY602" s="85"/>
      <c r="AZ602" s="85"/>
      <c r="BA602" s="85"/>
      <c r="BB602" s="85"/>
      <c r="BC602" s="85"/>
      <c r="BD602" s="85"/>
      <c r="BE602" s="85"/>
      <c r="BF602" s="85"/>
      <c r="BG602" s="85"/>
      <c r="BH602" s="85"/>
      <c r="BI602" s="85"/>
      <c r="BJ602" s="85"/>
      <c r="BK602" s="85"/>
      <c r="BL602" s="85"/>
      <c r="BM602" s="85"/>
      <c r="BN602" s="85"/>
      <c r="BO602" s="85"/>
      <c r="BP602" s="85"/>
      <c r="BQ602" s="85"/>
      <c r="BR602" s="85"/>
      <c r="BS602" s="85"/>
      <c r="BT602" s="85"/>
      <c r="BU602" s="85"/>
      <c r="BV602" s="85"/>
      <c r="BW602" s="85"/>
      <c r="BX602" s="85" t="str">
        <f>IFERROR(__xludf.DUMMYFUNCTION("""COMPUTED_VALUE"""),"MULTIKURIR - LION PARCEL")</f>
        <v>MULTIKURIR - LION PARCEL</v>
      </c>
      <c r="BY602" s="85"/>
      <c r="BZ602" s="85"/>
      <c r="CA602" s="85"/>
      <c r="CB602" s="85"/>
      <c r="CC602" s="85"/>
      <c r="CD602" s="85"/>
      <c r="CE602" s="85"/>
      <c r="CF602" s="85"/>
      <c r="CG602" s="85"/>
      <c r="CH602" s="85"/>
      <c r="CI602" s="85"/>
      <c r="CJ602" s="85"/>
      <c r="CK602" s="2"/>
    </row>
    <row r="603" ht="12.75" customHeight="1">
      <c r="A603" s="80">
        <f>IFERROR(__xludf.DUMMYFUNCTION("""COMPUTED_VALUE"""),600.0)</f>
        <v>600</v>
      </c>
      <c r="B603" s="80"/>
      <c r="C603" s="80"/>
      <c r="D603" s="81">
        <f>IFERROR(__xludf.DUMMYFUNCTION("""COMPUTED_VALUE"""),45880.0)</f>
        <v>45880</v>
      </c>
      <c r="E603" s="82"/>
      <c r="F603" s="80"/>
      <c r="G603" s="81">
        <f>IFERROR(__xludf.DUMMYFUNCTION("""COMPUTED_VALUE"""),45902.0)</f>
        <v>45902</v>
      </c>
      <c r="H603" s="80"/>
      <c r="I603" s="80"/>
      <c r="J603" s="80"/>
      <c r="K603" s="80"/>
      <c r="L603" s="80">
        <f>IFERROR(__xludf.DUMMYFUNCTION("""COMPUTED_VALUE"""),22.0)</f>
        <v>22</v>
      </c>
      <c r="M603" s="80" t="str">
        <f>IFERROR(__xludf.DUMMYFUNCTION("""COMPUTED_VALUE"""),"ü")</f>
        <v>ü</v>
      </c>
      <c r="N603" s="80"/>
      <c r="O603" s="80"/>
      <c r="P603" s="80" t="str">
        <f>IFERROR(__xludf.DUMMYFUNCTION("""COMPUTED_VALUE"""),"MUCSPA63218PSIND")</f>
        <v>MUCSPA63218PSIND</v>
      </c>
      <c r="Q603" s="80" t="str">
        <f>IFERROR(__xludf.DUMMYFUNCTION("""COMPUTED_VALUE"""),"MUC ZIA CELL")</f>
        <v>MUC ZIA CELL</v>
      </c>
      <c r="R603" s="80" t="str">
        <f>IFERROR(__xludf.DUMMYFUNCTION("""COMPUTED_VALUE"""),"MUC ZIA CELL")</f>
        <v>MUC ZIA CELL</v>
      </c>
      <c r="S603" s="80" t="str">
        <f>IFERROR(__xludf.DUMMYFUNCTION("""COMPUTED_VALUE"""),"GURUH")</f>
        <v>GURUH</v>
      </c>
      <c r="T603" s="80" t="str">
        <f>IFERROR(__xludf.DUMMYFUNCTION("""COMPUTED_VALUE"""),"KP PASIR SALAM RT 002 RW 01")</f>
        <v>KP PASIR SALAM RT 002 RW 01</v>
      </c>
      <c r="U603" s="80" t="str">
        <f>IFERROR(__xludf.DUMMYFUNCTION("""COMPUTED_VALUE"""),"KP PASIR SALAM RT 002 RW 01")</f>
        <v>KP PASIR SALAM RT 002 RW 01</v>
      </c>
      <c r="V603" s="80"/>
      <c r="W603" s="80" t="str">
        <f>IFERROR(__xludf.DUMMYFUNCTION("""COMPUTED_VALUE"""),"KEBONCAU")</f>
        <v>KEBONCAU</v>
      </c>
      <c r="X603" s="80" t="str">
        <f>IFERROR(__xludf.DUMMYFUNCTION("""COMPUTED_VALUE"""),"PAMARAYAN")</f>
        <v>PAMARAYAN</v>
      </c>
      <c r="Y603" s="80" t="str">
        <f>IFERROR(__xludf.DUMMYFUNCTION("""COMPUTED_VALUE"""),"SERANG")</f>
        <v>SERANG</v>
      </c>
      <c r="Z603" s="80" t="str">
        <f>IFERROR(__xludf.DUMMYFUNCTION("""COMPUTED_VALUE"""),"BANTEN")</f>
        <v>BANTEN</v>
      </c>
      <c r="AA603" s="80" t="str">
        <f>IFERROR(__xludf.DUMMYFUNCTION("""COMPUTED_VALUE"""),"42176")</f>
        <v>42176</v>
      </c>
      <c r="AB603" s="80" t="str">
        <f>IFERROR(__xludf.DUMMYFUNCTION("""COMPUTED_VALUE"""),"3604240103870003")</f>
        <v>3604240103870003</v>
      </c>
      <c r="AC603" s="80" t="str">
        <f>IFERROR(__xludf.DUMMYFUNCTION("""COMPUTED_VALUE"""),"73.460.128.9-401.000")</f>
        <v>73.460.128.9-401.000</v>
      </c>
      <c r="AD603" s="80" t="str">
        <f>IFERROR(__xludf.DUMMYFUNCTION("""COMPUTED_VALUE"""),"CUM - PS - NONKORGEN")</f>
        <v>CUM - PS - NONKORGEN</v>
      </c>
      <c r="AE603" s="80" t="str">
        <f>IFERROR(__xludf.DUMMYFUNCTION("""COMPUTED_VALUE"""),"BU NELA SERANG")</f>
        <v>BU NELA SERANG</v>
      </c>
      <c r="AF603" s="80" t="str">
        <f>IFERROR(__xludf.DUMMYFUNCTION("""COMPUTED_VALUE"""),"085282261245")</f>
        <v>085282261245</v>
      </c>
      <c r="AG603" s="80"/>
      <c r="AH603" s="80" t="str">
        <f>IFERROR(__xludf.DUMMYFUNCTION("""COMPUTED_VALUE"""),"gguruh043@gmail.com")</f>
        <v>gguruh043@gmail.com</v>
      </c>
      <c r="AI603" s="80" t="str">
        <f>IFERROR(__xludf.DUMMYFUNCTION("""COMPUTED_VALUE"""),"42176S2")</f>
        <v>42176S2</v>
      </c>
      <c r="AJ603" s="80" t="str">
        <f>IFERROR(__xludf.DUMMYFUNCTION("""COMPUTED_VALUE"""),"68b180a418d693f4b20889f2")</f>
        <v>68b180a418d693f4b20889f2</v>
      </c>
      <c r="AK603" s="80" t="str">
        <f>IFERROR(__xludf.DUMMYFUNCTION("""COMPUTED_VALUE"""),"dm42176s2")</f>
        <v>dm42176s2</v>
      </c>
      <c r="AL603" s="80" t="str">
        <f>IFERROR(__xludf.DUMMYFUNCTION("""COMPUTED_VALUE"""),"#42176Pos")</f>
        <v>#42176Pos</v>
      </c>
      <c r="AM603" s="80" t="str">
        <f>IFERROR(__xludf.DUMMYFUNCTION("""COMPUTED_VALUE"""),"KANTOR REGIONAL II JAKARTA 10004")</f>
        <v>KANTOR REGIONAL II JAKARTA 10004</v>
      </c>
      <c r="AN603" s="80" t="str">
        <f>IFERROR(__xludf.DUMMYFUNCTION("""COMPUTED_VALUE"""),"KCU SERANG")</f>
        <v>KCU SERANG</v>
      </c>
      <c r="AO603" s="80" t="str">
        <f>IFERROR(__xludf.DUMMYFUNCTION("""COMPUTED_VALUE"""),"1108250066199")</f>
        <v>1108250066199</v>
      </c>
      <c r="AP603" s="80" t="str">
        <f>IFERROR(__xludf.DUMMYFUNCTION("""COMPUTED_VALUE"""),"11082500661990001")</f>
        <v>11082500661990001</v>
      </c>
      <c r="AQ603" s="83"/>
      <c r="AR603" s="80"/>
      <c r="AS603" s="80"/>
      <c r="AT603" s="80" t="str">
        <f>IFERROR(__xludf.DUMMYFUNCTION("""COMPUTED_VALUE"""),"-6.3033725")</f>
        <v>-6.3033725</v>
      </c>
      <c r="AU603" s="80" t="str">
        <f>IFERROR(__xludf.DUMMYFUNCTION("""COMPUTED_VALUE"""),"106.3074271")</f>
        <v>106.3074271</v>
      </c>
      <c r="AV603" s="80"/>
      <c r="AW603" s="80"/>
      <c r="AX603" s="80"/>
      <c r="AY603" s="80"/>
      <c r="AZ603" s="80"/>
      <c r="BA603" s="80"/>
      <c r="BB603" s="80"/>
      <c r="BC603" s="80"/>
      <c r="BD603" s="80"/>
      <c r="BE603" s="80"/>
      <c r="BF603" s="80"/>
      <c r="BG603" s="80"/>
      <c r="BH603" s="80"/>
      <c r="BI603" s="80"/>
      <c r="BJ603" s="80"/>
      <c r="BK603" s="80"/>
      <c r="BL603" s="80"/>
      <c r="BM603" s="80"/>
      <c r="BN603" s="80"/>
      <c r="BO603" s="80"/>
      <c r="BP603" s="80"/>
      <c r="BQ603" s="80"/>
      <c r="BR603" s="80"/>
      <c r="BS603" s="80"/>
      <c r="BT603" s="80"/>
      <c r="BU603" s="80"/>
      <c r="BV603" s="80"/>
      <c r="BW603" s="80"/>
      <c r="BX603" s="80" t="str">
        <f>IFERROR(__xludf.DUMMYFUNCTION("""COMPUTED_VALUE"""),"NEWBIE KONTER HP")</f>
        <v>NEWBIE KONTER HP</v>
      </c>
      <c r="BY603" s="80"/>
      <c r="BZ603" s="80"/>
      <c r="CA603" s="80"/>
      <c r="CB603" s="80"/>
      <c r="CC603" s="80"/>
      <c r="CD603" s="80"/>
      <c r="CE603" s="80"/>
      <c r="CF603" s="80"/>
      <c r="CG603" s="80"/>
      <c r="CH603" s="80"/>
      <c r="CI603" s="80"/>
      <c r="CJ603" s="80"/>
      <c r="CK603" s="2"/>
    </row>
    <row r="604" ht="12.75" customHeight="1">
      <c r="A604" s="85">
        <f>IFERROR(__xludf.DUMMYFUNCTION("""COMPUTED_VALUE"""),601.0)</f>
        <v>601</v>
      </c>
      <c r="B604" s="85"/>
      <c r="C604" s="85"/>
      <c r="D604" s="86">
        <f>IFERROR(__xludf.DUMMYFUNCTION("""COMPUTED_VALUE"""),45880.0)</f>
        <v>45880</v>
      </c>
      <c r="E604" s="88"/>
      <c r="F604" s="85"/>
      <c r="G604" s="86"/>
      <c r="H604" s="85"/>
      <c r="I604" s="85"/>
      <c r="J604" s="85"/>
      <c r="K604" s="85"/>
      <c r="L604" s="85"/>
      <c r="M604" s="85" t="str">
        <f>IFERROR(__xludf.DUMMYFUNCTION("""COMPUTED_VALUE"""),"ü")</f>
        <v>ü</v>
      </c>
      <c r="N604" s="85"/>
      <c r="O604" s="85"/>
      <c r="P604" s="85" t="str">
        <f>IFERROR(__xludf.DUMMYFUNCTION("""COMPUTED_VALUE"""),"MUCSPA63219PSIND")</f>
        <v>MUCSPA63219PSIND</v>
      </c>
      <c r="Q604" s="85" t="str">
        <f>IFERROR(__xludf.DUMMYFUNCTION("""COMPUTED_VALUE"""),"MUC ASDARA")</f>
        <v>MUC ASDARA</v>
      </c>
      <c r="R604" s="85" t="str">
        <f>IFERROR(__xludf.DUMMYFUNCTION("""COMPUTED_VALUE"""),"MUC ASDARA")</f>
        <v>MUC ASDARA</v>
      </c>
      <c r="S604" s="85" t="str">
        <f>IFERROR(__xludf.DUMMYFUNCTION("""COMPUTED_VALUE"""),"SRI WIGIARTI")</f>
        <v>SRI WIGIARTI</v>
      </c>
      <c r="T604" s="85" t="str">
        <f>IFERROR(__xludf.DUMMYFUNCTION("""COMPUTED_VALUE"""),"JL. KERKOF KIHAPIT TIMUR NO. 57 RT 1 RW 20")</f>
        <v>JL. KERKOF KIHAPIT TIMUR NO. 57 RT 1 RW 20</v>
      </c>
      <c r="U604" s="85" t="str">
        <f>IFERROR(__xludf.DUMMYFUNCTION("""COMPUTED_VALUE"""),"JL. NANJUNG BLOK B1 NO. 5")</f>
        <v>JL. NANJUNG BLOK B1 NO. 5</v>
      </c>
      <c r="V604" s="85"/>
      <c r="W604" s="85" t="str">
        <f>IFERROR(__xludf.DUMMYFUNCTION("""COMPUTED_VALUE"""),"MARGAASIH")</f>
        <v>MARGAASIH</v>
      </c>
      <c r="X604" s="85" t="str">
        <f>IFERROR(__xludf.DUMMYFUNCTION("""COMPUTED_VALUE"""),"MARGAASIH")</f>
        <v>MARGAASIH</v>
      </c>
      <c r="Y604" s="85" t="str">
        <f>IFERROR(__xludf.DUMMYFUNCTION("""COMPUTED_VALUE"""),"KAB. BANDUNG BARAT")</f>
        <v>KAB. BANDUNG BARAT</v>
      </c>
      <c r="Z604" s="85" t="str">
        <f>IFERROR(__xludf.DUMMYFUNCTION("""COMPUTED_VALUE"""),"JAWA BARAT")</f>
        <v>JAWA BARAT</v>
      </c>
      <c r="AA604" s="85" t="str">
        <f>IFERROR(__xludf.DUMMYFUNCTION("""COMPUTED_VALUE"""),"40217")</f>
        <v>40217</v>
      </c>
      <c r="AB604" s="85" t="str">
        <f>IFERROR(__xludf.DUMMYFUNCTION("""COMPUTED_VALUE"""),"3277016405780020")</f>
        <v>3277016405780020</v>
      </c>
      <c r="AC604" s="85" t="str">
        <f>IFERROR(__xludf.DUMMYFUNCTION("""COMPUTED_VALUE"""),"63.819.444.9-421.000")</f>
        <v>63.819.444.9-421.000</v>
      </c>
      <c r="AD604" s="85" t="str">
        <f>IFERROR(__xludf.DUMMYFUNCTION("""COMPUTED_VALUE"""),"CUM - NOV")</f>
        <v>CUM - NOV</v>
      </c>
      <c r="AE604" s="85" t="str">
        <f>IFERROR(__xludf.DUMMYFUNCTION("""COMPUTED_VALUE"""),"SUB NOVI")</f>
        <v>SUB NOVI</v>
      </c>
      <c r="AF604" s="85" t="str">
        <f>IFERROR(__xludf.DUMMYFUNCTION("""COMPUTED_VALUE"""),"081223148675")</f>
        <v>081223148675</v>
      </c>
      <c r="AG604" s="85"/>
      <c r="AH604" s="85" t="str">
        <f>IFERROR(__xludf.DUMMYFUNCTION("""COMPUTED_VALUE"""),"aguskusnaedi22@gmail.com")</f>
        <v>aguskusnaedi22@gmail.com</v>
      </c>
      <c r="AI604" s="85"/>
      <c r="AJ604" s="85"/>
      <c r="AK604" s="85"/>
      <c r="AL604" s="85"/>
      <c r="AM604" s="85" t="str">
        <f>IFERROR(__xludf.DUMMYFUNCTION("""COMPUTED_VALUE"""),"KANTOR REGIONAL III BANDUNG 40004")</f>
        <v>KANTOR REGIONAL III BANDUNG 40004</v>
      </c>
      <c r="AN604" s="85" t="str">
        <f>IFERROR(__xludf.DUMMYFUNCTION("""COMPUTED_VALUE"""),"KC CIMAHI ")</f>
        <v>KC CIMAHI </v>
      </c>
      <c r="AO604" s="85" t="str">
        <f>IFERROR(__xludf.DUMMYFUNCTION("""COMPUTED_VALUE"""),"1108250095234")</f>
        <v>1108250095234</v>
      </c>
      <c r="AP604" s="85" t="str">
        <f>IFERROR(__xludf.DUMMYFUNCTION("""COMPUTED_VALUE"""),"11082500952340001")</f>
        <v>11082500952340001</v>
      </c>
      <c r="AQ604" s="93"/>
      <c r="AR604" s="85"/>
      <c r="AS604" s="85"/>
      <c r="AT604" s="85" t="str">
        <f>IFERROR(__xludf.DUMMYFUNCTION("""COMPUTED_VALUE"""),"-6.935316")</f>
        <v>-6.935316</v>
      </c>
      <c r="AU604" s="85" t="str">
        <f>IFERROR(__xludf.DUMMYFUNCTION("""COMPUTED_VALUE"""),"107.538931")</f>
        <v>107.538931</v>
      </c>
      <c r="AV604" s="85"/>
      <c r="AW604" s="85"/>
      <c r="AX604" s="85"/>
      <c r="AY604" s="85"/>
      <c r="AZ604" s="85"/>
      <c r="BA604" s="85"/>
      <c r="BB604" s="85"/>
      <c r="BC604" s="85"/>
      <c r="BD604" s="85"/>
      <c r="BE604" s="85"/>
      <c r="BF604" s="85"/>
      <c r="BG604" s="85"/>
      <c r="BH604" s="85"/>
      <c r="BI604" s="85"/>
      <c r="BJ604" s="85"/>
      <c r="BK604" s="85"/>
      <c r="BL604" s="85"/>
      <c r="BM604" s="85"/>
      <c r="BN604" s="85"/>
      <c r="BO604" s="85"/>
      <c r="BP604" s="85"/>
      <c r="BQ604" s="85"/>
      <c r="BR604" s="85"/>
      <c r="BS604" s="85"/>
      <c r="BT604" s="85"/>
      <c r="BU604" s="85"/>
      <c r="BV604" s="85"/>
      <c r="BW604" s="85"/>
      <c r="BX604" s="85" t="str">
        <f>IFERROR(__xludf.DUMMYFUNCTION("""COMPUTED_VALUE"""),"NEWBIE BRILINK")</f>
        <v>NEWBIE BRILINK</v>
      </c>
      <c r="BY604" s="85"/>
      <c r="BZ604" s="85"/>
      <c r="CA604" s="85"/>
      <c r="CB604" s="85"/>
      <c r="CC604" s="85"/>
      <c r="CD604" s="85"/>
      <c r="CE604" s="85"/>
      <c r="CF604" s="85"/>
      <c r="CG604" s="85"/>
      <c r="CH604" s="85"/>
      <c r="CI604" s="85"/>
      <c r="CJ604" s="85"/>
      <c r="CK604" s="2"/>
    </row>
    <row r="605" ht="12.75" customHeight="1">
      <c r="A605" s="80">
        <f>IFERROR(__xludf.DUMMYFUNCTION("""COMPUTED_VALUE"""),602.0)</f>
        <v>602</v>
      </c>
      <c r="B605" s="80"/>
      <c r="C605" s="80"/>
      <c r="D605" s="81">
        <f>IFERROR(__xludf.DUMMYFUNCTION("""COMPUTED_VALUE"""),45880.0)</f>
        <v>45880</v>
      </c>
      <c r="E605" s="82"/>
      <c r="F605" s="80"/>
      <c r="G605" s="81">
        <f>IFERROR(__xludf.DUMMYFUNCTION("""COMPUTED_VALUE"""),45915.0)</f>
        <v>45915</v>
      </c>
      <c r="H605" s="80"/>
      <c r="I605" s="80"/>
      <c r="J605" s="80"/>
      <c r="K605" s="80"/>
      <c r="L605" s="80">
        <f>IFERROR(__xludf.DUMMYFUNCTION("""COMPUTED_VALUE"""),35.0)</f>
        <v>35</v>
      </c>
      <c r="M605" s="80"/>
      <c r="N605" s="80" t="str">
        <f>IFERROR(__xludf.DUMMYFUNCTION("""COMPUTED_VALUE"""),"ü")</f>
        <v>ü</v>
      </c>
      <c r="O605" s="80"/>
      <c r="P605" s="80" t="str">
        <f>IFERROR(__xludf.DUMMYFUNCTION("""COMPUTED_VALUE"""),"MUCSPA63220PSIND")</f>
        <v>MUCSPA63220PSIND</v>
      </c>
      <c r="Q605" s="80" t="str">
        <f>IFERROR(__xludf.DUMMYFUNCTION("""COMPUTED_VALUE"""),"MUC KKMP PANGGUNG JATI ")</f>
        <v>MUC KKMP PANGGUNG JATI </v>
      </c>
      <c r="R605" s="80" t="str">
        <f>IFERROR(__xludf.DUMMYFUNCTION("""COMPUTED_VALUE"""),"MUC KKMP PANGGUNG JATI ")</f>
        <v>MUC KKMP PANGGUNG JATI </v>
      </c>
      <c r="S605" s="80" t="str">
        <f>IFERROR(__xludf.DUMMYFUNCTION("""COMPUTED_VALUE"""),"UDIN")</f>
        <v>UDIN</v>
      </c>
      <c r="T605" s="80" t="str">
        <f>IFERROR(__xludf.DUMMYFUNCTION("""COMPUTED_VALUE"""),"KP. KAMALAKA RT.002 RW.005, PANGGUNGJATI, TAKTAKAN, KOTA SERANG")</f>
        <v>KP. KAMALAKA RT.002 RW.005, PANGGUNGJATI, TAKTAKAN, KOTA SERANG</v>
      </c>
      <c r="U605" s="80" t="str">
        <f>IFERROR(__xludf.DUMMYFUNCTION("""COMPUTED_VALUE"""),"JALAN KI BUYUT DALAM NO.36 B")</f>
        <v>JALAN KI BUYUT DALAM NO.36 B</v>
      </c>
      <c r="V605" s="80"/>
      <c r="W605" s="80" t="str">
        <f>IFERROR(__xludf.DUMMYFUNCTION("""COMPUTED_VALUE"""),"Panggungjati")</f>
        <v>Panggungjati</v>
      </c>
      <c r="X605" s="80" t="str">
        <f>IFERROR(__xludf.DUMMYFUNCTION("""COMPUTED_VALUE"""),"Taktakan")</f>
        <v>Taktakan</v>
      </c>
      <c r="Y605" s="80" t="str">
        <f>IFERROR(__xludf.DUMMYFUNCTION("""COMPUTED_VALUE"""),"Serang")</f>
        <v>Serang</v>
      </c>
      <c r="Z605" s="80" t="str">
        <f>IFERROR(__xludf.DUMMYFUNCTION("""COMPUTED_VALUE"""),"Banten")</f>
        <v>Banten</v>
      </c>
      <c r="AA605" s="80" t="str">
        <f>IFERROR(__xludf.DUMMYFUNCTION("""COMPUTED_VALUE"""),"42162")</f>
        <v>42162</v>
      </c>
      <c r="AB605" s="80" t="str">
        <f>IFERROR(__xludf.DUMMYFUNCTION("""COMPUTED_VALUE"""),"3604042008681006")</f>
        <v>3604042008681006</v>
      </c>
      <c r="AC605" s="80" t="str">
        <f>IFERROR(__xludf.DUMMYFUNCTION("""COMPUTED_VALUE"""),"1000 0000 0354 7600")</f>
        <v>1000 0000 0354 7600</v>
      </c>
      <c r="AD605" s="80" t="str">
        <f>IFERROR(__xludf.DUMMYFUNCTION("""COMPUTED_VALUE"""),"CUM - PS - NONKORGEN")</f>
        <v>CUM - PS - NONKORGEN</v>
      </c>
      <c r="AE605" s="80" t="str">
        <f>IFERROR(__xludf.DUMMYFUNCTION("""COMPUTED_VALUE"""),"BU NELA SERANG")</f>
        <v>BU NELA SERANG</v>
      </c>
      <c r="AF605" s="80" t="str">
        <f>IFERROR(__xludf.DUMMYFUNCTION("""COMPUTED_VALUE"""),"087871849559")</f>
        <v>087871849559</v>
      </c>
      <c r="AG605" s="80"/>
      <c r="AH605" s="80" t="str">
        <f>IFERROR(__xludf.DUMMYFUNCTION("""COMPUTED_VALUE"""),"kkmppanggungjati05@gmail.com")</f>
        <v>kkmppanggungjati05@gmail.com</v>
      </c>
      <c r="AI605" s="80" t="str">
        <f>IFERROR(__xludf.DUMMYFUNCTION("""COMPUTED_VALUE"""),"42149Y1")</f>
        <v>42149Y1</v>
      </c>
      <c r="AJ605" s="80" t="str">
        <f>IFERROR(__xludf.DUMMYFUNCTION("""COMPUTED_VALUE"""),"68c4d07fd1c454c90b00ff5f")</f>
        <v>68c4d07fd1c454c90b00ff5f</v>
      </c>
      <c r="AK605" s="80" t="str">
        <f>IFERROR(__xludf.DUMMYFUNCTION("""COMPUTED_VALUE"""),"dm42149y1")</f>
        <v>dm42149y1</v>
      </c>
      <c r="AL605" s="80" t="str">
        <f>IFERROR(__xludf.DUMMYFUNCTION("""COMPUTED_VALUE"""),"#42149Pos")</f>
        <v>#42149Pos</v>
      </c>
      <c r="AM605" s="80" t="str">
        <f>IFERROR(__xludf.DUMMYFUNCTION("""COMPUTED_VALUE"""),"KANTOR REGIONAL II JAKARTA 10004")</f>
        <v>KANTOR REGIONAL II JAKARTA 10004</v>
      </c>
      <c r="AN605" s="80" t="str">
        <f>IFERROR(__xludf.DUMMYFUNCTION("""COMPUTED_VALUE"""),"KCU SERANG")</f>
        <v>KCU SERANG</v>
      </c>
      <c r="AO605" s="80" t="str">
        <f>IFERROR(__xludf.DUMMYFUNCTION("""COMPUTED_VALUE"""),"0207250074862")</f>
        <v>0207250074862</v>
      </c>
      <c r="AP605" s="80" t="str">
        <f>IFERROR(__xludf.DUMMYFUNCTION("""COMPUTED_VALUE"""),"02072500748620001")</f>
        <v>02072500748620001</v>
      </c>
      <c r="AQ605" s="83"/>
      <c r="AR605" s="80"/>
      <c r="AS605" s="80"/>
      <c r="AT605" s="80" t="str">
        <f>IFERROR(__xludf.DUMMYFUNCTION("""COMPUTED_VALUE"""),"-6.1169257")</f>
        <v>-6.1169257</v>
      </c>
      <c r="AU605" s="80" t="str">
        <f>IFERROR(__xludf.DUMMYFUNCTION("""COMPUTED_VALUE"""),"106.1555943")</f>
        <v>106.1555943</v>
      </c>
      <c r="AV605" s="80"/>
      <c r="AW605" s="80"/>
      <c r="AX605" s="80"/>
      <c r="AY605" s="80"/>
      <c r="AZ605" s="80"/>
      <c r="BA605" s="80"/>
      <c r="BB605" s="80"/>
      <c r="BC605" s="80"/>
      <c r="BD605" s="80"/>
      <c r="BE605" s="80"/>
      <c r="BF605" s="80"/>
      <c r="BG605" s="80"/>
      <c r="BH605" s="80"/>
      <c r="BI605" s="80"/>
      <c r="BJ605" s="80"/>
      <c r="BK605" s="80"/>
      <c r="BL605" s="80"/>
      <c r="BM605" s="80"/>
      <c r="BN605" s="80"/>
      <c r="BO605" s="80"/>
      <c r="BP605" s="80"/>
      <c r="BQ605" s="80"/>
      <c r="BR605" s="80"/>
      <c r="BS605" s="80"/>
      <c r="BT605" s="80"/>
      <c r="BU605" s="80"/>
      <c r="BV605" s="80"/>
      <c r="BW605" s="80"/>
      <c r="BX605" s="80" t="str">
        <f>IFERROR(__xludf.DUMMYFUNCTION("""COMPUTED_VALUE"""),"KKMP")</f>
        <v>KKMP</v>
      </c>
      <c r="BY605" s="80"/>
      <c r="BZ605" s="80"/>
      <c r="CA605" s="80"/>
      <c r="CB605" s="80"/>
      <c r="CC605" s="80"/>
      <c r="CD605" s="80"/>
      <c r="CE605" s="80"/>
      <c r="CF605" s="80"/>
      <c r="CG605" s="80"/>
      <c r="CH605" s="80"/>
      <c r="CI605" s="80"/>
      <c r="CJ605" s="80"/>
      <c r="CK605" s="2"/>
    </row>
    <row r="606" ht="12.75" customHeight="1">
      <c r="A606" s="85">
        <f>IFERROR(__xludf.DUMMYFUNCTION("""COMPUTED_VALUE"""),603.0)</f>
        <v>603</v>
      </c>
      <c r="B606" s="85"/>
      <c r="C606" s="85"/>
      <c r="D606" s="86">
        <f>IFERROR(__xludf.DUMMYFUNCTION("""COMPUTED_VALUE"""),45881.0)</f>
        <v>45881</v>
      </c>
      <c r="E606" s="88"/>
      <c r="F606" s="85"/>
      <c r="G606" s="86">
        <f>IFERROR(__xludf.DUMMYFUNCTION("""COMPUTED_VALUE"""),45895.0)</f>
        <v>45895</v>
      </c>
      <c r="H606" s="85"/>
      <c r="I606" s="85"/>
      <c r="J606" s="85"/>
      <c r="K606" s="85"/>
      <c r="L606" s="85">
        <f>IFERROR(__xludf.DUMMYFUNCTION("""COMPUTED_VALUE"""),14.0)</f>
        <v>14</v>
      </c>
      <c r="M606" s="85" t="str">
        <f>IFERROR(__xludf.DUMMYFUNCTION("""COMPUTED_VALUE"""),"ü")</f>
        <v>ü</v>
      </c>
      <c r="N606" s="85"/>
      <c r="O606" s="85"/>
      <c r="P606" s="85" t="str">
        <f>IFERROR(__xludf.DUMMYFUNCTION("""COMPUTED_VALUE"""),"MUCSPA63221PSIND")</f>
        <v>MUCSPA63221PSIND</v>
      </c>
      <c r="Q606" s="85" t="str">
        <f>IFERROR(__xludf.DUMMYFUNCTION("""COMPUTED_VALUE"""),"MUC SYARIFUDDIN")</f>
        <v>MUC SYARIFUDDIN</v>
      </c>
      <c r="R606" s="85" t="str">
        <f>IFERROR(__xludf.DUMMYFUNCTION("""COMPUTED_VALUE"""),"MUC SYARIFUDDIN")</f>
        <v>MUC SYARIFUDDIN</v>
      </c>
      <c r="S606" s="85" t="str">
        <f>IFERROR(__xludf.DUMMYFUNCTION("""COMPUTED_VALUE"""),"Muhammad Syarifuddin Ritonga")</f>
        <v>Muhammad Syarifuddin Ritonga</v>
      </c>
      <c r="T606" s="85" t="str">
        <f>IFERROR(__xludf.DUMMYFUNCTION("""COMPUTED_VALUE"""),"Lingk. Kampung Sawah II Sigambal")</f>
        <v>Lingk. Kampung Sawah II Sigambal</v>
      </c>
      <c r="U606" s="85" t="str">
        <f>IFERROR(__xludf.DUMMYFUNCTION("""COMPUTED_VALUE"""),"Jl. S. Parman Pekan I Sigambal")</f>
        <v>Jl. S. Parman Pekan I Sigambal</v>
      </c>
      <c r="V606" s="85"/>
      <c r="W606" s="85" t="str">
        <f>IFERROR(__xludf.DUMMYFUNCTION("""COMPUTED_VALUE"""),"N Empat Aek Nabara")</f>
        <v>N Empat Aek Nabara</v>
      </c>
      <c r="X606" s="85" t="str">
        <f>IFERROR(__xludf.DUMMYFUNCTION("""COMPUTED_VALUE"""),"Bilah Hulu")</f>
        <v>Bilah Hulu</v>
      </c>
      <c r="Y606" s="85" t="str">
        <f>IFERROR(__xludf.DUMMYFUNCTION("""COMPUTED_VALUE"""),"Labuhanbatu")</f>
        <v>Labuhanbatu</v>
      </c>
      <c r="Z606" s="85" t="str">
        <f>IFERROR(__xludf.DUMMYFUNCTION("""COMPUTED_VALUE"""),"Sumatera Utara")</f>
        <v>Sumatera Utara</v>
      </c>
      <c r="AA606" s="85" t="str">
        <f>IFERROR(__xludf.DUMMYFUNCTION("""COMPUTED_VALUE"""),"21425")</f>
        <v>21425</v>
      </c>
      <c r="AB606" s="85" t="str">
        <f>IFERROR(__xludf.DUMMYFUNCTION("""COMPUTED_VALUE"""),"1210021811970002")</f>
        <v>1210021811970002</v>
      </c>
      <c r="AC606" s="85" t="str">
        <f>IFERROR(__xludf.DUMMYFUNCTION("""COMPUTED_VALUE"""),"1210 0218 1197 0002")</f>
        <v>1210 0218 1197 0002</v>
      </c>
      <c r="AD606" s="85" t="str">
        <f>IFERROR(__xludf.DUMMYFUNCTION("""COMPUTED_VALUE"""),"CUM - PS - NONKORGEN")</f>
        <v>CUM - PS - NONKORGEN</v>
      </c>
      <c r="AE606" s="85" t="str">
        <f>IFERROR(__xludf.DUMMYFUNCTION("""COMPUTED_VALUE"""),"BU AGUSTIN RANTAUPRAPAT")</f>
        <v>BU AGUSTIN RANTAUPRAPAT</v>
      </c>
      <c r="AF606" s="85" t="str">
        <f>IFERROR(__xludf.DUMMYFUNCTION("""COMPUTED_VALUE"""),"082211284895")</f>
        <v>082211284895</v>
      </c>
      <c r="AG606" s="85"/>
      <c r="AH606" s="85" t="str">
        <f>IFERROR(__xludf.DUMMYFUNCTION("""COMPUTED_VALUE"""),"fuddin1000@gmail.com")</f>
        <v>fuddin1000@gmail.com</v>
      </c>
      <c r="AI606" s="85" t="str">
        <f>IFERROR(__xludf.DUMMYFUNCTION("""COMPUTED_VALUE"""),"21462S1")</f>
        <v>21462S1</v>
      </c>
      <c r="AJ606" s="85" t="str">
        <f>IFERROR(__xludf.DUMMYFUNCTION("""COMPUTED_VALUE"""),"68a8211b1dc017b61909414e")</f>
        <v>68a8211b1dc017b61909414e</v>
      </c>
      <c r="AK606" s="85" t="str">
        <f>IFERROR(__xludf.DUMMYFUNCTION("""COMPUTED_VALUE"""),"dm21462s1")</f>
        <v>dm21462s1</v>
      </c>
      <c r="AL606" s="85" t="str">
        <f>IFERROR(__xludf.DUMMYFUNCTION("""COMPUTED_VALUE"""),"#21462Pos")</f>
        <v>#21462Pos</v>
      </c>
      <c r="AM606" s="85" t="str">
        <f>IFERROR(__xludf.DUMMYFUNCTION("""COMPUTED_VALUE"""),"KANTOR REGIONAL I MEDAN 20004")</f>
        <v>KANTOR REGIONAL I MEDAN 20004</v>
      </c>
      <c r="AN606" s="85" t="str">
        <f>IFERROR(__xludf.DUMMYFUNCTION("""COMPUTED_VALUE"""),"KC RANTAUPRAPAT")</f>
        <v>KC RANTAUPRAPAT</v>
      </c>
      <c r="AO606" s="85" t="str">
        <f>IFERROR(__xludf.DUMMYFUNCTION("""COMPUTED_VALUE"""),"0808250101542")</f>
        <v>0808250101542</v>
      </c>
      <c r="AP606" s="85" t="str">
        <f>IFERROR(__xludf.DUMMYFUNCTION("""COMPUTED_VALUE"""),"08082501015420001")</f>
        <v>08082501015420001</v>
      </c>
      <c r="AQ606" s="93"/>
      <c r="AR606" s="85"/>
      <c r="AS606" s="85"/>
      <c r="AT606" s="85" t="str">
        <f>IFERROR(__xludf.DUMMYFUNCTION("""COMPUTED_VALUE"""),"2.041859")</f>
        <v>2.041859</v>
      </c>
      <c r="AU606" s="85" t="str">
        <f>IFERROR(__xludf.DUMMYFUNCTION("""COMPUTED_VALUE"""),"99.876896")</f>
        <v>99.876896</v>
      </c>
      <c r="AV606" s="85"/>
      <c r="AW606" s="85"/>
      <c r="AX606" s="85"/>
      <c r="AY606" s="85"/>
      <c r="AZ606" s="85"/>
      <c r="BA606" s="85"/>
      <c r="BB606" s="85"/>
      <c r="BC606" s="85"/>
      <c r="BD606" s="85"/>
      <c r="BE606" s="85"/>
      <c r="BF606" s="85"/>
      <c r="BG606" s="85"/>
      <c r="BH606" s="85"/>
      <c r="BI606" s="85"/>
      <c r="BJ606" s="85"/>
      <c r="BK606" s="85"/>
      <c r="BL606" s="85"/>
      <c r="BM606" s="85"/>
      <c r="BN606" s="85"/>
      <c r="BO606" s="85"/>
      <c r="BP606" s="85"/>
      <c r="BQ606" s="85"/>
      <c r="BR606" s="85"/>
      <c r="BS606" s="85"/>
      <c r="BT606" s="85"/>
      <c r="BU606" s="85"/>
      <c r="BV606" s="85"/>
      <c r="BW606" s="85"/>
      <c r="BX606" s="85" t="str">
        <f>IFERROR(__xludf.DUMMYFUNCTION("""COMPUTED_VALUE"""),"NEWBIE FOTOCOPY")</f>
        <v>NEWBIE FOTOCOPY</v>
      </c>
      <c r="BY606" s="85"/>
      <c r="BZ606" s="85"/>
      <c r="CA606" s="85"/>
      <c r="CB606" s="85"/>
      <c r="CC606" s="85"/>
      <c r="CD606" s="85"/>
      <c r="CE606" s="85"/>
      <c r="CF606" s="85"/>
      <c r="CG606" s="85"/>
      <c r="CH606" s="85"/>
      <c r="CI606" s="85"/>
      <c r="CJ606" s="85"/>
      <c r="CK606" s="2"/>
    </row>
    <row r="607" ht="12.75" customHeight="1">
      <c r="A607" s="80">
        <f>IFERROR(__xludf.DUMMYFUNCTION("""COMPUTED_VALUE"""),604.0)</f>
        <v>604</v>
      </c>
      <c r="B607" s="80"/>
      <c r="C607" s="80"/>
      <c r="D607" s="81">
        <f>IFERROR(__xludf.DUMMYFUNCTION("""COMPUTED_VALUE"""),45881.0)</f>
        <v>45881</v>
      </c>
      <c r="E607" s="82"/>
      <c r="F607" s="80"/>
      <c r="G607" s="81">
        <f>IFERROR(__xludf.DUMMYFUNCTION("""COMPUTED_VALUE"""),45902.0)</f>
        <v>45902</v>
      </c>
      <c r="H607" s="80"/>
      <c r="I607" s="80"/>
      <c r="J607" s="80"/>
      <c r="K607" s="80"/>
      <c r="L607" s="80">
        <f>IFERROR(__xludf.DUMMYFUNCTION("""COMPUTED_VALUE"""),21.0)</f>
        <v>21</v>
      </c>
      <c r="M607" s="80" t="str">
        <f>IFERROR(__xludf.DUMMYFUNCTION("""COMPUTED_VALUE"""),"ü")</f>
        <v>ü</v>
      </c>
      <c r="N607" s="80"/>
      <c r="O607" s="80"/>
      <c r="P607" s="80" t="str">
        <f>IFERROR(__xludf.DUMMYFUNCTION("""COMPUTED_VALUE"""),"MUCSPA63222PSIND")</f>
        <v>MUCSPA63222PSIND</v>
      </c>
      <c r="Q607" s="80" t="str">
        <f>IFERROR(__xludf.DUMMYFUNCTION("""COMPUTED_VALUE"""),"MUC Lanashop Emilia")</f>
        <v>MUC Lanashop Emilia</v>
      </c>
      <c r="R607" s="80" t="str">
        <f>IFERROR(__xludf.DUMMYFUNCTION("""COMPUTED_VALUE"""),"MUC Lanashop Emilia")</f>
        <v>MUC Lanashop Emilia</v>
      </c>
      <c r="S607" s="80" t="str">
        <f>IFERROR(__xludf.DUMMYFUNCTION("""COMPUTED_VALUE"""),"Jaelani")</f>
        <v>Jaelani</v>
      </c>
      <c r="T607" s="80" t="str">
        <f>IFERROR(__xludf.DUMMYFUNCTION("""COMPUTED_VALUE"""),"Jl Ciherang timur blok ii no 27 desa simpangan kecamatan Cikarang Utara Bekasi")</f>
        <v>Jl Ciherang timur blok ii no 27 desa simpangan kecamatan Cikarang Utara Bekasi</v>
      </c>
      <c r="U607" s="80" t="str">
        <f>IFERROR(__xludf.DUMMYFUNCTION("""COMPUTED_VALUE"""),"Jl Ciherang Timur Blok II No 27")</f>
        <v>Jl Ciherang Timur Blok II No 27</v>
      </c>
      <c r="V607" s="80"/>
      <c r="W607" s="80" t="str">
        <f>IFERROR(__xludf.DUMMYFUNCTION("""COMPUTED_VALUE"""),"Simpangan")</f>
        <v>Simpangan</v>
      </c>
      <c r="X607" s="80" t="str">
        <f>IFERROR(__xludf.DUMMYFUNCTION("""COMPUTED_VALUE"""),"Cikarang Utara")</f>
        <v>Cikarang Utara</v>
      </c>
      <c r="Y607" s="80" t="str">
        <f>IFERROR(__xludf.DUMMYFUNCTION("""COMPUTED_VALUE"""),"Kab. Bekasi")</f>
        <v>Kab. Bekasi</v>
      </c>
      <c r="Z607" s="80" t="str">
        <f>IFERROR(__xludf.DUMMYFUNCTION("""COMPUTED_VALUE"""),"Jawa Barat")</f>
        <v>Jawa Barat</v>
      </c>
      <c r="AA607" s="80" t="str">
        <f>IFERROR(__xludf.DUMMYFUNCTION("""COMPUTED_VALUE"""),"17538")</f>
        <v>17538</v>
      </c>
      <c r="AB607" s="80" t="str">
        <f>IFERROR(__xludf.DUMMYFUNCTION("""COMPUTED_VALUE"""),"3216091003690014")</f>
        <v>3216091003690014</v>
      </c>
      <c r="AC607" s="80" t="str">
        <f>IFERROR(__xludf.DUMMYFUNCTION("""COMPUTED_VALUE"""),"77.697.872.9-414.000")</f>
        <v>77.697.872.9-414.000</v>
      </c>
      <c r="AD607" s="80" t="str">
        <f>IFERROR(__xludf.DUMMYFUNCTION("""COMPUTED_VALUE"""),"CUM - PS - JMN")</f>
        <v>CUM - PS - JMN</v>
      </c>
      <c r="AE607" s="80" t="str">
        <f>IFERROR(__xludf.DUMMYFUNCTION("""COMPUTED_VALUE"""),"SUB JAMJAM POS")</f>
        <v>SUB JAMJAM POS</v>
      </c>
      <c r="AF607" s="80" t="str">
        <f>IFERROR(__xludf.DUMMYFUNCTION("""COMPUTED_VALUE"""),"0811815909")</f>
        <v>0811815909</v>
      </c>
      <c r="AG607" s="80"/>
      <c r="AH607" s="80" t="str">
        <f>IFERROR(__xludf.DUMMYFUNCTION("""COMPUTED_VALUE"""),"lanashop27.cikarang@gmail.com")</f>
        <v>lanashop27.cikarang@gmail.com</v>
      </c>
      <c r="AI607" s="80" t="str">
        <f>IFERROR(__xludf.DUMMYFUNCTION("""COMPUTED_VALUE"""),"17836S4")</f>
        <v>17836S4</v>
      </c>
      <c r="AJ607" s="80" t="str">
        <f>IFERROR(__xludf.DUMMYFUNCTION("""COMPUTED_VALUE"""),"68afee3a1d60a95ff00425d0")</f>
        <v>68afee3a1d60a95ff00425d0</v>
      </c>
      <c r="AK607" s="80" t="str">
        <f>IFERROR(__xludf.DUMMYFUNCTION("""COMPUTED_VALUE"""),"dm17836s4")</f>
        <v>dm17836s4</v>
      </c>
      <c r="AL607" s="80" t="str">
        <f>IFERROR(__xludf.DUMMYFUNCTION("""COMPUTED_VALUE"""),"#17836Pos")</f>
        <v>#17836Pos</v>
      </c>
      <c r="AM607" s="80" t="str">
        <f>IFERROR(__xludf.DUMMYFUNCTION("""COMPUTED_VALUE"""),"KANTOR REGIONAL II JAKARTA 10004")</f>
        <v>KANTOR REGIONAL II JAKARTA 10004</v>
      </c>
      <c r="AN607" s="80" t="str">
        <f>IFERROR(__xludf.DUMMYFUNCTION("""COMPUTED_VALUE"""),"KC CIKARANG 17500")</f>
        <v>KC CIKARANG 17500</v>
      </c>
      <c r="AO607" s="80" t="str">
        <f>IFERROR(__xludf.DUMMYFUNCTION("""COMPUTED_VALUE"""),"1280000460288")</f>
        <v>1280000460288</v>
      </c>
      <c r="AP607" s="80" t="str">
        <f>IFERROR(__xludf.DUMMYFUNCTION("""COMPUTED_VALUE"""),"12800004602880001")</f>
        <v>12800004602880001</v>
      </c>
      <c r="AQ607" s="83"/>
      <c r="AR607" s="80"/>
      <c r="AS607" s="80"/>
      <c r="AT607" s="80" t="str">
        <f>IFERROR(__xludf.DUMMYFUNCTION("""COMPUTED_VALUE"""),"-6.2765011")</f>
        <v>-6.2765011</v>
      </c>
      <c r="AU607" s="80" t="str">
        <f>IFERROR(__xludf.DUMMYFUNCTION("""COMPUTED_VALUE"""),"107.1826229")</f>
        <v>107.1826229</v>
      </c>
      <c r="AV607" s="80"/>
      <c r="AW607" s="80"/>
      <c r="AX607" s="80"/>
      <c r="AY607" s="80"/>
      <c r="AZ607" s="80"/>
      <c r="BA607" s="80"/>
      <c r="BB607" s="80"/>
      <c r="BC607" s="80"/>
      <c r="BD607" s="80"/>
      <c r="BE607" s="80"/>
      <c r="BF607" s="80"/>
      <c r="BG607" s="80"/>
      <c r="BH607" s="80"/>
      <c r="BI607" s="80"/>
      <c r="BJ607" s="80"/>
      <c r="BK607" s="80"/>
      <c r="BL607" s="80"/>
      <c r="BM607" s="80"/>
      <c r="BN607" s="80"/>
      <c r="BO607" s="80"/>
      <c r="BP607" s="80"/>
      <c r="BQ607" s="80"/>
      <c r="BR607" s="80"/>
      <c r="BS607" s="80"/>
      <c r="BT607" s="80"/>
      <c r="BU607" s="80"/>
      <c r="BV607" s="80"/>
      <c r="BW607" s="80"/>
      <c r="BX607" s="80" t="str">
        <f>IFERROR(__xludf.DUMMYFUNCTION("""COMPUTED_VALUE"""),"NEWBIE OLSHOP")</f>
        <v>NEWBIE OLSHOP</v>
      </c>
      <c r="BY607" s="80"/>
      <c r="BZ607" s="80"/>
      <c r="CA607" s="80"/>
      <c r="CB607" s="80"/>
      <c r="CC607" s="80"/>
      <c r="CD607" s="80"/>
      <c r="CE607" s="80"/>
      <c r="CF607" s="80"/>
      <c r="CG607" s="80"/>
      <c r="CH607" s="80"/>
      <c r="CI607" s="80"/>
      <c r="CJ607" s="80"/>
      <c r="CK607" s="2"/>
    </row>
    <row r="608" ht="12.75" customHeight="1">
      <c r="A608" s="85">
        <f>IFERROR(__xludf.DUMMYFUNCTION("""COMPUTED_VALUE"""),605.0)</f>
        <v>605</v>
      </c>
      <c r="B608" s="85"/>
      <c r="C608" s="85"/>
      <c r="D608" s="86">
        <f>IFERROR(__xludf.DUMMYFUNCTION("""COMPUTED_VALUE"""),45881.0)</f>
        <v>45881</v>
      </c>
      <c r="E608" s="88"/>
      <c r="F608" s="85"/>
      <c r="G608" s="86"/>
      <c r="H608" s="85"/>
      <c r="I608" s="85"/>
      <c r="J608" s="85"/>
      <c r="K608" s="85"/>
      <c r="L608" s="85"/>
      <c r="M608" s="85" t="str">
        <f>IFERROR(__xludf.DUMMYFUNCTION("""COMPUTED_VALUE"""),"ü")</f>
        <v>ü</v>
      </c>
      <c r="N608" s="85"/>
      <c r="O608" s="85"/>
      <c r="P608" s="85" t="str">
        <f>IFERROR(__xludf.DUMMYFUNCTION("""COMPUTED_VALUE"""),"53BSPA09634JBEEN")</f>
        <v>53BSPA09634JBEEN</v>
      </c>
      <c r="Q608" s="85" t="str">
        <f>IFERROR(__xludf.DUMMYFUNCTION("""COMPUTED_VALUE"""),"MUC EMAS Express")</f>
        <v>MUC EMAS Express</v>
      </c>
      <c r="R608" s="85" t="str">
        <f>IFERROR(__xludf.DUMMYFUNCTION("""COMPUTED_VALUE"""),"MUC EMAS Express")</f>
        <v>MUC EMAS Express</v>
      </c>
      <c r="S608" s="85" t="str">
        <f>IFERROR(__xludf.DUMMYFUNCTION("""COMPUTED_VALUE"""),"Hanny Kawanda")</f>
        <v>Hanny Kawanda</v>
      </c>
      <c r="T608" s="85" t="str">
        <f>IFERROR(__xludf.DUMMYFUNCTION("""COMPUTED_VALUE"""),"JL. BOULEVARD TIMUR RAYA BLOK NE 1/40 RT.008 RW.012 PEGANGSAAN DUA, KELAPA GADING, JAKARTA UTARA")</f>
        <v>JL. BOULEVARD TIMUR RAYA BLOK NE 1/40 RT.008 RW.012 PEGANGSAAN DUA, KELAPA GADING, JAKARTA UTARA</v>
      </c>
      <c r="U608" s="85" t="str">
        <f>IFERROR(__xludf.DUMMYFUNCTION("""COMPUTED_VALUE"""),"Jl. Ubi No. 61, RT 2/RW 1")</f>
        <v>Jl. Ubi No. 61, RT 2/RW 1</v>
      </c>
      <c r="V608" s="85"/>
      <c r="W608" s="85" t="str">
        <f>IFERROR(__xludf.DUMMYFUNCTION("""COMPUTED_VALUE"""),"Mangga Besar")</f>
        <v>Mangga Besar</v>
      </c>
      <c r="X608" s="85" t="str">
        <f>IFERROR(__xludf.DUMMYFUNCTION("""COMPUTED_VALUE"""),"Taman Sari")</f>
        <v>Taman Sari</v>
      </c>
      <c r="Y608" s="85" t="str">
        <f>IFERROR(__xludf.DUMMYFUNCTION("""COMPUTED_VALUE"""),"Kota Jakarta Barat")</f>
        <v>Kota Jakarta Barat</v>
      </c>
      <c r="Z608" s="85" t="str">
        <f>IFERROR(__xludf.DUMMYFUNCTION("""COMPUTED_VALUE"""),"DKI Jakarta")</f>
        <v>DKI Jakarta</v>
      </c>
      <c r="AA608" s="85" t="str">
        <f>IFERROR(__xludf.DUMMYFUNCTION("""COMPUTED_VALUE"""),"11110")</f>
        <v>11110</v>
      </c>
      <c r="AB608" s="85" t="str">
        <f>IFERROR(__xludf.DUMMYFUNCTION("""COMPUTED_VALUE"""),"3173034302850001")</f>
        <v>3173034302850001</v>
      </c>
      <c r="AC608" s="85" t="str">
        <f>IFERROR(__xludf.DUMMYFUNCTION("""COMPUTED_VALUE"""),"09.584.384.3-043.000")</f>
        <v>09.584.384.3-043.000</v>
      </c>
      <c r="AD608" s="85" t="str">
        <f>IFERROR(__xludf.DUMMYFUNCTION("""COMPUTED_VALUE"""),"CUM - EEN")</f>
        <v>CUM - EEN</v>
      </c>
      <c r="AE608" s="85" t="str">
        <f>IFERROR(__xludf.DUMMYFUNCTION("""COMPUTED_VALUE"""),"SUB EEN")</f>
        <v>SUB EEN</v>
      </c>
      <c r="AF608" s="85" t="str">
        <f>IFERROR(__xludf.DUMMYFUNCTION("""COMPUTED_VALUE"""),"082249740733")</f>
        <v>082249740733</v>
      </c>
      <c r="AG608" s="85"/>
      <c r="AH608" s="85" t="str">
        <f>IFERROR(__xludf.DUMMYFUNCTION("""COMPUTED_VALUE"""),"express.emas@gmail.com")</f>
        <v>express.emas@gmail.com</v>
      </c>
      <c r="AI608" s="85"/>
      <c r="AJ608" s="85"/>
      <c r="AK608" s="85"/>
      <c r="AL608" s="85"/>
      <c r="AM608" s="85" t="str">
        <f>IFERROR(__xludf.DUMMYFUNCTION("""COMPUTED_VALUE"""),"KANTOR REGIONAL II JAKARTA 10004")</f>
        <v>KANTOR REGIONAL II JAKARTA 10004</v>
      </c>
      <c r="AN608" s="85" t="str">
        <f>IFERROR(__xludf.DUMMYFUNCTION("""COMPUTED_VALUE"""),"KCU JAKARTAOCEANIA 11000")</f>
        <v>KCU JAKARTAOCEANIA 11000</v>
      </c>
      <c r="AO608" s="85" t="str">
        <f>IFERROR(__xludf.DUMMYFUNCTION("""COMPUTED_VALUE"""),"1208250109196")</f>
        <v>1208250109196</v>
      </c>
      <c r="AP608" s="85" t="str">
        <f>IFERROR(__xludf.DUMMYFUNCTION("""COMPUTED_VALUE"""),"12082501091960001")</f>
        <v>12082501091960001</v>
      </c>
      <c r="AQ608" s="93"/>
      <c r="AR608" s="85"/>
      <c r="AS608" s="85"/>
      <c r="AT608" s="85" t="str">
        <f>IFERROR(__xludf.DUMMYFUNCTION("""COMPUTED_VALUE"""),"-6.140635")</f>
        <v>-6.140635</v>
      </c>
      <c r="AU608" s="85" t="str">
        <f>IFERROR(__xludf.DUMMYFUNCTION("""COMPUTED_VALUE"""),"106.818906")</f>
        <v>106.818906</v>
      </c>
      <c r="AV608" s="85"/>
      <c r="AW608" s="85"/>
      <c r="AX608" s="85"/>
      <c r="AY608" s="85"/>
      <c r="AZ608" s="85"/>
      <c r="BA608" s="85"/>
      <c r="BB608" s="85"/>
      <c r="BC608" s="85"/>
      <c r="BD608" s="85"/>
      <c r="BE608" s="85"/>
      <c r="BF608" s="85"/>
      <c r="BG608" s="85"/>
      <c r="BH608" s="85"/>
      <c r="BI608" s="85"/>
      <c r="BJ608" s="85"/>
      <c r="BK608" s="85"/>
      <c r="BL608" s="85"/>
      <c r="BM608" s="85"/>
      <c r="BN608" s="85"/>
      <c r="BO608" s="85"/>
      <c r="BP608" s="85"/>
      <c r="BQ608" s="85"/>
      <c r="BR608" s="85"/>
      <c r="BS608" s="85"/>
      <c r="BT608" s="85"/>
      <c r="BU608" s="85"/>
      <c r="BV608" s="85"/>
      <c r="BW608" s="85"/>
      <c r="BX608" s="85" t="str">
        <f>IFERROR(__xludf.DUMMYFUNCTION("""COMPUTED_VALUE"""),"NEWBIE")</f>
        <v>NEWBIE</v>
      </c>
      <c r="BY608" s="85"/>
      <c r="BZ608" s="85"/>
      <c r="CA608" s="85"/>
      <c r="CB608" s="85"/>
      <c r="CC608" s="85"/>
      <c r="CD608" s="85"/>
      <c r="CE608" s="85"/>
      <c r="CF608" s="85"/>
      <c r="CG608" s="85"/>
      <c r="CH608" s="85"/>
      <c r="CI608" s="85"/>
      <c r="CJ608" s="85"/>
      <c r="CK608" s="2"/>
    </row>
    <row r="609" ht="12.75" customHeight="1">
      <c r="A609" s="80">
        <f>IFERROR(__xludf.DUMMYFUNCTION("""COMPUTED_VALUE"""),606.0)</f>
        <v>606</v>
      </c>
      <c r="B609" s="80"/>
      <c r="C609" s="80"/>
      <c r="D609" s="81">
        <f>IFERROR(__xludf.DUMMYFUNCTION("""COMPUTED_VALUE"""),45882.0)</f>
        <v>45882</v>
      </c>
      <c r="E609" s="82"/>
      <c r="F609" s="80"/>
      <c r="G609" s="81">
        <f>IFERROR(__xludf.DUMMYFUNCTION("""COMPUTED_VALUE"""),45910.0)</f>
        <v>45910</v>
      </c>
      <c r="H609" s="80"/>
      <c r="I609" s="80"/>
      <c r="J609" s="80"/>
      <c r="K609" s="80"/>
      <c r="L609" s="80">
        <f>IFERROR(__xludf.DUMMYFUNCTION("""COMPUTED_VALUE"""),28.0)</f>
        <v>28</v>
      </c>
      <c r="M609" s="80"/>
      <c r="N609" s="80" t="str">
        <f>IFERROR(__xludf.DUMMYFUNCTION("""COMPUTED_VALUE"""),"ü")</f>
        <v>ü</v>
      </c>
      <c r="O609" s="80"/>
      <c r="P609" s="80" t="str">
        <f>IFERROR(__xludf.DUMMYFUNCTION("""COMPUTED_VALUE"""),"MUCSPA63223PSIND")</f>
        <v>MUCSPA63223PSIND</v>
      </c>
      <c r="Q609" s="80" t="str">
        <f>IFERROR(__xludf.DUMMYFUNCTION("""COMPUTED_VALUE"""),"MUC KDMP CIRANJENG CINGAMBUL")</f>
        <v>MUC KDMP CIRANJENG CINGAMBUL</v>
      </c>
      <c r="R609" s="80" t="str">
        <f>IFERROR(__xludf.DUMMYFUNCTION("""COMPUTED_VALUE"""),"MUC KDMP CIRANJENG CINGAMBUL")</f>
        <v>MUC KDMP CIRANJENG CINGAMBUL</v>
      </c>
      <c r="S609" s="80" t="str">
        <f>IFERROR(__xludf.DUMMYFUNCTION("""COMPUTED_VALUE"""),"YANDI YULIANA")</f>
        <v>YANDI YULIANA</v>
      </c>
      <c r="T609" s="80" t="str">
        <f>IFERROR(__xludf.DUMMYFUNCTION("""COMPUTED_VALUE"""),"Blok Sindangkasih, RT 004/RW 001, Desa Ciranjeng, Kecamatan Cingambul, Kabupaten Majalengka")</f>
        <v>Blok Sindangkasih, RT 004/RW 001, Desa Ciranjeng, Kecamatan Cingambul, Kabupaten Majalengka</v>
      </c>
      <c r="U609" s="80" t="str">
        <f>IFERROR(__xludf.DUMMYFUNCTION("""COMPUTED_VALUE"""),"Jl. Raya Cikijing-Ciamis, RT 001/RW 001")</f>
        <v>Jl. Raya Cikijing-Ciamis, RT 001/RW 001</v>
      </c>
      <c r="V609" s="80"/>
      <c r="W609" s="80" t="str">
        <f>IFERROR(__xludf.DUMMYFUNCTION("""COMPUTED_VALUE"""),"Ciranjeng")</f>
        <v>Ciranjeng</v>
      </c>
      <c r="X609" s="80" t="str">
        <f>IFERROR(__xludf.DUMMYFUNCTION("""COMPUTED_VALUE"""),"Cingambul")</f>
        <v>Cingambul</v>
      </c>
      <c r="Y609" s="80" t="str">
        <f>IFERROR(__xludf.DUMMYFUNCTION("""COMPUTED_VALUE"""),"Majalengka")</f>
        <v>Majalengka</v>
      </c>
      <c r="Z609" s="80" t="str">
        <f>IFERROR(__xludf.DUMMYFUNCTION("""COMPUTED_VALUE"""),"Jawa Barat")</f>
        <v>Jawa Barat</v>
      </c>
      <c r="AA609" s="80" t="str">
        <f>IFERROR(__xludf.DUMMYFUNCTION("""COMPUTED_VALUE"""),"45467")</f>
        <v>45467</v>
      </c>
      <c r="AB609" s="80" t="str">
        <f>IFERROR(__xludf.DUMMYFUNCTION("""COMPUTED_VALUE"""),"3210231407690021")</f>
        <v>3210231407690021</v>
      </c>
      <c r="AC609" s="80" t="str">
        <f>IFERROR(__xludf.DUMMYFUNCTION("""COMPUTED_VALUE"""),"1000 0000 0415 2267")</f>
        <v>1000 0000 0415 2267</v>
      </c>
      <c r="AD609" s="80" t="str">
        <f>IFERROR(__xludf.DUMMYFUNCTION("""COMPUTED_VALUE"""),"CUM - PS - NONKORGEN")</f>
        <v>CUM - PS - NONKORGEN</v>
      </c>
      <c r="AE609" s="80" t="str">
        <f>IFERROR(__xludf.DUMMYFUNCTION("""COMPUTED_VALUE"""),"PAK MIFTAH KC MAJALENGKA")</f>
        <v>PAK MIFTAH KC MAJALENGKA</v>
      </c>
      <c r="AF609" s="80" t="str">
        <f>IFERROR(__xludf.DUMMYFUNCTION("""COMPUTED_VALUE"""),"082316888572")</f>
        <v>082316888572</v>
      </c>
      <c r="AG609" s="80"/>
      <c r="AH609" s="80" t="str">
        <f>IFERROR(__xludf.DUMMYFUNCTION("""COMPUTED_VALUE"""),"koperasimerahputihciranjeng@gmail.com")</f>
        <v>koperasimerahputihciranjeng@gmail.com</v>
      </c>
      <c r="AI609" s="80" t="str">
        <f>IFERROR(__xludf.DUMMYFUNCTION("""COMPUTED_VALUE"""),"45467Y1")</f>
        <v>45467Y1</v>
      </c>
      <c r="AJ609" s="80" t="str">
        <f>IFERROR(__xludf.DUMMYFUNCTION("""COMPUTED_VALUE"""),"68bfea0bca4d3c58a5059589")</f>
        <v>68bfea0bca4d3c58a5059589</v>
      </c>
      <c r="AK609" s="80" t="str">
        <f>IFERROR(__xludf.DUMMYFUNCTION("""COMPUTED_VALUE"""),"dm45467y1")</f>
        <v>dm45467y1</v>
      </c>
      <c r="AL609" s="80" t="str">
        <f>IFERROR(__xludf.DUMMYFUNCTION("""COMPUTED_VALUE"""),"#45467Pos")</f>
        <v>#45467Pos</v>
      </c>
      <c r="AM609" s="80" t="str">
        <f>IFERROR(__xludf.DUMMYFUNCTION("""COMPUTED_VALUE"""),"KANTOR REGIONAL II JAKARTA 10004")</f>
        <v>KANTOR REGIONAL II JAKARTA 10004</v>
      </c>
      <c r="AN609" s="80" t="str">
        <f>IFERROR(__xludf.DUMMYFUNCTION("""COMPUTED_VALUE"""),"KC MAJALENGKA")</f>
        <v>KC MAJALENGKA</v>
      </c>
      <c r="AO609" s="80" t="str">
        <f>IFERROR(__xludf.DUMMYFUNCTION("""COMPUTED_VALUE"""),"0408250070159")</f>
        <v>0408250070159</v>
      </c>
      <c r="AP609" s="80" t="str">
        <f>IFERROR(__xludf.DUMMYFUNCTION("""COMPUTED_VALUE"""),"04082500701590001")</f>
        <v>04082500701590001</v>
      </c>
      <c r="AQ609" s="83"/>
      <c r="AR609" s="80"/>
      <c r="AS609" s="80"/>
      <c r="AT609" s="80" t="str">
        <f>IFERROR(__xludf.DUMMYFUNCTION("""COMPUTED_VALUE"""),"-7.040778")</f>
        <v>-7.040778</v>
      </c>
      <c r="AU609" s="80" t="str">
        <f>IFERROR(__xludf.DUMMYFUNCTION("""COMPUTED_VALUE"""),"108.355035")</f>
        <v>108.355035</v>
      </c>
      <c r="AV609" s="80"/>
      <c r="AW609" s="80"/>
      <c r="AX609" s="80"/>
      <c r="AY609" s="80"/>
      <c r="AZ609" s="80"/>
      <c r="BA609" s="80"/>
      <c r="BB609" s="80"/>
      <c r="BC609" s="80"/>
      <c r="BD609" s="80"/>
      <c r="BE609" s="80"/>
      <c r="BF609" s="80"/>
      <c r="BG609" s="80"/>
      <c r="BH609" s="80"/>
      <c r="BI609" s="80"/>
      <c r="BJ609" s="80"/>
      <c r="BK609" s="80"/>
      <c r="BL609" s="80"/>
      <c r="BM609" s="80"/>
      <c r="BN609" s="80"/>
      <c r="BO609" s="80"/>
      <c r="BP609" s="80"/>
      <c r="BQ609" s="80"/>
      <c r="BR609" s="80"/>
      <c r="BS609" s="80"/>
      <c r="BT609" s="80"/>
      <c r="BU609" s="80"/>
      <c r="BV609" s="80"/>
      <c r="BW609" s="80"/>
      <c r="BX609" s="80" t="str">
        <f>IFERROR(__xludf.DUMMYFUNCTION("""COMPUTED_VALUE"""),"KDMP")</f>
        <v>KDMP</v>
      </c>
      <c r="BY609" s="80"/>
      <c r="BZ609" s="80"/>
      <c r="CA609" s="80"/>
      <c r="CB609" s="80"/>
      <c r="CC609" s="80"/>
      <c r="CD609" s="80"/>
      <c r="CE609" s="80"/>
      <c r="CF609" s="80"/>
      <c r="CG609" s="80"/>
      <c r="CH609" s="80"/>
      <c r="CI609" s="80"/>
      <c r="CJ609" s="80"/>
      <c r="CK609" s="2"/>
    </row>
    <row r="610" ht="12.75" customHeight="1">
      <c r="A610" s="85">
        <f>IFERROR(__xludf.DUMMYFUNCTION("""COMPUTED_VALUE"""),607.0)</f>
        <v>607</v>
      </c>
      <c r="B610" s="85"/>
      <c r="C610" s="85"/>
      <c r="D610" s="86">
        <f>IFERROR(__xludf.DUMMYFUNCTION("""COMPUTED_VALUE"""),45882.0)</f>
        <v>45882</v>
      </c>
      <c r="E610" s="88"/>
      <c r="F610" s="85"/>
      <c r="G610" s="86">
        <f>IFERROR(__xludf.DUMMYFUNCTION("""COMPUTED_VALUE"""),45895.0)</f>
        <v>45895</v>
      </c>
      <c r="H610" s="85"/>
      <c r="I610" s="85"/>
      <c r="J610" s="85"/>
      <c r="K610" s="85"/>
      <c r="L610" s="85">
        <f>IFERROR(__xludf.DUMMYFUNCTION("""COMPUTED_VALUE"""),13.0)</f>
        <v>13</v>
      </c>
      <c r="M610" s="85" t="str">
        <f>IFERROR(__xludf.DUMMYFUNCTION("""COMPUTED_VALUE"""),"ü")</f>
        <v>ü</v>
      </c>
      <c r="N610" s="85"/>
      <c r="O610" s="85"/>
      <c r="P610" s="85" t="str">
        <f>IFERROR(__xludf.DUMMYFUNCTION("""COMPUTED_VALUE"""),"53BSPA09602JBEEN")</f>
        <v>53BSPA09602JBEEN</v>
      </c>
      <c r="Q610" s="85" t="str">
        <f>IFERROR(__xludf.DUMMYFUNCTION("""COMPUTED_VALUE"""),"MUC POST Indonesia Maju")</f>
        <v>MUC POST Indonesia Maju</v>
      </c>
      <c r="R610" s="85" t="str">
        <f>IFERROR(__xludf.DUMMYFUNCTION("""COMPUTED_VALUE"""),"MUC POST Indonesia Maju")</f>
        <v>MUC POST Indonesia Maju</v>
      </c>
      <c r="S610" s="85" t="str">
        <f>IFERROR(__xludf.DUMMYFUNCTION("""COMPUTED_VALUE"""),"Muhammad Anjas")</f>
        <v>Muhammad Anjas</v>
      </c>
      <c r="T610" s="85" t="str">
        <f>IFERROR(__xludf.DUMMYFUNCTION("""COMPUTED_VALUE"""),"KP. JATIBENING BARU RT.002 RW.003 JAtIBENING BARU, PONDOKGEDE, KOTA BEKASI")</f>
        <v>KP. JATIBENING BARU RT.002 RW.003 JAtIBENING BARU, PONDOKGEDE, KOTA BEKASI</v>
      </c>
      <c r="U610" s="85" t="str">
        <f>IFERROR(__xludf.DUMMYFUNCTION("""COMPUTED_VALUE"""),"Jl. Diponegoro")</f>
        <v>Jl. Diponegoro</v>
      </c>
      <c r="V610" s="85"/>
      <c r="W610" s="85" t="str">
        <f>IFERROR(__xludf.DUMMYFUNCTION("""COMPUTED_VALUE"""),"Setiadarma")</f>
        <v>Setiadarma</v>
      </c>
      <c r="X610" s="85" t="str">
        <f>IFERROR(__xludf.DUMMYFUNCTION("""COMPUTED_VALUE"""),"Tambun Selatan")</f>
        <v>Tambun Selatan</v>
      </c>
      <c r="Y610" s="85" t="str">
        <f>IFERROR(__xludf.DUMMYFUNCTION("""COMPUTED_VALUE"""),"Kabupaten Bekasi")</f>
        <v>Kabupaten Bekasi</v>
      </c>
      <c r="Z610" s="85" t="str">
        <f>IFERROR(__xludf.DUMMYFUNCTION("""COMPUTED_VALUE"""),"Jawa Barat")</f>
        <v>Jawa Barat</v>
      </c>
      <c r="AA610" s="85" t="str">
        <f>IFERROR(__xludf.DUMMYFUNCTION("""COMPUTED_VALUE"""),"17510")</f>
        <v>17510</v>
      </c>
      <c r="AB610" s="85" t="str">
        <f>IFERROR(__xludf.DUMMYFUNCTION("""COMPUTED_VALUE"""),"3275080107990296")</f>
        <v>3275080107990296</v>
      </c>
      <c r="AC610" s="85" t="str">
        <f>IFERROR(__xludf.DUMMYFUNCTION("""COMPUTED_VALUE"""),"20.492.863.4-447.000")</f>
        <v>20.492.863.4-447.000</v>
      </c>
      <c r="AD610" s="85" t="str">
        <f>IFERROR(__xludf.DUMMYFUNCTION("""COMPUTED_VALUE"""),"CUM - EEN")</f>
        <v>CUM - EEN</v>
      </c>
      <c r="AE610" s="85" t="str">
        <f>IFERROR(__xludf.DUMMYFUNCTION("""COMPUTED_VALUE"""),"SUB EEN")</f>
        <v>SUB EEN</v>
      </c>
      <c r="AF610" s="85" t="str">
        <f>IFERROR(__xludf.DUMMYFUNCTION("""COMPUTED_VALUE"""),"0895372269364")</f>
        <v>0895372269364</v>
      </c>
      <c r="AG610" s="85"/>
      <c r="AH610" s="85" t="str">
        <f>IFERROR(__xludf.DUMMYFUNCTION("""COMPUTED_VALUE"""),"muhammad.anjas591@gmail.com")</f>
        <v>muhammad.anjas591@gmail.com</v>
      </c>
      <c r="AI610" s="85" t="str">
        <f>IFERROR(__xludf.DUMMYFUNCTION("""COMPUTED_VALUE"""),"17513S2")</f>
        <v>17513S2</v>
      </c>
      <c r="AJ610" s="85" t="str">
        <f>IFERROR(__xludf.DUMMYFUNCTION("""COMPUTED_VALUE"""),"68a9287b626d8f6993052e6c")</f>
        <v>68a9287b626d8f6993052e6c</v>
      </c>
      <c r="AK610" s="85" t="str">
        <f>IFERROR(__xludf.DUMMYFUNCTION("""COMPUTED_VALUE"""),"dm17513s2")</f>
        <v>dm17513s2</v>
      </c>
      <c r="AL610" s="85" t="str">
        <f>IFERROR(__xludf.DUMMYFUNCTION("""COMPUTED_VALUE"""),"#17513Pos")</f>
        <v>#17513Pos</v>
      </c>
      <c r="AM610" s="85" t="str">
        <f>IFERROR(__xludf.DUMMYFUNCTION("""COMPUTED_VALUE"""),"KANTOR REGIONAL II JAKARTA 10004")</f>
        <v>KANTOR REGIONAL II JAKARTA 10004</v>
      </c>
      <c r="AN610" s="85" t="str">
        <f>IFERROR(__xludf.DUMMYFUNCTION("""COMPUTED_VALUE"""),"KC CIKARANG 17500")</f>
        <v>KC CIKARANG 17500</v>
      </c>
      <c r="AO610" s="85" t="str">
        <f>IFERROR(__xludf.DUMMYFUNCTION("""COMPUTED_VALUE"""),"1208250033789")</f>
        <v>1208250033789</v>
      </c>
      <c r="AP610" s="85" t="str">
        <f>IFERROR(__xludf.DUMMYFUNCTION("""COMPUTED_VALUE"""),"12082500337890001")</f>
        <v>12082500337890001</v>
      </c>
      <c r="AQ610" s="93"/>
      <c r="AR610" s="85"/>
      <c r="AS610" s="85"/>
      <c r="AT610" s="85" t="str">
        <f>IFERROR(__xludf.DUMMYFUNCTION("""COMPUTED_VALUE"""),"-6.2602649")</f>
        <v>-6.2602649</v>
      </c>
      <c r="AU610" s="85" t="str">
        <f>IFERROR(__xludf.DUMMYFUNCTION("""COMPUTED_VALUE"""),"107.0549071")</f>
        <v>107.0549071</v>
      </c>
      <c r="AV610" s="85"/>
      <c r="AW610" s="85"/>
      <c r="AX610" s="85"/>
      <c r="AY610" s="85"/>
      <c r="AZ610" s="85"/>
      <c r="BA610" s="85"/>
      <c r="BB610" s="85"/>
      <c r="BC610" s="85"/>
      <c r="BD610" s="85"/>
      <c r="BE610" s="85"/>
      <c r="BF610" s="85"/>
      <c r="BG610" s="85"/>
      <c r="BH610" s="85"/>
      <c r="BI610" s="85"/>
      <c r="BJ610" s="85"/>
      <c r="BK610" s="85"/>
      <c r="BL610" s="85"/>
      <c r="BM610" s="85"/>
      <c r="BN610" s="85"/>
      <c r="BO610" s="85"/>
      <c r="BP610" s="85"/>
      <c r="BQ610" s="85"/>
      <c r="BR610" s="85"/>
      <c r="BS610" s="85"/>
      <c r="BT610" s="85"/>
      <c r="BU610" s="85"/>
      <c r="BV610" s="85"/>
      <c r="BW610" s="85"/>
      <c r="BX610" s="85" t="str">
        <f>IFERROR(__xludf.DUMMYFUNCTION("""COMPUTED_VALUE"""),"NEWBIE")</f>
        <v>NEWBIE</v>
      </c>
      <c r="BY610" s="85"/>
      <c r="BZ610" s="85"/>
      <c r="CA610" s="85"/>
      <c r="CB610" s="85"/>
      <c r="CC610" s="85"/>
      <c r="CD610" s="85"/>
      <c r="CE610" s="85"/>
      <c r="CF610" s="85"/>
      <c r="CG610" s="85"/>
      <c r="CH610" s="85"/>
      <c r="CI610" s="85"/>
      <c r="CJ610" s="85"/>
      <c r="CK610" s="2"/>
    </row>
    <row r="611" ht="12.75" customHeight="1">
      <c r="A611" s="80">
        <f>IFERROR(__xludf.DUMMYFUNCTION("""COMPUTED_VALUE"""),608.0)</f>
        <v>608</v>
      </c>
      <c r="B611" s="80"/>
      <c r="C611" s="80"/>
      <c r="D611" s="81">
        <f>IFERROR(__xludf.DUMMYFUNCTION("""COMPUTED_VALUE"""),45883.0)</f>
        <v>45883</v>
      </c>
      <c r="E611" s="82"/>
      <c r="F611" s="80"/>
      <c r="G611" s="81">
        <f>IFERROR(__xludf.DUMMYFUNCTION("""COMPUTED_VALUE"""),45895.0)</f>
        <v>45895</v>
      </c>
      <c r="H611" s="80"/>
      <c r="I611" s="80"/>
      <c r="J611" s="80"/>
      <c r="K611" s="80"/>
      <c r="L611" s="80">
        <f>IFERROR(__xludf.DUMMYFUNCTION("""COMPUTED_VALUE"""),12.0)</f>
        <v>12</v>
      </c>
      <c r="M611" s="80" t="str">
        <f>IFERROR(__xludf.DUMMYFUNCTION("""COMPUTED_VALUE"""),"ü")</f>
        <v>ü</v>
      </c>
      <c r="N611" s="80"/>
      <c r="O611" s="80"/>
      <c r="P611" s="80" t="str">
        <f>IFERROR(__xludf.DUMMYFUNCTION("""COMPUTED_VALUE"""),"MUCSPA63224PSIND")</f>
        <v>MUCSPA63224PSIND</v>
      </c>
      <c r="Q611" s="80" t="str">
        <f>IFERROR(__xludf.DUMMYFUNCTION("""COMPUTED_VALUE"""),"MUC Post SMK YDK4")</f>
        <v>MUC Post SMK YDK4</v>
      </c>
      <c r="R611" s="80" t="str">
        <f>IFERROR(__xludf.DUMMYFUNCTION("""COMPUTED_VALUE"""),"MUC Post SMK YDK4")</f>
        <v>MUC Post SMK YDK4</v>
      </c>
      <c r="S611" s="80" t="str">
        <f>IFERROR(__xludf.DUMMYFUNCTION("""COMPUTED_VALUE"""),"LIANA SAKDIYAH")</f>
        <v>LIANA SAKDIYAH</v>
      </c>
      <c r="T611" s="80" t="str">
        <f>IFERROR(__xludf.DUMMYFUNCTION("""COMPUTED_VALUE"""),"ALAM INDAH BLOK G.II/3 RT.001 RW.007 PORIS PALAWAD INDAH, CIPONDOH, KOTA TANGERANG")</f>
        <v>ALAM INDAH BLOK G.II/3 RT.001 RW.007 PORIS PALAWAD INDAH, CIPONDOH, KOTA TANGERANG</v>
      </c>
      <c r="U611" s="80" t="str">
        <f>IFERROR(__xludf.DUMMYFUNCTION("""COMPUTED_VALUE"""),"Palem Ganda Asri 1, Gg. H. Lembang No.60, RT.002/RW.001")</f>
        <v>Palem Ganda Asri 1, Gg. H. Lembang No.60, RT.002/RW.001</v>
      </c>
      <c r="V611" s="80"/>
      <c r="W611" s="80" t="str">
        <f>IFERROR(__xludf.DUMMYFUNCTION("""COMPUTED_VALUE"""),"Karang Tengah")</f>
        <v>Karang Tengah</v>
      </c>
      <c r="X611" s="80" t="str">
        <f>IFERROR(__xludf.DUMMYFUNCTION("""COMPUTED_VALUE"""),"Karang Tengah")</f>
        <v>Karang Tengah</v>
      </c>
      <c r="Y611" s="80" t="str">
        <f>IFERROR(__xludf.DUMMYFUNCTION("""COMPUTED_VALUE"""),"Kota Tangerang")</f>
        <v>Kota Tangerang</v>
      </c>
      <c r="Z611" s="80" t="str">
        <f>IFERROR(__xludf.DUMMYFUNCTION("""COMPUTED_VALUE"""),"Banten")</f>
        <v>Banten</v>
      </c>
      <c r="AA611" s="80" t="str">
        <f>IFERROR(__xludf.DUMMYFUNCTION("""COMPUTED_VALUE"""),"15157")</f>
        <v>15157</v>
      </c>
      <c r="AB611" s="80" t="str">
        <f>IFERROR(__xludf.DUMMYFUNCTION("""COMPUTED_VALUE"""),"3671015103890004")</f>
        <v>3671015103890004</v>
      </c>
      <c r="AC611" s="80" t="str">
        <f>IFERROR(__xludf.DUMMYFUNCTION("""COMPUTED_VALUE"""),"86.063.231.4-416.000")</f>
        <v>86.063.231.4-416.000</v>
      </c>
      <c r="AD611" s="80" t="str">
        <f>IFERROR(__xludf.DUMMYFUNCTION("""COMPUTED_VALUE"""),"CUM - PS - DWIH")</f>
        <v>CUM - PS - DWIH</v>
      </c>
      <c r="AE611" s="80" t="str">
        <f>IFERROR(__xludf.DUMMYFUNCTION("""COMPUTED_VALUE"""),"SUB DWI HARTANTO POS")</f>
        <v>SUB DWI HARTANTO POS</v>
      </c>
      <c r="AF611" s="80" t="str">
        <f>IFERROR(__xludf.DUMMYFUNCTION("""COMPUTED_VALUE"""),"085720467741")</f>
        <v>085720467741</v>
      </c>
      <c r="AG611" s="80"/>
      <c r="AH611" s="80" t="str">
        <f>IFERROR(__xludf.DUMMYFUNCTION("""COMPUTED_VALUE"""),"lianasakdiyah13@guru.smk.belajar.id")</f>
        <v>lianasakdiyah13@guru.smk.belajar.id</v>
      </c>
      <c r="AI611" s="80" t="str">
        <f>IFERROR(__xludf.DUMMYFUNCTION("""COMPUTED_VALUE"""),"15157SA")</f>
        <v>15157SA</v>
      </c>
      <c r="AJ611" s="80" t="str">
        <f>IFERROR(__xludf.DUMMYFUNCTION("""COMPUTED_VALUE"""),"68a819ac09de87dcf30cd177")</f>
        <v>68a819ac09de87dcf30cd177</v>
      </c>
      <c r="AK611" s="80" t="str">
        <f>IFERROR(__xludf.DUMMYFUNCTION("""COMPUTED_VALUE"""),"dm15157sa")</f>
        <v>dm15157sa</v>
      </c>
      <c r="AL611" s="80" t="str">
        <f>IFERROR(__xludf.DUMMYFUNCTION("""COMPUTED_VALUE"""),"#15157Pos")</f>
        <v>#15157Pos</v>
      </c>
      <c r="AM611" s="80" t="str">
        <f>IFERROR(__xludf.DUMMYFUNCTION("""COMPUTED_VALUE"""),"KANTOR REGIONAL II JAKARTA 10004")</f>
        <v>KANTOR REGIONAL II JAKARTA 10004</v>
      </c>
      <c r="AN611" s="80" t="str">
        <f>IFERROR(__xludf.DUMMYFUNCTION("""COMPUTED_VALUE"""),"KCU TANGERANG 15000")</f>
        <v>KCU TANGERANG 15000</v>
      </c>
      <c r="AO611" s="80" t="str">
        <f>IFERROR(__xludf.DUMMYFUNCTION("""COMPUTED_VALUE"""),"1308250091412")</f>
        <v>1308250091412</v>
      </c>
      <c r="AP611" s="80" t="str">
        <f>IFERROR(__xludf.DUMMYFUNCTION("""COMPUTED_VALUE"""),"13082500914120001")</f>
        <v>13082500914120001</v>
      </c>
      <c r="AQ611" s="83"/>
      <c r="AR611" s="80"/>
      <c r="AS611" s="80"/>
      <c r="AT611" s="80" t="str">
        <f>IFERROR(__xludf.DUMMYFUNCTION("""COMPUTED_VALUE"""),"-6.2218193")</f>
        <v>-6.2218193</v>
      </c>
      <c r="AU611" s="80" t="str">
        <f>IFERROR(__xludf.DUMMYFUNCTION("""COMPUTED_VALUE"""),"106.7076241")</f>
        <v>106.7076241</v>
      </c>
      <c r="AV611" s="80"/>
      <c r="AW611" s="80"/>
      <c r="AX611" s="80"/>
      <c r="AY611" s="80"/>
      <c r="AZ611" s="80"/>
      <c r="BA611" s="80"/>
      <c r="BB611" s="80"/>
      <c r="BC611" s="80"/>
      <c r="BD611" s="80"/>
      <c r="BE611" s="80"/>
      <c r="BF611" s="80"/>
      <c r="BG611" s="80"/>
      <c r="BH611" s="80"/>
      <c r="BI611" s="80"/>
      <c r="BJ611" s="80"/>
      <c r="BK611" s="80"/>
      <c r="BL611" s="80"/>
      <c r="BM611" s="80"/>
      <c r="BN611" s="80"/>
      <c r="BO611" s="80"/>
      <c r="BP611" s="80"/>
      <c r="BQ611" s="80"/>
      <c r="BR611" s="80"/>
      <c r="BS611" s="80"/>
      <c r="BT611" s="80"/>
      <c r="BU611" s="80"/>
      <c r="BV611" s="80"/>
      <c r="BW611" s="80"/>
      <c r="BX611" s="80" t="str">
        <f>IFERROR(__xludf.DUMMYFUNCTION("""COMPUTED_VALUE"""),"NEWBIE")</f>
        <v>NEWBIE</v>
      </c>
      <c r="BY611" s="80"/>
      <c r="BZ611" s="80"/>
      <c r="CA611" s="80"/>
      <c r="CB611" s="80"/>
      <c r="CC611" s="80"/>
      <c r="CD611" s="80"/>
      <c r="CE611" s="80"/>
      <c r="CF611" s="80"/>
      <c r="CG611" s="80"/>
      <c r="CH611" s="80"/>
      <c r="CI611" s="80"/>
      <c r="CJ611" s="80"/>
      <c r="CK611" s="2"/>
    </row>
    <row r="612" ht="12.75" customHeight="1">
      <c r="A612" s="85">
        <f>IFERROR(__xludf.DUMMYFUNCTION("""COMPUTED_VALUE"""),609.0)</f>
        <v>609</v>
      </c>
      <c r="B612" s="85"/>
      <c r="C612" s="85"/>
      <c r="D612" s="86">
        <f>IFERROR(__xludf.DUMMYFUNCTION("""COMPUTED_VALUE"""),45883.0)</f>
        <v>45883</v>
      </c>
      <c r="E612" s="88"/>
      <c r="F612" s="85"/>
      <c r="G612" s="86">
        <f>IFERROR(__xludf.DUMMYFUNCTION("""COMPUTED_VALUE"""),45895.0)</f>
        <v>45895</v>
      </c>
      <c r="H612" s="85"/>
      <c r="I612" s="85"/>
      <c r="J612" s="85"/>
      <c r="K612" s="85"/>
      <c r="L612" s="85">
        <f>IFERROR(__xludf.DUMMYFUNCTION("""COMPUTED_VALUE"""),12.0)</f>
        <v>12</v>
      </c>
      <c r="M612" s="85" t="str">
        <f>IFERROR(__xludf.DUMMYFUNCTION("""COMPUTED_VALUE"""),"ü")</f>
        <v>ü</v>
      </c>
      <c r="N612" s="85"/>
      <c r="O612" s="85"/>
      <c r="P612" s="85" t="str">
        <f>IFERROR(__xludf.DUMMYFUNCTION("""COMPUTED_VALUE"""),"53BSPA09636JBEEN")</f>
        <v>53BSPA09636JBEEN</v>
      </c>
      <c r="Q612" s="85" t="str">
        <f>IFERROR(__xludf.DUMMYFUNCTION("""COMPUTED_VALUE"""),"MUC Angke Indah")</f>
        <v>MUC Angke Indah</v>
      </c>
      <c r="R612" s="85" t="str">
        <f>IFERROR(__xludf.DUMMYFUNCTION("""COMPUTED_VALUE"""),"MUC Angke Indah")</f>
        <v>MUC Angke Indah</v>
      </c>
      <c r="S612" s="85" t="str">
        <f>IFERROR(__xludf.DUMMYFUNCTION("""COMPUTED_VALUE"""),"HIU STACIA ANDANI PUSPITA")</f>
        <v>HIU STACIA ANDANI PUSPITA</v>
      </c>
      <c r="T612" s="85" t="str">
        <f>IFERROR(__xludf.DUMMYFUNCTION("""COMPUTED_VALUE"""),"JL.ANGKE INDAH NO.30 RT.015 RW.001 ANGKE, TAMBORA, JAKARTA BARAT")</f>
        <v>JL.ANGKE INDAH NO.30 RT.015 RW.001 ANGKE, TAMBORA, JAKARTA BARAT</v>
      </c>
      <c r="U612" s="85" t="str">
        <f>IFERROR(__xludf.DUMMYFUNCTION("""COMPUTED_VALUE"""),"Jl angke indah no 30 Rt 15/01 ")</f>
        <v>Jl angke indah no 30 Rt 15/01 </v>
      </c>
      <c r="V612" s="85"/>
      <c r="W612" s="85" t="str">
        <f>IFERROR(__xludf.DUMMYFUNCTION("""COMPUTED_VALUE"""),"Angke")</f>
        <v>Angke</v>
      </c>
      <c r="X612" s="85" t="str">
        <f>IFERROR(__xludf.DUMMYFUNCTION("""COMPUTED_VALUE"""),"Tambora")</f>
        <v>Tambora</v>
      </c>
      <c r="Y612" s="85" t="str">
        <f>IFERROR(__xludf.DUMMYFUNCTION("""COMPUTED_VALUE"""),"Jakarta Barat")</f>
        <v>Jakarta Barat</v>
      </c>
      <c r="Z612" s="85" t="str">
        <f>IFERROR(__xludf.DUMMYFUNCTION("""COMPUTED_VALUE"""),"DKI Jakarta")</f>
        <v>DKI Jakarta</v>
      </c>
      <c r="AA612" s="85" t="str">
        <f>IFERROR(__xludf.DUMMYFUNCTION("""COMPUTED_VALUE"""),"11330")</f>
        <v>11330</v>
      </c>
      <c r="AB612" s="85" t="str">
        <f>IFERROR(__xludf.DUMMYFUNCTION("""COMPUTED_VALUE"""),"3173046109920002")</f>
        <v>3173046109920002</v>
      </c>
      <c r="AC612" s="85" t="str">
        <f>IFERROR(__xludf.DUMMYFUNCTION("""COMPUTED_VALUE"""),"97.361.283.1-033.000")</f>
        <v>97.361.283.1-033.000</v>
      </c>
      <c r="AD612" s="85" t="str">
        <f>IFERROR(__xludf.DUMMYFUNCTION("""COMPUTED_VALUE"""),"CUM - EEN")</f>
        <v>CUM - EEN</v>
      </c>
      <c r="AE612" s="85" t="str">
        <f>IFERROR(__xludf.DUMMYFUNCTION("""COMPUTED_VALUE"""),"SUB EEN")</f>
        <v>SUB EEN</v>
      </c>
      <c r="AF612" s="85" t="str">
        <f>IFERROR(__xludf.DUMMYFUNCTION("""COMPUTED_VALUE"""),"082111491833")</f>
        <v>082111491833</v>
      </c>
      <c r="AG612" s="85"/>
      <c r="AH612" s="85" t="str">
        <f>IFERROR(__xludf.DUMMYFUNCTION("""COMPUTED_VALUE"""),"staciapuspita08@gmail.com")</f>
        <v>staciapuspita08@gmail.com</v>
      </c>
      <c r="AI612" s="85" t="str">
        <f>IFERROR(__xludf.DUMMYFUNCTION("""COMPUTED_VALUE"""),"11330S4")</f>
        <v>11330S4</v>
      </c>
      <c r="AJ612" s="85" t="str">
        <f>IFERROR(__xludf.DUMMYFUNCTION("""COMPUTED_VALUE"""),"68a9947ccbc50288df036e65")</f>
        <v>68a9947ccbc50288df036e65</v>
      </c>
      <c r="AK612" s="85" t="str">
        <f>IFERROR(__xludf.DUMMYFUNCTION("""COMPUTED_VALUE"""),"dm11330s4")</f>
        <v>dm11330s4</v>
      </c>
      <c r="AL612" s="85" t="str">
        <f>IFERROR(__xludf.DUMMYFUNCTION("""COMPUTED_VALUE"""),"#11330Pos")</f>
        <v>#11330Pos</v>
      </c>
      <c r="AM612" s="85" t="str">
        <f>IFERROR(__xludf.DUMMYFUNCTION("""COMPUTED_VALUE"""),"KANTOR REGIONAL II JAKARTA 10004")</f>
        <v>KANTOR REGIONAL II JAKARTA 10004</v>
      </c>
      <c r="AN612" s="85" t="str">
        <f>IFERROR(__xludf.DUMMYFUNCTION("""COMPUTED_VALUE"""),"KCU JAKARTAOCEANIA 11000")</f>
        <v>KCU JAKARTAOCEANIA 11000</v>
      </c>
      <c r="AO612" s="85" t="str">
        <f>IFERROR(__xludf.DUMMYFUNCTION("""COMPUTED_VALUE"""),"1408250057733")</f>
        <v>1408250057733</v>
      </c>
      <c r="AP612" s="85" t="str">
        <f>IFERROR(__xludf.DUMMYFUNCTION("""COMPUTED_VALUE"""),"14082500577330001")</f>
        <v>14082500577330001</v>
      </c>
      <c r="AQ612" s="93"/>
      <c r="AR612" s="85"/>
      <c r="AS612" s="85"/>
      <c r="AT612" s="85" t="str">
        <f>IFERROR(__xludf.DUMMYFUNCTION("""COMPUTED_VALUE"""),"-6.1460825")</f>
        <v>-6.1460825</v>
      </c>
      <c r="AU612" s="85" t="str">
        <f>IFERROR(__xludf.DUMMYFUNCTION("""COMPUTED_VALUE"""),"106.8000081")</f>
        <v>106.8000081</v>
      </c>
      <c r="AV612" s="85"/>
      <c r="AW612" s="85"/>
      <c r="AX612" s="85"/>
      <c r="AY612" s="85"/>
      <c r="AZ612" s="85"/>
      <c r="BA612" s="85"/>
      <c r="BB612" s="85"/>
      <c r="BC612" s="85"/>
      <c r="BD612" s="85"/>
      <c r="BE612" s="85"/>
      <c r="BF612" s="85"/>
      <c r="BG612" s="85"/>
      <c r="BH612" s="85"/>
      <c r="BI612" s="85"/>
      <c r="BJ612" s="85"/>
      <c r="BK612" s="85"/>
      <c r="BL612" s="85"/>
      <c r="BM612" s="85"/>
      <c r="BN612" s="85"/>
      <c r="BO612" s="85"/>
      <c r="BP612" s="85"/>
      <c r="BQ612" s="85"/>
      <c r="BR612" s="85"/>
      <c r="BS612" s="85"/>
      <c r="BT612" s="85"/>
      <c r="BU612" s="85"/>
      <c r="BV612" s="85"/>
      <c r="BW612" s="85"/>
      <c r="BX612" s="85" t="str">
        <f>IFERROR(__xludf.DUMMYFUNCTION("""COMPUTED_VALUE"""),"MULTIKURIR - SPX")</f>
        <v>MULTIKURIR - SPX</v>
      </c>
      <c r="BY612" s="85"/>
      <c r="BZ612" s="85"/>
      <c r="CA612" s="85"/>
      <c r="CB612" s="85"/>
      <c r="CC612" s="85"/>
      <c r="CD612" s="85"/>
      <c r="CE612" s="85"/>
      <c r="CF612" s="85"/>
      <c r="CG612" s="85"/>
      <c r="CH612" s="85"/>
      <c r="CI612" s="85"/>
      <c r="CJ612" s="85"/>
      <c r="CK612" s="2"/>
    </row>
    <row r="613" ht="12.75" customHeight="1">
      <c r="A613" s="80">
        <f>IFERROR(__xludf.DUMMYFUNCTION("""COMPUTED_VALUE"""),610.0)</f>
        <v>610</v>
      </c>
      <c r="B613" s="80"/>
      <c r="C613" s="80"/>
      <c r="D613" s="81">
        <f>IFERROR(__xludf.DUMMYFUNCTION("""COMPUTED_VALUE"""),45883.0)</f>
        <v>45883</v>
      </c>
      <c r="E613" s="82"/>
      <c r="F613" s="80"/>
      <c r="G613" s="81">
        <f>IFERROR(__xludf.DUMMYFUNCTION("""COMPUTED_VALUE"""),45902.0)</f>
        <v>45902</v>
      </c>
      <c r="H613" s="80"/>
      <c r="I613" s="80"/>
      <c r="J613" s="80"/>
      <c r="K613" s="80"/>
      <c r="L613" s="80">
        <f>IFERROR(__xludf.DUMMYFUNCTION("""COMPUTED_VALUE"""),19.0)</f>
        <v>19</v>
      </c>
      <c r="M613" s="80" t="str">
        <f>IFERROR(__xludf.DUMMYFUNCTION("""COMPUTED_VALUE"""),"ü")</f>
        <v>ü</v>
      </c>
      <c r="N613" s="80"/>
      <c r="O613" s="80"/>
      <c r="P613" s="80" t="str">
        <f>IFERROR(__xludf.DUMMYFUNCTION("""COMPUTED_VALUE"""),"MUCSPA63225PSIND")</f>
        <v>MUCSPA63225PSIND</v>
      </c>
      <c r="Q613" s="80" t="str">
        <f>IFERROR(__xludf.DUMMYFUNCTION("""COMPUTED_VALUE"""),"MUC PATANJALI")</f>
        <v>MUC PATANJALI</v>
      </c>
      <c r="R613" s="80" t="str">
        <f>IFERROR(__xludf.DUMMYFUNCTION("""COMPUTED_VALUE"""),"MUC PATANJALI")</f>
        <v>MUC PATANJALI</v>
      </c>
      <c r="S613" s="80" t="str">
        <f>IFERROR(__xludf.DUMMYFUNCTION("""COMPUTED_VALUE"""),"SUTRISNO")</f>
        <v>SUTRISNO</v>
      </c>
      <c r="T613" s="80" t="str">
        <f>IFERROR(__xludf.DUMMYFUNCTION("""COMPUTED_VALUE"""),"BAKALANKRAPYAK RT.001 RW.001 BAKALANKRAPYAK, KALIWUNGU, KAB. KUDUS")</f>
        <v>BAKALANKRAPYAK RT.001 RW.001 BAKALANKRAPYAK, KALIWUNGU, KAB. KUDUS</v>
      </c>
      <c r="U613" s="80" t="str">
        <f>IFERROR(__xludf.DUMMYFUNCTION("""COMPUTED_VALUE"""),"Jl. Rusunawa")</f>
        <v>Jl. Rusunawa</v>
      </c>
      <c r="V613" s="80"/>
      <c r="W613" s="80" t="str">
        <f>IFERROR(__xludf.DUMMYFUNCTION("""COMPUTED_VALUE"""),"Bakalankrapyak")</f>
        <v>Bakalankrapyak</v>
      </c>
      <c r="X613" s="80" t="str">
        <f>IFERROR(__xludf.DUMMYFUNCTION("""COMPUTED_VALUE"""),"Kaliwungu")</f>
        <v>Kaliwungu</v>
      </c>
      <c r="Y613" s="80" t="str">
        <f>IFERROR(__xludf.DUMMYFUNCTION("""COMPUTED_VALUE"""),"Kab. Kudus")</f>
        <v>Kab. Kudus</v>
      </c>
      <c r="Z613" s="80" t="str">
        <f>IFERROR(__xludf.DUMMYFUNCTION("""COMPUTED_VALUE"""),"Jawa Tengah")</f>
        <v>Jawa Tengah</v>
      </c>
      <c r="AA613" s="80" t="str">
        <f>IFERROR(__xludf.DUMMYFUNCTION("""COMPUTED_VALUE"""),"59332")</f>
        <v>59332</v>
      </c>
      <c r="AB613" s="80" t="str">
        <f>IFERROR(__xludf.DUMMYFUNCTION("""COMPUTED_VALUE"""),"3319011806780001")</f>
        <v>3319011806780001</v>
      </c>
      <c r="AC613" s="80" t="str">
        <f>IFERROR(__xludf.DUMMYFUNCTION("""COMPUTED_VALUE"""),"08.845.097.8-506.000")</f>
        <v>08.845.097.8-506.000</v>
      </c>
      <c r="AD613" s="80" t="str">
        <f>IFERROR(__xludf.DUMMYFUNCTION("""COMPUTED_VALUE"""),"CUM - PS - NONKORGEN")</f>
        <v>CUM - PS - NONKORGEN</v>
      </c>
      <c r="AE613" s="80" t="str">
        <f>IFERROR(__xludf.DUMMYFUNCTION("""COMPUTED_VALUE"""),"PAK ARGA KC KUDUS")</f>
        <v>PAK ARGA KC KUDUS</v>
      </c>
      <c r="AF613" s="80" t="str">
        <f>IFERROR(__xludf.DUMMYFUNCTION("""COMPUTED_VALUE"""),"08122861214")</f>
        <v>08122861214</v>
      </c>
      <c r="AG613" s="80"/>
      <c r="AH613" s="80" t="str">
        <f>IFERROR(__xludf.DUMMYFUNCTION("""COMPUTED_VALUE"""),"rokisenja@gmail.com")</f>
        <v>rokisenja@gmail.com</v>
      </c>
      <c r="AI613" s="80" t="str">
        <f>IFERROR(__xludf.DUMMYFUNCTION("""COMPUTED_VALUE"""),"59361S5")</f>
        <v>59361S5</v>
      </c>
      <c r="AJ613" s="80" t="str">
        <f>IFERROR(__xludf.DUMMYFUNCTION("""COMPUTED_VALUE"""),"68b257e195e4349c780fcabe")</f>
        <v>68b257e195e4349c780fcabe</v>
      </c>
      <c r="AK613" s="80" t="str">
        <f>IFERROR(__xludf.DUMMYFUNCTION("""COMPUTED_VALUE"""),"dm59361s5")</f>
        <v>dm59361s5</v>
      </c>
      <c r="AL613" s="80" t="str">
        <f>IFERROR(__xludf.DUMMYFUNCTION("""COMPUTED_VALUE"""),"#59361Pos")</f>
        <v>#59361Pos</v>
      </c>
      <c r="AM613" s="80" t="str">
        <f>IFERROR(__xludf.DUMMYFUNCTION("""COMPUTED_VALUE"""),"KANTOR REGIONAL IV SEMARANG 50004")</f>
        <v>KANTOR REGIONAL IV SEMARANG 50004</v>
      </c>
      <c r="AN613" s="80" t="str">
        <f>IFERROR(__xludf.DUMMYFUNCTION("""COMPUTED_VALUE"""),"KC KUDUS")</f>
        <v>KC KUDUS</v>
      </c>
      <c r="AO613" s="80" t="str">
        <f>IFERROR(__xludf.DUMMYFUNCTION("""COMPUTED_VALUE"""),"2111230124093")</f>
        <v>2111230124093</v>
      </c>
      <c r="AP613" s="80" t="str">
        <f>IFERROR(__xludf.DUMMYFUNCTION("""COMPUTED_VALUE"""),"21112301240930002")</f>
        <v>21112301240930002</v>
      </c>
      <c r="AQ613" s="83"/>
      <c r="AR613" s="80"/>
      <c r="AS613" s="80"/>
      <c r="AT613" s="80" t="str">
        <f>IFERROR(__xludf.DUMMYFUNCTION("""COMPUTED_VALUE"""),"-6.7956897")</f>
        <v>-6.7956897</v>
      </c>
      <c r="AU613" s="80" t="str">
        <f>IFERROR(__xludf.DUMMYFUNCTION("""COMPUTED_VALUE"""),"110.8287406")</f>
        <v>110.8287406</v>
      </c>
      <c r="AV613" s="80"/>
      <c r="AW613" s="80"/>
      <c r="AX613" s="80"/>
      <c r="AY613" s="80"/>
      <c r="AZ613" s="80"/>
      <c r="BA613" s="80"/>
      <c r="BB613" s="80"/>
      <c r="BC613" s="80"/>
      <c r="BD613" s="80"/>
      <c r="BE613" s="80"/>
      <c r="BF613" s="80"/>
      <c r="BG613" s="80"/>
      <c r="BH613" s="80"/>
      <c r="BI613" s="80"/>
      <c r="BJ613" s="80"/>
      <c r="BK613" s="80"/>
      <c r="BL613" s="80"/>
      <c r="BM613" s="80"/>
      <c r="BN613" s="80"/>
      <c r="BO613" s="80"/>
      <c r="BP613" s="80"/>
      <c r="BQ613" s="80"/>
      <c r="BR613" s="80"/>
      <c r="BS613" s="80"/>
      <c r="BT613" s="80"/>
      <c r="BU613" s="80"/>
      <c r="BV613" s="80"/>
      <c r="BW613" s="80"/>
      <c r="BX613" s="80" t="str">
        <f>IFERROR(__xludf.DUMMYFUNCTION("""COMPUTED_VALUE"""),"NEWBIE")</f>
        <v>NEWBIE</v>
      </c>
      <c r="BY613" s="80"/>
      <c r="BZ613" s="80"/>
      <c r="CA613" s="80"/>
      <c r="CB613" s="80"/>
      <c r="CC613" s="80"/>
      <c r="CD613" s="80"/>
      <c r="CE613" s="80"/>
      <c r="CF613" s="80"/>
      <c r="CG613" s="80"/>
      <c r="CH613" s="80"/>
      <c r="CI613" s="80"/>
      <c r="CJ613" s="80"/>
      <c r="CK613" s="2"/>
    </row>
    <row r="614" ht="12.75" customHeight="1">
      <c r="A614" s="85">
        <f>IFERROR(__xludf.DUMMYFUNCTION("""COMPUTED_VALUE"""),611.0)</f>
        <v>611</v>
      </c>
      <c r="B614" s="85"/>
      <c r="C614" s="85"/>
      <c r="D614" s="86">
        <f>IFERROR(__xludf.DUMMYFUNCTION("""COMPUTED_VALUE"""),45883.0)</f>
        <v>45883</v>
      </c>
      <c r="E614" s="88"/>
      <c r="F614" s="85"/>
      <c r="G614" s="86">
        <f>IFERROR(__xludf.DUMMYFUNCTION("""COMPUTED_VALUE"""),45890.0)</f>
        <v>45890</v>
      </c>
      <c r="H614" s="85"/>
      <c r="I614" s="85"/>
      <c r="J614" s="85"/>
      <c r="K614" s="85"/>
      <c r="L614" s="85">
        <f>IFERROR(__xludf.DUMMYFUNCTION("""COMPUTED_VALUE"""),7.0)</f>
        <v>7</v>
      </c>
      <c r="M614" s="85"/>
      <c r="N614" s="85" t="str">
        <f>IFERROR(__xludf.DUMMYFUNCTION("""COMPUTED_VALUE"""),"ü")</f>
        <v>ü</v>
      </c>
      <c r="O614" s="85"/>
      <c r="P614" s="85" t="str">
        <f>IFERROR(__xludf.DUMMYFUNCTION("""COMPUTED_VALUE"""),"MUCSPA63226PSIND")</f>
        <v>MUCSPA63226PSIND</v>
      </c>
      <c r="Q614" s="85" t="str">
        <f>IFERROR(__xludf.DUMMYFUNCTION("""COMPUTED_VALUE"""),"MUC KKMP Kagungan")</f>
        <v>MUC KKMP Kagungan</v>
      </c>
      <c r="R614" s="85" t="str">
        <f>IFERROR(__xludf.DUMMYFUNCTION("""COMPUTED_VALUE"""),"MUC KKMP Kagungan")</f>
        <v>MUC KKMP Kagungan</v>
      </c>
      <c r="S614" s="85" t="str">
        <f>IFERROR(__xludf.DUMMYFUNCTION("""COMPUTED_VALUE"""),"SUMARDI ROUF")</f>
        <v>SUMARDI ROUF</v>
      </c>
      <c r="T614" s="85" t="str">
        <f>IFERROR(__xludf.DUMMYFUNCTION("""COMPUTED_VALUE"""),"KELAPA DUA RT.001 RW.007 KAGUNGAN, SERANG, KOTA SERANG")</f>
        <v>KELAPA DUA RT.001 RW.007 KAGUNGAN, SERANG, KOTA SERANG</v>
      </c>
      <c r="U614" s="85" t="str">
        <f>IFERROR(__xludf.DUMMYFUNCTION("""COMPUTED_VALUE"""),"Jl.Jiwantaka 1 Rt.01 Rw.10")</f>
        <v>Jl.Jiwantaka 1 Rt.01 Rw.10</v>
      </c>
      <c r="V614" s="85"/>
      <c r="W614" s="85" t="str">
        <f>IFERROR(__xludf.DUMMYFUNCTION("""COMPUTED_VALUE"""),"Kagungan")</f>
        <v>Kagungan</v>
      </c>
      <c r="X614" s="85" t="str">
        <f>IFERROR(__xludf.DUMMYFUNCTION("""COMPUTED_VALUE"""),"Serang")</f>
        <v>Serang</v>
      </c>
      <c r="Y614" s="85" t="str">
        <f>IFERROR(__xludf.DUMMYFUNCTION("""COMPUTED_VALUE"""),"Kota Serang")</f>
        <v>Kota Serang</v>
      </c>
      <c r="Z614" s="85" t="str">
        <f>IFERROR(__xludf.DUMMYFUNCTION("""COMPUTED_VALUE"""),"Banten")</f>
        <v>Banten</v>
      </c>
      <c r="AA614" s="85" t="str">
        <f>IFERROR(__xludf.DUMMYFUNCTION("""COMPUTED_VALUE"""),"42114")</f>
        <v>42114</v>
      </c>
      <c r="AB614" s="85" t="str">
        <f>IFERROR(__xludf.DUMMYFUNCTION("""COMPUTED_VALUE"""),"3673010506660002")</f>
        <v>3673010506660002</v>
      </c>
      <c r="AC614" s="85" t="str">
        <f>IFERROR(__xludf.DUMMYFUNCTION("""COMPUTED_VALUE"""),"1000 0000 0345 0053")</f>
        <v>1000 0000 0345 0053</v>
      </c>
      <c r="AD614" s="85" t="str">
        <f>IFERROR(__xludf.DUMMYFUNCTION("""COMPUTED_VALUE"""),"CUM - PS - NONKORGEN")</f>
        <v>CUM - PS - NONKORGEN</v>
      </c>
      <c r="AE614" s="85" t="str">
        <f>IFERROR(__xludf.DUMMYFUNCTION("""COMPUTED_VALUE"""),"BU NELA SERANG")</f>
        <v>BU NELA SERANG</v>
      </c>
      <c r="AF614" s="85" t="str">
        <f>IFERROR(__xludf.DUMMYFUNCTION("""COMPUTED_VALUE"""),"089515719589")</f>
        <v>089515719589</v>
      </c>
      <c r="AG614" s="85"/>
      <c r="AH614" s="85" t="str">
        <f>IFERROR(__xludf.DUMMYFUNCTION("""COMPUTED_VALUE"""),"koperasimerahputihkagungan@gmail.com")</f>
        <v>koperasimerahputihkagungan@gmail.com</v>
      </c>
      <c r="AI614" s="85" t="str">
        <f>IFERROR(__xludf.DUMMYFUNCTION("""COMPUTED_VALUE"""),"42114YQ")</f>
        <v>42114YQ</v>
      </c>
      <c r="AJ614" s="85" t="str">
        <f>IFERROR(__xludf.DUMMYFUNCTION("""COMPUTED_VALUE"""),"68a57ae097a72fc10202b8e8")</f>
        <v>68a57ae097a72fc10202b8e8</v>
      </c>
      <c r="AK614" s="85" t="str">
        <f>IFERROR(__xludf.DUMMYFUNCTION("""COMPUTED_VALUE"""),"dm42114yq")</f>
        <v>dm42114yq</v>
      </c>
      <c r="AL614" s="85" t="str">
        <f>IFERROR(__xludf.DUMMYFUNCTION("""COMPUTED_VALUE"""),"#42114Pos")</f>
        <v>#42114Pos</v>
      </c>
      <c r="AM614" s="85" t="str">
        <f>IFERROR(__xludf.DUMMYFUNCTION("""COMPUTED_VALUE"""),"KANTOR REGIONAL II JAKARTA 10004")</f>
        <v>KANTOR REGIONAL II JAKARTA 10004</v>
      </c>
      <c r="AN614" s="85" t="str">
        <f>IFERROR(__xludf.DUMMYFUNCTION("""COMPUTED_VALUE"""),"KCU SERANG")</f>
        <v>KCU SERANG</v>
      </c>
      <c r="AO614" s="85" t="str">
        <f>IFERROR(__xludf.DUMMYFUNCTION("""COMPUTED_VALUE"""),"0207250042425")</f>
        <v>0207250042425</v>
      </c>
      <c r="AP614" s="85" t="str">
        <f>IFERROR(__xludf.DUMMYFUNCTION("""COMPUTED_VALUE"""),"02072500424250001")</f>
        <v>02072500424250001</v>
      </c>
      <c r="AQ614" s="93"/>
      <c r="AR614" s="85"/>
      <c r="AS614" s="85"/>
      <c r="AT614" s="85" t="str">
        <f>IFERROR(__xludf.DUMMYFUNCTION("""COMPUTED_VALUE"""),"-6.107100")</f>
        <v>-6.107100</v>
      </c>
      <c r="AU614" s="85" t="str">
        <f>IFERROR(__xludf.DUMMYFUNCTION("""COMPUTED_VALUE"""),"106.152127")</f>
        <v>106.152127</v>
      </c>
      <c r="AV614" s="85"/>
      <c r="AW614" s="85"/>
      <c r="AX614" s="85"/>
      <c r="AY614" s="85"/>
      <c r="AZ614" s="85"/>
      <c r="BA614" s="85"/>
      <c r="BB614" s="85"/>
      <c r="BC614" s="85"/>
      <c r="BD614" s="85"/>
      <c r="BE614" s="85"/>
      <c r="BF614" s="85"/>
      <c r="BG614" s="85"/>
      <c r="BH614" s="85"/>
      <c r="BI614" s="85"/>
      <c r="BJ614" s="85"/>
      <c r="BK614" s="85"/>
      <c r="BL614" s="85"/>
      <c r="BM614" s="85"/>
      <c r="BN614" s="85"/>
      <c r="BO614" s="85"/>
      <c r="BP614" s="85"/>
      <c r="BQ614" s="85"/>
      <c r="BR614" s="85"/>
      <c r="BS614" s="85"/>
      <c r="BT614" s="85"/>
      <c r="BU614" s="85"/>
      <c r="BV614" s="85"/>
      <c r="BW614" s="85"/>
      <c r="BX614" s="85" t="str">
        <f>IFERROR(__xludf.DUMMYFUNCTION("""COMPUTED_VALUE"""),"KKMP")</f>
        <v>KKMP</v>
      </c>
      <c r="BY614" s="85"/>
      <c r="BZ614" s="85"/>
      <c r="CA614" s="85"/>
      <c r="CB614" s="85"/>
      <c r="CC614" s="85"/>
      <c r="CD614" s="85"/>
      <c r="CE614" s="85"/>
      <c r="CF614" s="85"/>
      <c r="CG614" s="85"/>
      <c r="CH614" s="85"/>
      <c r="CI614" s="85"/>
      <c r="CJ614" s="85"/>
      <c r="CK614" s="2"/>
    </row>
    <row r="615" ht="12.75" customHeight="1">
      <c r="A615" s="80">
        <f>IFERROR(__xludf.DUMMYFUNCTION("""COMPUTED_VALUE"""),612.0)</f>
        <v>612</v>
      </c>
      <c r="B615" s="80"/>
      <c r="C615" s="80"/>
      <c r="D615" s="81">
        <f>IFERROR(__xludf.DUMMYFUNCTION("""COMPUTED_VALUE"""),45884.0)</f>
        <v>45884</v>
      </c>
      <c r="E615" s="82"/>
      <c r="F615" s="80"/>
      <c r="G615" s="81">
        <f>IFERROR(__xludf.DUMMYFUNCTION("""COMPUTED_VALUE"""),45895.0)</f>
        <v>45895</v>
      </c>
      <c r="H615" s="80"/>
      <c r="I615" s="80"/>
      <c r="J615" s="80"/>
      <c r="K615" s="80"/>
      <c r="L615" s="80">
        <f>IFERROR(__xludf.DUMMYFUNCTION("""COMPUTED_VALUE"""),11.0)</f>
        <v>11</v>
      </c>
      <c r="M615" s="80" t="str">
        <f>IFERROR(__xludf.DUMMYFUNCTION("""COMPUTED_VALUE"""),"ü")</f>
        <v>ü</v>
      </c>
      <c r="N615" s="80"/>
      <c r="O615" s="80"/>
      <c r="P615" s="80" t="str">
        <f>IFERROR(__xludf.DUMMYFUNCTION("""COMPUTED_VALUE"""),"MLO5500047CUMPOS")</f>
        <v>MLO5500047CUMPOS</v>
      </c>
      <c r="Q615" s="80" t="str">
        <f>IFERROR(__xludf.DUMMYFUNCTION("""COMPUTED_VALUE"""),"MUC ORPHI STORE")</f>
        <v>MUC ORPHI STORE</v>
      </c>
      <c r="R615" s="80" t="str">
        <f>IFERROR(__xludf.DUMMYFUNCTION("""COMPUTED_VALUE"""),"MUC ORPHI STORE")</f>
        <v>MUC ORPHI STORE</v>
      </c>
      <c r="S615" s="80" t="str">
        <f>IFERROR(__xludf.DUMMYFUNCTION("""COMPUTED_VALUE"""),"NIKIN")</f>
        <v>NIKIN</v>
      </c>
      <c r="T615" s="80" t="str">
        <f>IFERROR(__xludf.DUMMYFUNCTION("""COMPUTED_VALUE"""),"DUSUN PON, RT 010,RW 004, DESA PASALEMAN, KEC. PASALEMAN, KAB. CIREBON")</f>
        <v>DUSUN PON, RT 010,RW 004, DESA PASALEMAN, KEC. PASALEMAN, KAB. CIREBON</v>
      </c>
      <c r="U615" s="80" t="str">
        <f>IFERROR(__xludf.DUMMYFUNCTION("""COMPUTED_VALUE"""),"DUSUN PON, RT 010, RW 004, DESA PASALEMAN, KEC. PASALEMAN")</f>
        <v>DUSUN PON, RT 010, RW 004, DESA PASALEMAN, KEC. PASALEMAN</v>
      </c>
      <c r="V615" s="80"/>
      <c r="W615" s="80" t="str">
        <f>IFERROR(__xludf.DUMMYFUNCTION("""COMPUTED_VALUE"""),"PASALEMAN")</f>
        <v>PASALEMAN</v>
      </c>
      <c r="X615" s="80" t="str">
        <f>IFERROR(__xludf.DUMMYFUNCTION("""COMPUTED_VALUE"""),"PASALEMAN")</f>
        <v>PASALEMAN</v>
      </c>
      <c r="Y615" s="80" t="str">
        <f>IFERROR(__xludf.DUMMYFUNCTION("""COMPUTED_VALUE"""),"CIREBON")</f>
        <v>CIREBON</v>
      </c>
      <c r="Z615" s="80" t="str">
        <f>IFERROR(__xludf.DUMMYFUNCTION("""COMPUTED_VALUE"""),"JAWA BARAT")</f>
        <v>JAWA BARAT</v>
      </c>
      <c r="AA615" s="80" t="str">
        <f>IFERROR(__xludf.DUMMYFUNCTION("""COMPUTED_VALUE"""),"45187")</f>
        <v>45187</v>
      </c>
      <c r="AB615" s="80" t="str">
        <f>IFERROR(__xludf.DUMMYFUNCTION("""COMPUTED_VALUE"""),"3209022712870004")</f>
        <v>3209022712870004</v>
      </c>
      <c r="AC615" s="80" t="str">
        <f>IFERROR(__xludf.DUMMYFUNCTION("""COMPUTED_VALUE"""),"3209 0227 1287 0004")</f>
        <v>3209 0227 1287 0004</v>
      </c>
      <c r="AD615" s="80" t="str">
        <f>IFERROR(__xludf.DUMMYFUNCTION("""COMPUTED_VALUE"""),"CUM - PS - JHR")</f>
        <v>CUM - PS - JHR</v>
      </c>
      <c r="AE615" s="80" t="str">
        <f>IFERROR(__xludf.DUMMYFUNCTION("""COMPUTED_VALUE"""),"SUB JOHAN POS")</f>
        <v>SUB JOHAN POS</v>
      </c>
      <c r="AF615" s="80" t="str">
        <f>IFERROR(__xludf.DUMMYFUNCTION("""COMPUTED_VALUE"""),"089675827001")</f>
        <v>089675827001</v>
      </c>
      <c r="AG615" s="80"/>
      <c r="AH615" s="80" t="str">
        <f>IFERROR(__xludf.DUMMYFUNCTION("""COMPUTED_VALUE"""),"chaira.azzahra@gmail.com")</f>
        <v>chaira.azzahra@gmail.com</v>
      </c>
      <c r="AI615" s="80" t="str">
        <f>IFERROR(__xludf.DUMMYFUNCTION("""COMPUTED_VALUE"""),"45697S3")</f>
        <v>45697S3</v>
      </c>
      <c r="AJ615" s="80" t="str">
        <f>IFERROR(__xludf.DUMMYFUNCTION("""COMPUTED_VALUE"""),"68a9b925bb5ad9b050025793")</f>
        <v>68a9b925bb5ad9b050025793</v>
      </c>
      <c r="AK615" s="80" t="str">
        <f>IFERROR(__xludf.DUMMYFUNCTION("""COMPUTED_VALUE"""),"dm45697s3")</f>
        <v>dm45697s3</v>
      </c>
      <c r="AL615" s="80" t="str">
        <f>IFERROR(__xludf.DUMMYFUNCTION("""COMPUTED_VALUE"""),"#45697Pos")</f>
        <v>#45697Pos</v>
      </c>
      <c r="AM615" s="80" t="str">
        <f>IFERROR(__xludf.DUMMYFUNCTION("""COMPUTED_VALUE"""),"KANTOR REGIONAL III BANDUNG 40004")</f>
        <v>KANTOR REGIONAL III BANDUNG 40004</v>
      </c>
      <c r="AN615" s="80" t="str">
        <f>IFERROR(__xludf.DUMMYFUNCTION("""COMPUTED_VALUE"""),"KCU CIREBON 45100")</f>
        <v>KCU CIREBON 45100</v>
      </c>
      <c r="AO615" s="80" t="str">
        <f>IFERROR(__xludf.DUMMYFUNCTION("""COMPUTED_VALUE"""),"1408250130359")</f>
        <v>1408250130359</v>
      </c>
      <c r="AP615" s="80" t="str">
        <f>IFERROR(__xludf.DUMMYFUNCTION("""COMPUTED_VALUE"""),"14082501303590001")</f>
        <v>14082501303590001</v>
      </c>
      <c r="AQ615" s="83"/>
      <c r="AR615" s="80"/>
      <c r="AS615" s="80"/>
      <c r="AT615" s="80" t="str">
        <f>IFERROR(__xludf.DUMMYFUNCTION("""COMPUTED_VALUE"""),"-6.877323")</f>
        <v>-6.877323</v>
      </c>
      <c r="AU615" s="80" t="str">
        <f>IFERROR(__xludf.DUMMYFUNCTION("""COMPUTED_VALUE"""),"108.721195")</f>
        <v>108.721195</v>
      </c>
      <c r="AV615" s="80"/>
      <c r="AW615" s="80"/>
      <c r="AX615" s="80"/>
      <c r="AY615" s="80"/>
      <c r="AZ615" s="80"/>
      <c r="BA615" s="80"/>
      <c r="BB615" s="80"/>
      <c r="BC615" s="80"/>
      <c r="BD615" s="80"/>
      <c r="BE615" s="80"/>
      <c r="BF615" s="80"/>
      <c r="BG615" s="80"/>
      <c r="BH615" s="80"/>
      <c r="BI615" s="80"/>
      <c r="BJ615" s="80"/>
      <c r="BK615" s="80"/>
      <c r="BL615" s="80"/>
      <c r="BM615" s="80"/>
      <c r="BN615" s="80"/>
      <c r="BO615" s="80"/>
      <c r="BP615" s="80"/>
      <c r="BQ615" s="80"/>
      <c r="BR615" s="80"/>
      <c r="BS615" s="80"/>
      <c r="BT615" s="80"/>
      <c r="BU615" s="80"/>
      <c r="BV615" s="80"/>
      <c r="BW615" s="80"/>
      <c r="BX615" s="80" t="str">
        <f>IFERROR(__xludf.DUMMYFUNCTION("""COMPUTED_VALUE"""),"SELLER")</f>
        <v>SELLER</v>
      </c>
      <c r="BY615" s="80"/>
      <c r="BZ615" s="80"/>
      <c r="CA615" s="80"/>
      <c r="CB615" s="80"/>
      <c r="CC615" s="80"/>
      <c r="CD615" s="80"/>
      <c r="CE615" s="80"/>
      <c r="CF615" s="80"/>
      <c r="CG615" s="80"/>
      <c r="CH615" s="80"/>
      <c r="CI615" s="80"/>
      <c r="CJ615" s="80"/>
      <c r="CK615" s="2"/>
    </row>
    <row r="616" ht="12.75" customHeight="1">
      <c r="A616" s="85">
        <f>IFERROR(__xludf.DUMMYFUNCTION("""COMPUTED_VALUE"""),613.0)</f>
        <v>613</v>
      </c>
      <c r="B616" s="85"/>
      <c r="C616" s="85"/>
      <c r="D616" s="86">
        <f>IFERROR(__xludf.DUMMYFUNCTION("""COMPUTED_VALUE"""),45884.0)</f>
        <v>45884</v>
      </c>
      <c r="E616" s="88"/>
      <c r="F616" s="85"/>
      <c r="G616" s="86">
        <f>IFERROR(__xludf.DUMMYFUNCTION("""COMPUTED_VALUE"""),45917.0)</f>
        <v>45917</v>
      </c>
      <c r="H616" s="85"/>
      <c r="I616" s="85"/>
      <c r="J616" s="85"/>
      <c r="K616" s="85"/>
      <c r="L616" s="85">
        <f>IFERROR(__xludf.DUMMYFUNCTION("""COMPUTED_VALUE"""),33.0)</f>
        <v>33</v>
      </c>
      <c r="M616" s="85"/>
      <c r="N616" s="85" t="str">
        <f>IFERROR(__xludf.DUMMYFUNCTION("""COMPUTED_VALUE"""),"ü")</f>
        <v>ü</v>
      </c>
      <c r="O616" s="85"/>
      <c r="P616" s="85" t="str">
        <f>IFERROR(__xludf.DUMMYFUNCTION("""COMPUTED_VALUE"""),"MUCSPA63227PSIND")</f>
        <v>MUCSPA63227PSIND</v>
      </c>
      <c r="Q616" s="85" t="str">
        <f>IFERROR(__xludf.DUMMYFUNCTION("""COMPUTED_VALUE"""),"MUC KDMP TAMBAKSARI")</f>
        <v>MUC KDMP TAMBAKSARI</v>
      </c>
      <c r="R616" s="85" t="str">
        <f>IFERROR(__xludf.DUMMYFUNCTION("""COMPUTED_VALUE"""),"MUC KDMP TAMBAKSARI")</f>
        <v>MUC KDMP TAMBAKSARI</v>
      </c>
      <c r="S616" s="85" t="str">
        <f>IFERROR(__xludf.DUMMYFUNCTION("""COMPUTED_VALUE"""),"ABDUL KARMAN")</f>
        <v>ABDUL KARMAN</v>
      </c>
      <c r="T616" s="85" t="str">
        <f>IFERROR(__xludf.DUMMYFUNCTION("""COMPUTED_VALUE"""),"DUSUN CINARA RT.005 RW.002 TAMBAKSARI, TIRTAJAYA, KAB. KARAWANG")</f>
        <v>DUSUN CINARA RT.005 RW.002 TAMBAKSARI, TIRTAJAYA, KAB. KARAWANG</v>
      </c>
      <c r="U616" s="85" t="str">
        <f>IFERROR(__xludf.DUMMYFUNCTION("""COMPUTED_VALUE"""),"Jalan Pelelangan Ikan RT.007.003")</f>
        <v>Jalan Pelelangan Ikan RT.007.003</v>
      </c>
      <c r="V616" s="85"/>
      <c r="W616" s="85" t="str">
        <f>IFERROR(__xludf.DUMMYFUNCTION("""COMPUTED_VALUE"""),"Tambaksari")</f>
        <v>Tambaksari</v>
      </c>
      <c r="X616" s="85" t="str">
        <f>IFERROR(__xludf.DUMMYFUNCTION("""COMPUTED_VALUE"""),"Tirtajaya")</f>
        <v>Tirtajaya</v>
      </c>
      <c r="Y616" s="85" t="str">
        <f>IFERROR(__xludf.DUMMYFUNCTION("""COMPUTED_VALUE"""),"Kab. Karawang")</f>
        <v>Kab. Karawang</v>
      </c>
      <c r="Z616" s="85" t="str">
        <f>IFERROR(__xludf.DUMMYFUNCTION("""COMPUTED_VALUE"""),"Jawa Barat")</f>
        <v>Jawa Barat</v>
      </c>
      <c r="AA616" s="85" t="str">
        <f>IFERROR(__xludf.DUMMYFUNCTION("""COMPUTED_VALUE"""),"41357")</f>
        <v>41357</v>
      </c>
      <c r="AB616" s="85" t="str">
        <f>IFERROR(__xludf.DUMMYFUNCTION("""COMPUTED_VALUE"""),"3215091708870011")</f>
        <v>3215091708870011</v>
      </c>
      <c r="AC616" s="85" t="str">
        <f>IFERROR(__xludf.DUMMYFUNCTION("""COMPUTED_VALUE"""),"1000 0000 0384 7475")</f>
        <v>1000 0000 0384 7475</v>
      </c>
      <c r="AD616" s="85" t="str">
        <f>IFERROR(__xludf.DUMMYFUNCTION("""COMPUTED_VALUE"""),"CUM - PS - SITIH")</f>
        <v>CUM - PS - SITIH</v>
      </c>
      <c r="AE616" s="85" t="str">
        <f>IFERROR(__xludf.DUMMYFUNCTION("""COMPUTED_VALUE"""),"SUB SITI POS")</f>
        <v>SUB SITI POS</v>
      </c>
      <c r="AF616" s="85" t="str">
        <f>IFERROR(__xludf.DUMMYFUNCTION("""COMPUTED_VALUE"""),"085774890303")</f>
        <v>085774890303</v>
      </c>
      <c r="AG616" s="85"/>
      <c r="AH616" s="85" t="str">
        <f>IFERROR(__xludf.DUMMYFUNCTION("""COMPUTED_VALUE"""),"abdoelkarman@gmail.com")</f>
        <v>abdoelkarman@gmail.com</v>
      </c>
      <c r="AI616" s="85" t="str">
        <f>IFERROR(__xludf.DUMMYFUNCTION("""COMPUTED_VALUE"""),"41357Y1")</f>
        <v>41357Y1</v>
      </c>
      <c r="AJ616" s="85" t="str">
        <f>IFERROR(__xludf.DUMMYFUNCTION("""COMPUTED_VALUE"""),"68c8e36495f146810b0cf3f2")</f>
        <v>68c8e36495f146810b0cf3f2</v>
      </c>
      <c r="AK616" s="85" t="str">
        <f>IFERROR(__xludf.DUMMYFUNCTION("""COMPUTED_VALUE"""),"dm41357y1")</f>
        <v>dm41357y1</v>
      </c>
      <c r="AL616" s="85" t="str">
        <f>IFERROR(__xludf.DUMMYFUNCTION("""COMPUTED_VALUE"""),"#41357Pos")</f>
        <v>#41357Pos</v>
      </c>
      <c r="AM616" s="85" t="str">
        <f>IFERROR(__xludf.DUMMYFUNCTION("""COMPUTED_VALUE"""),"KANTOR REGIONAL III BANDUNG 40004")</f>
        <v>KANTOR REGIONAL III BANDUNG 40004</v>
      </c>
      <c r="AN616" s="85" t="str">
        <f>IFERROR(__xludf.DUMMYFUNCTION("""COMPUTED_VALUE"""),"KCU KARAWANG 41300")</f>
        <v>KCU KARAWANG 41300</v>
      </c>
      <c r="AO616" s="85" t="str">
        <f>IFERROR(__xludf.DUMMYFUNCTION("""COMPUTED_VALUE"""),"2307250143489")</f>
        <v>2307250143489</v>
      </c>
      <c r="AP616" s="85" t="str">
        <f>IFERROR(__xludf.DUMMYFUNCTION("""COMPUTED_VALUE"""),"23072501434890003")</f>
        <v>23072501434890003</v>
      </c>
      <c r="AQ616" s="93"/>
      <c r="AR616" s="85"/>
      <c r="AS616" s="85"/>
      <c r="AT616" s="85" t="str">
        <f>IFERROR(__xludf.DUMMYFUNCTION("""COMPUTED_VALUE"""),"-6.0116005")</f>
        <v>-6.0116005</v>
      </c>
      <c r="AU616" s="85" t="str">
        <f>IFERROR(__xludf.DUMMYFUNCTION("""COMPUTED_VALUE"""),"107.2259863")</f>
        <v>107.2259863</v>
      </c>
      <c r="AV616" s="85"/>
      <c r="AW616" s="85"/>
      <c r="AX616" s="85"/>
      <c r="AY616" s="85"/>
      <c r="AZ616" s="85"/>
      <c r="BA616" s="85"/>
      <c r="BB616" s="85"/>
      <c r="BC616" s="85"/>
      <c r="BD616" s="85"/>
      <c r="BE616" s="85"/>
      <c r="BF616" s="85"/>
      <c r="BG616" s="85"/>
      <c r="BH616" s="85"/>
      <c r="BI616" s="85"/>
      <c r="BJ616" s="85"/>
      <c r="BK616" s="85"/>
      <c r="BL616" s="85"/>
      <c r="BM616" s="85"/>
      <c r="BN616" s="85"/>
      <c r="BO616" s="85"/>
      <c r="BP616" s="85"/>
      <c r="BQ616" s="85"/>
      <c r="BR616" s="85"/>
      <c r="BS616" s="85"/>
      <c r="BT616" s="85"/>
      <c r="BU616" s="85"/>
      <c r="BV616" s="85"/>
      <c r="BW616" s="85"/>
      <c r="BX616" s="85" t="str">
        <f>IFERROR(__xludf.DUMMYFUNCTION("""COMPUTED_VALUE"""),"KDMP")</f>
        <v>KDMP</v>
      </c>
      <c r="BY616" s="85"/>
      <c r="BZ616" s="85"/>
      <c r="CA616" s="85"/>
      <c r="CB616" s="85"/>
      <c r="CC616" s="85"/>
      <c r="CD616" s="85"/>
      <c r="CE616" s="85"/>
      <c r="CF616" s="85"/>
      <c r="CG616" s="85"/>
      <c r="CH616" s="85"/>
      <c r="CI616" s="85"/>
      <c r="CJ616" s="85"/>
      <c r="CK616" s="2"/>
    </row>
    <row r="617" ht="12.75" customHeight="1">
      <c r="A617" s="80">
        <f>IFERROR(__xludf.DUMMYFUNCTION("""COMPUTED_VALUE"""),614.0)</f>
        <v>614</v>
      </c>
      <c r="B617" s="80"/>
      <c r="C617" s="80"/>
      <c r="D617" s="81">
        <f>IFERROR(__xludf.DUMMYFUNCTION("""COMPUTED_VALUE"""),45889.0)</f>
        <v>45889</v>
      </c>
      <c r="E617" s="82"/>
      <c r="F617" s="80"/>
      <c r="G617" s="81">
        <f>IFERROR(__xludf.DUMMYFUNCTION("""COMPUTED_VALUE"""),45902.0)</f>
        <v>45902</v>
      </c>
      <c r="H617" s="80"/>
      <c r="I617" s="80"/>
      <c r="J617" s="80"/>
      <c r="K617" s="80"/>
      <c r="L617" s="80">
        <f>IFERROR(__xludf.DUMMYFUNCTION("""COMPUTED_VALUE"""),13.0)</f>
        <v>13</v>
      </c>
      <c r="M617" s="80" t="str">
        <f>IFERROR(__xludf.DUMMYFUNCTION("""COMPUTED_VALUE"""),"ü")</f>
        <v>ü</v>
      </c>
      <c r="N617" s="80"/>
      <c r="O617" s="80"/>
      <c r="P617" s="80" t="str">
        <f>IFERROR(__xludf.DUMMYFUNCTION("""COMPUTED_VALUE"""),"53BSPA09638JBEEN")</f>
        <v>53BSPA09638JBEEN</v>
      </c>
      <c r="Q617" s="80" t="str">
        <f>IFERROR(__xludf.DUMMYFUNCTION("""COMPUTED_VALUE"""),"MUC TRIDAYA SAKTI")</f>
        <v>MUC TRIDAYA SAKTI</v>
      </c>
      <c r="R617" s="80" t="str">
        <f>IFERROR(__xludf.DUMMYFUNCTION("""COMPUTED_VALUE"""),"MUC TRIDAYA SAKTI")</f>
        <v>MUC TRIDAYA SAKTI</v>
      </c>
      <c r="S617" s="80" t="str">
        <f>IFERROR(__xludf.DUMMYFUNCTION("""COMPUTED_VALUE"""),"ANDI KUSNANDI")</f>
        <v>ANDI KUSNANDI</v>
      </c>
      <c r="T617" s="80" t="str">
        <f>IFERROR(__xludf.DUMMYFUNCTION("""COMPUTED_VALUE"""),"KP.SASAK TIGA RT.003 RW.003, TRIDAYASAKTI, TAMBUN SELATAN, KAB. BEKASI")</f>
        <v>KP.SASAK TIGA RT.003 RW.003, TRIDAYASAKTI, TAMBUN SELATAN, KAB. BEKASI</v>
      </c>
      <c r="U617" s="80" t="str">
        <f>IFERROR(__xludf.DUMMYFUNCTION("""COMPUTED_VALUE"""),"Kp Sasak Tiga Gg Musolah alhikmah RT3/4")</f>
        <v>Kp Sasak Tiga Gg Musolah alhikmah RT3/4</v>
      </c>
      <c r="V617" s="80"/>
      <c r="W617" s="80" t="str">
        <f>IFERROR(__xludf.DUMMYFUNCTION("""COMPUTED_VALUE"""),"Tridaya Sakti")</f>
        <v>Tridaya Sakti</v>
      </c>
      <c r="X617" s="80" t="str">
        <f>IFERROR(__xludf.DUMMYFUNCTION("""COMPUTED_VALUE"""),"Tambun Selatan")</f>
        <v>Tambun Selatan</v>
      </c>
      <c r="Y617" s="80" t="str">
        <f>IFERROR(__xludf.DUMMYFUNCTION("""COMPUTED_VALUE"""),"Kab. Bekasi")</f>
        <v>Kab. Bekasi</v>
      </c>
      <c r="Z617" s="80" t="str">
        <f>IFERROR(__xludf.DUMMYFUNCTION("""COMPUTED_VALUE"""),"Jawa Barat")</f>
        <v>Jawa Barat</v>
      </c>
      <c r="AA617" s="80" t="str">
        <f>IFERROR(__xludf.DUMMYFUNCTION("""COMPUTED_VALUE"""),"17510")</f>
        <v>17510</v>
      </c>
      <c r="AB617" s="80" t="str">
        <f>IFERROR(__xludf.DUMMYFUNCTION("""COMPUTED_VALUE"""),"3216060404820024")</f>
        <v>3216060404820024</v>
      </c>
      <c r="AC617" s="80" t="str">
        <f>IFERROR(__xludf.DUMMYFUNCTION("""COMPUTED_VALUE"""),"55.133.600.1-435.000")</f>
        <v>55.133.600.1-435.000</v>
      </c>
      <c r="AD617" s="80" t="str">
        <f>IFERROR(__xludf.DUMMYFUNCTION("""COMPUTED_VALUE"""),"CUM - EEN")</f>
        <v>CUM - EEN</v>
      </c>
      <c r="AE617" s="80" t="str">
        <f>IFERROR(__xludf.DUMMYFUNCTION("""COMPUTED_VALUE"""),"SUB EEN")</f>
        <v>SUB EEN</v>
      </c>
      <c r="AF617" s="80" t="str">
        <f>IFERROR(__xludf.DUMMYFUNCTION("""COMPUTED_VALUE"""),"08561121469")</f>
        <v>08561121469</v>
      </c>
      <c r="AG617" s="80"/>
      <c r="AH617" s="80" t="str">
        <f>IFERROR(__xludf.DUMMYFUNCTION("""COMPUTED_VALUE"""),"andiherbal.info@gmail.com")</f>
        <v>andiherbal.info@gmail.com</v>
      </c>
      <c r="AI617" s="80" t="str">
        <f>IFERROR(__xludf.DUMMYFUNCTION("""COMPUTED_VALUE"""),"17516S3")</f>
        <v>17516S3</v>
      </c>
      <c r="AJ617" s="80" t="str">
        <f>IFERROR(__xludf.DUMMYFUNCTION("""COMPUTED_VALUE"""),"68b2670feb96b17a310ccc75")</f>
        <v>68b2670feb96b17a310ccc75</v>
      </c>
      <c r="AK617" s="80" t="str">
        <f>IFERROR(__xludf.DUMMYFUNCTION("""COMPUTED_VALUE"""),"dm17516s3")</f>
        <v>dm17516s3</v>
      </c>
      <c r="AL617" s="80" t="str">
        <f>IFERROR(__xludf.DUMMYFUNCTION("""COMPUTED_VALUE"""),"#17516Pos")</f>
        <v>#17516Pos</v>
      </c>
      <c r="AM617" s="80" t="str">
        <f>IFERROR(__xludf.DUMMYFUNCTION("""COMPUTED_VALUE"""),"KANTOR REGIONAL II JAKARTA 10004")</f>
        <v>KANTOR REGIONAL II JAKARTA 10004</v>
      </c>
      <c r="AN617" s="80" t="str">
        <f>IFERROR(__xludf.DUMMYFUNCTION("""COMPUTED_VALUE"""),"KC CIKARANG 17500")</f>
        <v>KC CIKARANG 17500</v>
      </c>
      <c r="AO617" s="80" t="str">
        <f>IFERROR(__xludf.DUMMYFUNCTION("""COMPUTED_VALUE"""),"2008250008959")</f>
        <v>2008250008959</v>
      </c>
      <c r="AP617" s="80" t="str">
        <f>IFERROR(__xludf.DUMMYFUNCTION("""COMPUTED_VALUE"""),"20082500089590001")</f>
        <v>20082500089590001</v>
      </c>
      <c r="AQ617" s="83"/>
      <c r="AR617" s="80"/>
      <c r="AS617" s="80"/>
      <c r="AT617" s="80" t="str">
        <f>IFERROR(__xludf.DUMMYFUNCTION("""COMPUTED_VALUE"""),"-6.247370")</f>
        <v>-6.247370</v>
      </c>
      <c r="AU617" s="80" t="str">
        <f>IFERROR(__xludf.DUMMYFUNCTION("""COMPUTED_VALUE"""),"107.078630")</f>
        <v>107.078630</v>
      </c>
      <c r="AV617" s="80"/>
      <c r="AW617" s="80"/>
      <c r="AX617" s="80"/>
      <c r="AY617" s="80"/>
      <c r="AZ617" s="80"/>
      <c r="BA617" s="80"/>
      <c r="BB617" s="80"/>
      <c r="BC617" s="80"/>
      <c r="BD617" s="80"/>
      <c r="BE617" s="80"/>
      <c r="BF617" s="80"/>
      <c r="BG617" s="80"/>
      <c r="BH617" s="80"/>
      <c r="BI617" s="80"/>
      <c r="BJ617" s="80"/>
      <c r="BK617" s="80"/>
      <c r="BL617" s="80"/>
      <c r="BM617" s="80"/>
      <c r="BN617" s="80"/>
      <c r="BO617" s="80"/>
      <c r="BP617" s="80"/>
      <c r="BQ617" s="80"/>
      <c r="BR617" s="80"/>
      <c r="BS617" s="80"/>
      <c r="BT617" s="80"/>
      <c r="BU617" s="80"/>
      <c r="BV617" s="80"/>
      <c r="BW617" s="80"/>
      <c r="BX617" s="80" t="str">
        <f>IFERROR(__xludf.DUMMYFUNCTION("""COMPUTED_VALUE"""),"MULTIKURIR - JNT CARGO")</f>
        <v>MULTIKURIR - JNT CARGO</v>
      </c>
      <c r="BY617" s="80"/>
      <c r="BZ617" s="80"/>
      <c r="CA617" s="80"/>
      <c r="CB617" s="80"/>
      <c r="CC617" s="80"/>
      <c r="CD617" s="80"/>
      <c r="CE617" s="80"/>
      <c r="CF617" s="80"/>
      <c r="CG617" s="80"/>
      <c r="CH617" s="80"/>
      <c r="CI617" s="80"/>
      <c r="CJ617" s="80"/>
      <c r="CK617" s="2"/>
    </row>
    <row r="618" ht="12.75" customHeight="1">
      <c r="A618" s="85">
        <f>IFERROR(__xludf.DUMMYFUNCTION("""COMPUTED_VALUE"""),615.0)</f>
        <v>615</v>
      </c>
      <c r="B618" s="85"/>
      <c r="C618" s="85"/>
      <c r="D618" s="86">
        <f>IFERROR(__xludf.DUMMYFUNCTION("""COMPUTED_VALUE"""),45889.0)</f>
        <v>45889</v>
      </c>
      <c r="E618" s="88"/>
      <c r="F618" s="85"/>
      <c r="G618" s="86">
        <f>IFERROR(__xludf.DUMMYFUNCTION("""COMPUTED_VALUE"""),45895.0)</f>
        <v>45895</v>
      </c>
      <c r="H618" s="85"/>
      <c r="I618" s="85"/>
      <c r="J618" s="85"/>
      <c r="K618" s="85"/>
      <c r="L618" s="85">
        <f>IFERROR(__xludf.DUMMYFUNCTION("""COMPUTED_VALUE"""),6.0)</f>
        <v>6</v>
      </c>
      <c r="M618" s="85" t="str">
        <f>IFERROR(__xludf.DUMMYFUNCTION("""COMPUTED_VALUE"""),"ü")</f>
        <v>ü</v>
      </c>
      <c r="N618" s="85"/>
      <c r="O618" s="85"/>
      <c r="P618" s="85" t="str">
        <f>IFERROR(__xludf.DUMMYFUNCTION("""COMPUTED_VALUE"""),"MUCSPA63228PSIND")</f>
        <v>MUCSPA63228PSIND</v>
      </c>
      <c r="Q618" s="85" t="str">
        <f>IFERROR(__xludf.DUMMYFUNCTION("""COMPUTED_VALUE"""),"MUC YK POST")</f>
        <v>MUC YK POST</v>
      </c>
      <c r="R618" s="85" t="str">
        <f>IFERROR(__xludf.DUMMYFUNCTION("""COMPUTED_VALUE"""),"MUC YK POST")</f>
        <v>MUC YK POST</v>
      </c>
      <c r="S618" s="85" t="str">
        <f>IFERROR(__xludf.DUMMYFUNCTION("""COMPUTED_VALUE"""),"ARMIYA")</f>
        <v>ARMIYA</v>
      </c>
      <c r="T618" s="85" t="str">
        <f>IFERROR(__xludf.DUMMYFUNCTION("""COMPUTED_VALUE"""),"DUSUN UJUNG SAPEK, GEULANGGANG GAJAH, KUALA BATEE, KAB. ACEH BARAT DAYA")</f>
        <v>DUSUN UJUNG SAPEK, GEULANGGANG GAJAH, KUALA BATEE, KAB. ACEH BARAT DAYA</v>
      </c>
      <c r="U618" s="85" t="str">
        <f>IFERROR(__xludf.DUMMYFUNCTION("""COMPUTED_VALUE"""),"Jalan Nasional")</f>
        <v>Jalan Nasional</v>
      </c>
      <c r="V618" s="85"/>
      <c r="W618" s="85" t="str">
        <f>IFERROR(__xludf.DUMMYFUNCTION("""COMPUTED_VALUE"""),"Geulanggang Gajah")</f>
        <v>Geulanggang Gajah</v>
      </c>
      <c r="X618" s="85" t="str">
        <f>IFERROR(__xludf.DUMMYFUNCTION("""COMPUTED_VALUE"""),"Kuala Batee")</f>
        <v>Kuala Batee</v>
      </c>
      <c r="Y618" s="85" t="str">
        <f>IFERROR(__xludf.DUMMYFUNCTION("""COMPUTED_VALUE"""),"Kab. Aceh Barat Daya")</f>
        <v>Kab. Aceh Barat Daya</v>
      </c>
      <c r="Z618" s="85" t="str">
        <f>IFERROR(__xludf.DUMMYFUNCTION("""COMPUTED_VALUE"""),"Aceh")</f>
        <v>Aceh</v>
      </c>
      <c r="AA618" s="85" t="str">
        <f>IFERROR(__xludf.DUMMYFUNCTION("""COMPUTED_VALUE"""),"23766")</f>
        <v>23766</v>
      </c>
      <c r="AB618" s="85" t="str">
        <f>IFERROR(__xludf.DUMMYFUNCTION("""COMPUTED_VALUE"""),"1112051105890001")</f>
        <v>1112051105890001</v>
      </c>
      <c r="AC618" s="85" t="str">
        <f>IFERROR(__xludf.DUMMYFUNCTION("""COMPUTED_VALUE"""),"91.613.633.6-106.000")</f>
        <v>91.613.633.6-106.000</v>
      </c>
      <c r="AD618" s="85" t="str">
        <f>IFERROR(__xludf.DUMMYFUNCTION("""COMPUTED_VALUE"""),"BU RINA")</f>
        <v>BU RINA</v>
      </c>
      <c r="AE618" s="85" t="str">
        <f>IFERROR(__xludf.DUMMYFUNCTION("""COMPUTED_VALUE"""),"BU RINA KC TAPAKTUAN")</f>
        <v>BU RINA KC TAPAKTUAN</v>
      </c>
      <c r="AF618" s="85" t="str">
        <f>IFERROR(__xludf.DUMMYFUNCTION("""COMPUTED_VALUE"""),"082365409551")</f>
        <v>082365409551</v>
      </c>
      <c r="AG618" s="85"/>
      <c r="AH618" s="85" t="str">
        <f>IFERROR(__xludf.DUMMYFUNCTION("""COMPUTED_VALUE"""),"armiyaarif89@gmail.com")</f>
        <v>armiyaarif89@gmail.com</v>
      </c>
      <c r="AI618" s="85" t="str">
        <f>IFERROR(__xludf.DUMMYFUNCTION("""COMPUTED_VALUE"""),"23766S1")</f>
        <v>23766S1</v>
      </c>
      <c r="AJ618" s="85" t="str">
        <f>IFERROR(__xludf.DUMMYFUNCTION("""COMPUTED_VALUE"""),"68aa89addb36ad1e330f029c")</f>
        <v>68aa89addb36ad1e330f029c</v>
      </c>
      <c r="AK618" s="85" t="str">
        <f>IFERROR(__xludf.DUMMYFUNCTION("""COMPUTED_VALUE"""),"dm23766s1")</f>
        <v>dm23766s1</v>
      </c>
      <c r="AL618" s="85" t="str">
        <f>IFERROR(__xludf.DUMMYFUNCTION("""COMPUTED_VALUE"""),"#23766Pos")</f>
        <v>#23766Pos</v>
      </c>
      <c r="AM618" s="85" t="str">
        <f>IFERROR(__xludf.DUMMYFUNCTION("""COMPUTED_VALUE"""),"KANTOR REGIONAL I MEDAN 20004")</f>
        <v>KANTOR REGIONAL I MEDAN 20004</v>
      </c>
      <c r="AN618" s="85" t="str">
        <f>IFERROR(__xludf.DUMMYFUNCTION("""COMPUTED_VALUE"""),"KC TAPAKTUAN")</f>
        <v>KC TAPAKTUAN</v>
      </c>
      <c r="AO618" s="85" t="str">
        <f>IFERROR(__xludf.DUMMYFUNCTION("""COMPUTED_VALUE"""),"2506250053773")</f>
        <v>2506250053773</v>
      </c>
      <c r="AP618" s="85" t="str">
        <f>IFERROR(__xludf.DUMMYFUNCTION("""COMPUTED_VALUE"""),"25062500537730001")</f>
        <v>25062500537730001</v>
      </c>
      <c r="AQ618" s="93"/>
      <c r="AR618" s="85"/>
      <c r="AS618" s="85"/>
      <c r="AT618" s="85" t="str">
        <f>IFERROR(__xludf.DUMMYFUNCTION("""COMPUTED_VALUE"""),"3.829899")</f>
        <v>3.829899</v>
      </c>
      <c r="AU618" s="85" t="str">
        <f>IFERROR(__xludf.DUMMYFUNCTION("""COMPUTED_VALUE"""),"96.756000")</f>
        <v>96.756000</v>
      </c>
      <c r="AV618" s="85"/>
      <c r="AW618" s="85"/>
      <c r="AX618" s="85"/>
      <c r="AY618" s="85"/>
      <c r="AZ618" s="85"/>
      <c r="BA618" s="85"/>
      <c r="BB618" s="85"/>
      <c r="BC618" s="85"/>
      <c r="BD618" s="85"/>
      <c r="BE618" s="85"/>
      <c r="BF618" s="85"/>
      <c r="BG618" s="85"/>
      <c r="BH618" s="85"/>
      <c r="BI618" s="85"/>
      <c r="BJ618" s="85"/>
      <c r="BK618" s="85"/>
      <c r="BL618" s="85"/>
      <c r="BM618" s="85"/>
      <c r="BN618" s="85"/>
      <c r="BO618" s="85"/>
      <c r="BP618" s="85"/>
      <c r="BQ618" s="85"/>
      <c r="BR618" s="85"/>
      <c r="BS618" s="85"/>
      <c r="BT618" s="85"/>
      <c r="BU618" s="85"/>
      <c r="BV618" s="85"/>
      <c r="BW618" s="85"/>
      <c r="BX618" s="85" t="str">
        <f>IFERROR(__xludf.DUMMYFUNCTION("""COMPUTED_VALUE"""),"NEWBIE KONTER HP")</f>
        <v>NEWBIE KONTER HP</v>
      </c>
      <c r="BY618" s="85"/>
      <c r="BZ618" s="85"/>
      <c r="CA618" s="85"/>
      <c r="CB618" s="85"/>
      <c r="CC618" s="85"/>
      <c r="CD618" s="85"/>
      <c r="CE618" s="85"/>
      <c r="CF618" s="85"/>
      <c r="CG618" s="85"/>
      <c r="CH618" s="85"/>
      <c r="CI618" s="85"/>
      <c r="CJ618" s="85"/>
      <c r="CK618" s="2"/>
    </row>
    <row r="619" ht="12.75" customHeight="1">
      <c r="A619" s="80">
        <f>IFERROR(__xludf.DUMMYFUNCTION("""COMPUTED_VALUE"""),616.0)</f>
        <v>616</v>
      </c>
      <c r="B619" s="80"/>
      <c r="C619" s="80"/>
      <c r="D619" s="81">
        <f>IFERROR(__xludf.DUMMYFUNCTION("""COMPUTED_VALUE"""),45889.0)</f>
        <v>45889</v>
      </c>
      <c r="E619" s="82"/>
      <c r="F619" s="80"/>
      <c r="G619" s="81">
        <f>IFERROR(__xludf.DUMMYFUNCTION("""COMPUTED_VALUE"""),45895.0)</f>
        <v>45895</v>
      </c>
      <c r="H619" s="80"/>
      <c r="I619" s="80"/>
      <c r="J619" s="80"/>
      <c r="K619" s="80"/>
      <c r="L619" s="80">
        <f>IFERROR(__xludf.DUMMYFUNCTION("""COMPUTED_VALUE"""),6.0)</f>
        <v>6</v>
      </c>
      <c r="M619" s="80" t="str">
        <f>IFERROR(__xludf.DUMMYFUNCTION("""COMPUTED_VALUE"""),"ü")</f>
        <v>ü</v>
      </c>
      <c r="N619" s="80"/>
      <c r="O619" s="80"/>
      <c r="P619" s="80" t="str">
        <f>IFERROR(__xludf.DUMMYFUNCTION("""COMPUTED_VALUE"""),"MUCSPA63229PSIND")</f>
        <v>MUCSPA63229PSIND</v>
      </c>
      <c r="Q619" s="80" t="str">
        <f>IFERROR(__xludf.DUMMYFUNCTION("""COMPUTED_VALUE"""),"MUC RAZAKI BERKAH")</f>
        <v>MUC RAZAKI BERKAH</v>
      </c>
      <c r="R619" s="80" t="str">
        <f>IFERROR(__xludf.DUMMYFUNCTION("""COMPUTED_VALUE"""),"MUC RAZAKI BERKAH")</f>
        <v>MUC RAZAKI BERKAH</v>
      </c>
      <c r="S619" s="80" t="str">
        <f>IFERROR(__xludf.DUMMYFUNCTION("""COMPUTED_VALUE"""),"LISA OKTAVIA")</f>
        <v>LISA OKTAVIA</v>
      </c>
      <c r="T619" s="80" t="str">
        <f>IFERROR(__xludf.DUMMYFUNCTION("""COMPUTED_VALUE"""),"JORONG SIGIRAN, MALALAK UTARA, MALALAK, KAB. AGAM")</f>
        <v>JORONG SIGIRAN, MALALAK UTARA, MALALAK, KAB. AGAM</v>
      </c>
      <c r="U619" s="80" t="str">
        <f>IFERROR(__xludf.DUMMYFUNCTION("""COMPUTED_VALUE"""),"Jl Pariaman - Malalak")</f>
        <v>Jl Pariaman - Malalak</v>
      </c>
      <c r="V619" s="80"/>
      <c r="W619" s="80" t="str">
        <f>IFERROR(__xludf.DUMMYFUNCTION("""COMPUTED_VALUE"""),"Malalak Utara")</f>
        <v>Malalak Utara</v>
      </c>
      <c r="X619" s="80" t="str">
        <f>IFERROR(__xludf.DUMMYFUNCTION("""COMPUTED_VALUE"""),"Malalak")</f>
        <v>Malalak</v>
      </c>
      <c r="Y619" s="80" t="str">
        <f>IFERROR(__xludf.DUMMYFUNCTION("""COMPUTED_VALUE"""),"Kab. Agam")</f>
        <v>Kab. Agam</v>
      </c>
      <c r="Z619" s="80" t="str">
        <f>IFERROR(__xludf.DUMMYFUNCTION("""COMPUTED_VALUE"""),"Sumatera Barat")</f>
        <v>Sumatera Barat</v>
      </c>
      <c r="AA619" s="80" t="str">
        <f>IFERROR(__xludf.DUMMYFUNCTION("""COMPUTED_VALUE"""),"26161")</f>
        <v>26161</v>
      </c>
      <c r="AB619" s="80" t="str">
        <f>IFERROR(__xludf.DUMMYFUNCTION("""COMPUTED_VALUE"""),"1306165810930001")</f>
        <v>1306165810930001</v>
      </c>
      <c r="AC619" s="80" t="str">
        <f>IFERROR(__xludf.DUMMYFUNCTION("""COMPUTED_VALUE"""),"1306 1658 1093 0001")</f>
        <v>1306 1658 1093 0001</v>
      </c>
      <c r="AD619" s="80" t="str">
        <f>IFERROR(__xludf.DUMMYFUNCTION("""COMPUTED_VALUE"""),"BU ESTA")</f>
        <v>BU ESTA</v>
      </c>
      <c r="AE619" s="80" t="str">
        <f>IFERROR(__xludf.DUMMYFUNCTION("""COMPUTED_VALUE"""),"BU ESTA KC BUKITTINGGI")</f>
        <v>BU ESTA KC BUKITTINGGI</v>
      </c>
      <c r="AF619" s="80" t="str">
        <f>IFERROR(__xludf.DUMMYFUNCTION("""COMPUTED_VALUE"""),"085319198505")</f>
        <v>085319198505</v>
      </c>
      <c r="AG619" s="80"/>
      <c r="AH619" s="80" t="str">
        <f>IFERROR(__xludf.DUMMYFUNCTION("""COMPUTED_VALUE"""),"lisa18new@gmail.com")</f>
        <v>lisa18new@gmail.com</v>
      </c>
      <c r="AI619" s="80" t="str">
        <f>IFERROR(__xludf.DUMMYFUNCTION("""COMPUTED_VALUE"""),"26463S1")</f>
        <v>26463S1</v>
      </c>
      <c r="AJ619" s="80" t="str">
        <f>IFERROR(__xludf.DUMMYFUNCTION("""COMPUTED_VALUE"""),"68ac031ee8a3584ec1044ba8")</f>
        <v>68ac031ee8a3584ec1044ba8</v>
      </c>
      <c r="AK619" s="80" t="str">
        <f>IFERROR(__xludf.DUMMYFUNCTION("""COMPUTED_VALUE"""),"dm26463s1")</f>
        <v>dm26463s1</v>
      </c>
      <c r="AL619" s="80" t="str">
        <f>IFERROR(__xludf.DUMMYFUNCTION("""COMPUTED_VALUE"""),"#26463Pos")</f>
        <v>#26463Pos</v>
      </c>
      <c r="AM619" s="80" t="str">
        <f>IFERROR(__xludf.DUMMYFUNCTION("""COMPUTED_VALUE"""),"KANTOR REGIONAL I MEDAN 20004")</f>
        <v>KANTOR REGIONAL I MEDAN 20004</v>
      </c>
      <c r="AN619" s="80" t="str">
        <f>IFERROR(__xludf.DUMMYFUNCTION("""COMPUTED_VALUE"""),"KC BUKITTINGGI")</f>
        <v>KC BUKITTINGGI</v>
      </c>
      <c r="AO619" s="80" t="str">
        <f>IFERROR(__xludf.DUMMYFUNCTION("""COMPUTED_VALUE"""),"1910220066195")</f>
        <v>1910220066195</v>
      </c>
      <c r="AP619" s="80" t="str">
        <f>IFERROR(__xludf.DUMMYFUNCTION("""COMPUTED_VALUE"""),"19102200661950001")</f>
        <v>19102200661950001</v>
      </c>
      <c r="AQ619" s="83"/>
      <c r="AR619" s="80"/>
      <c r="AS619" s="80"/>
      <c r="AT619" s="80" t="str">
        <f>IFERROR(__xludf.DUMMYFUNCTION("""COMPUTED_VALUE"""),"-0.389874")</f>
        <v>-0.389874</v>
      </c>
      <c r="AU619" s="80" t="str">
        <f>IFERROR(__xludf.DUMMYFUNCTION("""COMPUTED_VALUE"""),"100.267119")</f>
        <v>100.267119</v>
      </c>
      <c r="AV619" s="80"/>
      <c r="AW619" s="80"/>
      <c r="AX619" s="80"/>
      <c r="AY619" s="80"/>
      <c r="AZ619" s="80"/>
      <c r="BA619" s="80"/>
      <c r="BB619" s="80"/>
      <c r="BC619" s="80"/>
      <c r="BD619" s="80"/>
      <c r="BE619" s="80"/>
      <c r="BF619" s="80"/>
      <c r="BG619" s="80"/>
      <c r="BH619" s="80"/>
      <c r="BI619" s="80"/>
      <c r="BJ619" s="80"/>
      <c r="BK619" s="80"/>
      <c r="BL619" s="80"/>
      <c r="BM619" s="80"/>
      <c r="BN619" s="80"/>
      <c r="BO619" s="80"/>
      <c r="BP619" s="80"/>
      <c r="BQ619" s="80"/>
      <c r="BR619" s="80"/>
      <c r="BS619" s="80"/>
      <c r="BT619" s="80"/>
      <c r="BU619" s="80"/>
      <c r="BV619" s="80"/>
      <c r="BW619" s="80"/>
      <c r="BX619" s="80" t="str">
        <f>IFERROR(__xludf.DUMMYFUNCTION("""COMPUTED_VALUE"""),"NEWBIE TOKO KELONTONG")</f>
        <v>NEWBIE TOKO KELONTONG</v>
      </c>
      <c r="BY619" s="80"/>
      <c r="BZ619" s="80"/>
      <c r="CA619" s="80"/>
      <c r="CB619" s="80"/>
      <c r="CC619" s="80"/>
      <c r="CD619" s="80"/>
      <c r="CE619" s="80"/>
      <c r="CF619" s="80"/>
      <c r="CG619" s="80"/>
      <c r="CH619" s="80"/>
      <c r="CI619" s="80"/>
      <c r="CJ619" s="80"/>
      <c r="CK619" s="2"/>
    </row>
    <row r="620" ht="12.75" customHeight="1">
      <c r="A620" s="85">
        <f>IFERROR(__xludf.DUMMYFUNCTION("""COMPUTED_VALUE"""),617.0)</f>
        <v>617</v>
      </c>
      <c r="B620" s="85"/>
      <c r="C620" s="85"/>
      <c r="D620" s="86">
        <f>IFERROR(__xludf.DUMMYFUNCTION("""COMPUTED_VALUE"""),45889.0)</f>
        <v>45889</v>
      </c>
      <c r="E620" s="88"/>
      <c r="F620" s="85"/>
      <c r="G620" s="86">
        <f>IFERROR(__xludf.DUMMYFUNCTION("""COMPUTED_VALUE"""),45902.0)</f>
        <v>45902</v>
      </c>
      <c r="H620" s="85"/>
      <c r="I620" s="85"/>
      <c r="J620" s="85"/>
      <c r="K620" s="85"/>
      <c r="L620" s="85">
        <f>IFERROR(__xludf.DUMMYFUNCTION("""COMPUTED_VALUE"""),13.0)</f>
        <v>13</v>
      </c>
      <c r="M620" s="85" t="str">
        <f>IFERROR(__xludf.DUMMYFUNCTION("""COMPUTED_VALUE"""),"ü")</f>
        <v>ü</v>
      </c>
      <c r="N620" s="85"/>
      <c r="O620" s="85"/>
      <c r="P620" s="85" t="str">
        <f>IFERROR(__xludf.DUMMYFUNCTION("""COMPUTED_VALUE"""),"MUCSPA63230PSIND")</f>
        <v>MUCSPA63230PSIND</v>
      </c>
      <c r="Q620" s="85" t="str">
        <f>IFERROR(__xludf.DUMMYFUNCTION("""COMPUTED_VALUE"""),"MUC Haryanda")</f>
        <v>MUC Haryanda</v>
      </c>
      <c r="R620" s="85" t="str">
        <f>IFERROR(__xludf.DUMMYFUNCTION("""COMPUTED_VALUE"""),"MUC Haryanda")</f>
        <v>MUC Haryanda</v>
      </c>
      <c r="S620" s="85" t="str">
        <f>IFERROR(__xludf.DUMMYFUNCTION("""COMPUTED_VALUE"""),"HARYANDA")</f>
        <v>HARYANDA</v>
      </c>
      <c r="T620" s="85" t="str">
        <f>IFERROR(__xludf.DUMMYFUNCTION("""COMPUTED_VALUE"""),"JL. TGK DI PANCU DUSUN RAJA RT.001 RW.001, BLANG BEURANDANG, JOHAN PAHLAWAN, KAB. ACEH BARAT")</f>
        <v>JL. TGK DI PANCU DUSUN RAJA RT.001 RW.001, BLANG BEURANDANG, JOHAN PAHLAWAN, KAB. ACEH BARAT</v>
      </c>
      <c r="U620" s="85" t="str">
        <f>IFERROR(__xludf.DUMMYFUNCTION("""COMPUTED_VALUE"""),"Jln. Tgk dipancu")</f>
        <v>Jln. Tgk dipancu</v>
      </c>
      <c r="V620" s="85"/>
      <c r="W620" s="85" t="str">
        <f>IFERROR(__xludf.DUMMYFUNCTION("""COMPUTED_VALUE"""),"Blang Beurandang")</f>
        <v>Blang Beurandang</v>
      </c>
      <c r="X620" s="85" t="str">
        <f>IFERROR(__xludf.DUMMYFUNCTION("""COMPUTED_VALUE"""),"Johan Pahlawan")</f>
        <v>Johan Pahlawan</v>
      </c>
      <c r="Y620" s="85" t="str">
        <f>IFERROR(__xludf.DUMMYFUNCTION("""COMPUTED_VALUE"""),"Kab. Aceh Barat")</f>
        <v>Kab. Aceh Barat</v>
      </c>
      <c r="Z620" s="85" t="str">
        <f>IFERROR(__xludf.DUMMYFUNCTION("""COMPUTED_VALUE"""),"Aceh")</f>
        <v>Aceh</v>
      </c>
      <c r="AA620" s="85" t="str">
        <f>IFERROR(__xludf.DUMMYFUNCTION("""COMPUTED_VALUE"""),"23618")</f>
        <v>23618</v>
      </c>
      <c r="AB620" s="85" t="str">
        <f>IFERROR(__xludf.DUMMYFUNCTION("""COMPUTED_VALUE"""),"1105011502920005")</f>
        <v>1105011502920005</v>
      </c>
      <c r="AC620" s="85" t="str">
        <f>IFERROR(__xludf.DUMMYFUNCTION("""COMPUTED_VALUE"""),"91.741.696.8-103.000")</f>
        <v>91.741.696.8-103.000</v>
      </c>
      <c r="AD620" s="85" t="str">
        <f>IFERROR(__xludf.DUMMYFUNCTION("""COMPUTED_VALUE"""),"CUM - PS - SRMI")</f>
        <v>CUM - PS - SRMI</v>
      </c>
      <c r="AE620" s="85" t="str">
        <f>IFERROR(__xludf.DUMMYFUNCTION("""COMPUTED_VALUE"""),"PAK MALIK KC MEULABOH")</f>
        <v>PAK MALIK KC MEULABOH</v>
      </c>
      <c r="AF620" s="85" t="str">
        <f>IFERROR(__xludf.DUMMYFUNCTION("""COMPUTED_VALUE"""),"085156335855")</f>
        <v>085156335855</v>
      </c>
      <c r="AG620" s="85"/>
      <c r="AH620" s="85" t="str">
        <f>IFERROR(__xludf.DUMMYFUNCTION("""COMPUTED_VALUE"""),"haryanda.jml@gmail.com")</f>
        <v>haryanda.jml@gmail.com</v>
      </c>
      <c r="AI620" s="85" t="str">
        <f>IFERROR(__xludf.DUMMYFUNCTION("""COMPUTED_VALUE"""),"23651S2")</f>
        <v>23651S2</v>
      </c>
      <c r="AJ620" s="85" t="str">
        <f>IFERROR(__xludf.DUMMYFUNCTION("""COMPUTED_VALUE"""),"68affbcceb288fbc780d3b1b")</f>
        <v>68affbcceb288fbc780d3b1b</v>
      </c>
      <c r="AK620" s="85" t="str">
        <f>IFERROR(__xludf.DUMMYFUNCTION("""COMPUTED_VALUE"""),"dm23651s2")</f>
        <v>dm23651s2</v>
      </c>
      <c r="AL620" s="85" t="str">
        <f>IFERROR(__xludf.DUMMYFUNCTION("""COMPUTED_VALUE"""),"#23651Pos")</f>
        <v>#23651Pos</v>
      </c>
      <c r="AM620" s="85" t="str">
        <f>IFERROR(__xludf.DUMMYFUNCTION("""COMPUTED_VALUE"""),"KANTOR REGIONAL I MEDAN 20004")</f>
        <v>KANTOR REGIONAL I MEDAN 20004</v>
      </c>
      <c r="AN620" s="85" t="str">
        <f>IFERROR(__xludf.DUMMYFUNCTION("""COMPUTED_VALUE"""),"KC MEULABOH")</f>
        <v>KC MEULABOH</v>
      </c>
      <c r="AO620" s="85" t="str">
        <f>IFERROR(__xludf.DUMMYFUNCTION("""COMPUTED_VALUE"""),"0706230107396")</f>
        <v>0706230107396</v>
      </c>
      <c r="AP620" s="85" t="str">
        <f>IFERROR(__xludf.DUMMYFUNCTION("""COMPUTED_VALUE"""),"07062301073960006")</f>
        <v>07062301073960006</v>
      </c>
      <c r="AQ620" s="93"/>
      <c r="AR620" s="85"/>
      <c r="AS620" s="85"/>
      <c r="AT620" s="85" t="str">
        <f>IFERROR(__xludf.DUMMYFUNCTION("""COMPUTED_VALUE"""),"4.188822")</f>
        <v>4.188822</v>
      </c>
      <c r="AU620" s="85" t="str">
        <f>IFERROR(__xludf.DUMMYFUNCTION("""COMPUTED_VALUE"""),"96.149898")</f>
        <v>96.149898</v>
      </c>
      <c r="AV620" s="85"/>
      <c r="AW620" s="85"/>
      <c r="AX620" s="85"/>
      <c r="AY620" s="85"/>
      <c r="AZ620" s="85"/>
      <c r="BA620" s="85"/>
      <c r="BB620" s="85"/>
      <c r="BC620" s="85"/>
      <c r="BD620" s="85"/>
      <c r="BE620" s="85"/>
      <c r="BF620" s="85"/>
      <c r="BG620" s="85"/>
      <c r="BH620" s="85"/>
      <c r="BI620" s="85"/>
      <c r="BJ620" s="85"/>
      <c r="BK620" s="85"/>
      <c r="BL620" s="85"/>
      <c r="BM620" s="85"/>
      <c r="BN620" s="85"/>
      <c r="BO620" s="85"/>
      <c r="BP620" s="85"/>
      <c r="BQ620" s="85"/>
      <c r="BR620" s="85"/>
      <c r="BS620" s="85"/>
      <c r="BT620" s="85"/>
      <c r="BU620" s="85"/>
      <c r="BV620" s="85"/>
      <c r="BW620" s="85"/>
      <c r="BX620" s="85" t="str">
        <f>IFERROR(__xludf.DUMMYFUNCTION("""COMPUTED_VALUE"""),"NEWBIE TOKO KELONTONG")</f>
        <v>NEWBIE TOKO KELONTONG</v>
      </c>
      <c r="BY620" s="85"/>
      <c r="BZ620" s="85"/>
      <c r="CA620" s="85"/>
      <c r="CB620" s="85"/>
      <c r="CC620" s="85"/>
      <c r="CD620" s="85"/>
      <c r="CE620" s="85"/>
      <c r="CF620" s="85"/>
      <c r="CG620" s="85"/>
      <c r="CH620" s="85"/>
      <c r="CI620" s="85"/>
      <c r="CJ620" s="85"/>
      <c r="CK620" s="2"/>
    </row>
    <row r="621" ht="12.75" customHeight="1">
      <c r="A621" s="80">
        <f>IFERROR(__xludf.DUMMYFUNCTION("""COMPUTED_VALUE"""),618.0)</f>
        <v>618</v>
      </c>
      <c r="B621" s="80"/>
      <c r="C621" s="80"/>
      <c r="D621" s="81">
        <f>IFERROR(__xludf.DUMMYFUNCTION("""COMPUTED_VALUE"""),45890.0)</f>
        <v>45890</v>
      </c>
      <c r="E621" s="82"/>
      <c r="F621" s="80"/>
      <c r="G621" s="81">
        <f>IFERROR(__xludf.DUMMYFUNCTION("""COMPUTED_VALUE"""),45915.0)</f>
        <v>45915</v>
      </c>
      <c r="H621" s="80"/>
      <c r="I621" s="80"/>
      <c r="J621" s="80"/>
      <c r="K621" s="80"/>
      <c r="L621" s="80">
        <f>IFERROR(__xludf.DUMMYFUNCTION("""COMPUTED_VALUE"""),25.0)</f>
        <v>25</v>
      </c>
      <c r="M621" s="80"/>
      <c r="N621" s="80" t="str">
        <f>IFERROR(__xludf.DUMMYFUNCTION("""COMPUTED_VALUE"""),"ü")</f>
        <v>ü</v>
      </c>
      <c r="O621" s="80"/>
      <c r="P621" s="80" t="str">
        <f>IFERROR(__xludf.DUMMYFUNCTION("""COMPUTED_VALUE"""),"MUCSPA63231PSIND")</f>
        <v>MUCSPA63231PSIND</v>
      </c>
      <c r="Q621" s="80" t="str">
        <f>IFERROR(__xludf.DUMMYFUNCTION("""COMPUTED_VALUE"""),"MUC KDMP NGABLAK")</f>
        <v>MUC KDMP NGABLAK</v>
      </c>
      <c r="R621" s="80" t="str">
        <f>IFERROR(__xludf.DUMMYFUNCTION("""COMPUTED_VALUE"""),"MUC KDMP NGABLAK")</f>
        <v>MUC KDMP NGABLAK</v>
      </c>
      <c r="S621" s="80" t="str">
        <f>IFERROR(__xludf.DUMMYFUNCTION("""COMPUTED_VALUE"""),"RAHARJO")</f>
        <v>RAHARJO</v>
      </c>
      <c r="T621" s="80" t="str">
        <f>IFERROR(__xludf.DUMMYFUNCTION("""COMPUTED_VALUE"""),"NGABLAK RT.004 RW.002, NGABLAK, CLUWAK, KAB. PATI, JAWA TENGAH")</f>
        <v>NGABLAK RT.004 RW.002, NGABLAK, CLUWAK, KAB. PATI, JAWA TENGAH</v>
      </c>
      <c r="U621" s="80" t="str">
        <f>IFERROR(__xludf.DUMMYFUNCTION("""COMPUTED_VALUE"""),"RT. 04 RW.02 JL RAYA TAYU - JEPARA KM.07")</f>
        <v>RT. 04 RW.02 JL RAYA TAYU - JEPARA KM.07</v>
      </c>
      <c r="V621" s="80"/>
      <c r="W621" s="80" t="str">
        <f>IFERROR(__xludf.DUMMYFUNCTION("""COMPUTED_VALUE"""),"Ngablak")</f>
        <v>Ngablak</v>
      </c>
      <c r="X621" s="80" t="str">
        <f>IFERROR(__xludf.DUMMYFUNCTION("""COMPUTED_VALUE"""),"Cluwak")</f>
        <v>Cluwak</v>
      </c>
      <c r="Y621" s="80" t="str">
        <f>IFERROR(__xludf.DUMMYFUNCTION("""COMPUTED_VALUE"""),"Kab. Pati")</f>
        <v>Kab. Pati</v>
      </c>
      <c r="Z621" s="80" t="str">
        <f>IFERROR(__xludf.DUMMYFUNCTION("""COMPUTED_VALUE"""),"Jawa Tengah")</f>
        <v>Jawa Tengah</v>
      </c>
      <c r="AA621" s="80" t="str">
        <f>IFERROR(__xludf.DUMMYFUNCTION("""COMPUTED_VALUE"""),"59157")</f>
        <v>59157</v>
      </c>
      <c r="AB621" s="80" t="str">
        <f>IFERROR(__xludf.DUMMYFUNCTION("""COMPUTED_VALUE"""),"3318181104630002")</f>
        <v>3318181104630002</v>
      </c>
      <c r="AC621" s="80" t="str">
        <f>IFERROR(__xludf.DUMMYFUNCTION("""COMPUTED_VALUE"""),"1000 0000 0325 4759")</f>
        <v>1000 0000 0325 4759</v>
      </c>
      <c r="AD621" s="80" t="str">
        <f>IFERROR(__xludf.DUMMYFUNCTION("""COMPUTED_VALUE"""),"CUM - PS - EHS")</f>
        <v>CUM - PS - EHS</v>
      </c>
      <c r="AE621" s="80" t="str">
        <f>IFERROR(__xludf.DUMMYFUNCTION("""COMPUTED_VALUE"""),"SUB EKA POS")</f>
        <v>SUB EKA POS</v>
      </c>
      <c r="AF621" s="80" t="str">
        <f>IFERROR(__xludf.DUMMYFUNCTION("""COMPUTED_VALUE"""),"081325786998")</f>
        <v>081325786998</v>
      </c>
      <c r="AG621" s="80"/>
      <c r="AH621" s="80" t="str">
        <f>IFERROR(__xludf.DUMMYFUNCTION("""COMPUTED_VALUE"""),"koperasidesamerahputihngablak@gmail.com")</f>
        <v>koperasidesamerahputihngablak@gmail.com</v>
      </c>
      <c r="AI621" s="80" t="str">
        <f>IFERROR(__xludf.DUMMYFUNCTION("""COMPUTED_VALUE"""),"59157Y1")</f>
        <v>59157Y1</v>
      </c>
      <c r="AJ621" s="80" t="str">
        <f>IFERROR(__xludf.DUMMYFUNCTION("""COMPUTED_VALUE"""),"68c7ac30e8bf56b1340761d7")</f>
        <v>68c7ac30e8bf56b1340761d7</v>
      </c>
      <c r="AK621" s="80" t="str">
        <f>IFERROR(__xludf.DUMMYFUNCTION("""COMPUTED_VALUE"""),"dm59157y1")</f>
        <v>dm59157y1</v>
      </c>
      <c r="AL621" s="80" t="str">
        <f>IFERROR(__xludf.DUMMYFUNCTION("""COMPUTED_VALUE"""),"#59157Pos")</f>
        <v>#59157Pos</v>
      </c>
      <c r="AM621" s="80" t="str">
        <f>IFERROR(__xludf.DUMMYFUNCTION("""COMPUTED_VALUE"""),"KANTOR REGIONAL IV SEMARANG 50004")</f>
        <v>KANTOR REGIONAL IV SEMARANG 50004</v>
      </c>
      <c r="AN621" s="80" t="str">
        <f>IFERROR(__xludf.DUMMYFUNCTION("""COMPUTED_VALUE"""),"KC PATI 59100")</f>
        <v>KC PATI 59100</v>
      </c>
      <c r="AO621" s="80" t="str">
        <f>IFERROR(__xludf.DUMMYFUNCTION("""COMPUTED_VALUE"""),"2406250044794")</f>
        <v>2406250044794</v>
      </c>
      <c r="AP621" s="80" t="str">
        <f>IFERROR(__xludf.DUMMYFUNCTION("""COMPUTED_VALUE"""),"24062500447940002")</f>
        <v>24062500447940002</v>
      </c>
      <c r="AQ621" s="83"/>
      <c r="AR621" s="80"/>
      <c r="AS621" s="80"/>
      <c r="AT621" s="80" t="str">
        <f>IFERROR(__xludf.DUMMYFUNCTION("""COMPUTED_VALUE"""),"-6.534533")</f>
        <v>-6.534533</v>
      </c>
      <c r="AU621" s="80" t="str">
        <f>IFERROR(__xludf.DUMMYFUNCTION("""COMPUTED_VALUE"""),"110.984726")</f>
        <v>110.984726</v>
      </c>
      <c r="AV621" s="80"/>
      <c r="AW621" s="80"/>
      <c r="AX621" s="80"/>
      <c r="AY621" s="80"/>
      <c r="AZ621" s="80"/>
      <c r="BA621" s="80"/>
      <c r="BB621" s="80"/>
      <c r="BC621" s="80"/>
      <c r="BD621" s="80"/>
      <c r="BE621" s="80"/>
      <c r="BF621" s="80"/>
      <c r="BG621" s="80"/>
      <c r="BH621" s="80"/>
      <c r="BI621" s="80"/>
      <c r="BJ621" s="80"/>
      <c r="BK621" s="80"/>
      <c r="BL621" s="80"/>
      <c r="BM621" s="80"/>
      <c r="BN621" s="80"/>
      <c r="BO621" s="80"/>
      <c r="BP621" s="80"/>
      <c r="BQ621" s="80"/>
      <c r="BR621" s="80"/>
      <c r="BS621" s="80"/>
      <c r="BT621" s="80"/>
      <c r="BU621" s="80"/>
      <c r="BV621" s="80"/>
      <c r="BW621" s="80"/>
      <c r="BX621" s="80" t="str">
        <f>IFERROR(__xludf.DUMMYFUNCTION("""COMPUTED_VALUE"""),"KDMP")</f>
        <v>KDMP</v>
      </c>
      <c r="BY621" s="80"/>
      <c r="BZ621" s="80"/>
      <c r="CA621" s="80"/>
      <c r="CB621" s="80"/>
      <c r="CC621" s="80"/>
      <c r="CD621" s="80"/>
      <c r="CE621" s="80"/>
      <c r="CF621" s="80"/>
      <c r="CG621" s="80"/>
      <c r="CH621" s="80"/>
      <c r="CI621" s="80"/>
      <c r="CJ621" s="80"/>
      <c r="CK621" s="2"/>
    </row>
    <row r="622" ht="12.75" customHeight="1">
      <c r="A622" s="85">
        <f>IFERROR(__xludf.DUMMYFUNCTION("""COMPUTED_VALUE"""),619.0)</f>
        <v>619</v>
      </c>
      <c r="B622" s="85"/>
      <c r="C622" s="85"/>
      <c r="D622" s="86">
        <f>IFERROR(__xludf.DUMMYFUNCTION("""COMPUTED_VALUE"""),45891.0)</f>
        <v>45891</v>
      </c>
      <c r="E622" s="88"/>
      <c r="F622" s="85"/>
      <c r="G622" s="86">
        <f>IFERROR(__xludf.DUMMYFUNCTION("""COMPUTED_VALUE"""),45915.0)</f>
        <v>45915</v>
      </c>
      <c r="H622" s="85"/>
      <c r="I622" s="85"/>
      <c r="J622" s="85"/>
      <c r="K622" s="85"/>
      <c r="L622" s="85">
        <f>IFERROR(__xludf.DUMMYFUNCTION("""COMPUTED_VALUE"""),24.0)</f>
        <v>24</v>
      </c>
      <c r="M622" s="85"/>
      <c r="N622" s="85" t="str">
        <f>IFERROR(__xludf.DUMMYFUNCTION("""COMPUTED_VALUE"""),"ü")</f>
        <v>ü</v>
      </c>
      <c r="O622" s="85"/>
      <c r="P622" s="85" t="str">
        <f>IFERROR(__xludf.DUMMYFUNCTION("""COMPUTED_VALUE"""),"MUCSPA63232PSIND")</f>
        <v>MUCSPA63232PSIND</v>
      </c>
      <c r="Q622" s="85" t="str">
        <f>IFERROR(__xludf.DUMMYFUNCTION("""COMPUTED_VALUE"""),"MUC KDMP TAMBAHMULYO")</f>
        <v>MUC KDMP TAMBAHMULYO</v>
      </c>
      <c r="R622" s="85" t="str">
        <f>IFERROR(__xludf.DUMMYFUNCTION("""COMPUTED_VALUE"""),"MUC KDMP TAMBAHMULYO")</f>
        <v>MUC KDMP TAMBAHMULYO</v>
      </c>
      <c r="S622" s="85" t="str">
        <f>IFERROR(__xludf.DUMMYFUNCTION("""COMPUTED_VALUE"""),"SUTRIMO")</f>
        <v>SUTRIMO</v>
      </c>
      <c r="T622" s="85" t="str">
        <f>IFERROR(__xludf.DUMMYFUNCTION("""COMPUTED_VALUE"""),"DK JOGAN RT.003 RW.001, TAMBAHMULYO, GABUS, KAB.PATI, JAWA TENGAH")</f>
        <v>DK JOGAN RT.003 RW.001, TAMBAHMULYO, GABUS, KAB.PATI, JAWA TENGAH</v>
      </c>
      <c r="U622" s="85" t="str">
        <f>IFERROR(__xludf.DUMMYFUNCTION("""COMPUTED_VALUE"""),"Ds Tambahmulyo RT 04 RW 01")</f>
        <v>Ds Tambahmulyo RT 04 RW 01</v>
      </c>
      <c r="V622" s="85"/>
      <c r="W622" s="85" t="str">
        <f>IFERROR(__xludf.DUMMYFUNCTION("""COMPUTED_VALUE"""),"Tambahmulyo")</f>
        <v>Tambahmulyo</v>
      </c>
      <c r="X622" s="85" t="str">
        <f>IFERROR(__xludf.DUMMYFUNCTION("""COMPUTED_VALUE"""),"Gabus")</f>
        <v>Gabus</v>
      </c>
      <c r="Y622" s="85" t="str">
        <f>IFERROR(__xludf.DUMMYFUNCTION("""COMPUTED_VALUE"""),"Kab. Pati")</f>
        <v>Kab. Pati</v>
      </c>
      <c r="Z622" s="85" t="str">
        <f>IFERROR(__xludf.DUMMYFUNCTION("""COMPUTED_VALUE"""),"Jawa Tengah")</f>
        <v>Jawa Tengah</v>
      </c>
      <c r="AA622" s="85" t="str">
        <f>IFERROR(__xludf.DUMMYFUNCTION("""COMPUTED_VALUE"""),"59173")</f>
        <v>59173</v>
      </c>
      <c r="AB622" s="85" t="str">
        <f>IFERROR(__xludf.DUMMYFUNCTION("""COMPUTED_VALUE"""),"3318112612770001")</f>
        <v>3318112612770001</v>
      </c>
      <c r="AC622" s="85" t="str">
        <f>IFERROR(__xludf.DUMMYFUNCTION("""COMPUTED_VALUE"""),"1000 0000 0262 6438")</f>
        <v>1000 0000 0262 6438</v>
      </c>
      <c r="AD622" s="85" t="str">
        <f>IFERROR(__xludf.DUMMYFUNCTION("""COMPUTED_VALUE"""),"CUM - PS - EHS")</f>
        <v>CUM - PS - EHS</v>
      </c>
      <c r="AE622" s="85" t="str">
        <f>IFERROR(__xludf.DUMMYFUNCTION("""COMPUTED_VALUE"""),"SUB EKA POS")</f>
        <v>SUB EKA POS</v>
      </c>
      <c r="AF622" s="85" t="str">
        <f>IFERROR(__xludf.DUMMYFUNCTION("""COMPUTED_VALUE"""),"085385020369")</f>
        <v>085385020369</v>
      </c>
      <c r="AG622" s="85"/>
      <c r="AH622" s="85" t="str">
        <f>IFERROR(__xludf.DUMMYFUNCTION("""COMPUTED_VALUE"""),"kopdestambahmulyokecgabus@gmail.com")</f>
        <v>kopdestambahmulyokecgabus@gmail.com</v>
      </c>
      <c r="AI622" s="85" t="str">
        <f>IFERROR(__xludf.DUMMYFUNCTION("""COMPUTED_VALUE"""),"59173Y1")</f>
        <v>59173Y1</v>
      </c>
      <c r="AJ622" s="85" t="str">
        <f>IFERROR(__xludf.DUMMYFUNCTION("""COMPUTED_VALUE"""),"68c7afb66a195f48d101c25c")</f>
        <v>68c7afb66a195f48d101c25c</v>
      </c>
      <c r="AK622" s="85" t="str">
        <f>IFERROR(__xludf.DUMMYFUNCTION("""COMPUTED_VALUE"""),"dm59173y1")</f>
        <v>dm59173y1</v>
      </c>
      <c r="AL622" s="85" t="str">
        <f>IFERROR(__xludf.DUMMYFUNCTION("""COMPUTED_VALUE"""),"#59173Pos")</f>
        <v>#59173Pos</v>
      </c>
      <c r="AM622" s="85" t="str">
        <f>IFERROR(__xludf.DUMMYFUNCTION("""COMPUTED_VALUE"""),"KANTOR REGIONAL III BANDUNG 40004")</f>
        <v>KANTOR REGIONAL III BANDUNG 40004</v>
      </c>
      <c r="AN622" s="85" t="str">
        <f>IFERROR(__xludf.DUMMYFUNCTION("""COMPUTED_VALUE"""),"KC MAJALENGKA")</f>
        <v>KC MAJALENGKA</v>
      </c>
      <c r="AO622" s="85" t="str">
        <f>IFERROR(__xludf.DUMMYFUNCTION("""COMPUTED_VALUE"""),"0206250089044")</f>
        <v>0206250089044</v>
      </c>
      <c r="AP622" s="85" t="str">
        <f>IFERROR(__xludf.DUMMYFUNCTION("""COMPUTED_VALUE"""),"02062500890440002")</f>
        <v>02062500890440002</v>
      </c>
      <c r="AQ622" s="93"/>
      <c r="AR622" s="85"/>
      <c r="AS622" s="85"/>
      <c r="AT622" s="85" t="str">
        <f>IFERROR(__xludf.DUMMYFUNCTION("""COMPUTED_VALUE"""),"-6.822521")</f>
        <v>-6.822521</v>
      </c>
      <c r="AU622" s="85" t="str">
        <f>IFERROR(__xludf.DUMMYFUNCTION("""COMPUTED_VALUE"""),"111.049286")</f>
        <v>111.049286</v>
      </c>
      <c r="AV622" s="85"/>
      <c r="AW622" s="85"/>
      <c r="AX622" s="85"/>
      <c r="AY622" s="85"/>
      <c r="AZ622" s="85"/>
      <c r="BA622" s="85"/>
      <c r="BB622" s="85"/>
      <c r="BC622" s="85"/>
      <c r="BD622" s="85"/>
      <c r="BE622" s="85"/>
      <c r="BF622" s="85"/>
      <c r="BG622" s="85"/>
      <c r="BH622" s="85"/>
      <c r="BI622" s="85"/>
      <c r="BJ622" s="85"/>
      <c r="BK622" s="85"/>
      <c r="BL622" s="85"/>
      <c r="BM622" s="85"/>
      <c r="BN622" s="85"/>
      <c r="BO622" s="85"/>
      <c r="BP622" s="85"/>
      <c r="BQ622" s="85"/>
      <c r="BR622" s="85"/>
      <c r="BS622" s="85"/>
      <c r="BT622" s="85"/>
      <c r="BU622" s="85"/>
      <c r="BV622" s="85"/>
      <c r="BW622" s="85"/>
      <c r="BX622" s="85" t="str">
        <f>IFERROR(__xludf.DUMMYFUNCTION("""COMPUTED_VALUE"""),"KDMP")</f>
        <v>KDMP</v>
      </c>
      <c r="BY622" s="85"/>
      <c r="BZ622" s="85"/>
      <c r="CA622" s="85"/>
      <c r="CB622" s="85"/>
      <c r="CC622" s="85"/>
      <c r="CD622" s="85"/>
      <c r="CE622" s="85"/>
      <c r="CF622" s="85"/>
      <c r="CG622" s="85"/>
      <c r="CH622" s="85"/>
      <c r="CI622" s="85"/>
      <c r="CJ622" s="85"/>
      <c r="CK622" s="2"/>
    </row>
    <row r="623" ht="12.75" customHeight="1">
      <c r="A623" s="80">
        <f>IFERROR(__xludf.DUMMYFUNCTION("""COMPUTED_VALUE"""),620.0)</f>
        <v>620</v>
      </c>
      <c r="B623" s="80"/>
      <c r="C623" s="80"/>
      <c r="D623" s="81">
        <f>IFERROR(__xludf.DUMMYFUNCTION("""COMPUTED_VALUE"""),45891.0)</f>
        <v>45891</v>
      </c>
      <c r="E623" s="82"/>
      <c r="F623" s="80"/>
      <c r="G623" s="81">
        <f>IFERROR(__xludf.DUMMYFUNCTION("""COMPUTED_VALUE"""),45902.0)</f>
        <v>45902</v>
      </c>
      <c r="H623" s="80"/>
      <c r="I623" s="80"/>
      <c r="J623" s="80"/>
      <c r="K623" s="80"/>
      <c r="L623" s="80">
        <f>IFERROR(__xludf.DUMMYFUNCTION("""COMPUTED_VALUE"""),11.0)</f>
        <v>11</v>
      </c>
      <c r="M623" s="80" t="str">
        <f>IFERROR(__xludf.DUMMYFUNCTION("""COMPUTED_VALUE"""),"ü")</f>
        <v>ü</v>
      </c>
      <c r="N623" s="80"/>
      <c r="O623" s="80"/>
      <c r="P623" s="80" t="str">
        <f>IFERROR(__xludf.DUMMYFUNCTION("""COMPUTED_VALUE"""),"MUCSPA63233PSIND")</f>
        <v>MUCSPA63233PSIND</v>
      </c>
      <c r="Q623" s="80" t="str">
        <f>IFERROR(__xludf.DUMMYFUNCTION("""COMPUTED_VALUE"""),"MUC Mogo Sugih")</f>
        <v>MUC Mogo Sugih</v>
      </c>
      <c r="R623" s="80" t="str">
        <f>IFERROR(__xludf.DUMMYFUNCTION("""COMPUTED_VALUE"""),"MUC Mogo Sugih")</f>
        <v>MUC Mogo Sugih</v>
      </c>
      <c r="S623" s="80" t="str">
        <f>IFERROR(__xludf.DUMMYFUNCTION("""COMPUTED_VALUE"""),"SYAFRIZAL")</f>
        <v>SYAFRIZAL</v>
      </c>
      <c r="T623" s="80" t="str">
        <f>IFERROR(__xludf.DUMMYFUNCTION("""COMPUTED_VALUE"""),"SIMPANG TIGO SELATAN RT.000 RW.000, KOTO BARU, LUHAK NAN DUO, KAB. PASAMAN BARAT, SUMATERA UTARA")</f>
        <v>SIMPANG TIGO SELATAN RT.000 RW.000, KOTO BARU, LUHAK NAN DUO, KAB. PASAMAN BARAT, SUMATERA UTARA</v>
      </c>
      <c r="U623" s="80" t="str">
        <f>IFERROR(__xludf.DUMMYFUNCTION("""COMPUTED_VALUE"""),"Simpang Tigo Selatan, Nagari")</f>
        <v>Simpang Tigo Selatan, Nagari</v>
      </c>
      <c r="V623" s="80"/>
      <c r="W623" s="80" t="str">
        <f>IFERROR(__xludf.DUMMYFUNCTION("""COMPUTED_VALUE"""),"Koto Baru")</f>
        <v>Koto Baru</v>
      </c>
      <c r="X623" s="80" t="str">
        <f>IFERROR(__xludf.DUMMYFUNCTION("""COMPUTED_VALUE"""),"Luhak Nan Duo")</f>
        <v>Luhak Nan Duo</v>
      </c>
      <c r="Y623" s="80" t="str">
        <f>IFERROR(__xludf.DUMMYFUNCTION("""COMPUTED_VALUE"""),"Pasaman Barat")</f>
        <v>Pasaman Barat</v>
      </c>
      <c r="Z623" s="80" t="str">
        <f>IFERROR(__xludf.DUMMYFUNCTION("""COMPUTED_VALUE"""),"Sumatera Barat")</f>
        <v>Sumatera Barat</v>
      </c>
      <c r="AA623" s="80" t="str">
        <f>IFERROR(__xludf.DUMMYFUNCTION("""COMPUTED_VALUE"""),"26566")</f>
        <v>26566</v>
      </c>
      <c r="AB623" s="80" t="str">
        <f>IFERROR(__xludf.DUMMYFUNCTION("""COMPUTED_VALUE"""),"1312102412770002")</f>
        <v>1312102412770002</v>
      </c>
      <c r="AC623" s="80" t="str">
        <f>IFERROR(__xludf.DUMMYFUNCTION("""COMPUTED_VALUE"""),"35.569.423.3-202.000")</f>
        <v>35.569.423.3-202.000</v>
      </c>
      <c r="AD623" s="80" t="str">
        <f>IFERROR(__xludf.DUMMYFUNCTION("""COMPUTED_VALUE"""),"CUM - PS - ABER")</f>
        <v>CUM - PS - ABER</v>
      </c>
      <c r="AE623" s="80" t="str">
        <f>IFERROR(__xludf.DUMMYFUNCTION("""COMPUTED_VALUE"""),"PAK ALBER KC LUBUKSIKAPING")</f>
        <v>PAK ALBER KC LUBUKSIKAPING</v>
      </c>
      <c r="AF623" s="80" t="str">
        <f>IFERROR(__xludf.DUMMYFUNCTION("""COMPUTED_VALUE"""),"081222265223")</f>
        <v>081222265223</v>
      </c>
      <c r="AG623" s="80"/>
      <c r="AH623" s="80" t="str">
        <f>IFERROR(__xludf.DUMMYFUNCTION("""COMPUTED_VALUE"""),"mogosugih@gmail.com")</f>
        <v>mogosugih@gmail.com</v>
      </c>
      <c r="AI623" s="80" t="str">
        <f>IFERROR(__xludf.DUMMYFUNCTION("""COMPUTED_VALUE"""),"26568S1")</f>
        <v>26568S1</v>
      </c>
      <c r="AJ623" s="80" t="str">
        <f>IFERROR(__xludf.DUMMYFUNCTION("""COMPUTED_VALUE"""),"68b2a18ff3a50c6df60d9e9c")</f>
        <v>68b2a18ff3a50c6df60d9e9c</v>
      </c>
      <c r="AK623" s="80" t="str">
        <f>IFERROR(__xludf.DUMMYFUNCTION("""COMPUTED_VALUE"""),"dm26568s1")</f>
        <v>dm26568s1</v>
      </c>
      <c r="AL623" s="80" t="str">
        <f>IFERROR(__xludf.DUMMYFUNCTION("""COMPUTED_VALUE"""),"#26568Pos")</f>
        <v>#26568Pos</v>
      </c>
      <c r="AM623" s="80" t="str">
        <f>IFERROR(__xludf.DUMMYFUNCTION("""COMPUTED_VALUE"""),"KANTOR REGIONAL I MEDAN 20004")</f>
        <v>KANTOR REGIONAL I MEDAN 20004</v>
      </c>
      <c r="AN623" s="80" t="str">
        <f>IFERROR(__xludf.DUMMYFUNCTION("""COMPUTED_VALUE"""),"KC LUBUKSIKAPING")</f>
        <v>KC LUBUKSIKAPING</v>
      </c>
      <c r="AO623" s="80" t="str">
        <f>IFERROR(__xludf.DUMMYFUNCTION("""COMPUTED_VALUE"""),"2010230045427")</f>
        <v>2010230045427</v>
      </c>
      <c r="AP623" s="80" t="str">
        <f>IFERROR(__xludf.DUMMYFUNCTION("""COMPUTED_VALUE"""),"20102300454270001")</f>
        <v>20102300454270001</v>
      </c>
      <c r="AQ623" s="83"/>
      <c r="AR623" s="80"/>
      <c r="AS623" s="80"/>
      <c r="AT623" s="80" t="str">
        <f>IFERROR(__xludf.DUMMYFUNCTION("""COMPUTED_VALUE"""),"0.0252013")</f>
        <v>0.0252013</v>
      </c>
      <c r="AU623" s="80" t="str">
        <f>IFERROR(__xludf.DUMMYFUNCTION("""COMPUTED_VALUE"""),"99.8113214")</f>
        <v>99.8113214</v>
      </c>
      <c r="AV623" s="80"/>
      <c r="AW623" s="80"/>
      <c r="AX623" s="80"/>
      <c r="AY623" s="80"/>
      <c r="AZ623" s="80"/>
      <c r="BA623" s="80"/>
      <c r="BB623" s="80"/>
      <c r="BC623" s="80"/>
      <c r="BD623" s="80"/>
      <c r="BE623" s="80"/>
      <c r="BF623" s="80"/>
      <c r="BG623" s="80"/>
      <c r="BH623" s="80"/>
      <c r="BI623" s="80"/>
      <c r="BJ623" s="80"/>
      <c r="BK623" s="80"/>
      <c r="BL623" s="80"/>
      <c r="BM623" s="80"/>
      <c r="BN623" s="80"/>
      <c r="BO623" s="80"/>
      <c r="BP623" s="80"/>
      <c r="BQ623" s="80"/>
      <c r="BR623" s="80"/>
      <c r="BS623" s="80"/>
      <c r="BT623" s="80"/>
      <c r="BU623" s="80"/>
      <c r="BV623" s="80"/>
      <c r="BW623" s="80"/>
      <c r="BX623" s="80" t="str">
        <f>IFERROR(__xludf.DUMMYFUNCTION("""COMPUTED_VALUE"""),"NEWBIE FOTOCOPY")</f>
        <v>NEWBIE FOTOCOPY</v>
      </c>
      <c r="BY623" s="80"/>
      <c r="BZ623" s="80"/>
      <c r="CA623" s="80"/>
      <c r="CB623" s="80"/>
      <c r="CC623" s="80"/>
      <c r="CD623" s="80"/>
      <c r="CE623" s="80"/>
      <c r="CF623" s="80"/>
      <c r="CG623" s="80"/>
      <c r="CH623" s="80"/>
      <c r="CI623" s="80"/>
      <c r="CJ623" s="80"/>
      <c r="CK623" s="2"/>
    </row>
    <row r="624" ht="12.75" customHeight="1">
      <c r="A624" s="85">
        <f>IFERROR(__xludf.DUMMYFUNCTION("""COMPUTED_VALUE"""),621.0)</f>
        <v>621</v>
      </c>
      <c r="B624" s="85"/>
      <c r="C624" s="85"/>
      <c r="D624" s="86">
        <f>IFERROR(__xludf.DUMMYFUNCTION("""COMPUTED_VALUE"""),45891.0)</f>
        <v>45891</v>
      </c>
      <c r="E624" s="88"/>
      <c r="F624" s="85"/>
      <c r="G624" s="86">
        <f>IFERROR(__xludf.DUMMYFUNCTION("""COMPUTED_VALUE"""),45902.0)</f>
        <v>45902</v>
      </c>
      <c r="H624" s="85"/>
      <c r="I624" s="85"/>
      <c r="J624" s="85"/>
      <c r="K624" s="85"/>
      <c r="L624" s="85">
        <f>IFERROR(__xludf.DUMMYFUNCTION("""COMPUTED_VALUE"""),11.0)</f>
        <v>11</v>
      </c>
      <c r="M624" s="85"/>
      <c r="N624" s="85" t="str">
        <f>IFERROR(__xludf.DUMMYFUNCTION("""COMPUTED_VALUE"""),"ü")</f>
        <v>ü</v>
      </c>
      <c r="O624" s="85"/>
      <c r="P624" s="85" t="str">
        <f>IFERROR(__xludf.DUMMYFUNCTION("""COMPUTED_VALUE"""),"MUCSPA63234PSIND")</f>
        <v>MUCSPA63234PSIND</v>
      </c>
      <c r="Q624" s="85" t="str">
        <f>IFERROR(__xludf.DUMMYFUNCTION("""COMPUTED_VALUE"""),"MUC POST SEMBEGO")</f>
        <v>MUC POST SEMBEGO</v>
      </c>
      <c r="R624" s="85" t="str">
        <f>IFERROR(__xludf.DUMMYFUNCTION("""COMPUTED_VALUE"""),"MUC POST SEMBEGO")</f>
        <v>MUC POST SEMBEGO</v>
      </c>
      <c r="S624" s="85" t="str">
        <f>IFERROR(__xludf.DUMMYFUNCTION("""COMPUTED_VALUE"""),"NOOR KAHFI S.AG")</f>
        <v>NOOR KAHFI S.AG</v>
      </c>
      <c r="T624" s="85" t="str">
        <f>IFERROR(__xludf.DUMMYFUNCTION("""COMPUTED_VALUE"""),"SEMBEGO RT 14 RW 38 MAGUWOHARJO DEPOK SLEMAN")</f>
        <v>SEMBEGO RT 14 RW 38 MAGUWOHARJO DEPOK SLEMAN</v>
      </c>
      <c r="U624" s="85" t="str">
        <f>IFERROR(__xludf.DUMMYFUNCTION("""COMPUTED_VALUE"""),"JL. DIPONEGORO RT 14 RW 38 SEMBEGO")</f>
        <v>JL. DIPONEGORO RT 14 RW 38 SEMBEGO</v>
      </c>
      <c r="V624" s="85"/>
      <c r="W624" s="85" t="str">
        <f>IFERROR(__xludf.DUMMYFUNCTION("""COMPUTED_VALUE"""),"MAGUWOHARJO")</f>
        <v>MAGUWOHARJO</v>
      </c>
      <c r="X624" s="85" t="str">
        <f>IFERROR(__xludf.DUMMYFUNCTION("""COMPUTED_VALUE"""),"DEPOK")</f>
        <v>DEPOK</v>
      </c>
      <c r="Y624" s="85" t="str">
        <f>IFERROR(__xludf.DUMMYFUNCTION("""COMPUTED_VALUE"""),"KAB. SLEMAN")</f>
        <v>KAB. SLEMAN</v>
      </c>
      <c r="Z624" s="85" t="str">
        <f>IFERROR(__xludf.DUMMYFUNCTION("""COMPUTED_VALUE"""),"DIY")</f>
        <v>DIY</v>
      </c>
      <c r="AA624" s="85" t="str">
        <f>IFERROR(__xludf.DUMMYFUNCTION("""COMPUTED_VALUE"""),"55281")</f>
        <v>55281</v>
      </c>
      <c r="AB624" s="85" t="str">
        <f>IFERROR(__xludf.DUMMYFUNCTION("""COMPUTED_VALUE"""),"3404070105650007")</f>
        <v>3404070105650007</v>
      </c>
      <c r="AC624" s="85" t="str">
        <f>IFERROR(__xludf.DUMMYFUNCTION("""COMPUTED_VALUE"""),"77.199.565.1-542.000")</f>
        <v>77.199.565.1-542.000</v>
      </c>
      <c r="AD624" s="85" t="str">
        <f>IFERROR(__xludf.DUMMYFUNCTION("""COMPUTED_VALUE"""),"CUM - PS - BPKT")</f>
        <v>CUM - PS - BPKT</v>
      </c>
      <c r="AE624" s="85" t="str">
        <f>IFERROR(__xludf.DUMMYFUNCTION("""COMPUTED_VALUE"""),"SUB PURBO POS")</f>
        <v>SUB PURBO POS</v>
      </c>
      <c r="AF624" s="85" t="str">
        <f>IFERROR(__xludf.DUMMYFUNCTION("""COMPUTED_VALUE"""),"081328175967")</f>
        <v>081328175967</v>
      </c>
      <c r="AG624" s="85"/>
      <c r="AH624" s="85" t="str">
        <f>IFERROR(__xludf.DUMMYFUNCTION("""COMPUTED_VALUE"""),"noorkahfi68@gmail.com")</f>
        <v>noorkahfi68@gmail.com</v>
      </c>
      <c r="AI624" s="85" t="str">
        <f>IFERROR(__xludf.DUMMYFUNCTION("""COMPUTED_VALUE"""),"55598SL")</f>
        <v>55598SL</v>
      </c>
      <c r="AJ624" s="85" t="str">
        <f>IFERROR(__xludf.DUMMYFUNCTION("""COMPUTED_VALUE"""),"68b2aacceb3f96cc85087266")</f>
        <v>68b2aacceb3f96cc85087266</v>
      </c>
      <c r="AK624" s="85" t="str">
        <f>IFERROR(__xludf.DUMMYFUNCTION("""COMPUTED_VALUE"""),"dm55598sl")</f>
        <v>dm55598sl</v>
      </c>
      <c r="AL624" s="85" t="str">
        <f>IFERROR(__xludf.DUMMYFUNCTION("""COMPUTED_VALUE"""),"#55598Pos")</f>
        <v>#55598Pos</v>
      </c>
      <c r="AM624" s="85" t="str">
        <f>IFERROR(__xludf.DUMMYFUNCTION("""COMPUTED_VALUE"""),"KANTOR REGIONAL IV SEMARANG 50004")</f>
        <v>KANTOR REGIONAL IV SEMARANG 50004</v>
      </c>
      <c r="AN624" s="85" t="str">
        <f>IFERROR(__xludf.DUMMYFUNCTION("""COMPUTED_VALUE"""),"KCU YOGYAKARTA 55000")</f>
        <v>KCU YOGYAKARTA 55000</v>
      </c>
      <c r="AO624" s="85" t="str">
        <f>IFERROR(__xludf.DUMMYFUNCTION("""COMPUTED_VALUE"""),"2208250046039")</f>
        <v>2208250046039</v>
      </c>
      <c r="AP624" s="85" t="str">
        <f>IFERROR(__xludf.DUMMYFUNCTION("""COMPUTED_VALUE"""),"22082500460390001")</f>
        <v>22082500460390001</v>
      </c>
      <c r="AQ624" s="93"/>
      <c r="AR624" s="85"/>
      <c r="AS624" s="85"/>
      <c r="AT624" s="85" t="str">
        <f>IFERROR(__xludf.DUMMYFUNCTION("""COMPUTED_VALUE"""),"-7.7628043")</f>
        <v>-7.7628043</v>
      </c>
      <c r="AU624" s="85" t="str">
        <f>IFERROR(__xludf.DUMMYFUNCTION("""COMPUTED_VALUE"""),"110.4389382")</f>
        <v>110.4389382</v>
      </c>
      <c r="AV624" s="85"/>
      <c r="AW624" s="85"/>
      <c r="AX624" s="85"/>
      <c r="AY624" s="85"/>
      <c r="AZ624" s="85"/>
      <c r="BA624" s="85"/>
      <c r="BB624" s="85"/>
      <c r="BC624" s="85"/>
      <c r="BD624" s="85"/>
      <c r="BE624" s="85"/>
      <c r="BF624" s="85"/>
      <c r="BG624" s="85"/>
      <c r="BH624" s="85"/>
      <c r="BI624" s="85"/>
      <c r="BJ624" s="85"/>
      <c r="BK624" s="85"/>
      <c r="BL624" s="85"/>
      <c r="BM624" s="85"/>
      <c r="BN624" s="85"/>
      <c r="BO624" s="85"/>
      <c r="BP624" s="85"/>
      <c r="BQ624" s="85"/>
      <c r="BR624" s="85"/>
      <c r="BS624" s="85"/>
      <c r="BT624" s="85"/>
      <c r="BU624" s="85"/>
      <c r="BV624" s="85"/>
      <c r="BW624" s="85"/>
      <c r="BX624" s="85" t="str">
        <f>IFERROR(__xludf.DUMMYFUNCTION("""COMPUTED_VALUE"""),"NEWBIE")</f>
        <v>NEWBIE</v>
      </c>
      <c r="BY624" s="85"/>
      <c r="BZ624" s="85"/>
      <c r="CA624" s="85"/>
      <c r="CB624" s="85"/>
      <c r="CC624" s="85"/>
      <c r="CD624" s="85"/>
      <c r="CE624" s="85"/>
      <c r="CF624" s="85"/>
      <c r="CG624" s="85"/>
      <c r="CH624" s="85"/>
      <c r="CI624" s="85"/>
      <c r="CJ624" s="85"/>
      <c r="CK624" s="2"/>
    </row>
    <row r="625" ht="12.75" customHeight="1">
      <c r="A625" s="80">
        <f>IFERROR(__xludf.DUMMYFUNCTION("""COMPUTED_VALUE"""),622.0)</f>
        <v>622</v>
      </c>
      <c r="B625" s="80"/>
      <c r="C625" s="80"/>
      <c r="D625" s="81">
        <f>IFERROR(__xludf.DUMMYFUNCTION("""COMPUTED_VALUE"""),45894.0)</f>
        <v>45894</v>
      </c>
      <c r="E625" s="82"/>
      <c r="F625" s="80"/>
      <c r="G625" s="81">
        <f>IFERROR(__xludf.DUMMYFUNCTION("""COMPUTED_VALUE"""),45903.0)</f>
        <v>45903</v>
      </c>
      <c r="H625" s="80"/>
      <c r="I625" s="80"/>
      <c r="J625" s="80"/>
      <c r="K625" s="80"/>
      <c r="L625" s="80">
        <f>IFERROR(__xludf.DUMMYFUNCTION("""COMPUTED_VALUE"""),9.0)</f>
        <v>9</v>
      </c>
      <c r="M625" s="80" t="str">
        <f>IFERROR(__xludf.DUMMYFUNCTION("""COMPUTED_VALUE"""),"ü")</f>
        <v>ü</v>
      </c>
      <c r="N625" s="80"/>
      <c r="O625" s="80"/>
      <c r="P625" s="80" t="str">
        <f>IFERROR(__xludf.DUMMYFUNCTION("""COMPUTED_VALUE"""),"MUCSPA63235PSIND")</f>
        <v>MUCSPA63235PSIND</v>
      </c>
      <c r="Q625" s="80" t="str">
        <f>IFERROR(__xludf.DUMMYFUNCTION("""COMPUTED_VALUE"""),"MUC POST ABI MUARA DUA")</f>
        <v>MUC POST ABI MUARA DUA</v>
      </c>
      <c r="R625" s="80" t="str">
        <f>IFERROR(__xludf.DUMMYFUNCTION("""COMPUTED_VALUE"""),"MUC POST ABI MUARA DUA")</f>
        <v>MUC POST ABI MUARA DUA</v>
      </c>
      <c r="S625" s="80" t="str">
        <f>IFERROR(__xludf.DUMMYFUNCTION("""COMPUTED_VALUE"""),"MERRY MARANTIKA")</f>
        <v>MERRY MARANTIKA</v>
      </c>
      <c r="T625" s="80" t="str">
        <f>IFERROR(__xludf.DUMMYFUNCTION("""COMPUTED_VALUE"""),"GUNUNG TIGA RT.000 RW.000, GUNUNG TIGA, MUARA DUA, KAB. OGAN KOMERING ULU SELATAN, SUMATERA SELATAN")</f>
        <v>GUNUNG TIGA RT.000 RW.000, GUNUNG TIGA, MUARA DUA, KAB. OGAN KOMERING ULU SELATAN, SUMATERA SELATAN</v>
      </c>
      <c r="U625" s="80" t="str">
        <f>IFERROR(__xludf.DUMMYFUNCTION("""COMPUTED_VALUE"""),"GUNUNG TIGA RT00 RW00")</f>
        <v>GUNUNG TIGA RT00 RW00</v>
      </c>
      <c r="V625" s="80"/>
      <c r="W625" s="80" t="str">
        <f>IFERROR(__xludf.DUMMYFUNCTION("""COMPUTED_VALUE"""),"Gunung Tiga")</f>
        <v>Gunung Tiga</v>
      </c>
      <c r="X625" s="80" t="str">
        <f>IFERROR(__xludf.DUMMYFUNCTION("""COMPUTED_VALUE"""),"Muara Dua")</f>
        <v>Muara Dua</v>
      </c>
      <c r="Y625" s="80" t="str">
        <f>IFERROR(__xludf.DUMMYFUNCTION("""COMPUTED_VALUE"""),"Kab. Ogan Komering Ulu Selatan")</f>
        <v>Kab. Ogan Komering Ulu Selatan</v>
      </c>
      <c r="Z625" s="80" t="str">
        <f>IFERROR(__xludf.DUMMYFUNCTION("""COMPUTED_VALUE"""),"Sumatera Selatan")</f>
        <v>Sumatera Selatan</v>
      </c>
      <c r="AA625" s="80" t="str">
        <f>IFERROR(__xludf.DUMMYFUNCTION("""COMPUTED_VALUE"""),"32171")</f>
        <v>32171</v>
      </c>
      <c r="AB625" s="80" t="str">
        <f>IFERROR(__xludf.DUMMYFUNCTION("""COMPUTED_VALUE"""),"1609195104950001")</f>
        <v>1609195104950001</v>
      </c>
      <c r="AC625" s="80" t="str">
        <f>IFERROR(__xludf.DUMMYFUNCTION("""COMPUTED_VALUE"""),"1609 1951 0495 0001")</f>
        <v>1609 1951 0495 0001</v>
      </c>
      <c r="AD625" s="80" t="str">
        <f>IFERROR(__xludf.DUMMYFUNCTION("""COMPUTED_VALUE"""),"CUM - PS - YOSA")</f>
        <v>CUM - PS - YOSA</v>
      </c>
      <c r="AE625" s="80" t="str">
        <f>IFERROR(__xludf.DUMMYFUNCTION("""COMPUTED_VALUE"""),"PAK ANDHIKA KC BATURAJA")</f>
        <v>PAK ANDHIKA KC BATURAJA</v>
      </c>
      <c r="AF625" s="80" t="str">
        <f>IFERROR(__xludf.DUMMYFUNCTION("""COMPUTED_VALUE"""),"08127885993")</f>
        <v>08127885993</v>
      </c>
      <c r="AG625" s="80"/>
      <c r="AH625" s="80" t="str">
        <f>IFERROR(__xludf.DUMMYFUNCTION("""COMPUTED_VALUE"""),"noviiir.ns@gmail.com")</f>
        <v>noviiir.ns@gmail.com</v>
      </c>
      <c r="AI625" s="80" t="str">
        <f>IFERROR(__xludf.DUMMYFUNCTION("""COMPUTED_VALUE"""),"32217S1")</f>
        <v>32217S1</v>
      </c>
      <c r="AJ625" s="80" t="str">
        <f>IFERROR(__xludf.DUMMYFUNCTION("""COMPUTED_VALUE"""),"68b7e8b8c9db0b35cb072179")</f>
        <v>68b7e8b8c9db0b35cb072179</v>
      </c>
      <c r="AK625" s="80" t="str">
        <f>IFERROR(__xludf.DUMMYFUNCTION("""COMPUTED_VALUE"""),"dm32217s1")</f>
        <v>dm32217s1</v>
      </c>
      <c r="AL625" s="80" t="str">
        <f>IFERROR(__xludf.DUMMYFUNCTION("""COMPUTED_VALUE"""),"#32217Pos")</f>
        <v>#32217Pos</v>
      </c>
      <c r="AM625" s="80" t="str">
        <f>IFERROR(__xludf.DUMMYFUNCTION("""COMPUTED_VALUE"""),"KANTOR REGIONAL I MEDAN 20004")</f>
        <v>KANTOR REGIONAL I MEDAN 20004</v>
      </c>
      <c r="AN625" s="80" t="str">
        <f>IFERROR(__xludf.DUMMYFUNCTION("""COMPUTED_VALUE"""),"KC BATURAJA")</f>
        <v>KC BATURAJA</v>
      </c>
      <c r="AO625" s="80" t="str">
        <f>IFERROR(__xludf.DUMMYFUNCTION("""COMPUTED_VALUE"""),"2008250105347")</f>
        <v>2008250105347</v>
      </c>
      <c r="AP625" s="80" t="str">
        <f>IFERROR(__xludf.DUMMYFUNCTION("""COMPUTED_VALUE"""),"20082501053470002")</f>
        <v>20082501053470002</v>
      </c>
      <c r="AQ625" s="83"/>
      <c r="AR625" s="80"/>
      <c r="AS625" s="80"/>
      <c r="AT625" s="80" t="str">
        <f>IFERROR(__xludf.DUMMYFUNCTION("""COMPUTED_VALUE"""),"-4.550153")</f>
        <v>-4.550153</v>
      </c>
      <c r="AU625" s="80" t="str">
        <f>IFERROR(__xludf.DUMMYFUNCTION("""COMPUTED_VALUE"""),"104.079583")</f>
        <v>104.079583</v>
      </c>
      <c r="AV625" s="80"/>
      <c r="AW625" s="80"/>
      <c r="AX625" s="80"/>
      <c r="AY625" s="80"/>
      <c r="AZ625" s="80"/>
      <c r="BA625" s="80"/>
      <c r="BB625" s="80"/>
      <c r="BC625" s="80"/>
      <c r="BD625" s="80"/>
      <c r="BE625" s="80"/>
      <c r="BF625" s="80"/>
      <c r="BG625" s="80"/>
      <c r="BH625" s="80"/>
      <c r="BI625" s="80"/>
      <c r="BJ625" s="80"/>
      <c r="BK625" s="80"/>
      <c r="BL625" s="80"/>
      <c r="BM625" s="80"/>
      <c r="BN625" s="80"/>
      <c r="BO625" s="80"/>
      <c r="BP625" s="80"/>
      <c r="BQ625" s="80"/>
      <c r="BR625" s="80"/>
      <c r="BS625" s="80"/>
      <c r="BT625" s="80"/>
      <c r="BU625" s="80"/>
      <c r="BV625" s="80"/>
      <c r="BW625" s="80"/>
      <c r="BX625" s="80" t="str">
        <f>IFERROR(__xludf.DUMMYFUNCTION("""COMPUTED_VALUE"""),"NEWBIE")</f>
        <v>NEWBIE</v>
      </c>
      <c r="BY625" s="80"/>
      <c r="BZ625" s="80"/>
      <c r="CA625" s="80"/>
      <c r="CB625" s="80"/>
      <c r="CC625" s="80"/>
      <c r="CD625" s="80"/>
      <c r="CE625" s="80"/>
      <c r="CF625" s="80"/>
      <c r="CG625" s="80"/>
      <c r="CH625" s="80"/>
      <c r="CI625" s="80"/>
      <c r="CJ625" s="80"/>
      <c r="CK625" s="2"/>
    </row>
    <row r="626" ht="12.75" customHeight="1">
      <c r="A626" s="85">
        <f>IFERROR(__xludf.DUMMYFUNCTION("""COMPUTED_VALUE"""),623.0)</f>
        <v>623</v>
      </c>
      <c r="B626" s="85"/>
      <c r="C626" s="85"/>
      <c r="D626" s="86">
        <f>IFERROR(__xludf.DUMMYFUNCTION("""COMPUTED_VALUE"""),45894.0)</f>
        <v>45894</v>
      </c>
      <c r="E626" s="88"/>
      <c r="F626" s="85"/>
      <c r="G626" s="86">
        <f>IFERROR(__xludf.DUMMYFUNCTION("""COMPUTED_VALUE"""),45908.0)</f>
        <v>45908</v>
      </c>
      <c r="H626" s="85"/>
      <c r="I626" s="85"/>
      <c r="J626" s="85"/>
      <c r="K626" s="85"/>
      <c r="L626" s="85">
        <f>IFERROR(__xludf.DUMMYFUNCTION("""COMPUTED_VALUE"""),14.0)</f>
        <v>14</v>
      </c>
      <c r="M626" s="85" t="str">
        <f>IFERROR(__xludf.DUMMYFUNCTION("""COMPUTED_VALUE"""),"ü")</f>
        <v>ü</v>
      </c>
      <c r="N626" s="85"/>
      <c r="O626" s="85"/>
      <c r="P626" s="85" t="str">
        <f>IFERROR(__xludf.DUMMYFUNCTION("""COMPUTED_VALUE"""),"53BSPA09603JBEEN")</f>
        <v>53BSPA09603JBEEN</v>
      </c>
      <c r="Q626" s="85" t="str">
        <f>IFERROR(__xludf.DUMMYFUNCTION("""COMPUTED_VALUE"""),"MUC POST TAKTAKAN")</f>
        <v>MUC POST TAKTAKAN</v>
      </c>
      <c r="R626" s="85" t="str">
        <f>IFERROR(__xludf.DUMMYFUNCTION("""COMPUTED_VALUE"""),"MUC POST TAKTAKAN")</f>
        <v>MUC POST TAKTAKAN</v>
      </c>
      <c r="S626" s="85" t="str">
        <f>IFERROR(__xludf.DUMMYFUNCTION("""COMPUTED_VALUE"""),"DEDDY WAHYUDIN")</f>
        <v>DEDDY WAHYUDIN</v>
      </c>
      <c r="T626" s="85" t="str">
        <f>IFERROR(__xludf.DUMMYFUNCTION("""COMPUTED_VALUE"""),"JL KUDA LAUT NO.118 RT.003 RW.007")</f>
        <v>JL KUDA LAUT NO.118 RT.003 RW.007</v>
      </c>
      <c r="U626" s="85" t="str">
        <f>IFERROR(__xludf.DUMMYFUNCTION("""COMPUTED_VALUE"""),"Pondok Taktakan Indah Blok BE No.6")</f>
        <v>Pondok Taktakan Indah Blok BE No.6</v>
      </c>
      <c r="V626" s="85"/>
      <c r="W626" s="85" t="str">
        <f>IFERROR(__xludf.DUMMYFUNCTION("""COMPUTED_VALUE"""),"Drangong")</f>
        <v>Drangong</v>
      </c>
      <c r="X626" s="85" t="str">
        <f>IFERROR(__xludf.DUMMYFUNCTION("""COMPUTED_VALUE"""),"Taktakan")</f>
        <v>Taktakan</v>
      </c>
      <c r="Y626" s="85" t="str">
        <f>IFERROR(__xludf.DUMMYFUNCTION("""COMPUTED_VALUE"""),"Kota Serang")</f>
        <v>Kota Serang</v>
      </c>
      <c r="Z626" s="85" t="str">
        <f>IFERROR(__xludf.DUMMYFUNCTION("""COMPUTED_VALUE"""),"Banten")</f>
        <v>Banten</v>
      </c>
      <c r="AA626" s="85" t="str">
        <f>IFERROR(__xludf.DUMMYFUNCTION("""COMPUTED_VALUE"""),"42162")</f>
        <v>42162</v>
      </c>
      <c r="AB626" s="85" t="str">
        <f>IFERROR(__xludf.DUMMYFUNCTION("""COMPUTED_VALUE"""),"3172032501720007")</f>
        <v>3172032501720007</v>
      </c>
      <c r="AC626" s="85" t="str">
        <f>IFERROR(__xludf.DUMMYFUNCTION("""COMPUTED_VALUE"""),"24.504.351.8-045.000")</f>
        <v>24.504.351.8-045.000</v>
      </c>
      <c r="AD626" s="85" t="str">
        <f>IFERROR(__xludf.DUMMYFUNCTION("""COMPUTED_VALUE"""),"CUM - EEN")</f>
        <v>CUM - EEN</v>
      </c>
      <c r="AE626" s="85" t="str">
        <f>IFERROR(__xludf.DUMMYFUNCTION("""COMPUTED_VALUE"""),"SUB EEN")</f>
        <v>SUB EEN</v>
      </c>
      <c r="AF626" s="85" t="str">
        <f>IFERROR(__xludf.DUMMYFUNCTION("""COMPUTED_VALUE"""),"08174842117")</f>
        <v>08174842117</v>
      </c>
      <c r="AG626" s="85"/>
      <c r="AH626" s="85" t="str">
        <f>IFERROR(__xludf.DUMMYFUNCTION("""COMPUTED_VALUE"""),"deddy.wahyudin15@gmail.com")</f>
        <v>deddy.wahyudin15@gmail.com</v>
      </c>
      <c r="AI626" s="85" t="str">
        <f>IFERROR(__xludf.DUMMYFUNCTION("""COMPUTED_VALUE"""),"42148S1")</f>
        <v>42148S1</v>
      </c>
      <c r="AJ626" s="85" t="str">
        <f>IFERROR(__xludf.DUMMYFUNCTION("""COMPUTED_VALUE"""),"68bcd922032b5b3087031c34")</f>
        <v>68bcd922032b5b3087031c34</v>
      </c>
      <c r="AK626" s="85" t="str">
        <f>IFERROR(__xludf.DUMMYFUNCTION("""COMPUTED_VALUE"""),"dm42148s1")</f>
        <v>dm42148s1</v>
      </c>
      <c r="AL626" s="85" t="str">
        <f>IFERROR(__xludf.DUMMYFUNCTION("""COMPUTED_VALUE"""),"#42148Pos")</f>
        <v>#42148Pos</v>
      </c>
      <c r="AM626" s="85" t="str">
        <f>IFERROR(__xludf.DUMMYFUNCTION("""COMPUTED_VALUE"""),"KANTOR REGIONAL II JAKARTA 10004")</f>
        <v>KANTOR REGIONAL II JAKARTA 10004</v>
      </c>
      <c r="AN626" s="85" t="str">
        <f>IFERROR(__xludf.DUMMYFUNCTION("""COMPUTED_VALUE"""),"KCU SERANG")</f>
        <v>KCU SERANG</v>
      </c>
      <c r="AO626" s="85" t="str">
        <f>IFERROR(__xludf.DUMMYFUNCTION("""COMPUTED_VALUE"""),"2508250097548")</f>
        <v>2508250097548</v>
      </c>
      <c r="AP626" s="85" t="str">
        <f>IFERROR(__xludf.DUMMYFUNCTION("""COMPUTED_VALUE"""),"25082500975480001")</f>
        <v>25082500975480001</v>
      </c>
      <c r="AQ626" s="93"/>
      <c r="AR626" s="85"/>
      <c r="AS626" s="85"/>
      <c r="AT626" s="85" t="str">
        <f>IFERROR(__xludf.DUMMYFUNCTION("""COMPUTED_VALUE"""),"-6.106579")</f>
        <v>-6.106579</v>
      </c>
      <c r="AU626" s="85" t="str">
        <f>IFERROR(__xludf.DUMMYFUNCTION("""COMPUTED_VALUE"""),"106.124638")</f>
        <v>106.124638</v>
      </c>
      <c r="AV626" s="85"/>
      <c r="AW626" s="85"/>
      <c r="AX626" s="85"/>
      <c r="AY626" s="85"/>
      <c r="AZ626" s="85"/>
      <c r="BA626" s="85"/>
      <c r="BB626" s="85"/>
      <c r="BC626" s="85"/>
      <c r="BD626" s="85"/>
      <c r="BE626" s="85"/>
      <c r="BF626" s="85"/>
      <c r="BG626" s="85"/>
      <c r="BH626" s="85"/>
      <c r="BI626" s="85"/>
      <c r="BJ626" s="85"/>
      <c r="BK626" s="85"/>
      <c r="BL626" s="85"/>
      <c r="BM626" s="85"/>
      <c r="BN626" s="85"/>
      <c r="BO626" s="85"/>
      <c r="BP626" s="85"/>
      <c r="BQ626" s="85"/>
      <c r="BR626" s="85"/>
      <c r="BS626" s="85"/>
      <c r="BT626" s="85"/>
      <c r="BU626" s="85"/>
      <c r="BV626" s="85"/>
      <c r="BW626" s="85"/>
      <c r="BX626" s="85" t="str">
        <f>IFERROR(__xludf.DUMMYFUNCTION("""COMPUTED_VALUE"""),"NEWBIE")</f>
        <v>NEWBIE</v>
      </c>
      <c r="BY626" s="85"/>
      <c r="BZ626" s="85"/>
      <c r="CA626" s="85"/>
      <c r="CB626" s="85"/>
      <c r="CC626" s="85"/>
      <c r="CD626" s="85"/>
      <c r="CE626" s="85"/>
      <c r="CF626" s="85"/>
      <c r="CG626" s="85"/>
      <c r="CH626" s="85"/>
      <c r="CI626" s="85"/>
      <c r="CJ626" s="85"/>
      <c r="CK626" s="2"/>
    </row>
    <row r="627" ht="12.75" customHeight="1">
      <c r="A627" s="80">
        <f>IFERROR(__xludf.DUMMYFUNCTION("""COMPUTED_VALUE"""),624.0)</f>
        <v>624</v>
      </c>
      <c r="B627" s="80"/>
      <c r="C627" s="80"/>
      <c r="D627" s="81">
        <f>IFERROR(__xludf.DUMMYFUNCTION("""COMPUTED_VALUE"""),45894.0)</f>
        <v>45894</v>
      </c>
      <c r="E627" s="82"/>
      <c r="F627" s="80"/>
      <c r="G627" s="81">
        <f>IFERROR(__xludf.DUMMYFUNCTION("""COMPUTED_VALUE"""),45936.0)</f>
        <v>45936</v>
      </c>
      <c r="H627" s="80"/>
      <c r="I627" s="80"/>
      <c r="J627" s="80"/>
      <c r="K627" s="80"/>
      <c r="L627" s="80">
        <f>IFERROR(__xludf.DUMMYFUNCTION("""COMPUTED_VALUE"""),42.0)</f>
        <v>42</v>
      </c>
      <c r="M627" s="80" t="str">
        <f>IFERROR(__xludf.DUMMYFUNCTION("""COMPUTED_VALUE"""),"ü")</f>
        <v>ü</v>
      </c>
      <c r="N627" s="80"/>
      <c r="O627" s="80"/>
      <c r="P627" s="80" t="str">
        <f>IFERROR(__xludf.DUMMYFUNCTION("""COMPUTED_VALUE"""),"MUCSPA63236PSIND")</f>
        <v>MUCSPA63236PSIND</v>
      </c>
      <c r="Q627" s="80" t="str">
        <f>IFERROR(__xludf.DUMMYFUNCTION("""COMPUTED_VALUE"""),"MUC YuKei Agency")</f>
        <v>MUC YuKei Agency</v>
      </c>
      <c r="R627" s="80" t="str">
        <f>IFERROR(__xludf.DUMMYFUNCTION("""COMPUTED_VALUE"""),"MUC YuKei Agency")</f>
        <v>MUC YuKei Agency</v>
      </c>
      <c r="S627" s="80" t="str">
        <f>IFERROR(__xludf.DUMMYFUNCTION("""COMPUTED_VALUE"""),"INDAH POERWANDARI")</f>
        <v>INDAH POERWANDARI</v>
      </c>
      <c r="T627" s="80" t="str">
        <f>IFERROR(__xludf.DUMMYFUNCTION("""COMPUTED_VALUE"""),"JL. MT HARYONO NO.01 RT.002 RW.001 PENGANJANG, SINDANG, KAB.INDRAMAYU")</f>
        <v>JL. MT HARYONO NO.01 RT.002 RW.001 PENGANJANG, SINDANG, KAB.INDRAMAYU</v>
      </c>
      <c r="U627" s="80" t="str">
        <f>IFERROR(__xludf.DUMMYFUNCTION("""COMPUTED_VALUE"""),"Jl. Yos sudarso Karangturi No 32")</f>
        <v>Jl. Yos sudarso Karangturi No 32</v>
      </c>
      <c r="V627" s="80"/>
      <c r="W627" s="80" t="str">
        <f>IFERROR(__xludf.DUMMYFUNCTION("""COMPUTED_VALUE"""),"Margadadi")</f>
        <v>Margadadi</v>
      </c>
      <c r="X627" s="80" t="str">
        <f>IFERROR(__xludf.DUMMYFUNCTION("""COMPUTED_VALUE"""),"Indramayu")</f>
        <v>Indramayu</v>
      </c>
      <c r="Y627" s="80" t="str">
        <f>IFERROR(__xludf.DUMMYFUNCTION("""COMPUTED_VALUE"""),"Kab. Indramayu")</f>
        <v>Kab. Indramayu</v>
      </c>
      <c r="Z627" s="80" t="str">
        <f>IFERROR(__xludf.DUMMYFUNCTION("""COMPUTED_VALUE"""),"Jawa Barat")</f>
        <v>Jawa Barat</v>
      </c>
      <c r="AA627" s="80" t="str">
        <f>IFERROR(__xludf.DUMMYFUNCTION("""COMPUTED_VALUE"""),"45211")</f>
        <v>45211</v>
      </c>
      <c r="AB627" s="80" t="str">
        <f>IFERROR(__xludf.DUMMYFUNCTION("""COMPUTED_VALUE"""),"3212165406860002")</f>
        <v>3212165406860002</v>
      </c>
      <c r="AC627" s="80" t="str">
        <f>IFERROR(__xludf.DUMMYFUNCTION("""COMPUTED_VALUE"""),"89.800.932.9-437.000")</f>
        <v>89.800.932.9-437.000</v>
      </c>
      <c r="AD627" s="80" t="str">
        <f>IFERROR(__xludf.DUMMYFUNCTION("""COMPUTED_VALUE"""),"CUM - PS - WENDY")</f>
        <v>CUM - PS - WENDY</v>
      </c>
      <c r="AE627" s="80" t="str">
        <f>IFERROR(__xludf.DUMMYFUNCTION("""COMPUTED_VALUE"""),"SUB WENDY")</f>
        <v>SUB WENDY</v>
      </c>
      <c r="AF627" s="80" t="str">
        <f>IFERROR(__xludf.DUMMYFUNCTION("""COMPUTED_VALUE"""),"0811211681")</f>
        <v>0811211681</v>
      </c>
      <c r="AG627" s="80"/>
      <c r="AH627" s="80" t="str">
        <f>IFERROR(__xludf.DUMMYFUNCTION("""COMPUTED_VALUE"""),"hanif.januri270188@gmail.com")</f>
        <v>hanif.januri270188@gmail.com</v>
      </c>
      <c r="AI627" s="80" t="str">
        <f>IFERROR(__xludf.DUMMYFUNCTION("""COMPUTED_VALUE"""),"45211S2")</f>
        <v>45211S2</v>
      </c>
      <c r="AJ627" s="80" t="str">
        <f>IFERROR(__xludf.DUMMYFUNCTION("""COMPUTED_VALUE"""),"68e0b020d20d378d3104851f")</f>
        <v>68e0b020d20d378d3104851f</v>
      </c>
      <c r="AK627" s="80" t="str">
        <f>IFERROR(__xludf.DUMMYFUNCTION("""COMPUTED_VALUE"""),"dm45211s2")</f>
        <v>dm45211s2</v>
      </c>
      <c r="AL627" s="80" t="str">
        <f>IFERROR(__xludf.DUMMYFUNCTION("""COMPUTED_VALUE"""),"#45211Pos")</f>
        <v>#45211Pos</v>
      </c>
      <c r="AM627" s="80" t="str">
        <f>IFERROR(__xludf.DUMMYFUNCTION("""COMPUTED_VALUE"""),"KANTOR REGIONAL III BANDUNG 40004")</f>
        <v>KANTOR REGIONAL III BANDUNG 40004</v>
      </c>
      <c r="AN627" s="80" t="str">
        <f>IFERROR(__xludf.DUMMYFUNCTION("""COMPUTED_VALUE"""),"KC INDRAMAYU")</f>
        <v>KC INDRAMAYU</v>
      </c>
      <c r="AO627" s="80" t="str">
        <f>IFERROR(__xludf.DUMMYFUNCTION("""COMPUTED_VALUE"""),"2508250111316")</f>
        <v>2508250111316</v>
      </c>
      <c r="AP627" s="80" t="str">
        <f>IFERROR(__xludf.DUMMYFUNCTION("""COMPUTED_VALUE"""),"25082501113160001")</f>
        <v>25082501113160001</v>
      </c>
      <c r="AQ627" s="83"/>
      <c r="AR627" s="80"/>
      <c r="AS627" s="80"/>
      <c r="AT627" s="80" t="str">
        <f>IFERROR(__xludf.DUMMYFUNCTION("""COMPUTED_VALUE"""),"-6.325063")</f>
        <v>-6.325063</v>
      </c>
      <c r="AU627" s="80" t="str">
        <f>IFERROR(__xludf.DUMMYFUNCTION("""COMPUTED_VALUE"""),"108.326950")</f>
        <v>108.326950</v>
      </c>
      <c r="AV627" s="80"/>
      <c r="AW627" s="80"/>
      <c r="AX627" s="80"/>
      <c r="AY627" s="80"/>
      <c r="AZ627" s="80"/>
      <c r="BA627" s="80"/>
      <c r="BB627" s="80"/>
      <c r="BC627" s="80"/>
      <c r="BD627" s="80"/>
      <c r="BE627" s="80"/>
      <c r="BF627" s="80"/>
      <c r="BG627" s="80"/>
      <c r="BH627" s="80"/>
      <c r="BI627" s="80"/>
      <c r="BJ627" s="80"/>
      <c r="BK627" s="80"/>
      <c r="BL627" s="80"/>
      <c r="BM627" s="80"/>
      <c r="BN627" s="80"/>
      <c r="BO627" s="80"/>
      <c r="BP627" s="80"/>
      <c r="BQ627" s="80"/>
      <c r="BR627" s="80"/>
      <c r="BS627" s="80"/>
      <c r="BT627" s="80"/>
      <c r="BU627" s="80"/>
      <c r="BV627" s="80"/>
      <c r="BW627" s="80"/>
      <c r="BX627" s="80" t="str">
        <f>IFERROR(__xludf.DUMMYFUNCTION("""COMPUTED_VALUE"""),"POS")</f>
        <v>POS</v>
      </c>
      <c r="BY627" s="80"/>
      <c r="BZ627" s="80"/>
      <c r="CA627" s="80"/>
      <c r="CB627" s="80"/>
      <c r="CC627" s="80"/>
      <c r="CD627" s="80"/>
      <c r="CE627" s="80"/>
      <c r="CF627" s="80"/>
      <c r="CG627" s="80"/>
      <c r="CH627" s="80"/>
      <c r="CI627" s="80"/>
      <c r="CJ627" s="80"/>
      <c r="CK627" s="2"/>
    </row>
    <row r="628" ht="12.75" customHeight="1">
      <c r="A628" s="85">
        <f>IFERROR(__xludf.DUMMYFUNCTION("""COMPUTED_VALUE"""),625.0)</f>
        <v>625</v>
      </c>
      <c r="B628" s="85"/>
      <c r="C628" s="85"/>
      <c r="D628" s="86">
        <f>IFERROR(__xludf.DUMMYFUNCTION("""COMPUTED_VALUE"""),45895.0)</f>
        <v>45895</v>
      </c>
      <c r="E628" s="88"/>
      <c r="F628" s="85"/>
      <c r="G628" s="86">
        <f>IFERROR(__xludf.DUMMYFUNCTION("""COMPUTED_VALUE"""),45908.0)</f>
        <v>45908</v>
      </c>
      <c r="H628" s="85"/>
      <c r="I628" s="85"/>
      <c r="J628" s="85"/>
      <c r="K628" s="85"/>
      <c r="L628" s="85">
        <f>IFERROR(__xludf.DUMMYFUNCTION("""COMPUTED_VALUE"""),13.0)</f>
        <v>13</v>
      </c>
      <c r="M628" s="85" t="str">
        <f>IFERROR(__xludf.DUMMYFUNCTION("""COMPUTED_VALUE"""),"ü")</f>
        <v>ü</v>
      </c>
      <c r="N628" s="85"/>
      <c r="O628" s="85"/>
      <c r="P628" s="85" t="str">
        <f>IFERROR(__xludf.DUMMYFUNCTION("""COMPUTED_VALUE"""),"MUCSPA63237PSIND")</f>
        <v>MUCSPA63237PSIND</v>
      </c>
      <c r="Q628" s="85" t="str">
        <f>IFERROR(__xludf.DUMMYFUNCTION("""COMPUTED_VALUE"""),"MUC SANUPI")</f>
        <v>MUC SANUPI</v>
      </c>
      <c r="R628" s="85" t="str">
        <f>IFERROR(__xludf.DUMMYFUNCTION("""COMPUTED_VALUE"""),"MUC SANUPI")</f>
        <v>MUC SANUPI</v>
      </c>
      <c r="S628" s="85" t="str">
        <f>IFERROR(__xludf.DUMMYFUNCTION("""COMPUTED_VALUE"""),"SUHAPI")</f>
        <v>SUHAPI</v>
      </c>
      <c r="T628" s="85" t="str">
        <f>IFERROR(__xludf.DUMMYFUNCTION("""COMPUTED_VALUE"""),"DUSUN PAGADUNGAN RT.001 RW.001, PAGADUNGAN, TEMPURAN, KAB. KARAWANG")</f>
        <v>DUSUN PAGADUNGAN RT.001 RW.001, PAGADUNGAN, TEMPURAN, KAB. KARAWANG</v>
      </c>
      <c r="U628" s="85" t="str">
        <f>IFERROR(__xludf.DUMMYFUNCTION("""COMPUTED_VALUE"""),"DUSUN PAGADUNGAN DESA PAGADUNGAN RT.001/001")</f>
        <v>DUSUN PAGADUNGAN DESA PAGADUNGAN RT.001/001</v>
      </c>
      <c r="V628" s="85"/>
      <c r="W628" s="85" t="str">
        <f>IFERROR(__xludf.DUMMYFUNCTION("""COMPUTED_VALUE"""),"Pagadungan")</f>
        <v>Pagadungan</v>
      </c>
      <c r="X628" s="85" t="str">
        <f>IFERROR(__xludf.DUMMYFUNCTION("""COMPUTED_VALUE"""),"Tempuran")</f>
        <v>Tempuran</v>
      </c>
      <c r="Y628" s="85" t="str">
        <f>IFERROR(__xludf.DUMMYFUNCTION("""COMPUTED_VALUE"""),"Kab. Karawang")</f>
        <v>Kab. Karawang</v>
      </c>
      <c r="Z628" s="85" t="str">
        <f>IFERROR(__xludf.DUMMYFUNCTION("""COMPUTED_VALUE"""),"Jawa Barat")</f>
        <v>Jawa Barat</v>
      </c>
      <c r="AA628" s="85" t="str">
        <f>IFERROR(__xludf.DUMMYFUNCTION("""COMPUTED_VALUE"""),"41385")</f>
        <v>41385</v>
      </c>
      <c r="AB628" s="85" t="str">
        <f>IFERROR(__xludf.DUMMYFUNCTION("""COMPUTED_VALUE"""),"3215200309890004")</f>
        <v>3215200309890004</v>
      </c>
      <c r="AC628" s="85" t="str">
        <f>IFERROR(__xludf.DUMMYFUNCTION("""COMPUTED_VALUE"""),"80.081.006.1-433.000")</f>
        <v>80.081.006.1-433.000</v>
      </c>
      <c r="AD628" s="85" t="str">
        <f>IFERROR(__xludf.DUMMYFUNCTION("""COMPUTED_VALUE"""),"CUM - PS - SITIH")</f>
        <v>CUM - PS - SITIH</v>
      </c>
      <c r="AE628" s="85" t="str">
        <f>IFERROR(__xludf.DUMMYFUNCTION("""COMPUTED_VALUE"""),"SUB SITI POS")</f>
        <v>SUB SITI POS</v>
      </c>
      <c r="AF628" s="85" t="str">
        <f>IFERROR(__xludf.DUMMYFUNCTION("""COMPUTED_VALUE"""),"082211407058")</f>
        <v>082211407058</v>
      </c>
      <c r="AG628" s="85"/>
      <c r="AH628" s="85" t="str">
        <f>IFERROR(__xludf.DUMMYFUNCTION("""COMPUTED_VALUE"""),"hapyupil89@gmail.com")</f>
        <v>hapyupil89@gmail.com</v>
      </c>
      <c r="AI628" s="85" t="str">
        <f>IFERROR(__xludf.DUMMYFUNCTION("""COMPUTED_VALUE"""),"41385S1")</f>
        <v>41385S1</v>
      </c>
      <c r="AJ628" s="85" t="str">
        <f>IFERROR(__xludf.DUMMYFUNCTION("""COMPUTED_VALUE"""),"68bcec7376804552cb0f5e12")</f>
        <v>68bcec7376804552cb0f5e12</v>
      </c>
      <c r="AK628" s="85" t="str">
        <f>IFERROR(__xludf.DUMMYFUNCTION("""COMPUTED_VALUE"""),"dm41385s1")</f>
        <v>dm41385s1</v>
      </c>
      <c r="AL628" s="85" t="str">
        <f>IFERROR(__xludf.DUMMYFUNCTION("""COMPUTED_VALUE"""),"#41385Pos")</f>
        <v>#41385Pos</v>
      </c>
      <c r="AM628" s="85" t="str">
        <f>IFERROR(__xludf.DUMMYFUNCTION("""COMPUTED_VALUE"""),"KANTOR REGIONAL III BANDUNG 40004")</f>
        <v>KANTOR REGIONAL III BANDUNG 40004</v>
      </c>
      <c r="AN628" s="85" t="str">
        <f>IFERROR(__xludf.DUMMYFUNCTION("""COMPUTED_VALUE"""),"KCU KARAWANG 41300")</f>
        <v>KCU KARAWANG 41300</v>
      </c>
      <c r="AO628" s="85" t="str">
        <f>IFERROR(__xludf.DUMMYFUNCTION("""COMPUTED_VALUE"""),"2203230021383")</f>
        <v>2203230021383</v>
      </c>
      <c r="AP628" s="85" t="str">
        <f>IFERROR(__xludf.DUMMYFUNCTION("""COMPUTED_VALUE"""),"22032300213830002")</f>
        <v>22032300213830002</v>
      </c>
      <c r="AQ628" s="93"/>
      <c r="AR628" s="85"/>
      <c r="AS628" s="85"/>
      <c r="AT628" s="85" t="str">
        <f>IFERROR(__xludf.DUMMYFUNCTION("""COMPUTED_VALUE"""),"-6.192426")</f>
        <v>-6.192426</v>
      </c>
      <c r="AU628" s="85" t="str">
        <f>IFERROR(__xludf.DUMMYFUNCTION("""COMPUTED_VALUE"""),"107.455386")</f>
        <v>107.455386</v>
      </c>
      <c r="AV628" s="85"/>
      <c r="AW628" s="85"/>
      <c r="AX628" s="85"/>
      <c r="AY628" s="85"/>
      <c r="AZ628" s="85"/>
      <c r="BA628" s="85"/>
      <c r="BB628" s="85"/>
      <c r="BC628" s="85"/>
      <c r="BD628" s="85"/>
      <c r="BE628" s="85"/>
      <c r="BF628" s="85"/>
      <c r="BG628" s="85"/>
      <c r="BH628" s="85"/>
      <c r="BI628" s="85"/>
      <c r="BJ628" s="85"/>
      <c r="BK628" s="85"/>
      <c r="BL628" s="85"/>
      <c r="BM628" s="85"/>
      <c r="BN628" s="85"/>
      <c r="BO628" s="85"/>
      <c r="BP628" s="85"/>
      <c r="BQ628" s="85"/>
      <c r="BR628" s="85"/>
      <c r="BS628" s="85"/>
      <c r="BT628" s="85"/>
      <c r="BU628" s="85"/>
      <c r="BV628" s="85"/>
      <c r="BW628" s="85"/>
      <c r="BX628" s="85" t="str">
        <f>IFERROR(__xludf.DUMMYFUNCTION("""COMPUTED_VALUE"""),"MULTIKURIR - JNT CARGO")</f>
        <v>MULTIKURIR - JNT CARGO</v>
      </c>
      <c r="BY628" s="85"/>
      <c r="BZ628" s="85"/>
      <c r="CA628" s="85"/>
      <c r="CB628" s="85"/>
      <c r="CC628" s="85"/>
      <c r="CD628" s="85"/>
      <c r="CE628" s="85"/>
      <c r="CF628" s="85"/>
      <c r="CG628" s="85"/>
      <c r="CH628" s="85"/>
      <c r="CI628" s="85"/>
      <c r="CJ628" s="85"/>
      <c r="CK628" s="2"/>
    </row>
    <row r="629" ht="12.75" customHeight="1">
      <c r="A629" s="80">
        <f>IFERROR(__xludf.DUMMYFUNCTION("""COMPUTED_VALUE"""),626.0)</f>
        <v>626</v>
      </c>
      <c r="B629" s="80"/>
      <c r="C629" s="80"/>
      <c r="D629" s="81">
        <f>IFERROR(__xludf.DUMMYFUNCTION("""COMPUTED_VALUE"""),45896.0)</f>
        <v>45896</v>
      </c>
      <c r="E629" s="82"/>
      <c r="F629" s="80"/>
      <c r="G629" s="81">
        <f>IFERROR(__xludf.DUMMYFUNCTION("""COMPUTED_VALUE"""),45902.0)</f>
        <v>45902</v>
      </c>
      <c r="H629" s="80"/>
      <c r="I629" s="80"/>
      <c r="J629" s="80"/>
      <c r="K629" s="80"/>
      <c r="L629" s="80">
        <f>IFERROR(__xludf.DUMMYFUNCTION("""COMPUTED_VALUE"""),6.0)</f>
        <v>6</v>
      </c>
      <c r="M629" s="80" t="str">
        <f>IFERROR(__xludf.DUMMYFUNCTION("""COMPUTED_VALUE"""),"ü")</f>
        <v>ü</v>
      </c>
      <c r="N629" s="80"/>
      <c r="O629" s="80"/>
      <c r="P629" s="80" t="str">
        <f>IFERROR(__xludf.DUMMYFUNCTION("""COMPUTED_VALUE"""),"53BSPA09637JBEEN")</f>
        <v>53BSPA09637JBEEN</v>
      </c>
      <c r="Q629" s="80" t="str">
        <f>IFERROR(__xludf.DUMMYFUNCTION("""COMPUTED_VALUE"""),"MUC Mawar 3")</f>
        <v>MUC Mawar 3</v>
      </c>
      <c r="R629" s="80" t="str">
        <f>IFERROR(__xludf.DUMMYFUNCTION("""COMPUTED_VALUE"""),"MUC Mawar 3")</f>
        <v>MUC Mawar 3</v>
      </c>
      <c r="S629" s="80" t="str">
        <f>IFERROR(__xludf.DUMMYFUNCTION("""COMPUTED_VALUE"""),"ENDAH TRI LESTARI")</f>
        <v>ENDAH TRI LESTARI</v>
      </c>
      <c r="T629" s="80" t="str">
        <f>IFERROR(__xludf.DUMMYFUNCTION("""COMPUTED_VALUE"""),"KP RAWA BAMBU RT.004 RW.007, KALI BARU, MEDAN SATRIA, KOTA BEKASI")</f>
        <v>KP RAWA BAMBU RT.004 RW.007, KALI BARU, MEDAN SATRIA, KOTA BEKASI</v>
      </c>
      <c r="U629" s="80" t="str">
        <f>IFERROR(__xludf.DUMMYFUNCTION("""COMPUTED_VALUE"""),"Kp Rawabambu Jl Kalibaru timur RT 4 RW 7 no 56 kavling Kalibaru permai Medan Satria")</f>
        <v>Kp Rawabambu Jl Kalibaru timur RT 4 RW 7 no 56 kavling Kalibaru permai Medan Satria</v>
      </c>
      <c r="V629" s="80"/>
      <c r="W629" s="80" t="str">
        <f>IFERROR(__xludf.DUMMYFUNCTION("""COMPUTED_VALUE"""),"Kali Baru")</f>
        <v>Kali Baru</v>
      </c>
      <c r="X629" s="80" t="str">
        <f>IFERROR(__xludf.DUMMYFUNCTION("""COMPUTED_VALUE"""),"Medan Satria")</f>
        <v>Medan Satria</v>
      </c>
      <c r="Y629" s="80" t="str">
        <f>IFERROR(__xludf.DUMMYFUNCTION("""COMPUTED_VALUE"""),"Bekasi")</f>
        <v>Bekasi</v>
      </c>
      <c r="Z629" s="80" t="str">
        <f>IFERROR(__xludf.DUMMYFUNCTION("""COMPUTED_VALUE"""),"Jawa Barat")</f>
        <v>Jawa Barat</v>
      </c>
      <c r="AA629" s="80" t="str">
        <f>IFERROR(__xludf.DUMMYFUNCTION("""COMPUTED_VALUE"""),"17132")</f>
        <v>17132</v>
      </c>
      <c r="AB629" s="80" t="str">
        <f>IFERROR(__xludf.DUMMYFUNCTION("""COMPUTED_VALUE"""),"3275066008820020")</f>
        <v>3275066008820020</v>
      </c>
      <c r="AC629" s="80" t="str">
        <f>IFERROR(__xludf.DUMMYFUNCTION("""COMPUTED_VALUE"""),"49.628.804.4-407.000")</f>
        <v>49.628.804.4-407.000</v>
      </c>
      <c r="AD629" s="80" t="str">
        <f>IFERROR(__xludf.DUMMYFUNCTION("""COMPUTED_VALUE"""),"CUM - EEN")</f>
        <v>CUM - EEN</v>
      </c>
      <c r="AE629" s="80" t="str">
        <f>IFERROR(__xludf.DUMMYFUNCTION("""COMPUTED_VALUE"""),"SUB EEN")</f>
        <v>SUB EEN</v>
      </c>
      <c r="AF629" s="80" t="str">
        <f>IFERROR(__xludf.DUMMYFUNCTION("""COMPUTED_VALUE"""),"081216561982")</f>
        <v>081216561982</v>
      </c>
      <c r="AG629" s="80"/>
      <c r="AH629" s="80" t="str">
        <f>IFERROR(__xludf.DUMMYFUNCTION("""COMPUTED_VALUE"""),"endahtri2082@gmail.com")</f>
        <v>endahtri2082@gmail.com</v>
      </c>
      <c r="AI629" s="80" t="str">
        <f>IFERROR(__xludf.DUMMYFUNCTION("""COMPUTED_VALUE"""),"17183S1")</f>
        <v>17183S1</v>
      </c>
      <c r="AJ629" s="80" t="str">
        <f>IFERROR(__xludf.DUMMYFUNCTION("""COMPUTED_VALUE"""),"68b15886fbc12f54b3052fb8")</f>
        <v>68b15886fbc12f54b3052fb8</v>
      </c>
      <c r="AK629" s="80" t="str">
        <f>IFERROR(__xludf.DUMMYFUNCTION("""COMPUTED_VALUE"""),"dm17183s1")</f>
        <v>dm17183s1</v>
      </c>
      <c r="AL629" s="80" t="str">
        <f>IFERROR(__xludf.DUMMYFUNCTION("""COMPUTED_VALUE"""),"#17183Pos")</f>
        <v>#17183Pos</v>
      </c>
      <c r="AM629" s="80" t="str">
        <f>IFERROR(__xludf.DUMMYFUNCTION("""COMPUTED_VALUE"""),"KANTOR REGIONAL II JAKARTA 10004")</f>
        <v>KANTOR REGIONAL II JAKARTA 10004</v>
      </c>
      <c r="AN629" s="80" t="str">
        <f>IFERROR(__xludf.DUMMYFUNCTION("""COMPUTED_VALUE"""),"KCU BEKASI 17000")</f>
        <v>KCU BEKASI 17000</v>
      </c>
      <c r="AO629" s="80" t="str">
        <f>IFERROR(__xludf.DUMMYFUNCTION("""COMPUTED_VALUE"""),"1407250039526")</f>
        <v>1407250039526</v>
      </c>
      <c r="AP629" s="80" t="str">
        <f>IFERROR(__xludf.DUMMYFUNCTION("""COMPUTED_VALUE"""),"14072500395260002")</f>
        <v>14072500395260002</v>
      </c>
      <c r="AQ629" s="83"/>
      <c r="AR629" s="80"/>
      <c r="AS629" s="80"/>
      <c r="AT629" s="80" t="str">
        <f>IFERROR(__xludf.DUMMYFUNCTION("""COMPUTED_VALUE"""),"-6.221545")</f>
        <v>-6.221545</v>
      </c>
      <c r="AU629" s="80" t="str">
        <f>IFERROR(__xludf.DUMMYFUNCTION("""COMPUTED_VALUE"""),"106.980720")</f>
        <v>106.980720</v>
      </c>
      <c r="AV629" s="80"/>
      <c r="AW629" s="80"/>
      <c r="AX629" s="80"/>
      <c r="AY629" s="80"/>
      <c r="AZ629" s="80"/>
      <c r="BA629" s="80"/>
      <c r="BB629" s="80"/>
      <c r="BC629" s="80"/>
      <c r="BD629" s="80"/>
      <c r="BE629" s="80"/>
      <c r="BF629" s="80"/>
      <c r="BG629" s="80"/>
      <c r="BH629" s="80"/>
      <c r="BI629" s="80"/>
      <c r="BJ629" s="80"/>
      <c r="BK629" s="80"/>
      <c r="BL629" s="80"/>
      <c r="BM629" s="80"/>
      <c r="BN629" s="80"/>
      <c r="BO629" s="80"/>
      <c r="BP629" s="80"/>
      <c r="BQ629" s="80"/>
      <c r="BR629" s="80"/>
      <c r="BS629" s="80"/>
      <c r="BT629" s="80"/>
      <c r="BU629" s="80"/>
      <c r="BV629" s="80"/>
      <c r="BW629" s="80"/>
      <c r="BX629" s="80" t="str">
        <f>IFERROR(__xludf.DUMMYFUNCTION("""COMPUTED_VALUE"""),"NEWBIE")</f>
        <v>NEWBIE</v>
      </c>
      <c r="BY629" s="80"/>
      <c r="BZ629" s="80"/>
      <c r="CA629" s="80"/>
      <c r="CB629" s="80"/>
      <c r="CC629" s="80"/>
      <c r="CD629" s="80"/>
      <c r="CE629" s="80"/>
      <c r="CF629" s="80"/>
      <c r="CG629" s="80"/>
      <c r="CH629" s="80"/>
      <c r="CI629" s="80"/>
      <c r="CJ629" s="80"/>
      <c r="CK629" s="2"/>
    </row>
    <row r="630" ht="12.75" customHeight="1">
      <c r="A630" s="85">
        <f>IFERROR(__xludf.DUMMYFUNCTION("""COMPUTED_VALUE"""),627.0)</f>
        <v>627</v>
      </c>
      <c r="B630" s="85"/>
      <c r="C630" s="85"/>
      <c r="D630" s="86">
        <f>IFERROR(__xludf.DUMMYFUNCTION("""COMPUTED_VALUE"""),45896.0)</f>
        <v>45896</v>
      </c>
      <c r="E630" s="88"/>
      <c r="F630" s="85"/>
      <c r="G630" s="86">
        <f>IFERROR(__xludf.DUMMYFUNCTION("""COMPUTED_VALUE"""),45924.0)</f>
        <v>45924</v>
      </c>
      <c r="H630" s="85"/>
      <c r="I630" s="85"/>
      <c r="J630" s="85"/>
      <c r="K630" s="85"/>
      <c r="L630" s="85">
        <f>IFERROR(__xludf.DUMMYFUNCTION("""COMPUTED_VALUE"""),28.0)</f>
        <v>28</v>
      </c>
      <c r="M630" s="85" t="str">
        <f>IFERROR(__xludf.DUMMYFUNCTION("""COMPUTED_VALUE"""),"ü")</f>
        <v>ü</v>
      </c>
      <c r="N630" s="85"/>
      <c r="O630" s="85"/>
      <c r="P630" s="85" t="str">
        <f>IFERROR(__xludf.DUMMYFUNCTION("""COMPUTED_VALUE"""),"MUCSPA63238PSIND")</f>
        <v>MUCSPA63238PSIND</v>
      </c>
      <c r="Q630" s="85" t="str">
        <f>IFERROR(__xludf.DUMMYFUNCTION("""COMPUTED_VALUE"""),"MUC TAMA POST")</f>
        <v>MUC TAMA POST</v>
      </c>
      <c r="R630" s="85" t="str">
        <f>IFERROR(__xludf.DUMMYFUNCTION("""COMPUTED_VALUE"""),"MUC TAMA POST")</f>
        <v>MUC TAMA POST</v>
      </c>
      <c r="S630" s="85" t="str">
        <f>IFERROR(__xludf.DUMMYFUNCTION("""COMPUTED_VALUE"""),"TEGUH ADI PRAMTOMO")</f>
        <v>TEGUH ADI PRAMTOMO</v>
      </c>
      <c r="T630" s="85" t="str">
        <f>IFERROR(__xludf.DUMMYFUNCTION("""COMPUTED_VALUE"""),"MEDAYU RT.001 RW.002, MEDAYU, WANADADI, KAB. BANJARNEGARA")</f>
        <v>MEDAYU RT.001 RW.002, MEDAYU, WANADADI, KAB. BANJARNEGARA</v>
      </c>
      <c r="U630" s="85" t="str">
        <f>IFERROR(__xludf.DUMMYFUNCTION("""COMPUTED_VALUE"""),"Jalan Raya Perempatan Desa Rejasari RT.001 RW.002")</f>
        <v>Jalan Raya Perempatan Desa Rejasari RT.001 RW.002</v>
      </c>
      <c r="V630" s="85"/>
      <c r="W630" s="85" t="str">
        <f>IFERROR(__xludf.DUMMYFUNCTION("""COMPUTED_VALUE"""),"Rejasari")</f>
        <v>Rejasari</v>
      </c>
      <c r="X630" s="85" t="str">
        <f>IFERROR(__xludf.DUMMYFUNCTION("""COMPUTED_VALUE"""),"Banjarmangu")</f>
        <v>Banjarmangu</v>
      </c>
      <c r="Y630" s="85" t="str">
        <f>IFERROR(__xludf.DUMMYFUNCTION("""COMPUTED_VALUE"""),"Kab. Banjarnegara")</f>
        <v>Kab. Banjarnegara</v>
      </c>
      <c r="Z630" s="85" t="str">
        <f>IFERROR(__xludf.DUMMYFUNCTION("""COMPUTED_VALUE"""),"Jawa Tengah")</f>
        <v>Jawa Tengah</v>
      </c>
      <c r="AA630" s="85" t="str">
        <f>IFERROR(__xludf.DUMMYFUNCTION("""COMPUTED_VALUE"""),"53452")</f>
        <v>53452</v>
      </c>
      <c r="AB630" s="85" t="str">
        <f>IFERROR(__xludf.DUMMYFUNCTION("""COMPUTED_VALUE"""),"3304101003960001")</f>
        <v>3304101003960001</v>
      </c>
      <c r="AC630" s="85" t="str">
        <f>IFERROR(__xludf.DUMMYFUNCTION("""COMPUTED_VALUE"""),"43.847.927.1-529.000")</f>
        <v>43.847.927.1-529.000</v>
      </c>
      <c r="AD630" s="85" t="str">
        <f>IFERROR(__xludf.DUMMYFUNCTION("""COMPUTED_VALUE"""),"CUM - PS - AMU")</f>
        <v>CUM - PS - AMU</v>
      </c>
      <c r="AE630" s="85" t="str">
        <f>IFERROR(__xludf.DUMMYFUNCTION("""COMPUTED_VALUE"""),"SUB MUJI POS")</f>
        <v>SUB MUJI POS</v>
      </c>
      <c r="AF630" s="85" t="str">
        <f>IFERROR(__xludf.DUMMYFUNCTION("""COMPUTED_VALUE"""),"085156369194")</f>
        <v>085156369194</v>
      </c>
      <c r="AG630" s="85"/>
      <c r="AH630" s="85" t="str">
        <f>IFERROR(__xludf.DUMMYFUNCTION("""COMPUTED_VALUE"""),"teguh.adipratomo.tap@gmail.com")</f>
        <v>teguh.adipratomo.tap@gmail.com</v>
      </c>
      <c r="AI630" s="85" t="str">
        <f>IFERROR(__xludf.DUMMYFUNCTION("""COMPUTED_VALUE"""),"53452S1")</f>
        <v>53452S1</v>
      </c>
      <c r="AJ630" s="85" t="str">
        <f>IFERROR(__xludf.DUMMYFUNCTION("""COMPUTED_VALUE"""),"68d3b627825c15e37509c97c")</f>
        <v>68d3b627825c15e37509c97c</v>
      </c>
      <c r="AK630" s="85" t="str">
        <f>IFERROR(__xludf.DUMMYFUNCTION("""COMPUTED_VALUE"""),"dm53452s1")</f>
        <v>dm53452s1</v>
      </c>
      <c r="AL630" s="85" t="str">
        <f>IFERROR(__xludf.DUMMYFUNCTION("""COMPUTED_VALUE"""),"#53452Pos")</f>
        <v>#53452Pos</v>
      </c>
      <c r="AM630" s="85" t="str">
        <f>IFERROR(__xludf.DUMMYFUNCTION("""COMPUTED_VALUE"""),"KANTOR REGIONAL IV SEMARANG 50004")</f>
        <v>KANTOR REGIONAL IV SEMARANG 50004</v>
      </c>
      <c r="AN630" s="85" t="str">
        <f>IFERROR(__xludf.DUMMYFUNCTION("""COMPUTED_VALUE"""),"KC BANJARNEGARA")</f>
        <v>KC BANJARNEGARA</v>
      </c>
      <c r="AO630" s="85" t="str">
        <f>IFERROR(__xludf.DUMMYFUNCTION("""COMPUTED_VALUE"""),"2608250100109")</f>
        <v>2608250100109</v>
      </c>
      <c r="AP630" s="85" t="str">
        <f>IFERROR(__xludf.DUMMYFUNCTION("""COMPUTED_VALUE"""),"26082501001090001")</f>
        <v>26082501001090001</v>
      </c>
      <c r="AQ630" s="93"/>
      <c r="AR630" s="85"/>
      <c r="AS630" s="85"/>
      <c r="AT630" s="85" t="str">
        <f>IFERROR(__xludf.DUMMYFUNCTION("""COMPUTED_VALUE"""),"-7.3564543")</f>
        <v>-7.3564543</v>
      </c>
      <c r="AU630" s="85" t="str">
        <f>IFERROR(__xludf.DUMMYFUNCTION("""COMPUTED_VALUE"""),"109.678449")</f>
        <v>109.678449</v>
      </c>
      <c r="AV630" s="85"/>
      <c r="AW630" s="85"/>
      <c r="AX630" s="85"/>
      <c r="AY630" s="85"/>
      <c r="AZ630" s="85"/>
      <c r="BA630" s="85"/>
      <c r="BB630" s="85"/>
      <c r="BC630" s="85"/>
      <c r="BD630" s="85"/>
      <c r="BE630" s="85"/>
      <c r="BF630" s="85"/>
      <c r="BG630" s="85"/>
      <c r="BH630" s="85"/>
      <c r="BI630" s="85"/>
      <c r="BJ630" s="85"/>
      <c r="BK630" s="85"/>
      <c r="BL630" s="85"/>
      <c r="BM630" s="85"/>
      <c r="BN630" s="85"/>
      <c r="BO630" s="85"/>
      <c r="BP630" s="85"/>
      <c r="BQ630" s="85"/>
      <c r="BR630" s="85"/>
      <c r="BS630" s="85"/>
      <c r="BT630" s="85"/>
      <c r="BU630" s="85"/>
      <c r="BV630" s="85"/>
      <c r="BW630" s="85"/>
      <c r="BX630" s="85" t="str">
        <f>IFERROR(__xludf.DUMMYFUNCTION("""COMPUTED_VALUE"""),"NEWBIE BRILINK")</f>
        <v>NEWBIE BRILINK</v>
      </c>
      <c r="BY630" s="85"/>
      <c r="BZ630" s="85"/>
      <c r="CA630" s="85"/>
      <c r="CB630" s="85"/>
      <c r="CC630" s="85"/>
      <c r="CD630" s="85"/>
      <c r="CE630" s="85"/>
      <c r="CF630" s="85"/>
      <c r="CG630" s="85"/>
      <c r="CH630" s="85"/>
      <c r="CI630" s="85"/>
      <c r="CJ630" s="85"/>
      <c r="CK630" s="2"/>
    </row>
    <row r="631" ht="12.75" customHeight="1">
      <c r="A631" s="80">
        <f>IFERROR(__xludf.DUMMYFUNCTION("""COMPUTED_VALUE"""),628.0)</f>
        <v>628</v>
      </c>
      <c r="B631" s="80"/>
      <c r="C631" s="80"/>
      <c r="D631" s="81">
        <f>IFERROR(__xludf.DUMMYFUNCTION("""COMPUTED_VALUE"""),45897.0)</f>
        <v>45897</v>
      </c>
      <c r="E631" s="82"/>
      <c r="F631" s="80"/>
      <c r="G631" s="81">
        <f>IFERROR(__xludf.DUMMYFUNCTION("""COMPUTED_VALUE"""),45902.0)</f>
        <v>45902</v>
      </c>
      <c r="H631" s="80"/>
      <c r="I631" s="80"/>
      <c r="J631" s="80"/>
      <c r="K631" s="80"/>
      <c r="L631" s="80">
        <f>IFERROR(__xludf.DUMMYFUNCTION("""COMPUTED_VALUE"""),5.0)</f>
        <v>5</v>
      </c>
      <c r="M631" s="80" t="str">
        <f>IFERROR(__xludf.DUMMYFUNCTION("""COMPUTED_VALUE"""),"ü")</f>
        <v>ü</v>
      </c>
      <c r="N631" s="80"/>
      <c r="O631" s="80"/>
      <c r="P631" s="80" t="str">
        <f>IFERROR(__xludf.DUMMYFUNCTION("""COMPUTED_VALUE"""),"MUCSPA63239PSIND")</f>
        <v>MUCSPA63239PSIND</v>
      </c>
      <c r="Q631" s="80" t="str">
        <f>IFERROR(__xludf.DUMMYFUNCTION("""COMPUTED_VALUE"""),"MUC FATHUR KAMIL")</f>
        <v>MUC FATHUR KAMIL</v>
      </c>
      <c r="R631" s="80" t="str">
        <f>IFERROR(__xludf.DUMMYFUNCTION("""COMPUTED_VALUE"""),"MUC FATHUR KAMIL")</f>
        <v>MUC FATHUR KAMIL</v>
      </c>
      <c r="S631" s="80" t="str">
        <f>IFERROR(__xludf.DUMMYFUNCTION("""COMPUTED_VALUE"""),"ULFA MARIA")</f>
        <v>ULFA MARIA</v>
      </c>
      <c r="T631" s="80" t="str">
        <f>IFERROR(__xludf.DUMMYFUNCTION("""COMPUTED_VALUE"""),"JORONG LUBUK JUANGAN, SUNGAI AUA SUNGAIAUR, KAB. PASAMAN BARAT, SUMATERA BARAT")</f>
        <v>JORONG LUBUK JUANGAN, SUNGAI AUA SUNGAIAUR, KAB. PASAMAN BARAT, SUMATERA BARAT</v>
      </c>
      <c r="U631" s="80" t="str">
        <f>IFERROR(__xludf.DUMMYFUNCTION("""COMPUTED_VALUE"""),"Jorong Lubuk Juangan")</f>
        <v>Jorong Lubuk Juangan</v>
      </c>
      <c r="V631" s="80"/>
      <c r="W631" s="80" t="str">
        <f>IFERROR(__xludf.DUMMYFUNCTION("""COMPUTED_VALUE"""),"Sungai Aua")</f>
        <v>Sungai Aua</v>
      </c>
      <c r="X631" s="80" t="str">
        <f>IFERROR(__xludf.DUMMYFUNCTION("""COMPUTED_VALUE"""),"Sungai Aur")</f>
        <v>Sungai Aur</v>
      </c>
      <c r="Y631" s="80" t="str">
        <f>IFERROR(__xludf.DUMMYFUNCTION("""COMPUTED_VALUE"""),"Kab. Pasaman Barat")</f>
        <v>Kab. Pasaman Barat</v>
      </c>
      <c r="Z631" s="80" t="str">
        <f>IFERROR(__xludf.DUMMYFUNCTION("""COMPUTED_VALUE"""),"Sumatera Barat")</f>
        <v>Sumatera Barat</v>
      </c>
      <c r="AA631" s="80" t="str">
        <f>IFERROR(__xludf.DUMMYFUNCTION("""COMPUTED_VALUE"""),"26574")</f>
        <v>26574</v>
      </c>
      <c r="AB631" s="80" t="str">
        <f>IFERROR(__xludf.DUMMYFUNCTION("""COMPUTED_VALUE"""),"1312096211950004")</f>
        <v>1312096211950004</v>
      </c>
      <c r="AC631" s="80" t="str">
        <f>IFERROR(__xludf.DUMMYFUNCTION("""COMPUTED_VALUE"""),"85.601.543.3-202.000")</f>
        <v>85.601.543.3-202.000</v>
      </c>
      <c r="AD631" s="80" t="str">
        <f>IFERROR(__xludf.DUMMYFUNCTION("""COMPUTED_VALUE"""),"CUM - PS - ABER")</f>
        <v>CUM - PS - ABER</v>
      </c>
      <c r="AE631" s="80" t="str">
        <f>IFERROR(__xludf.DUMMYFUNCTION("""COMPUTED_VALUE"""),"PAK ALBER KC LUBUKSIKAPING")</f>
        <v>PAK ALBER KC LUBUKSIKAPING</v>
      </c>
      <c r="AF631" s="80" t="str">
        <f>IFERROR(__xludf.DUMMYFUNCTION("""COMPUTED_VALUE"""),"081372909782")</f>
        <v>081372909782</v>
      </c>
      <c r="AG631" s="80"/>
      <c r="AH631" s="80" t="str">
        <f>IFERROR(__xludf.DUMMYFUNCTION("""COMPUTED_VALUE"""),"putradefni@gmail.com")</f>
        <v>putradefni@gmail.com</v>
      </c>
      <c r="AI631" s="80" t="str">
        <f>IFERROR(__xludf.DUMMYFUNCTION("""COMPUTED_VALUE"""),"26576S2")</f>
        <v>26576S2</v>
      </c>
      <c r="AJ631" s="80" t="str">
        <f>IFERROR(__xludf.DUMMYFUNCTION("""COMPUTED_VALUE"""),"68b527585cb836c1d90f7969")</f>
        <v>68b527585cb836c1d90f7969</v>
      </c>
      <c r="AK631" s="80" t="str">
        <f>IFERROR(__xludf.DUMMYFUNCTION("""COMPUTED_VALUE"""),"dm26576s2")</f>
        <v>dm26576s2</v>
      </c>
      <c r="AL631" s="80" t="str">
        <f>IFERROR(__xludf.DUMMYFUNCTION("""COMPUTED_VALUE"""),"#26576Pos")</f>
        <v>#26576Pos</v>
      </c>
      <c r="AM631" s="80" t="str">
        <f>IFERROR(__xludf.DUMMYFUNCTION("""COMPUTED_VALUE"""),"KANTOR REGIONAL I MEDAN 20004")</f>
        <v>KANTOR REGIONAL I MEDAN 20004</v>
      </c>
      <c r="AN631" s="80" t="str">
        <f>IFERROR(__xludf.DUMMYFUNCTION("""COMPUTED_VALUE"""),"KC LUBUKSIKAPING")</f>
        <v>KC LUBUKSIKAPING</v>
      </c>
      <c r="AO631" s="80" t="str">
        <f>IFERROR(__xludf.DUMMYFUNCTION("""COMPUTED_VALUE"""),"1225000313809")</f>
        <v>1225000313809</v>
      </c>
      <c r="AP631" s="80" t="str">
        <f>IFERROR(__xludf.DUMMYFUNCTION("""COMPUTED_VALUE"""),"12250003138090001")</f>
        <v>12250003138090001</v>
      </c>
      <c r="AQ631" s="83"/>
      <c r="AR631" s="80"/>
      <c r="AS631" s="80"/>
      <c r="AT631" s="80" t="str">
        <f>IFERROR(__xludf.DUMMYFUNCTION("""COMPUTED_VALUE"""),"0.2208234")</f>
        <v>0.2208234</v>
      </c>
      <c r="AU631" s="80" t="str">
        <f>IFERROR(__xludf.DUMMYFUNCTION("""COMPUTED_VALUE"""),"99.6537809")</f>
        <v>99.6537809</v>
      </c>
      <c r="AV631" s="80"/>
      <c r="AW631" s="80"/>
      <c r="AX631" s="80"/>
      <c r="AY631" s="80"/>
      <c r="AZ631" s="80"/>
      <c r="BA631" s="80"/>
      <c r="BB631" s="80"/>
      <c r="BC631" s="80"/>
      <c r="BD631" s="80"/>
      <c r="BE631" s="80"/>
      <c r="BF631" s="80"/>
      <c r="BG631" s="80"/>
      <c r="BH631" s="80"/>
      <c r="BI631" s="80"/>
      <c r="BJ631" s="80"/>
      <c r="BK631" s="80"/>
      <c r="BL631" s="80"/>
      <c r="BM631" s="80"/>
      <c r="BN631" s="80"/>
      <c r="BO631" s="80"/>
      <c r="BP631" s="80"/>
      <c r="BQ631" s="80"/>
      <c r="BR631" s="80"/>
      <c r="BS631" s="80"/>
      <c r="BT631" s="80"/>
      <c r="BU631" s="80"/>
      <c r="BV631" s="80"/>
      <c r="BW631" s="80"/>
      <c r="BX631" s="80" t="str">
        <f>IFERROR(__xludf.DUMMYFUNCTION("""COMPUTED_VALUE"""),"NEWBIE SRC")</f>
        <v>NEWBIE SRC</v>
      </c>
      <c r="BY631" s="80"/>
      <c r="BZ631" s="80"/>
      <c r="CA631" s="80"/>
      <c r="CB631" s="80"/>
      <c r="CC631" s="80"/>
      <c r="CD631" s="80"/>
      <c r="CE631" s="80"/>
      <c r="CF631" s="80"/>
      <c r="CG631" s="80"/>
      <c r="CH631" s="80"/>
      <c r="CI631" s="80"/>
      <c r="CJ631" s="80"/>
      <c r="CK631" s="2"/>
    </row>
    <row r="632" ht="12.75" customHeight="1">
      <c r="A632" s="85">
        <f>IFERROR(__xludf.DUMMYFUNCTION("""COMPUTED_VALUE"""),629.0)</f>
        <v>629</v>
      </c>
      <c r="B632" s="85"/>
      <c r="C632" s="85"/>
      <c r="D632" s="86">
        <f>IFERROR(__xludf.DUMMYFUNCTION("""COMPUTED_VALUE"""),45898.0)</f>
        <v>45898</v>
      </c>
      <c r="E632" s="88"/>
      <c r="F632" s="85"/>
      <c r="G632" s="86">
        <f>IFERROR(__xludf.DUMMYFUNCTION("""COMPUTED_VALUE"""),45915.0)</f>
        <v>45915</v>
      </c>
      <c r="H632" s="85"/>
      <c r="I632" s="85"/>
      <c r="J632" s="85"/>
      <c r="K632" s="85"/>
      <c r="L632" s="85">
        <f>IFERROR(__xludf.DUMMYFUNCTION("""COMPUTED_VALUE"""),17.0)</f>
        <v>17</v>
      </c>
      <c r="M632" s="85" t="str">
        <f>IFERROR(__xludf.DUMMYFUNCTION("""COMPUTED_VALUE"""),"ü")</f>
        <v>ü</v>
      </c>
      <c r="N632" s="85"/>
      <c r="O632" s="85"/>
      <c r="P632" s="85" t="str">
        <f>IFERROR(__xludf.DUMMYFUNCTION("""COMPUTED_VALUE"""),"MUCSPA63240PSIND")</f>
        <v>MUCSPA63240PSIND</v>
      </c>
      <c r="Q632" s="85" t="str">
        <f>IFERROR(__xludf.DUMMYFUNCTION("""COMPUTED_VALUE"""),"MUC KFS Logistic")</f>
        <v>MUC KFS Logistic</v>
      </c>
      <c r="R632" s="85" t="str">
        <f>IFERROR(__xludf.DUMMYFUNCTION("""COMPUTED_VALUE"""),"MUC KFS Logistic")</f>
        <v>MUC KFS Logistic</v>
      </c>
      <c r="S632" s="85" t="str">
        <f>IFERROR(__xludf.DUMMYFUNCTION("""COMPUTED_VALUE"""),"KHOIRUL HAQ NURUL ROHMAN")</f>
        <v>KHOIRUL HAQ NURUL ROHMAN</v>
      </c>
      <c r="T632" s="85" t="str">
        <f>IFERROR(__xludf.DUMMYFUNCTION("""COMPUTED_VALUE"""),"BARATAN RT 1 RW 13 CANDIBINANGUN PAKEM SRAGEN")</f>
        <v>BARATAN RT 1 RW 13 CANDIBINANGUN PAKEM SRAGEN</v>
      </c>
      <c r="U632" s="85" t="str">
        <f>IFERROR(__xludf.DUMMYFUNCTION("""COMPUTED_VALUE"""),"JL. SOLO-PURWODADI KM. 20 NGESENG")</f>
        <v>JL. SOLO-PURWODADI KM. 20 NGESENG</v>
      </c>
      <c r="V632" s="85"/>
      <c r="W632" s="85" t="str">
        <f>IFERROR(__xludf.DUMMYFUNCTION("""COMPUTED_VALUE"""),"GEMOLONG")</f>
        <v>GEMOLONG</v>
      </c>
      <c r="X632" s="85" t="str">
        <f>IFERROR(__xludf.DUMMYFUNCTION("""COMPUTED_VALUE"""),"GEMOLONG")</f>
        <v>GEMOLONG</v>
      </c>
      <c r="Y632" s="85" t="str">
        <f>IFERROR(__xludf.DUMMYFUNCTION("""COMPUTED_VALUE"""),"KAB. SRAGEN")</f>
        <v>KAB. SRAGEN</v>
      </c>
      <c r="Z632" s="85" t="str">
        <f>IFERROR(__xludf.DUMMYFUNCTION("""COMPUTED_VALUE"""),"JAWA TENGAH")</f>
        <v>JAWA TENGAH</v>
      </c>
      <c r="AA632" s="85" t="str">
        <f>IFERROR(__xludf.DUMMYFUNCTION("""COMPUTED_VALUE"""),"57274")</f>
        <v>57274</v>
      </c>
      <c r="AB632" s="85" t="str">
        <f>IFERROR(__xludf.DUMMYFUNCTION("""COMPUTED_VALUE"""),"3314130606960003")</f>
        <v>3314130606960003</v>
      </c>
      <c r="AC632" s="85" t="str">
        <f>IFERROR(__xludf.DUMMYFUNCTION("""COMPUTED_VALUE"""),"43.732.819.8-528.000")</f>
        <v>43.732.819.8-528.000</v>
      </c>
      <c r="AD632" s="85" t="str">
        <f>IFERROR(__xludf.DUMMYFUNCTION("""COMPUTED_VALUE"""),"CUM - PS - SSL")</f>
        <v>CUM - PS - SSL</v>
      </c>
      <c r="AE632" s="85" t="str">
        <f>IFERROR(__xludf.DUMMYFUNCTION("""COMPUTED_VALUE"""),"SUB SUSILO POS")</f>
        <v>SUB SUSILO POS</v>
      </c>
      <c r="AF632" s="85" t="str">
        <f>IFERROR(__xludf.DUMMYFUNCTION("""COMPUTED_VALUE"""),"082135385021")</f>
        <v>082135385021</v>
      </c>
      <c r="AG632" s="85"/>
      <c r="AH632" s="85" t="str">
        <f>IFERROR(__xludf.DUMMYFUNCTION("""COMPUTED_VALUE"""),"khoirulhnr@gmail.com")</f>
        <v>khoirulhnr@gmail.com</v>
      </c>
      <c r="AI632" s="85" t="str">
        <f>IFERROR(__xludf.DUMMYFUNCTION("""COMPUTED_VALUE"""),"57274S3")</f>
        <v>57274S3</v>
      </c>
      <c r="AJ632" s="85" t="str">
        <f>IFERROR(__xludf.DUMMYFUNCTION("""COMPUTED_VALUE"""),"68c7c33b10737181690b48df")</f>
        <v>68c7c33b10737181690b48df</v>
      </c>
      <c r="AK632" s="85" t="str">
        <f>IFERROR(__xludf.DUMMYFUNCTION("""COMPUTED_VALUE"""),"dm57274s3")</f>
        <v>dm57274s3</v>
      </c>
      <c r="AL632" s="85" t="str">
        <f>IFERROR(__xludf.DUMMYFUNCTION("""COMPUTED_VALUE"""),"#57274Pos")</f>
        <v>#57274Pos</v>
      </c>
      <c r="AM632" s="85" t="str">
        <f>IFERROR(__xludf.DUMMYFUNCTION("""COMPUTED_VALUE"""),"KANTOR REGIONAL IV SEMARANG 50004")</f>
        <v>KANTOR REGIONAL IV SEMARANG 50004</v>
      </c>
      <c r="AN632" s="85" t="str">
        <f>IFERROR(__xludf.DUMMYFUNCTION("""COMPUTED_VALUE"""),"KC SRAGEN")</f>
        <v>KC SRAGEN</v>
      </c>
      <c r="AO632" s="85" t="str">
        <f>IFERROR(__xludf.DUMMYFUNCTION("""COMPUTED_VALUE"""),"2610210055028")</f>
        <v>2610210055028</v>
      </c>
      <c r="AP632" s="85" t="str">
        <f>IFERROR(__xludf.DUMMYFUNCTION("""COMPUTED_VALUE"""),"26102100550280004")</f>
        <v>26102100550280004</v>
      </c>
      <c r="AQ632" s="93"/>
      <c r="AR632" s="85"/>
      <c r="AS632" s="85"/>
      <c r="AT632" s="85" t="str">
        <f>IFERROR(__xludf.DUMMYFUNCTION("""COMPUTED_VALUE"""),"-7.3991938")</f>
        <v>-7.3991938</v>
      </c>
      <c r="AU632" s="85" t="str">
        <f>IFERROR(__xludf.DUMMYFUNCTION("""COMPUTED_VALUE"""),"110.8263695")</f>
        <v>110.8263695</v>
      </c>
      <c r="AV632" s="85"/>
      <c r="AW632" s="85"/>
      <c r="AX632" s="85"/>
      <c r="AY632" s="85"/>
      <c r="AZ632" s="85"/>
      <c r="BA632" s="85"/>
      <c r="BB632" s="85"/>
      <c r="BC632" s="85"/>
      <c r="BD632" s="85"/>
      <c r="BE632" s="85"/>
      <c r="BF632" s="85"/>
      <c r="BG632" s="85"/>
      <c r="BH632" s="85"/>
      <c r="BI632" s="85"/>
      <c r="BJ632" s="85"/>
      <c r="BK632" s="85"/>
      <c r="BL632" s="85"/>
      <c r="BM632" s="85"/>
      <c r="BN632" s="85"/>
      <c r="BO632" s="85"/>
      <c r="BP632" s="85"/>
      <c r="BQ632" s="85"/>
      <c r="BR632" s="85"/>
      <c r="BS632" s="85"/>
      <c r="BT632" s="85"/>
      <c r="BU632" s="85"/>
      <c r="BV632" s="85"/>
      <c r="BW632" s="85"/>
      <c r="BX632" s="85" t="str">
        <f>IFERROR(__xludf.DUMMYFUNCTION("""COMPUTED_VALUE"""),"MULTIKURIR - JNT CARGO")</f>
        <v>MULTIKURIR - JNT CARGO</v>
      </c>
      <c r="BY632" s="85"/>
      <c r="BZ632" s="85"/>
      <c r="CA632" s="85"/>
      <c r="CB632" s="85"/>
      <c r="CC632" s="85"/>
      <c r="CD632" s="85"/>
      <c r="CE632" s="85"/>
      <c r="CF632" s="85"/>
      <c r="CG632" s="85"/>
      <c r="CH632" s="85"/>
      <c r="CI632" s="85"/>
      <c r="CJ632" s="85"/>
      <c r="CK632" s="2"/>
    </row>
    <row r="633" ht="12.75" customHeight="1">
      <c r="A633" s="80">
        <f>IFERROR(__xludf.DUMMYFUNCTION("""COMPUTED_VALUE"""),630.0)</f>
        <v>630</v>
      </c>
      <c r="B633" s="80"/>
      <c r="C633" s="80"/>
      <c r="D633" s="81">
        <f>IFERROR(__xludf.DUMMYFUNCTION("""COMPUTED_VALUE"""),45898.0)</f>
        <v>45898</v>
      </c>
      <c r="E633" s="82"/>
      <c r="F633" s="80"/>
      <c r="G633" s="81">
        <f>IFERROR(__xludf.DUMMYFUNCTION("""COMPUTED_VALUE"""),45908.0)</f>
        <v>45908</v>
      </c>
      <c r="H633" s="80"/>
      <c r="I633" s="80"/>
      <c r="J633" s="80"/>
      <c r="K633" s="80"/>
      <c r="L633" s="80">
        <f>IFERROR(__xludf.DUMMYFUNCTION("""COMPUTED_VALUE"""),10.0)</f>
        <v>10</v>
      </c>
      <c r="M633" s="80" t="str">
        <f>IFERROR(__xludf.DUMMYFUNCTION("""COMPUTED_VALUE"""),"ü")</f>
        <v>ü</v>
      </c>
      <c r="N633" s="80"/>
      <c r="O633" s="80"/>
      <c r="P633" s="80" t="str">
        <f>IFERROR(__xludf.DUMMYFUNCTION("""COMPUTED_VALUE"""),"MUCSPA63241PSIND")</f>
        <v>MUCSPA63241PSIND</v>
      </c>
      <c r="Q633" s="80" t="str">
        <f>IFERROR(__xludf.DUMMYFUNCTION("""COMPUTED_VALUE"""),"MUC Deamour")</f>
        <v>MUC Deamour</v>
      </c>
      <c r="R633" s="80" t="str">
        <f>IFERROR(__xludf.DUMMYFUNCTION("""COMPUTED_VALUE"""),"MUC Deamour")</f>
        <v>MUC Deamour</v>
      </c>
      <c r="S633" s="80" t="str">
        <f>IFERROR(__xludf.DUMMYFUNCTION("""COMPUTED_VALUE"""),"Dea Ega Saputri")</f>
        <v>Dea Ega Saputri</v>
      </c>
      <c r="T633" s="80" t="str">
        <f>IFERROR(__xludf.DUMMYFUNCTION("""COMPUTED_VALUE"""),"Bojongsari Rt 001/ 002 Kec.Kembaran Kab.Banyumas")</f>
        <v>Bojongsari Rt 001/ 002 Kec.Kembaran Kab.Banyumas</v>
      </c>
      <c r="U633" s="80" t="str">
        <f>IFERROR(__xludf.DUMMYFUNCTION("""COMPUTED_VALUE"""),"Jl.Ringin Tirto No.16")</f>
        <v>Jl.Ringin Tirto No.16</v>
      </c>
      <c r="V633" s="80"/>
      <c r="W633" s="80" t="str">
        <f>IFERROR(__xludf.DUMMYFUNCTION("""COMPUTED_VALUE"""),"Glempang")</f>
        <v>Glempang</v>
      </c>
      <c r="X633" s="80" t="str">
        <f>IFERROR(__xludf.DUMMYFUNCTION("""COMPUTED_VALUE"""),"Purwokerto Utara")</f>
        <v>Purwokerto Utara</v>
      </c>
      <c r="Y633" s="80" t="str">
        <f>IFERROR(__xludf.DUMMYFUNCTION("""COMPUTED_VALUE"""),"Banyumas")</f>
        <v>Banyumas</v>
      </c>
      <c r="Z633" s="80" t="str">
        <f>IFERROR(__xludf.DUMMYFUNCTION("""COMPUTED_VALUE"""),"Jawa Tengah")</f>
        <v>Jawa Tengah</v>
      </c>
      <c r="AA633" s="80" t="str">
        <f>IFERROR(__xludf.DUMMYFUNCTION("""COMPUTED_VALUE"""),"53121")</f>
        <v>53121</v>
      </c>
      <c r="AB633" s="80" t="str">
        <f>IFERROR(__xludf.DUMMYFUNCTION("""COMPUTED_VALUE"""),"3302205808950001")</f>
        <v>3302205808950001</v>
      </c>
      <c r="AC633" s="80" t="str">
        <f>IFERROR(__xludf.DUMMYFUNCTION("""COMPUTED_VALUE"""),"72.191.837.3-521.000")</f>
        <v>72.191.837.3-521.000</v>
      </c>
      <c r="AD633" s="80" t="str">
        <f>IFERROR(__xludf.DUMMYFUNCTION("""COMPUTED_VALUE"""),"CUM - PS - FDS")</f>
        <v>CUM - PS - FDS</v>
      </c>
      <c r="AE633" s="80" t="str">
        <f>IFERROR(__xludf.DUMMYFUNCTION("""COMPUTED_VALUE"""),"SUB FUAD POS")</f>
        <v>SUB FUAD POS</v>
      </c>
      <c r="AF633" s="80" t="str">
        <f>IFERROR(__xludf.DUMMYFUNCTION("""COMPUTED_VALUE"""),"081215685708")</f>
        <v>081215685708</v>
      </c>
      <c r="AG633" s="80"/>
      <c r="AH633" s="80" t="str">
        <f>IFERROR(__xludf.DUMMYFUNCTION("""COMPUTED_VALUE"""),"deaega180895@gmail.com")</f>
        <v>deaega180895@gmail.com</v>
      </c>
      <c r="AI633" s="80" t="str">
        <f>IFERROR(__xludf.DUMMYFUNCTION("""COMPUTED_VALUE"""),"53121S3")</f>
        <v>53121S3</v>
      </c>
      <c r="AJ633" s="80" t="str">
        <f>IFERROR(__xludf.DUMMYFUNCTION("""COMPUTED_VALUE"""),"68bcf54e6bd39c177f07931e")</f>
        <v>68bcf54e6bd39c177f07931e</v>
      </c>
      <c r="AK633" s="80" t="str">
        <f>IFERROR(__xludf.DUMMYFUNCTION("""COMPUTED_VALUE"""),"dm53121s3")</f>
        <v>dm53121s3</v>
      </c>
      <c r="AL633" s="80" t="str">
        <f>IFERROR(__xludf.DUMMYFUNCTION("""COMPUTED_VALUE"""),"#53121Pos")</f>
        <v>#53121Pos</v>
      </c>
      <c r="AM633" s="80" t="str">
        <f>IFERROR(__xludf.DUMMYFUNCTION("""COMPUTED_VALUE"""),"KANTOR REGIONAL IV SEMARANG 50004")</f>
        <v>KANTOR REGIONAL IV SEMARANG 50004</v>
      </c>
      <c r="AN633" s="80" t="str">
        <f>IFERROR(__xludf.DUMMYFUNCTION("""COMPUTED_VALUE"""),"KCU PURWOKERTO 53100")</f>
        <v>KCU PURWOKERTO 53100</v>
      </c>
      <c r="AO633" s="80" t="str">
        <f>IFERROR(__xludf.DUMMYFUNCTION("""COMPUTED_VALUE"""),"1507230167314")</f>
        <v>1507230167314</v>
      </c>
      <c r="AP633" s="80" t="str">
        <f>IFERROR(__xludf.DUMMYFUNCTION("""COMPUTED_VALUE"""),"15072301673140001")</f>
        <v>15072301673140001</v>
      </c>
      <c r="AQ633" s="83"/>
      <c r="AR633" s="80"/>
      <c r="AS633" s="80"/>
      <c r="AT633" s="80" t="str">
        <f>IFERROR(__xludf.DUMMYFUNCTION("""COMPUTED_VALUE"""),"-7.410452")</f>
        <v>-7.410452</v>
      </c>
      <c r="AU633" s="80" t="str">
        <f>IFERROR(__xludf.DUMMYFUNCTION("""COMPUTED_VALUE"""),"109.244361")</f>
        <v>109.244361</v>
      </c>
      <c r="AV633" s="80"/>
      <c r="AW633" s="80"/>
      <c r="AX633" s="80"/>
      <c r="AY633" s="80"/>
      <c r="AZ633" s="80"/>
      <c r="BA633" s="80"/>
      <c r="BB633" s="80"/>
      <c r="BC633" s="80"/>
      <c r="BD633" s="80"/>
      <c r="BE633" s="80"/>
      <c r="BF633" s="80"/>
      <c r="BG633" s="80"/>
      <c r="BH633" s="80"/>
      <c r="BI633" s="80"/>
      <c r="BJ633" s="80"/>
      <c r="BK633" s="80"/>
      <c r="BL633" s="80"/>
      <c r="BM633" s="80"/>
      <c r="BN633" s="80"/>
      <c r="BO633" s="80"/>
      <c r="BP633" s="80"/>
      <c r="BQ633" s="80"/>
      <c r="BR633" s="80"/>
      <c r="BS633" s="80"/>
      <c r="BT633" s="80"/>
      <c r="BU633" s="80"/>
      <c r="BV633" s="80"/>
      <c r="BW633" s="80"/>
      <c r="BX633" s="80" t="str">
        <f>IFERROR(__xludf.DUMMYFUNCTION("""COMPUTED_VALUE"""),"TOKO PARFUM")</f>
        <v>TOKO PARFUM</v>
      </c>
      <c r="BY633" s="80"/>
      <c r="BZ633" s="80"/>
      <c r="CA633" s="80"/>
      <c r="CB633" s="80"/>
      <c r="CC633" s="80"/>
      <c r="CD633" s="80"/>
      <c r="CE633" s="80"/>
      <c r="CF633" s="80"/>
      <c r="CG633" s="80"/>
      <c r="CH633" s="80"/>
      <c r="CI633" s="80"/>
      <c r="CJ633" s="80"/>
      <c r="CK633" s="2"/>
    </row>
    <row r="634" ht="12.75" customHeight="1">
      <c r="A634" s="85">
        <f>IFERROR(__xludf.DUMMYFUNCTION("""COMPUTED_VALUE"""),631.0)</f>
        <v>631</v>
      </c>
      <c r="B634" s="85"/>
      <c r="C634" s="85"/>
      <c r="D634" s="86">
        <f>IFERROR(__xludf.DUMMYFUNCTION("""COMPUTED_VALUE"""),45898.0)</f>
        <v>45898</v>
      </c>
      <c r="E634" s="88"/>
      <c r="F634" s="85"/>
      <c r="G634" s="86">
        <f>IFERROR(__xludf.DUMMYFUNCTION("""COMPUTED_VALUE"""),45908.0)</f>
        <v>45908</v>
      </c>
      <c r="H634" s="85"/>
      <c r="I634" s="85"/>
      <c r="J634" s="85"/>
      <c r="K634" s="85"/>
      <c r="L634" s="85">
        <f>IFERROR(__xludf.DUMMYFUNCTION("""COMPUTED_VALUE"""),10.0)</f>
        <v>10</v>
      </c>
      <c r="M634" s="85" t="str">
        <f>IFERROR(__xludf.DUMMYFUNCTION("""COMPUTED_VALUE"""),"ü")</f>
        <v>ü</v>
      </c>
      <c r="N634" s="85"/>
      <c r="O634" s="85"/>
      <c r="P634" s="85" t="str">
        <f>IFERROR(__xludf.DUMMYFUNCTION("""COMPUTED_VALUE"""),"MUCSPA63242PSIND")</f>
        <v>MUCSPA63242PSIND</v>
      </c>
      <c r="Q634" s="85" t="str">
        <f>IFERROR(__xludf.DUMMYFUNCTION("""COMPUTED_VALUE"""),"MUC Arjuna Paket88")</f>
        <v>MUC Arjuna Paket88</v>
      </c>
      <c r="R634" s="85" t="str">
        <f>IFERROR(__xludf.DUMMYFUNCTION("""COMPUTED_VALUE"""),"MUC Arjuna Paket88")</f>
        <v>MUC Arjuna Paket88</v>
      </c>
      <c r="S634" s="85" t="str">
        <f>IFERROR(__xludf.DUMMYFUNCTION("""COMPUTED_VALUE"""),"ANTONIUS WIJAYA")</f>
        <v>ANTONIUS WIJAYA</v>
      </c>
      <c r="T634" s="85" t="str">
        <f>IFERROR(__xludf.DUMMYFUNCTION("""COMPUTED_VALUE"""),"JL. SAMIAJI NO. 15 RT 1 RW 5 ARJUNA CICENDO")</f>
        <v>JL. SAMIAJI NO. 15 RT 1 RW 5 ARJUNA CICENDO</v>
      </c>
      <c r="U634" s="85" t="str">
        <f>IFERROR(__xludf.DUMMYFUNCTION("""COMPUTED_VALUE"""),"JL. PAJAJARAN NO. 80D")</f>
        <v>JL. PAJAJARAN NO. 80D</v>
      </c>
      <c r="V634" s="85"/>
      <c r="W634" s="85" t="str">
        <f>IFERROR(__xludf.DUMMYFUNCTION("""COMPUTED_VALUE"""),"PAMOYANAN")</f>
        <v>PAMOYANAN</v>
      </c>
      <c r="X634" s="85" t="str">
        <f>IFERROR(__xludf.DUMMYFUNCTION("""COMPUTED_VALUE"""),"CICENDO")</f>
        <v>CICENDO</v>
      </c>
      <c r="Y634" s="85" t="str">
        <f>IFERROR(__xludf.DUMMYFUNCTION("""COMPUTED_VALUE"""),"KOTA BANDUNG")</f>
        <v>KOTA BANDUNG</v>
      </c>
      <c r="Z634" s="85" t="str">
        <f>IFERROR(__xludf.DUMMYFUNCTION("""COMPUTED_VALUE"""),"JAWA BARAT")</f>
        <v>JAWA BARAT</v>
      </c>
      <c r="AA634" s="85" t="str">
        <f>IFERROR(__xludf.DUMMYFUNCTION("""COMPUTED_VALUE"""),"40173")</f>
        <v>40173</v>
      </c>
      <c r="AB634" s="85" t="str">
        <f>IFERROR(__xludf.DUMMYFUNCTION("""COMPUTED_VALUE"""),"3273061108710001")</f>
        <v>3273061108710001</v>
      </c>
      <c r="AC634" s="85" t="str">
        <f>IFERROR(__xludf.DUMMYFUNCTION("""COMPUTED_VALUE"""),"09.435.971.8-428.000")</f>
        <v>09.435.971.8-428.000</v>
      </c>
      <c r="AD634" s="85" t="str">
        <f>IFERROR(__xludf.DUMMYFUNCTION("""COMPUTED_VALUE"""),"CUM - PS - RRI")</f>
        <v>CUM - PS - RRI</v>
      </c>
      <c r="AE634" s="85" t="str">
        <f>IFERROR(__xludf.DUMMYFUNCTION("""COMPUTED_VALUE"""),"SUB RIRIN POS")</f>
        <v>SUB RIRIN POS</v>
      </c>
      <c r="AF634" s="85" t="str">
        <f>IFERROR(__xludf.DUMMYFUNCTION("""COMPUTED_VALUE"""),"08122304350")</f>
        <v>08122304350</v>
      </c>
      <c r="AG634" s="85"/>
      <c r="AH634" s="85" t="str">
        <f>IFERROR(__xludf.DUMMYFUNCTION("""COMPUTED_VALUE"""),"info.arjunamltd@gmail.com")</f>
        <v>info.arjunamltd@gmail.com</v>
      </c>
      <c r="AI634" s="85" t="str">
        <f>IFERROR(__xludf.DUMMYFUNCTION("""COMPUTED_VALUE"""),"40173S1")</f>
        <v>40173S1</v>
      </c>
      <c r="AJ634" s="85" t="str">
        <f>IFERROR(__xludf.DUMMYFUNCTION("""COMPUTED_VALUE"""),"68bbd57f58c3e291ce0356bf")</f>
        <v>68bbd57f58c3e291ce0356bf</v>
      </c>
      <c r="AK634" s="85" t="str">
        <f>IFERROR(__xludf.DUMMYFUNCTION("""COMPUTED_VALUE"""),"dm40173s1")</f>
        <v>dm40173s1</v>
      </c>
      <c r="AL634" s="85" t="str">
        <f>IFERROR(__xludf.DUMMYFUNCTION("""COMPUTED_VALUE"""),"#40173Pos")</f>
        <v>#40173Pos</v>
      </c>
      <c r="AM634" s="85" t="str">
        <f>IFERROR(__xludf.DUMMYFUNCTION("""COMPUTED_VALUE"""),"KANTOR REGIONAL III BANDUNG 40004")</f>
        <v>KANTOR REGIONAL III BANDUNG 40004</v>
      </c>
      <c r="AN634" s="85" t="str">
        <f>IFERROR(__xludf.DUMMYFUNCTION("""COMPUTED_VALUE"""),"KCU BANDUNG 40000")</f>
        <v>KCU BANDUNG 40000</v>
      </c>
      <c r="AO634" s="85" t="str">
        <f>IFERROR(__xludf.DUMMYFUNCTION("""COMPUTED_VALUE"""),"9120109271733 ")</f>
        <v>9120109271733 </v>
      </c>
      <c r="AP634" s="85" t="str">
        <f>IFERROR(__xludf.DUMMYFUNCTION("""COMPUTED_VALUE"""),"91201092717330001")</f>
        <v>91201092717330001</v>
      </c>
      <c r="AQ634" s="93"/>
      <c r="AR634" s="85"/>
      <c r="AS634" s="85"/>
      <c r="AT634" s="85" t="str">
        <f>IFERROR(__xludf.DUMMYFUNCTION("""COMPUTED_VALUE"""),"-6.9067492")</f>
        <v>-6.9067492</v>
      </c>
      <c r="AU634" s="85" t="str">
        <f>IFERROR(__xludf.DUMMYFUNCTION("""COMPUTED_VALUE"""),"107.5947254")</f>
        <v>107.5947254</v>
      </c>
      <c r="AV634" s="85"/>
      <c r="AW634" s="85"/>
      <c r="AX634" s="85"/>
      <c r="AY634" s="85"/>
      <c r="AZ634" s="85"/>
      <c r="BA634" s="85"/>
      <c r="BB634" s="85"/>
      <c r="BC634" s="85"/>
      <c r="BD634" s="85"/>
      <c r="BE634" s="85"/>
      <c r="BF634" s="85"/>
      <c r="BG634" s="85"/>
      <c r="BH634" s="85"/>
      <c r="BI634" s="85"/>
      <c r="BJ634" s="85"/>
      <c r="BK634" s="85"/>
      <c r="BL634" s="85"/>
      <c r="BM634" s="85"/>
      <c r="BN634" s="85"/>
      <c r="BO634" s="85"/>
      <c r="BP634" s="85"/>
      <c r="BQ634" s="85"/>
      <c r="BR634" s="85"/>
      <c r="BS634" s="85"/>
      <c r="BT634" s="85"/>
      <c r="BU634" s="85"/>
      <c r="BV634" s="85"/>
      <c r="BW634" s="85"/>
      <c r="BX634" s="85" t="str">
        <f>IFERROR(__xludf.DUMMYFUNCTION("""COMPUTED_VALUE"""),"NEWBIE PRINTING")</f>
        <v>NEWBIE PRINTING</v>
      </c>
      <c r="BY634" s="85"/>
      <c r="BZ634" s="85"/>
      <c r="CA634" s="85"/>
      <c r="CB634" s="85"/>
      <c r="CC634" s="85"/>
      <c r="CD634" s="85"/>
      <c r="CE634" s="85"/>
      <c r="CF634" s="85"/>
      <c r="CG634" s="85"/>
      <c r="CH634" s="85"/>
      <c r="CI634" s="85"/>
      <c r="CJ634" s="85"/>
      <c r="CK634" s="2"/>
    </row>
    <row r="635" ht="12.75" customHeight="1">
      <c r="A635" s="80">
        <f>IFERROR(__xludf.DUMMYFUNCTION("""COMPUTED_VALUE"""),632.0)</f>
        <v>632</v>
      </c>
      <c r="B635" s="80"/>
      <c r="C635" s="80"/>
      <c r="D635" s="81">
        <f>IFERROR(__xludf.DUMMYFUNCTION("""COMPUTED_VALUE"""),45898.0)</f>
        <v>45898</v>
      </c>
      <c r="E635" s="82"/>
      <c r="F635" s="80"/>
      <c r="G635" s="81">
        <f>IFERROR(__xludf.DUMMYFUNCTION("""COMPUTED_VALUE"""),45915.0)</f>
        <v>45915</v>
      </c>
      <c r="H635" s="80"/>
      <c r="I635" s="80"/>
      <c r="J635" s="80"/>
      <c r="K635" s="80"/>
      <c r="L635" s="80">
        <f>IFERROR(__xludf.DUMMYFUNCTION("""COMPUTED_VALUE"""),17.0)</f>
        <v>17</v>
      </c>
      <c r="M635" s="80" t="str">
        <f>IFERROR(__xludf.DUMMYFUNCTION("""COMPUTED_VALUE"""),"ü")</f>
        <v>ü</v>
      </c>
      <c r="N635" s="80"/>
      <c r="O635" s="80"/>
      <c r="P635" s="80" t="str">
        <f>IFERROR(__xludf.DUMMYFUNCTION("""COMPUTED_VALUE"""),"MUCSPA63243PSIND")</f>
        <v>MUCSPA63243PSIND</v>
      </c>
      <c r="Q635" s="80" t="str">
        <f>IFERROR(__xludf.DUMMYFUNCTION("""COMPUTED_VALUE"""),"MUC Resibalap")</f>
        <v>MUC Resibalap</v>
      </c>
      <c r="R635" s="80" t="str">
        <f>IFERROR(__xludf.DUMMYFUNCTION("""COMPUTED_VALUE"""),"MUC Resibalap")</f>
        <v>MUC Resibalap</v>
      </c>
      <c r="S635" s="80" t="str">
        <f>IFERROR(__xludf.DUMMYFUNCTION("""COMPUTED_VALUE"""),"OLSHA WIDYARATRI")</f>
        <v>OLSHA WIDYARATRI</v>
      </c>
      <c r="T635" s="80" t="str">
        <f>IFERROR(__xludf.DUMMYFUNCTION("""COMPUTED_VALUE"""),"RAGUKLAMPITAN RT.012 RW.003 RAGUKLAMPITAN, BATEALIT, KAB. JEPARA")</f>
        <v>RAGUKLAMPITAN RT.012 RW.003 RAGUKLAMPITAN, BATEALIT, KAB. JEPARA</v>
      </c>
      <c r="U635" s="80" t="str">
        <f>IFERROR(__xludf.DUMMYFUNCTION("""COMPUTED_VALUE"""),"Gang Mbunton RT.5/RW.2")</f>
        <v>Gang Mbunton RT.5/RW.2</v>
      </c>
      <c r="V635" s="80"/>
      <c r="W635" s="80" t="str">
        <f>IFERROR(__xludf.DUMMYFUNCTION("""COMPUTED_VALUE"""),"Pendosawalan")</f>
        <v>Pendosawalan</v>
      </c>
      <c r="X635" s="80" t="str">
        <f>IFERROR(__xludf.DUMMYFUNCTION("""COMPUTED_VALUE"""),"Kalinyamatan")</f>
        <v>Kalinyamatan</v>
      </c>
      <c r="Y635" s="80" t="str">
        <f>IFERROR(__xludf.DUMMYFUNCTION("""COMPUTED_VALUE"""),"Kab. Jepara")</f>
        <v>Kab. Jepara</v>
      </c>
      <c r="Z635" s="80" t="str">
        <f>IFERROR(__xludf.DUMMYFUNCTION("""COMPUTED_VALUE"""),"Jawa Tengah")</f>
        <v>Jawa Tengah</v>
      </c>
      <c r="AA635" s="80" t="str">
        <f>IFERROR(__xludf.DUMMYFUNCTION("""COMPUTED_VALUE"""),"59467")</f>
        <v>59467</v>
      </c>
      <c r="AB635" s="80" t="str">
        <f>IFERROR(__xludf.DUMMYFUNCTION("""COMPUTED_VALUE"""),"3320055510960004")</f>
        <v>3320055510960004</v>
      </c>
      <c r="AC635" s="80" t="str">
        <f>IFERROR(__xludf.DUMMYFUNCTION("""COMPUTED_VALUE"""),"73.028.004.7-516.000")</f>
        <v>73.028.004.7-516.000</v>
      </c>
      <c r="AD635" s="80" t="str">
        <f>IFERROR(__xludf.DUMMYFUNCTION("""COMPUTED_VALUE"""),"NON KORGEN")</f>
        <v>NON KORGEN</v>
      </c>
      <c r="AE635" s="80" t="str">
        <f>IFERROR(__xludf.DUMMYFUNCTION("""COMPUTED_VALUE"""),"PAK ALI ISTAMAR KC JEPARA")</f>
        <v>PAK ALI ISTAMAR KC JEPARA</v>
      </c>
      <c r="AF635" s="80" t="str">
        <f>IFERROR(__xludf.DUMMYFUNCTION("""COMPUTED_VALUE"""),"081384164569")</f>
        <v>081384164569</v>
      </c>
      <c r="AG635" s="80"/>
      <c r="AH635" s="80" t="str">
        <f>IFERROR(__xludf.DUMMYFUNCTION("""COMPUTED_VALUE"""),"Resibalap1@gmail.com")</f>
        <v>Resibalap1@gmail.com</v>
      </c>
      <c r="AI635" s="80" t="str">
        <f>IFERROR(__xludf.DUMMYFUNCTION("""COMPUTED_VALUE"""),"59467S3")</f>
        <v>59467S3</v>
      </c>
      <c r="AJ635" s="80" t="str">
        <f>IFERROR(__xludf.DUMMYFUNCTION("""COMPUTED_VALUE"""),"68c4f924325ec65b6c0b5457")</f>
        <v>68c4f924325ec65b6c0b5457</v>
      </c>
      <c r="AK635" s="80" t="str">
        <f>IFERROR(__xludf.DUMMYFUNCTION("""COMPUTED_VALUE"""),"dm59467s3")</f>
        <v>dm59467s3</v>
      </c>
      <c r="AL635" s="80" t="str">
        <f>IFERROR(__xludf.DUMMYFUNCTION("""COMPUTED_VALUE"""),"#59467Pos")</f>
        <v>#59467Pos</v>
      </c>
      <c r="AM635" s="80" t="str">
        <f>IFERROR(__xludf.DUMMYFUNCTION("""COMPUTED_VALUE"""),"KANTOR REGIONAL IV SEMARANG 50004")</f>
        <v>KANTOR REGIONAL IV SEMARANG 50004</v>
      </c>
      <c r="AN635" s="80" t="str">
        <f>IFERROR(__xludf.DUMMYFUNCTION("""COMPUTED_VALUE"""),"KC JEPARA")</f>
        <v>KC JEPARA</v>
      </c>
      <c r="AO635" s="80" t="str">
        <f>IFERROR(__xludf.DUMMYFUNCTION("""COMPUTED_VALUE"""),"2908250085639")</f>
        <v>2908250085639</v>
      </c>
      <c r="AP635" s="80" t="str">
        <f>IFERROR(__xludf.DUMMYFUNCTION("""COMPUTED_VALUE"""),"29082500856390001")</f>
        <v>29082500856390001</v>
      </c>
      <c r="AQ635" s="83"/>
      <c r="AR635" s="80"/>
      <c r="AS635" s="80"/>
      <c r="AT635" s="80" t="str">
        <f>IFERROR(__xludf.DUMMYFUNCTION("""COMPUTED_VALUE"""),"-6.720365")</f>
        <v>-6.720365</v>
      </c>
      <c r="AU635" s="80" t="str">
        <f>IFERROR(__xludf.DUMMYFUNCTION("""COMPUTED_VALUE"""),"110.739639")</f>
        <v>110.739639</v>
      </c>
      <c r="AV635" s="80"/>
      <c r="AW635" s="80"/>
      <c r="AX635" s="80"/>
      <c r="AY635" s="80"/>
      <c r="AZ635" s="80"/>
      <c r="BA635" s="80"/>
      <c r="BB635" s="80"/>
      <c r="BC635" s="80"/>
      <c r="BD635" s="80"/>
      <c r="BE635" s="80"/>
      <c r="BF635" s="80"/>
      <c r="BG635" s="80"/>
      <c r="BH635" s="80"/>
      <c r="BI635" s="80"/>
      <c r="BJ635" s="80"/>
      <c r="BK635" s="80"/>
      <c r="BL635" s="80"/>
      <c r="BM635" s="80"/>
      <c r="BN635" s="80"/>
      <c r="BO635" s="80"/>
      <c r="BP635" s="80"/>
      <c r="BQ635" s="80"/>
      <c r="BR635" s="80"/>
      <c r="BS635" s="80"/>
      <c r="BT635" s="80"/>
      <c r="BU635" s="80"/>
      <c r="BV635" s="80"/>
      <c r="BW635" s="80"/>
      <c r="BX635" s="80" t="str">
        <f>IFERROR(__xludf.DUMMYFUNCTION("""COMPUTED_VALUE"""),"NEWBIE")</f>
        <v>NEWBIE</v>
      </c>
      <c r="BY635" s="80"/>
      <c r="BZ635" s="80"/>
      <c r="CA635" s="80"/>
      <c r="CB635" s="80"/>
      <c r="CC635" s="80"/>
      <c r="CD635" s="80"/>
      <c r="CE635" s="80"/>
      <c r="CF635" s="80"/>
      <c r="CG635" s="80"/>
      <c r="CH635" s="80"/>
      <c r="CI635" s="80"/>
      <c r="CJ635" s="80"/>
      <c r="CK635" s="2"/>
    </row>
    <row r="636" ht="12.75" customHeight="1">
      <c r="A636" s="85">
        <f>IFERROR(__xludf.DUMMYFUNCTION("""COMPUTED_VALUE"""),633.0)</f>
        <v>633</v>
      </c>
      <c r="B636" s="85"/>
      <c r="C636" s="85"/>
      <c r="D636" s="86">
        <f>IFERROR(__xludf.DUMMYFUNCTION("""COMPUTED_VALUE"""),45901.0)</f>
        <v>45901</v>
      </c>
      <c r="E636" s="88"/>
      <c r="F636" s="85"/>
      <c r="G636" s="86">
        <f>IFERROR(__xludf.DUMMYFUNCTION("""COMPUTED_VALUE"""),45951.0)</f>
        <v>45951</v>
      </c>
      <c r="H636" s="85"/>
      <c r="I636" s="85"/>
      <c r="J636" s="85"/>
      <c r="K636" s="85"/>
      <c r="L636" s="85">
        <f>IFERROR(__xludf.DUMMYFUNCTION("""COMPUTED_VALUE"""),50.0)</f>
        <v>50</v>
      </c>
      <c r="M636" s="85" t="str">
        <f>IFERROR(__xludf.DUMMYFUNCTION("""COMPUTED_VALUE"""),"ü")</f>
        <v>ü</v>
      </c>
      <c r="N636" s="85"/>
      <c r="O636" s="85"/>
      <c r="P636" s="85" t="str">
        <f>IFERROR(__xludf.DUMMYFUNCTION("""COMPUTED_VALUE"""),"MUCSPA63244PSIND")</f>
        <v>MUCSPA63244PSIND</v>
      </c>
      <c r="Q636" s="85" t="str">
        <f>IFERROR(__xludf.DUMMYFUNCTION("""COMPUTED_VALUE"""),"MUC MUSTIKA JAYA")</f>
        <v>MUC MUSTIKA JAYA</v>
      </c>
      <c r="R636" s="85" t="str">
        <f>IFERROR(__xludf.DUMMYFUNCTION("""COMPUTED_VALUE"""),"MUC MUSTIKA JAYA")</f>
        <v>MUC MUSTIKA JAYA</v>
      </c>
      <c r="S636" s="85" t="str">
        <f>IFERROR(__xludf.DUMMYFUNCTION("""COMPUTED_VALUE"""),"SITI FITRIANI")</f>
        <v>SITI FITRIANI</v>
      </c>
      <c r="T636" s="85" t="str">
        <f>IFERROR(__xludf.DUMMYFUNCTION("""COMPUTED_VALUE"""),"DUSUN LANGGAM MUARA RT.001 RW.002, TELUK LATAK, BENGKALIS, KAB. BENGKALIS")</f>
        <v>DUSUN LANGGAM MUARA RT.001 RW.002, TELUK LATAK, BENGKALIS, KAB. BENGKALIS</v>
      </c>
      <c r="U636" s="85" t="str">
        <f>IFERROR(__xludf.DUMMYFUNCTION("""COMPUTED_VALUE"""),"Dusun Langgam Muara RT01 RW01")</f>
        <v>Dusun Langgam Muara RT01 RW01</v>
      </c>
      <c r="V636" s="85"/>
      <c r="W636" s="85" t="str">
        <f>IFERROR(__xludf.DUMMYFUNCTION("""COMPUTED_VALUE"""),"Teluk Latak")</f>
        <v>Teluk Latak</v>
      </c>
      <c r="X636" s="85" t="str">
        <f>IFERROR(__xludf.DUMMYFUNCTION("""COMPUTED_VALUE"""),"Bengkalis")</f>
        <v>Bengkalis</v>
      </c>
      <c r="Y636" s="85" t="str">
        <f>IFERROR(__xludf.DUMMYFUNCTION("""COMPUTED_VALUE"""),"Kab. Bengkalis")</f>
        <v>Kab. Bengkalis</v>
      </c>
      <c r="Z636" s="85" t="str">
        <f>IFERROR(__xludf.DUMMYFUNCTION("""COMPUTED_VALUE"""),"Riau")</f>
        <v>Riau</v>
      </c>
      <c r="AA636" s="85" t="str">
        <f>IFERROR(__xludf.DUMMYFUNCTION("""COMPUTED_VALUE"""),"28711")</f>
        <v>28711</v>
      </c>
      <c r="AB636" s="85" t="str">
        <f>IFERROR(__xludf.DUMMYFUNCTION("""COMPUTED_VALUE"""),"1403014703970001")</f>
        <v>1403014703970001</v>
      </c>
      <c r="AC636" s="85" t="str">
        <f>IFERROR(__xludf.DUMMYFUNCTION("""COMPUTED_VALUE"""),"32.413.005.3-219.000")</f>
        <v>32.413.005.3-219.000</v>
      </c>
      <c r="AD636" s="85" t="str">
        <f>IFERROR(__xludf.DUMMYFUNCTION("""COMPUTED_VALUE"""),"BU RANI")</f>
        <v>BU RANI</v>
      </c>
      <c r="AE636" s="85" t="str">
        <f>IFERROR(__xludf.DUMMYFUNCTION("""COMPUTED_VALUE"""),"BU RANI KC DUMAI")</f>
        <v>BU RANI KC DUMAI</v>
      </c>
      <c r="AF636" s="85" t="str">
        <f>IFERROR(__xludf.DUMMYFUNCTION("""COMPUTED_VALUE"""),"082174398758")</f>
        <v>082174398758</v>
      </c>
      <c r="AG636" s="85"/>
      <c r="AH636" s="85" t="str">
        <f>IFERROR(__xludf.DUMMYFUNCTION("""COMPUTED_VALUE"""),"sitiibkssaa@gmail.com")</f>
        <v>sitiibkssaa@gmail.com</v>
      </c>
      <c r="AI636" s="85" t="str">
        <f>IFERROR(__xludf.DUMMYFUNCTION("""COMPUTED_VALUE"""),"28719S1")</f>
        <v>28719S1</v>
      </c>
      <c r="AJ636" s="85" t="str">
        <f>IFERROR(__xludf.DUMMYFUNCTION("""COMPUTED_VALUE"""),"68f6f6a0f9994b93430ff80c")</f>
        <v>68f6f6a0f9994b93430ff80c</v>
      </c>
      <c r="AK636" s="85" t="str">
        <f>IFERROR(__xludf.DUMMYFUNCTION("""COMPUTED_VALUE"""),"dm28719s1")</f>
        <v>dm28719s1</v>
      </c>
      <c r="AL636" s="85" t="str">
        <f>IFERROR(__xludf.DUMMYFUNCTION("""COMPUTED_VALUE"""),"#28719Pos")</f>
        <v>#28719Pos</v>
      </c>
      <c r="AM636" s="85" t="str">
        <f>IFERROR(__xludf.DUMMYFUNCTION("""COMPUTED_VALUE"""),"KANTOR REGIONAL I MEDAN 20004")</f>
        <v>KANTOR REGIONAL I MEDAN 20004</v>
      </c>
      <c r="AN636" s="85" t="str">
        <f>IFERROR(__xludf.DUMMYFUNCTION("""COMPUTED_VALUE"""),"KC DUMAI")</f>
        <v>KC DUMAI</v>
      </c>
      <c r="AO636" s="85" t="str">
        <f>IFERROR(__xludf.DUMMYFUNCTION("""COMPUTED_VALUE"""),"2608250091339")</f>
        <v>2608250091339</v>
      </c>
      <c r="AP636" s="85" t="str">
        <f>IFERROR(__xludf.DUMMYFUNCTION("""COMPUTED_VALUE"""),"26082500913390001")</f>
        <v>26082500913390001</v>
      </c>
      <c r="AQ636" s="93"/>
      <c r="AR636" s="85"/>
      <c r="AS636" s="85"/>
      <c r="AT636" s="85" t="str">
        <f>IFERROR(__xludf.DUMMYFUNCTION("""COMPUTED_VALUE"""),"1.541488")</f>
        <v>1.541488</v>
      </c>
      <c r="AU636" s="85" t="str">
        <f>IFERROR(__xludf.DUMMYFUNCTION("""COMPUTED_VALUE"""),"102.036307")</f>
        <v>102.036307</v>
      </c>
      <c r="AV636" s="85"/>
      <c r="AW636" s="85"/>
      <c r="AX636" s="85"/>
      <c r="AY636" s="85"/>
      <c r="AZ636" s="85"/>
      <c r="BA636" s="85"/>
      <c r="BB636" s="85"/>
      <c r="BC636" s="85"/>
      <c r="BD636" s="85"/>
      <c r="BE636" s="85"/>
      <c r="BF636" s="85"/>
      <c r="BG636" s="85"/>
      <c r="BH636" s="85"/>
      <c r="BI636" s="85"/>
      <c r="BJ636" s="85"/>
      <c r="BK636" s="85"/>
      <c r="BL636" s="85"/>
      <c r="BM636" s="85"/>
      <c r="BN636" s="85"/>
      <c r="BO636" s="85"/>
      <c r="BP636" s="85"/>
      <c r="BQ636" s="85"/>
      <c r="BR636" s="85"/>
      <c r="BS636" s="85"/>
      <c r="BT636" s="85"/>
      <c r="BU636" s="85"/>
      <c r="BV636" s="85"/>
      <c r="BW636" s="85"/>
      <c r="BX636" s="85" t="str">
        <f>IFERROR(__xludf.DUMMYFUNCTION("""COMPUTED_VALUE"""),"NEWBIE")</f>
        <v>NEWBIE</v>
      </c>
      <c r="BY636" s="85"/>
      <c r="BZ636" s="85"/>
      <c r="CA636" s="85"/>
      <c r="CB636" s="85"/>
      <c r="CC636" s="85"/>
      <c r="CD636" s="85"/>
      <c r="CE636" s="85"/>
      <c r="CF636" s="85"/>
      <c r="CG636" s="85"/>
      <c r="CH636" s="85"/>
      <c r="CI636" s="85"/>
      <c r="CJ636" s="85"/>
      <c r="CK636" s="2"/>
    </row>
    <row r="637" ht="12.75" customHeight="1">
      <c r="A637" s="80">
        <f>IFERROR(__xludf.DUMMYFUNCTION("""COMPUTED_VALUE"""),634.0)</f>
        <v>634</v>
      </c>
      <c r="B637" s="80"/>
      <c r="C637" s="80"/>
      <c r="D637" s="81">
        <f>IFERROR(__xludf.DUMMYFUNCTION("""COMPUTED_VALUE"""),45901.0)</f>
        <v>45901</v>
      </c>
      <c r="E637" s="82"/>
      <c r="F637" s="80"/>
      <c r="G637" s="81">
        <f>IFERROR(__xludf.DUMMYFUNCTION("""COMPUTED_VALUE"""),45915.0)</f>
        <v>45915</v>
      </c>
      <c r="H637" s="80"/>
      <c r="I637" s="80"/>
      <c r="J637" s="80"/>
      <c r="K637" s="80"/>
      <c r="L637" s="80">
        <f>IFERROR(__xludf.DUMMYFUNCTION("""COMPUTED_VALUE"""),14.0)</f>
        <v>14</v>
      </c>
      <c r="M637" s="80"/>
      <c r="N637" s="80" t="str">
        <f>IFERROR(__xludf.DUMMYFUNCTION("""COMPUTED_VALUE"""),"ü")</f>
        <v>ü</v>
      </c>
      <c r="O637" s="80"/>
      <c r="P637" s="80" t="str">
        <f>IFERROR(__xludf.DUMMYFUNCTION("""COMPUTED_VALUE"""),"MUCSPA63245PSIND")</f>
        <v>MUCSPA63245PSIND</v>
      </c>
      <c r="Q637" s="80" t="str">
        <f>IFERROR(__xludf.DUMMYFUNCTION("""COMPUTED_VALUE"""),"MUC PESONA LOGISTIK")</f>
        <v>MUC PESONA LOGISTIK</v>
      </c>
      <c r="R637" s="80" t="str">
        <f>IFERROR(__xludf.DUMMYFUNCTION("""COMPUTED_VALUE"""),"MUC PESONA LOGISTIK")</f>
        <v>MUC PESONA LOGISTIK</v>
      </c>
      <c r="S637" s="80" t="str">
        <f>IFERROR(__xludf.DUMMYFUNCTION("""COMPUTED_VALUE"""),"NUR CHAIRUNNISA")</f>
        <v>NUR CHAIRUNNISA</v>
      </c>
      <c r="T637" s="80" t="str">
        <f>IFERROR(__xludf.DUMMYFUNCTION("""COMPUTED_VALUE"""),"PERUMAHAN BUKIT CILEGON ASRI JL BUKIT 5 BLOK NE 25 KEL BAGENDUNG KEC CILEGON 42419")</f>
        <v>PERUMAHAN BUKIT CILEGON ASRI JL BUKIT 5 BLOK NE 25 KEL BAGENDUNG KEC CILEGON 42419</v>
      </c>
      <c r="U637" s="80" t="str">
        <f>IFERROR(__xludf.DUMMYFUNCTION("""COMPUTED_VALUE"""),"PERUMAHAN BUKIT CILEGON ASRI JL BUKIT 5 BLOK NE 25")</f>
        <v>PERUMAHAN BUKIT CILEGON ASRI JL BUKIT 5 BLOK NE 25</v>
      </c>
      <c r="V637" s="80"/>
      <c r="W637" s="80" t="str">
        <f>IFERROR(__xludf.DUMMYFUNCTION("""COMPUTED_VALUE"""),"BAGENDUNG")</f>
        <v>BAGENDUNG</v>
      </c>
      <c r="X637" s="80" t="str">
        <f>IFERROR(__xludf.DUMMYFUNCTION("""COMPUTED_VALUE"""),"CILEGON")</f>
        <v>CILEGON</v>
      </c>
      <c r="Y637" s="80" t="str">
        <f>IFERROR(__xludf.DUMMYFUNCTION("""COMPUTED_VALUE"""),"CILEGON")</f>
        <v>CILEGON</v>
      </c>
      <c r="Z637" s="80" t="str">
        <f>IFERROR(__xludf.DUMMYFUNCTION("""COMPUTED_VALUE"""),"BANTEN")</f>
        <v>BANTEN</v>
      </c>
      <c r="AA637" s="80" t="str">
        <f>IFERROR(__xludf.DUMMYFUNCTION("""COMPUTED_VALUE"""),"42419")</f>
        <v>42419</v>
      </c>
      <c r="AB637" s="80" t="str">
        <f>IFERROR(__xludf.DUMMYFUNCTION("""COMPUTED_VALUE"""),"3674036304930008")</f>
        <v>3674036304930008</v>
      </c>
      <c r="AC637" s="80" t="str">
        <f>IFERROR(__xludf.DUMMYFUNCTION("""COMPUTED_VALUE"""),"84.758.475.2-453.000")</f>
        <v>84.758.475.2-453.000</v>
      </c>
      <c r="AD637" s="80" t="str">
        <f>IFERROR(__xludf.DUMMYFUNCTION("""COMPUTED_VALUE"""),"CUM - PS - AFS")</f>
        <v>CUM - PS - AFS</v>
      </c>
      <c r="AE637" s="80" t="str">
        <f>IFERROR(__xludf.DUMMYFUNCTION("""COMPUTED_VALUE"""),"SUB FARIS POS")</f>
        <v>SUB FARIS POS</v>
      </c>
      <c r="AF637" s="80" t="str">
        <f>IFERROR(__xludf.DUMMYFUNCTION("""COMPUTED_VALUE"""),"082110850637")</f>
        <v>082110850637</v>
      </c>
      <c r="AG637" s="80"/>
      <c r="AH637" s="80" t="str">
        <f>IFERROR(__xludf.DUMMYFUNCTION("""COMPUTED_VALUE"""),"pesonaipeh@gmail.com")</f>
        <v>pesonaipeh@gmail.com</v>
      </c>
      <c r="AI637" s="80" t="str">
        <f>IFERROR(__xludf.DUMMYFUNCTION("""COMPUTED_VALUE"""),"42419S1")</f>
        <v>42419S1</v>
      </c>
      <c r="AJ637" s="80" t="str">
        <f>IFERROR(__xludf.DUMMYFUNCTION("""COMPUTED_VALUE"""),"68c79c53c363b8a8680cb4c8")</f>
        <v>68c79c53c363b8a8680cb4c8</v>
      </c>
      <c r="AK637" s="80" t="str">
        <f>IFERROR(__xludf.DUMMYFUNCTION("""COMPUTED_VALUE"""),"dm42419s1")</f>
        <v>dm42419s1</v>
      </c>
      <c r="AL637" s="80" t="str">
        <f>IFERROR(__xludf.DUMMYFUNCTION("""COMPUTED_VALUE""")," #42419Pos")</f>
        <v> #42419Pos</v>
      </c>
      <c r="AM637" s="80" t="str">
        <f>IFERROR(__xludf.DUMMYFUNCTION("""COMPUTED_VALUE"""),"KANTOR REGIONAL II JAKARTA 10004")</f>
        <v>KANTOR REGIONAL II JAKARTA 10004</v>
      </c>
      <c r="AN637" s="80" t="str">
        <f>IFERROR(__xludf.DUMMYFUNCTION("""COMPUTED_VALUE"""),"KC CILEGON 42400")</f>
        <v>KC CILEGON 42400</v>
      </c>
      <c r="AO637" s="80" t="str">
        <f>IFERROR(__xludf.DUMMYFUNCTION("""COMPUTED_VALUE"""),"0406250119826")</f>
        <v>0406250119826</v>
      </c>
      <c r="AP637" s="80" t="str">
        <f>IFERROR(__xludf.DUMMYFUNCTION("""COMPUTED_VALUE"""),"04062501198260001")</f>
        <v>04062501198260001</v>
      </c>
      <c r="AQ637" s="83"/>
      <c r="AR637" s="80"/>
      <c r="AS637" s="80"/>
      <c r="AT637" s="80" t="str">
        <f>IFERROR(__xludf.DUMMYFUNCTION("""COMPUTED_VALUE"""),"-6.054682")</f>
        <v>-6.054682</v>
      </c>
      <c r="AU637" s="80" t="str">
        <f>IFERROR(__xludf.DUMMYFUNCTION("""COMPUTED_VALUE"""),"106.036019")</f>
        <v>106.036019</v>
      </c>
      <c r="AV637" s="80"/>
      <c r="AW637" s="80"/>
      <c r="AX637" s="80"/>
      <c r="AY637" s="80"/>
      <c r="AZ637" s="80"/>
      <c r="BA637" s="80"/>
      <c r="BB637" s="80"/>
      <c r="BC637" s="80"/>
      <c r="BD637" s="80"/>
      <c r="BE637" s="80"/>
      <c r="BF637" s="80"/>
      <c r="BG637" s="80"/>
      <c r="BH637" s="80"/>
      <c r="BI637" s="80"/>
      <c r="BJ637" s="80"/>
      <c r="BK637" s="80"/>
      <c r="BL637" s="80"/>
      <c r="BM637" s="80"/>
      <c r="BN637" s="80"/>
      <c r="BO637" s="80"/>
      <c r="BP637" s="80"/>
      <c r="BQ637" s="80"/>
      <c r="BR637" s="80"/>
      <c r="BS637" s="80"/>
      <c r="BT637" s="80"/>
      <c r="BU637" s="80"/>
      <c r="BV637" s="80"/>
      <c r="BW637" s="80"/>
      <c r="BX637" s="80" t="str">
        <f>IFERROR(__xludf.DUMMYFUNCTION("""COMPUTED_VALUE"""),"POS")</f>
        <v>POS</v>
      </c>
      <c r="BY637" s="80"/>
      <c r="BZ637" s="80"/>
      <c r="CA637" s="80"/>
      <c r="CB637" s="80"/>
      <c r="CC637" s="80"/>
      <c r="CD637" s="80"/>
      <c r="CE637" s="80"/>
      <c r="CF637" s="80"/>
      <c r="CG637" s="80"/>
      <c r="CH637" s="80"/>
      <c r="CI637" s="80"/>
      <c r="CJ637" s="80"/>
      <c r="CK637" s="2"/>
    </row>
    <row r="638" ht="12.75" customHeight="1">
      <c r="A638" s="85">
        <f>IFERROR(__xludf.DUMMYFUNCTION("""COMPUTED_VALUE"""),635.0)</f>
        <v>635</v>
      </c>
      <c r="B638" s="85"/>
      <c r="C638" s="85"/>
      <c r="D638" s="86">
        <f>IFERROR(__xludf.DUMMYFUNCTION("""COMPUTED_VALUE"""),45901.0)</f>
        <v>45901</v>
      </c>
      <c r="E638" s="88"/>
      <c r="F638" s="85"/>
      <c r="G638" s="86">
        <f>IFERROR(__xludf.DUMMYFUNCTION("""COMPUTED_VALUE"""),45915.0)</f>
        <v>45915</v>
      </c>
      <c r="H638" s="85"/>
      <c r="I638" s="85"/>
      <c r="J638" s="85"/>
      <c r="K638" s="85"/>
      <c r="L638" s="85">
        <f>IFERROR(__xludf.DUMMYFUNCTION("""COMPUTED_VALUE"""),14.0)</f>
        <v>14</v>
      </c>
      <c r="M638" s="85"/>
      <c r="N638" s="85" t="str">
        <f>IFERROR(__xludf.DUMMYFUNCTION("""COMPUTED_VALUE"""),"ü")</f>
        <v>ü</v>
      </c>
      <c r="O638" s="85"/>
      <c r="P638" s="85" t="str">
        <f>IFERROR(__xludf.DUMMYFUNCTION("""COMPUTED_VALUE"""),"MLO5500048CUMPOS")</f>
        <v>MLO5500048CUMPOS</v>
      </c>
      <c r="Q638" s="85" t="str">
        <f>IFERROR(__xludf.DUMMYFUNCTION("""COMPUTED_VALUE"""),"MUC PESONA LOGISTIK")</f>
        <v>MUC PESONA LOGISTIK</v>
      </c>
      <c r="R638" s="85" t="str">
        <f>IFERROR(__xludf.DUMMYFUNCTION("""COMPUTED_VALUE"""),"MUC PESONA LOGISTIK")</f>
        <v>MUC PESONA LOGISTIK</v>
      </c>
      <c r="S638" s="85" t="str">
        <f>IFERROR(__xludf.DUMMYFUNCTION("""COMPUTED_VALUE"""),"NUR CHAIRUNNISA")</f>
        <v>NUR CHAIRUNNISA</v>
      </c>
      <c r="T638" s="85" t="str">
        <f>IFERROR(__xludf.DUMMYFUNCTION("""COMPUTED_VALUE"""),"PERUMAHAN BUKIT CILEGON ASRI JL BUKIT 5 BLOK NE 25 KEL BAGENDUNG KEC CILEGON 42419")</f>
        <v>PERUMAHAN BUKIT CILEGON ASRI JL BUKIT 5 BLOK NE 25 KEL BAGENDUNG KEC CILEGON 42419</v>
      </c>
      <c r="U638" s="85" t="str">
        <f>IFERROR(__xludf.DUMMYFUNCTION("""COMPUTED_VALUE"""),"PERUMAHAN BUKIT CILEGON ASRI JL BUKIT 5 BLOK NE 25")</f>
        <v>PERUMAHAN BUKIT CILEGON ASRI JL BUKIT 5 BLOK NE 25</v>
      </c>
      <c r="V638" s="85"/>
      <c r="W638" s="85" t="str">
        <f>IFERROR(__xludf.DUMMYFUNCTION("""COMPUTED_VALUE"""),"BAGENDUNG")</f>
        <v>BAGENDUNG</v>
      </c>
      <c r="X638" s="85" t="str">
        <f>IFERROR(__xludf.DUMMYFUNCTION("""COMPUTED_VALUE"""),"CILEGON")</f>
        <v>CILEGON</v>
      </c>
      <c r="Y638" s="85" t="str">
        <f>IFERROR(__xludf.DUMMYFUNCTION("""COMPUTED_VALUE"""),"CILEGON")</f>
        <v>CILEGON</v>
      </c>
      <c r="Z638" s="85" t="str">
        <f>IFERROR(__xludf.DUMMYFUNCTION("""COMPUTED_VALUE"""),"BANTEN")</f>
        <v>BANTEN</v>
      </c>
      <c r="AA638" s="85" t="str">
        <f>IFERROR(__xludf.DUMMYFUNCTION("""COMPUTED_VALUE"""),"42419")</f>
        <v>42419</v>
      </c>
      <c r="AB638" s="85" t="str">
        <f>IFERROR(__xludf.DUMMYFUNCTION("""COMPUTED_VALUE"""),"3674036304930008")</f>
        <v>3674036304930008</v>
      </c>
      <c r="AC638" s="85" t="str">
        <f>IFERROR(__xludf.DUMMYFUNCTION("""COMPUTED_VALUE"""),"84.758.475.2-453.000")</f>
        <v>84.758.475.2-453.000</v>
      </c>
      <c r="AD638" s="85" t="str">
        <f>IFERROR(__xludf.DUMMYFUNCTION("""COMPUTED_VALUE"""),"CUM - PS - AFS")</f>
        <v>CUM - PS - AFS</v>
      </c>
      <c r="AE638" s="85" t="str">
        <f>IFERROR(__xludf.DUMMYFUNCTION("""COMPUTED_VALUE"""),"SUB FARIS POS")</f>
        <v>SUB FARIS POS</v>
      </c>
      <c r="AF638" s="85" t="str">
        <f>IFERROR(__xludf.DUMMYFUNCTION("""COMPUTED_VALUE"""),"082110850637")</f>
        <v>082110850637</v>
      </c>
      <c r="AG638" s="85"/>
      <c r="AH638" s="85" t="str">
        <f>IFERROR(__xludf.DUMMYFUNCTION("""COMPUTED_VALUE"""),"pesonaipeh@gmail.com")</f>
        <v>pesonaipeh@gmail.com</v>
      </c>
      <c r="AI638" s="85" t="str">
        <f>IFERROR(__xludf.DUMMYFUNCTION("""COMPUTED_VALUE"""),"42419S1")</f>
        <v>42419S1</v>
      </c>
      <c r="AJ638" s="85" t="str">
        <f>IFERROR(__xludf.DUMMYFUNCTION("""COMPUTED_VALUE"""),"68c79c53c363b8a8680cb4c8")</f>
        <v>68c79c53c363b8a8680cb4c8</v>
      </c>
      <c r="AK638" s="85" t="str">
        <f>IFERROR(__xludf.DUMMYFUNCTION("""COMPUTED_VALUE"""),"dm42419s1")</f>
        <v>dm42419s1</v>
      </c>
      <c r="AL638" s="85" t="str">
        <f>IFERROR(__xludf.DUMMYFUNCTION("""COMPUTED_VALUE""")," #42419Pos")</f>
        <v> #42419Pos</v>
      </c>
      <c r="AM638" s="85" t="str">
        <f>IFERROR(__xludf.DUMMYFUNCTION("""COMPUTED_VALUE"""),"KANTOR REGIONAL II JAKARTA 10004")</f>
        <v>KANTOR REGIONAL II JAKARTA 10004</v>
      </c>
      <c r="AN638" s="85" t="str">
        <f>IFERROR(__xludf.DUMMYFUNCTION("""COMPUTED_VALUE"""),"KC CILEGON 42400")</f>
        <v>KC CILEGON 42400</v>
      </c>
      <c r="AO638" s="85" t="str">
        <f>IFERROR(__xludf.DUMMYFUNCTION("""COMPUTED_VALUE"""),"0406250119826")</f>
        <v>0406250119826</v>
      </c>
      <c r="AP638" s="85" t="str">
        <f>IFERROR(__xludf.DUMMYFUNCTION("""COMPUTED_VALUE"""),"04062501198260001")</f>
        <v>04062501198260001</v>
      </c>
      <c r="AQ638" s="93"/>
      <c r="AR638" s="85"/>
      <c r="AS638" s="85"/>
      <c r="AT638" s="85" t="str">
        <f>IFERROR(__xludf.DUMMYFUNCTION("""COMPUTED_VALUE"""),"-6.054682")</f>
        <v>-6.054682</v>
      </c>
      <c r="AU638" s="85" t="str">
        <f>IFERROR(__xludf.DUMMYFUNCTION("""COMPUTED_VALUE"""),"106.036019")</f>
        <v>106.036019</v>
      </c>
      <c r="AV638" s="85"/>
      <c r="AW638" s="85"/>
      <c r="AX638" s="85"/>
      <c r="AY638" s="85"/>
      <c r="AZ638" s="85"/>
      <c r="BA638" s="85"/>
      <c r="BB638" s="85"/>
      <c r="BC638" s="85"/>
      <c r="BD638" s="85"/>
      <c r="BE638" s="85"/>
      <c r="BF638" s="85"/>
      <c r="BG638" s="85"/>
      <c r="BH638" s="85"/>
      <c r="BI638" s="85"/>
      <c r="BJ638" s="85"/>
      <c r="BK638" s="85"/>
      <c r="BL638" s="85"/>
      <c r="BM638" s="85"/>
      <c r="BN638" s="85"/>
      <c r="BO638" s="85"/>
      <c r="BP638" s="85"/>
      <c r="BQ638" s="85"/>
      <c r="BR638" s="85"/>
      <c r="BS638" s="85"/>
      <c r="BT638" s="85"/>
      <c r="BU638" s="85"/>
      <c r="BV638" s="85"/>
      <c r="BW638" s="85"/>
      <c r="BX638" s="85" t="str">
        <f>IFERROR(__xludf.DUMMYFUNCTION("""COMPUTED_VALUE"""),"POS")</f>
        <v>POS</v>
      </c>
      <c r="BY638" s="85"/>
      <c r="BZ638" s="85"/>
      <c r="CA638" s="85"/>
      <c r="CB638" s="85"/>
      <c r="CC638" s="85"/>
      <c r="CD638" s="85"/>
      <c r="CE638" s="85"/>
      <c r="CF638" s="85"/>
      <c r="CG638" s="85"/>
      <c r="CH638" s="85"/>
      <c r="CI638" s="85"/>
      <c r="CJ638" s="85"/>
      <c r="CK638" s="2"/>
    </row>
    <row r="639" ht="12.75" customHeight="1">
      <c r="A639" s="80">
        <f>IFERROR(__xludf.DUMMYFUNCTION("""COMPUTED_VALUE"""),636.0)</f>
        <v>636</v>
      </c>
      <c r="B639" s="80"/>
      <c r="C639" s="80"/>
      <c r="D639" s="81">
        <f>IFERROR(__xludf.DUMMYFUNCTION("""COMPUTED_VALUE"""),45901.0)</f>
        <v>45901</v>
      </c>
      <c r="E639" s="82"/>
      <c r="F639" s="80"/>
      <c r="G639" s="81">
        <f>IFERROR(__xludf.DUMMYFUNCTION("""COMPUTED_VALUE"""),45915.0)</f>
        <v>45915</v>
      </c>
      <c r="H639" s="80"/>
      <c r="I639" s="80"/>
      <c r="J639" s="80"/>
      <c r="K639" s="80"/>
      <c r="L639" s="80">
        <f>IFERROR(__xludf.DUMMYFUNCTION("""COMPUTED_VALUE"""),14.0)</f>
        <v>14</v>
      </c>
      <c r="M639" s="80" t="str">
        <f>IFERROR(__xludf.DUMMYFUNCTION("""COMPUTED_VALUE"""),"ü")</f>
        <v>ü</v>
      </c>
      <c r="N639" s="80"/>
      <c r="O639" s="80"/>
      <c r="P639" s="80" t="str">
        <f>IFERROR(__xludf.DUMMYFUNCTION("""COMPUTED_VALUE"""),"53BSPA09601JBEEN")</f>
        <v>53BSPA09601JBEEN</v>
      </c>
      <c r="Q639" s="80" t="str">
        <f>IFERROR(__xludf.DUMMYFUNCTION("""COMPUTED_VALUE"""),"MUC SABAR SUBUR")</f>
        <v>MUC SABAR SUBUR</v>
      </c>
      <c r="R639" s="80" t="str">
        <f>IFERROR(__xludf.DUMMYFUNCTION("""COMPUTED_VALUE"""),"MUC SABAR SUBUR")</f>
        <v>MUC SABAR SUBUR</v>
      </c>
      <c r="S639" s="80" t="str">
        <f>IFERROR(__xludf.DUMMYFUNCTION("""COMPUTED_VALUE"""),"DENI RUSYANDI")</f>
        <v>DENI RUSYANDI</v>
      </c>
      <c r="T639" s="80" t="str">
        <f>IFERROR(__xludf.DUMMYFUNCTION("""COMPUTED_VALUE"""),"KP CILIA RT.002 RW.002 TELUK TERATE, KRAMATWATU, KAB. SERANG")</f>
        <v>KP CILIA RT.002 RW.002 TELUK TERATE, KRAMATWATU, KAB. SERANG</v>
      </c>
      <c r="U639" s="80" t="str">
        <f>IFERROR(__xludf.DUMMYFUNCTION("""COMPUTED_VALUE"""),"KP. CILIA RT.02 RW.02")</f>
        <v>KP. CILIA RT.02 RW.02</v>
      </c>
      <c r="V639" s="80"/>
      <c r="W639" s="80" t="str">
        <f>IFERROR(__xludf.DUMMYFUNCTION("""COMPUTED_VALUE"""),"Teluk Tarate")</f>
        <v>Teluk Tarate</v>
      </c>
      <c r="X639" s="80" t="str">
        <f>IFERROR(__xludf.DUMMYFUNCTION("""COMPUTED_VALUE"""),"Kramatwatu")</f>
        <v>Kramatwatu</v>
      </c>
      <c r="Y639" s="80" t="str">
        <f>IFERROR(__xludf.DUMMYFUNCTION("""COMPUTED_VALUE"""),"Kab. Serang")</f>
        <v>Kab. Serang</v>
      </c>
      <c r="Z639" s="80" t="str">
        <f>IFERROR(__xludf.DUMMYFUNCTION("""COMPUTED_VALUE"""),"Banten")</f>
        <v>Banten</v>
      </c>
      <c r="AA639" s="80" t="str">
        <f>IFERROR(__xludf.DUMMYFUNCTION("""COMPUTED_VALUE"""),"42161")</f>
        <v>42161</v>
      </c>
      <c r="AB639" s="80" t="str">
        <f>IFERROR(__xludf.DUMMYFUNCTION("""COMPUTED_VALUE"""),"3604050604880004")</f>
        <v>3604050604880004</v>
      </c>
      <c r="AC639" s="80" t="str">
        <f>IFERROR(__xludf.DUMMYFUNCTION("""COMPUTED_VALUE"""),"89.113.088.2-401.000")</f>
        <v>89.113.088.2-401.000</v>
      </c>
      <c r="AD639" s="80" t="str">
        <f>IFERROR(__xludf.DUMMYFUNCTION("""COMPUTED_VALUE"""),"CUM - EEN")</f>
        <v>CUM - EEN</v>
      </c>
      <c r="AE639" s="80" t="str">
        <f>IFERROR(__xludf.DUMMYFUNCTION("""COMPUTED_VALUE"""),"SUB EEN")</f>
        <v>SUB EEN</v>
      </c>
      <c r="AF639" s="80" t="str">
        <f>IFERROR(__xludf.DUMMYFUNCTION("""COMPUTED_VALUE"""),"085217924909")</f>
        <v>085217924909</v>
      </c>
      <c r="AG639" s="80"/>
      <c r="AH639" s="80" t="str">
        <f>IFERROR(__xludf.DUMMYFUNCTION("""COMPUTED_VALUE"""),"denirusyandi988@gmail.com")</f>
        <v>denirusyandi988@gmail.com</v>
      </c>
      <c r="AI639" s="80" t="str">
        <f>IFERROR(__xludf.DUMMYFUNCTION("""COMPUTED_VALUE"""),"42161S3")</f>
        <v>42161S3</v>
      </c>
      <c r="AJ639" s="80" t="str">
        <f>IFERROR(__xludf.DUMMYFUNCTION("""COMPUTED_VALUE"""),"68c631091438a7c8f505758a")</f>
        <v>68c631091438a7c8f505758a</v>
      </c>
      <c r="AK639" s="80" t="str">
        <f>IFERROR(__xludf.DUMMYFUNCTION("""COMPUTED_VALUE"""),"dm42161s3")</f>
        <v>dm42161s3</v>
      </c>
      <c r="AL639" s="80" t="str">
        <f>IFERROR(__xludf.DUMMYFUNCTION("""COMPUTED_VALUE"""),"#42161Pos")</f>
        <v>#42161Pos</v>
      </c>
      <c r="AM639" s="80" t="str">
        <f>IFERROR(__xludf.DUMMYFUNCTION("""COMPUTED_VALUE"""),"KANTOR REGIONAL II JAKARTA 10004")</f>
        <v>KANTOR REGIONAL II JAKARTA 10004</v>
      </c>
      <c r="AN639" s="80" t="str">
        <f>IFERROR(__xludf.DUMMYFUNCTION("""COMPUTED_VALUE"""),"KCU SERANG")</f>
        <v>KCU SERANG</v>
      </c>
      <c r="AO639" s="80" t="str">
        <f>IFERROR(__xludf.DUMMYFUNCTION("""COMPUTED_VALUE"""),"2507240041474")</f>
        <v>2507240041474</v>
      </c>
      <c r="AP639" s="80" t="str">
        <f>IFERROR(__xludf.DUMMYFUNCTION("""COMPUTED_VALUE"""),"25072400414740008")</f>
        <v>25072400414740008</v>
      </c>
      <c r="AQ639" s="83"/>
      <c r="AR639" s="80"/>
      <c r="AS639" s="80"/>
      <c r="AT639" s="80" t="str">
        <f>IFERROR(__xludf.DUMMYFUNCTION("""COMPUTED_VALUE"""),"-6.0216778")</f>
        <v>-6.0216778</v>
      </c>
      <c r="AU639" s="80" t="str">
        <f>IFERROR(__xludf.DUMMYFUNCTION("""COMPUTED_VALUE"""),"106.1025141")</f>
        <v>106.1025141</v>
      </c>
      <c r="AV639" s="80"/>
      <c r="AW639" s="80"/>
      <c r="AX639" s="80"/>
      <c r="AY639" s="80"/>
      <c r="AZ639" s="80"/>
      <c r="BA639" s="80"/>
      <c r="BB639" s="80"/>
      <c r="BC639" s="80"/>
      <c r="BD639" s="80"/>
      <c r="BE639" s="80"/>
      <c r="BF639" s="80"/>
      <c r="BG639" s="80"/>
      <c r="BH639" s="80"/>
      <c r="BI639" s="80"/>
      <c r="BJ639" s="80"/>
      <c r="BK639" s="80"/>
      <c r="BL639" s="80"/>
      <c r="BM639" s="80"/>
      <c r="BN639" s="80"/>
      <c r="BO639" s="80"/>
      <c r="BP639" s="80"/>
      <c r="BQ639" s="80"/>
      <c r="BR639" s="80"/>
      <c r="BS639" s="80"/>
      <c r="BT639" s="80"/>
      <c r="BU639" s="80"/>
      <c r="BV639" s="80"/>
      <c r="BW639" s="80"/>
      <c r="BX639" s="80" t="str">
        <f>IFERROR(__xludf.DUMMYFUNCTION("""COMPUTED_VALUE"""),"NEWBIE BUMDES")</f>
        <v>NEWBIE BUMDES</v>
      </c>
      <c r="BY639" s="80"/>
      <c r="BZ639" s="80"/>
      <c r="CA639" s="80"/>
      <c r="CB639" s="80"/>
      <c r="CC639" s="80"/>
      <c r="CD639" s="80"/>
      <c r="CE639" s="80"/>
      <c r="CF639" s="80"/>
      <c r="CG639" s="80"/>
      <c r="CH639" s="80"/>
      <c r="CI639" s="80"/>
      <c r="CJ639" s="80"/>
      <c r="CK639" s="2"/>
    </row>
    <row r="640" ht="12.75" customHeight="1">
      <c r="A640" s="85">
        <f>IFERROR(__xludf.DUMMYFUNCTION("""COMPUTED_VALUE"""),637.0)</f>
        <v>637</v>
      </c>
      <c r="B640" s="85"/>
      <c r="C640" s="85"/>
      <c r="D640" s="86">
        <f>IFERROR(__xludf.DUMMYFUNCTION("""COMPUTED_VALUE"""),45901.0)</f>
        <v>45901</v>
      </c>
      <c r="E640" s="88"/>
      <c r="F640" s="85"/>
      <c r="G640" s="86">
        <f>IFERROR(__xludf.DUMMYFUNCTION("""COMPUTED_VALUE"""),45915.0)</f>
        <v>45915</v>
      </c>
      <c r="H640" s="85"/>
      <c r="I640" s="85"/>
      <c r="J640" s="85"/>
      <c r="K640" s="85"/>
      <c r="L640" s="85">
        <f>IFERROR(__xludf.DUMMYFUNCTION("""COMPUTED_VALUE"""),14.0)</f>
        <v>14</v>
      </c>
      <c r="M640" s="85" t="str">
        <f>IFERROR(__xludf.DUMMYFUNCTION("""COMPUTED_VALUE"""),"ü")</f>
        <v>ü</v>
      </c>
      <c r="N640" s="85"/>
      <c r="O640" s="85"/>
      <c r="P640" s="85" t="str">
        <f>IFERROR(__xludf.DUMMYFUNCTION("""COMPUTED_VALUE"""),"MUCSPA63246PSIND")</f>
        <v>MUCSPA63246PSIND</v>
      </c>
      <c r="Q640" s="85" t="str">
        <f>IFERROR(__xludf.DUMMYFUNCTION("""COMPUTED_VALUE"""),"MUC PRAMANA")</f>
        <v>MUC PRAMANA</v>
      </c>
      <c r="R640" s="85" t="str">
        <f>IFERROR(__xludf.DUMMYFUNCTION("""COMPUTED_VALUE"""),"MUC PRAMANA")</f>
        <v>MUC PRAMANA</v>
      </c>
      <c r="S640" s="85" t="str">
        <f>IFERROR(__xludf.DUMMYFUNCTION("""COMPUTED_VALUE"""),"MARIZA PRAJAWATI")</f>
        <v>MARIZA PRAJAWATI</v>
      </c>
      <c r="T640" s="85" t="str">
        <f>IFERROR(__xludf.DUMMYFUNCTION("""COMPUTED_VALUE"""),"JL. TIRTA KENCANA RT.001 RW.001 BANYU MAS, CURUP TENGAH, KAB. REJANG LEBONG PROV BENGKULU")</f>
        <v>JL. TIRTA KENCANA RT.001 RW.001 BANYU MAS, CURUP TENGAH, KAB. REJANG LEBONG PROV BENGKULU</v>
      </c>
      <c r="U640" s="85" t="str">
        <f>IFERROR(__xludf.DUMMYFUNCTION("""COMPUTED_VALUE"""),"JL. TIRTA KENCANA BANYU MAS")</f>
        <v>JL. TIRTA KENCANA BANYU MAS</v>
      </c>
      <c r="V640" s="85"/>
      <c r="W640" s="85" t="str">
        <f>IFERROR(__xludf.DUMMYFUNCTION("""COMPUTED_VALUE"""),"Banyu Mas")</f>
        <v>Banyu Mas</v>
      </c>
      <c r="X640" s="85" t="str">
        <f>IFERROR(__xludf.DUMMYFUNCTION("""COMPUTED_VALUE"""),"Curup Tengah")</f>
        <v>Curup Tengah</v>
      </c>
      <c r="Y640" s="85" t="str">
        <f>IFERROR(__xludf.DUMMYFUNCTION("""COMPUTED_VALUE"""),"Rejang Lebong")</f>
        <v>Rejang Lebong</v>
      </c>
      <c r="Z640" s="85" t="str">
        <f>IFERROR(__xludf.DUMMYFUNCTION("""COMPUTED_VALUE"""),"Bengkulu")</f>
        <v>Bengkulu</v>
      </c>
      <c r="AA640" s="85" t="str">
        <f>IFERROR(__xludf.DUMMYFUNCTION("""COMPUTED_VALUE"""),"39113")</f>
        <v>39113</v>
      </c>
      <c r="AB640" s="85" t="str">
        <f>IFERROR(__xludf.DUMMYFUNCTION("""COMPUTED_VALUE"""),"1702094703890001")</f>
        <v>1702094703890001</v>
      </c>
      <c r="AC640" s="85" t="str">
        <f>IFERROR(__xludf.DUMMYFUNCTION("""COMPUTED_VALUE"""),"76.996.494.1-327.000")</f>
        <v>76.996.494.1-327.000</v>
      </c>
      <c r="AD640" s="85" t="str">
        <f>IFERROR(__xludf.DUMMYFUNCTION("""COMPUTED_VALUE"""),"CUM - PS - SVAI")</f>
        <v>CUM - PS - SVAI</v>
      </c>
      <c r="AE640" s="85" t="str">
        <f>IFERROR(__xludf.DUMMYFUNCTION("""COMPUTED_VALUE"""),"PAK AZZAM KC CURUP")</f>
        <v>PAK AZZAM KC CURUP</v>
      </c>
      <c r="AF640" s="85" t="str">
        <f>IFERROR(__xludf.DUMMYFUNCTION("""COMPUTED_VALUE"""),"082175380006")</f>
        <v>082175380006</v>
      </c>
      <c r="AG640" s="85"/>
      <c r="AH640" s="85" t="str">
        <f>IFERROR(__xludf.DUMMYFUNCTION("""COMPUTED_VALUE"""),"abdis6144@gmail.com")</f>
        <v>abdis6144@gmail.com</v>
      </c>
      <c r="AI640" s="85" t="str">
        <f>IFERROR(__xludf.DUMMYFUNCTION("""COMPUTED_VALUE"""),"39139S1")</f>
        <v>39139S1</v>
      </c>
      <c r="AJ640" s="85" t="str">
        <f>IFERROR(__xludf.DUMMYFUNCTION("""COMPUTED_VALUE"""),"68c525c6bbdd1e8fe9033bea")</f>
        <v>68c525c6bbdd1e8fe9033bea</v>
      </c>
      <c r="AK640" s="85" t="str">
        <f>IFERROR(__xludf.DUMMYFUNCTION("""COMPUTED_VALUE"""),"dm39139s1")</f>
        <v>dm39139s1</v>
      </c>
      <c r="AL640" s="85" t="str">
        <f>IFERROR(__xludf.DUMMYFUNCTION("""COMPUTED_VALUE"""),"#39139Pos")</f>
        <v>#39139Pos</v>
      </c>
      <c r="AM640" s="85" t="str">
        <f>IFERROR(__xludf.DUMMYFUNCTION("""COMPUTED_VALUE"""),"KANTOR REGIONAL I MEDAN 20004")</f>
        <v>KANTOR REGIONAL I MEDAN 20004</v>
      </c>
      <c r="AN640" s="85" t="str">
        <f>IFERROR(__xludf.DUMMYFUNCTION("""COMPUTED_VALUE"""),"KC CURUP")</f>
        <v>KC CURUP</v>
      </c>
      <c r="AO640" s="85" t="str">
        <f>IFERROR(__xludf.DUMMYFUNCTION("""COMPUTED_VALUE"""),"2908250021524")</f>
        <v>2908250021524</v>
      </c>
      <c r="AP640" s="85" t="str">
        <f>IFERROR(__xludf.DUMMYFUNCTION("""COMPUTED_VALUE"""),"29082500215240001")</f>
        <v>29082500215240001</v>
      </c>
      <c r="AQ640" s="93"/>
      <c r="AR640" s="85"/>
      <c r="AS640" s="85"/>
      <c r="AT640" s="85" t="str">
        <f>IFERROR(__xludf.DUMMYFUNCTION("""COMPUTED_VALUE"""),"-3.469822")</f>
        <v>-3.469822</v>
      </c>
      <c r="AU640" s="85" t="str">
        <f>IFERROR(__xludf.DUMMYFUNCTION("""COMPUTED_VALUE"""),"102.533767")</f>
        <v>102.533767</v>
      </c>
      <c r="AV640" s="85"/>
      <c r="AW640" s="85"/>
      <c r="AX640" s="85"/>
      <c r="AY640" s="85"/>
      <c r="AZ640" s="85"/>
      <c r="BA640" s="85"/>
      <c r="BB640" s="85"/>
      <c r="BC640" s="85"/>
      <c r="BD640" s="85"/>
      <c r="BE640" s="85"/>
      <c r="BF640" s="85"/>
      <c r="BG640" s="85"/>
      <c r="BH640" s="85"/>
      <c r="BI640" s="85"/>
      <c r="BJ640" s="85"/>
      <c r="BK640" s="85"/>
      <c r="BL640" s="85"/>
      <c r="BM640" s="85"/>
      <c r="BN640" s="85"/>
      <c r="BO640" s="85"/>
      <c r="BP640" s="85"/>
      <c r="BQ640" s="85"/>
      <c r="BR640" s="85"/>
      <c r="BS640" s="85"/>
      <c r="BT640" s="85"/>
      <c r="BU640" s="85"/>
      <c r="BV640" s="85"/>
      <c r="BW640" s="85"/>
      <c r="BX640" s="85" t="str">
        <f>IFERROR(__xludf.DUMMYFUNCTION("""COMPUTED_VALUE"""),"NEWBIE BRILINK")</f>
        <v>NEWBIE BRILINK</v>
      </c>
      <c r="BY640" s="85"/>
      <c r="BZ640" s="85"/>
      <c r="CA640" s="85"/>
      <c r="CB640" s="85"/>
      <c r="CC640" s="85"/>
      <c r="CD640" s="85"/>
      <c r="CE640" s="85"/>
      <c r="CF640" s="85"/>
      <c r="CG640" s="85"/>
      <c r="CH640" s="85"/>
      <c r="CI640" s="85"/>
      <c r="CJ640" s="85"/>
      <c r="CK640" s="2"/>
    </row>
    <row r="641" ht="12.75" customHeight="1">
      <c r="A641" s="80">
        <f>IFERROR(__xludf.DUMMYFUNCTION("""COMPUTED_VALUE"""),638.0)</f>
        <v>638</v>
      </c>
      <c r="B641" s="80"/>
      <c r="C641" s="80"/>
      <c r="D641" s="81">
        <f>IFERROR(__xludf.DUMMYFUNCTION("""COMPUTED_VALUE"""),45901.0)</f>
        <v>45901</v>
      </c>
      <c r="E641" s="82"/>
      <c r="F641" s="80"/>
      <c r="G641" s="81">
        <f>IFERROR(__xludf.DUMMYFUNCTION("""COMPUTED_VALUE"""),45929.0)</f>
        <v>45929</v>
      </c>
      <c r="H641" s="80"/>
      <c r="I641" s="80"/>
      <c r="J641" s="80"/>
      <c r="K641" s="80"/>
      <c r="L641" s="80">
        <f>IFERROR(__xludf.DUMMYFUNCTION("""COMPUTED_VALUE"""),28.0)</f>
        <v>28</v>
      </c>
      <c r="M641" s="80" t="str">
        <f>IFERROR(__xludf.DUMMYFUNCTION("""COMPUTED_VALUE"""),"ü")</f>
        <v>ü</v>
      </c>
      <c r="N641" s="80"/>
      <c r="O641" s="80"/>
      <c r="P641" s="80" t="str">
        <f>IFERROR(__xludf.DUMMYFUNCTION("""COMPUTED_VALUE"""),"MUCSPA63247PSIND")</f>
        <v>MUCSPA63247PSIND</v>
      </c>
      <c r="Q641" s="80" t="str">
        <f>IFERROR(__xludf.DUMMYFUNCTION("""COMPUTED_VALUE"""),"MUC RAMA SETIA")</f>
        <v>MUC RAMA SETIA</v>
      </c>
      <c r="R641" s="80" t="str">
        <f>IFERROR(__xludf.DUMMYFUNCTION("""COMPUTED_VALUE"""),"MUC RAMA SETIA")</f>
        <v>MUC RAMA SETIA</v>
      </c>
      <c r="S641" s="80" t="str">
        <f>IFERROR(__xludf.DUMMYFUNCTION("""COMPUTED_VALUE"""),"NURUL AZMI")</f>
        <v>NURUL AZMI</v>
      </c>
      <c r="T641" s="80" t="str">
        <f>IFERROR(__xludf.DUMMYFUNCTION("""COMPUTED_VALUE"""),"JL. RAMASETIA, LAMPASEH ACEH KOTA BANDA ACEH PROV ACEH")</f>
        <v>JL. RAMASETIA, LAMPASEH ACEH KOTA BANDA ACEH PROV ACEH</v>
      </c>
      <c r="U641" s="80" t="str">
        <f>IFERROR(__xludf.DUMMYFUNCTION("""COMPUTED_VALUE"""),"Jl. Rama Setia Dsn Balee Rapale")</f>
        <v>Jl. Rama Setia Dsn Balee Rapale</v>
      </c>
      <c r="V641" s="80"/>
      <c r="W641" s="80" t="str">
        <f>IFERROR(__xludf.DUMMYFUNCTION("""COMPUTED_VALUE"""),"Lampaseh Aceh")</f>
        <v>Lampaseh Aceh</v>
      </c>
      <c r="X641" s="80" t="str">
        <f>IFERROR(__xludf.DUMMYFUNCTION("""COMPUTED_VALUE"""),"Meuraxa")</f>
        <v>Meuraxa</v>
      </c>
      <c r="Y641" s="80" t="str">
        <f>IFERROR(__xludf.DUMMYFUNCTION("""COMPUTED_VALUE"""),"Kota Banda Aceh")</f>
        <v>Kota Banda Aceh</v>
      </c>
      <c r="Z641" s="80" t="str">
        <f>IFERROR(__xludf.DUMMYFUNCTION("""COMPUTED_VALUE"""),"Aceh")</f>
        <v>Aceh</v>
      </c>
      <c r="AA641" s="80" t="str">
        <f>IFERROR(__xludf.DUMMYFUNCTION("""COMPUTED_VALUE"""),"23231")</f>
        <v>23231</v>
      </c>
      <c r="AB641" s="80" t="str">
        <f>IFERROR(__xludf.DUMMYFUNCTION("""COMPUTED_VALUE"""),"1171064101910002")</f>
        <v>1171064101910002</v>
      </c>
      <c r="AC641" s="80" t="str">
        <f>IFERROR(__xludf.DUMMYFUNCTION("""COMPUTED_VALUE"""),"85.179.040.2-101.000")</f>
        <v>85.179.040.2-101.000</v>
      </c>
      <c r="AD641" s="80" t="str">
        <f>IFERROR(__xludf.DUMMYFUNCTION("""COMPUTED_VALUE"""),"BU NOVI KC BANDA ACEH")</f>
        <v>BU NOVI KC BANDA ACEH</v>
      </c>
      <c r="AE641" s="80" t="str">
        <f>IFERROR(__xludf.DUMMYFUNCTION("""COMPUTED_VALUE"""),"BU NOVI KC BANDA ACEH")</f>
        <v>BU NOVI KC BANDA ACEH</v>
      </c>
      <c r="AF641" s="80" t="str">
        <f>IFERROR(__xludf.DUMMYFUNCTION("""COMPUTED_VALUE"""),"085270704838")</f>
        <v>085270704838</v>
      </c>
      <c r="AG641" s="80"/>
      <c r="AH641" s="80" t="str">
        <f>IFERROR(__xludf.DUMMYFUNCTION("""COMPUTED_VALUE"""),"nurullazmii34@gmail.com")</f>
        <v>nurullazmii34@gmail.com</v>
      </c>
      <c r="AI641" s="80" t="str">
        <f>IFERROR(__xludf.DUMMYFUNCTION("""COMPUTED_VALUE"""),"23231S1")</f>
        <v>23231S1</v>
      </c>
      <c r="AJ641" s="80" t="str">
        <f>IFERROR(__xludf.DUMMYFUNCTION("""COMPUTED_VALUE"""),"68d7a9215a36b9ceae08dd50")</f>
        <v>68d7a9215a36b9ceae08dd50</v>
      </c>
      <c r="AK641" s="80" t="str">
        <f>IFERROR(__xludf.DUMMYFUNCTION("""COMPUTED_VALUE"""),"dm23231s1")</f>
        <v>dm23231s1</v>
      </c>
      <c r="AL641" s="80" t="str">
        <f>IFERROR(__xludf.DUMMYFUNCTION("""COMPUTED_VALUE"""),"#23231Pos")</f>
        <v>#23231Pos</v>
      </c>
      <c r="AM641" s="80" t="str">
        <f>IFERROR(__xludf.DUMMYFUNCTION("""COMPUTED_VALUE"""),"KANTOR REGIONAL I MEDAN 20004")</f>
        <v>KANTOR REGIONAL I MEDAN 20004</v>
      </c>
      <c r="AN641" s="80" t="str">
        <f>IFERROR(__xludf.DUMMYFUNCTION("""COMPUTED_VALUE"""),"KC BANDA ACEH")</f>
        <v>KC BANDA ACEH</v>
      </c>
      <c r="AO641" s="80" t="str">
        <f>IFERROR(__xludf.DUMMYFUNCTION("""COMPUTED_VALUE"""),"1104250060519")</f>
        <v>1104250060519</v>
      </c>
      <c r="AP641" s="80" t="str">
        <f>IFERROR(__xludf.DUMMYFUNCTION("""COMPUTED_VALUE"""),"11042500605190001")</f>
        <v>11042500605190001</v>
      </c>
      <c r="AQ641" s="83"/>
      <c r="AR641" s="80"/>
      <c r="AS641" s="80"/>
      <c r="AT641" s="80" t="str">
        <f>IFERROR(__xludf.DUMMYFUNCTION("""COMPUTED_VALUE"""),"5.5633406")</f>
        <v>5.5633406</v>
      </c>
      <c r="AU641" s="80" t="str">
        <f>IFERROR(__xludf.DUMMYFUNCTION("""COMPUTED_VALUE"""),"95.3026118")</f>
        <v>95.3026118</v>
      </c>
      <c r="AV641" s="80"/>
      <c r="AW641" s="80"/>
      <c r="AX641" s="80"/>
      <c r="AY641" s="80"/>
      <c r="AZ641" s="80"/>
      <c r="BA641" s="80"/>
      <c r="BB641" s="80"/>
      <c r="BC641" s="80"/>
      <c r="BD641" s="80"/>
      <c r="BE641" s="80"/>
      <c r="BF641" s="80"/>
      <c r="BG641" s="80"/>
      <c r="BH641" s="80"/>
      <c r="BI641" s="80"/>
      <c r="BJ641" s="80"/>
      <c r="BK641" s="80"/>
      <c r="BL641" s="80"/>
      <c r="BM641" s="80"/>
      <c r="BN641" s="80"/>
      <c r="BO641" s="80"/>
      <c r="BP641" s="80"/>
      <c r="BQ641" s="80"/>
      <c r="BR641" s="80"/>
      <c r="BS641" s="80"/>
      <c r="BT641" s="80"/>
      <c r="BU641" s="80"/>
      <c r="BV641" s="80"/>
      <c r="BW641" s="80"/>
      <c r="BX641" s="80" t="str">
        <f>IFERROR(__xludf.DUMMYFUNCTION("""COMPUTED_VALUE"""),"MULTIKURIR - JNT CARGO")</f>
        <v>MULTIKURIR - JNT CARGO</v>
      </c>
      <c r="BY641" s="80"/>
      <c r="BZ641" s="80"/>
      <c r="CA641" s="80"/>
      <c r="CB641" s="80"/>
      <c r="CC641" s="80"/>
      <c r="CD641" s="80"/>
      <c r="CE641" s="80"/>
      <c r="CF641" s="80"/>
      <c r="CG641" s="80"/>
      <c r="CH641" s="80"/>
      <c r="CI641" s="80"/>
      <c r="CJ641" s="80"/>
      <c r="CK641" s="2"/>
    </row>
    <row r="642" ht="12.75" customHeight="1">
      <c r="A642" s="85">
        <f>IFERROR(__xludf.DUMMYFUNCTION("""COMPUTED_VALUE"""),639.0)</f>
        <v>639</v>
      </c>
      <c r="B642" s="85"/>
      <c r="C642" s="85"/>
      <c r="D642" s="86">
        <f>IFERROR(__xludf.DUMMYFUNCTION("""COMPUTED_VALUE"""),45904.0)</f>
        <v>45904</v>
      </c>
      <c r="E642" s="88"/>
      <c r="F642" s="85"/>
      <c r="G642" s="86">
        <f>IFERROR(__xludf.DUMMYFUNCTION("""COMPUTED_VALUE"""),45924.0)</f>
        <v>45924</v>
      </c>
      <c r="H642" s="85"/>
      <c r="I642" s="85"/>
      <c r="J642" s="85"/>
      <c r="K642" s="85"/>
      <c r="L642" s="85">
        <f>IFERROR(__xludf.DUMMYFUNCTION("""COMPUTED_VALUE"""),20.0)</f>
        <v>20</v>
      </c>
      <c r="M642" s="85" t="str">
        <f>IFERROR(__xludf.DUMMYFUNCTION("""COMPUTED_VALUE"""),"ü")</f>
        <v>ü</v>
      </c>
      <c r="N642" s="85"/>
      <c r="O642" s="85"/>
      <c r="P642" s="85" t="str">
        <f>IFERROR(__xludf.DUMMYFUNCTION("""COMPUTED_VALUE"""),"53BSPA09666JBEEN")</f>
        <v>53BSPA09666JBEEN</v>
      </c>
      <c r="Q642" s="85" t="str">
        <f>IFERROR(__xludf.DUMMYFUNCTION("""COMPUTED_VALUE"""),"MUC SUTAM Mandiri Sejahtera")</f>
        <v>MUC SUTAM Mandiri Sejahtera</v>
      </c>
      <c r="R642" s="85" t="str">
        <f>IFERROR(__xludf.DUMMYFUNCTION("""COMPUTED_VALUE"""),"MUC SUTAM Mandiri Sejahtera")</f>
        <v>MUC SUTAM Mandiri Sejahtera</v>
      </c>
      <c r="S642" s="85" t="str">
        <f>IFERROR(__xludf.DUMMYFUNCTION("""COMPUTED_VALUE"""),"NINO SUGESTI")</f>
        <v>NINO SUGESTI</v>
      </c>
      <c r="T642" s="85" t="str">
        <f>IFERROR(__xludf.DUMMYFUNCTION("""COMPUTED_VALUE"""),"JL. SIAK V NO.106 RT.004 RW.009, BAKTIJAYA, SUKMAJAYA, KOTA DEPOK")</f>
        <v>JL. SIAK V NO.106 RT.004 RW.009, BAKTIJAYA, SUKMAJAYA, KOTA DEPOK</v>
      </c>
      <c r="U642" s="85" t="str">
        <f>IFERROR(__xludf.DUMMYFUNCTION("""COMPUTED_VALUE"""),"KP SUGUTAMU RT04.028")</f>
        <v>KP SUGUTAMU RT04.028</v>
      </c>
      <c r="V642" s="85"/>
      <c r="W642" s="85" t="str">
        <f>IFERROR(__xludf.DUMMYFUNCTION("""COMPUTED_VALUE"""),"Batikjaya")</f>
        <v>Batikjaya</v>
      </c>
      <c r="X642" s="85" t="str">
        <f>IFERROR(__xludf.DUMMYFUNCTION("""COMPUTED_VALUE"""),"Sukmajaya")</f>
        <v>Sukmajaya</v>
      </c>
      <c r="Y642" s="85" t="str">
        <f>IFERROR(__xludf.DUMMYFUNCTION("""COMPUTED_VALUE"""),"Kota Depok")</f>
        <v>Kota Depok</v>
      </c>
      <c r="Z642" s="85" t="str">
        <f>IFERROR(__xludf.DUMMYFUNCTION("""COMPUTED_VALUE"""),"Jawa Barat")</f>
        <v>Jawa Barat</v>
      </c>
      <c r="AA642" s="85" t="str">
        <f>IFERROR(__xludf.DUMMYFUNCTION("""COMPUTED_VALUE"""),"16418")</f>
        <v>16418</v>
      </c>
      <c r="AB642" s="85" t="str">
        <f>IFERROR(__xludf.DUMMYFUNCTION("""COMPUTED_VALUE"""),"3276052010820003")</f>
        <v>3276052010820003</v>
      </c>
      <c r="AC642" s="85" t="str">
        <f>IFERROR(__xludf.DUMMYFUNCTION("""COMPUTED_VALUE"""),"0408 8113 9641 2000")</f>
        <v>0408 8113 9641 2000</v>
      </c>
      <c r="AD642" s="85" t="str">
        <f>IFERROR(__xludf.DUMMYFUNCTION("""COMPUTED_VALUE"""),"CUM - EEN")</f>
        <v>CUM - EEN</v>
      </c>
      <c r="AE642" s="85" t="str">
        <f>IFERROR(__xludf.DUMMYFUNCTION("""COMPUTED_VALUE"""),"SUB EEN")</f>
        <v>SUB EEN</v>
      </c>
      <c r="AF642" s="85" t="str">
        <f>IFERROR(__xludf.DUMMYFUNCTION("""COMPUTED_VALUE"""),"081210809285")</f>
        <v>081210809285</v>
      </c>
      <c r="AG642" s="85"/>
      <c r="AH642" s="85" t="str">
        <f>IFERROR(__xludf.DUMMYFUNCTION("""COMPUTED_VALUE"""),"sutamandirisejahtera@gmail.co")</f>
        <v>sutamandirisejahtera@gmail.co</v>
      </c>
      <c r="AI642" s="85" t="str">
        <f>IFERROR(__xludf.DUMMYFUNCTION("""COMPUTED_VALUE"""),"16418S3")</f>
        <v>16418S3</v>
      </c>
      <c r="AJ642" s="85" t="str">
        <f>IFERROR(__xludf.DUMMYFUNCTION("""COMPUTED_VALUE"""),"68d236e79ca8217d1b0e202b")</f>
        <v>68d236e79ca8217d1b0e202b</v>
      </c>
      <c r="AK642" s="85" t="str">
        <f>IFERROR(__xludf.DUMMYFUNCTION("""COMPUTED_VALUE"""),"dm16418s3")</f>
        <v>dm16418s3</v>
      </c>
      <c r="AL642" s="85" t="str">
        <f>IFERROR(__xludf.DUMMYFUNCTION("""COMPUTED_VALUE"""),"#16418Pos")</f>
        <v>#16418Pos</v>
      </c>
      <c r="AM642" s="85" t="str">
        <f>IFERROR(__xludf.DUMMYFUNCTION("""COMPUTED_VALUE"""),"KANTOR REGIONAL II JAKARTA 10004")</f>
        <v>KANTOR REGIONAL II JAKARTA 10004</v>
      </c>
      <c r="AN642" s="85" t="str">
        <f>IFERROR(__xludf.DUMMYFUNCTION("""COMPUTED_VALUE"""),"KC DEPOK 16400")</f>
        <v>KC DEPOK 16400</v>
      </c>
      <c r="AO642" s="85" t="str">
        <f>IFERROR(__xludf.DUMMYFUNCTION("""COMPUTED_VALUE"""),"1305230031364")</f>
        <v>1305230031364</v>
      </c>
      <c r="AP642" s="85" t="str">
        <f>IFERROR(__xludf.DUMMYFUNCTION("""COMPUTED_VALUE"""),"13052300313640001")</f>
        <v>13052300313640001</v>
      </c>
      <c r="AQ642" s="93"/>
      <c r="AR642" s="85"/>
      <c r="AS642" s="85"/>
      <c r="AT642" s="85" t="str">
        <f>IFERROR(__xludf.DUMMYFUNCTION("""COMPUTED_VALUE"""),"-6.372801 ")</f>
        <v>-6.372801 </v>
      </c>
      <c r="AU642" s="85" t="str">
        <f>IFERROR(__xludf.DUMMYFUNCTION("""COMPUTED_VALUE"""),"106.855758")</f>
        <v>106.855758</v>
      </c>
      <c r="AV642" s="85"/>
      <c r="AW642" s="85"/>
      <c r="AX642" s="85"/>
      <c r="AY642" s="85"/>
      <c r="AZ642" s="85"/>
      <c r="BA642" s="85"/>
      <c r="BB642" s="85"/>
      <c r="BC642" s="85"/>
      <c r="BD642" s="85"/>
      <c r="BE642" s="85"/>
      <c r="BF642" s="85"/>
      <c r="BG642" s="85"/>
      <c r="BH642" s="85"/>
      <c r="BI642" s="85"/>
      <c r="BJ642" s="85"/>
      <c r="BK642" s="85"/>
      <c r="BL642" s="85"/>
      <c r="BM642" s="85"/>
      <c r="BN642" s="85"/>
      <c r="BO642" s="85"/>
      <c r="BP642" s="85"/>
      <c r="BQ642" s="85"/>
      <c r="BR642" s="85"/>
      <c r="BS642" s="85"/>
      <c r="BT642" s="85"/>
      <c r="BU642" s="85"/>
      <c r="BV642" s="85"/>
      <c r="BW642" s="85"/>
      <c r="BX642" s="85" t="str">
        <f>IFERROR(__xludf.DUMMYFUNCTION("""COMPUTED_VALUE"""),"NEWBIE")</f>
        <v>NEWBIE</v>
      </c>
      <c r="BY642" s="85"/>
      <c r="BZ642" s="85"/>
      <c r="CA642" s="85"/>
      <c r="CB642" s="85"/>
      <c r="CC642" s="85"/>
      <c r="CD642" s="85"/>
      <c r="CE642" s="85"/>
      <c r="CF642" s="85"/>
      <c r="CG642" s="85"/>
      <c r="CH642" s="85"/>
      <c r="CI642" s="85"/>
      <c r="CJ642" s="85"/>
      <c r="CK642" s="2"/>
    </row>
    <row r="643" ht="12.75" customHeight="1">
      <c r="A643" s="80">
        <f>IFERROR(__xludf.DUMMYFUNCTION("""COMPUTED_VALUE"""),640.0)</f>
        <v>640</v>
      </c>
      <c r="B643" s="80"/>
      <c r="C643" s="80"/>
      <c r="D643" s="81">
        <f>IFERROR(__xludf.DUMMYFUNCTION("""COMPUTED_VALUE"""),45908.0)</f>
        <v>45908</v>
      </c>
      <c r="E643" s="82"/>
      <c r="F643" s="80"/>
      <c r="G643" s="81"/>
      <c r="H643" s="80"/>
      <c r="I643" s="80"/>
      <c r="J643" s="80"/>
      <c r="K643" s="80"/>
      <c r="L643" s="80"/>
      <c r="M643" s="80"/>
      <c r="N643" s="80" t="str">
        <f>IFERROR(__xludf.DUMMYFUNCTION("""COMPUTED_VALUE"""),"ü")</f>
        <v>ü</v>
      </c>
      <c r="O643" s="80"/>
      <c r="P643" s="80" t="str">
        <f>IFERROR(__xludf.DUMMYFUNCTION("""COMPUTED_VALUE"""),"MUCSPA63248PSIND")</f>
        <v>MUCSPA63248PSIND</v>
      </c>
      <c r="Q643" s="80" t="str">
        <f>IFERROR(__xludf.DUMMYFUNCTION("""COMPUTED_VALUE"""),"MUC KKMP Terondol")</f>
        <v>MUC KKMP Terondol</v>
      </c>
      <c r="R643" s="80" t="str">
        <f>IFERROR(__xludf.DUMMYFUNCTION("""COMPUTED_VALUE"""),"MUC KKMP Terondol")</f>
        <v>MUC KKMP Terondol</v>
      </c>
      <c r="S643" s="80" t="str">
        <f>IFERROR(__xludf.DUMMYFUNCTION("""COMPUTED_VALUE"""),"Sri Burhana")</f>
        <v>Sri Burhana</v>
      </c>
      <c r="T643" s="80" t="str">
        <f>IFERROR(__xludf.DUMMYFUNCTION("""COMPUTED_VALUE"""),"Lebak Indah Blok D11 No. 01 RT. 005/004, Serang")</f>
        <v>Lebak Indah Blok D11 No. 01 RT. 005/004, Serang</v>
      </c>
      <c r="U643" s="80" t="str">
        <f>IFERROR(__xludf.DUMMYFUNCTION("""COMPUTED_VALUE"""),"Jl. Warung Jaud No. 18 Serang")</f>
        <v>Jl. Warung Jaud No. 18 Serang</v>
      </c>
      <c r="V643" s="80"/>
      <c r="W643" s="80" t="str">
        <f>IFERROR(__xludf.DUMMYFUNCTION("""COMPUTED_VALUE"""),"Terondol")</f>
        <v>Terondol</v>
      </c>
      <c r="X643" s="80" t="str">
        <f>IFERROR(__xludf.DUMMYFUNCTION("""COMPUTED_VALUE"""),"Serang")</f>
        <v>Serang</v>
      </c>
      <c r="Y643" s="80" t="str">
        <f>IFERROR(__xludf.DUMMYFUNCTION("""COMPUTED_VALUE"""),"Serang")</f>
        <v>Serang</v>
      </c>
      <c r="Z643" s="80" t="str">
        <f>IFERROR(__xludf.DUMMYFUNCTION("""COMPUTED_VALUE"""),"Banten")</f>
        <v>Banten</v>
      </c>
      <c r="AA643" s="80" t="str">
        <f>IFERROR(__xludf.DUMMYFUNCTION("""COMPUTED_VALUE"""),"42119")</f>
        <v>42119</v>
      </c>
      <c r="AB643" s="80" t="str">
        <f>IFERROR(__xludf.DUMMYFUNCTION("""COMPUTED_VALUE"""),"3673011501680004")</f>
        <v>3673011501680004</v>
      </c>
      <c r="AC643" s="80" t="str">
        <f>IFERROR(__xludf.DUMMYFUNCTION("""COMPUTED_VALUE"""),"250254208401000")</f>
        <v>250254208401000</v>
      </c>
      <c r="AD643" s="80" t="str">
        <f>IFERROR(__xludf.DUMMYFUNCTION("""COMPUTED_VALUE"""),"BU NELA SERANG")</f>
        <v>BU NELA SERANG</v>
      </c>
      <c r="AE643" s="80" t="str">
        <f>IFERROR(__xludf.DUMMYFUNCTION("""COMPUTED_VALUE"""),"BU NELA SERANG")</f>
        <v>BU NELA SERANG</v>
      </c>
      <c r="AF643" s="80" t="str">
        <f>IFERROR(__xludf.DUMMYFUNCTION("""COMPUTED_VALUE"""),"087822638264")</f>
        <v>087822638264</v>
      </c>
      <c r="AG643" s="80"/>
      <c r="AH643" s="80" t="str">
        <f>IFERROR(__xludf.DUMMYFUNCTION("""COMPUTED_VALUE"""),"koperasimerahputihterondol@gmai.com")</f>
        <v>koperasimerahputihterondol@gmai.com</v>
      </c>
      <c r="AI643" s="80"/>
      <c r="AJ643" s="80"/>
      <c r="AK643" s="80"/>
      <c r="AL643" s="80"/>
      <c r="AM643" s="80" t="str">
        <f>IFERROR(__xludf.DUMMYFUNCTION("""COMPUTED_VALUE"""),"KANTOR REGIONAL II JAKARTA 10004")</f>
        <v>KANTOR REGIONAL II JAKARTA 10004</v>
      </c>
      <c r="AN643" s="80" t="str">
        <f>IFERROR(__xludf.DUMMYFUNCTION("""COMPUTED_VALUE"""),"KCU SERANG")</f>
        <v>KCU SERANG</v>
      </c>
      <c r="AO643" s="80" t="str">
        <f>IFERROR(__xludf.DUMMYFUNCTION("""COMPUTED_VALUE"""),"0607250006756")</f>
        <v>0607250006756</v>
      </c>
      <c r="AP643" s="80" t="str">
        <f>IFERROR(__xludf.DUMMYFUNCTION("""COMPUTED_VALUE"""),"0607250006756004")</f>
        <v>0607250006756004</v>
      </c>
      <c r="AQ643" s="83"/>
      <c r="AR643" s="80"/>
      <c r="AS643" s="80"/>
      <c r="AT643" s="80" t="str">
        <f>IFERROR(__xludf.DUMMYFUNCTION("""COMPUTED_VALUE"""),"-6.099722")</f>
        <v>-6.099722</v>
      </c>
      <c r="AU643" s="80" t="str">
        <f>IFERROR(__xludf.DUMMYFUNCTION("""COMPUTED_VALUE"""),"106.184444")</f>
        <v>106.184444</v>
      </c>
      <c r="AV643" s="80"/>
      <c r="AW643" s="80"/>
      <c r="AX643" s="80"/>
      <c r="AY643" s="80"/>
      <c r="AZ643" s="80"/>
      <c r="BA643" s="80"/>
      <c r="BB643" s="80"/>
      <c r="BC643" s="80"/>
      <c r="BD643" s="80"/>
      <c r="BE643" s="80"/>
      <c r="BF643" s="80"/>
      <c r="BG643" s="80"/>
      <c r="BH643" s="80"/>
      <c r="BI643" s="80"/>
      <c r="BJ643" s="80"/>
      <c r="BK643" s="80"/>
      <c r="BL643" s="80"/>
      <c r="BM643" s="80"/>
      <c r="BN643" s="80"/>
      <c r="BO643" s="80"/>
      <c r="BP643" s="80"/>
      <c r="BQ643" s="80"/>
      <c r="BR643" s="80"/>
      <c r="BS643" s="80"/>
      <c r="BT643" s="80"/>
      <c r="BU643" s="80"/>
      <c r="BV643" s="80"/>
      <c r="BW643" s="80"/>
      <c r="BX643" s="80" t="str">
        <f>IFERROR(__xludf.DUMMYFUNCTION("""COMPUTED_VALUE"""),"KKMP")</f>
        <v>KKMP</v>
      </c>
      <c r="BY643" s="80"/>
      <c r="BZ643" s="80"/>
      <c r="CA643" s="80"/>
      <c r="CB643" s="80"/>
      <c r="CC643" s="80"/>
      <c r="CD643" s="80"/>
      <c r="CE643" s="80"/>
      <c r="CF643" s="80"/>
      <c r="CG643" s="80"/>
      <c r="CH643" s="80"/>
      <c r="CI643" s="80"/>
      <c r="CJ643" s="80"/>
      <c r="CK643" s="2"/>
    </row>
    <row r="644" ht="12.75" customHeight="1">
      <c r="A644" s="85">
        <f>IFERROR(__xludf.DUMMYFUNCTION("""COMPUTED_VALUE"""),641.0)</f>
        <v>641</v>
      </c>
      <c r="B644" s="85"/>
      <c r="C644" s="85"/>
      <c r="D644" s="86">
        <f>IFERROR(__xludf.DUMMYFUNCTION("""COMPUTED_VALUE"""),45908.0)</f>
        <v>45908</v>
      </c>
      <c r="E644" s="88"/>
      <c r="F644" s="85"/>
      <c r="G644" s="86">
        <f>IFERROR(__xludf.DUMMYFUNCTION("""COMPUTED_VALUE"""),45915.0)</f>
        <v>45915</v>
      </c>
      <c r="H644" s="85"/>
      <c r="I644" s="85"/>
      <c r="J644" s="85"/>
      <c r="K644" s="85"/>
      <c r="L644" s="85">
        <f>IFERROR(__xludf.DUMMYFUNCTION("""COMPUTED_VALUE"""),7.0)</f>
        <v>7</v>
      </c>
      <c r="M644" s="85" t="str">
        <f>IFERROR(__xludf.DUMMYFUNCTION("""COMPUTED_VALUE"""),"ü")</f>
        <v>ü</v>
      </c>
      <c r="N644" s="85"/>
      <c r="O644" s="85"/>
      <c r="P644" s="85" t="str">
        <f>IFERROR(__xludf.DUMMYFUNCTION("""COMPUTED_VALUE"""),"MUCSPA63249PSIND")</f>
        <v>MUCSPA63249PSIND</v>
      </c>
      <c r="Q644" s="85" t="str">
        <f>IFERROR(__xludf.DUMMYFUNCTION("""COMPUTED_VALUE"""),"MUC GERAI AISYAH EXPRESS")</f>
        <v>MUC GERAI AISYAH EXPRESS</v>
      </c>
      <c r="R644" s="85" t="str">
        <f>IFERROR(__xludf.DUMMYFUNCTION("""COMPUTED_VALUE"""),"MUC GERAI AISYAH EXPRESS")</f>
        <v>MUC GERAI AISYAH EXPRESS</v>
      </c>
      <c r="S644" s="85" t="str">
        <f>IFERROR(__xludf.DUMMYFUNCTION("""COMPUTED_VALUE"""),"SUMIARSIH INDARTI")</f>
        <v>SUMIARSIH INDARTI</v>
      </c>
      <c r="T644" s="85" t="str">
        <f>IFERROR(__xludf.DUMMYFUNCTION("""COMPUTED_VALUE"""),"JL. SAWO NO.54 RT.007 RW.007, CIPADU, LARANGAN, KOTA TANGERANG")</f>
        <v>JL. SAWO NO.54 RT.007 RW.007, CIPADU, LARANGAN, KOTA TANGERANG</v>
      </c>
      <c r="U644" s="85" t="str">
        <f>IFERROR(__xludf.DUMMYFUNCTION("""COMPUTED_VALUE"""),"Jl. Amd No.15, RT.001/RW.009")</f>
        <v>Jl. Amd No.15, RT.001/RW.009</v>
      </c>
      <c r="V644" s="85"/>
      <c r="W644" s="85" t="str">
        <f>IFERROR(__xludf.DUMMYFUNCTION("""COMPUTED_VALUE"""),"Gaga")</f>
        <v>Gaga</v>
      </c>
      <c r="X644" s="85" t="str">
        <f>IFERROR(__xludf.DUMMYFUNCTION("""COMPUTED_VALUE"""),"Larangan")</f>
        <v>Larangan</v>
      </c>
      <c r="Y644" s="85" t="str">
        <f>IFERROR(__xludf.DUMMYFUNCTION("""COMPUTED_VALUE"""),"Kota Tangerang")</f>
        <v>Kota Tangerang</v>
      </c>
      <c r="Z644" s="85" t="str">
        <f>IFERROR(__xludf.DUMMYFUNCTION("""COMPUTED_VALUE"""),"Banten")</f>
        <v>Banten</v>
      </c>
      <c r="AA644" s="85" t="str">
        <f>IFERROR(__xludf.DUMMYFUNCTION("""COMPUTED_VALUE"""),"15154")</f>
        <v>15154</v>
      </c>
      <c r="AB644" s="85" t="str">
        <f>IFERROR(__xludf.DUMMYFUNCTION("""COMPUTED_VALUE"""),"3671134310680001")</f>
        <v>3671134310680001</v>
      </c>
      <c r="AC644" s="85" t="str">
        <f>IFERROR(__xludf.DUMMYFUNCTION("""COMPUTED_VALUE"""),"3671 1343 1068 0001")</f>
        <v>3671 1343 1068 0001</v>
      </c>
      <c r="AD644" s="85" t="str">
        <f>IFERROR(__xludf.DUMMYFUNCTION("""COMPUTED_VALUE"""),"CUM - PS - DWIH")</f>
        <v>CUM - PS - DWIH</v>
      </c>
      <c r="AE644" s="85" t="str">
        <f>IFERROR(__xludf.DUMMYFUNCTION("""COMPUTED_VALUE"""),"SUB DWI HARTANTO POS")</f>
        <v>SUB DWI HARTANTO POS</v>
      </c>
      <c r="AF644" s="85" t="str">
        <f>IFERROR(__xludf.DUMMYFUNCTION("""COMPUTED_VALUE"""),"085871924377")</f>
        <v>085871924377</v>
      </c>
      <c r="AG644" s="85"/>
      <c r="AH644" s="85" t="str">
        <f>IFERROR(__xludf.DUMMYFUNCTION("""COMPUTED_VALUE"""),"muhamadsyahrudin007@gmail.com")</f>
        <v>muhamadsyahrudin007@gmail.com</v>
      </c>
      <c r="AI644" s="85" t="str">
        <f>IFERROR(__xludf.DUMMYFUNCTION("""COMPUTED_VALUE"""),"15154S7")</f>
        <v>15154S7</v>
      </c>
      <c r="AJ644" s="85" t="str">
        <f>IFERROR(__xludf.DUMMYFUNCTION("""COMPUTED_VALUE"""),"68c570f6d08f7870c204f5fe")</f>
        <v>68c570f6d08f7870c204f5fe</v>
      </c>
      <c r="AK644" s="85" t="str">
        <f>IFERROR(__xludf.DUMMYFUNCTION("""COMPUTED_VALUE"""),"dm15154s7")</f>
        <v>dm15154s7</v>
      </c>
      <c r="AL644" s="85" t="str">
        <f>IFERROR(__xludf.DUMMYFUNCTION("""COMPUTED_VALUE"""),"#15154Pos")</f>
        <v>#15154Pos</v>
      </c>
      <c r="AM644" s="85" t="str">
        <f>IFERROR(__xludf.DUMMYFUNCTION("""COMPUTED_VALUE"""),"KANTOR REGIONAL II JAKARTA 10004")</f>
        <v>KANTOR REGIONAL II JAKARTA 10004</v>
      </c>
      <c r="AN644" s="85" t="str">
        <f>IFERROR(__xludf.DUMMYFUNCTION("""COMPUTED_VALUE"""),"KCU TANGERANG 15000")</f>
        <v>KCU TANGERANG 15000</v>
      </c>
      <c r="AO644" s="85" t="str">
        <f>IFERROR(__xludf.DUMMYFUNCTION("""COMPUTED_VALUE"""),"0309250168656")</f>
        <v>0309250168656</v>
      </c>
      <c r="AP644" s="85" t="str">
        <f>IFERROR(__xludf.DUMMYFUNCTION("""COMPUTED_VALUE"""),"03092501686560001")</f>
        <v>03092501686560001</v>
      </c>
      <c r="AQ644" s="93"/>
      <c r="AR644" s="85"/>
      <c r="AS644" s="85"/>
      <c r="AT644" s="85" t="str">
        <f>IFERROR(__xludf.DUMMYFUNCTION("""COMPUTED_VALUE"""),"-6.239881")</f>
        <v>-6.239881</v>
      </c>
      <c r="AU644" s="85" t="str">
        <f>IFERROR(__xludf.DUMMYFUNCTION("""COMPUTED_VALUE"""),"106.728689")</f>
        <v>106.728689</v>
      </c>
      <c r="AV644" s="85"/>
      <c r="AW644" s="85"/>
      <c r="AX644" s="85"/>
      <c r="AY644" s="85"/>
      <c r="AZ644" s="85"/>
      <c r="BA644" s="85"/>
      <c r="BB644" s="85"/>
      <c r="BC644" s="85"/>
      <c r="BD644" s="85"/>
      <c r="BE644" s="85"/>
      <c r="BF644" s="85"/>
      <c r="BG644" s="85"/>
      <c r="BH644" s="85"/>
      <c r="BI644" s="85"/>
      <c r="BJ644" s="85"/>
      <c r="BK644" s="85"/>
      <c r="BL644" s="85"/>
      <c r="BM644" s="85"/>
      <c r="BN644" s="85"/>
      <c r="BO644" s="85"/>
      <c r="BP644" s="85"/>
      <c r="BQ644" s="85"/>
      <c r="BR644" s="85"/>
      <c r="BS644" s="85"/>
      <c r="BT644" s="85"/>
      <c r="BU644" s="85"/>
      <c r="BV644" s="85"/>
      <c r="BW644" s="85"/>
      <c r="BX644" s="85" t="str">
        <f>IFERROR(__xludf.DUMMYFUNCTION("""COMPUTED_VALUE"""),"NEWBIE BRILINK")</f>
        <v>NEWBIE BRILINK</v>
      </c>
      <c r="BY644" s="85"/>
      <c r="BZ644" s="85"/>
      <c r="CA644" s="85"/>
      <c r="CB644" s="85"/>
      <c r="CC644" s="85"/>
      <c r="CD644" s="85"/>
      <c r="CE644" s="85"/>
      <c r="CF644" s="85"/>
      <c r="CG644" s="85"/>
      <c r="CH644" s="85"/>
      <c r="CI644" s="85"/>
      <c r="CJ644" s="85"/>
      <c r="CK644" s="2"/>
    </row>
    <row r="645" ht="12.75" customHeight="1">
      <c r="A645" s="80">
        <f>IFERROR(__xludf.DUMMYFUNCTION("""COMPUTED_VALUE"""),642.0)</f>
        <v>642</v>
      </c>
      <c r="B645" s="80"/>
      <c r="C645" s="80"/>
      <c r="D645" s="81">
        <f>IFERROR(__xludf.DUMMYFUNCTION("""COMPUTED_VALUE"""),45909.0)</f>
        <v>45909</v>
      </c>
      <c r="E645" s="82"/>
      <c r="F645" s="80"/>
      <c r="G645" s="81">
        <f>IFERROR(__xludf.DUMMYFUNCTION("""COMPUTED_VALUE"""),45929.0)</f>
        <v>45929</v>
      </c>
      <c r="H645" s="80"/>
      <c r="I645" s="80"/>
      <c r="J645" s="80"/>
      <c r="K645" s="80"/>
      <c r="L645" s="80">
        <f>IFERROR(__xludf.DUMMYFUNCTION("""COMPUTED_VALUE"""),20.0)</f>
        <v>20</v>
      </c>
      <c r="M645" s="80" t="str">
        <f>IFERROR(__xludf.DUMMYFUNCTION("""COMPUTED_VALUE"""),"ü")</f>
        <v>ü</v>
      </c>
      <c r="N645" s="80"/>
      <c r="O645" s="80"/>
      <c r="P645" s="80" t="str">
        <f>IFERROR(__xludf.DUMMYFUNCTION("""COMPUTED_VALUE"""),"MUCSPA63250PSIND")</f>
        <v>MUCSPA63250PSIND</v>
      </c>
      <c r="Q645" s="80" t="str">
        <f>IFERROR(__xludf.DUMMYFUNCTION("""COMPUTED_VALUE"""),"MUC BJ INDO TRANS")</f>
        <v>MUC BJ INDO TRANS</v>
      </c>
      <c r="R645" s="80" t="str">
        <f>IFERROR(__xludf.DUMMYFUNCTION("""COMPUTED_VALUE"""),"MUC BJ INDO TRANS")</f>
        <v>MUC BJ INDO TRANS</v>
      </c>
      <c r="S645" s="80" t="str">
        <f>IFERROR(__xludf.DUMMYFUNCTION("""COMPUTED_VALUE"""),"SAFRIZAL")</f>
        <v>SAFRIZAL</v>
      </c>
      <c r="T645" s="80" t="str">
        <f>IFERROR(__xludf.DUMMYFUNCTION("""COMPUTED_VALUE"""),"DUSUN BANGAU, BLANG OI, MEURAXA, KOTA BANDA ACEH")</f>
        <v>DUSUN BANGAU, BLANG OI, MEURAXA, KOTA BANDA ACEH</v>
      </c>
      <c r="U645" s="80" t="str">
        <f>IFERROR(__xludf.DUMMYFUNCTION("""COMPUTED_VALUE"""),"Jl. Soekarno - Hatta No.7a")</f>
        <v>Jl. Soekarno - Hatta No.7a</v>
      </c>
      <c r="V645" s="80"/>
      <c r="W645" s="80" t="str">
        <f>IFERROR(__xludf.DUMMYFUNCTION("""COMPUTED_VALUE"""),"Mibo")</f>
        <v>Mibo</v>
      </c>
      <c r="X645" s="80" t="str">
        <f>IFERROR(__xludf.DUMMYFUNCTION("""COMPUTED_VALUE"""),"Banda Raya")</f>
        <v>Banda Raya</v>
      </c>
      <c r="Y645" s="80" t="str">
        <f>IFERROR(__xludf.DUMMYFUNCTION("""COMPUTED_VALUE"""),"Kota Banda Aceh")</f>
        <v>Kota Banda Aceh</v>
      </c>
      <c r="Z645" s="80" t="str">
        <f>IFERROR(__xludf.DUMMYFUNCTION("""COMPUTED_VALUE"""),"Aceh")</f>
        <v>Aceh</v>
      </c>
      <c r="AA645" s="80" t="str">
        <f>IFERROR(__xludf.DUMMYFUNCTION("""COMPUTED_VALUE"""),"23238")</f>
        <v>23238</v>
      </c>
      <c r="AB645" s="80" t="str">
        <f>IFERROR(__xludf.DUMMYFUNCTION("""COMPUTED_VALUE"""),"1171010808700005")</f>
        <v>1171010808700005</v>
      </c>
      <c r="AC645" s="80" t="str">
        <f>IFERROR(__xludf.DUMMYFUNCTION("""COMPUTED_VALUE"""),"81.957.897.5-101.000")</f>
        <v>81.957.897.5-101.000</v>
      </c>
      <c r="AD645" s="80" t="str">
        <f>IFERROR(__xludf.DUMMYFUNCTION("""COMPUTED_VALUE"""),"BU NOVI KC BANDA ACEH")</f>
        <v>BU NOVI KC BANDA ACEH</v>
      </c>
      <c r="AE645" s="80" t="str">
        <f>IFERROR(__xludf.DUMMYFUNCTION("""COMPUTED_VALUE"""),"BU NOVI KC BANDA ACEH")</f>
        <v>BU NOVI KC BANDA ACEH</v>
      </c>
      <c r="AF645" s="80" t="str">
        <f>IFERROR(__xludf.DUMMYFUNCTION("""COMPUTED_VALUE"""),"085360065665")</f>
        <v>085360065665</v>
      </c>
      <c r="AG645" s="80"/>
      <c r="AH645" s="80" t="str">
        <f>IFERROR(__xludf.DUMMYFUNCTION("""COMPUTED_VALUE"""),"khatamikhatami84@gmail.com")</f>
        <v>khatamikhatami84@gmail.com</v>
      </c>
      <c r="AI645" s="80" t="str">
        <f>IFERROR(__xludf.DUMMYFUNCTION("""COMPUTED_VALUE"""),"23238S1")</f>
        <v>23238S1</v>
      </c>
      <c r="AJ645" s="80" t="str">
        <f>IFERROR(__xludf.DUMMYFUNCTION("""COMPUTED_VALUE"""),"68d7e632c5305799f30fc5e3")</f>
        <v>68d7e632c5305799f30fc5e3</v>
      </c>
      <c r="AK645" s="80" t="str">
        <f>IFERROR(__xludf.DUMMYFUNCTION("""COMPUTED_VALUE"""),"dm23238s1")</f>
        <v>dm23238s1</v>
      </c>
      <c r="AL645" s="80" t="str">
        <f>IFERROR(__xludf.DUMMYFUNCTION("""COMPUTED_VALUE"""),"#23238Pos")</f>
        <v>#23238Pos</v>
      </c>
      <c r="AM645" s="80" t="str">
        <f>IFERROR(__xludf.DUMMYFUNCTION("""COMPUTED_VALUE"""),"KANTOR REGIONAL I MEDAN 20004")</f>
        <v>KANTOR REGIONAL I MEDAN 20004</v>
      </c>
      <c r="AN645" s="80" t="str">
        <f>IFERROR(__xludf.DUMMYFUNCTION("""COMPUTED_VALUE"""),"KCU BANDAACEH")</f>
        <v>KCU BANDAACEH</v>
      </c>
      <c r="AO645" s="80" t="str">
        <f>IFERROR(__xludf.DUMMYFUNCTION("""COMPUTED_VALUE"""),"0809250050897")</f>
        <v>0809250050897</v>
      </c>
      <c r="AP645" s="80" t="str">
        <f>IFERROR(__xludf.DUMMYFUNCTION("""COMPUTED_VALUE"""),"08092500508970001")</f>
        <v>08092500508970001</v>
      </c>
      <c r="AQ645" s="83"/>
      <c r="AR645" s="80"/>
      <c r="AS645" s="80"/>
      <c r="AT645" s="80" t="str">
        <f>IFERROR(__xludf.DUMMYFUNCTION("""COMPUTED_VALUE"""),"5.51832")</f>
        <v>5.51832</v>
      </c>
      <c r="AU645" s="80" t="str">
        <f>IFERROR(__xludf.DUMMYFUNCTION("""COMPUTED_VALUE"""),"95.314375")</f>
        <v>95.314375</v>
      </c>
      <c r="AV645" s="80"/>
      <c r="AW645" s="80"/>
      <c r="AX645" s="80"/>
      <c r="AY645" s="80"/>
      <c r="AZ645" s="80"/>
      <c r="BA645" s="80"/>
      <c r="BB645" s="80"/>
      <c r="BC645" s="80"/>
      <c r="BD645" s="80"/>
      <c r="BE645" s="80"/>
      <c r="BF645" s="80"/>
      <c r="BG645" s="80"/>
      <c r="BH645" s="80"/>
      <c r="BI645" s="80"/>
      <c r="BJ645" s="80"/>
      <c r="BK645" s="80"/>
      <c r="BL645" s="80"/>
      <c r="BM645" s="80"/>
      <c r="BN645" s="80"/>
      <c r="BO645" s="80"/>
      <c r="BP645" s="80"/>
      <c r="BQ645" s="80"/>
      <c r="BR645" s="80"/>
      <c r="BS645" s="80"/>
      <c r="BT645" s="80"/>
      <c r="BU645" s="80"/>
      <c r="BV645" s="80"/>
      <c r="BW645" s="80"/>
      <c r="BX645" s="80" t="str">
        <f>IFERROR(__xludf.DUMMYFUNCTION("""COMPUTED_VALUE"""),"MULTIKURIR - LION PARCEL")</f>
        <v>MULTIKURIR - LION PARCEL</v>
      </c>
      <c r="BY645" s="80"/>
      <c r="BZ645" s="80"/>
      <c r="CA645" s="80"/>
      <c r="CB645" s="80"/>
      <c r="CC645" s="80"/>
      <c r="CD645" s="80"/>
      <c r="CE645" s="80"/>
      <c r="CF645" s="80"/>
      <c r="CG645" s="80"/>
      <c r="CH645" s="80"/>
      <c r="CI645" s="80"/>
      <c r="CJ645" s="80"/>
      <c r="CK645" s="2"/>
    </row>
    <row r="646" ht="12.75" customHeight="1">
      <c r="A646" s="85">
        <f>IFERROR(__xludf.DUMMYFUNCTION("""COMPUTED_VALUE"""),643.0)</f>
        <v>643</v>
      </c>
      <c r="B646" s="85"/>
      <c r="C646" s="85"/>
      <c r="D646" s="86">
        <f>IFERROR(__xludf.DUMMYFUNCTION("""COMPUTED_VALUE"""),45910.0)</f>
        <v>45910</v>
      </c>
      <c r="E646" s="88"/>
      <c r="F646" s="85"/>
      <c r="G646" s="86">
        <f>IFERROR(__xludf.DUMMYFUNCTION("""COMPUTED_VALUE"""),45918.0)</f>
        <v>45918</v>
      </c>
      <c r="H646" s="85"/>
      <c r="I646" s="85"/>
      <c r="J646" s="85"/>
      <c r="K646" s="85"/>
      <c r="L646" s="85">
        <f>IFERROR(__xludf.DUMMYFUNCTION("""COMPUTED_VALUE"""),8.0)</f>
        <v>8</v>
      </c>
      <c r="M646" s="85"/>
      <c r="N646" s="85" t="str">
        <f>IFERROR(__xludf.DUMMYFUNCTION("""COMPUTED_VALUE"""),"ü")</f>
        <v>ü</v>
      </c>
      <c r="O646" s="85"/>
      <c r="P646" s="85" t="str">
        <f>IFERROR(__xludf.DUMMYFUNCTION("""COMPUTED_VALUE"""),"MLO5500049CUMPOS")</f>
        <v>MLO5500049CUMPOS</v>
      </c>
      <c r="Q646" s="85" t="str">
        <f>IFERROR(__xludf.DUMMYFUNCTION("""COMPUTED_VALUE"""),"MUC LIBRA STORE")</f>
        <v>MUC LIBRA STORE</v>
      </c>
      <c r="R646" s="85" t="str">
        <f>IFERROR(__xludf.DUMMYFUNCTION("""COMPUTED_VALUE"""),"MUC LIBRA STORE")</f>
        <v>MUC LIBRA STORE</v>
      </c>
      <c r="S646" s="85" t="str">
        <f>IFERROR(__xludf.DUMMYFUNCTION("""COMPUTED_VALUE"""),"WARSIM")</f>
        <v>WARSIM</v>
      </c>
      <c r="T646" s="85" t="str">
        <f>IFERROR(__xludf.DUMMYFUNCTION("""COMPUTED_VALUE"""),"BLOK MANIS RT.001 RW.002, HULUBANTENG, PABUARAN, KAB. CIREBON")</f>
        <v>BLOK MANIS RT.001 RW.002, HULUBANTENG, PABUARAN, KAB. CIREBON</v>
      </c>
      <c r="U646" s="85" t="str">
        <f>IFERROR(__xludf.DUMMYFUNCTION("""COMPUTED_VALUE"""),"MERTAPADA WETAN")</f>
        <v>MERTAPADA WETAN</v>
      </c>
      <c r="V646" s="85"/>
      <c r="W646" s="85" t="str">
        <f>IFERROR(__xludf.DUMMYFUNCTION("""COMPUTED_VALUE"""),"Mertapada Wetan")</f>
        <v>Mertapada Wetan</v>
      </c>
      <c r="X646" s="85" t="str">
        <f>IFERROR(__xludf.DUMMYFUNCTION("""COMPUTED_VALUE"""),"Astanajapura")</f>
        <v>Astanajapura</v>
      </c>
      <c r="Y646" s="85" t="str">
        <f>IFERROR(__xludf.DUMMYFUNCTION("""COMPUTED_VALUE"""),"Kab. Cirebon")</f>
        <v>Kab. Cirebon</v>
      </c>
      <c r="Z646" s="85" t="str">
        <f>IFERROR(__xludf.DUMMYFUNCTION("""COMPUTED_VALUE"""),"Jawa Barat")</f>
        <v>Jawa Barat</v>
      </c>
      <c r="AA646" s="85" t="str">
        <f>IFERROR(__xludf.DUMMYFUNCTION("""COMPUTED_VALUE"""),"45181")</f>
        <v>45181</v>
      </c>
      <c r="AB646" s="85" t="str">
        <f>IFERROR(__xludf.DUMMYFUNCTION("""COMPUTED_VALUE"""),"3209020404790009")</f>
        <v>3209020404790009</v>
      </c>
      <c r="AC646" s="85" t="str">
        <f>IFERROR(__xludf.DUMMYFUNCTION("""COMPUTED_VALUE"""),"3209 0204 0379 0009")</f>
        <v>3209 0204 0379 0009</v>
      </c>
      <c r="AD646" s="85" t="str">
        <f>IFERROR(__xludf.DUMMYFUNCTION("""COMPUTED_VALUE"""),"CUM - PS - JHR")</f>
        <v>CUM - PS - JHR</v>
      </c>
      <c r="AE646" s="85" t="str">
        <f>IFERROR(__xludf.DUMMYFUNCTION("""COMPUTED_VALUE"""),"SUB JOHAN POS")</f>
        <v>SUB JOHAN POS</v>
      </c>
      <c r="AF646" s="85" t="str">
        <f>IFERROR(__xludf.DUMMYFUNCTION("""COMPUTED_VALUE"""),"081221353889")</f>
        <v>081221353889</v>
      </c>
      <c r="AG646" s="85"/>
      <c r="AH646" s="85" t="str">
        <f>IFERROR(__xludf.DUMMYFUNCTION("""COMPUTED_VALUE"""),"tatysugiharty1@gmail.com")</f>
        <v>tatysugiharty1@gmail.com</v>
      </c>
      <c r="AI646" s="85" t="str">
        <f>IFERROR(__xludf.DUMMYFUNCTION("""COMPUTED_VALUE"""),"45681S1")</f>
        <v>45681S1</v>
      </c>
      <c r="AJ646" s="85" t="str">
        <f>IFERROR(__xludf.DUMMYFUNCTION("""COMPUTED_VALUE"""),"68cb51812c72ad3e530d006c")</f>
        <v>68cb51812c72ad3e530d006c</v>
      </c>
      <c r="AK646" s="85" t="str">
        <f>IFERROR(__xludf.DUMMYFUNCTION("""COMPUTED_VALUE"""),"dm45681s1")</f>
        <v>dm45681s1</v>
      </c>
      <c r="AL646" s="85" t="str">
        <f>IFERROR(__xludf.DUMMYFUNCTION("""COMPUTED_VALUE"""),"#45681Pos")</f>
        <v>#45681Pos</v>
      </c>
      <c r="AM646" s="85" t="str">
        <f>IFERROR(__xludf.DUMMYFUNCTION("""COMPUTED_VALUE"""),"KANTOR REGIONAL III BANDUNG 40004")</f>
        <v>KANTOR REGIONAL III BANDUNG 40004</v>
      </c>
      <c r="AN646" s="85" t="str">
        <f>IFERROR(__xludf.DUMMYFUNCTION("""COMPUTED_VALUE"""),"KCU CIREBON 45100")</f>
        <v>KCU CIREBON 45100</v>
      </c>
      <c r="AO646" s="85" t="str">
        <f>IFERROR(__xludf.DUMMYFUNCTION("""COMPUTED_VALUE"""),"1009250023684")</f>
        <v>1009250023684</v>
      </c>
      <c r="AP646" s="85" t="str">
        <f>IFERROR(__xludf.DUMMYFUNCTION("""COMPUTED_VALUE"""),"10092500236840001")</f>
        <v>10092500236840001</v>
      </c>
      <c r="AQ646" s="93"/>
      <c r="AR646" s="85"/>
      <c r="AS646" s="85"/>
      <c r="AT646" s="85" t="str">
        <f>IFERROR(__xludf.DUMMYFUNCTION("""COMPUTED_VALUE"""),"-6.813199")</f>
        <v>-6.813199</v>
      </c>
      <c r="AU646" s="85" t="str">
        <f>IFERROR(__xludf.DUMMYFUNCTION("""COMPUTED_VALUE"""),"108.6150445")</f>
        <v>108.6150445</v>
      </c>
      <c r="AV646" s="85"/>
      <c r="AW646" s="85"/>
      <c r="AX646" s="85"/>
      <c r="AY646" s="85"/>
      <c r="AZ646" s="85"/>
      <c r="BA646" s="85"/>
      <c r="BB646" s="85"/>
      <c r="BC646" s="85"/>
      <c r="BD646" s="85"/>
      <c r="BE646" s="85"/>
      <c r="BF646" s="85"/>
      <c r="BG646" s="85"/>
      <c r="BH646" s="85"/>
      <c r="BI646" s="85"/>
      <c r="BJ646" s="85"/>
      <c r="BK646" s="85"/>
      <c r="BL646" s="85"/>
      <c r="BM646" s="85"/>
      <c r="BN646" s="85"/>
      <c r="BO646" s="85"/>
      <c r="BP646" s="85"/>
      <c r="BQ646" s="85"/>
      <c r="BR646" s="85"/>
      <c r="BS646" s="85"/>
      <c r="BT646" s="85"/>
      <c r="BU646" s="85"/>
      <c r="BV646" s="85"/>
      <c r="BW646" s="85"/>
      <c r="BX646" s="85" t="str">
        <f>IFERROR(__xludf.DUMMYFUNCTION("""COMPUTED_VALUE"""),"SELLER")</f>
        <v>SELLER</v>
      </c>
      <c r="BY646" s="85"/>
      <c r="BZ646" s="85"/>
      <c r="CA646" s="85"/>
      <c r="CB646" s="85"/>
      <c r="CC646" s="85"/>
      <c r="CD646" s="85"/>
      <c r="CE646" s="85"/>
      <c r="CF646" s="85"/>
      <c r="CG646" s="85"/>
      <c r="CH646" s="85"/>
      <c r="CI646" s="85"/>
      <c r="CJ646" s="85"/>
      <c r="CK646" s="2"/>
    </row>
    <row r="647" ht="12.75" customHeight="1">
      <c r="A647" s="80">
        <f>IFERROR(__xludf.DUMMYFUNCTION("""COMPUTED_VALUE"""),644.0)</f>
        <v>644</v>
      </c>
      <c r="B647" s="80"/>
      <c r="C647" s="80"/>
      <c r="D647" s="81">
        <f>IFERROR(__xludf.DUMMYFUNCTION("""COMPUTED_VALUE"""),45910.0)</f>
        <v>45910</v>
      </c>
      <c r="E647" s="82"/>
      <c r="F647" s="80"/>
      <c r="G647" s="81">
        <f>IFERROR(__xludf.DUMMYFUNCTION("""COMPUTED_VALUE"""),45930.0)</f>
        <v>45930</v>
      </c>
      <c r="H647" s="80"/>
      <c r="I647" s="80"/>
      <c r="J647" s="80"/>
      <c r="K647" s="80"/>
      <c r="L647" s="80">
        <f>IFERROR(__xludf.DUMMYFUNCTION("""COMPUTED_VALUE"""),20.0)</f>
        <v>20</v>
      </c>
      <c r="M647" s="80" t="str">
        <f>IFERROR(__xludf.DUMMYFUNCTION("""COMPUTED_VALUE"""),"ü")</f>
        <v>ü</v>
      </c>
      <c r="N647" s="80"/>
      <c r="O647" s="80"/>
      <c r="P647" s="80" t="str">
        <f>IFERROR(__xludf.DUMMYFUNCTION("""COMPUTED_VALUE"""),"MUCSPA63251PSIND")</f>
        <v>MUCSPA63251PSIND</v>
      </c>
      <c r="Q647" s="80" t="str">
        <f>IFERROR(__xludf.DUMMYFUNCTION("""COMPUTED_VALUE"""),"MUC FAIZ")</f>
        <v>MUC FAIZ</v>
      </c>
      <c r="R647" s="80" t="str">
        <f>IFERROR(__xludf.DUMMYFUNCTION("""COMPUTED_VALUE"""),"MUC FAIZ")</f>
        <v>MUC FAIZ</v>
      </c>
      <c r="S647" s="80" t="str">
        <f>IFERROR(__xludf.DUMMYFUNCTION("""COMPUTED_VALUE"""),"FAISAL ADHA")</f>
        <v>FAISAL ADHA</v>
      </c>
      <c r="T647" s="80" t="str">
        <f>IFERROR(__xludf.DUMMYFUNCTION("""COMPUTED_VALUE"""),"JLN. PURNA DUSUN III, HINAI KANAN, HINAI, KAB. LANGKAT, SUMATERA UTARA")</f>
        <v>JLN. PURNA DUSUN III, HINAI KANAN, HINAI, KAB. LANGKAT, SUMATERA UTARA</v>
      </c>
      <c r="U647" s="80" t="str">
        <f>IFERROR(__xludf.DUMMYFUNCTION("""COMPUTED_VALUE"""),"JLN. PURNA DUSUN III")</f>
        <v>JLN. PURNA DUSUN III</v>
      </c>
      <c r="V647" s="80"/>
      <c r="W647" s="80" t="str">
        <f>IFERROR(__xludf.DUMMYFUNCTION("""COMPUTED_VALUE"""),"Hinai Kanan")</f>
        <v>Hinai Kanan</v>
      </c>
      <c r="X647" s="80" t="str">
        <f>IFERROR(__xludf.DUMMYFUNCTION("""COMPUTED_VALUE"""),"Hinai")</f>
        <v>Hinai</v>
      </c>
      <c r="Y647" s="80" t="str">
        <f>IFERROR(__xludf.DUMMYFUNCTION("""COMPUTED_VALUE"""),"Kab. Langkat")</f>
        <v>Kab. Langkat</v>
      </c>
      <c r="Z647" s="80" t="str">
        <f>IFERROR(__xludf.DUMMYFUNCTION("""COMPUTED_VALUE"""),"Sumatera Utara")</f>
        <v>Sumatera Utara</v>
      </c>
      <c r="AA647" s="80" t="str">
        <f>IFERROR(__xludf.DUMMYFUNCTION("""COMPUTED_VALUE"""),"20854")</f>
        <v>20854</v>
      </c>
      <c r="AB647" s="80" t="str">
        <f>IFERROR(__xludf.DUMMYFUNCTION("""COMPUTED_VALUE"""),"1205101101940007")</f>
        <v>1205101101940007</v>
      </c>
      <c r="AC647" s="80" t="str">
        <f>IFERROR(__xludf.DUMMYFUNCTION("""COMPUTED_VALUE"""),"94.306.401.4-119.000")</f>
        <v>94.306.401.4-119.000</v>
      </c>
      <c r="AD647" s="80" t="str">
        <f>IFERROR(__xludf.DUMMYFUNCTION("""COMPUTED_VALUE"""),"CUM - PS - ARFI")</f>
        <v>CUM - PS - ARFI</v>
      </c>
      <c r="AE647" s="80" t="str">
        <f>IFERROR(__xludf.DUMMYFUNCTION("""COMPUTED_VALUE"""),"SUB ARIEF POS")</f>
        <v>SUB ARIEF POS</v>
      </c>
      <c r="AF647" s="80" t="str">
        <f>IFERROR(__xludf.DUMMYFUNCTION("""COMPUTED_VALUE"""),"081260684622")</f>
        <v>081260684622</v>
      </c>
      <c r="AG647" s="80"/>
      <c r="AH647" s="80" t="str">
        <f>IFERROR(__xludf.DUMMYFUNCTION("""COMPUTED_VALUE"""),"samsumterbaru558@gmail.com")</f>
        <v>samsumterbaru558@gmail.com</v>
      </c>
      <c r="AI647" s="80" t="str">
        <f>IFERROR(__xludf.DUMMYFUNCTION("""COMPUTED_VALUE"""),"20854S1")</f>
        <v>20854S1</v>
      </c>
      <c r="AJ647" s="80" t="str">
        <f>IFERROR(__xludf.DUMMYFUNCTION("""COMPUTED_VALUE"""),"68db8309afade22f550ce0f7")</f>
        <v>68db8309afade22f550ce0f7</v>
      </c>
      <c r="AK647" s="80" t="str">
        <f>IFERROR(__xludf.DUMMYFUNCTION("""COMPUTED_VALUE"""),"dm20854s1")</f>
        <v>dm20854s1</v>
      </c>
      <c r="AL647" s="80" t="str">
        <f>IFERROR(__xludf.DUMMYFUNCTION("""COMPUTED_VALUE"""),"#20854Pos")</f>
        <v>#20854Pos</v>
      </c>
      <c r="AM647" s="80" t="str">
        <f>IFERROR(__xludf.DUMMYFUNCTION("""COMPUTED_VALUE"""),"KANTOR REGIONAL I MEDAN 20004")</f>
        <v>KANTOR REGIONAL I MEDAN 20004</v>
      </c>
      <c r="AN647" s="80" t="str">
        <f>IFERROR(__xludf.DUMMYFUNCTION("""COMPUTED_VALUE"""),"KC BINJAI")</f>
        <v>KC BINJAI</v>
      </c>
      <c r="AO647" s="80" t="str">
        <f>IFERROR(__xludf.DUMMYFUNCTION("""COMPUTED_VALUE"""),"1009250073408")</f>
        <v>1009250073408</v>
      </c>
      <c r="AP647" s="80" t="str">
        <f>IFERROR(__xludf.DUMMYFUNCTION("""COMPUTED_VALUE"""),"10092500734080001")</f>
        <v>10092500734080001</v>
      </c>
      <c r="AQ647" s="83"/>
      <c r="AR647" s="80"/>
      <c r="AS647" s="80"/>
      <c r="AT647" s="80" t="str">
        <f>IFERROR(__xludf.DUMMYFUNCTION("""COMPUTED_VALUE"""),"3.828565")</f>
        <v>3.828565</v>
      </c>
      <c r="AU647" s="80" t="str">
        <f>IFERROR(__xludf.DUMMYFUNCTION("""COMPUTED_VALUE"""),"98.455792")</f>
        <v>98.455792</v>
      </c>
      <c r="AV647" s="80"/>
      <c r="AW647" s="80"/>
      <c r="AX647" s="80"/>
      <c r="AY647" s="80"/>
      <c r="AZ647" s="80"/>
      <c r="BA647" s="80"/>
      <c r="BB647" s="80"/>
      <c r="BC647" s="80"/>
      <c r="BD647" s="80"/>
      <c r="BE647" s="80"/>
      <c r="BF647" s="80"/>
      <c r="BG647" s="80"/>
      <c r="BH647" s="80"/>
      <c r="BI647" s="80"/>
      <c r="BJ647" s="80"/>
      <c r="BK647" s="80"/>
      <c r="BL647" s="80"/>
      <c r="BM647" s="80"/>
      <c r="BN647" s="80"/>
      <c r="BO647" s="80"/>
      <c r="BP647" s="80"/>
      <c r="BQ647" s="80"/>
      <c r="BR647" s="80"/>
      <c r="BS647" s="80"/>
      <c r="BT647" s="80"/>
      <c r="BU647" s="80"/>
      <c r="BV647" s="80"/>
      <c r="BW647" s="80"/>
      <c r="BX647" s="80" t="str">
        <f>IFERROR(__xludf.DUMMYFUNCTION("""COMPUTED_VALUE"""),"NEWBIE")</f>
        <v>NEWBIE</v>
      </c>
      <c r="BY647" s="80"/>
      <c r="BZ647" s="80"/>
      <c r="CA647" s="80"/>
      <c r="CB647" s="80"/>
      <c r="CC647" s="80"/>
      <c r="CD647" s="80"/>
      <c r="CE647" s="80"/>
      <c r="CF647" s="80"/>
      <c r="CG647" s="80"/>
      <c r="CH647" s="80"/>
      <c r="CI647" s="80"/>
      <c r="CJ647" s="80"/>
      <c r="CK647" s="2"/>
    </row>
    <row r="648" ht="12.75" customHeight="1">
      <c r="A648" s="85">
        <f>IFERROR(__xludf.DUMMYFUNCTION("""COMPUTED_VALUE"""),645.0)</f>
        <v>645</v>
      </c>
      <c r="B648" s="85"/>
      <c r="C648" s="85"/>
      <c r="D648" s="86">
        <f>IFERROR(__xludf.DUMMYFUNCTION("""COMPUTED_VALUE"""),45911.0)</f>
        <v>45911</v>
      </c>
      <c r="E648" s="88"/>
      <c r="F648" s="85"/>
      <c r="G648" s="86">
        <f>IFERROR(__xludf.DUMMYFUNCTION("""COMPUTED_VALUE"""),45915.0)</f>
        <v>45915</v>
      </c>
      <c r="H648" s="85"/>
      <c r="I648" s="85"/>
      <c r="J648" s="85"/>
      <c r="K648" s="85"/>
      <c r="L648" s="85">
        <f>IFERROR(__xludf.DUMMYFUNCTION("""COMPUTED_VALUE"""),4.0)</f>
        <v>4</v>
      </c>
      <c r="M648" s="85" t="str">
        <f>IFERROR(__xludf.DUMMYFUNCTION("""COMPUTED_VALUE"""),"ü")</f>
        <v>ü</v>
      </c>
      <c r="N648" s="85"/>
      <c r="O648" s="85"/>
      <c r="P648" s="85" t="str">
        <f>IFERROR(__xludf.DUMMYFUNCTION("""COMPUTED_VALUE"""),"53BSPA09668JBEEN")</f>
        <v>53BSPA09668JBEEN</v>
      </c>
      <c r="Q648" s="85" t="str">
        <f>IFERROR(__xludf.DUMMYFUNCTION("""COMPUTED_VALUE"""),"MUC KAMPUNG SAWAH")</f>
        <v>MUC KAMPUNG SAWAH</v>
      </c>
      <c r="R648" s="85" t="str">
        <f>IFERROR(__xludf.DUMMYFUNCTION("""COMPUTED_VALUE"""),"MUC KAMPUNG SAWAH")</f>
        <v>MUC KAMPUNG SAWAH</v>
      </c>
      <c r="S648" s="85" t="str">
        <f>IFERROR(__xludf.DUMMYFUNCTION("""COMPUTED_VALUE"""),"BAMBANG DJATMIKO HASTANTO")</f>
        <v>BAMBANG DJATMIKO HASTANTO</v>
      </c>
      <c r="T648" s="85" t="str">
        <f>IFERROR(__xludf.DUMMYFUNCTION("""COMPUTED_VALUE"""),"GRAHA TAMAN KEBAYORAN JL. CIBULAN II B.14 RT.002 RW.013, SETIAMEKAR, TAMBUN SELATAN, KAB. BEKASI")</f>
        <v>GRAHA TAMAN KEBAYORAN JL. CIBULAN II B.14 RT.002 RW.013, SETIAMEKAR, TAMBUN SELATAN, KAB. BEKASI</v>
      </c>
      <c r="U648" s="85" t="str">
        <f>IFERROR(__xludf.DUMMYFUNCTION("""COMPUTED_VALUE"""),"Jl. Raya Kp. Sawah RT.005 RW.002")</f>
        <v>Jl. Raya Kp. Sawah RT.005 RW.002</v>
      </c>
      <c r="V648" s="85"/>
      <c r="W648" s="85" t="str">
        <f>IFERROR(__xludf.DUMMYFUNCTION("""COMPUTED_VALUE"""),"Jatimelati")</f>
        <v>Jatimelati</v>
      </c>
      <c r="X648" s="85" t="str">
        <f>IFERROR(__xludf.DUMMYFUNCTION("""COMPUTED_VALUE"""),"Pondokmelati")</f>
        <v>Pondokmelati</v>
      </c>
      <c r="Y648" s="85" t="str">
        <f>IFERROR(__xludf.DUMMYFUNCTION("""COMPUTED_VALUE"""),"Bekasi")</f>
        <v>Bekasi</v>
      </c>
      <c r="Z648" s="85" t="str">
        <f>IFERROR(__xludf.DUMMYFUNCTION("""COMPUTED_VALUE"""),"Jawa Barat")</f>
        <v>Jawa Barat</v>
      </c>
      <c r="AA648" s="85" t="str">
        <f>IFERROR(__xludf.DUMMYFUNCTION("""COMPUTED_VALUE"""),"17415")</f>
        <v>17415</v>
      </c>
      <c r="AB648" s="85" t="str">
        <f>IFERROR(__xludf.DUMMYFUNCTION("""COMPUTED_VALUE"""),"3216063009670010")</f>
        <v>3216063009670010</v>
      </c>
      <c r="AC648" s="85" t="str">
        <f>IFERROR(__xludf.DUMMYFUNCTION("""COMPUTED_VALUE"""),"24.283.220.2-435.000")</f>
        <v>24.283.220.2-435.000</v>
      </c>
      <c r="AD648" s="85" t="str">
        <f>IFERROR(__xludf.DUMMYFUNCTION("""COMPUTED_VALUE"""),"CUM - EEN")</f>
        <v>CUM - EEN</v>
      </c>
      <c r="AE648" s="85" t="str">
        <f>IFERROR(__xludf.DUMMYFUNCTION("""COMPUTED_VALUE"""),"SUB EEN")</f>
        <v>SUB EEN</v>
      </c>
      <c r="AF648" s="85" t="str">
        <f>IFERROR(__xludf.DUMMYFUNCTION("""COMPUTED_VALUE"""),"08113933003")</f>
        <v>08113933003</v>
      </c>
      <c r="AG648" s="85"/>
      <c r="AH648" s="85" t="str">
        <f>IFERROR(__xludf.DUMMYFUNCTION("""COMPUTED_VALUE"""),"bhastanto@gmail.com")</f>
        <v>bhastanto@gmail.com</v>
      </c>
      <c r="AI648" s="85" t="str">
        <f>IFERROR(__xludf.DUMMYFUNCTION("""COMPUTED_VALUE"""),"17446S1")</f>
        <v>17446S1</v>
      </c>
      <c r="AJ648" s="85" t="str">
        <f>IFERROR(__xludf.DUMMYFUNCTION("""COMPUTED_VALUE"""),"68c7cec67a29e7469b0e3efc")</f>
        <v>68c7cec67a29e7469b0e3efc</v>
      </c>
      <c r="AK648" s="85" t="str">
        <f>IFERROR(__xludf.DUMMYFUNCTION("""COMPUTED_VALUE"""),"dm17446s1")</f>
        <v>dm17446s1</v>
      </c>
      <c r="AL648" s="85" t="str">
        <f>IFERROR(__xludf.DUMMYFUNCTION("""COMPUTED_VALUE"""),"#17446Pos")</f>
        <v>#17446Pos</v>
      </c>
      <c r="AM648" s="85" t="str">
        <f>IFERROR(__xludf.DUMMYFUNCTION("""COMPUTED_VALUE"""),"KANTOR REGIONAL II JAKARTA 10004")</f>
        <v>KANTOR REGIONAL II JAKARTA 10004</v>
      </c>
      <c r="AN648" s="85" t="str">
        <f>IFERROR(__xludf.DUMMYFUNCTION("""COMPUTED_VALUE"""),"KCU BEKASI 17000")</f>
        <v>KCU BEKASI 17000</v>
      </c>
      <c r="AO648" s="85" t="str">
        <f>IFERROR(__xludf.DUMMYFUNCTION("""COMPUTED_VALUE"""),"1109250016983")</f>
        <v>1109250016983</v>
      </c>
      <c r="AP648" s="85" t="str">
        <f>IFERROR(__xludf.DUMMYFUNCTION("""COMPUTED_VALUE"""),"11092500169830001")</f>
        <v>11092500169830001</v>
      </c>
      <c r="AQ648" s="93"/>
      <c r="AR648" s="85"/>
      <c r="AS648" s="85"/>
      <c r="AT648" s="85" t="str">
        <f>IFERROR(__xludf.DUMMYFUNCTION("""COMPUTED_VALUE"""),"-6.3205512")</f>
        <v>-6.3205512</v>
      </c>
      <c r="AU648" s="85" t="str">
        <f>IFERROR(__xludf.DUMMYFUNCTION("""COMPUTED_VALUE"""),"106.9368188")</f>
        <v>106.9368188</v>
      </c>
      <c r="AV648" s="85"/>
      <c r="AW648" s="85"/>
      <c r="AX648" s="85"/>
      <c r="AY648" s="85"/>
      <c r="AZ648" s="85"/>
      <c r="BA648" s="85"/>
      <c r="BB648" s="85"/>
      <c r="BC648" s="85"/>
      <c r="BD648" s="85"/>
      <c r="BE648" s="85"/>
      <c r="BF648" s="85"/>
      <c r="BG648" s="85"/>
      <c r="BH648" s="85"/>
      <c r="BI648" s="85"/>
      <c r="BJ648" s="85"/>
      <c r="BK648" s="85"/>
      <c r="BL648" s="85"/>
      <c r="BM648" s="85"/>
      <c r="BN648" s="85"/>
      <c r="BO648" s="85"/>
      <c r="BP648" s="85"/>
      <c r="BQ648" s="85"/>
      <c r="BR648" s="85"/>
      <c r="BS648" s="85"/>
      <c r="BT648" s="85"/>
      <c r="BU648" s="85"/>
      <c r="BV648" s="85"/>
      <c r="BW648" s="85"/>
      <c r="BX648" s="85" t="str">
        <f>IFERROR(__xludf.DUMMYFUNCTION("""COMPUTED_VALUE"""),"MULTIKURIR - LION PARCEL")</f>
        <v>MULTIKURIR - LION PARCEL</v>
      </c>
      <c r="BY648" s="85"/>
      <c r="BZ648" s="85"/>
      <c r="CA648" s="85"/>
      <c r="CB648" s="85"/>
      <c r="CC648" s="85"/>
      <c r="CD648" s="85"/>
      <c r="CE648" s="85"/>
      <c r="CF648" s="85"/>
      <c r="CG648" s="85"/>
      <c r="CH648" s="85"/>
      <c r="CI648" s="85"/>
      <c r="CJ648" s="85"/>
      <c r="CK648" s="2"/>
    </row>
    <row r="649" ht="12.75" customHeight="1">
      <c r="A649" s="80">
        <f>IFERROR(__xludf.DUMMYFUNCTION("""COMPUTED_VALUE"""),646.0)</f>
        <v>646</v>
      </c>
      <c r="B649" s="80"/>
      <c r="C649" s="80"/>
      <c r="D649" s="81">
        <f>IFERROR(__xludf.DUMMYFUNCTION("""COMPUTED_VALUE"""),45911.0)</f>
        <v>45911</v>
      </c>
      <c r="E649" s="82"/>
      <c r="F649" s="80"/>
      <c r="G649" s="81">
        <f>IFERROR(__xludf.DUMMYFUNCTION("""COMPUTED_VALUE"""),45924.0)</f>
        <v>45924</v>
      </c>
      <c r="H649" s="80"/>
      <c r="I649" s="80"/>
      <c r="J649" s="80"/>
      <c r="K649" s="80"/>
      <c r="L649" s="80">
        <f>IFERROR(__xludf.DUMMYFUNCTION("""COMPUTED_VALUE"""),13.0)</f>
        <v>13</v>
      </c>
      <c r="M649" s="80" t="str">
        <f>IFERROR(__xludf.DUMMYFUNCTION("""COMPUTED_VALUE"""),"ü")</f>
        <v>ü</v>
      </c>
      <c r="N649" s="80"/>
      <c r="O649" s="80"/>
      <c r="P649" s="80" t="str">
        <f>IFERROR(__xludf.DUMMYFUNCTION("""COMPUTED_VALUE"""),"MUCSPA63252PSIND")</f>
        <v>MUCSPA63252PSIND</v>
      </c>
      <c r="Q649" s="80" t="str">
        <f>IFERROR(__xludf.DUMMYFUNCTION("""COMPUTED_VALUE"""),"MUC FAMILY EXPRESS LOGISTIK")</f>
        <v>MUC FAMILY EXPRESS LOGISTIK</v>
      </c>
      <c r="R649" s="80" t="str">
        <f>IFERROR(__xludf.DUMMYFUNCTION("""COMPUTED_VALUE"""),"MUC FAMILY EXPRESS LOGISTIK")</f>
        <v>MUC FAMILY EXPRESS LOGISTIK</v>
      </c>
      <c r="S649" s="80" t="str">
        <f>IFERROR(__xludf.DUMMYFUNCTION("""COMPUTED_VALUE"""),"SULKANI")</f>
        <v>SULKANI</v>
      </c>
      <c r="T649" s="80" t="str">
        <f>IFERROR(__xludf.DUMMYFUNCTION("""COMPUTED_VALUE"""),"PERUM HASANAH VILAGE A1 RT.002 RW.013, PANCORAN MAS, PANCORAN MAS, KOTA DEPOK")</f>
        <v>PERUM HASANAH VILAGE A1 RT.002 RW.013, PANCORAN MAS, PANCORAN MAS, KOTA DEPOK</v>
      </c>
      <c r="U649" s="80" t="str">
        <f>IFERROR(__xludf.DUMMYFUNCTION("""COMPUTED_VALUE"""),"Jalan Masjid Jami Darul Fallah RT 2 RW 13 ")</f>
        <v>Jalan Masjid Jami Darul Fallah RT 2 RW 13 </v>
      </c>
      <c r="V649" s="80"/>
      <c r="W649" s="80" t="str">
        <f>IFERROR(__xludf.DUMMYFUNCTION("""COMPUTED_VALUE"""),"Pancoran Mas")</f>
        <v>Pancoran Mas</v>
      </c>
      <c r="X649" s="80" t="str">
        <f>IFERROR(__xludf.DUMMYFUNCTION("""COMPUTED_VALUE"""),"Pancoran Mas")</f>
        <v>Pancoran Mas</v>
      </c>
      <c r="Y649" s="80" t="str">
        <f>IFERROR(__xludf.DUMMYFUNCTION("""COMPUTED_VALUE"""),"Kota Depok")</f>
        <v>Kota Depok</v>
      </c>
      <c r="Z649" s="80" t="str">
        <f>IFERROR(__xludf.DUMMYFUNCTION("""COMPUTED_VALUE"""),"Jawa Barat")</f>
        <v>Jawa Barat</v>
      </c>
      <c r="AA649" s="80" t="str">
        <f>IFERROR(__xludf.DUMMYFUNCTION("""COMPUTED_VALUE"""),"16436")</f>
        <v>16436</v>
      </c>
      <c r="AB649" s="80" t="str">
        <f>IFERROR(__xludf.DUMMYFUNCTION("""COMPUTED_VALUE"""),"3201371007710003")</f>
        <v>3201371007710003</v>
      </c>
      <c r="AC649" s="80" t="str">
        <f>IFERROR(__xludf.DUMMYFUNCTION("""COMPUTED_VALUE"""),"49.097.940.8-403.000")</f>
        <v>49.097.940.8-403.000</v>
      </c>
      <c r="AD649" s="80" t="str">
        <f>IFERROR(__xludf.DUMMYFUNCTION("""COMPUTED_VALUE"""),"CUM - PS - HPR")</f>
        <v>CUM - PS - HPR</v>
      </c>
      <c r="AE649" s="80" t="str">
        <f>IFERROR(__xludf.DUMMYFUNCTION("""COMPUTED_VALUE"""),"SUB HADI POS")</f>
        <v>SUB HADI POS</v>
      </c>
      <c r="AF649" s="80" t="str">
        <f>IFERROR(__xludf.DUMMYFUNCTION("""COMPUTED_VALUE"""),"08121825375")</f>
        <v>08121825375</v>
      </c>
      <c r="AG649" s="80"/>
      <c r="AH649" s="80" t="str">
        <f>IFERROR(__xludf.DUMMYFUNCTION("""COMPUTED_VALUE"""),"rohaniutet@gmail.com")</f>
        <v>rohaniutet@gmail.com</v>
      </c>
      <c r="AI649" s="80" t="str">
        <f>IFERROR(__xludf.DUMMYFUNCTION("""COMPUTED_VALUE"""),"16436S6")</f>
        <v>16436S6</v>
      </c>
      <c r="AJ649" s="80" t="str">
        <f>IFERROR(__xludf.DUMMYFUNCTION("""COMPUTED_VALUE"""),"68d239431de4a606120b5d58")</f>
        <v>68d239431de4a606120b5d58</v>
      </c>
      <c r="AK649" s="80" t="str">
        <f>IFERROR(__xludf.DUMMYFUNCTION("""COMPUTED_VALUE"""),"dm16436s6")</f>
        <v>dm16436s6</v>
      </c>
      <c r="AL649" s="80" t="str">
        <f>IFERROR(__xludf.DUMMYFUNCTION("""COMPUTED_VALUE"""),"#16436Pos")</f>
        <v>#16436Pos</v>
      </c>
      <c r="AM649" s="80" t="str">
        <f>IFERROR(__xludf.DUMMYFUNCTION("""COMPUTED_VALUE"""),"KANTOR REGIONAL II JAKARTA 10004")</f>
        <v>KANTOR REGIONAL II JAKARTA 10004</v>
      </c>
      <c r="AN649" s="80" t="str">
        <f>IFERROR(__xludf.DUMMYFUNCTION("""COMPUTED_VALUE"""),"KC DEPOK 16400")</f>
        <v>KC DEPOK 16400</v>
      </c>
      <c r="AO649" s="80" t="str">
        <f>IFERROR(__xludf.DUMMYFUNCTION("""COMPUTED_VALUE"""),"1109250115305")</f>
        <v>1109250115305</v>
      </c>
      <c r="AP649" s="80" t="str">
        <f>IFERROR(__xludf.DUMMYFUNCTION("""COMPUTED_VALUE"""),"11092501153050001")</f>
        <v>11092501153050001</v>
      </c>
      <c r="AQ649" s="83"/>
      <c r="AR649" s="80"/>
      <c r="AS649" s="80"/>
      <c r="AT649" s="80" t="str">
        <f>IFERROR(__xludf.DUMMYFUNCTION("""COMPUTED_VALUE"""),"-6.4003234")</f>
        <v>-6.4003234</v>
      </c>
      <c r="AU649" s="80" t="str">
        <f>IFERROR(__xludf.DUMMYFUNCTION("""COMPUTED_VALUE"""),"106.7993901")</f>
        <v>106.7993901</v>
      </c>
      <c r="AV649" s="80"/>
      <c r="AW649" s="80"/>
      <c r="AX649" s="80"/>
      <c r="AY649" s="80"/>
      <c r="AZ649" s="80"/>
      <c r="BA649" s="80"/>
      <c r="BB649" s="80"/>
      <c r="BC649" s="80"/>
      <c r="BD649" s="80"/>
      <c r="BE649" s="80"/>
      <c r="BF649" s="80"/>
      <c r="BG649" s="80"/>
      <c r="BH649" s="80"/>
      <c r="BI649" s="80"/>
      <c r="BJ649" s="80"/>
      <c r="BK649" s="80"/>
      <c r="BL649" s="80"/>
      <c r="BM649" s="80"/>
      <c r="BN649" s="80"/>
      <c r="BO649" s="80"/>
      <c r="BP649" s="80"/>
      <c r="BQ649" s="80"/>
      <c r="BR649" s="80"/>
      <c r="BS649" s="80"/>
      <c r="BT649" s="80"/>
      <c r="BU649" s="80"/>
      <c r="BV649" s="80"/>
      <c r="BW649" s="80"/>
      <c r="BX649" s="80" t="str">
        <f>IFERROR(__xludf.DUMMYFUNCTION("""COMPUTED_VALUE"""),"NEWBIE")</f>
        <v>NEWBIE</v>
      </c>
      <c r="BY649" s="80"/>
      <c r="BZ649" s="80"/>
      <c r="CA649" s="80"/>
      <c r="CB649" s="80"/>
      <c r="CC649" s="80"/>
      <c r="CD649" s="80"/>
      <c r="CE649" s="80"/>
      <c r="CF649" s="80"/>
      <c r="CG649" s="80"/>
      <c r="CH649" s="80"/>
      <c r="CI649" s="80"/>
      <c r="CJ649" s="80"/>
      <c r="CK649" s="2"/>
    </row>
    <row r="650" ht="12.75" customHeight="1">
      <c r="A650" s="85">
        <f>IFERROR(__xludf.DUMMYFUNCTION("""COMPUTED_VALUE"""),647.0)</f>
        <v>647</v>
      </c>
      <c r="B650" s="85"/>
      <c r="C650" s="85"/>
      <c r="D650" s="86">
        <f>IFERROR(__xludf.DUMMYFUNCTION("""COMPUTED_VALUE"""),45912.0)</f>
        <v>45912</v>
      </c>
      <c r="E650" s="88"/>
      <c r="F650" s="85"/>
      <c r="G650" s="86">
        <f>IFERROR(__xludf.DUMMYFUNCTION("""COMPUTED_VALUE"""),45915.0)</f>
        <v>45915</v>
      </c>
      <c r="H650" s="85"/>
      <c r="I650" s="85"/>
      <c r="J650" s="85"/>
      <c r="K650" s="85"/>
      <c r="L650" s="85">
        <f>IFERROR(__xludf.DUMMYFUNCTION("""COMPUTED_VALUE"""),3.0)</f>
        <v>3</v>
      </c>
      <c r="M650" s="85"/>
      <c r="N650" s="85" t="str">
        <f>IFERROR(__xludf.DUMMYFUNCTION("""COMPUTED_VALUE"""),"ü")</f>
        <v>ü</v>
      </c>
      <c r="O650" s="85"/>
      <c r="P650" s="85" t="str">
        <f>IFERROR(__xludf.DUMMYFUNCTION("""COMPUTED_VALUE"""),"MUCSPA63253PSIND")</f>
        <v>MUCSPA63253PSIND</v>
      </c>
      <c r="Q650" s="85" t="str">
        <f>IFERROR(__xludf.DUMMYFUNCTION("""COMPUTED_VALUE"""),"MUC NGUTER RAYA")</f>
        <v>MUC NGUTER RAYA</v>
      </c>
      <c r="R650" s="85" t="str">
        <f>IFERROR(__xludf.DUMMYFUNCTION("""COMPUTED_VALUE"""),"MUC NGUTER RAYA")</f>
        <v>MUC NGUTER RAYA</v>
      </c>
      <c r="S650" s="85" t="str">
        <f>IFERROR(__xludf.DUMMYFUNCTION("""COMPUTED_VALUE"""),"Rizky Yanuar")</f>
        <v>Rizky Yanuar</v>
      </c>
      <c r="T650" s="85" t="str">
        <f>IFERROR(__xludf.DUMMYFUNCTION("""COMPUTED_VALUE"""),"Nguter, RT01/RW07, NGUTER SUKOHARJO")</f>
        <v>Nguter, RT01/RW07, NGUTER SUKOHARJO</v>
      </c>
      <c r="U650" s="85" t="str">
        <f>IFERROR(__xludf.DUMMYFUNCTION("""COMPUTED_VALUE"""),"NGUTER, RT01/RW07")</f>
        <v>NGUTER, RT01/RW07</v>
      </c>
      <c r="V650" s="85"/>
      <c r="W650" s="85" t="str">
        <f>IFERROR(__xludf.DUMMYFUNCTION("""COMPUTED_VALUE"""),"NGUTER")</f>
        <v>NGUTER</v>
      </c>
      <c r="X650" s="85" t="str">
        <f>IFERROR(__xludf.DUMMYFUNCTION("""COMPUTED_VALUE"""),"NGUTER")</f>
        <v>NGUTER</v>
      </c>
      <c r="Y650" s="85" t="str">
        <f>IFERROR(__xludf.DUMMYFUNCTION("""COMPUTED_VALUE"""),"SUKOHARJO")</f>
        <v>SUKOHARJO</v>
      </c>
      <c r="Z650" s="85" t="str">
        <f>IFERROR(__xludf.DUMMYFUNCTION("""COMPUTED_VALUE"""),"JAWA TENGAH")</f>
        <v>JAWA TENGAH</v>
      </c>
      <c r="AA650" s="85" t="str">
        <f>IFERROR(__xludf.DUMMYFUNCTION("""COMPUTED_VALUE"""),"57571")</f>
        <v>57571</v>
      </c>
      <c r="AB650" s="85" t="str">
        <f>IFERROR(__xludf.DUMMYFUNCTION("""COMPUTED_VALUE"""),"3314040801900005")</f>
        <v>3314040801900005</v>
      </c>
      <c r="AC650" s="85" t="str">
        <f>IFERROR(__xludf.DUMMYFUNCTION("""COMPUTED_VALUE"""),"42.660.428.6-532.000")</f>
        <v>42.660.428.6-532.000</v>
      </c>
      <c r="AD650" s="85" t="str">
        <f>IFERROR(__xludf.DUMMYFUNCTION("""COMPUTED_VALUE"""),"BU SEPTI SUKOHARJO")</f>
        <v>BU SEPTI SUKOHARJO</v>
      </c>
      <c r="AE650" s="85" t="str">
        <f>IFERROR(__xludf.DUMMYFUNCTION("""COMPUTED_VALUE"""),"BU SEPTI SUKOHARJO")</f>
        <v>BU SEPTI SUKOHARJO</v>
      </c>
      <c r="AF650" s="85" t="str">
        <f>IFERROR(__xludf.DUMMYFUNCTION("""COMPUTED_VALUE"""),"081393701007")</f>
        <v>081393701007</v>
      </c>
      <c r="AG650" s="85"/>
      <c r="AH650" s="85" t="str">
        <f>IFERROR(__xludf.DUMMYFUNCTION("""COMPUTED_VALUE"""),"Rizkyyanuar337@gmail.com")</f>
        <v>Rizkyyanuar337@gmail.com</v>
      </c>
      <c r="AI650" s="85" t="str">
        <f>IFERROR(__xludf.DUMMYFUNCTION("""COMPUTED_VALUE"""),"57571S3")</f>
        <v>57571S3</v>
      </c>
      <c r="AJ650" s="85" t="str">
        <f>IFERROR(__xludf.DUMMYFUNCTION("""COMPUTED_VALUE"""),"68c7d918b47973423b02a13f")</f>
        <v>68c7d918b47973423b02a13f</v>
      </c>
      <c r="AK650" s="85" t="str">
        <f>IFERROR(__xludf.DUMMYFUNCTION("""COMPUTED_VALUE"""),"dm57571s3")</f>
        <v>dm57571s3</v>
      </c>
      <c r="AL650" s="85" t="str">
        <f>IFERROR(__xludf.DUMMYFUNCTION("""COMPUTED_VALUE"""),"#57571Pos")</f>
        <v>#57571Pos</v>
      </c>
      <c r="AM650" s="85" t="str">
        <f>IFERROR(__xludf.DUMMYFUNCTION("""COMPUTED_VALUE"""),"KANTOR REGIONAL IV SEMARANG 50004")</f>
        <v>KANTOR REGIONAL IV SEMARANG 50004</v>
      </c>
      <c r="AN650" s="85" t="str">
        <f>IFERROR(__xludf.DUMMYFUNCTION("""COMPUTED_VALUE"""),"KC SUKOHARJO")</f>
        <v>KC SUKOHARJO</v>
      </c>
      <c r="AO650" s="85" t="str">
        <f>IFERROR(__xludf.DUMMYFUNCTION("""COMPUTED_VALUE"""),"1009250042358")</f>
        <v>1009250042358</v>
      </c>
      <c r="AP650" s="85" t="str">
        <f>IFERROR(__xludf.DUMMYFUNCTION("""COMPUTED_VALUE"""),"10092500423580002")</f>
        <v>10092500423580002</v>
      </c>
      <c r="AQ650" s="93"/>
      <c r="AR650" s="85"/>
      <c r="AS650" s="85"/>
      <c r="AT650" s="85" t="str">
        <f>IFERROR(__xludf.DUMMYFUNCTION("""COMPUTED_VALUE"""),"-7.745386")</f>
        <v>-7.745386</v>
      </c>
      <c r="AU650" s="85" t="str">
        <f>IFERROR(__xludf.DUMMYFUNCTION("""COMPUTED_VALUE"""),"110.875922")</f>
        <v>110.875922</v>
      </c>
      <c r="AV650" s="85"/>
      <c r="AW650" s="85"/>
      <c r="AX650" s="85"/>
      <c r="AY650" s="85"/>
      <c r="AZ650" s="85"/>
      <c r="BA650" s="85"/>
      <c r="BB650" s="85"/>
      <c r="BC650" s="85"/>
      <c r="BD650" s="85"/>
      <c r="BE650" s="85"/>
      <c r="BF650" s="85"/>
      <c r="BG650" s="85"/>
      <c r="BH650" s="85"/>
      <c r="BI650" s="85"/>
      <c r="BJ650" s="85"/>
      <c r="BK650" s="85"/>
      <c r="BL650" s="85"/>
      <c r="BM650" s="85"/>
      <c r="BN650" s="85"/>
      <c r="BO650" s="85"/>
      <c r="BP650" s="85"/>
      <c r="BQ650" s="85"/>
      <c r="BR650" s="85"/>
      <c r="BS650" s="85"/>
      <c r="BT650" s="85"/>
      <c r="BU650" s="85"/>
      <c r="BV650" s="85"/>
      <c r="BW650" s="85"/>
      <c r="BX650" s="85" t="str">
        <f>IFERROR(__xludf.DUMMYFUNCTION("""COMPUTED_VALUE"""),"MULTIKURIR - LION PARCEL")</f>
        <v>MULTIKURIR - LION PARCEL</v>
      </c>
      <c r="BY650" s="85"/>
      <c r="BZ650" s="85"/>
      <c r="CA650" s="85"/>
      <c r="CB650" s="85"/>
      <c r="CC650" s="85"/>
      <c r="CD650" s="85"/>
      <c r="CE650" s="85"/>
      <c r="CF650" s="85"/>
      <c r="CG650" s="85"/>
      <c r="CH650" s="85"/>
      <c r="CI650" s="85"/>
      <c r="CJ650" s="85"/>
      <c r="CK650" s="2"/>
    </row>
    <row r="651" ht="12.75" customHeight="1">
      <c r="A651" s="80">
        <f>IFERROR(__xludf.DUMMYFUNCTION("""COMPUTED_VALUE"""),648.0)</f>
        <v>648</v>
      </c>
      <c r="B651" s="80"/>
      <c r="C651" s="80"/>
      <c r="D651" s="81">
        <f>IFERROR(__xludf.DUMMYFUNCTION("""COMPUTED_VALUE"""),45912.0)</f>
        <v>45912</v>
      </c>
      <c r="E651" s="82"/>
      <c r="F651" s="80"/>
      <c r="G651" s="81">
        <f>IFERROR(__xludf.DUMMYFUNCTION("""COMPUTED_VALUE"""),45924.0)</f>
        <v>45924</v>
      </c>
      <c r="H651" s="80"/>
      <c r="I651" s="80"/>
      <c r="J651" s="80"/>
      <c r="K651" s="80"/>
      <c r="L651" s="80">
        <f>IFERROR(__xludf.DUMMYFUNCTION("""COMPUTED_VALUE"""),12.0)</f>
        <v>12</v>
      </c>
      <c r="M651" s="80" t="str">
        <f>IFERROR(__xludf.DUMMYFUNCTION("""COMPUTED_VALUE"""),"ü")</f>
        <v>ü</v>
      </c>
      <c r="N651" s="80"/>
      <c r="O651" s="80"/>
      <c r="P651" s="80" t="str">
        <f>IFERROR(__xludf.DUMMYFUNCTION("""COMPUTED_VALUE"""),"MUCSPA63254PSIND")</f>
        <v>MUCSPA63254PSIND</v>
      </c>
      <c r="Q651" s="80" t="str">
        <f>IFERROR(__xludf.DUMMYFUNCTION("""COMPUTED_VALUE"""),"MUC PABRIKREATIF")</f>
        <v>MUC PABRIKREATIF</v>
      </c>
      <c r="R651" s="80" t="str">
        <f>IFERROR(__xludf.DUMMYFUNCTION("""COMPUTED_VALUE"""),"MUC PABRIKREATIF")</f>
        <v>MUC PABRIKREATIF</v>
      </c>
      <c r="S651" s="80" t="str">
        <f>IFERROR(__xludf.DUMMYFUNCTION("""COMPUTED_VALUE"""),"MUHAMMAD CHUSNUL HANA")</f>
        <v>MUHAMMAD CHUSNUL HANA</v>
      </c>
      <c r="T651" s="80" t="str">
        <f>IFERROR(__xludf.DUMMYFUNCTION("""COMPUTED_VALUE"""),"NGEMPLAK RT.003 RW.002, NGEMPLAK, UNDAAN, KAB. KUDUS")</f>
        <v>NGEMPLAK RT.003 RW.002, NGEMPLAK, UNDAAN, KAB. KUDUS</v>
      </c>
      <c r="U651" s="80" t="str">
        <f>IFERROR(__xludf.DUMMYFUNCTION("""COMPUTED_VALUE"""),"Jl Kudus - Purwodadi KM6 Desa Ngemplak RT 3 RW 2")</f>
        <v>Jl Kudus - Purwodadi KM6 Desa Ngemplak RT 3 RW 2</v>
      </c>
      <c r="V651" s="80"/>
      <c r="W651" s="80" t="str">
        <f>IFERROR(__xludf.DUMMYFUNCTION("""COMPUTED_VALUE"""),"Ngemplak")</f>
        <v>Ngemplak</v>
      </c>
      <c r="X651" s="80" t="str">
        <f>IFERROR(__xludf.DUMMYFUNCTION("""COMPUTED_VALUE"""),"Undaan")</f>
        <v>Undaan</v>
      </c>
      <c r="Y651" s="80" t="str">
        <f>IFERROR(__xludf.DUMMYFUNCTION("""COMPUTED_VALUE"""),"Kab. Kudus")</f>
        <v>Kab. Kudus</v>
      </c>
      <c r="Z651" s="80" t="str">
        <f>IFERROR(__xludf.DUMMYFUNCTION("""COMPUTED_VALUE"""),"Jawa Tengah")</f>
        <v>Jawa Tengah</v>
      </c>
      <c r="AA651" s="80" t="str">
        <f>IFERROR(__xludf.DUMMYFUNCTION("""COMPUTED_VALUE"""),"29372")</f>
        <v>29372</v>
      </c>
      <c r="AB651" s="80" t="str">
        <f>IFERROR(__xludf.DUMMYFUNCTION("""COMPUTED_VALUE"""),"3319040405920004")</f>
        <v>3319040405920004</v>
      </c>
      <c r="AC651" s="80" t="str">
        <f>IFERROR(__xludf.DUMMYFUNCTION("""COMPUTED_VALUE"""),"85.824.756.2-506.000")</f>
        <v>85.824.756.2-506.000</v>
      </c>
      <c r="AD651" s="80" t="str">
        <f>IFERROR(__xludf.DUMMYFUNCTION("""COMPUTED_VALUE"""),"CUM - PS - ARGA")</f>
        <v>CUM - PS - ARGA</v>
      </c>
      <c r="AE651" s="80" t="str">
        <f>IFERROR(__xludf.DUMMYFUNCTION("""COMPUTED_VALUE"""),"PAK ARGA KC KUDUS")</f>
        <v>PAK ARGA KC KUDUS</v>
      </c>
      <c r="AF651" s="80" t="str">
        <f>IFERROR(__xludf.DUMMYFUNCTION("""COMPUTED_VALUE"""),"085640404077")</f>
        <v>085640404077</v>
      </c>
      <c r="AG651" s="80"/>
      <c r="AH651" s="80" t="str">
        <f>IFERROR(__xludf.DUMMYFUNCTION("""COMPUTED_VALUE"""),"pabrikreatif@gmail.com")</f>
        <v>pabrikreatif@gmail.com</v>
      </c>
      <c r="AI651" s="80" t="str">
        <f>IFERROR(__xludf.DUMMYFUNCTION("""COMPUTED_VALUE"""),"59372S3")</f>
        <v>59372S3</v>
      </c>
      <c r="AJ651" s="80" t="str">
        <f>IFERROR(__xludf.DUMMYFUNCTION("""COMPUTED_VALUE"""),"68d3b2e85a6ce5952d09f238")</f>
        <v>68d3b2e85a6ce5952d09f238</v>
      </c>
      <c r="AK651" s="80" t="str">
        <f>IFERROR(__xludf.DUMMYFUNCTION("""COMPUTED_VALUE"""),"dm59372s3")</f>
        <v>dm59372s3</v>
      </c>
      <c r="AL651" s="80" t="str">
        <f>IFERROR(__xludf.DUMMYFUNCTION("""COMPUTED_VALUE"""),"#59372Pos")</f>
        <v>#59372Pos</v>
      </c>
      <c r="AM651" s="80" t="str">
        <f>IFERROR(__xludf.DUMMYFUNCTION("""COMPUTED_VALUE"""),"KANTOR REGIONAL IV SEMARANG 50004")</f>
        <v>KANTOR REGIONAL IV SEMARANG 50004</v>
      </c>
      <c r="AN651" s="80" t="str">
        <f>IFERROR(__xludf.DUMMYFUNCTION("""COMPUTED_VALUE"""),"KC KUDUS")</f>
        <v>KC KUDUS</v>
      </c>
      <c r="AO651" s="80" t="str">
        <f>IFERROR(__xludf.DUMMYFUNCTION("""COMPUTED_VALUE"""),"0110220018717")</f>
        <v>0110220018717</v>
      </c>
      <c r="AP651" s="80" t="str">
        <f>IFERROR(__xludf.DUMMYFUNCTION("""COMPUTED_VALUE"""),"01102200187170001")</f>
        <v>01102200187170001</v>
      </c>
      <c r="AQ651" s="83"/>
      <c r="AR651" s="80"/>
      <c r="AS651" s="80"/>
      <c r="AT651" s="80" t="str">
        <f>IFERROR(__xludf.DUMMYFUNCTION("""COMPUTED_VALUE"""),"-6.857835")</f>
        <v>-6.857835</v>
      </c>
      <c r="AU651" s="80" t="str">
        <f>IFERROR(__xludf.DUMMYFUNCTION("""COMPUTED_VALUE"""),"110.834150")</f>
        <v>110.834150</v>
      </c>
      <c r="AV651" s="80"/>
      <c r="AW651" s="80"/>
      <c r="AX651" s="80"/>
      <c r="AY651" s="80"/>
      <c r="AZ651" s="80"/>
      <c r="BA651" s="80"/>
      <c r="BB651" s="80"/>
      <c r="BC651" s="80"/>
      <c r="BD651" s="80"/>
      <c r="BE651" s="80"/>
      <c r="BF651" s="80"/>
      <c r="BG651" s="80"/>
      <c r="BH651" s="80"/>
      <c r="BI651" s="80"/>
      <c r="BJ651" s="80"/>
      <c r="BK651" s="80"/>
      <c r="BL651" s="80"/>
      <c r="BM651" s="80"/>
      <c r="BN651" s="80"/>
      <c r="BO651" s="80"/>
      <c r="BP651" s="80"/>
      <c r="BQ651" s="80"/>
      <c r="BR651" s="80"/>
      <c r="BS651" s="80"/>
      <c r="BT651" s="80"/>
      <c r="BU651" s="80"/>
      <c r="BV651" s="80"/>
      <c r="BW651" s="80"/>
      <c r="BX651" s="80" t="str">
        <f>IFERROR(__xludf.DUMMYFUNCTION("""COMPUTED_VALUE"""),"MULTIKURIR - LION PARCEL - JNE")</f>
        <v>MULTIKURIR - LION PARCEL - JNE</v>
      </c>
      <c r="BY651" s="80"/>
      <c r="BZ651" s="80"/>
      <c r="CA651" s="80"/>
      <c r="CB651" s="80"/>
      <c r="CC651" s="80"/>
      <c r="CD651" s="80"/>
      <c r="CE651" s="80"/>
      <c r="CF651" s="80"/>
      <c r="CG651" s="80"/>
      <c r="CH651" s="80"/>
      <c r="CI651" s="80"/>
      <c r="CJ651" s="80"/>
      <c r="CK651" s="2"/>
    </row>
    <row r="652" ht="12.75" customHeight="1">
      <c r="A652" s="85">
        <f>IFERROR(__xludf.DUMMYFUNCTION("""COMPUTED_VALUE"""),649.0)</f>
        <v>649</v>
      </c>
      <c r="B652" s="85"/>
      <c r="C652" s="85"/>
      <c r="D652" s="86">
        <f>IFERROR(__xludf.DUMMYFUNCTION("""COMPUTED_VALUE"""),45912.0)</f>
        <v>45912</v>
      </c>
      <c r="E652" s="88"/>
      <c r="F652" s="85"/>
      <c r="G652" s="86">
        <f>IFERROR(__xludf.DUMMYFUNCTION("""COMPUTED_VALUE"""),45920.0)</f>
        <v>45920</v>
      </c>
      <c r="H652" s="85"/>
      <c r="I652" s="85"/>
      <c r="J652" s="85"/>
      <c r="K652" s="85"/>
      <c r="L652" s="85">
        <f>IFERROR(__xludf.DUMMYFUNCTION("""COMPUTED_VALUE"""),8.0)</f>
        <v>8</v>
      </c>
      <c r="M652" s="85" t="str">
        <f>IFERROR(__xludf.DUMMYFUNCTION("""COMPUTED_VALUE"""),"ü")</f>
        <v>ü</v>
      </c>
      <c r="N652" s="85"/>
      <c r="O652" s="85"/>
      <c r="P652" s="85" t="str">
        <f>IFERROR(__xludf.DUMMYFUNCTION("""COMPUTED_VALUE"""),"53BSPA09641JBEEN")</f>
        <v>53BSPA09641JBEEN</v>
      </c>
      <c r="Q652" s="85" t="str">
        <f>IFERROR(__xludf.DUMMYFUNCTION("""COMPUTED_VALUE"""),"MUC Radio Palasari")</f>
        <v>MUC Radio Palasari</v>
      </c>
      <c r="R652" s="85" t="str">
        <f>IFERROR(__xludf.DUMMYFUNCTION("""COMPUTED_VALUE"""),"MUC Radio Palasari")</f>
        <v>MUC Radio Palasari</v>
      </c>
      <c r="S652" s="85" t="str">
        <f>IFERROR(__xludf.DUMMYFUNCTION("""COMPUTED_VALUE"""),"NANDY DWI NUGRAHA")</f>
        <v>NANDY DWI NUGRAHA</v>
      </c>
      <c r="T652" s="85" t="str">
        <f>IFERROR(__xludf.DUMMYFUNCTION("""COMPUTED_VALUE"""),"JL. SOMA SELATAN NO.17 RT.003 RW.001 BABAKAN SARI, KIARACONDONG, KOTA BANDUNG")</f>
        <v>JL. SOMA SELATAN NO.17 RT.003 RW.001 BABAKAN SARI, KIARACONDONG, KOTA BANDUNG</v>
      </c>
      <c r="U652" s="85" t="str">
        <f>IFERROR(__xludf.DUMMYFUNCTION("""COMPUTED_VALUE"""),"jl. Radio palasari no 52-26 rt 001/011")</f>
        <v>jl. Radio palasari no 52-26 rt 001/011</v>
      </c>
      <c r="V652" s="85"/>
      <c r="W652" s="85" t="str">
        <f>IFERROR(__xludf.DUMMYFUNCTION("""COMPUTED_VALUE"""),"Citeureup")</f>
        <v>Citeureup</v>
      </c>
      <c r="X652" s="85" t="str">
        <f>IFERROR(__xludf.DUMMYFUNCTION("""COMPUTED_VALUE"""),"Dayeuhkolot")</f>
        <v>Dayeuhkolot</v>
      </c>
      <c r="Y652" s="85" t="str">
        <f>IFERROR(__xludf.DUMMYFUNCTION("""COMPUTED_VALUE"""),"kab. Bandung")</f>
        <v>kab. Bandung</v>
      </c>
      <c r="Z652" s="85" t="str">
        <f>IFERROR(__xludf.DUMMYFUNCTION("""COMPUTED_VALUE"""),"Jawa Barat")</f>
        <v>Jawa Barat</v>
      </c>
      <c r="AA652" s="85" t="str">
        <f>IFERROR(__xludf.DUMMYFUNCTION("""COMPUTED_VALUE"""),"40257")</f>
        <v>40257</v>
      </c>
      <c r="AB652" s="85" t="str">
        <f>IFERROR(__xludf.DUMMYFUNCTION("""COMPUTED_VALUE"""),"3273162912910008")</f>
        <v>3273162912910008</v>
      </c>
      <c r="AC652" s="85" t="str">
        <f>IFERROR(__xludf.DUMMYFUNCTION("""COMPUTED_VALUE"""),"3273 1629 1291 0008")</f>
        <v>3273 1629 1291 0008</v>
      </c>
      <c r="AD652" s="85" t="str">
        <f>IFERROR(__xludf.DUMMYFUNCTION("""COMPUTED_VALUE"""),"CUM - EEN")</f>
        <v>CUM - EEN</v>
      </c>
      <c r="AE652" s="85" t="str">
        <f>IFERROR(__xludf.DUMMYFUNCTION("""COMPUTED_VALUE"""),"SUB EEN")</f>
        <v>SUB EEN</v>
      </c>
      <c r="AF652" s="85" t="str">
        <f>IFERROR(__xludf.DUMMYFUNCTION("""COMPUTED_VALUE"""),"08115031500")</f>
        <v>08115031500</v>
      </c>
      <c r="AG652" s="85"/>
      <c r="AH652" s="85" t="str">
        <f>IFERROR(__xludf.DUMMYFUNCTION("""COMPUTED_VALUE"""),"mitrawaw1379@gmail.com")</f>
        <v>mitrawaw1379@gmail.com</v>
      </c>
      <c r="AI652" s="85" t="str">
        <f>IFERROR(__xludf.DUMMYFUNCTION("""COMPUTED_VALUE"""),"40353S9")</f>
        <v>40353S9</v>
      </c>
      <c r="AJ652" s="85" t="str">
        <f>IFERROR(__xludf.DUMMYFUNCTION("""COMPUTED_VALUE"""),"68c8ead8f19ccdf22a08abd4")</f>
        <v>68c8ead8f19ccdf22a08abd4</v>
      </c>
      <c r="AK652" s="85" t="str">
        <f>IFERROR(__xludf.DUMMYFUNCTION("""COMPUTED_VALUE"""),"dm40353s9")</f>
        <v>dm40353s9</v>
      </c>
      <c r="AL652" s="85" t="str">
        <f>IFERROR(__xludf.DUMMYFUNCTION("""COMPUTED_VALUE"""),"#40353Pos")</f>
        <v>#40353Pos</v>
      </c>
      <c r="AM652" s="85" t="str">
        <f>IFERROR(__xludf.DUMMYFUNCTION("""COMPUTED_VALUE"""),"KANTOR REGIONAL III BANDUNG 40004")</f>
        <v>KANTOR REGIONAL III BANDUNG 40004</v>
      </c>
      <c r="AN652" s="85" t="str">
        <f>IFERROR(__xludf.DUMMYFUNCTION("""COMPUTED_VALUE"""),"KC SOREANG 40900")</f>
        <v>KC SOREANG 40900</v>
      </c>
      <c r="AO652" s="85" t="str">
        <f>IFERROR(__xludf.DUMMYFUNCTION("""COMPUTED_VALUE"""),"1212003401797")</f>
        <v>1212003401797</v>
      </c>
      <c r="AP652" s="85" t="str">
        <f>IFERROR(__xludf.DUMMYFUNCTION("""COMPUTED_VALUE"""),"12120034017970001")</f>
        <v>12120034017970001</v>
      </c>
      <c r="AQ652" s="93"/>
      <c r="AR652" s="85"/>
      <c r="AS652" s="85"/>
      <c r="AT652" s="85" t="str">
        <f>IFERROR(__xludf.DUMMYFUNCTION("""COMPUTED_VALUE"""),"-6.9732475")</f>
        <v>-6.9732475</v>
      </c>
      <c r="AU652" s="85" t="str">
        <f>IFERROR(__xludf.DUMMYFUNCTION("""COMPUTED_VALUE"""),"107.6192145")</f>
        <v>107.6192145</v>
      </c>
      <c r="AV652" s="85"/>
      <c r="AW652" s="85"/>
      <c r="AX652" s="85"/>
      <c r="AY652" s="85"/>
      <c r="AZ652" s="85"/>
      <c r="BA652" s="85"/>
      <c r="BB652" s="85"/>
      <c r="BC652" s="85"/>
      <c r="BD652" s="85"/>
      <c r="BE652" s="85"/>
      <c r="BF652" s="85"/>
      <c r="BG652" s="85"/>
      <c r="BH652" s="85"/>
      <c r="BI652" s="85"/>
      <c r="BJ652" s="85"/>
      <c r="BK652" s="85"/>
      <c r="BL652" s="85"/>
      <c r="BM652" s="85"/>
      <c r="BN652" s="85"/>
      <c r="BO652" s="85"/>
      <c r="BP652" s="85"/>
      <c r="BQ652" s="85"/>
      <c r="BR652" s="85"/>
      <c r="BS652" s="85"/>
      <c r="BT652" s="85"/>
      <c r="BU652" s="85"/>
      <c r="BV652" s="85"/>
      <c r="BW652" s="85"/>
      <c r="BX652" s="85" t="str">
        <f>IFERROR(__xludf.DUMMYFUNCTION("""COMPUTED_VALUE"""),"MULTIKURIR - ID EXPRESS - WAHANA")</f>
        <v>MULTIKURIR - ID EXPRESS - WAHANA</v>
      </c>
      <c r="BY652" s="85"/>
      <c r="BZ652" s="85"/>
      <c r="CA652" s="85"/>
      <c r="CB652" s="85"/>
      <c r="CC652" s="85"/>
      <c r="CD652" s="85"/>
      <c r="CE652" s="85"/>
      <c r="CF652" s="85"/>
      <c r="CG652" s="85"/>
      <c r="CH652" s="85"/>
      <c r="CI652" s="85"/>
      <c r="CJ652" s="85"/>
      <c r="CK652" s="2"/>
    </row>
    <row r="653" ht="12.75" customHeight="1">
      <c r="A653" s="80">
        <f>IFERROR(__xludf.DUMMYFUNCTION("""COMPUTED_VALUE"""),650.0)</f>
        <v>650</v>
      </c>
      <c r="B653" s="80"/>
      <c r="C653" s="80"/>
      <c r="D653" s="81">
        <f>IFERROR(__xludf.DUMMYFUNCTION("""COMPUTED_VALUE"""),45915.0)</f>
        <v>45915</v>
      </c>
      <c r="E653" s="82"/>
      <c r="F653" s="80"/>
      <c r="G653" s="81">
        <f>IFERROR(__xludf.DUMMYFUNCTION("""COMPUTED_VALUE"""),45920.0)</f>
        <v>45920</v>
      </c>
      <c r="H653" s="80"/>
      <c r="I653" s="80"/>
      <c r="J653" s="80"/>
      <c r="K653" s="80"/>
      <c r="L653" s="80">
        <f>IFERROR(__xludf.DUMMYFUNCTION("""COMPUTED_VALUE"""),5.0)</f>
        <v>5</v>
      </c>
      <c r="M653" s="80" t="str">
        <f>IFERROR(__xludf.DUMMYFUNCTION("""COMPUTED_VALUE"""),"ü")</f>
        <v>ü</v>
      </c>
      <c r="N653" s="80"/>
      <c r="O653" s="80"/>
      <c r="P653" s="80" t="str">
        <f>IFERROR(__xludf.DUMMYFUNCTION("""COMPUTED_VALUE"""),"MUCSPA63255PSIND")</f>
        <v>MUCSPA63255PSIND</v>
      </c>
      <c r="Q653" s="80" t="str">
        <f>IFERROR(__xludf.DUMMYFUNCTION("""COMPUTED_VALUE"""),"MUC GOLDEN")</f>
        <v>MUC GOLDEN</v>
      </c>
      <c r="R653" s="80" t="str">
        <f>IFERROR(__xludf.DUMMYFUNCTION("""COMPUTED_VALUE"""),"MUC GOLDEN")</f>
        <v>MUC GOLDEN</v>
      </c>
      <c r="S653" s="80" t="str">
        <f>IFERROR(__xludf.DUMMYFUNCTION("""COMPUTED_VALUE"""),"IWAN BACHRY TANJUNG")</f>
        <v>IWAN BACHRY TANJUNG</v>
      </c>
      <c r="T653" s="80" t="str">
        <f>IFERROR(__xludf.DUMMYFUNCTION("""COMPUTED_VALUE"""),"JL. SIDOREJO GG. MURIA NO.27 RT.008 RW.000, RATU SIMA, DUMAI SELATAN, KOTA DUMAI, RIAU")</f>
        <v>JL. SIDOREJO GG. MURIA NO.27 RT.008 RW.000, RATU SIMA, DUMAI SELATAN, KOTA DUMAI, RIAU</v>
      </c>
      <c r="U653" s="80" t="str">
        <f>IFERROR(__xludf.DUMMYFUNCTION("""COMPUTED_VALUE"""),"Jalan Soekarno Hatta")</f>
        <v>Jalan Soekarno Hatta</v>
      </c>
      <c r="V653" s="80"/>
      <c r="W653" s="80" t="str">
        <f>IFERROR(__xludf.DUMMYFUNCTION("""COMPUTED_VALUE"""),"Dumai Kota")</f>
        <v>Dumai Kota</v>
      </c>
      <c r="X653" s="80" t="str">
        <f>IFERROR(__xludf.DUMMYFUNCTION("""COMPUTED_VALUE"""),"Dumai Kota")</f>
        <v>Dumai Kota</v>
      </c>
      <c r="Y653" s="80" t="str">
        <f>IFERROR(__xludf.DUMMYFUNCTION("""COMPUTED_VALUE"""),"Kota Dumai")</f>
        <v>Kota Dumai</v>
      </c>
      <c r="Z653" s="80" t="str">
        <f>IFERROR(__xludf.DUMMYFUNCTION("""COMPUTED_VALUE"""),"Riau")</f>
        <v>Riau</v>
      </c>
      <c r="AA653" s="80" t="str">
        <f>IFERROR(__xludf.DUMMYFUNCTION("""COMPUTED_VALUE"""),"28882")</f>
        <v>28882</v>
      </c>
      <c r="AB653" s="80" t="str">
        <f>IFERROR(__xludf.DUMMYFUNCTION("""COMPUTED_VALUE"""),"1472022604870003")</f>
        <v>1472022604870003</v>
      </c>
      <c r="AC653" s="80" t="str">
        <f>IFERROR(__xludf.DUMMYFUNCTION("""COMPUTED_VALUE"""),"77.161.618.2-212.000")</f>
        <v>77.161.618.2-212.000</v>
      </c>
      <c r="AD653" s="80" t="str">
        <f>IFERROR(__xludf.DUMMYFUNCTION("""COMPUTED_VALUE"""),"BU RANI")</f>
        <v>BU RANI</v>
      </c>
      <c r="AE653" s="80" t="str">
        <f>IFERROR(__xludf.DUMMYFUNCTION("""COMPUTED_VALUE"""),"BU RANI KC DUMAI")</f>
        <v>BU RANI KC DUMAI</v>
      </c>
      <c r="AF653" s="80" t="str">
        <f>IFERROR(__xludf.DUMMYFUNCTION("""COMPUTED_VALUE"""),"085375495555")</f>
        <v>085375495555</v>
      </c>
      <c r="AG653" s="80"/>
      <c r="AH653" s="80" t="str">
        <f>IFERROR(__xludf.DUMMYFUNCTION("""COMPUTED_VALUE"""),"iwanbachrytanjung@ymail.com")</f>
        <v>iwanbachrytanjung@ymail.com</v>
      </c>
      <c r="AI653" s="80" t="str">
        <f>IFERROR(__xludf.DUMMYFUNCTION("""COMPUTED_VALUE"""),"40353S9")</f>
        <v>40353S9</v>
      </c>
      <c r="AJ653" s="80" t="str">
        <f>IFERROR(__xludf.DUMMYFUNCTION("""COMPUTED_VALUE"""),"68c8ead8f19ccdf22a08abd4")</f>
        <v>68c8ead8f19ccdf22a08abd4</v>
      </c>
      <c r="AK653" s="80" t="str">
        <f>IFERROR(__xludf.DUMMYFUNCTION("""COMPUTED_VALUE"""),"dm40353s9")</f>
        <v>dm40353s9</v>
      </c>
      <c r="AL653" s="80" t="str">
        <f>IFERROR(__xludf.DUMMYFUNCTION("""COMPUTED_VALUE"""),"#40353Pos")</f>
        <v>#40353Pos</v>
      </c>
      <c r="AM653" s="80" t="str">
        <f>IFERROR(__xludf.DUMMYFUNCTION("""COMPUTED_VALUE"""),"KANTOR REGIONAL I MEDAN 20004")</f>
        <v>KANTOR REGIONAL I MEDAN 20004</v>
      </c>
      <c r="AN653" s="80" t="str">
        <f>IFERROR(__xludf.DUMMYFUNCTION("""COMPUTED_VALUE"""),"KC DUMAI")</f>
        <v>KC DUMAI</v>
      </c>
      <c r="AO653" s="80" t="str">
        <f>IFERROR(__xludf.DUMMYFUNCTION("""COMPUTED_VALUE"""),"1509250042343")</f>
        <v>1509250042343</v>
      </c>
      <c r="AP653" s="80" t="str">
        <f>IFERROR(__xludf.DUMMYFUNCTION("""COMPUTED_VALUE"""),"15092500423430001")</f>
        <v>15092500423430001</v>
      </c>
      <c r="AQ653" s="83"/>
      <c r="AR653" s="80"/>
      <c r="AS653" s="80"/>
      <c r="AT653" s="80" t="str">
        <f>IFERROR(__xludf.DUMMYFUNCTION("""COMPUTED_VALUE"""),"1.5858827")</f>
        <v>1.5858827</v>
      </c>
      <c r="AU653" s="80" t="str">
        <f>IFERROR(__xludf.DUMMYFUNCTION("""COMPUTED_VALUE"""),"101.3955938")</f>
        <v>101.3955938</v>
      </c>
      <c r="AV653" s="80"/>
      <c r="AW653" s="80"/>
      <c r="AX653" s="80"/>
      <c r="AY653" s="80"/>
      <c r="AZ653" s="80"/>
      <c r="BA653" s="80"/>
      <c r="BB653" s="80"/>
      <c r="BC653" s="80"/>
      <c r="BD653" s="80"/>
      <c r="BE653" s="80"/>
      <c r="BF653" s="80"/>
      <c r="BG653" s="80"/>
      <c r="BH653" s="80"/>
      <c r="BI653" s="80"/>
      <c r="BJ653" s="80"/>
      <c r="BK653" s="80"/>
      <c r="BL653" s="80"/>
      <c r="BM653" s="80"/>
      <c r="BN653" s="80"/>
      <c r="BO653" s="80"/>
      <c r="BP653" s="80"/>
      <c r="BQ653" s="80"/>
      <c r="BR653" s="80"/>
      <c r="BS653" s="80"/>
      <c r="BT653" s="80"/>
      <c r="BU653" s="80"/>
      <c r="BV653" s="80"/>
      <c r="BW653" s="80"/>
      <c r="BX653" s="80" t="str">
        <f>IFERROR(__xludf.DUMMYFUNCTION("""COMPUTED_VALUE"""),"NEWBIE")</f>
        <v>NEWBIE</v>
      </c>
      <c r="BY653" s="80"/>
      <c r="BZ653" s="80"/>
      <c r="CA653" s="80"/>
      <c r="CB653" s="80"/>
      <c r="CC653" s="80"/>
      <c r="CD653" s="80"/>
      <c r="CE653" s="80"/>
      <c r="CF653" s="80"/>
      <c r="CG653" s="80"/>
      <c r="CH653" s="80"/>
      <c r="CI653" s="80"/>
      <c r="CJ653" s="80"/>
      <c r="CK653" s="2"/>
    </row>
    <row r="654" ht="12.75" customHeight="1">
      <c r="A654" s="85">
        <f>IFERROR(__xludf.DUMMYFUNCTION("""COMPUTED_VALUE"""),651.0)</f>
        <v>651</v>
      </c>
      <c r="B654" s="85"/>
      <c r="C654" s="85"/>
      <c r="D654" s="86">
        <f>IFERROR(__xludf.DUMMYFUNCTION("""COMPUTED_VALUE"""),45915.0)</f>
        <v>45915</v>
      </c>
      <c r="E654" s="88"/>
      <c r="F654" s="85"/>
      <c r="G654" s="86">
        <f>IFERROR(__xludf.DUMMYFUNCTION("""COMPUTED_VALUE"""),45918.0)</f>
        <v>45918</v>
      </c>
      <c r="H654" s="85"/>
      <c r="I654" s="85"/>
      <c r="J654" s="85"/>
      <c r="K654" s="85"/>
      <c r="L654" s="85">
        <f>IFERROR(__xludf.DUMMYFUNCTION("""COMPUTED_VALUE"""),3.0)</f>
        <v>3</v>
      </c>
      <c r="M654" s="85" t="str">
        <f>IFERROR(__xludf.DUMMYFUNCTION("""COMPUTED_VALUE"""),"ü")</f>
        <v>ü</v>
      </c>
      <c r="N654" s="85"/>
      <c r="O654" s="85"/>
      <c r="P654" s="85" t="str">
        <f>IFERROR(__xludf.DUMMYFUNCTION("""COMPUTED_VALUE"""),"MUCSPA63256PSIND")</f>
        <v>MUCSPA63256PSIND</v>
      </c>
      <c r="Q654" s="85" t="str">
        <f>IFERROR(__xludf.DUMMYFUNCTION("""COMPUTED_VALUE"""),"MUC AROYO HOUSE")</f>
        <v>MUC AROYO HOUSE</v>
      </c>
      <c r="R654" s="85" t="str">
        <f>IFERROR(__xludf.DUMMYFUNCTION("""COMPUTED_VALUE"""),"MUC AROYO HOUSE")</f>
        <v>MUC AROYO HOUSE</v>
      </c>
      <c r="S654" s="85" t="str">
        <f>IFERROR(__xludf.DUMMYFUNCTION("""COMPUTED_VALUE"""),"RAYDIAN NOROYONO")</f>
        <v>RAYDIAN NOROYONO</v>
      </c>
      <c r="T654" s="85" t="str">
        <f>IFERROR(__xludf.DUMMYFUNCTION("""COMPUTED_VALUE"""),"DUSUN KUWALUHAN RT 1 RW 1, MADUSARI")</f>
        <v>DUSUN KUWALUHAN RT 1 RW 1, MADUSARI</v>
      </c>
      <c r="U654" s="85" t="str">
        <f>IFERROR(__xludf.DUMMYFUNCTION("""COMPUTED_VALUE"""),"DUSUN KUWALUHAN RT 1 RW 1")</f>
        <v>DUSUN KUWALUHAN RT 1 RW 1</v>
      </c>
      <c r="V654" s="85"/>
      <c r="W654" s="85" t="str">
        <f>IFERROR(__xludf.DUMMYFUNCTION("""COMPUTED_VALUE"""),"MADUSARI")</f>
        <v>MADUSARI</v>
      </c>
      <c r="X654" s="85" t="str">
        <f>IFERROR(__xludf.DUMMYFUNCTION("""COMPUTED_VALUE"""),"SECANG")</f>
        <v>SECANG</v>
      </c>
      <c r="Y654" s="85" t="str">
        <f>IFERROR(__xludf.DUMMYFUNCTION("""COMPUTED_VALUE"""),"KAB. MAGELANG")</f>
        <v>KAB. MAGELANG</v>
      </c>
      <c r="Z654" s="85" t="str">
        <f>IFERROR(__xludf.DUMMYFUNCTION("""COMPUTED_VALUE"""),"JAWA TENGAH")</f>
        <v>JAWA TENGAH</v>
      </c>
      <c r="AA654" s="85" t="str">
        <f>IFERROR(__xludf.DUMMYFUNCTION("""COMPUTED_VALUE"""),"56195")</f>
        <v>56195</v>
      </c>
      <c r="AB654" s="85" t="str">
        <f>IFERROR(__xludf.DUMMYFUNCTION("""COMPUTED_VALUE"""),"3308200705800004")</f>
        <v>3308200705800004</v>
      </c>
      <c r="AC654" s="85" t="str">
        <f>IFERROR(__xludf.DUMMYFUNCTION("""COMPUTED_VALUE"""),"25.193.872.6-524.000")</f>
        <v>25.193.872.6-524.000</v>
      </c>
      <c r="AD654" s="85" t="str">
        <f>IFERROR(__xludf.DUMMYFUNCTION("""COMPUTED_VALUE"""),"CUM - PS - AMIA")</f>
        <v>CUM - PS - AMIA</v>
      </c>
      <c r="AE654" s="85" t="str">
        <f>IFERROR(__xludf.DUMMYFUNCTION("""COMPUTED_VALUE"""),"SUB AMILDA POS")</f>
        <v>SUB AMILDA POS</v>
      </c>
      <c r="AF654" s="85" t="str">
        <f>IFERROR(__xludf.DUMMYFUNCTION("""COMPUTED_VALUE"""),"0895320872990")</f>
        <v>0895320872990</v>
      </c>
      <c r="AG654" s="85"/>
      <c r="AH654" s="85" t="str">
        <f>IFERROR(__xludf.DUMMYFUNCTION("""COMPUTED_VALUE"""),"raydiannoroyono@gmail.com")</f>
        <v>raydiannoroyono@gmail.com</v>
      </c>
      <c r="AI654" s="85" t="str">
        <f>IFERROR(__xludf.DUMMYFUNCTION("""COMPUTED_VALUE"""),"56595S7")</f>
        <v>56595S7</v>
      </c>
      <c r="AJ654" s="85" t="str">
        <f>IFERROR(__xludf.DUMMYFUNCTION("""COMPUTED_VALUE"""),"68cb568dd5c759dbc5016452")</f>
        <v>68cb568dd5c759dbc5016452</v>
      </c>
      <c r="AK654" s="85" t="str">
        <f>IFERROR(__xludf.DUMMYFUNCTION("""COMPUTED_VALUE"""),"dm56595s7")</f>
        <v>dm56595s7</v>
      </c>
      <c r="AL654" s="85" t="str">
        <f>IFERROR(__xludf.DUMMYFUNCTION("""COMPUTED_VALUE"""),"#56595Pos")</f>
        <v>#56595Pos</v>
      </c>
      <c r="AM654" s="85" t="str">
        <f>IFERROR(__xludf.DUMMYFUNCTION("""COMPUTED_VALUE"""),"KANTOR REGIONAL IV SEMARANG 50004")</f>
        <v>KANTOR REGIONAL IV SEMARANG 50004</v>
      </c>
      <c r="AN654" s="85" t="str">
        <f>IFERROR(__xludf.DUMMYFUNCTION("""COMPUTED_VALUE"""),"KC MAGELANG 56100")</f>
        <v>KC MAGELANG 56100</v>
      </c>
      <c r="AO654" s="85" t="str">
        <f>IFERROR(__xludf.DUMMYFUNCTION("""COMPUTED_VALUE"""),"1509250061715")</f>
        <v>1509250061715</v>
      </c>
      <c r="AP654" s="85" t="str">
        <f>IFERROR(__xludf.DUMMYFUNCTION("""COMPUTED_VALUE"""),"15092500617150001")</f>
        <v>15092500617150001</v>
      </c>
      <c r="AQ654" s="93"/>
      <c r="AR654" s="85"/>
      <c r="AS654" s="85"/>
      <c r="AT654" s="85" t="str">
        <f>IFERROR(__xludf.DUMMYFUNCTION("""COMPUTED_VALUE"""),"-7.4074432")</f>
        <v>-7.4074432</v>
      </c>
      <c r="AU654" s="85" t="str">
        <f>IFERROR(__xludf.DUMMYFUNCTION("""COMPUTED_VALUE"""),"110.237525")</f>
        <v>110.237525</v>
      </c>
      <c r="AV654" s="85"/>
      <c r="AW654" s="85"/>
      <c r="AX654" s="85"/>
      <c r="AY654" s="85"/>
      <c r="AZ654" s="85"/>
      <c r="BA654" s="85"/>
      <c r="BB654" s="85"/>
      <c r="BC654" s="85"/>
      <c r="BD654" s="85"/>
      <c r="BE654" s="85"/>
      <c r="BF654" s="85"/>
      <c r="BG654" s="85"/>
      <c r="BH654" s="85"/>
      <c r="BI654" s="85"/>
      <c r="BJ654" s="85"/>
      <c r="BK654" s="85"/>
      <c r="BL654" s="85"/>
      <c r="BM654" s="85"/>
      <c r="BN654" s="85"/>
      <c r="BO654" s="85"/>
      <c r="BP654" s="85"/>
      <c r="BQ654" s="85"/>
      <c r="BR654" s="85"/>
      <c r="BS654" s="85"/>
      <c r="BT654" s="85"/>
      <c r="BU654" s="85"/>
      <c r="BV654" s="85"/>
      <c r="BW654" s="85"/>
      <c r="BX654" s="85" t="str">
        <f>IFERROR(__xludf.DUMMYFUNCTION("""COMPUTED_VALUE"""),"OLSHOP")</f>
        <v>OLSHOP</v>
      </c>
      <c r="BY654" s="85"/>
      <c r="BZ654" s="85"/>
      <c r="CA654" s="85"/>
      <c r="CB654" s="85"/>
      <c r="CC654" s="85"/>
      <c r="CD654" s="85"/>
      <c r="CE654" s="85"/>
      <c r="CF654" s="85"/>
      <c r="CG654" s="85"/>
      <c r="CH654" s="85"/>
      <c r="CI654" s="85"/>
      <c r="CJ654" s="85"/>
      <c r="CK654" s="2"/>
    </row>
    <row r="655" ht="12.75" customHeight="1">
      <c r="A655" s="80">
        <f>IFERROR(__xludf.DUMMYFUNCTION("""COMPUTED_VALUE"""),652.0)</f>
        <v>652</v>
      </c>
      <c r="B655" s="80"/>
      <c r="C655" s="80"/>
      <c r="D655" s="81">
        <f>IFERROR(__xludf.DUMMYFUNCTION("""COMPUTED_VALUE"""),45915.0)</f>
        <v>45915</v>
      </c>
      <c r="E655" s="82"/>
      <c r="F655" s="80"/>
      <c r="G655" s="81">
        <f>IFERROR(__xludf.DUMMYFUNCTION("""COMPUTED_VALUE"""),45922.0)</f>
        <v>45922</v>
      </c>
      <c r="H655" s="80"/>
      <c r="I655" s="80"/>
      <c r="J655" s="80"/>
      <c r="K655" s="80"/>
      <c r="L655" s="80">
        <f>IFERROR(__xludf.DUMMYFUNCTION("""COMPUTED_VALUE"""),7.0)</f>
        <v>7</v>
      </c>
      <c r="M655" s="80" t="str">
        <f>IFERROR(__xludf.DUMMYFUNCTION("""COMPUTED_VALUE"""),"ü")</f>
        <v>ü</v>
      </c>
      <c r="N655" s="80"/>
      <c r="O655" s="80"/>
      <c r="P655" s="80" t="str">
        <f>IFERROR(__xludf.DUMMYFUNCTION("""COMPUTED_VALUE"""),"53BSPA09669JBEEN")</f>
        <v>53BSPA09669JBEEN</v>
      </c>
      <c r="Q655" s="80" t="str">
        <f>IFERROR(__xludf.DUMMYFUNCTION("""COMPUTED_VALUE"""),"MUC DURI SELATAN VI")</f>
        <v>MUC DURI SELATAN VI</v>
      </c>
      <c r="R655" s="80" t="str">
        <f>IFERROR(__xludf.DUMMYFUNCTION("""COMPUTED_VALUE"""),"MUC DURI SELATAN VI")</f>
        <v>MUC DURI SELATAN VI</v>
      </c>
      <c r="S655" s="80" t="str">
        <f>IFERROR(__xludf.DUMMYFUNCTION("""COMPUTED_VALUE"""),"VENNY LUKMAN")</f>
        <v>VENNY LUKMAN</v>
      </c>
      <c r="T655" s="80" t="str">
        <f>IFERROR(__xludf.DUMMYFUNCTION("""COMPUTED_VALUE"""),"JL. DURI SELATAN VI NO.20A RT.005 RW.006, DURI SELATAN, TAMBORA, JAKARTA BARAT")</f>
        <v>JL. DURI SELATAN VI NO.20A RT.005 RW.006, DURI SELATAN, TAMBORA, JAKARTA BARAT</v>
      </c>
      <c r="U655" s="80" t="str">
        <f>IFERROR(__xludf.DUMMYFUNCTION("""COMPUTED_VALUE"""),"JL. DURI SELATAN VI NO. 20A RT 005 / 006 ")</f>
        <v>JL. DURI SELATAN VI NO. 20A RT 005 / 006 </v>
      </c>
      <c r="V655" s="80"/>
      <c r="W655" s="80" t="str">
        <f>IFERROR(__xludf.DUMMYFUNCTION("""COMPUTED_VALUE"""),"DURI SELATAN ")</f>
        <v>DURI SELATAN </v>
      </c>
      <c r="X655" s="80" t="str">
        <f>IFERROR(__xludf.DUMMYFUNCTION("""COMPUTED_VALUE"""),"TAMBORA")</f>
        <v>TAMBORA</v>
      </c>
      <c r="Y655" s="80" t="str">
        <f>IFERROR(__xludf.DUMMYFUNCTION("""COMPUTED_VALUE"""),"JAKARTA BARAT")</f>
        <v>JAKARTA BARAT</v>
      </c>
      <c r="Z655" s="80" t="str">
        <f>IFERROR(__xludf.DUMMYFUNCTION("""COMPUTED_VALUE"""),"DKI JAKARTA")</f>
        <v>DKI JAKARTA</v>
      </c>
      <c r="AA655" s="80" t="str">
        <f>IFERROR(__xludf.DUMMYFUNCTION("""COMPUTED_VALUE"""),"11270")</f>
        <v>11270</v>
      </c>
      <c r="AB655" s="80" t="str">
        <f>IFERROR(__xludf.DUMMYFUNCTION("""COMPUTED_VALUE"""),"3173046709870002")</f>
        <v>3173046709870002</v>
      </c>
      <c r="AC655" s="80" t="str">
        <f>IFERROR(__xludf.DUMMYFUNCTION("""COMPUTED_VALUE"""),"66.901.825.1-033.000")</f>
        <v>66.901.825.1-033.000</v>
      </c>
      <c r="AD655" s="80" t="str">
        <f>IFERROR(__xludf.DUMMYFUNCTION("""COMPUTED_VALUE"""),"CUM - EEN")</f>
        <v>CUM - EEN</v>
      </c>
      <c r="AE655" s="80" t="str">
        <f>IFERROR(__xludf.DUMMYFUNCTION("""COMPUTED_VALUE"""),"SUB EEN")</f>
        <v>SUB EEN</v>
      </c>
      <c r="AF655" s="80" t="str">
        <f>IFERROR(__xludf.DUMMYFUNCTION("""COMPUTED_VALUE"""),"081314539981")</f>
        <v>081314539981</v>
      </c>
      <c r="AG655" s="80"/>
      <c r="AH655" s="80" t="str">
        <f>IFERROR(__xludf.DUMMYFUNCTION("""COMPUTED_VALUE"""),"Venzlim@yahoo.com")</f>
        <v>Venzlim@yahoo.com</v>
      </c>
      <c r="AI655" s="80" t="str">
        <f>IFERROR(__xludf.DUMMYFUNCTION("""COMPUTED_VALUE"""),"11270S3")</f>
        <v>11270S3</v>
      </c>
      <c r="AJ655" s="80" t="str">
        <f>IFERROR(__xludf.DUMMYFUNCTION("""COMPUTED_VALUE"""),"68d0e349e2719b9cbd0aca8c")</f>
        <v>68d0e349e2719b9cbd0aca8c</v>
      </c>
      <c r="AK655" s="80" t="str">
        <f>IFERROR(__xludf.DUMMYFUNCTION("""COMPUTED_VALUE"""),"dm11270s3")</f>
        <v>dm11270s3</v>
      </c>
      <c r="AL655" s="80" t="str">
        <f>IFERROR(__xludf.DUMMYFUNCTION("""COMPUTED_VALUE"""),"#11270Pos")</f>
        <v>#11270Pos</v>
      </c>
      <c r="AM655" s="80" t="str">
        <f>IFERROR(__xludf.DUMMYFUNCTION("""COMPUTED_VALUE"""),"KANTOR REGIONAL II JAKARTA 10004")</f>
        <v>KANTOR REGIONAL II JAKARTA 10004</v>
      </c>
      <c r="AN655" s="80" t="str">
        <f>IFERROR(__xludf.DUMMYFUNCTION("""COMPUTED_VALUE"""),"KCU JAKARTAOCEANIA 11000")</f>
        <v>KCU JAKARTAOCEANIA 11000</v>
      </c>
      <c r="AO655" s="80" t="str">
        <f>IFERROR(__xludf.DUMMYFUNCTION("""COMPUTED_VALUE"""),"1509250106829")</f>
        <v>1509250106829</v>
      </c>
      <c r="AP655" s="80" t="str">
        <f>IFERROR(__xludf.DUMMYFUNCTION("""COMPUTED_VALUE"""),"15092501068290001")</f>
        <v>15092501068290001</v>
      </c>
      <c r="AQ655" s="83"/>
      <c r="AR655" s="80"/>
      <c r="AS655" s="80"/>
      <c r="AT655" s="80" t="str">
        <f>IFERROR(__xludf.DUMMYFUNCTION("""COMPUTED_VALUE"""),"-6.158034")</f>
        <v>-6.158034</v>
      </c>
      <c r="AU655" s="80" t="str">
        <f>IFERROR(__xludf.DUMMYFUNCTION("""COMPUTED_VALUE"""),"106.803833")</f>
        <v>106.803833</v>
      </c>
      <c r="AV655" s="80"/>
      <c r="AW655" s="80"/>
      <c r="AX655" s="80"/>
      <c r="AY655" s="80"/>
      <c r="AZ655" s="80"/>
      <c r="BA655" s="80"/>
      <c r="BB655" s="80"/>
      <c r="BC655" s="80"/>
      <c r="BD655" s="80"/>
      <c r="BE655" s="80"/>
      <c r="BF655" s="80"/>
      <c r="BG655" s="80"/>
      <c r="BH655" s="80"/>
      <c r="BI655" s="80"/>
      <c r="BJ655" s="80"/>
      <c r="BK655" s="80"/>
      <c r="BL655" s="80"/>
      <c r="BM655" s="80"/>
      <c r="BN655" s="80"/>
      <c r="BO655" s="80"/>
      <c r="BP655" s="80"/>
      <c r="BQ655" s="80"/>
      <c r="BR655" s="80"/>
      <c r="BS655" s="80"/>
      <c r="BT655" s="80"/>
      <c r="BU655" s="80"/>
      <c r="BV655" s="80"/>
      <c r="BW655" s="80"/>
      <c r="BX655" s="80" t="str">
        <f>IFERROR(__xludf.DUMMYFUNCTION("""COMPUTED_VALUE"""),"MULTIKURIR - WAHANA - LION PARCEL - JNT - SPX")</f>
        <v>MULTIKURIR - WAHANA - LION PARCEL - JNT - SPX</v>
      </c>
      <c r="BY655" s="80"/>
      <c r="BZ655" s="80"/>
      <c r="CA655" s="80"/>
      <c r="CB655" s="80"/>
      <c r="CC655" s="80"/>
      <c r="CD655" s="80"/>
      <c r="CE655" s="80"/>
      <c r="CF655" s="80"/>
      <c r="CG655" s="80"/>
      <c r="CH655" s="80"/>
      <c r="CI655" s="80"/>
      <c r="CJ655" s="80"/>
      <c r="CK655" s="2"/>
    </row>
    <row r="656" ht="12.75" customHeight="1">
      <c r="A656" s="85">
        <f>IFERROR(__xludf.DUMMYFUNCTION("""COMPUTED_VALUE"""),653.0)</f>
        <v>653</v>
      </c>
      <c r="B656" s="85"/>
      <c r="C656" s="85"/>
      <c r="D656" s="86">
        <f>IFERROR(__xludf.DUMMYFUNCTION("""COMPUTED_VALUE"""),45916.0)</f>
        <v>45916</v>
      </c>
      <c r="E656" s="88"/>
      <c r="F656" s="85"/>
      <c r="G656" s="86">
        <f>IFERROR(__xludf.DUMMYFUNCTION("""COMPUTED_VALUE"""),45920.0)</f>
        <v>45920</v>
      </c>
      <c r="H656" s="85"/>
      <c r="I656" s="85"/>
      <c r="J656" s="85"/>
      <c r="K656" s="85"/>
      <c r="L656" s="85">
        <f>IFERROR(__xludf.DUMMYFUNCTION("""COMPUTED_VALUE"""),4.0)</f>
        <v>4</v>
      </c>
      <c r="M656" s="85"/>
      <c r="N656" s="85" t="str">
        <f>IFERROR(__xludf.DUMMYFUNCTION("""COMPUTED_VALUE"""),"ü")</f>
        <v>ü</v>
      </c>
      <c r="O656" s="85"/>
      <c r="P656" s="85" t="str">
        <f>IFERROR(__xludf.DUMMYFUNCTION("""COMPUTED_VALUE"""),"MLO5500050CUMPOS")</f>
        <v>MLO5500050CUMPOS</v>
      </c>
      <c r="Q656" s="85" t="str">
        <f>IFERROR(__xludf.DUMMYFUNCTION("""COMPUTED_VALUE"""),"MUC NOBERIC")</f>
        <v>MUC NOBERIC</v>
      </c>
      <c r="R656" s="85" t="str">
        <f>IFERROR(__xludf.DUMMYFUNCTION("""COMPUTED_VALUE"""),"MUC NOBERIC")</f>
        <v>MUC NOBERIC</v>
      </c>
      <c r="S656" s="85" t="str">
        <f>IFERROR(__xludf.DUMMYFUNCTION("""COMPUTED_VALUE"""),"Tri Budi Kelana")</f>
        <v>Tri Budi Kelana</v>
      </c>
      <c r="T656" s="85" t="str">
        <f>IFERROR(__xludf.DUMMYFUNCTION("""COMPUTED_VALUE"""),"DUSUN 2 Rt 002 Rw 005 Ds karangtengah Kec karangsembung Kab Cirebon 45186")</f>
        <v>DUSUN 2 Rt 002 Rw 005 Ds karangtengah Kec karangsembung Kab Cirebon 45186</v>
      </c>
      <c r="U656" s="85" t="str">
        <f>IFERROR(__xludf.DUMMYFUNCTION("""COMPUTED_VALUE"""),"Jl Plamboyan Dusun 2 Blok Pahing RT 002 RW 003")</f>
        <v>Jl Plamboyan Dusun 2 Blok Pahing RT 002 RW 003</v>
      </c>
      <c r="V656" s="85"/>
      <c r="W656" s="85" t="str">
        <f>IFERROR(__xludf.DUMMYFUNCTION("""COMPUTED_VALUE"""),"Karangtengah")</f>
        <v>Karangtengah</v>
      </c>
      <c r="X656" s="85" t="str">
        <f>IFERROR(__xludf.DUMMYFUNCTION("""COMPUTED_VALUE"""),"Karangsembung")</f>
        <v>Karangsembung</v>
      </c>
      <c r="Y656" s="85" t="str">
        <f>IFERROR(__xludf.DUMMYFUNCTION("""COMPUTED_VALUE"""),"Cirebon")</f>
        <v>Cirebon</v>
      </c>
      <c r="Z656" s="85" t="str">
        <f>IFERROR(__xludf.DUMMYFUNCTION("""COMPUTED_VALUE"""),"Jawa Barat")</f>
        <v>Jawa Barat</v>
      </c>
      <c r="AA656" s="85" t="str">
        <f>IFERROR(__xludf.DUMMYFUNCTION("""COMPUTED_VALUE"""),"45186")</f>
        <v>45186</v>
      </c>
      <c r="AB656" s="85" t="str">
        <f>IFERROR(__xludf.DUMMYFUNCTION("""COMPUTED_VALUE"""),"3209060510880005")</f>
        <v>3209060510880005</v>
      </c>
      <c r="AC656" s="85" t="str">
        <f>IFERROR(__xludf.DUMMYFUNCTION("""COMPUTED_VALUE"""),"74.947.560.4-426.000")</f>
        <v>74.947.560.4-426.000</v>
      </c>
      <c r="AD656" s="85" t="str">
        <f>IFERROR(__xludf.DUMMYFUNCTION("""COMPUTED_VALUE"""),"CUM - PS - JHR")</f>
        <v>CUM - PS - JHR</v>
      </c>
      <c r="AE656" s="85" t="str">
        <f>IFERROR(__xludf.DUMMYFUNCTION("""COMPUTED_VALUE"""),"SUB JOHAN POS")</f>
        <v>SUB JOHAN POS</v>
      </c>
      <c r="AF656" s="85" t="str">
        <f>IFERROR(__xludf.DUMMYFUNCTION("""COMPUTED_VALUE"""),"081210592086")</f>
        <v>081210592086</v>
      </c>
      <c r="AG656" s="85"/>
      <c r="AH656" s="85" t="str">
        <f>IFERROR(__xludf.DUMMYFUNCTION("""COMPUTED_VALUE"""),"agenpos.noberic@gmail.com")</f>
        <v>agenpos.noberic@gmail.com</v>
      </c>
      <c r="AI656" s="85" t="str">
        <f>IFERROR(__xludf.DUMMYFUNCTION("""COMPUTED_VALUE"""),"45686S3")</f>
        <v>45686S3</v>
      </c>
      <c r="AJ656" s="85" t="str">
        <f>IFERROR(__xludf.DUMMYFUNCTION("""COMPUTED_VALUE"""),"68cccba1d4f83f8f3205bf6d")</f>
        <v>68cccba1d4f83f8f3205bf6d</v>
      </c>
      <c r="AK656" s="85" t="str">
        <f>IFERROR(__xludf.DUMMYFUNCTION("""COMPUTED_VALUE"""),"dm45686s3")</f>
        <v>dm45686s3</v>
      </c>
      <c r="AL656" s="85" t="str">
        <f>IFERROR(__xludf.DUMMYFUNCTION("""COMPUTED_VALUE"""),"#45686Pos")</f>
        <v>#45686Pos</v>
      </c>
      <c r="AM656" s="85" t="str">
        <f>IFERROR(__xludf.DUMMYFUNCTION("""COMPUTED_VALUE"""),"KANTOR REGIONAL III BANDUNG 40004")</f>
        <v>KANTOR REGIONAL III BANDUNG 40004</v>
      </c>
      <c r="AN656" s="85" t="str">
        <f>IFERROR(__xludf.DUMMYFUNCTION("""COMPUTED_VALUE"""),"KCU CIREBON 45100")</f>
        <v>KCU CIREBON 45100</v>
      </c>
      <c r="AO656" s="85" t="str">
        <f>IFERROR(__xludf.DUMMYFUNCTION("""COMPUTED_VALUE"""),"1297000593513")</f>
        <v>1297000593513</v>
      </c>
      <c r="AP656" s="85" t="str">
        <f>IFERROR(__xludf.DUMMYFUNCTION("""COMPUTED_VALUE"""),"12970005935130001")</f>
        <v>12970005935130001</v>
      </c>
      <c r="AQ656" s="93"/>
      <c r="AR656" s="85"/>
      <c r="AS656" s="85"/>
      <c r="AT656" s="85" t="str">
        <f>IFERROR(__xludf.DUMMYFUNCTION("""COMPUTED_VALUE"""),"-6.8565632")</f>
        <v>-6.8565632</v>
      </c>
      <c r="AU656" s="85" t="str">
        <f>IFERROR(__xludf.DUMMYFUNCTION("""COMPUTED_VALUE"""),"108.6466162")</f>
        <v>108.6466162</v>
      </c>
      <c r="AV656" s="85"/>
      <c r="AW656" s="85"/>
      <c r="AX656" s="85"/>
      <c r="AY656" s="85"/>
      <c r="AZ656" s="85"/>
      <c r="BA656" s="85"/>
      <c r="BB656" s="85"/>
      <c r="BC656" s="85"/>
      <c r="BD656" s="85"/>
      <c r="BE656" s="85"/>
      <c r="BF656" s="85"/>
      <c r="BG656" s="85"/>
      <c r="BH656" s="85"/>
      <c r="BI656" s="85"/>
      <c r="BJ656" s="85"/>
      <c r="BK656" s="85"/>
      <c r="BL656" s="85"/>
      <c r="BM656" s="85"/>
      <c r="BN656" s="85"/>
      <c r="BO656" s="85"/>
      <c r="BP656" s="85"/>
      <c r="BQ656" s="85"/>
      <c r="BR656" s="85"/>
      <c r="BS656" s="85"/>
      <c r="BT656" s="85"/>
      <c r="BU656" s="85"/>
      <c r="BV656" s="85"/>
      <c r="BW656" s="85"/>
      <c r="BX656" s="85" t="str">
        <f>IFERROR(__xludf.DUMMYFUNCTION("""COMPUTED_VALUE"""),"SELLER")</f>
        <v>SELLER</v>
      </c>
      <c r="BY656" s="85"/>
      <c r="BZ656" s="85"/>
      <c r="CA656" s="85"/>
      <c r="CB656" s="85"/>
      <c r="CC656" s="85"/>
      <c r="CD656" s="85"/>
      <c r="CE656" s="85"/>
      <c r="CF656" s="85"/>
      <c r="CG656" s="85"/>
      <c r="CH656" s="85"/>
      <c r="CI656" s="85"/>
      <c r="CJ656" s="85"/>
      <c r="CK656" s="2"/>
    </row>
    <row r="657" ht="12.75" customHeight="1">
      <c r="A657" s="80">
        <f>IFERROR(__xludf.DUMMYFUNCTION("""COMPUTED_VALUE"""),654.0)</f>
        <v>654</v>
      </c>
      <c r="B657" s="80"/>
      <c r="C657" s="80"/>
      <c r="D657" s="81">
        <f>IFERROR(__xludf.DUMMYFUNCTION("""COMPUTED_VALUE"""),45917.0)</f>
        <v>45917</v>
      </c>
      <c r="E657" s="82"/>
      <c r="F657" s="80"/>
      <c r="G657" s="81">
        <f>IFERROR(__xludf.DUMMYFUNCTION("""COMPUTED_VALUE"""),45929.0)</f>
        <v>45929</v>
      </c>
      <c r="H657" s="80"/>
      <c r="I657" s="80"/>
      <c r="J657" s="80"/>
      <c r="K657" s="80"/>
      <c r="L657" s="80">
        <f>IFERROR(__xludf.DUMMYFUNCTION("""COMPUTED_VALUE"""),12.0)</f>
        <v>12</v>
      </c>
      <c r="M657" s="80" t="str">
        <f>IFERROR(__xludf.DUMMYFUNCTION("""COMPUTED_VALUE"""),"ü")</f>
        <v>ü</v>
      </c>
      <c r="N657" s="80"/>
      <c r="O657" s="80"/>
      <c r="P657" s="80" t="str">
        <f>IFERROR(__xludf.DUMMYFUNCTION("""COMPUTED_VALUE"""),"53BSPA09671JBEEN")</f>
        <v>53BSPA09671JBEEN</v>
      </c>
      <c r="Q657" s="80" t="str">
        <f>IFERROR(__xludf.DUMMYFUNCTION("""COMPUTED_VALUE"""),"MUC PURI CENDANA BEKASI")</f>
        <v>MUC PURI CENDANA BEKASI</v>
      </c>
      <c r="R657" s="80" t="str">
        <f>IFERROR(__xludf.DUMMYFUNCTION("""COMPUTED_VALUE"""),"MUC PURI CENDANA BEKASI")</f>
        <v>MUC PURI CENDANA BEKASI</v>
      </c>
      <c r="S657" s="80" t="str">
        <f>IFERROR(__xludf.DUMMYFUNCTION("""COMPUTED_VALUE"""),"AGIS SUGIANA")</f>
        <v>AGIS SUGIANA</v>
      </c>
      <c r="T657" s="80" t="str">
        <f>IFERROR(__xludf.DUMMYFUNCTION("""COMPUTED_VALUE"""),"PURI CENDANA BLOK E.8 NO.5 RT.002 RW.012, SUMBERJAYA, TAMBUN SELATAN, KAB. BEKASI")</f>
        <v>PURI CENDANA BLOK E.8 NO.5 RT.002 RW.012, SUMBERJAYA, TAMBUN SELATAN, KAB. BEKASI</v>
      </c>
      <c r="U657" s="80" t="str">
        <f>IFERROR(__xludf.DUMMYFUNCTION("""COMPUTED_VALUE"""),"Puri Cendana Blok E.1 No.26 RT.001 RW.002")</f>
        <v>Puri Cendana Blok E.1 No.26 RT.001 RW.002</v>
      </c>
      <c r="V657" s="80"/>
      <c r="W657" s="80" t="str">
        <f>IFERROR(__xludf.DUMMYFUNCTION("""COMPUTED_VALUE"""),"Sumber Jaya")</f>
        <v>Sumber Jaya</v>
      </c>
      <c r="X657" s="80" t="str">
        <f>IFERROR(__xludf.DUMMYFUNCTION("""COMPUTED_VALUE"""),"Tambun Selatan")</f>
        <v>Tambun Selatan</v>
      </c>
      <c r="Y657" s="80" t="str">
        <f>IFERROR(__xludf.DUMMYFUNCTION("""COMPUTED_VALUE"""),"Kab. Bekasi")</f>
        <v>Kab. Bekasi</v>
      </c>
      <c r="Z657" s="80" t="str">
        <f>IFERROR(__xludf.DUMMYFUNCTION("""COMPUTED_VALUE"""),"Jawa Barat")</f>
        <v>Jawa Barat</v>
      </c>
      <c r="AA657" s="80" t="str">
        <f>IFERROR(__xludf.DUMMYFUNCTION("""COMPUTED_VALUE"""),"17510")</f>
        <v>17510</v>
      </c>
      <c r="AB657" s="80" t="str">
        <f>IFERROR(__xludf.DUMMYFUNCTION("""COMPUTED_VALUE"""),"3216063001730009")</f>
        <v>3216063001730009</v>
      </c>
      <c r="AC657" s="80" t="str">
        <f>IFERROR(__xludf.DUMMYFUNCTION("""COMPUTED_VALUE"""),"47.945.596.6-435.000")</f>
        <v>47.945.596.6-435.000</v>
      </c>
      <c r="AD657" s="80" t="str">
        <f>IFERROR(__xludf.DUMMYFUNCTION("""COMPUTED_VALUE"""),"CUM - EEN")</f>
        <v>CUM - EEN</v>
      </c>
      <c r="AE657" s="80" t="str">
        <f>IFERROR(__xludf.DUMMYFUNCTION("""COMPUTED_VALUE"""),"SUB EEN")</f>
        <v>SUB EEN</v>
      </c>
      <c r="AF657" s="80" t="str">
        <f>IFERROR(__xludf.DUMMYFUNCTION("""COMPUTED_VALUE"""),"08111441110")</f>
        <v>08111441110</v>
      </c>
      <c r="AG657" s="80"/>
      <c r="AH657" s="80" t="str">
        <f>IFERROR(__xludf.DUMMYFUNCTION("""COMPUTED_VALUE"""),"wahana.puricendana@gmail.com")</f>
        <v>wahana.puricendana@gmail.com</v>
      </c>
      <c r="AI657" s="80" t="str">
        <f>IFERROR(__xludf.DUMMYFUNCTION("""COMPUTED_VALUE"""),"17518S4")</f>
        <v>17518S4</v>
      </c>
      <c r="AJ657" s="80" t="str">
        <f>IFERROR(__xludf.DUMMYFUNCTION("""COMPUTED_VALUE"""),"68d7eecd1ab3313c4e033488")</f>
        <v>68d7eecd1ab3313c4e033488</v>
      </c>
      <c r="AK657" s="80" t="str">
        <f>IFERROR(__xludf.DUMMYFUNCTION("""COMPUTED_VALUE"""),"dm17518s4")</f>
        <v>dm17518s4</v>
      </c>
      <c r="AL657" s="80" t="str">
        <f>IFERROR(__xludf.DUMMYFUNCTION("""COMPUTED_VALUE"""),"#17518Pos")</f>
        <v>#17518Pos</v>
      </c>
      <c r="AM657" s="80" t="str">
        <f>IFERROR(__xludf.DUMMYFUNCTION("""COMPUTED_VALUE"""),"KANTOR REGIONAL II JAKARTA 10004")</f>
        <v>KANTOR REGIONAL II JAKARTA 10004</v>
      </c>
      <c r="AN657" s="80" t="str">
        <f>IFERROR(__xludf.DUMMYFUNCTION("""COMPUTED_VALUE"""),"KC CIKARANG 17500")</f>
        <v>KC CIKARANG 17500</v>
      </c>
      <c r="AO657" s="80" t="str">
        <f>IFERROR(__xludf.DUMMYFUNCTION("""COMPUTED_VALUE"""),"2708250121365")</f>
        <v>2708250121365</v>
      </c>
      <c r="AP657" s="80" t="str">
        <f>IFERROR(__xludf.DUMMYFUNCTION("""COMPUTED_VALUE"""),"27082501213650001")</f>
        <v>27082501213650001</v>
      </c>
      <c r="AQ657" s="83"/>
      <c r="AR657" s="80"/>
      <c r="AS657" s="80"/>
      <c r="AT657" s="80" t="str">
        <f>IFERROR(__xludf.DUMMYFUNCTION("""COMPUTED_VALUE"""),"-6.2322171")</f>
        <v>-6.2322171</v>
      </c>
      <c r="AU657" s="80" t="str">
        <f>IFERROR(__xludf.DUMMYFUNCTION("""COMPUTED_VALUE"""),"107.0629316")</f>
        <v>107.0629316</v>
      </c>
      <c r="AV657" s="80"/>
      <c r="AW657" s="80"/>
      <c r="AX657" s="80"/>
      <c r="AY657" s="80"/>
      <c r="AZ657" s="80"/>
      <c r="BA657" s="80"/>
      <c r="BB657" s="80"/>
      <c r="BC657" s="80"/>
      <c r="BD657" s="80"/>
      <c r="BE657" s="80"/>
      <c r="BF657" s="80"/>
      <c r="BG657" s="80"/>
      <c r="BH657" s="80"/>
      <c r="BI657" s="80"/>
      <c r="BJ657" s="80"/>
      <c r="BK657" s="80"/>
      <c r="BL657" s="80"/>
      <c r="BM657" s="80"/>
      <c r="BN657" s="80"/>
      <c r="BO657" s="80"/>
      <c r="BP657" s="80"/>
      <c r="BQ657" s="80"/>
      <c r="BR657" s="80"/>
      <c r="BS657" s="80"/>
      <c r="BT657" s="80"/>
      <c r="BU657" s="80"/>
      <c r="BV657" s="80"/>
      <c r="BW657" s="80"/>
      <c r="BX657" s="80" t="str">
        <f>IFERROR(__xludf.DUMMYFUNCTION("""COMPUTED_VALUE"""),"MULTIKURIR - WAHANA - SPX")</f>
        <v>MULTIKURIR - WAHANA - SPX</v>
      </c>
      <c r="BY657" s="80"/>
      <c r="BZ657" s="80"/>
      <c r="CA657" s="80"/>
      <c r="CB657" s="80"/>
      <c r="CC657" s="80"/>
      <c r="CD657" s="80"/>
      <c r="CE657" s="80"/>
      <c r="CF657" s="80"/>
      <c r="CG657" s="80"/>
      <c r="CH657" s="80"/>
      <c r="CI657" s="80"/>
      <c r="CJ657" s="80"/>
      <c r="CK657" s="2"/>
    </row>
    <row r="658" ht="12.75" customHeight="1">
      <c r="A658" s="85">
        <f>IFERROR(__xludf.DUMMYFUNCTION("""COMPUTED_VALUE"""),655.0)</f>
        <v>655</v>
      </c>
      <c r="B658" s="85"/>
      <c r="C658" s="85"/>
      <c r="D658" s="86">
        <f>IFERROR(__xludf.DUMMYFUNCTION("""COMPUTED_VALUE"""),45918.0)</f>
        <v>45918</v>
      </c>
      <c r="E658" s="88"/>
      <c r="F658" s="85"/>
      <c r="G658" s="86">
        <f>IFERROR(__xludf.DUMMYFUNCTION("""COMPUTED_VALUE"""),45929.0)</f>
        <v>45929</v>
      </c>
      <c r="H658" s="85"/>
      <c r="I658" s="85"/>
      <c r="J658" s="85"/>
      <c r="K658" s="85"/>
      <c r="L658" s="85">
        <f>IFERROR(__xludf.DUMMYFUNCTION("""COMPUTED_VALUE"""),11.0)</f>
        <v>11</v>
      </c>
      <c r="M658" s="85" t="str">
        <f>IFERROR(__xludf.DUMMYFUNCTION("""COMPUTED_VALUE"""),"ü")</f>
        <v>ü</v>
      </c>
      <c r="N658" s="85"/>
      <c r="O658" s="85"/>
      <c r="P658" s="85" t="str">
        <f>IFERROR(__xludf.DUMMYFUNCTION("""COMPUTED_VALUE"""),"53BSPA09672JBEEN")</f>
        <v>53BSPA09672JBEEN</v>
      </c>
      <c r="Q658" s="85" t="str">
        <f>IFERROR(__xludf.DUMMYFUNCTION("""COMPUTED_VALUE"""),"MUC HAJI UNG")</f>
        <v>MUC HAJI UNG</v>
      </c>
      <c r="R658" s="85" t="str">
        <f>IFERROR(__xludf.DUMMYFUNCTION("""COMPUTED_VALUE"""),"MUC HAJI UNG")</f>
        <v>MUC HAJI UNG</v>
      </c>
      <c r="S658" s="85" t="str">
        <f>IFERROR(__xludf.DUMMYFUNCTION("""COMPUTED_VALUE"""),"TRI KADARNINGSIH")</f>
        <v>TRI KADARNINGSIH</v>
      </c>
      <c r="T658" s="85" t="str">
        <f>IFERROR(__xludf.DUMMYFUNCTION("""COMPUTED_VALUE"""),"JL. HAJI UNG RT.005 RW.003, UTAN PANJANG, KEMAYORAN, JAKARTA PUSAT")</f>
        <v>JL. HAJI UNG RT.005 RW.003, UTAN PANJANG, KEMAYORAN, JAKARTA PUSAT</v>
      </c>
      <c r="U658" s="85" t="str">
        <f>IFERROR(__xludf.DUMMYFUNCTION("""COMPUTED_VALUE"""),"Jl. Haji ung RT 01/02 No. 1")</f>
        <v>Jl. Haji ung RT 01/02 No. 1</v>
      </c>
      <c r="V658" s="85"/>
      <c r="W658" s="85" t="str">
        <f>IFERROR(__xludf.DUMMYFUNCTION("""COMPUTED_VALUE"""),"Utan Panjang")</f>
        <v>Utan Panjang</v>
      </c>
      <c r="X658" s="85" t="str">
        <f>IFERROR(__xludf.DUMMYFUNCTION("""COMPUTED_VALUE"""),"Kemayoran")</f>
        <v>Kemayoran</v>
      </c>
      <c r="Y658" s="85" t="str">
        <f>IFERROR(__xludf.DUMMYFUNCTION("""COMPUTED_VALUE"""),"Jakarta Pusat")</f>
        <v>Jakarta Pusat</v>
      </c>
      <c r="Z658" s="85" t="str">
        <f>IFERROR(__xludf.DUMMYFUNCTION("""COMPUTED_VALUE"""),"DKI Jakarta")</f>
        <v>DKI Jakarta</v>
      </c>
      <c r="AA658" s="85" t="str">
        <f>IFERROR(__xludf.DUMMYFUNCTION("""COMPUTED_VALUE"""),"10650")</f>
        <v>10650</v>
      </c>
      <c r="AB658" s="85" t="str">
        <f>IFERROR(__xludf.DUMMYFUNCTION("""COMPUTED_VALUE"""),"3171035801680007")</f>
        <v>3171035801680007</v>
      </c>
      <c r="AC658" s="85" t="str">
        <f>IFERROR(__xludf.DUMMYFUNCTION("""COMPUTED_VALUE"""),"57.632.455.2-027.000")</f>
        <v>57.632.455.2-027.000</v>
      </c>
      <c r="AD658" s="85" t="str">
        <f>IFERROR(__xludf.DUMMYFUNCTION("""COMPUTED_VALUE"""),"CUM - EEN")</f>
        <v>CUM - EEN</v>
      </c>
      <c r="AE658" s="85" t="str">
        <f>IFERROR(__xludf.DUMMYFUNCTION("""COMPUTED_VALUE"""),"SUB EEN")</f>
        <v>SUB EEN</v>
      </c>
      <c r="AF658" s="85" t="str">
        <f>IFERROR(__xludf.DUMMYFUNCTION("""COMPUTED_VALUE"""),"081315385908")</f>
        <v>081315385908</v>
      </c>
      <c r="AG658" s="85"/>
      <c r="AH658" s="85" t="str">
        <f>IFERROR(__xludf.DUMMYFUNCTION("""COMPUTED_VALUE"""),"trietrie8@gmail.com")</f>
        <v>trietrie8@gmail.com</v>
      </c>
      <c r="AI658" s="85" t="str">
        <f>IFERROR(__xludf.DUMMYFUNCTION("""COMPUTED_VALUE"""),"10650S2")</f>
        <v>10650S2</v>
      </c>
      <c r="AJ658" s="85" t="str">
        <f>IFERROR(__xludf.DUMMYFUNCTION("""COMPUTED_VALUE"""),"68d8005448c89211810799da")</f>
        <v>68d8005448c89211810799da</v>
      </c>
      <c r="AK658" s="85" t="str">
        <f>IFERROR(__xludf.DUMMYFUNCTION("""COMPUTED_VALUE"""),"dm10650s2")</f>
        <v>dm10650s2</v>
      </c>
      <c r="AL658" s="85" t="str">
        <f>IFERROR(__xludf.DUMMYFUNCTION("""COMPUTED_VALUE"""),"#10650Pos")</f>
        <v>#10650Pos</v>
      </c>
      <c r="AM658" s="85" t="str">
        <f>IFERROR(__xludf.DUMMYFUNCTION("""COMPUTED_VALUE"""),"KANTOR REGIONAL II JAKARTA 10004")</f>
        <v>KANTOR REGIONAL II JAKARTA 10004</v>
      </c>
      <c r="AN658" s="85" t="str">
        <f>IFERROR(__xludf.DUMMYFUNCTION("""COMPUTED_VALUE"""),"KCU JAKARTACENTRUM 10000")</f>
        <v>KCU JAKARTACENTRUM 10000</v>
      </c>
      <c r="AO658" s="85" t="str">
        <f>IFERROR(__xludf.DUMMYFUNCTION("""COMPUTED_VALUE"""),"1709250138816")</f>
        <v>1709250138816</v>
      </c>
      <c r="AP658" s="85" t="str">
        <f>IFERROR(__xludf.DUMMYFUNCTION("""COMPUTED_VALUE"""),"17092501388160001")</f>
        <v>17092501388160001</v>
      </c>
      <c r="AQ658" s="93"/>
      <c r="AR658" s="85"/>
      <c r="AS658" s="85"/>
      <c r="AT658" s="85" t="str">
        <f>IFERROR(__xludf.DUMMYFUNCTION("""COMPUTED_VALUE"""),"-6.1637861")</f>
        <v>-6.1637861</v>
      </c>
      <c r="AU658" s="85" t="str">
        <f>IFERROR(__xludf.DUMMYFUNCTION("""COMPUTED_VALUE"""),"106.8532391")</f>
        <v>106.8532391</v>
      </c>
      <c r="AV658" s="85"/>
      <c r="AW658" s="85"/>
      <c r="AX658" s="85"/>
      <c r="AY658" s="85"/>
      <c r="AZ658" s="85"/>
      <c r="BA658" s="85"/>
      <c r="BB658" s="85"/>
      <c r="BC658" s="85"/>
      <c r="BD658" s="85"/>
      <c r="BE658" s="85"/>
      <c r="BF658" s="85"/>
      <c r="BG658" s="85"/>
      <c r="BH658" s="85"/>
      <c r="BI658" s="85"/>
      <c r="BJ658" s="85"/>
      <c r="BK658" s="85"/>
      <c r="BL658" s="85"/>
      <c r="BM658" s="85"/>
      <c r="BN658" s="85"/>
      <c r="BO658" s="85"/>
      <c r="BP658" s="85"/>
      <c r="BQ658" s="85"/>
      <c r="BR658" s="85"/>
      <c r="BS658" s="85"/>
      <c r="BT658" s="85"/>
      <c r="BU658" s="85"/>
      <c r="BV658" s="85"/>
      <c r="BW658" s="85"/>
      <c r="BX658" s="85" t="str">
        <f>IFERROR(__xludf.DUMMYFUNCTION("""COMPUTED_VALUE"""),"MULTIKURIR - LION PARCEL - WAHANA")</f>
        <v>MULTIKURIR - LION PARCEL - WAHANA</v>
      </c>
      <c r="BY658" s="85"/>
      <c r="BZ658" s="85"/>
      <c r="CA658" s="85"/>
      <c r="CB658" s="85"/>
      <c r="CC658" s="85"/>
      <c r="CD658" s="85"/>
      <c r="CE658" s="85"/>
      <c r="CF658" s="85"/>
      <c r="CG658" s="85"/>
      <c r="CH658" s="85"/>
      <c r="CI658" s="85"/>
      <c r="CJ658" s="85"/>
      <c r="CK658" s="2"/>
    </row>
    <row r="659" ht="12.75" customHeight="1">
      <c r="A659" s="80">
        <f>IFERROR(__xludf.DUMMYFUNCTION("""COMPUTED_VALUE"""),656.0)</f>
        <v>656</v>
      </c>
      <c r="B659" s="80"/>
      <c r="C659" s="80"/>
      <c r="D659" s="81">
        <f>IFERROR(__xludf.DUMMYFUNCTION("""COMPUTED_VALUE"""),45918.0)</f>
        <v>45918</v>
      </c>
      <c r="E659" s="82"/>
      <c r="F659" s="80"/>
      <c r="G659" s="81">
        <f>IFERROR(__xludf.DUMMYFUNCTION("""COMPUTED_VALUE"""),45929.0)</f>
        <v>45929</v>
      </c>
      <c r="H659" s="80"/>
      <c r="I659" s="80"/>
      <c r="J659" s="80"/>
      <c r="K659" s="80"/>
      <c r="L659" s="80">
        <f>IFERROR(__xludf.DUMMYFUNCTION("""COMPUTED_VALUE"""),11.0)</f>
        <v>11</v>
      </c>
      <c r="M659" s="80" t="str">
        <f>IFERROR(__xludf.DUMMYFUNCTION("""COMPUTED_VALUE"""),"ü")</f>
        <v>ü</v>
      </c>
      <c r="N659" s="80"/>
      <c r="O659" s="80"/>
      <c r="P659" s="80" t="str">
        <f>IFERROR(__xludf.DUMMYFUNCTION("""COMPUTED_VALUE"""),"MUCSPA63257PSIND")</f>
        <v>MUCSPA63257PSIND</v>
      </c>
      <c r="Q659" s="80" t="str">
        <f>IFERROR(__xludf.DUMMYFUNCTION("""COMPUTED_VALUE"""),"MUC AMIRA")</f>
        <v>MUC AMIRA</v>
      </c>
      <c r="R659" s="80" t="str">
        <f>IFERROR(__xludf.DUMMYFUNCTION("""COMPUTED_VALUE"""),"MUC AMIRA")</f>
        <v>MUC AMIRA</v>
      </c>
      <c r="S659" s="80" t="str">
        <f>IFERROR(__xludf.DUMMYFUNCTION("""COMPUTED_VALUE"""),"ALIFA PUTRI KUSMAYADI")</f>
        <v>ALIFA PUTRI KUSMAYADI</v>
      </c>
      <c r="T659" s="80" t="str">
        <f>IFERROR(__xludf.DUMMYFUNCTION("""COMPUTED_VALUE"""),"KP. CIBEUREUM RT 2 RW 1")</f>
        <v>KP. CIBEUREUM RT 2 RW 1</v>
      </c>
      <c r="U659" s="80" t="str">
        <f>IFERROR(__xludf.DUMMYFUNCTION("""COMPUTED_VALUE"""),"JL. RAYA PACET NO. 62 ")</f>
        <v>JL. RAYA PACET NO. 62 </v>
      </c>
      <c r="V659" s="80"/>
      <c r="W659" s="80" t="str">
        <f>IFERROR(__xludf.DUMMYFUNCTION("""COMPUTED_VALUE"""),"MARUYUNG")</f>
        <v>MARUYUNG</v>
      </c>
      <c r="X659" s="80" t="str">
        <f>IFERROR(__xludf.DUMMYFUNCTION("""COMPUTED_VALUE"""),"PACET")</f>
        <v>PACET</v>
      </c>
      <c r="Y659" s="80" t="str">
        <f>IFERROR(__xludf.DUMMYFUNCTION("""COMPUTED_VALUE"""),"KAB. BANDUNG ")</f>
        <v>KAB. BANDUNG </v>
      </c>
      <c r="Z659" s="80" t="str">
        <f>IFERROR(__xludf.DUMMYFUNCTION("""COMPUTED_VALUE"""),"JAWA BARAT")</f>
        <v>JAWA BARAT</v>
      </c>
      <c r="AA659" s="80" t="str">
        <f>IFERROR(__xludf.DUMMYFUNCTION("""COMPUTED_VALUE"""),"40385")</f>
        <v>40385</v>
      </c>
      <c r="AB659" s="80" t="str">
        <f>IFERROR(__xludf.DUMMYFUNCTION("""COMPUTED_VALUE"""),"3204316007980003")</f>
        <v>3204316007980003</v>
      </c>
      <c r="AC659" s="80" t="str">
        <f>IFERROR(__xludf.DUMMYFUNCTION("""COMPUTED_VALUE"""),"3204 3160 0789 0003")</f>
        <v>3204 3160 0789 0003</v>
      </c>
      <c r="AD659" s="80" t="str">
        <f>IFERROR(__xludf.DUMMYFUNCTION("""COMPUTED_VALUE"""),"CUM - PS - THI")</f>
        <v>CUM - PS - THI</v>
      </c>
      <c r="AE659" s="80" t="str">
        <f>IFERROR(__xludf.DUMMYFUNCTION("""COMPUTED_VALUE"""),"SUB THIO POS")</f>
        <v>SUB THIO POS</v>
      </c>
      <c r="AF659" s="80" t="str">
        <f>IFERROR(__xludf.DUMMYFUNCTION("""COMPUTED_VALUE"""),"085723670781")</f>
        <v>085723670781</v>
      </c>
      <c r="AG659" s="80"/>
      <c r="AH659" s="80" t="str">
        <f>IFERROR(__xludf.DUMMYFUNCTION("""COMPUTED_VALUE"""),"alifaptrk@gmail.com")</f>
        <v>alifaptrk@gmail.com</v>
      </c>
      <c r="AI659" s="80" t="str">
        <f>IFERROR(__xludf.DUMMYFUNCTION("""COMPUTED_VALUE"""),"40385S1")</f>
        <v>40385S1</v>
      </c>
      <c r="AJ659" s="80" t="str">
        <f>IFERROR(__xludf.DUMMYFUNCTION("""COMPUTED_VALUE"""),"68d8a6804e14ab0eeb0d2d59")</f>
        <v>68d8a6804e14ab0eeb0d2d59</v>
      </c>
      <c r="AK659" s="80" t="str">
        <f>IFERROR(__xludf.DUMMYFUNCTION("""COMPUTED_VALUE"""),"dm40385s1")</f>
        <v>dm40385s1</v>
      </c>
      <c r="AL659" s="80" t="str">
        <f>IFERROR(__xludf.DUMMYFUNCTION("""COMPUTED_VALUE"""),"#40385Pos")</f>
        <v>#40385Pos</v>
      </c>
      <c r="AM659" s="80" t="str">
        <f>IFERROR(__xludf.DUMMYFUNCTION("""COMPUTED_VALUE"""),"KANTOR REGIONAL III BANDUNG 40004")</f>
        <v>KANTOR REGIONAL III BANDUNG 40004</v>
      </c>
      <c r="AN659" s="80" t="str">
        <f>IFERROR(__xludf.DUMMYFUNCTION("""COMPUTED_VALUE"""),"KC UJUNGBERUNG ")</f>
        <v>KC UJUNGBERUNG </v>
      </c>
      <c r="AO659" s="80" t="str">
        <f>IFERROR(__xludf.DUMMYFUNCTION("""COMPUTED_VALUE"""),"1709250142021")</f>
        <v>1709250142021</v>
      </c>
      <c r="AP659" s="80" t="str">
        <f>IFERROR(__xludf.DUMMYFUNCTION("""COMPUTED_VALUE"""),"17092501420210001")</f>
        <v>17092501420210001</v>
      </c>
      <c r="AQ659" s="83"/>
      <c r="AR659" s="80"/>
      <c r="AS659" s="80"/>
      <c r="AT659" s="80" t="str">
        <f>IFERROR(__xludf.DUMMYFUNCTION("""COMPUTED_VALUE"""),"-7.1031766")</f>
        <v>-7.1031766</v>
      </c>
      <c r="AU659" s="80" t="str">
        <f>IFERROR(__xludf.DUMMYFUNCTION("""COMPUTED_VALUE"""),"107.7046846")</f>
        <v>107.7046846</v>
      </c>
      <c r="AV659" s="80"/>
      <c r="AW659" s="80"/>
      <c r="AX659" s="80"/>
      <c r="AY659" s="80"/>
      <c r="AZ659" s="80"/>
      <c r="BA659" s="80"/>
      <c r="BB659" s="80"/>
      <c r="BC659" s="80"/>
      <c r="BD659" s="80"/>
      <c r="BE659" s="80"/>
      <c r="BF659" s="80"/>
      <c r="BG659" s="80"/>
      <c r="BH659" s="80"/>
      <c r="BI659" s="80"/>
      <c r="BJ659" s="80"/>
      <c r="BK659" s="80"/>
      <c r="BL659" s="80"/>
      <c r="BM659" s="80"/>
      <c r="BN659" s="80"/>
      <c r="BO659" s="80"/>
      <c r="BP659" s="80"/>
      <c r="BQ659" s="80"/>
      <c r="BR659" s="80"/>
      <c r="BS659" s="80"/>
      <c r="BT659" s="80"/>
      <c r="BU659" s="80"/>
      <c r="BV659" s="80"/>
      <c r="BW659" s="80"/>
      <c r="BX659" s="80" t="str">
        <f>IFERROR(__xludf.DUMMYFUNCTION("""COMPUTED_VALUE"""),"NEWBIE")</f>
        <v>NEWBIE</v>
      </c>
      <c r="BY659" s="80"/>
      <c r="BZ659" s="80"/>
      <c r="CA659" s="80"/>
      <c r="CB659" s="80"/>
      <c r="CC659" s="80"/>
      <c r="CD659" s="80"/>
      <c r="CE659" s="80"/>
      <c r="CF659" s="80"/>
      <c r="CG659" s="80"/>
      <c r="CH659" s="80"/>
      <c r="CI659" s="80"/>
      <c r="CJ659" s="80"/>
      <c r="CK659" s="2"/>
    </row>
    <row r="660" ht="12.75" customHeight="1">
      <c r="A660" s="85">
        <f>IFERROR(__xludf.DUMMYFUNCTION("""COMPUTED_VALUE"""),657.0)</f>
        <v>657</v>
      </c>
      <c r="B660" s="85"/>
      <c r="C660" s="85"/>
      <c r="D660" s="86">
        <f>IFERROR(__xludf.DUMMYFUNCTION("""COMPUTED_VALUE"""),45919.0)</f>
        <v>45919</v>
      </c>
      <c r="E660" s="88"/>
      <c r="F660" s="85"/>
      <c r="G660" s="86">
        <f>IFERROR(__xludf.DUMMYFUNCTION("""COMPUTED_VALUE"""),45932.0)</f>
        <v>45932</v>
      </c>
      <c r="H660" s="85"/>
      <c r="I660" s="85"/>
      <c r="J660" s="85"/>
      <c r="K660" s="85"/>
      <c r="L660" s="85">
        <f>IFERROR(__xludf.DUMMYFUNCTION("""COMPUTED_VALUE"""),13.0)</f>
        <v>13</v>
      </c>
      <c r="M660" s="85" t="str">
        <f>IFERROR(__xludf.DUMMYFUNCTION("""COMPUTED_VALUE"""),"ü")</f>
        <v>ü</v>
      </c>
      <c r="N660" s="85"/>
      <c r="O660" s="85"/>
      <c r="P660" s="85" t="str">
        <f>IFERROR(__xludf.DUMMYFUNCTION("""COMPUTED_VALUE"""),"MUCSPA63258PSIND")</f>
        <v>MUCSPA63258PSIND</v>
      </c>
      <c r="Q660" s="85" t="str">
        <f>IFERROR(__xludf.DUMMYFUNCTION("""COMPUTED_VALUE"""),"MUC TOKO ROHANA")</f>
        <v>MUC TOKO ROHANA</v>
      </c>
      <c r="R660" s="85" t="str">
        <f>IFERROR(__xludf.DUMMYFUNCTION("""COMPUTED_VALUE"""),"MUC TOKO ROHANA")</f>
        <v>MUC TOKO ROHANA</v>
      </c>
      <c r="S660" s="85" t="str">
        <f>IFERROR(__xludf.DUMMYFUNCTION("""COMPUTED_VALUE"""),"ROHANA")</f>
        <v>ROHANA</v>
      </c>
      <c r="T660" s="85" t="str">
        <f>IFERROR(__xludf.DUMMYFUNCTION("""COMPUTED_VALUE"""),"DUSUN VI DESA PAYA LOMBANG, PAYA LOMBANG, TEBING TINGGI, KAB. SERDANG BEDAGAI")</f>
        <v>DUSUN VI DESA PAYA LOMBANG, PAYA LOMBANG, TEBING TINGGI, KAB. SERDANG BEDAGAI</v>
      </c>
      <c r="U660" s="85" t="str">
        <f>IFERROR(__xludf.DUMMYFUNCTION("""COMPUTED_VALUE"""),"DUSUN XV DESA PAYA LOMBANG")</f>
        <v>DUSUN XV DESA PAYA LOMBANG</v>
      </c>
      <c r="V660" s="85"/>
      <c r="W660" s="85" t="str">
        <f>IFERROR(__xludf.DUMMYFUNCTION("""COMPUTED_VALUE"""),"Paya Lombang")</f>
        <v>Paya Lombang</v>
      </c>
      <c r="X660" s="85" t="str">
        <f>IFERROR(__xludf.DUMMYFUNCTION("""COMPUTED_VALUE"""),"Tebing Tinggi")</f>
        <v>Tebing Tinggi</v>
      </c>
      <c r="Y660" s="85" t="str">
        <f>IFERROR(__xludf.DUMMYFUNCTION("""COMPUTED_VALUE"""),"Kab. Serdang Bedagai")</f>
        <v>Kab. Serdang Bedagai</v>
      </c>
      <c r="Z660" s="85" t="str">
        <f>IFERROR(__xludf.DUMMYFUNCTION("""COMPUTED_VALUE"""),"Sumatera Utara")</f>
        <v>Sumatera Utara</v>
      </c>
      <c r="AA660" s="85" t="str">
        <f>IFERROR(__xludf.DUMMYFUNCTION("""COMPUTED_VALUE"""),"20999")</f>
        <v>20999</v>
      </c>
      <c r="AB660" s="85" t="str">
        <f>IFERROR(__xludf.DUMMYFUNCTION("""COMPUTED_VALUE"""),"1218134706680001")</f>
        <v>1218134706680001</v>
      </c>
      <c r="AC660" s="85" t="str">
        <f>IFERROR(__xludf.DUMMYFUNCTION("""COMPUTED_VALUE"""),"11.462.9132-114.000")</f>
        <v>11.462.9132-114.000</v>
      </c>
      <c r="AD660" s="85" t="str">
        <f>IFERROR(__xludf.DUMMYFUNCTION("""COMPUTED_VALUE"""),"PAK RONA KC TEBING TINGGI")</f>
        <v>PAK RONA KC TEBING TINGGI</v>
      </c>
      <c r="AE660" s="85" t="str">
        <f>IFERROR(__xludf.DUMMYFUNCTION("""COMPUTED_VALUE"""),"PAK RONA KC TEBING TINGGI")</f>
        <v>PAK RONA KC TEBING TINGGI</v>
      </c>
      <c r="AF660" s="85" t="str">
        <f>IFERROR(__xludf.DUMMYFUNCTION("""COMPUTED_VALUE"""),"081264525914")</f>
        <v>081264525914</v>
      </c>
      <c r="AG660" s="85"/>
      <c r="AH660" s="85" t="str">
        <f>IFERROR(__xludf.DUMMYFUNCTION("""COMPUTED_VALUE"""),"rohanaputri292@gmail.com")</f>
        <v>rohanaputri292@gmail.com</v>
      </c>
      <c r="AI660" s="85" t="str">
        <f>IFERROR(__xludf.DUMMYFUNCTION("""COMPUTED_VALUE"""),"20651S1")</f>
        <v>20651S1</v>
      </c>
      <c r="AJ660" s="85" t="str">
        <f>IFERROR(__xludf.DUMMYFUNCTION("""COMPUTED_VALUE"""),"68dd05181d510c401b02e18d")</f>
        <v>68dd05181d510c401b02e18d</v>
      </c>
      <c r="AK660" s="85" t="str">
        <f>IFERROR(__xludf.DUMMYFUNCTION("""COMPUTED_VALUE"""),"dm20651s1")</f>
        <v>dm20651s1</v>
      </c>
      <c r="AL660" s="85" t="str">
        <f>IFERROR(__xludf.DUMMYFUNCTION("""COMPUTED_VALUE"""),"#20651Pos")</f>
        <v>#20651Pos</v>
      </c>
      <c r="AM660" s="85" t="str">
        <f>IFERROR(__xludf.DUMMYFUNCTION("""COMPUTED_VALUE"""),"KANTOR REGIONAL I MEDAN 20004")</f>
        <v>KANTOR REGIONAL I MEDAN 20004</v>
      </c>
      <c r="AN660" s="85" t="str">
        <f>IFERROR(__xludf.DUMMYFUNCTION("""COMPUTED_VALUE"""),"KC TEBING TINGGI")</f>
        <v>KC TEBING TINGGI</v>
      </c>
      <c r="AO660" s="85" t="str">
        <f>IFERROR(__xludf.DUMMYFUNCTION("""COMPUTED_VALUE"""),"1906240134716")</f>
        <v>1906240134716</v>
      </c>
      <c r="AP660" s="85" t="str">
        <f>IFERROR(__xludf.DUMMYFUNCTION("""COMPUTED_VALUE"""),"19062401347160001")</f>
        <v>19062401347160001</v>
      </c>
      <c r="AQ660" s="93"/>
      <c r="AR660" s="85"/>
      <c r="AS660" s="85"/>
      <c r="AT660" s="85"/>
      <c r="AU660" s="85"/>
      <c r="AV660" s="85"/>
      <c r="AW660" s="85"/>
      <c r="AX660" s="85"/>
      <c r="AY660" s="85"/>
      <c r="AZ660" s="85"/>
      <c r="BA660" s="85"/>
      <c r="BB660" s="85"/>
      <c r="BC660" s="85"/>
      <c r="BD660" s="85"/>
      <c r="BE660" s="85"/>
      <c r="BF660" s="85"/>
      <c r="BG660" s="85"/>
      <c r="BH660" s="85"/>
      <c r="BI660" s="85"/>
      <c r="BJ660" s="85"/>
      <c r="BK660" s="85"/>
      <c r="BL660" s="85"/>
      <c r="BM660" s="85"/>
      <c r="BN660" s="85"/>
      <c r="BO660" s="85"/>
      <c r="BP660" s="85"/>
      <c r="BQ660" s="85"/>
      <c r="BR660" s="85"/>
      <c r="BS660" s="85"/>
      <c r="BT660" s="85"/>
      <c r="BU660" s="85"/>
      <c r="BV660" s="85"/>
      <c r="BW660" s="85"/>
      <c r="BX660" s="85" t="str">
        <f>IFERROR(__xludf.DUMMYFUNCTION("""COMPUTED_VALUE"""),"NEWBIE")</f>
        <v>NEWBIE</v>
      </c>
      <c r="BY660" s="85"/>
      <c r="BZ660" s="85"/>
      <c r="CA660" s="85"/>
      <c r="CB660" s="85"/>
      <c r="CC660" s="85"/>
      <c r="CD660" s="85"/>
      <c r="CE660" s="85"/>
      <c r="CF660" s="85"/>
      <c r="CG660" s="85"/>
      <c r="CH660" s="85"/>
      <c r="CI660" s="85"/>
      <c r="CJ660" s="85"/>
      <c r="CK660" s="2"/>
    </row>
    <row r="661" ht="12.75" customHeight="1">
      <c r="A661" s="80">
        <f>IFERROR(__xludf.DUMMYFUNCTION("""COMPUTED_VALUE"""),658.0)</f>
        <v>658</v>
      </c>
      <c r="B661" s="80"/>
      <c r="C661" s="80"/>
      <c r="D661" s="81">
        <f>IFERROR(__xludf.DUMMYFUNCTION("""COMPUTED_VALUE"""),45922.0)</f>
        <v>45922</v>
      </c>
      <c r="E661" s="82"/>
      <c r="F661" s="80"/>
      <c r="G661" s="81">
        <f>IFERROR(__xludf.DUMMYFUNCTION("""COMPUTED_VALUE"""),45929.0)</f>
        <v>45929</v>
      </c>
      <c r="H661" s="80"/>
      <c r="I661" s="80"/>
      <c r="J661" s="80"/>
      <c r="K661" s="80"/>
      <c r="L661" s="80">
        <f>IFERROR(__xludf.DUMMYFUNCTION("""COMPUTED_VALUE"""),7.0)</f>
        <v>7</v>
      </c>
      <c r="M661" s="80"/>
      <c r="N661" s="80" t="str">
        <f>IFERROR(__xludf.DUMMYFUNCTION("""COMPUTED_VALUE"""),"ü")</f>
        <v>ü</v>
      </c>
      <c r="O661" s="80"/>
      <c r="P661" s="80" t="str">
        <f>IFERROR(__xludf.DUMMYFUNCTION("""COMPUTED_VALUE"""),"MUCSPA63259PSIND")</f>
        <v>MUCSPA63259PSIND</v>
      </c>
      <c r="Q661" s="80" t="str">
        <f>IFERROR(__xludf.DUMMYFUNCTION("""COMPUTED_VALUE"""),"MUC PUTRA SULUNG NUSANTARA")</f>
        <v>MUC PUTRA SULUNG NUSANTARA</v>
      </c>
      <c r="R661" s="80" t="str">
        <f>IFERROR(__xludf.DUMMYFUNCTION("""COMPUTED_VALUE"""),"MUC PUTRA SULUNG NUSANTARA")</f>
        <v>MUC PUTRA SULUNG NUSANTARA</v>
      </c>
      <c r="S661" s="80" t="str">
        <f>IFERROR(__xludf.DUMMYFUNCTION("""COMPUTED_VALUE"""),"GHOZI SYAFIQ ARROZI")</f>
        <v>GHOZI SYAFIQ ARROZI</v>
      </c>
      <c r="T661" s="80" t="str">
        <f>IFERROR(__xludf.DUMMYFUNCTION("""COMPUTED_VALUE"""),"JL. DR. SETIABUDHI RT 2 RW 1")</f>
        <v>JL. DR. SETIABUDHI RT 2 RW 1</v>
      </c>
      <c r="U661" s="80" t="str">
        <f>IFERROR(__xludf.DUMMYFUNCTION("""COMPUTED_VALUE"""),"JL. CIGUGUR GIRANG NO. 109")</f>
        <v>JL. CIGUGUR GIRANG NO. 109</v>
      </c>
      <c r="V661" s="80"/>
      <c r="W661" s="80" t="str">
        <f>IFERROR(__xludf.DUMMYFUNCTION("""COMPUTED_VALUE"""),"CIHIDEUNG")</f>
        <v>CIHIDEUNG</v>
      </c>
      <c r="X661" s="80" t="str">
        <f>IFERROR(__xludf.DUMMYFUNCTION("""COMPUTED_VALUE"""),"PARONGPONG")</f>
        <v>PARONGPONG</v>
      </c>
      <c r="Y661" s="80" t="str">
        <f>IFERROR(__xludf.DUMMYFUNCTION("""COMPUTED_VALUE"""),"KBB")</f>
        <v>KBB</v>
      </c>
      <c r="Z661" s="80" t="str">
        <f>IFERROR(__xludf.DUMMYFUNCTION("""COMPUTED_VALUE"""),"JAWA BARAT")</f>
        <v>JAWA BARAT</v>
      </c>
      <c r="AA661" s="80" t="str">
        <f>IFERROR(__xludf.DUMMYFUNCTION("""COMPUTED_VALUE"""),"40559")</f>
        <v>40559</v>
      </c>
      <c r="AB661" s="80" t="str">
        <f>IFERROR(__xludf.DUMMYFUNCTION("""COMPUTED_VALUE"""),"3273010909980003")</f>
        <v>3273010909980003</v>
      </c>
      <c r="AC661" s="80" t="str">
        <f>IFERROR(__xludf.DUMMYFUNCTION("""COMPUTED_VALUE"""),"1000 0000 0428 7327")</f>
        <v>1000 0000 0428 7327</v>
      </c>
      <c r="AD661" s="80" t="str">
        <f>IFERROR(__xludf.DUMMYFUNCTION("""COMPUTED_VALUE"""),"CUM - PS - ADS")</f>
        <v>CUM - PS - ADS</v>
      </c>
      <c r="AE661" s="80" t="str">
        <f>IFERROR(__xludf.DUMMYFUNCTION("""COMPUTED_VALUE"""),"SUB ADI SONJAYA POS")</f>
        <v>SUB ADI SONJAYA POS</v>
      </c>
      <c r="AF661" s="80" t="str">
        <f>IFERROR(__xludf.DUMMYFUNCTION("""COMPUTED_VALUE"""),"082258122282")</f>
        <v>082258122282</v>
      </c>
      <c r="AG661" s="80"/>
      <c r="AH661" s="80" t="str">
        <f>IFERROR(__xludf.DUMMYFUNCTION("""COMPUTED_VALUE"""),"putrasulungnusantara@gmail.com")</f>
        <v>putrasulungnusantara@gmail.com</v>
      </c>
      <c r="AI661" s="80" t="str">
        <f>IFERROR(__xludf.DUMMYFUNCTION("""COMPUTED_VALUE"""),"40759S6")</f>
        <v>40759S6</v>
      </c>
      <c r="AJ661" s="80" t="str">
        <f>IFERROR(__xludf.DUMMYFUNCTION("""COMPUTED_VALUE"""),"68d9f5d9021610af7a0833a7")</f>
        <v>68d9f5d9021610af7a0833a7</v>
      </c>
      <c r="AK661" s="80" t="str">
        <f>IFERROR(__xludf.DUMMYFUNCTION("""COMPUTED_VALUE"""),"dm40759s6")</f>
        <v>dm40759s6</v>
      </c>
      <c r="AL661" s="80" t="str">
        <f>IFERROR(__xludf.DUMMYFUNCTION("""COMPUTED_VALUE"""),"#40759Pos")</f>
        <v>#40759Pos</v>
      </c>
      <c r="AM661" s="80" t="str">
        <f>IFERROR(__xludf.DUMMYFUNCTION("""COMPUTED_VALUE"""),"KANTOR REGIONAL II JAKARTA 10004")</f>
        <v>KANTOR REGIONAL II JAKARTA 10004</v>
      </c>
      <c r="AN661" s="80" t="str">
        <f>IFERROR(__xludf.DUMMYFUNCTION("""COMPUTED_VALUE"""),"KC CIMAHI ")</f>
        <v>KC CIMAHI </v>
      </c>
      <c r="AO661" s="80" t="str">
        <f>IFERROR(__xludf.DUMMYFUNCTION("""COMPUTED_VALUE"""),"1907250033356")</f>
        <v>1907250033356</v>
      </c>
      <c r="AP661" s="80" t="str">
        <f>IFERROR(__xludf.DUMMYFUNCTION("""COMPUTED_VALUE"""),"19072500333560002")</f>
        <v>19072500333560002</v>
      </c>
      <c r="AQ661" s="83"/>
      <c r="AR661" s="80"/>
      <c r="AS661" s="80"/>
      <c r="AT661" s="80" t="str">
        <f>IFERROR(__xludf.DUMMYFUNCTION("""COMPUTED_VALUE"""),"-6.8045554")</f>
        <v>-6.8045554</v>
      </c>
      <c r="AU661" s="80" t="str">
        <f>IFERROR(__xludf.DUMMYFUNCTION("""COMPUTED_VALUE"""),"107.5880368")</f>
        <v>107.5880368</v>
      </c>
      <c r="AV661" s="80"/>
      <c r="AW661" s="80"/>
      <c r="AX661" s="80"/>
      <c r="AY661" s="80"/>
      <c r="AZ661" s="80"/>
      <c r="BA661" s="80"/>
      <c r="BB661" s="80"/>
      <c r="BC661" s="80"/>
      <c r="BD661" s="80"/>
      <c r="BE661" s="80"/>
      <c r="BF661" s="80"/>
      <c r="BG661" s="80"/>
      <c r="BH661" s="80"/>
      <c r="BI661" s="80"/>
      <c r="BJ661" s="80"/>
      <c r="BK661" s="80"/>
      <c r="BL661" s="80"/>
      <c r="BM661" s="80"/>
      <c r="BN661" s="80"/>
      <c r="BO661" s="80"/>
      <c r="BP661" s="80"/>
      <c r="BQ661" s="80"/>
      <c r="BR661" s="80"/>
      <c r="BS661" s="80"/>
      <c r="BT661" s="80"/>
      <c r="BU661" s="80"/>
      <c r="BV661" s="80"/>
      <c r="BW661" s="80"/>
      <c r="BX661" s="80" t="str">
        <f>IFERROR(__xludf.DUMMYFUNCTION("""COMPUTED_VALUE"""),"NEWBIE")</f>
        <v>NEWBIE</v>
      </c>
      <c r="BY661" s="80"/>
      <c r="BZ661" s="80"/>
      <c r="CA661" s="80"/>
      <c r="CB661" s="80"/>
      <c r="CC661" s="80"/>
      <c r="CD661" s="80"/>
      <c r="CE661" s="80"/>
      <c r="CF661" s="80"/>
      <c r="CG661" s="80"/>
      <c r="CH661" s="80"/>
      <c r="CI661" s="80"/>
      <c r="CJ661" s="80"/>
      <c r="CK661" s="2"/>
    </row>
    <row r="662" ht="12.75" customHeight="1">
      <c r="A662" s="85">
        <f>IFERROR(__xludf.DUMMYFUNCTION("""COMPUTED_VALUE"""),659.0)</f>
        <v>659</v>
      </c>
      <c r="B662" s="85"/>
      <c r="C662" s="85"/>
      <c r="D662" s="86">
        <f>IFERROR(__xludf.DUMMYFUNCTION("""COMPUTED_VALUE"""),45922.0)</f>
        <v>45922</v>
      </c>
      <c r="E662" s="88"/>
      <c r="F662" s="85"/>
      <c r="G662" s="86">
        <f>IFERROR(__xludf.DUMMYFUNCTION("""COMPUTED_VALUE"""),45933.0)</f>
        <v>45933</v>
      </c>
      <c r="H662" s="85"/>
      <c r="I662" s="85"/>
      <c r="J662" s="85"/>
      <c r="K662" s="85"/>
      <c r="L662" s="85">
        <f>IFERROR(__xludf.DUMMYFUNCTION("""COMPUTED_VALUE"""),11.0)</f>
        <v>11</v>
      </c>
      <c r="M662" s="85" t="str">
        <f>IFERROR(__xludf.DUMMYFUNCTION("""COMPUTED_VALUE"""),"ü")</f>
        <v>ü</v>
      </c>
      <c r="N662" s="85"/>
      <c r="O662" s="85"/>
      <c r="P662" s="85" t="str">
        <f>IFERROR(__xludf.DUMMYFUNCTION("""COMPUTED_VALUE"""),"MUCSPA63260PSIND")</f>
        <v>MUCSPA63260PSIND</v>
      </c>
      <c r="Q662" s="85" t="str">
        <f>IFERROR(__xludf.DUMMYFUNCTION("""COMPUTED_VALUE"""),"MUC BM CELL")</f>
        <v>MUC BM CELL</v>
      </c>
      <c r="R662" s="85" t="str">
        <f>IFERROR(__xludf.DUMMYFUNCTION("""COMPUTED_VALUE"""),"MUC BM CELL")</f>
        <v>MUC BM CELL</v>
      </c>
      <c r="S662" s="85" t="str">
        <f>IFERROR(__xludf.DUMMYFUNCTION("""COMPUTED_VALUE"""),"ASRIL S")</f>
        <v>ASRIL S</v>
      </c>
      <c r="T662" s="85" t="str">
        <f>IFERROR(__xludf.DUMMYFUNCTION("""COMPUTED_VALUE"""),"PADANG GAMUAK RT.001 RW.005, TAROK DIPO, GUGUAK PANJANG, KOTA BUKITTINGGI SUMATERA BARAT")</f>
        <v>PADANG GAMUAK RT.001 RW.005, TAROK DIPO, GUGUAK PANJANG, KOTA BUKITTINGGI SUMATERA BARAT</v>
      </c>
      <c r="U662" s="85" t="str">
        <f>IFERROR(__xludf.DUMMYFUNCTION("""COMPUTED_VALUE"""),"Jl. Diponegoro No.1 Aur Kuning")</f>
        <v>Jl. Diponegoro No.1 Aur Kuning</v>
      </c>
      <c r="V662" s="85"/>
      <c r="W662" s="85" t="str">
        <f>IFERROR(__xludf.DUMMYFUNCTION("""COMPUTED_VALUE"""),"Tarok Dipo")</f>
        <v>Tarok Dipo</v>
      </c>
      <c r="X662" s="85" t="str">
        <f>IFERROR(__xludf.DUMMYFUNCTION("""COMPUTED_VALUE"""),"Guguk Panjang")</f>
        <v>Guguk Panjang</v>
      </c>
      <c r="Y662" s="85" t="str">
        <f>IFERROR(__xludf.DUMMYFUNCTION("""COMPUTED_VALUE"""),"Bukittinggi")</f>
        <v>Bukittinggi</v>
      </c>
      <c r="Z662" s="85" t="str">
        <f>IFERROR(__xludf.DUMMYFUNCTION("""COMPUTED_VALUE"""),"Sumatera Barat")</f>
        <v>Sumatera Barat</v>
      </c>
      <c r="AA662" s="85" t="str">
        <f>IFERROR(__xludf.DUMMYFUNCTION("""COMPUTED_VALUE"""),"26111")</f>
        <v>26111</v>
      </c>
      <c r="AB662" s="85" t="str">
        <f>IFERROR(__xludf.DUMMYFUNCTION("""COMPUTED_VALUE"""),"1375012009750003")</f>
        <v>1375012009750003</v>
      </c>
      <c r="AC662" s="85" t="str">
        <f>IFERROR(__xludf.DUMMYFUNCTION("""COMPUTED_VALUE"""),"16.397.754.8-202.000")</f>
        <v>16.397.754.8-202.000</v>
      </c>
      <c r="AD662" s="85" t="str">
        <f>IFERROR(__xludf.DUMMYFUNCTION("""COMPUTED_VALUE"""),"BU ESTA")</f>
        <v>BU ESTA</v>
      </c>
      <c r="AE662" s="85" t="str">
        <f>IFERROR(__xludf.DUMMYFUNCTION("""COMPUTED_VALUE"""),"BU ESTA KC BUKITTINGGI")</f>
        <v>BU ESTA KC BUKITTINGGI</v>
      </c>
      <c r="AF662" s="85" t="str">
        <f>IFERROR(__xludf.DUMMYFUNCTION("""COMPUTED_VALUE"""),"081363529186")</f>
        <v>081363529186</v>
      </c>
      <c r="AG662" s="85"/>
      <c r="AH662" s="85" t="str">
        <f>IFERROR(__xludf.DUMMYFUNCTION("""COMPUTED_VALUE"""),"asrilst6agindo@gmail.com")</f>
        <v>asrilst6agindo@gmail.com</v>
      </c>
      <c r="AI662" s="85" t="str">
        <f>IFERROR(__xludf.DUMMYFUNCTION("""COMPUTED_VALUE"""),"26117S1")</f>
        <v>26117S1</v>
      </c>
      <c r="AJ662" s="85" t="str">
        <f>IFERROR(__xludf.DUMMYFUNCTION("""COMPUTED_VALUE"""),"68df7f917b8c455561000df0")</f>
        <v>68df7f917b8c455561000df0</v>
      </c>
      <c r="AK662" s="85" t="str">
        <f>IFERROR(__xludf.DUMMYFUNCTION("""COMPUTED_VALUE"""),"dm26117s1")</f>
        <v>dm26117s1</v>
      </c>
      <c r="AL662" s="85" t="str">
        <f>IFERROR(__xludf.DUMMYFUNCTION("""COMPUTED_VALUE"""),"#26117Pos")</f>
        <v>#26117Pos</v>
      </c>
      <c r="AM662" s="85" t="str">
        <f>IFERROR(__xludf.DUMMYFUNCTION("""COMPUTED_VALUE"""),"KANTOR REGIONAL I MEDAN 20004")</f>
        <v>KANTOR REGIONAL I MEDAN 20004</v>
      </c>
      <c r="AN662" s="85" t="str">
        <f>IFERROR(__xludf.DUMMYFUNCTION("""COMPUTED_VALUE"""),"KC BUKITTINGGI")</f>
        <v>KC BUKITTINGGI</v>
      </c>
      <c r="AO662" s="85" t="str">
        <f>IFERROR(__xludf.DUMMYFUNCTION("""COMPUTED_VALUE"""),"1909250046592")</f>
        <v>1909250046592</v>
      </c>
      <c r="AP662" s="85" t="str">
        <f>IFERROR(__xludf.DUMMYFUNCTION("""COMPUTED_VALUE"""),"19092500465920001")</f>
        <v>19092500465920001</v>
      </c>
      <c r="AQ662" s="93"/>
      <c r="AR662" s="85"/>
      <c r="AS662" s="85"/>
      <c r="AT662" s="85" t="str">
        <f>IFERROR(__xludf.DUMMYFUNCTION("""COMPUTED_VALUE"""),"-0.31487")</f>
        <v>-0.31487</v>
      </c>
      <c r="AU662" s="85" t="str">
        <f>IFERROR(__xludf.DUMMYFUNCTION("""COMPUTED_VALUE"""),"100.38640")</f>
        <v>100.38640</v>
      </c>
      <c r="AV662" s="85"/>
      <c r="AW662" s="85"/>
      <c r="AX662" s="85"/>
      <c r="AY662" s="85"/>
      <c r="AZ662" s="85"/>
      <c r="BA662" s="85"/>
      <c r="BB662" s="85"/>
      <c r="BC662" s="85"/>
      <c r="BD662" s="85"/>
      <c r="BE662" s="85"/>
      <c r="BF662" s="85"/>
      <c r="BG662" s="85"/>
      <c r="BH662" s="85"/>
      <c r="BI662" s="85"/>
      <c r="BJ662" s="85"/>
      <c r="BK662" s="85"/>
      <c r="BL662" s="85"/>
      <c r="BM662" s="85"/>
      <c r="BN662" s="85"/>
      <c r="BO662" s="85"/>
      <c r="BP662" s="85"/>
      <c r="BQ662" s="85"/>
      <c r="BR662" s="85"/>
      <c r="BS662" s="85"/>
      <c r="BT662" s="85"/>
      <c r="BU662" s="85"/>
      <c r="BV662" s="85"/>
      <c r="BW662" s="85"/>
      <c r="BX662" s="85" t="str">
        <f>IFERROR(__xludf.DUMMYFUNCTION("""COMPUTED_VALUE"""),"NEWBIE")</f>
        <v>NEWBIE</v>
      </c>
      <c r="BY662" s="85"/>
      <c r="BZ662" s="85"/>
      <c r="CA662" s="85"/>
      <c r="CB662" s="85"/>
      <c r="CC662" s="85"/>
      <c r="CD662" s="85"/>
      <c r="CE662" s="85"/>
      <c r="CF662" s="85"/>
      <c r="CG662" s="85"/>
      <c r="CH662" s="85"/>
      <c r="CI662" s="85"/>
      <c r="CJ662" s="85"/>
      <c r="CK662" s="2"/>
    </row>
    <row r="663" ht="12.75" customHeight="1">
      <c r="A663" s="80">
        <f>IFERROR(__xludf.DUMMYFUNCTION("""COMPUTED_VALUE"""),660.0)</f>
        <v>660</v>
      </c>
      <c r="B663" s="80"/>
      <c r="C663" s="80"/>
      <c r="D663" s="81">
        <f>IFERROR(__xludf.DUMMYFUNCTION("""COMPUTED_VALUE"""),45922.0)</f>
        <v>45922</v>
      </c>
      <c r="E663" s="82"/>
      <c r="F663" s="80"/>
      <c r="G663" s="81">
        <f>IFERROR(__xludf.DUMMYFUNCTION("""COMPUTED_VALUE"""),45929.0)</f>
        <v>45929</v>
      </c>
      <c r="H663" s="80"/>
      <c r="I663" s="80"/>
      <c r="J663" s="80"/>
      <c r="K663" s="80"/>
      <c r="L663" s="80">
        <f>IFERROR(__xludf.DUMMYFUNCTION("""COMPUTED_VALUE"""),7.0)</f>
        <v>7</v>
      </c>
      <c r="M663" s="80" t="str">
        <f>IFERROR(__xludf.DUMMYFUNCTION("""COMPUTED_VALUE"""),"ü")</f>
        <v>ü</v>
      </c>
      <c r="N663" s="80"/>
      <c r="O663" s="80"/>
      <c r="P663" s="80" t="str">
        <f>IFERROR(__xludf.DUMMYFUNCTION("""COMPUTED_VALUE"""),"53BSPA09665JBEEN")</f>
        <v>53BSPA09665JBEEN</v>
      </c>
      <c r="Q663" s="80" t="str">
        <f>IFERROR(__xludf.DUMMYFUNCTION("""COMPUTED_VALUE"""),"MUC Jelambar Baru")</f>
        <v>MUC Jelambar Baru</v>
      </c>
      <c r="R663" s="80" t="str">
        <f>IFERROR(__xludf.DUMMYFUNCTION("""COMPUTED_VALUE"""),"MUC Jelambar Baru")</f>
        <v>MUC Jelambar Baru</v>
      </c>
      <c r="S663" s="80" t="str">
        <f>IFERROR(__xludf.DUMMYFUNCTION("""COMPUTED_VALUE"""),"TOMMY ANENKA LIOE FUJITO")</f>
        <v>TOMMY ANENKA LIOE FUJITO</v>
      </c>
      <c r="T663" s="80" t="str">
        <f>IFERROR(__xludf.DUMMYFUNCTION("""COMPUTED_VALUE"""),"JL. JELEMBAR BARU RAYA NO.5 RT.001 RW.002, JELEMBAR BARU, GROGOL PETAMBURAN, JAKARTA BARAT")</f>
        <v>JL. JELEMBAR BARU RAYA NO.5 RT.001 RW.002, JELEMBAR BARU, GROGOL PETAMBURAN, JAKARTA BARAT</v>
      </c>
      <c r="U663" s="80" t="str">
        <f>IFERROR(__xludf.DUMMYFUNCTION("""COMPUTED_VALUE"""),"JALAN JELAMBAR BARU RAYA NO 5 RT 1 RW 2 JELAMBAR BARU ")</f>
        <v>JALAN JELAMBAR BARU RAYA NO 5 RT 1 RW 2 JELAMBAR BARU </v>
      </c>
      <c r="V663" s="80"/>
      <c r="W663" s="80" t="str">
        <f>IFERROR(__xludf.DUMMYFUNCTION("""COMPUTED_VALUE"""),"JELEMBAR BARU")</f>
        <v>JELEMBAR BARU</v>
      </c>
      <c r="X663" s="80" t="str">
        <f>IFERROR(__xludf.DUMMYFUNCTION("""COMPUTED_VALUE"""),"GROGOL PETAMBURAN")</f>
        <v>GROGOL PETAMBURAN</v>
      </c>
      <c r="Y663" s="80" t="str">
        <f>IFERROR(__xludf.DUMMYFUNCTION("""COMPUTED_VALUE"""),"JAKARTA BARAT")</f>
        <v>JAKARTA BARAT</v>
      </c>
      <c r="Z663" s="80" t="str">
        <f>IFERROR(__xludf.DUMMYFUNCTION("""COMPUTED_VALUE"""),"DKI JAKARTA")</f>
        <v>DKI JAKARTA</v>
      </c>
      <c r="AA663" s="80" t="str">
        <f>IFERROR(__xludf.DUMMYFUNCTION("""COMPUTED_VALUE"""),"11460")</f>
        <v>11460</v>
      </c>
      <c r="AB663" s="80" t="str">
        <f>IFERROR(__xludf.DUMMYFUNCTION("""COMPUTED_VALUE"""),"3173020211931005")</f>
        <v>3173020211931005</v>
      </c>
      <c r="AC663" s="80" t="str">
        <f>IFERROR(__xludf.DUMMYFUNCTION("""COMPUTED_VALUE"""),"91.981.941.7-036.000")</f>
        <v>91.981.941.7-036.000</v>
      </c>
      <c r="AD663" s="80" t="str">
        <f>IFERROR(__xludf.DUMMYFUNCTION("""COMPUTED_VALUE"""),"CUM - EEN")</f>
        <v>CUM - EEN</v>
      </c>
      <c r="AE663" s="80" t="str">
        <f>IFERROR(__xludf.DUMMYFUNCTION("""COMPUTED_VALUE"""),"SUB EEN")</f>
        <v>SUB EEN</v>
      </c>
      <c r="AF663" s="80" t="str">
        <f>IFERROR(__xludf.DUMMYFUNCTION("""COMPUTED_VALUE"""),"082114548693")</f>
        <v>082114548693</v>
      </c>
      <c r="AG663" s="80"/>
      <c r="AH663" s="80" t="str">
        <f>IFERROR(__xludf.DUMMYFUNCTION("""COMPUTED_VALUE"""),"tommylioe@outlook.com")</f>
        <v>tommylioe@outlook.com</v>
      </c>
      <c r="AI663" s="80" t="str">
        <f>IFERROR(__xludf.DUMMYFUNCTION("""COMPUTED_VALUE"""),"11460S3")</f>
        <v>11460S3</v>
      </c>
      <c r="AJ663" s="80" t="str">
        <f>IFERROR(__xludf.DUMMYFUNCTION("""COMPUTED_VALUE"""),"68da01c709a6bbd68007c2c2")</f>
        <v>68da01c709a6bbd68007c2c2</v>
      </c>
      <c r="AK663" s="80" t="str">
        <f>IFERROR(__xludf.DUMMYFUNCTION("""COMPUTED_VALUE"""),"dm11460s3")</f>
        <v>dm11460s3</v>
      </c>
      <c r="AL663" s="80" t="str">
        <f>IFERROR(__xludf.DUMMYFUNCTION("""COMPUTED_VALUE"""),"#11460Pos")</f>
        <v>#11460Pos</v>
      </c>
      <c r="AM663" s="80" t="str">
        <f>IFERROR(__xludf.DUMMYFUNCTION("""COMPUTED_VALUE"""),"KANTOR REGIONAL II JAKARTA 10004")</f>
        <v>KANTOR REGIONAL II JAKARTA 10004</v>
      </c>
      <c r="AN663" s="80" t="str">
        <f>IFERROR(__xludf.DUMMYFUNCTION("""COMPUTED_VALUE"""),"KCU JAKARTAOCEANIA 11000")</f>
        <v>KCU JAKARTAOCEANIA 11000</v>
      </c>
      <c r="AO663" s="80" t="str">
        <f>IFERROR(__xludf.DUMMYFUNCTION("""COMPUTED_VALUE"""),"1253000732799")</f>
        <v>1253000732799</v>
      </c>
      <c r="AP663" s="80" t="str">
        <f>IFERROR(__xludf.DUMMYFUNCTION("""COMPUTED_VALUE"""),"12530007327990002")</f>
        <v>12530007327990002</v>
      </c>
      <c r="AQ663" s="83"/>
      <c r="AR663" s="80"/>
      <c r="AS663" s="80"/>
      <c r="AT663" s="80" t="str">
        <f>IFERROR(__xludf.DUMMYFUNCTION("""COMPUTED_VALUE"""),"-6.154690")</f>
        <v>-6.154690</v>
      </c>
      <c r="AU663" s="80" t="str">
        <f>IFERROR(__xludf.DUMMYFUNCTION("""COMPUTED_VALUE"""),"106.789866")</f>
        <v>106.789866</v>
      </c>
      <c r="AV663" s="80"/>
      <c r="AW663" s="80"/>
      <c r="AX663" s="80"/>
      <c r="AY663" s="80"/>
      <c r="AZ663" s="80"/>
      <c r="BA663" s="80"/>
      <c r="BB663" s="80"/>
      <c r="BC663" s="80"/>
      <c r="BD663" s="80"/>
      <c r="BE663" s="80"/>
      <c r="BF663" s="80"/>
      <c r="BG663" s="80"/>
      <c r="BH663" s="80"/>
      <c r="BI663" s="80"/>
      <c r="BJ663" s="80"/>
      <c r="BK663" s="80"/>
      <c r="BL663" s="80"/>
      <c r="BM663" s="80"/>
      <c r="BN663" s="80"/>
      <c r="BO663" s="80"/>
      <c r="BP663" s="80"/>
      <c r="BQ663" s="80"/>
      <c r="BR663" s="80"/>
      <c r="BS663" s="80"/>
      <c r="BT663" s="80"/>
      <c r="BU663" s="80"/>
      <c r="BV663" s="80"/>
      <c r="BW663" s="80"/>
      <c r="BX663" s="80" t="str">
        <f>IFERROR(__xludf.DUMMYFUNCTION("""COMPUTED_VALUE"""),"NEWBIE")</f>
        <v>NEWBIE</v>
      </c>
      <c r="BY663" s="80"/>
      <c r="BZ663" s="80"/>
      <c r="CA663" s="80"/>
      <c r="CB663" s="80"/>
      <c r="CC663" s="80"/>
      <c r="CD663" s="80"/>
      <c r="CE663" s="80"/>
      <c r="CF663" s="80"/>
      <c r="CG663" s="80"/>
      <c r="CH663" s="80"/>
      <c r="CI663" s="80"/>
      <c r="CJ663" s="80"/>
      <c r="CK663" s="2"/>
    </row>
    <row r="664" ht="12.75" customHeight="1">
      <c r="A664" s="85">
        <f>IFERROR(__xludf.DUMMYFUNCTION("""COMPUTED_VALUE"""),661.0)</f>
        <v>661</v>
      </c>
      <c r="B664" s="85"/>
      <c r="C664" s="85"/>
      <c r="D664" s="86">
        <f>IFERROR(__xludf.DUMMYFUNCTION("""COMPUTED_VALUE"""),45923.0)</f>
        <v>45923</v>
      </c>
      <c r="E664" s="88"/>
      <c r="F664" s="85"/>
      <c r="G664" s="86">
        <f>IFERROR(__xludf.DUMMYFUNCTION("""COMPUTED_VALUE"""),45930.0)</f>
        <v>45930</v>
      </c>
      <c r="H664" s="85"/>
      <c r="I664" s="85"/>
      <c r="J664" s="85"/>
      <c r="K664" s="85"/>
      <c r="L664" s="85">
        <f>IFERROR(__xludf.DUMMYFUNCTION("""COMPUTED_VALUE"""),7.0)</f>
        <v>7</v>
      </c>
      <c r="M664" s="85" t="str">
        <f>IFERROR(__xludf.DUMMYFUNCTION("""COMPUTED_VALUE"""),"ü")</f>
        <v>ü</v>
      </c>
      <c r="N664" s="85"/>
      <c r="O664" s="85"/>
      <c r="P664" s="85" t="str">
        <f>IFERROR(__xludf.DUMMYFUNCTION("""COMPUTED_VALUE"""),"12BSPA19757PGWNF")</f>
        <v>12BSPA19757PGWNF</v>
      </c>
      <c r="Q664" s="85" t="str">
        <f>IFERROR(__xludf.DUMMYFUNCTION("""COMPUTED_VALUE"""),"MUC DHR")</f>
        <v>MUC DHR</v>
      </c>
      <c r="R664" s="85" t="str">
        <f>IFERROR(__xludf.DUMMYFUNCTION("""COMPUTED_VALUE"""),"MUC DHR")</f>
        <v>MUC DHR</v>
      </c>
      <c r="S664" s="85" t="str">
        <f>IFERROR(__xludf.DUMMYFUNCTION("""COMPUTED_VALUE"""),"WINDA NUR FITRIA")</f>
        <v>WINDA NUR FITRIA</v>
      </c>
      <c r="T664" s="85" t="str">
        <f>IFERROR(__xludf.DUMMYFUNCTION("""COMPUTED_VALUE"""),"JL. PERINDUSTRIAN II GG ANDA NO.1236 RT.052 RW 001, KEBUN BUNGA, SUKARAMI")</f>
        <v>JL. PERINDUSTRIAN II GG ANDA NO.1236 RT.052 RW 001, KEBUN BUNGA, SUKARAMI</v>
      </c>
      <c r="U664" s="85" t="str">
        <f>IFERROR(__xludf.DUMMYFUNCTION("""COMPUTED_VALUE"""),"Jl. Perindustrian II Gg. Anda No.1236")</f>
        <v>Jl. Perindustrian II Gg. Anda No.1236</v>
      </c>
      <c r="V664" s="85"/>
      <c r="W664" s="85" t="str">
        <f>IFERROR(__xludf.DUMMYFUNCTION("""COMPUTED_VALUE"""),"Kebun Bunga")</f>
        <v>Kebun Bunga</v>
      </c>
      <c r="X664" s="85" t="str">
        <f>IFERROR(__xludf.DUMMYFUNCTION("""COMPUTED_VALUE"""),"Sukarami")</f>
        <v>Sukarami</v>
      </c>
      <c r="Y664" s="85" t="str">
        <f>IFERROR(__xludf.DUMMYFUNCTION("""COMPUTED_VALUE"""),"Palembang")</f>
        <v>Palembang</v>
      </c>
      <c r="Z664" s="85" t="str">
        <f>IFERROR(__xludf.DUMMYFUNCTION("""COMPUTED_VALUE"""),"Sumatera Selatan")</f>
        <v>Sumatera Selatan</v>
      </c>
      <c r="AA664" s="85" t="str">
        <f>IFERROR(__xludf.DUMMYFUNCTION("""COMPUTED_VALUE"""),"30152")</f>
        <v>30152</v>
      </c>
      <c r="AB664" s="85" t="str">
        <f>IFERROR(__xludf.DUMMYFUNCTION("""COMPUTED_VALUE"""),"1671075604920008")</f>
        <v>1671075604920008</v>
      </c>
      <c r="AC664" s="85" t="str">
        <f>IFERROR(__xludf.DUMMYFUNCTION("""COMPUTED_VALUE"""),"74.493.965.3-307.000")</f>
        <v>74.493.965.3-307.000</v>
      </c>
      <c r="AD664" s="85" t="str">
        <f>IFERROR(__xludf.DUMMYFUNCTION("""COMPUTED_VALUE"""),"CUM - WNF")</f>
        <v>CUM - WNF</v>
      </c>
      <c r="AE664" s="85" t="str">
        <f>IFERROR(__xludf.DUMMYFUNCTION("""COMPUTED_VALUE"""),"SUB WINDA")</f>
        <v>SUB WINDA</v>
      </c>
      <c r="AF664" s="85" t="str">
        <f>IFERROR(__xludf.DUMMYFUNCTION("""COMPUTED_VALUE"""),"081271891053")</f>
        <v>081271891053</v>
      </c>
      <c r="AG664" s="85"/>
      <c r="AH664" s="85" t="str">
        <f>IFERROR(__xludf.DUMMYFUNCTION("""COMPUTED_VALUE"""),"hafiz.sriwijayaindah@gmail.com")</f>
        <v>hafiz.sriwijayaindah@gmail.com</v>
      </c>
      <c r="AI664" s="85" t="str">
        <f>IFERROR(__xludf.DUMMYFUNCTION("""COMPUTED_VALUE"""),"30151S3")</f>
        <v>30151S3</v>
      </c>
      <c r="AJ664" s="85" t="str">
        <f>IFERROR(__xludf.DUMMYFUNCTION("""COMPUTED_VALUE"""),"68dba6f03e1bef2c5d055ca0")</f>
        <v>68dba6f03e1bef2c5d055ca0</v>
      </c>
      <c r="AK664" s="85" t="str">
        <f>IFERROR(__xludf.DUMMYFUNCTION("""COMPUTED_VALUE"""),"dm30151s3")</f>
        <v>dm30151s3</v>
      </c>
      <c r="AL664" s="85" t="str">
        <f>IFERROR(__xludf.DUMMYFUNCTION("""COMPUTED_VALUE"""),"#30151Pos")</f>
        <v>#30151Pos</v>
      </c>
      <c r="AM664" s="85" t="str">
        <f>IFERROR(__xludf.DUMMYFUNCTION("""COMPUTED_VALUE"""),"KANTOR REGIONAL I MEDAN 20004")</f>
        <v>KANTOR REGIONAL I MEDAN 20004</v>
      </c>
      <c r="AN664" s="85" t="str">
        <f>IFERROR(__xludf.DUMMYFUNCTION("""COMPUTED_VALUE"""),"KCU PALEMBANG")</f>
        <v>KCU PALEMBANG</v>
      </c>
      <c r="AO664" s="85" t="str">
        <f>IFERROR(__xludf.DUMMYFUNCTION("""COMPUTED_VALUE"""),"1503240139444")</f>
        <v>1503240139444</v>
      </c>
      <c r="AP664" s="85" t="str">
        <f>IFERROR(__xludf.DUMMYFUNCTION("""COMPUTED_VALUE"""),"15032401394440001")</f>
        <v>15032401394440001</v>
      </c>
      <c r="AQ664" s="93"/>
      <c r="AR664" s="85"/>
      <c r="AS664" s="85"/>
      <c r="AT664" s="85" t="str">
        <f>IFERROR(__xludf.DUMMYFUNCTION("""COMPUTED_VALUE"""),"-2.9233836")</f>
        <v>-2.9233836</v>
      </c>
      <c r="AU664" s="85" t="str">
        <f>IFERROR(__xludf.DUMMYFUNCTION("""COMPUTED_VALUE"""),"104.7194626")</f>
        <v>104.7194626</v>
      </c>
      <c r="AV664" s="85"/>
      <c r="AW664" s="85"/>
      <c r="AX664" s="85"/>
      <c r="AY664" s="85"/>
      <c r="AZ664" s="85"/>
      <c r="BA664" s="85"/>
      <c r="BB664" s="85"/>
      <c r="BC664" s="85"/>
      <c r="BD664" s="85"/>
      <c r="BE664" s="85"/>
      <c r="BF664" s="85"/>
      <c r="BG664" s="85"/>
      <c r="BH664" s="85"/>
      <c r="BI664" s="85"/>
      <c r="BJ664" s="85"/>
      <c r="BK664" s="85"/>
      <c r="BL664" s="85"/>
      <c r="BM664" s="85"/>
      <c r="BN664" s="85"/>
      <c r="BO664" s="85"/>
      <c r="BP664" s="85"/>
      <c r="BQ664" s="85"/>
      <c r="BR664" s="85"/>
      <c r="BS664" s="85"/>
      <c r="BT664" s="85"/>
      <c r="BU664" s="85"/>
      <c r="BV664" s="85"/>
      <c r="BW664" s="85"/>
      <c r="BX664" s="85" t="str">
        <f>IFERROR(__xludf.DUMMYFUNCTION("""COMPUTED_VALUE"""),"POS")</f>
        <v>POS</v>
      </c>
      <c r="BY664" s="85"/>
      <c r="BZ664" s="85"/>
      <c r="CA664" s="85"/>
      <c r="CB664" s="85"/>
      <c r="CC664" s="85"/>
      <c r="CD664" s="85"/>
      <c r="CE664" s="85"/>
      <c r="CF664" s="85"/>
      <c r="CG664" s="85"/>
      <c r="CH664" s="85"/>
      <c r="CI664" s="85"/>
      <c r="CJ664" s="85"/>
      <c r="CK664" s="2"/>
    </row>
    <row r="665" ht="12.75" customHeight="1">
      <c r="A665" s="80">
        <f>IFERROR(__xludf.DUMMYFUNCTION("""COMPUTED_VALUE"""),662.0)</f>
        <v>662</v>
      </c>
      <c r="B665" s="80"/>
      <c r="C665" s="80"/>
      <c r="D665" s="81">
        <f>IFERROR(__xludf.DUMMYFUNCTION("""COMPUTED_VALUE"""),45924.0)</f>
        <v>45924</v>
      </c>
      <c r="E665" s="82"/>
      <c r="F665" s="80"/>
      <c r="G665" s="81">
        <f>IFERROR(__xludf.DUMMYFUNCTION("""COMPUTED_VALUE"""),45929.0)</f>
        <v>45929</v>
      </c>
      <c r="H665" s="80"/>
      <c r="I665" s="80"/>
      <c r="J665" s="80"/>
      <c r="K665" s="80"/>
      <c r="L665" s="80">
        <f>IFERROR(__xludf.DUMMYFUNCTION("""COMPUTED_VALUE"""),5.0)</f>
        <v>5</v>
      </c>
      <c r="M665" s="80" t="str">
        <f>IFERROR(__xludf.DUMMYFUNCTION("""COMPUTED_VALUE"""),"ü")</f>
        <v>ü</v>
      </c>
      <c r="N665" s="80"/>
      <c r="O665" s="80"/>
      <c r="P665" s="80" t="str">
        <f>IFERROR(__xludf.DUMMYFUNCTION("""COMPUTED_VALUE"""),"MUCSPA63261PSIND")</f>
        <v>MUCSPA63261PSIND</v>
      </c>
      <c r="Q665" s="80" t="str">
        <f>IFERROR(__xludf.DUMMYFUNCTION("""COMPUTED_VALUE"""),"MUC USAHA BERKAH")</f>
        <v>MUC USAHA BERKAH</v>
      </c>
      <c r="R665" s="80" t="str">
        <f>IFERROR(__xludf.DUMMYFUNCTION("""COMPUTED_VALUE"""),"MUC USAHA BERKAH")</f>
        <v>MUC USAHA BERKAH</v>
      </c>
      <c r="S665" s="80" t="str">
        <f>IFERROR(__xludf.DUMMYFUNCTION("""COMPUTED_VALUE"""),"DENNY ARAFAT")</f>
        <v>DENNY ARAFAT</v>
      </c>
      <c r="T665" s="80" t="str">
        <f>IFERROR(__xludf.DUMMYFUNCTION("""COMPUTED_VALUE"""),"PERUM GRIYA KARTIKA S-3 RT. 023 RW.005, CEMANDI, SEDATI, KAB. SIDOARJO, JAWA TIMUR")</f>
        <v>PERUM GRIYA KARTIKA S-3 RT. 023 RW.005, CEMANDI, SEDATI, KAB. SIDOARJO, JAWA TIMUR</v>
      </c>
      <c r="U665" s="80" t="str">
        <f>IFERROR(__xludf.DUMMYFUNCTION("""COMPUTED_VALUE"""),"HBTB Jl. Bunga 3 Blok B5 No. 8")</f>
        <v>HBTB Jl. Bunga 3 Blok B5 No. 8</v>
      </c>
      <c r="V665" s="80"/>
      <c r="W665" s="80" t="str">
        <f>IFERROR(__xludf.DUMMYFUNCTION("""COMPUTED_VALUE"""),"Sukatani")</f>
        <v>Sukatani</v>
      </c>
      <c r="X665" s="80" t="str">
        <f>IFERROR(__xludf.DUMMYFUNCTION("""COMPUTED_VALUE"""),"Tapos")</f>
        <v>Tapos</v>
      </c>
      <c r="Y665" s="80" t="str">
        <f>IFERROR(__xludf.DUMMYFUNCTION("""COMPUTED_VALUE"""),"Kota Depok")</f>
        <v>Kota Depok</v>
      </c>
      <c r="Z665" s="80" t="str">
        <f>IFERROR(__xludf.DUMMYFUNCTION("""COMPUTED_VALUE"""),"Jawa Barat")</f>
        <v>Jawa Barat</v>
      </c>
      <c r="AA665" s="80" t="str">
        <f>IFERROR(__xludf.DUMMYFUNCTION("""COMPUTED_VALUE"""),"16454")</f>
        <v>16454</v>
      </c>
      <c r="AB665" s="80" t="str">
        <f>IFERROR(__xludf.DUMMYFUNCTION("""COMPUTED_VALUE"""),"3515171805700001")</f>
        <v>3515171805700001</v>
      </c>
      <c r="AC665" s="80" t="str">
        <f>IFERROR(__xludf.DUMMYFUNCTION("""COMPUTED_VALUE"""),"09.760.260.1-643.000")</f>
        <v>09.760.260.1-643.000</v>
      </c>
      <c r="AD665" s="80" t="str">
        <f>IFERROR(__xludf.DUMMYFUNCTION("""COMPUTED_VALUE"""),"CUM - PS - HPR")</f>
        <v>CUM - PS - HPR</v>
      </c>
      <c r="AE665" s="80" t="str">
        <f>IFERROR(__xludf.DUMMYFUNCTION("""COMPUTED_VALUE"""),"SUB HADI POS")</f>
        <v>SUB HADI POS</v>
      </c>
      <c r="AF665" s="80" t="str">
        <f>IFERROR(__xludf.DUMMYFUNCTION("""COMPUTED_VALUE"""),"085103477323")</f>
        <v>085103477323</v>
      </c>
      <c r="AG665" s="80"/>
      <c r="AH665" s="80" t="str">
        <f>IFERROR(__xludf.DUMMYFUNCTION("""COMPUTED_VALUE"""),"dennyarafat123@gmail.com")</f>
        <v>dennyarafat123@gmail.com</v>
      </c>
      <c r="AI665" s="80" t="str">
        <f>IFERROR(__xludf.DUMMYFUNCTION("""COMPUTED_VALUE"""),"16461S3")</f>
        <v>16461S3</v>
      </c>
      <c r="AJ665" s="80" t="str">
        <f>IFERROR(__xludf.DUMMYFUNCTION("""COMPUTED_VALUE"""),"68d8b24051f76b17610db2e9")</f>
        <v>68d8b24051f76b17610db2e9</v>
      </c>
      <c r="AK665" s="80" t="str">
        <f>IFERROR(__xludf.DUMMYFUNCTION("""COMPUTED_VALUE"""),"dm16461s3")</f>
        <v>dm16461s3</v>
      </c>
      <c r="AL665" s="80" t="str">
        <f>IFERROR(__xludf.DUMMYFUNCTION("""COMPUTED_VALUE"""),"#16461Pos")</f>
        <v>#16461Pos</v>
      </c>
      <c r="AM665" s="80" t="str">
        <f>IFERROR(__xludf.DUMMYFUNCTION("""COMPUTED_VALUE"""),"KANTOR REGIONAL II JAKARTA 10004")</f>
        <v>KANTOR REGIONAL II JAKARTA 10004</v>
      </c>
      <c r="AN665" s="80" t="str">
        <f>IFERROR(__xludf.DUMMYFUNCTION("""COMPUTED_VALUE"""),"KC DEPOK 16400")</f>
        <v>KC DEPOK 16400</v>
      </c>
      <c r="AO665" s="80" t="str">
        <f>IFERROR(__xludf.DUMMYFUNCTION("""COMPUTED_VALUE"""),"2409250015084")</f>
        <v>2409250015084</v>
      </c>
      <c r="AP665" s="80" t="str">
        <f>IFERROR(__xludf.DUMMYFUNCTION("""COMPUTED_VALUE"""),"24092500150840001")</f>
        <v>24092500150840001</v>
      </c>
      <c r="AQ665" s="83"/>
      <c r="AR665" s="80"/>
      <c r="AS665" s="80"/>
      <c r="AT665" s="80" t="str">
        <f>IFERROR(__xludf.DUMMYFUNCTION("""COMPUTED_VALUE"""),"-6.3867169")</f>
        <v>-6.3867169</v>
      </c>
      <c r="AU665" s="80" t="str">
        <f>IFERROR(__xludf.DUMMYFUNCTION("""COMPUTED_VALUE"""),"106.8868695")</f>
        <v>106.8868695</v>
      </c>
      <c r="AV665" s="80"/>
      <c r="AW665" s="80"/>
      <c r="AX665" s="80"/>
      <c r="AY665" s="80"/>
      <c r="AZ665" s="80"/>
      <c r="BA665" s="80"/>
      <c r="BB665" s="80"/>
      <c r="BC665" s="80"/>
      <c r="BD665" s="80"/>
      <c r="BE665" s="80"/>
      <c r="BF665" s="80"/>
      <c r="BG665" s="80"/>
      <c r="BH665" s="80"/>
      <c r="BI665" s="80"/>
      <c r="BJ665" s="80"/>
      <c r="BK665" s="80"/>
      <c r="BL665" s="80"/>
      <c r="BM665" s="80"/>
      <c r="BN665" s="80"/>
      <c r="BO665" s="80"/>
      <c r="BP665" s="80"/>
      <c r="BQ665" s="80"/>
      <c r="BR665" s="80"/>
      <c r="BS665" s="80"/>
      <c r="BT665" s="80"/>
      <c r="BU665" s="80"/>
      <c r="BV665" s="80"/>
      <c r="BW665" s="80"/>
      <c r="BX665" s="80" t="str">
        <f>IFERROR(__xludf.DUMMYFUNCTION("""COMPUTED_VALUE"""),"NEWBIE")</f>
        <v>NEWBIE</v>
      </c>
      <c r="BY665" s="80"/>
      <c r="BZ665" s="80"/>
      <c r="CA665" s="80"/>
      <c r="CB665" s="80"/>
      <c r="CC665" s="80"/>
      <c r="CD665" s="80"/>
      <c r="CE665" s="80"/>
      <c r="CF665" s="80"/>
      <c r="CG665" s="80"/>
      <c r="CH665" s="80"/>
      <c r="CI665" s="80"/>
      <c r="CJ665" s="80"/>
      <c r="CK665" s="2"/>
    </row>
    <row r="666" ht="12.75" customHeight="1">
      <c r="A666" s="85">
        <f>IFERROR(__xludf.DUMMYFUNCTION("""COMPUTED_VALUE"""),663.0)</f>
        <v>663</v>
      </c>
      <c r="B666" s="85"/>
      <c r="C666" s="85"/>
      <c r="D666" s="86">
        <f>IFERROR(__xludf.DUMMYFUNCTION("""COMPUTED_VALUE"""),45924.0)</f>
        <v>45924</v>
      </c>
      <c r="E666" s="88"/>
      <c r="F666" s="85"/>
      <c r="G666" s="86">
        <f>IFERROR(__xludf.DUMMYFUNCTION("""COMPUTED_VALUE"""),45929.0)</f>
        <v>45929</v>
      </c>
      <c r="H666" s="85"/>
      <c r="I666" s="85"/>
      <c r="J666" s="85"/>
      <c r="K666" s="85"/>
      <c r="L666" s="85">
        <f>IFERROR(__xludf.DUMMYFUNCTION("""COMPUTED_VALUE"""),5.0)</f>
        <v>5</v>
      </c>
      <c r="M666" s="85" t="str">
        <f>IFERROR(__xludf.DUMMYFUNCTION("""COMPUTED_VALUE"""),"ü")</f>
        <v>ü</v>
      </c>
      <c r="N666" s="85"/>
      <c r="O666" s="85"/>
      <c r="P666" s="85" t="str">
        <f>IFERROR(__xludf.DUMMYFUNCTION("""COMPUTED_VALUE"""),"MUCSPA63262PSIND")</f>
        <v>MUCSPA63262PSIND</v>
      </c>
      <c r="Q666" s="85" t="str">
        <f>IFERROR(__xludf.DUMMYFUNCTION("""COMPUTED_VALUE"""),"MUC PRIMA")</f>
        <v>MUC PRIMA</v>
      </c>
      <c r="R666" s="85" t="str">
        <f>IFERROR(__xludf.DUMMYFUNCTION("""COMPUTED_VALUE"""),"MUC PRIMA")</f>
        <v>MUC PRIMA</v>
      </c>
      <c r="S666" s="85" t="str">
        <f>IFERROR(__xludf.DUMMYFUNCTION("""COMPUTED_VALUE"""),"ISROM HADIYONO")</f>
        <v>ISROM HADIYONO</v>
      </c>
      <c r="T666" s="85" t="str">
        <f>IFERROR(__xludf.DUMMYFUNCTION("""COMPUTED_VALUE"""),"JL. TENTARA PELAJAR RT 001 RW 003")</f>
        <v>JL. TENTARA PELAJAR RT 001 RW 003</v>
      </c>
      <c r="U666" s="85" t="str">
        <f>IFERROR(__xludf.DUMMYFUNCTION("""COMPUTED_VALUE"""),"JL. TENTARA PELAJAR 104")</f>
        <v>JL. TENTARA PELAJAR 104</v>
      </c>
      <c r="V666" s="85"/>
      <c r="W666" s="85" t="str">
        <f>IFERROR(__xludf.DUMMYFUNCTION("""COMPUTED_VALUE"""),"TRITIHKULON")</f>
        <v>TRITIHKULON</v>
      </c>
      <c r="X666" s="85" t="str">
        <f>IFERROR(__xludf.DUMMYFUNCTION("""COMPUTED_VALUE"""),"CILACAP UTARA")</f>
        <v>CILACAP UTARA</v>
      </c>
      <c r="Y666" s="85" t="str">
        <f>IFERROR(__xludf.DUMMYFUNCTION("""COMPUTED_VALUE"""),"KAB. CILACAP")</f>
        <v>KAB. CILACAP</v>
      </c>
      <c r="Z666" s="85" t="str">
        <f>IFERROR(__xludf.DUMMYFUNCTION("""COMPUTED_VALUE"""),"JAWA TENGAH")</f>
        <v>JAWA TENGAH</v>
      </c>
      <c r="AA666" s="85" t="str">
        <f>IFERROR(__xludf.DUMMYFUNCTION("""COMPUTED_VALUE"""),"53232")</f>
        <v>53232</v>
      </c>
      <c r="AB666" s="85" t="str">
        <f>IFERROR(__xludf.DUMMYFUNCTION("""COMPUTED_VALUE"""),"3301231406570003")</f>
        <v>3301231406570003</v>
      </c>
      <c r="AC666" s="85" t="str">
        <f>IFERROR(__xludf.DUMMYFUNCTION("""COMPUTED_VALUE"""),"07.815.154.5-972.000")</f>
        <v>07.815.154.5-972.000</v>
      </c>
      <c r="AD666" s="85" t="str">
        <f>IFERROR(__xludf.DUMMYFUNCTION("""COMPUTED_VALUE"""),"CUM - PS - NVWT")</f>
        <v>CUM - PS - NVWT</v>
      </c>
      <c r="AE666" s="85" t="str">
        <f>IFERROR(__xludf.DUMMYFUNCTION("""COMPUTED_VALUE"""),"SUB NOVY POS")</f>
        <v>SUB NOVY POS</v>
      </c>
      <c r="AF666" s="85" t="str">
        <f>IFERROR(__xludf.DUMMYFUNCTION("""COMPUTED_VALUE"""),"085869708240")</f>
        <v>085869708240</v>
      </c>
      <c r="AG666" s="85"/>
      <c r="AH666" s="85" t="str">
        <f>IFERROR(__xludf.DUMMYFUNCTION("""COMPUTED_VALUE"""),"nenihandayani472@gmail.com")</f>
        <v>nenihandayani472@gmail.com</v>
      </c>
      <c r="AI666" s="85" t="str">
        <f>IFERROR(__xludf.DUMMYFUNCTION("""COMPUTED_VALUE"""),"53233S3")</f>
        <v>53233S3</v>
      </c>
      <c r="AJ666" s="85" t="str">
        <f>IFERROR(__xludf.DUMMYFUNCTION("""COMPUTED_VALUE"""),"68da0b95b0463125860516fb")</f>
        <v>68da0b95b0463125860516fb</v>
      </c>
      <c r="AK666" s="85" t="str">
        <f>IFERROR(__xludf.DUMMYFUNCTION("""COMPUTED_VALUE"""),"dm53233s3")</f>
        <v>dm53233s3</v>
      </c>
      <c r="AL666" s="85" t="str">
        <f>IFERROR(__xludf.DUMMYFUNCTION("""COMPUTED_VALUE"""),"#53233Pos")</f>
        <v>#53233Pos</v>
      </c>
      <c r="AM666" s="85" t="str">
        <f>IFERROR(__xludf.DUMMYFUNCTION("""COMPUTED_VALUE"""),"KANTOR REGIONAL IV SEMARANG 50004")</f>
        <v>KANTOR REGIONAL IV SEMARANG 50004</v>
      </c>
      <c r="AN666" s="85" t="str">
        <f>IFERROR(__xludf.DUMMYFUNCTION("""COMPUTED_VALUE"""),"KC CILACAP ")</f>
        <v>KC CILACAP </v>
      </c>
      <c r="AO666" s="85" t="str">
        <f>IFERROR(__xludf.DUMMYFUNCTION("""COMPUTED_VALUE"""),"1506230103852")</f>
        <v>1506230103852</v>
      </c>
      <c r="AP666" s="85" t="str">
        <f>IFERROR(__xludf.DUMMYFUNCTION("""COMPUTED_VALUE"""),"15062301038520001")</f>
        <v>15062301038520001</v>
      </c>
      <c r="AQ666" s="93"/>
      <c r="AR666" s="85"/>
      <c r="AS666" s="85"/>
      <c r="AT666" s="85" t="str">
        <f>IFERROR(__xludf.DUMMYFUNCTION("""COMPUTED_VALUE"""),"-7.6687035")</f>
        <v>-7.6687035</v>
      </c>
      <c r="AU666" s="85" t="str">
        <f>IFERROR(__xludf.DUMMYFUNCTION("""COMPUTED_VALUE"""),"109.0380534")</f>
        <v>109.0380534</v>
      </c>
      <c r="AV666" s="85"/>
      <c r="AW666" s="85"/>
      <c r="AX666" s="85"/>
      <c r="AY666" s="85"/>
      <c r="AZ666" s="85"/>
      <c r="BA666" s="85"/>
      <c r="BB666" s="85"/>
      <c r="BC666" s="85"/>
      <c r="BD666" s="85"/>
      <c r="BE666" s="85"/>
      <c r="BF666" s="85"/>
      <c r="BG666" s="85"/>
      <c r="BH666" s="85"/>
      <c r="BI666" s="85"/>
      <c r="BJ666" s="85"/>
      <c r="BK666" s="85"/>
      <c r="BL666" s="85"/>
      <c r="BM666" s="85"/>
      <c r="BN666" s="85"/>
      <c r="BO666" s="85"/>
      <c r="BP666" s="85"/>
      <c r="BQ666" s="85"/>
      <c r="BR666" s="85"/>
      <c r="BS666" s="85"/>
      <c r="BT666" s="85"/>
      <c r="BU666" s="85"/>
      <c r="BV666" s="85"/>
      <c r="BW666" s="85"/>
      <c r="BX666" s="85" t="str">
        <f>IFERROR(__xludf.DUMMYFUNCTION("""COMPUTED_VALUE"""),"NEWBIE")</f>
        <v>NEWBIE</v>
      </c>
      <c r="BY666" s="85"/>
      <c r="BZ666" s="85"/>
      <c r="CA666" s="85"/>
      <c r="CB666" s="85"/>
      <c r="CC666" s="85"/>
      <c r="CD666" s="85"/>
      <c r="CE666" s="85"/>
      <c r="CF666" s="85"/>
      <c r="CG666" s="85"/>
      <c r="CH666" s="85"/>
      <c r="CI666" s="85"/>
      <c r="CJ666" s="85"/>
      <c r="CK666" s="2"/>
    </row>
    <row r="667" ht="12.75" customHeight="1">
      <c r="A667" s="80">
        <f>IFERROR(__xludf.DUMMYFUNCTION("""COMPUTED_VALUE"""),664.0)</f>
        <v>664</v>
      </c>
      <c r="B667" s="80"/>
      <c r="C667" s="80"/>
      <c r="D667" s="81">
        <f>IFERROR(__xludf.DUMMYFUNCTION("""COMPUTED_VALUE"""),45924.0)</f>
        <v>45924</v>
      </c>
      <c r="E667" s="82"/>
      <c r="F667" s="80"/>
      <c r="G667" s="81">
        <f>IFERROR(__xludf.DUMMYFUNCTION("""COMPUTED_VALUE"""),45929.0)</f>
        <v>45929</v>
      </c>
      <c r="H667" s="80"/>
      <c r="I667" s="80"/>
      <c r="J667" s="80"/>
      <c r="K667" s="80"/>
      <c r="L667" s="80">
        <f>IFERROR(__xludf.DUMMYFUNCTION("""COMPUTED_VALUE"""),5.0)</f>
        <v>5</v>
      </c>
      <c r="M667" s="80" t="str">
        <f>IFERROR(__xludf.DUMMYFUNCTION("""COMPUTED_VALUE"""),"ü")</f>
        <v>ü</v>
      </c>
      <c r="N667" s="80"/>
      <c r="O667" s="80"/>
      <c r="P667" s="80" t="str">
        <f>IFERROR(__xludf.DUMMYFUNCTION("""COMPUTED_VALUE"""),"53BSPA09694JBEEN")</f>
        <v>53BSPA09694JBEEN</v>
      </c>
      <c r="Q667" s="80" t="str">
        <f>IFERROR(__xludf.DUMMYFUNCTION("""COMPUTED_VALUE"""),"MUC NAROGONG UTAMA")</f>
        <v>MUC NAROGONG UTAMA</v>
      </c>
      <c r="R667" s="80" t="str">
        <f>IFERROR(__xludf.DUMMYFUNCTION("""COMPUTED_VALUE"""),"MUC NAROGONG UTAMA")</f>
        <v>MUC NAROGONG UTAMA</v>
      </c>
      <c r="S667" s="80" t="str">
        <f>IFERROR(__xludf.DUMMYFUNCTION("""COMPUTED_VALUE"""),"JAELANI SAIMAN")</f>
        <v>JAELANI SAIMAN</v>
      </c>
      <c r="T667" s="80" t="str">
        <f>IFERROR(__xludf.DUMMYFUNCTION("""COMPUTED_VALUE"""),"TAMAN NAROGONG INDAH JL. NAROGONG UTAMA RAYA BLOK D35/4 RT.007 RW.021, PENGASINAN, RAWALUMBU, KOTA BEKASI, JAWA BARAT")</f>
        <v>TAMAN NAROGONG INDAH JL. NAROGONG UTAMA RAYA BLOK D35/4 RT.007 RW.021, PENGASINAN, RAWALUMBU, KOTA BEKASI, JAWA BARAT</v>
      </c>
      <c r="U667" s="80" t="str">
        <f>IFERROR(__xludf.DUMMYFUNCTION("""COMPUTED_VALUE"""),"Jl. Narogong Utama Raya Blok D35/4")</f>
        <v>Jl. Narogong Utama Raya Blok D35/4</v>
      </c>
      <c r="V667" s="80"/>
      <c r="W667" s="80" t="str">
        <f>IFERROR(__xludf.DUMMYFUNCTION("""COMPUTED_VALUE"""),"Pengasinan")</f>
        <v>Pengasinan</v>
      </c>
      <c r="X667" s="80" t="str">
        <f>IFERROR(__xludf.DUMMYFUNCTION("""COMPUTED_VALUE"""),"Rawalumbu")</f>
        <v>Rawalumbu</v>
      </c>
      <c r="Y667" s="80" t="str">
        <f>IFERROR(__xludf.DUMMYFUNCTION("""COMPUTED_VALUE"""),"Kota Bekasi")</f>
        <v>Kota Bekasi</v>
      </c>
      <c r="Z667" s="80" t="str">
        <f>IFERROR(__xludf.DUMMYFUNCTION("""COMPUTED_VALUE"""),"Jawa Barat")</f>
        <v>Jawa Barat</v>
      </c>
      <c r="AA667" s="80" t="str">
        <f>IFERROR(__xludf.DUMMYFUNCTION("""COMPUTED_VALUE"""),"17115")</f>
        <v>17115</v>
      </c>
      <c r="AB667" s="80" t="str">
        <f>IFERROR(__xludf.DUMMYFUNCTION("""COMPUTED_VALUE"""),"3174010807730006")</f>
        <v>3174010807730006</v>
      </c>
      <c r="AC667" s="80" t="str">
        <f>IFERROR(__xludf.DUMMYFUNCTION("""COMPUTED_VALUE"""),"57.358.700.3-015.000")</f>
        <v>57.358.700.3-015.000</v>
      </c>
      <c r="AD667" s="80" t="str">
        <f>IFERROR(__xludf.DUMMYFUNCTION("""COMPUTED_VALUE"""),"CUM - EEN")</f>
        <v>CUM - EEN</v>
      </c>
      <c r="AE667" s="80" t="str">
        <f>IFERROR(__xludf.DUMMYFUNCTION("""COMPUTED_VALUE"""),"SUB EEN")</f>
        <v>SUB EEN</v>
      </c>
      <c r="AF667" s="80" t="str">
        <f>IFERROR(__xludf.DUMMYFUNCTION("""COMPUTED_VALUE"""),"081219753970")</f>
        <v>081219753970</v>
      </c>
      <c r="AG667" s="80"/>
      <c r="AH667" s="80" t="str">
        <f>IFERROR(__xludf.DUMMYFUNCTION("""COMPUTED_VALUE"""),"narogongutama@gmail.com")</f>
        <v>narogongutama@gmail.com</v>
      </c>
      <c r="AI667" s="80" t="str">
        <f>IFERROR(__xludf.DUMMYFUNCTION("""COMPUTED_VALUE"""),"17175S4")</f>
        <v>17175S4</v>
      </c>
      <c r="AJ667" s="80" t="str">
        <f>IFERROR(__xludf.DUMMYFUNCTION("""COMPUTED_VALUE"""),"68da1c4d84465422e7019280")</f>
        <v>68da1c4d84465422e7019280</v>
      </c>
      <c r="AK667" s="80" t="str">
        <f>IFERROR(__xludf.DUMMYFUNCTION("""COMPUTED_VALUE"""),"dm17175s4")</f>
        <v>dm17175s4</v>
      </c>
      <c r="AL667" s="80" t="str">
        <f>IFERROR(__xludf.DUMMYFUNCTION("""COMPUTED_VALUE"""),"#17175Pos")</f>
        <v>#17175Pos</v>
      </c>
      <c r="AM667" s="80" t="str">
        <f>IFERROR(__xludf.DUMMYFUNCTION("""COMPUTED_VALUE"""),"KANTOR REGIONAL II JAKARTA 10004")</f>
        <v>KANTOR REGIONAL II JAKARTA 10004</v>
      </c>
      <c r="AN667" s="80" t="str">
        <f>IFERROR(__xludf.DUMMYFUNCTION("""COMPUTED_VALUE"""),"KCU BEKASI 17000")</f>
        <v>KCU BEKASI 17000</v>
      </c>
      <c r="AO667" s="80" t="str">
        <f>IFERROR(__xludf.DUMMYFUNCTION("""COMPUTED_VALUE"""),"2409250035573")</f>
        <v>2409250035573</v>
      </c>
      <c r="AP667" s="80" t="str">
        <f>IFERROR(__xludf.DUMMYFUNCTION("""COMPUTED_VALUE"""),"24092500355730001")</f>
        <v>24092500355730001</v>
      </c>
      <c r="AQ667" s="83"/>
      <c r="AR667" s="80"/>
      <c r="AS667" s="80"/>
      <c r="AT667" s="80" t="str">
        <f>IFERROR(__xludf.DUMMYFUNCTION("""COMPUTED_VALUE"""),"-6.272992")</f>
        <v>-6.272992</v>
      </c>
      <c r="AU667" s="80" t="str">
        <f>IFERROR(__xludf.DUMMYFUNCTION("""COMPUTED_VALUE"""),"107.009018")</f>
        <v>107.009018</v>
      </c>
      <c r="AV667" s="80"/>
      <c r="AW667" s="80"/>
      <c r="AX667" s="80"/>
      <c r="AY667" s="80"/>
      <c r="AZ667" s="80"/>
      <c r="BA667" s="80"/>
      <c r="BB667" s="80"/>
      <c r="BC667" s="80"/>
      <c r="BD667" s="80"/>
      <c r="BE667" s="80"/>
      <c r="BF667" s="80"/>
      <c r="BG667" s="80"/>
      <c r="BH667" s="80"/>
      <c r="BI667" s="80"/>
      <c r="BJ667" s="80"/>
      <c r="BK667" s="80"/>
      <c r="BL667" s="80"/>
      <c r="BM667" s="80"/>
      <c r="BN667" s="80"/>
      <c r="BO667" s="80"/>
      <c r="BP667" s="80"/>
      <c r="BQ667" s="80"/>
      <c r="BR667" s="80"/>
      <c r="BS667" s="80"/>
      <c r="BT667" s="80"/>
      <c r="BU667" s="80"/>
      <c r="BV667" s="80"/>
      <c r="BW667" s="80"/>
      <c r="BX667" s="80" t="str">
        <f>IFERROR(__xludf.DUMMYFUNCTION("""COMPUTED_VALUE"""),"MULTIKURIR - WAHANA - SPX - JNT EXPRESS")</f>
        <v>MULTIKURIR - WAHANA - SPX - JNT EXPRESS</v>
      </c>
      <c r="BY667" s="80"/>
      <c r="BZ667" s="80"/>
      <c r="CA667" s="80"/>
      <c r="CB667" s="80"/>
      <c r="CC667" s="80"/>
      <c r="CD667" s="80"/>
      <c r="CE667" s="80"/>
      <c r="CF667" s="80"/>
      <c r="CG667" s="80"/>
      <c r="CH667" s="80"/>
      <c r="CI667" s="80"/>
      <c r="CJ667" s="80"/>
      <c r="CK667" s="2"/>
    </row>
    <row r="668" ht="12.75" customHeight="1">
      <c r="A668" s="85">
        <f>IFERROR(__xludf.DUMMYFUNCTION("""COMPUTED_VALUE"""),665.0)</f>
        <v>665</v>
      </c>
      <c r="B668" s="85"/>
      <c r="C668" s="85"/>
      <c r="D668" s="86">
        <f>IFERROR(__xludf.DUMMYFUNCTION("""COMPUTED_VALUE"""),45924.0)</f>
        <v>45924</v>
      </c>
      <c r="E668" s="88"/>
      <c r="F668" s="85"/>
      <c r="G668" s="86">
        <f>IFERROR(__xludf.DUMMYFUNCTION("""COMPUTED_VALUE"""),45929.0)</f>
        <v>45929</v>
      </c>
      <c r="H668" s="85"/>
      <c r="I668" s="85"/>
      <c r="J668" s="85"/>
      <c r="K668" s="85"/>
      <c r="L668" s="85">
        <f>IFERROR(__xludf.DUMMYFUNCTION("""COMPUTED_VALUE"""),5.0)</f>
        <v>5</v>
      </c>
      <c r="M668" s="85" t="str">
        <f>IFERROR(__xludf.DUMMYFUNCTION("""COMPUTED_VALUE"""),"ü")</f>
        <v>ü</v>
      </c>
      <c r="N668" s="85"/>
      <c r="O668" s="85"/>
      <c r="P668" s="85" t="str">
        <f>IFERROR(__xludf.DUMMYFUNCTION("""COMPUTED_VALUE"""),"53BSPA09695JBEEN")</f>
        <v>53BSPA09695JBEEN</v>
      </c>
      <c r="Q668" s="85" t="str">
        <f>IFERROR(__xludf.DUMMYFUNCTION("""COMPUTED_VALUE"""),"MUC PARCEL SUKAMAKMUR")</f>
        <v>MUC PARCEL SUKAMAKMUR</v>
      </c>
      <c r="R668" s="85" t="str">
        <f>IFERROR(__xludf.DUMMYFUNCTION("""COMPUTED_VALUE"""),"MUC PARCEL SUKAMAKMUR")</f>
        <v>MUC PARCEL SUKAMAKMUR</v>
      </c>
      <c r="S668" s="85" t="str">
        <f>IFERROR(__xludf.DUMMYFUNCTION("""COMPUTED_VALUE"""),"RADHIY SUKENDAR")</f>
        <v>RADHIY SUKENDAR</v>
      </c>
      <c r="T668" s="85" t="str">
        <f>IFERROR(__xludf.DUMMYFUNCTION("""COMPUTED_VALUE"""),"JL. PINANG V NO. 2 TM. YASMIN RT.001 RW.009 CURUGMEKAR, BOGOR BARAT, KOTA BOGOR")</f>
        <v>JL. PINANG V NO. 2 TM. YASMIN RT.001 RW.009 CURUGMEKAR, BOGOR BARAT, KOTA BOGOR</v>
      </c>
      <c r="U668" s="85" t="str">
        <f>IFERROR(__xludf.DUMMYFUNCTION("""COMPUTED_VALUE"""),"JL. RAYA DESA SUKAMAKMUR NO.16 ")</f>
        <v>JL. RAYA DESA SUKAMAKMUR NO.16 </v>
      </c>
      <c r="V668" s="85"/>
      <c r="W668" s="85" t="str">
        <f>IFERROR(__xludf.DUMMYFUNCTION("""COMPUTED_VALUE"""),"Sukamakmur")</f>
        <v>Sukamakmur</v>
      </c>
      <c r="X668" s="85" t="str">
        <f>IFERROR(__xludf.DUMMYFUNCTION("""COMPUTED_VALUE"""),"Ciomas")</f>
        <v>Ciomas</v>
      </c>
      <c r="Y668" s="85" t="str">
        <f>IFERROR(__xludf.DUMMYFUNCTION("""COMPUTED_VALUE"""),"kab. Bogor")</f>
        <v>kab. Bogor</v>
      </c>
      <c r="Z668" s="85" t="str">
        <f>IFERROR(__xludf.DUMMYFUNCTION("""COMPUTED_VALUE"""),"Jawa barat")</f>
        <v>Jawa barat</v>
      </c>
      <c r="AA668" s="85" t="str">
        <f>IFERROR(__xludf.DUMMYFUNCTION("""COMPUTED_VALUE"""),"16610")</f>
        <v>16610</v>
      </c>
      <c r="AB668" s="85" t="str">
        <f>IFERROR(__xludf.DUMMYFUNCTION("""COMPUTED_VALUE"""),"3271040204860007")</f>
        <v>3271040204860007</v>
      </c>
      <c r="AC668" s="85" t="str">
        <f>IFERROR(__xludf.DUMMYFUNCTION("""COMPUTED_VALUE"""),"79.011.579.4-404.000")</f>
        <v>79.011.579.4-404.000</v>
      </c>
      <c r="AD668" s="85" t="str">
        <f>IFERROR(__xludf.DUMMYFUNCTION("""COMPUTED_VALUE"""),"CUM - EEN")</f>
        <v>CUM - EEN</v>
      </c>
      <c r="AE668" s="85" t="str">
        <f>IFERROR(__xludf.DUMMYFUNCTION("""COMPUTED_VALUE"""),"SUB EEN")</f>
        <v>SUB EEN</v>
      </c>
      <c r="AF668" s="85" t="str">
        <f>IFERROR(__xludf.DUMMYFUNCTION("""COMPUTED_VALUE"""),"087872702640")</f>
        <v>087872702640</v>
      </c>
      <c r="AG668" s="85"/>
      <c r="AH668" s="85" t="str">
        <f>IFERROR(__xludf.DUMMYFUNCTION("""COMPUTED_VALUE"""),"radhiysupervisoridshn@gmail.com")</f>
        <v>radhiysupervisoridshn@gmail.com</v>
      </c>
      <c r="AI668" s="85" t="str">
        <f>IFERROR(__xludf.DUMMYFUNCTION("""COMPUTED_VALUE"""),"16615S1")</f>
        <v>16615S1</v>
      </c>
      <c r="AJ668" s="85" t="str">
        <f>IFERROR(__xludf.DUMMYFUNCTION("""COMPUTED_VALUE"""),"68da2e6ee837fee05f035af0")</f>
        <v>68da2e6ee837fee05f035af0</v>
      </c>
      <c r="AK668" s="85" t="str">
        <f>IFERROR(__xludf.DUMMYFUNCTION("""COMPUTED_VALUE"""),"dm16615s1")</f>
        <v>dm16615s1</v>
      </c>
      <c r="AL668" s="85" t="str">
        <f>IFERROR(__xludf.DUMMYFUNCTION("""COMPUTED_VALUE"""),"#16615Pos")</f>
        <v>#16615Pos</v>
      </c>
      <c r="AM668" s="85" t="str">
        <f>IFERROR(__xludf.DUMMYFUNCTION("""COMPUTED_VALUE"""),"KANTOR REGIONAL II JAKARTA 10004")</f>
        <v>KANTOR REGIONAL II JAKARTA 10004</v>
      </c>
      <c r="AN668" s="85" t="str">
        <f>IFERROR(__xludf.DUMMYFUNCTION("""COMPUTED_VALUE"""),"KCU BOGOR 16000")</f>
        <v>KCU BOGOR 16000</v>
      </c>
      <c r="AO668" s="85" t="str">
        <f>IFERROR(__xludf.DUMMYFUNCTION("""COMPUTED_VALUE"""),"2409250068886")</f>
        <v>2409250068886</v>
      </c>
      <c r="AP668" s="85" t="str">
        <f>IFERROR(__xludf.DUMMYFUNCTION("""COMPUTED_VALUE"""),"24092500688860001")</f>
        <v>24092500688860001</v>
      </c>
      <c r="AQ668" s="93"/>
      <c r="AR668" s="85"/>
      <c r="AS668" s="85"/>
      <c r="AT668" s="85" t="str">
        <f>IFERROR(__xludf.DUMMYFUNCTION("""COMPUTED_VALUE"""),"-6.6171572")</f>
        <v>-6.6171572</v>
      </c>
      <c r="AU668" s="85" t="str">
        <f>IFERROR(__xludf.DUMMYFUNCTION("""COMPUTED_VALUE"""),"106.7478996")</f>
        <v>106.7478996</v>
      </c>
      <c r="AV668" s="85"/>
      <c r="AW668" s="85"/>
      <c r="AX668" s="85"/>
      <c r="AY668" s="85"/>
      <c r="AZ668" s="85"/>
      <c r="BA668" s="85"/>
      <c r="BB668" s="85"/>
      <c r="BC668" s="85"/>
      <c r="BD668" s="85"/>
      <c r="BE668" s="85"/>
      <c r="BF668" s="85"/>
      <c r="BG668" s="85"/>
      <c r="BH668" s="85"/>
      <c r="BI668" s="85"/>
      <c r="BJ668" s="85"/>
      <c r="BK668" s="85"/>
      <c r="BL668" s="85"/>
      <c r="BM668" s="85"/>
      <c r="BN668" s="85"/>
      <c r="BO668" s="85"/>
      <c r="BP668" s="85"/>
      <c r="BQ668" s="85"/>
      <c r="BR668" s="85"/>
      <c r="BS668" s="85"/>
      <c r="BT668" s="85"/>
      <c r="BU668" s="85"/>
      <c r="BV668" s="85"/>
      <c r="BW668" s="85"/>
      <c r="BX668" s="85" t="str">
        <f>IFERROR(__xludf.DUMMYFUNCTION("""COMPUTED_VALUE"""),"MULTIKURIR - SICEPAT - ID EXPRESS - SPX")</f>
        <v>MULTIKURIR - SICEPAT - ID EXPRESS - SPX</v>
      </c>
      <c r="BY668" s="85"/>
      <c r="BZ668" s="85"/>
      <c r="CA668" s="85"/>
      <c r="CB668" s="85"/>
      <c r="CC668" s="85"/>
      <c r="CD668" s="85"/>
      <c r="CE668" s="85"/>
      <c r="CF668" s="85"/>
      <c r="CG668" s="85"/>
      <c r="CH668" s="85"/>
      <c r="CI668" s="85"/>
      <c r="CJ668" s="85"/>
      <c r="CK668" s="2"/>
    </row>
    <row r="669" ht="12.75" customHeight="1">
      <c r="A669" s="80">
        <f>IFERROR(__xludf.DUMMYFUNCTION("""COMPUTED_VALUE"""),666.0)</f>
        <v>666</v>
      </c>
      <c r="B669" s="80"/>
      <c r="C669" s="80"/>
      <c r="D669" s="81">
        <f>IFERROR(__xludf.DUMMYFUNCTION("""COMPUTED_VALUE"""),45924.0)</f>
        <v>45924</v>
      </c>
      <c r="E669" s="82"/>
      <c r="F669" s="80"/>
      <c r="G669" s="81">
        <f>IFERROR(__xludf.DUMMYFUNCTION("""COMPUTED_VALUE"""),45944.0)</f>
        <v>45944</v>
      </c>
      <c r="H669" s="80"/>
      <c r="I669" s="80"/>
      <c r="J669" s="80"/>
      <c r="K669" s="80"/>
      <c r="L669" s="80">
        <f>IFERROR(__xludf.DUMMYFUNCTION("""COMPUTED_VALUE"""),20.0)</f>
        <v>20</v>
      </c>
      <c r="M669" s="80" t="str">
        <f>IFERROR(__xludf.DUMMYFUNCTION("""COMPUTED_VALUE"""),"ü")</f>
        <v>ü</v>
      </c>
      <c r="N669" s="80"/>
      <c r="O669" s="80"/>
      <c r="P669" s="80" t="str">
        <f>IFERROR(__xludf.DUMMYFUNCTION("""COMPUTED_VALUE"""),"53BSPA09696JBEEN")</f>
        <v>53BSPA09696JBEEN</v>
      </c>
      <c r="Q669" s="80" t="str">
        <f>IFERROR(__xludf.DUMMYFUNCTION("""COMPUTED_VALUE"""),"MUC Industri Jatake")</f>
        <v>MUC Industri Jatake</v>
      </c>
      <c r="R669" s="80" t="str">
        <f>IFERROR(__xludf.DUMMYFUNCTION("""COMPUTED_VALUE"""),"MUC Industri Jatake")</f>
        <v>MUC Industri Jatake</v>
      </c>
      <c r="S669" s="80" t="str">
        <f>IFERROR(__xludf.DUMMYFUNCTION("""COMPUTED_VALUE"""),"NANUNDITA")</f>
        <v>NANUNDITA</v>
      </c>
      <c r="T669" s="80" t="str">
        <f>IFERROR(__xludf.DUMMYFUNCTION("""COMPUTED_VALUE"""),"PANORAMA CIBODAS BLOK I.10 RT.003 RW.012, SANGIANG JAYA, PERIUK, KOTA TANGERANG")</f>
        <v>PANORAMA CIBODAS BLOK I.10 RT.003 RW.012, SANGIANG JAYA, PERIUK, KOTA TANGERANG</v>
      </c>
      <c r="U669" s="80" t="str">
        <f>IFERROR(__xludf.DUMMYFUNCTION("""COMPUTED_VALUE"""),"Jl. Gatot subroto, Tanjakan setelah pasar induk No.km 6 5")</f>
        <v>Jl. Gatot subroto, Tanjakan setelah pasar induk No.km 6 5</v>
      </c>
      <c r="V669" s="80"/>
      <c r="W669" s="80" t="str">
        <f>IFERROR(__xludf.DUMMYFUNCTION("""COMPUTED_VALUE"""),"Jatake")</f>
        <v>Jatake</v>
      </c>
      <c r="X669" s="80" t="str">
        <f>IFERROR(__xludf.DUMMYFUNCTION("""COMPUTED_VALUE"""),"Jatiuwung")</f>
        <v>Jatiuwung</v>
      </c>
      <c r="Y669" s="80" t="str">
        <f>IFERROR(__xludf.DUMMYFUNCTION("""COMPUTED_VALUE"""),"Kota Tangerang")</f>
        <v>Kota Tangerang</v>
      </c>
      <c r="Z669" s="80" t="str">
        <f>IFERROR(__xludf.DUMMYFUNCTION("""COMPUTED_VALUE"""),"Banten")</f>
        <v>Banten</v>
      </c>
      <c r="AA669" s="80" t="str">
        <f>IFERROR(__xludf.DUMMYFUNCTION("""COMPUTED_VALUE"""),"15810")</f>
        <v>15810</v>
      </c>
      <c r="AB669" s="80" t="str">
        <f>IFERROR(__xludf.DUMMYFUNCTION("""COMPUTED_VALUE"""),"3318045208850006")</f>
        <v>3318045208850006</v>
      </c>
      <c r="AC669" s="80" t="str">
        <f>IFERROR(__xludf.DUMMYFUNCTION("""COMPUTED_VALUE"""),"70.737.238.9-507.000")</f>
        <v>70.737.238.9-507.000</v>
      </c>
      <c r="AD669" s="80" t="str">
        <f>IFERROR(__xludf.DUMMYFUNCTION("""COMPUTED_VALUE"""),"CUM - EEN")</f>
        <v>CUM - EEN</v>
      </c>
      <c r="AE669" s="80" t="str">
        <f>IFERROR(__xludf.DUMMYFUNCTION("""COMPUTED_VALUE"""),"SUB EEN")</f>
        <v>SUB EEN</v>
      </c>
      <c r="AF669" s="80" t="str">
        <f>IFERROR(__xludf.DUMMYFUNCTION("""COMPUTED_VALUE"""),"082226285624")</f>
        <v>082226285624</v>
      </c>
      <c r="AG669" s="80"/>
      <c r="AH669" s="80" t="str">
        <f>IFERROR(__xludf.DUMMYFUNCTION("""COMPUTED_VALUE"""),"ditahabibi3@gmail.com")</f>
        <v>ditahabibi3@gmail.com</v>
      </c>
      <c r="AI669" s="80" t="str">
        <f>IFERROR(__xludf.DUMMYFUNCTION("""COMPUTED_VALUE"""),"15136S1")</f>
        <v>15136S1</v>
      </c>
      <c r="AJ669" s="80" t="str">
        <f>IFERROR(__xludf.DUMMYFUNCTION("""COMPUTED_VALUE"""),"68edc5eb2daca26406074309")</f>
        <v>68edc5eb2daca26406074309</v>
      </c>
      <c r="AK669" s="80" t="str">
        <f>IFERROR(__xludf.DUMMYFUNCTION("""COMPUTED_VALUE"""),"ditahabibi3@gmail.com")</f>
        <v>ditahabibi3@gmail.com</v>
      </c>
      <c r="AL669" s="80" t="str">
        <f>IFERROR(__xludf.DUMMYFUNCTION("""COMPUTED_VALUE"""),"#Muc15136S1$")</f>
        <v>#Muc15136S1$</v>
      </c>
      <c r="AM669" s="80" t="str">
        <f>IFERROR(__xludf.DUMMYFUNCTION("""COMPUTED_VALUE"""),"KANTOR REGIONAL II JAKARTA 10004")</f>
        <v>KANTOR REGIONAL II JAKARTA 10004</v>
      </c>
      <c r="AN669" s="80" t="str">
        <f>IFERROR(__xludf.DUMMYFUNCTION("""COMPUTED_VALUE"""),"KCU TANGERANG 15000")</f>
        <v>KCU TANGERANG 15000</v>
      </c>
      <c r="AO669" s="80" t="str">
        <f>IFERROR(__xludf.DUMMYFUNCTION("""COMPUTED_VALUE"""),"2409250107323")</f>
        <v>2409250107323</v>
      </c>
      <c r="AP669" s="80" t="str">
        <f>IFERROR(__xludf.DUMMYFUNCTION("""COMPUTED_VALUE"""),"24092501073230001")</f>
        <v>24092501073230001</v>
      </c>
      <c r="AQ669" s="83"/>
      <c r="AR669" s="80"/>
      <c r="AS669" s="80"/>
      <c r="AT669" s="80" t="str">
        <f>IFERROR(__xludf.DUMMYFUNCTION("""COMPUTED_VALUE"""),"-6.1985142")</f>
        <v>-6.1985142</v>
      </c>
      <c r="AU669" s="80" t="str">
        <f>IFERROR(__xludf.DUMMYFUNCTION("""COMPUTED_VALUE"""),"106.5773501")</f>
        <v>106.5773501</v>
      </c>
      <c r="AV669" s="80"/>
      <c r="AW669" s="80"/>
      <c r="AX669" s="80"/>
      <c r="AY669" s="80"/>
      <c r="AZ669" s="80"/>
      <c r="BA669" s="80"/>
      <c r="BB669" s="80"/>
      <c r="BC669" s="80"/>
      <c r="BD669" s="80"/>
      <c r="BE669" s="80"/>
      <c r="BF669" s="80"/>
      <c r="BG669" s="80"/>
      <c r="BH669" s="80"/>
      <c r="BI669" s="80"/>
      <c r="BJ669" s="80"/>
      <c r="BK669" s="80"/>
      <c r="BL669" s="80"/>
      <c r="BM669" s="80"/>
      <c r="BN669" s="80"/>
      <c r="BO669" s="80"/>
      <c r="BP669" s="80"/>
      <c r="BQ669" s="80"/>
      <c r="BR669" s="80"/>
      <c r="BS669" s="80"/>
      <c r="BT669" s="80"/>
      <c r="BU669" s="80"/>
      <c r="BV669" s="80"/>
      <c r="BW669" s="80"/>
      <c r="BX669" s="80" t="str">
        <f>IFERROR(__xludf.DUMMYFUNCTION("""COMPUTED_VALUE"""),"MULTIKURIR - LION PARCEL - JNT")</f>
        <v>MULTIKURIR - LION PARCEL - JNT</v>
      </c>
      <c r="BY669" s="80"/>
      <c r="BZ669" s="80"/>
      <c r="CA669" s="80"/>
      <c r="CB669" s="80"/>
      <c r="CC669" s="80"/>
      <c r="CD669" s="80"/>
      <c r="CE669" s="80"/>
      <c r="CF669" s="80"/>
      <c r="CG669" s="80"/>
      <c r="CH669" s="80"/>
      <c r="CI669" s="80"/>
      <c r="CJ669" s="80"/>
      <c r="CK669" s="2"/>
    </row>
    <row r="670" ht="12.75" customHeight="1">
      <c r="A670" s="85">
        <f>IFERROR(__xludf.DUMMYFUNCTION("""COMPUTED_VALUE"""),667.0)</f>
        <v>667</v>
      </c>
      <c r="B670" s="85"/>
      <c r="C670" s="85"/>
      <c r="D670" s="86">
        <f>IFERROR(__xludf.DUMMYFUNCTION("""COMPUTED_VALUE"""),45925.0)</f>
        <v>45925</v>
      </c>
      <c r="E670" s="88"/>
      <c r="F670" s="85"/>
      <c r="G670" s="86">
        <f>IFERROR(__xludf.DUMMYFUNCTION("""COMPUTED_VALUE"""),45930.0)</f>
        <v>45930</v>
      </c>
      <c r="H670" s="85"/>
      <c r="I670" s="85"/>
      <c r="J670" s="85"/>
      <c r="K670" s="85"/>
      <c r="L670" s="85">
        <f>IFERROR(__xludf.DUMMYFUNCTION("""COMPUTED_VALUE"""),5.0)</f>
        <v>5</v>
      </c>
      <c r="M670" s="85" t="str">
        <f>IFERROR(__xludf.DUMMYFUNCTION("""COMPUTED_VALUE"""),"ü")</f>
        <v>ü</v>
      </c>
      <c r="N670" s="85"/>
      <c r="O670" s="85"/>
      <c r="P670" s="85" t="str">
        <f>IFERROR(__xludf.DUMMYFUNCTION("""COMPUTED_VALUE"""),"53BSPA09670JBEEN")</f>
        <v>53BSPA09670JBEEN</v>
      </c>
      <c r="Q670" s="85" t="str">
        <f>IFERROR(__xludf.DUMMYFUNCTION("""COMPUTED_VALUE"""),"MUC BOJONG RAWA BUAYA")</f>
        <v>MUC BOJONG RAWA BUAYA</v>
      </c>
      <c r="R670" s="85" t="str">
        <f>IFERROR(__xludf.DUMMYFUNCTION("""COMPUTED_VALUE"""),"MUC BOJONG RAWA BUAYA")</f>
        <v>MUC BOJONG RAWA BUAYA</v>
      </c>
      <c r="S670" s="85" t="str">
        <f>IFERROR(__xludf.DUMMYFUNCTION("""COMPUTED_VALUE"""),"LISAH")</f>
        <v>LISAH</v>
      </c>
      <c r="T670" s="85" t="str">
        <f>IFERROR(__xludf.DUMMYFUNCTION("""COMPUTED_VALUE"""),"JL. BOJONG RAYA RT.015 RW.004, RAWA BUAYA, CENGKARENG, JAKARTA BARAT")</f>
        <v>JL. BOJONG RAYA RT.015 RW.004, RAWA BUAYA, CENGKARENG, JAKARTA BARAT</v>
      </c>
      <c r="U670" s="85" t="str">
        <f>IFERROR(__xludf.DUMMYFUNCTION("""COMPUTED_VALUE"""),"Jalan Bojong Raya Rt. 003/004 ")</f>
        <v>Jalan Bojong Raya Rt. 003/004 </v>
      </c>
      <c r="V670" s="85"/>
      <c r="W670" s="85" t="str">
        <f>IFERROR(__xludf.DUMMYFUNCTION("""COMPUTED_VALUE"""),"Rawa Buaya")</f>
        <v>Rawa Buaya</v>
      </c>
      <c r="X670" s="85" t="str">
        <f>IFERROR(__xludf.DUMMYFUNCTION("""COMPUTED_VALUE"""),"Cengkareng")</f>
        <v>Cengkareng</v>
      </c>
      <c r="Y670" s="85" t="str">
        <f>IFERROR(__xludf.DUMMYFUNCTION("""COMPUTED_VALUE"""),"Jakarta Barat")</f>
        <v>Jakarta Barat</v>
      </c>
      <c r="Z670" s="85" t="str">
        <f>IFERROR(__xludf.DUMMYFUNCTION("""COMPUTED_VALUE"""),"DKI Jakarta")</f>
        <v>DKI Jakarta</v>
      </c>
      <c r="AA670" s="85" t="str">
        <f>IFERROR(__xludf.DUMMYFUNCTION("""COMPUTED_VALUE"""),"11740")</f>
        <v>11740</v>
      </c>
      <c r="AB670" s="85" t="str">
        <f>IFERROR(__xludf.DUMMYFUNCTION("""COMPUTED_VALUE"""),"3173016812900012")</f>
        <v>3173016812900012</v>
      </c>
      <c r="AC670" s="85" t="str">
        <f>IFERROR(__xludf.DUMMYFUNCTION("""COMPUTED_VALUE"""),"21.530.424.7-034.000")</f>
        <v>21.530.424.7-034.000</v>
      </c>
      <c r="AD670" s="85" t="str">
        <f>IFERROR(__xludf.DUMMYFUNCTION("""COMPUTED_VALUE"""),"CUM - EEN")</f>
        <v>CUM - EEN</v>
      </c>
      <c r="AE670" s="85" t="str">
        <f>IFERROR(__xludf.DUMMYFUNCTION("""COMPUTED_VALUE"""),"SUB EEN")</f>
        <v>SUB EEN</v>
      </c>
      <c r="AF670" s="85" t="str">
        <f>IFERROR(__xludf.DUMMYFUNCTION("""COMPUTED_VALUE"""),"085692828046")</f>
        <v>085692828046</v>
      </c>
      <c r="AG670" s="85"/>
      <c r="AH670" s="85" t="str">
        <f>IFERROR(__xludf.DUMMYFUNCTION("""COMPUTED_VALUE"""),"lisahyulianto063@gmail.com")</f>
        <v>lisahyulianto063@gmail.com</v>
      </c>
      <c r="AI670" s="85" t="str">
        <f>IFERROR(__xludf.DUMMYFUNCTION("""COMPUTED_VALUE"""),"11740S4")</f>
        <v>11740S4</v>
      </c>
      <c r="AJ670" s="85" t="str">
        <f>IFERROR(__xludf.DUMMYFUNCTION("""COMPUTED_VALUE"""),"68db407bfe3873cddf05d4d5")</f>
        <v>68db407bfe3873cddf05d4d5</v>
      </c>
      <c r="AK670" s="85" t="str">
        <f>IFERROR(__xludf.DUMMYFUNCTION("""COMPUTED_VALUE"""),"dm11740s4")</f>
        <v>dm11740s4</v>
      </c>
      <c r="AL670" s="85" t="str">
        <f>IFERROR(__xludf.DUMMYFUNCTION("""COMPUTED_VALUE"""),"#11740Pos")</f>
        <v>#11740Pos</v>
      </c>
      <c r="AM670" s="85" t="str">
        <f>IFERROR(__xludf.DUMMYFUNCTION("""COMPUTED_VALUE"""),"KANTOR REGIONAL II JAKARTA 10004")</f>
        <v>KANTOR REGIONAL II JAKARTA 10004</v>
      </c>
      <c r="AN670" s="85" t="str">
        <f>IFERROR(__xludf.DUMMYFUNCTION("""COMPUTED_VALUE"""),"KCU JAKARTAOCEANIA 11000")</f>
        <v>KCU JAKARTAOCEANIA 11000</v>
      </c>
      <c r="AO670" s="85" t="str">
        <f>IFERROR(__xludf.DUMMYFUNCTION("""COMPUTED_VALUE"""),"0252011150236")</f>
        <v>0252011150236</v>
      </c>
      <c r="AP670" s="85" t="str">
        <f>IFERROR(__xludf.DUMMYFUNCTION("""COMPUTED_VALUE"""),"02520111502360001")</f>
        <v>02520111502360001</v>
      </c>
      <c r="AQ670" s="93"/>
      <c r="AR670" s="85"/>
      <c r="AS670" s="85"/>
      <c r="AT670" s="85" t="str">
        <f>IFERROR(__xludf.DUMMYFUNCTION("""COMPUTED_VALUE"""),"-6.165736")</f>
        <v>-6.165736</v>
      </c>
      <c r="AU670" s="85" t="str">
        <f>IFERROR(__xludf.DUMMYFUNCTION("""COMPUTED_VALUE"""),"106.7351902")</f>
        <v>106.7351902</v>
      </c>
      <c r="AV670" s="85"/>
      <c r="AW670" s="85"/>
      <c r="AX670" s="85"/>
      <c r="AY670" s="85"/>
      <c r="AZ670" s="85"/>
      <c r="BA670" s="85"/>
      <c r="BB670" s="85"/>
      <c r="BC670" s="85"/>
      <c r="BD670" s="85"/>
      <c r="BE670" s="85"/>
      <c r="BF670" s="85"/>
      <c r="BG670" s="85"/>
      <c r="BH670" s="85"/>
      <c r="BI670" s="85"/>
      <c r="BJ670" s="85"/>
      <c r="BK670" s="85"/>
      <c r="BL670" s="85"/>
      <c r="BM670" s="85"/>
      <c r="BN670" s="85"/>
      <c r="BO670" s="85"/>
      <c r="BP670" s="85"/>
      <c r="BQ670" s="85"/>
      <c r="BR670" s="85"/>
      <c r="BS670" s="85"/>
      <c r="BT670" s="85"/>
      <c r="BU670" s="85"/>
      <c r="BV670" s="85"/>
      <c r="BW670" s="85"/>
      <c r="BX670" s="85" t="str">
        <f>IFERROR(__xludf.DUMMYFUNCTION("""COMPUTED_VALUE"""),"MULTIKURIR - SPX - WAHANA - JNT EXPRESS - LAZADA")</f>
        <v>MULTIKURIR - SPX - WAHANA - JNT EXPRESS - LAZADA</v>
      </c>
      <c r="BY670" s="85"/>
      <c r="BZ670" s="85"/>
      <c r="CA670" s="85"/>
      <c r="CB670" s="85"/>
      <c r="CC670" s="85"/>
      <c r="CD670" s="85"/>
      <c r="CE670" s="85"/>
      <c r="CF670" s="85"/>
      <c r="CG670" s="85"/>
      <c r="CH670" s="85"/>
      <c r="CI670" s="85"/>
      <c r="CJ670" s="85"/>
      <c r="CK670" s="2"/>
    </row>
    <row r="671" ht="12.75" customHeight="1">
      <c r="A671" s="80">
        <f>IFERROR(__xludf.DUMMYFUNCTION("""COMPUTED_VALUE"""),668.0)</f>
        <v>668</v>
      </c>
      <c r="B671" s="80"/>
      <c r="C671" s="80"/>
      <c r="D671" s="81">
        <f>IFERROR(__xludf.DUMMYFUNCTION("""COMPUTED_VALUE"""),45925.0)</f>
        <v>45925</v>
      </c>
      <c r="E671" s="82"/>
      <c r="F671" s="80"/>
      <c r="G671" s="81">
        <f>IFERROR(__xludf.DUMMYFUNCTION("""COMPUTED_VALUE"""),45931.0)</f>
        <v>45931</v>
      </c>
      <c r="H671" s="80"/>
      <c r="I671" s="80"/>
      <c r="J671" s="80"/>
      <c r="K671" s="80"/>
      <c r="L671" s="80">
        <f>IFERROR(__xludf.DUMMYFUNCTION("""COMPUTED_VALUE"""),6.0)</f>
        <v>6</v>
      </c>
      <c r="M671" s="80" t="str">
        <f>IFERROR(__xludf.DUMMYFUNCTION("""COMPUTED_VALUE"""),"ü")</f>
        <v>ü</v>
      </c>
      <c r="N671" s="80"/>
      <c r="O671" s="80"/>
      <c r="P671" s="80" t="str">
        <f>IFERROR(__xludf.DUMMYFUNCTION("""COMPUTED_VALUE"""),"53BSPA09697JBEEN")</f>
        <v>53BSPA09697JBEEN</v>
      </c>
      <c r="Q671" s="80" t="str">
        <f>IFERROR(__xludf.DUMMYFUNCTION("""COMPUTED_VALUE"""),"MUC Limas Ekspedisi")</f>
        <v>MUC Limas Ekspedisi</v>
      </c>
      <c r="R671" s="80" t="str">
        <f>IFERROR(__xludf.DUMMYFUNCTION("""COMPUTED_VALUE"""),"MUC Limas Ekspedisi")</f>
        <v>MUC Limas Ekspedisi</v>
      </c>
      <c r="S671" s="80" t="str">
        <f>IFERROR(__xludf.DUMMYFUNCTION("""COMPUTED_VALUE"""),"PRIYANDA RIZKY LIMAS")</f>
        <v>PRIYANDA RIZKY LIMAS</v>
      </c>
      <c r="T671" s="80" t="str">
        <f>IFERROR(__xludf.DUMMYFUNCTION("""COMPUTED_VALUE"""),"GREEN VILLE AB 20 RT.001 RW.014, DURI KEPA, KEBON JERUK, JAKARTA BARAT")</f>
        <v>GREEN VILLE AB 20 RT.001 RW.014, DURI KEPA, KEBON JERUK, JAKARTA BARAT</v>
      </c>
      <c r="U671" s="80" t="str">
        <f>IFERROR(__xludf.DUMMYFUNCTION("""COMPUTED_VALUE"""),"Pertokoan Greenville blok a no 29 RT 3 RW 9")</f>
        <v>Pertokoan Greenville blok a no 29 RT 3 RW 9</v>
      </c>
      <c r="V671" s="80"/>
      <c r="W671" s="80" t="str">
        <f>IFERROR(__xludf.DUMMYFUNCTION("""COMPUTED_VALUE"""),"Duri Kepa")</f>
        <v>Duri Kepa</v>
      </c>
      <c r="X671" s="80" t="str">
        <f>IFERROR(__xludf.DUMMYFUNCTION("""COMPUTED_VALUE"""),"Kebon Jeruk")</f>
        <v>Kebon Jeruk</v>
      </c>
      <c r="Y671" s="80" t="str">
        <f>IFERROR(__xludf.DUMMYFUNCTION("""COMPUTED_VALUE"""),"Jakarta Barat")</f>
        <v>Jakarta Barat</v>
      </c>
      <c r="Z671" s="80" t="str">
        <f>IFERROR(__xludf.DUMMYFUNCTION("""COMPUTED_VALUE"""),"DKI Jakarta")</f>
        <v>DKI Jakarta</v>
      </c>
      <c r="AA671" s="80" t="str">
        <f>IFERROR(__xludf.DUMMYFUNCTION("""COMPUTED_VALUE"""),"11510")</f>
        <v>11510</v>
      </c>
      <c r="AB671" s="80" t="str">
        <f>IFERROR(__xludf.DUMMYFUNCTION("""COMPUTED_VALUE"""),"3173050604850009")</f>
        <v>3173050604850009</v>
      </c>
      <c r="AC671" s="80" t="str">
        <f>IFERROR(__xludf.DUMMYFUNCTION("""COMPUTED_VALUE"""),"76.526.404.9-039.000")</f>
        <v>76.526.404.9-039.000</v>
      </c>
      <c r="AD671" s="80" t="str">
        <f>IFERROR(__xludf.DUMMYFUNCTION("""COMPUTED_VALUE"""),"CUM - EEN")</f>
        <v>CUM - EEN</v>
      </c>
      <c r="AE671" s="80" t="str">
        <f>IFERROR(__xludf.DUMMYFUNCTION("""COMPUTED_VALUE"""),"SUB EEN")</f>
        <v>SUB EEN</v>
      </c>
      <c r="AF671" s="80" t="str">
        <f>IFERROR(__xludf.DUMMYFUNCTION("""COMPUTED_VALUE"""),"081211532907")</f>
        <v>081211532907</v>
      </c>
      <c r="AG671" s="80"/>
      <c r="AH671" s="80" t="str">
        <f>IFERROR(__xludf.DUMMYFUNCTION("""COMPUTED_VALUE"""),"priyandarizkylimas@gmail.com")</f>
        <v>priyandarizkylimas@gmail.com</v>
      </c>
      <c r="AI671" s="80" t="str">
        <f>IFERROR(__xludf.DUMMYFUNCTION("""COMPUTED_VALUE"""),"11510S6")</f>
        <v>11510S6</v>
      </c>
      <c r="AJ671" s="80" t="str">
        <f>IFERROR(__xludf.DUMMYFUNCTION("""COMPUTED_VALUE"""),"68db5ba944b804bd64034d7e")</f>
        <v>68db5ba944b804bd64034d7e</v>
      </c>
      <c r="AK671" s="80" t="str">
        <f>IFERROR(__xludf.DUMMYFUNCTION("""COMPUTED_VALUE"""),"dm11510s6")</f>
        <v>dm11510s6</v>
      </c>
      <c r="AL671" s="80" t="str">
        <f>IFERROR(__xludf.DUMMYFUNCTION("""COMPUTED_VALUE"""),"#11510Pos")</f>
        <v>#11510Pos</v>
      </c>
      <c r="AM671" s="80" t="str">
        <f>IFERROR(__xludf.DUMMYFUNCTION("""COMPUTED_VALUE"""),"KANTOR REGIONAL II JAKARTA 10004")</f>
        <v>KANTOR REGIONAL II JAKARTA 10004</v>
      </c>
      <c r="AN671" s="80" t="str">
        <f>IFERROR(__xludf.DUMMYFUNCTION("""COMPUTED_VALUE"""),"KCU JAKARTAOCEANIA 11000")</f>
        <v>KCU JAKARTAOCEANIA 11000</v>
      </c>
      <c r="AO671" s="80" t="str">
        <f>IFERROR(__xludf.DUMMYFUNCTION("""COMPUTED_VALUE"""),"2409250130262")</f>
        <v>2409250130262</v>
      </c>
      <c r="AP671" s="80" t="str">
        <f>IFERROR(__xludf.DUMMYFUNCTION("""COMPUTED_VALUE"""),"24092501302620001")</f>
        <v>24092501302620001</v>
      </c>
      <c r="AQ671" s="83"/>
      <c r="AR671" s="80"/>
      <c r="AS671" s="80"/>
      <c r="AT671" s="80" t="str">
        <f>IFERROR(__xludf.DUMMYFUNCTION("""COMPUTED_VALUE"""),"-6.171405")</f>
        <v>-6.171405</v>
      </c>
      <c r="AU671" s="80" t="str">
        <f>IFERROR(__xludf.DUMMYFUNCTION("""COMPUTED_VALUE"""),"106.776468")</f>
        <v>106.776468</v>
      </c>
      <c r="AV671" s="80"/>
      <c r="AW671" s="80"/>
      <c r="AX671" s="80"/>
      <c r="AY671" s="80"/>
      <c r="AZ671" s="80"/>
      <c r="BA671" s="80"/>
      <c r="BB671" s="80"/>
      <c r="BC671" s="80"/>
      <c r="BD671" s="80"/>
      <c r="BE671" s="80"/>
      <c r="BF671" s="80"/>
      <c r="BG671" s="80"/>
      <c r="BH671" s="80"/>
      <c r="BI671" s="80"/>
      <c r="BJ671" s="80"/>
      <c r="BK671" s="80"/>
      <c r="BL671" s="80"/>
      <c r="BM671" s="80"/>
      <c r="BN671" s="80"/>
      <c r="BO671" s="80"/>
      <c r="BP671" s="80"/>
      <c r="BQ671" s="80"/>
      <c r="BR671" s="80"/>
      <c r="BS671" s="80"/>
      <c r="BT671" s="80"/>
      <c r="BU671" s="80"/>
      <c r="BV671" s="80"/>
      <c r="BW671" s="80"/>
      <c r="BX671" s="80" t="str">
        <f>IFERROR(__xludf.DUMMYFUNCTION("""COMPUTED_VALUE"""),"MULTIKURIR - LION PARCEL - WAHANA - CENTRAL CARGO")</f>
        <v>MULTIKURIR - LION PARCEL - WAHANA - CENTRAL CARGO</v>
      </c>
      <c r="BY671" s="80"/>
      <c r="BZ671" s="80"/>
      <c r="CA671" s="80"/>
      <c r="CB671" s="80"/>
      <c r="CC671" s="80"/>
      <c r="CD671" s="80"/>
      <c r="CE671" s="80"/>
      <c r="CF671" s="80"/>
      <c r="CG671" s="80"/>
      <c r="CH671" s="80"/>
      <c r="CI671" s="80"/>
      <c r="CJ671" s="80"/>
      <c r="CK671" s="2"/>
    </row>
    <row r="672" ht="12.75" customHeight="1">
      <c r="A672" s="85">
        <f>IFERROR(__xludf.DUMMYFUNCTION("""COMPUTED_VALUE"""),669.0)</f>
        <v>669</v>
      </c>
      <c r="B672" s="85"/>
      <c r="C672" s="85"/>
      <c r="D672" s="86">
        <f>IFERROR(__xludf.DUMMYFUNCTION("""COMPUTED_VALUE"""),45925.0)</f>
        <v>45925</v>
      </c>
      <c r="E672" s="88"/>
      <c r="F672" s="85"/>
      <c r="G672" s="86">
        <f>IFERROR(__xludf.DUMMYFUNCTION("""COMPUTED_VALUE"""),45929.0)</f>
        <v>45929</v>
      </c>
      <c r="H672" s="85"/>
      <c r="I672" s="85"/>
      <c r="J672" s="85"/>
      <c r="K672" s="85"/>
      <c r="L672" s="85">
        <f>IFERROR(__xludf.DUMMYFUNCTION("""COMPUTED_VALUE"""),4.0)</f>
        <v>4</v>
      </c>
      <c r="M672" s="85" t="str">
        <f>IFERROR(__xludf.DUMMYFUNCTION("""COMPUTED_VALUE"""),"ü")</f>
        <v>ü</v>
      </c>
      <c r="N672" s="85"/>
      <c r="O672" s="85"/>
      <c r="P672" s="85" t="str">
        <f>IFERROR(__xludf.DUMMYFUNCTION("""COMPUTED_VALUE"""),"MUCSPA63263PSIND")</f>
        <v>MUCSPA63263PSIND</v>
      </c>
      <c r="Q672" s="85" t="str">
        <f>IFERROR(__xludf.DUMMYFUNCTION("""COMPUTED_VALUE"""),"MUC BANDASARI")</f>
        <v>MUC BANDASARI</v>
      </c>
      <c r="R672" s="85" t="str">
        <f>IFERROR(__xludf.DUMMYFUNCTION("""COMPUTED_VALUE"""),"MUC BANDASARI")</f>
        <v>MUC BANDASARI</v>
      </c>
      <c r="S672" s="85" t="str">
        <f>IFERROR(__xludf.DUMMYFUNCTION("""COMPUTED_VALUE"""),"ANANDRA 'IZAAZ RAMADHANI")</f>
        <v>ANANDRA 'IZAAZ RAMADHANI</v>
      </c>
      <c r="T672" s="85" t="str">
        <f>IFERROR(__xludf.DUMMYFUNCTION("""COMPUTED_VALUE"""),"BANDASARI RT 9 RW 2")</f>
        <v>BANDASARI RT 9 RW 2</v>
      </c>
      <c r="U672" s="85" t="str">
        <f>IFERROR(__xludf.DUMMYFUNCTION("""COMPUTED_VALUE"""),"JL. RAYA NO. 475")</f>
        <v>JL. RAYA NO. 475</v>
      </c>
      <c r="V672" s="85"/>
      <c r="W672" s="85" t="str">
        <f>IFERROR(__xludf.DUMMYFUNCTION("""COMPUTED_VALUE"""),"BANDASARI")</f>
        <v>BANDASARI</v>
      </c>
      <c r="X672" s="85" t="str">
        <f>IFERROR(__xludf.DUMMYFUNCTION("""COMPUTED_VALUE"""),"DUKUHTURI")</f>
        <v>DUKUHTURI</v>
      </c>
      <c r="Y672" s="85" t="str">
        <f>IFERROR(__xludf.DUMMYFUNCTION("""COMPUTED_VALUE"""),"KAB. TEGAL")</f>
        <v>KAB. TEGAL</v>
      </c>
      <c r="Z672" s="85" t="str">
        <f>IFERROR(__xludf.DUMMYFUNCTION("""COMPUTED_VALUE"""),"JAWA TENGAH")</f>
        <v>JAWA TENGAH</v>
      </c>
      <c r="AA672" s="85" t="str">
        <f>IFERROR(__xludf.DUMMYFUNCTION("""COMPUTED_VALUE"""),"52192")</f>
        <v>52192</v>
      </c>
      <c r="AB672" s="85" t="str">
        <f>IFERROR(__xludf.DUMMYFUNCTION("""COMPUTED_VALUE"""),"3328130711040002")</f>
        <v>3328130711040002</v>
      </c>
      <c r="AC672" s="85" t="str">
        <f>IFERROR(__xludf.DUMMYFUNCTION("""COMPUTED_VALUE"""),"3328 1307 1104 0002")</f>
        <v>3328 1307 1104 0002</v>
      </c>
      <c r="AD672" s="85" t="str">
        <f>IFERROR(__xludf.DUMMYFUNCTION("""COMPUTED_VALUE"""),"CUM - PS - SYF")</f>
        <v>CUM - PS - SYF</v>
      </c>
      <c r="AE672" s="85" t="str">
        <f>IFERROR(__xludf.DUMMYFUNCTION("""COMPUTED_VALUE"""),"SUB SYAIFULLOH POS")</f>
        <v>SUB SYAIFULLOH POS</v>
      </c>
      <c r="AF672" s="85" t="str">
        <f>IFERROR(__xludf.DUMMYFUNCTION("""COMPUTED_VALUE"""),"081575757735")</f>
        <v>081575757735</v>
      </c>
      <c r="AG672" s="85"/>
      <c r="AH672" s="85" t="str">
        <f>IFERROR(__xludf.DUMMYFUNCTION("""COMPUTED_VALUE"""),"kantorposbandasari@gmail.com")</f>
        <v>kantorposbandasari@gmail.com</v>
      </c>
      <c r="AI672" s="85" t="str">
        <f>IFERROR(__xludf.DUMMYFUNCTION("""COMPUTED_VALUE"""),"52492S7")</f>
        <v>52492S7</v>
      </c>
      <c r="AJ672" s="85" t="str">
        <f>IFERROR(__xludf.DUMMYFUNCTION("""COMPUTED_VALUE"""),"68da4e285b0d7c649b025dda")</f>
        <v>68da4e285b0d7c649b025dda</v>
      </c>
      <c r="AK672" s="85" t="str">
        <f>IFERROR(__xludf.DUMMYFUNCTION("""COMPUTED_VALUE"""),"dm52492s7")</f>
        <v>dm52492s7</v>
      </c>
      <c r="AL672" s="85" t="str">
        <f>IFERROR(__xludf.DUMMYFUNCTION("""COMPUTED_VALUE"""),"#52492Pos")</f>
        <v>#52492Pos</v>
      </c>
      <c r="AM672" s="85" t="str">
        <f>IFERROR(__xludf.DUMMYFUNCTION("""COMPUTED_VALUE"""),"KANTOR REGIONAL IV SEMARANG 50004")</f>
        <v>KANTOR REGIONAL IV SEMARANG 50004</v>
      </c>
      <c r="AN672" s="85" t="str">
        <f>IFERROR(__xludf.DUMMYFUNCTION("""COMPUTED_VALUE"""),"KC TEGAL 52100")</f>
        <v>KC TEGAL 52100</v>
      </c>
      <c r="AO672" s="85" t="str">
        <f>IFERROR(__xludf.DUMMYFUNCTION("""COMPUTED_VALUE"""),"2509250066185")</f>
        <v>2509250066185</v>
      </c>
      <c r="AP672" s="85" t="str">
        <f>IFERROR(__xludf.DUMMYFUNCTION("""COMPUTED_VALUE"""),"25092500661850001")</f>
        <v>25092500661850001</v>
      </c>
      <c r="AQ672" s="93"/>
      <c r="AR672" s="85"/>
      <c r="AS672" s="85"/>
      <c r="AT672" s="85" t="str">
        <f>IFERROR(__xludf.DUMMYFUNCTION("""COMPUTED_VALUE"""),"-6.9012038")</f>
        <v>-6.9012038</v>
      </c>
      <c r="AU672" s="85" t="str">
        <f>IFERROR(__xludf.DUMMYFUNCTION("""COMPUTED_VALUE"""),"109.134104")</f>
        <v>109.134104</v>
      </c>
      <c r="AV672" s="85"/>
      <c r="AW672" s="85"/>
      <c r="AX672" s="85"/>
      <c r="AY672" s="85"/>
      <c r="AZ672" s="85"/>
      <c r="BA672" s="85"/>
      <c r="BB672" s="85"/>
      <c r="BC672" s="85"/>
      <c r="BD672" s="85"/>
      <c r="BE672" s="85"/>
      <c r="BF672" s="85"/>
      <c r="BG672" s="85"/>
      <c r="BH672" s="85"/>
      <c r="BI672" s="85"/>
      <c r="BJ672" s="85"/>
      <c r="BK672" s="85"/>
      <c r="BL672" s="85"/>
      <c r="BM672" s="85"/>
      <c r="BN672" s="85"/>
      <c r="BO672" s="85"/>
      <c r="BP672" s="85"/>
      <c r="BQ672" s="85"/>
      <c r="BR672" s="85"/>
      <c r="BS672" s="85"/>
      <c r="BT672" s="85"/>
      <c r="BU672" s="85"/>
      <c r="BV672" s="85"/>
      <c r="BW672" s="85"/>
      <c r="BX672" s="85" t="str">
        <f>IFERROR(__xludf.DUMMYFUNCTION("""COMPUTED_VALUE"""),"MULTIKURIR - INDAH CARGO")</f>
        <v>MULTIKURIR - INDAH CARGO</v>
      </c>
      <c r="BY672" s="85"/>
      <c r="BZ672" s="85"/>
      <c r="CA672" s="85"/>
      <c r="CB672" s="85"/>
      <c r="CC672" s="85"/>
      <c r="CD672" s="85"/>
      <c r="CE672" s="85"/>
      <c r="CF672" s="85"/>
      <c r="CG672" s="85"/>
      <c r="CH672" s="85"/>
      <c r="CI672" s="85"/>
      <c r="CJ672" s="85"/>
      <c r="CK672" s="2"/>
    </row>
    <row r="673" ht="12.75" customHeight="1">
      <c r="A673" s="80">
        <f>IFERROR(__xludf.DUMMYFUNCTION("""COMPUTED_VALUE"""),670.0)</f>
        <v>670</v>
      </c>
      <c r="B673" s="80"/>
      <c r="C673" s="80"/>
      <c r="D673" s="81">
        <f>IFERROR(__xludf.DUMMYFUNCTION("""COMPUTED_VALUE"""),45925.0)</f>
        <v>45925</v>
      </c>
      <c r="E673" s="82"/>
      <c r="F673" s="80"/>
      <c r="G673" s="81">
        <f>IFERROR(__xludf.DUMMYFUNCTION("""COMPUTED_VALUE"""),45941.0)</f>
        <v>45941</v>
      </c>
      <c r="H673" s="80"/>
      <c r="I673" s="80"/>
      <c r="J673" s="80"/>
      <c r="K673" s="80"/>
      <c r="L673" s="80">
        <f>IFERROR(__xludf.DUMMYFUNCTION("""COMPUTED_VALUE"""),16.0)</f>
        <v>16</v>
      </c>
      <c r="M673" s="80" t="str">
        <f>IFERROR(__xludf.DUMMYFUNCTION("""COMPUTED_VALUE"""),"ü")</f>
        <v>ü</v>
      </c>
      <c r="N673" s="80"/>
      <c r="O673" s="80"/>
      <c r="P673" s="80" t="str">
        <f>IFERROR(__xludf.DUMMYFUNCTION("""COMPUTED_VALUE"""),"MUCSPA63264PSIND")</f>
        <v>MUCSPA63264PSIND</v>
      </c>
      <c r="Q673" s="80" t="str">
        <f>IFERROR(__xludf.DUMMYFUNCTION("""COMPUTED_VALUE"""),"MUC THAMRIN CITY")</f>
        <v>MUC THAMRIN CITY</v>
      </c>
      <c r="R673" s="80" t="str">
        <f>IFERROR(__xludf.DUMMYFUNCTION("""COMPUTED_VALUE"""),"MUC THAMRIN CITY")</f>
        <v>MUC THAMRIN CITY</v>
      </c>
      <c r="S673" s="80" t="str">
        <f>IFERROR(__xludf.DUMMYFUNCTION("""COMPUTED_VALUE"""),"MUSHONIF")</f>
        <v>MUSHONIF</v>
      </c>
      <c r="T673" s="80" t="str">
        <f>IFERROR(__xludf.DUMMYFUNCTION("""COMPUTED_VALUE"""),"JL. KUCICA II BLOK JG.5/17 RT 2 RW 11")</f>
        <v>JL. KUCICA II BLOK JG.5/17 RT 2 RW 11</v>
      </c>
      <c r="U673" s="80" t="str">
        <f>IFERROR(__xludf.DUMMYFUNCTION("""COMPUTED_VALUE"""),"THAMRIN CITY LT. 2 BLOK G.30 NO. 2")</f>
        <v>THAMRIN CITY LT. 2 BLOK G.30 NO. 2</v>
      </c>
      <c r="V673" s="80"/>
      <c r="W673" s="80" t="str">
        <f>IFERROR(__xludf.DUMMYFUNCTION("""COMPUTED_VALUE"""),"KEBON MELATI")</f>
        <v>KEBON MELATI</v>
      </c>
      <c r="X673" s="80" t="str">
        <f>IFERROR(__xludf.DUMMYFUNCTION("""COMPUTED_VALUE"""),"TANAH ABANG")</f>
        <v>TANAH ABANG</v>
      </c>
      <c r="Y673" s="80" t="str">
        <f>IFERROR(__xludf.DUMMYFUNCTION("""COMPUTED_VALUE"""),"JAKARTA PUSAT")</f>
        <v>JAKARTA PUSAT</v>
      </c>
      <c r="Z673" s="80" t="str">
        <f>IFERROR(__xludf.DUMMYFUNCTION("""COMPUTED_VALUE"""),"DKI Jakarta")</f>
        <v>DKI Jakarta</v>
      </c>
      <c r="AA673" s="80" t="str">
        <f>IFERROR(__xludf.DUMMYFUNCTION("""COMPUTED_VALUE"""),"10230")</f>
        <v>10230</v>
      </c>
      <c r="AB673" s="80" t="str">
        <f>IFERROR(__xludf.DUMMYFUNCTION("""COMPUTED_VALUE"""),"3674032411670004")</f>
        <v>3674032411670004</v>
      </c>
      <c r="AC673" s="80" t="str">
        <f>IFERROR(__xludf.DUMMYFUNCTION("""COMPUTED_VALUE"""),"09.321.158.9-411.000")</f>
        <v>09.321.158.9-411.000</v>
      </c>
      <c r="AD673" s="80" t="str">
        <f>IFERROR(__xludf.DUMMYFUNCTION("""COMPUTED_VALUE"""),"CUM - NOV")</f>
        <v>CUM - NOV</v>
      </c>
      <c r="AE673" s="80" t="str">
        <f>IFERROR(__xludf.DUMMYFUNCTION("""COMPUTED_VALUE"""),"SUB NOVI")</f>
        <v>SUB NOVI</v>
      </c>
      <c r="AF673" s="80" t="str">
        <f>IFERROR(__xludf.DUMMYFUNCTION("""COMPUTED_VALUE"""),"08159100301")</f>
        <v>08159100301</v>
      </c>
      <c r="AG673" s="80"/>
      <c r="AH673" s="80" t="str">
        <f>IFERROR(__xludf.DUMMYFUNCTION("""COMPUTED_VALUE"""),"mushoniftcm@gmail.com")</f>
        <v>mushoniftcm@gmail.com</v>
      </c>
      <c r="AI673" s="80" t="str">
        <f>IFERROR(__xludf.DUMMYFUNCTION("""COMPUTED_VALUE"""),"10230S2")</f>
        <v>10230S2</v>
      </c>
      <c r="AJ673" s="80" t="str">
        <f>IFERROR(__xludf.DUMMYFUNCTION("""COMPUTED_VALUE"""),"68e8bc61cdeb0cbdd60691e7")</f>
        <v>68e8bc61cdeb0cbdd60691e7</v>
      </c>
      <c r="AK673" s="80" t="str">
        <f>IFERROR(__xludf.DUMMYFUNCTION("""COMPUTED_VALUE"""),"dm10230s2")</f>
        <v>dm10230s2</v>
      </c>
      <c r="AL673" s="80" t="str">
        <f>IFERROR(__xludf.DUMMYFUNCTION("""COMPUTED_VALUE"""),"#10230Pos")</f>
        <v>#10230Pos</v>
      </c>
      <c r="AM673" s="80" t="str">
        <f>IFERROR(__xludf.DUMMYFUNCTION("""COMPUTED_VALUE"""),"KANTOR REGIONAL II JAKARTA 10004")</f>
        <v>KANTOR REGIONAL II JAKARTA 10004</v>
      </c>
      <c r="AN673" s="80" t="str">
        <f>IFERROR(__xludf.DUMMYFUNCTION("""COMPUTED_VALUE"""),"KCU JAKARTACENTRUM 10000")</f>
        <v>KCU JAKARTACENTRUM 10000</v>
      </c>
      <c r="AO673" s="80" t="str">
        <f>IFERROR(__xludf.DUMMYFUNCTION("""COMPUTED_VALUE"""),"0285010122049")</f>
        <v>0285010122049</v>
      </c>
      <c r="AP673" s="80" t="str">
        <f>IFERROR(__xludf.DUMMYFUNCTION("""COMPUTED_VALUE"""),"02850101220490001")</f>
        <v>02850101220490001</v>
      </c>
      <c r="AQ673" s="83"/>
      <c r="AR673" s="80"/>
      <c r="AS673" s="80"/>
      <c r="AT673" s="80" t="str">
        <f>IFERROR(__xludf.DUMMYFUNCTION("""COMPUTED_VALUE"""),"-6.1939126")</f>
        <v>-6.1939126</v>
      </c>
      <c r="AU673" s="80" t="str">
        <f>IFERROR(__xludf.DUMMYFUNCTION("""COMPUTED_VALUE"""),"106.8160185")</f>
        <v>106.8160185</v>
      </c>
      <c r="AV673" s="80"/>
      <c r="AW673" s="80"/>
      <c r="AX673" s="80"/>
      <c r="AY673" s="80"/>
      <c r="AZ673" s="80"/>
      <c r="BA673" s="80"/>
      <c r="BB673" s="80"/>
      <c r="BC673" s="80"/>
      <c r="BD673" s="80"/>
      <c r="BE673" s="80"/>
      <c r="BF673" s="80"/>
      <c r="BG673" s="80"/>
      <c r="BH673" s="80"/>
      <c r="BI673" s="80"/>
      <c r="BJ673" s="80"/>
      <c r="BK673" s="80"/>
      <c r="BL673" s="80"/>
      <c r="BM673" s="80"/>
      <c r="BN673" s="80"/>
      <c r="BO673" s="80"/>
      <c r="BP673" s="80"/>
      <c r="BQ673" s="80"/>
      <c r="BR673" s="80"/>
      <c r="BS673" s="80"/>
      <c r="BT673" s="80"/>
      <c r="BU673" s="80"/>
      <c r="BV673" s="80"/>
      <c r="BW673" s="80"/>
      <c r="BX673" s="80" t="str">
        <f>IFERROR(__xludf.DUMMYFUNCTION("""COMPUTED_VALUE"""),"MULTIKURIR - INDAH CARGO")</f>
        <v>MULTIKURIR - INDAH CARGO</v>
      </c>
      <c r="BY673" s="80"/>
      <c r="BZ673" s="80"/>
      <c r="CA673" s="80"/>
      <c r="CB673" s="80"/>
      <c r="CC673" s="80"/>
      <c r="CD673" s="80"/>
      <c r="CE673" s="80"/>
      <c r="CF673" s="80"/>
      <c r="CG673" s="80"/>
      <c r="CH673" s="80"/>
      <c r="CI673" s="80"/>
      <c r="CJ673" s="80"/>
      <c r="CK673" s="2"/>
    </row>
    <row r="674" ht="12.75" customHeight="1">
      <c r="A674" s="85">
        <f>IFERROR(__xludf.DUMMYFUNCTION("""COMPUTED_VALUE"""),671.0)</f>
        <v>671</v>
      </c>
      <c r="B674" s="85"/>
      <c r="C674" s="85"/>
      <c r="D674" s="86">
        <f>IFERROR(__xludf.DUMMYFUNCTION("""COMPUTED_VALUE"""),45925.0)</f>
        <v>45925</v>
      </c>
      <c r="E674" s="88"/>
      <c r="F674" s="85"/>
      <c r="G674" s="86">
        <f>IFERROR(__xludf.DUMMYFUNCTION("""COMPUTED_VALUE"""),45931.0)</f>
        <v>45931</v>
      </c>
      <c r="H674" s="85"/>
      <c r="I674" s="85"/>
      <c r="J674" s="85"/>
      <c r="K674" s="85"/>
      <c r="L674" s="85">
        <f>IFERROR(__xludf.DUMMYFUNCTION("""COMPUTED_VALUE"""),6.0)</f>
        <v>6</v>
      </c>
      <c r="M674" s="85" t="str">
        <f>IFERROR(__xludf.DUMMYFUNCTION("""COMPUTED_VALUE"""),"ü")</f>
        <v>ü</v>
      </c>
      <c r="N674" s="85"/>
      <c r="O674" s="85"/>
      <c r="P674" s="85" t="str">
        <f>IFERROR(__xludf.DUMMYFUNCTION("""COMPUTED_VALUE"""),"53BSPA09698JBEEN")</f>
        <v>53BSPA09698JBEEN</v>
      </c>
      <c r="Q674" s="85" t="str">
        <f>IFERROR(__xludf.DUMMYFUNCTION("""COMPUTED_VALUE"""),"MUC Swadarma")</f>
        <v>MUC Swadarma</v>
      </c>
      <c r="R674" s="85" t="str">
        <f>IFERROR(__xludf.DUMMYFUNCTION("""COMPUTED_VALUE"""),"MUC Swadarma")</f>
        <v>MUC Swadarma</v>
      </c>
      <c r="S674" s="85" t="str">
        <f>IFERROR(__xludf.DUMMYFUNCTION("""COMPUTED_VALUE"""),"SULTHONY ALI AKBAR")</f>
        <v>SULTHONY ALI AKBAR</v>
      </c>
      <c r="T674" s="85" t="str">
        <f>IFERROR(__xludf.DUMMYFUNCTION("""COMPUTED_VALUE"""),"JL. H. MUCHTAR RAYA NO.3, PETUKANGAN UTARA, PEANGGRAHAN, JAKARTA SELATAN, DKI JAKARTA")</f>
        <v>JL. H. MUCHTAR RAYA NO.3, PETUKANGAN UTARA, PEANGGRAHAN, JAKARTA SELATAN, DKI JAKARTA</v>
      </c>
      <c r="U674" s="85" t="str">
        <f>IFERROR(__xludf.DUMMYFUNCTION("""COMPUTED_VALUE"""),"Jl. Swadarma utara VI no.14a ")</f>
        <v>Jl. Swadarma utara VI no.14a </v>
      </c>
      <c r="V674" s="85"/>
      <c r="W674" s="85" t="str">
        <f>IFERROR(__xludf.DUMMYFUNCTION("""COMPUTED_VALUE"""),"Ulujami")</f>
        <v>Ulujami</v>
      </c>
      <c r="X674" s="85" t="str">
        <f>IFERROR(__xludf.DUMMYFUNCTION("""COMPUTED_VALUE"""),"Pesanggrahan")</f>
        <v>Pesanggrahan</v>
      </c>
      <c r="Y674" s="85" t="str">
        <f>IFERROR(__xludf.DUMMYFUNCTION("""COMPUTED_VALUE"""),"Jakarta Selatan")</f>
        <v>Jakarta Selatan</v>
      </c>
      <c r="Z674" s="85" t="str">
        <f>IFERROR(__xludf.DUMMYFUNCTION("""COMPUTED_VALUE"""),"DKI Jakarta")</f>
        <v>DKI Jakarta</v>
      </c>
      <c r="AA674" s="85" t="str">
        <f>IFERROR(__xludf.DUMMYFUNCTION("""COMPUTED_VALUE"""),"12250")</f>
        <v>12250</v>
      </c>
      <c r="AB674" s="85" t="str">
        <f>IFERROR(__xludf.DUMMYFUNCTION("""COMPUTED_VALUE"""),"3174103006840002")</f>
        <v>3174103006840002</v>
      </c>
      <c r="AC674" s="85" t="str">
        <f>IFERROR(__xludf.DUMMYFUNCTION("""COMPUTED_VALUE"""),"35.419.135.5-013.000")</f>
        <v>35.419.135.5-013.000</v>
      </c>
      <c r="AD674" s="85" t="str">
        <f>IFERROR(__xludf.DUMMYFUNCTION("""COMPUTED_VALUE"""),"CUM - EEN")</f>
        <v>CUM - EEN</v>
      </c>
      <c r="AE674" s="85" t="str">
        <f>IFERROR(__xludf.DUMMYFUNCTION("""COMPUTED_VALUE"""),"SUB EEN")</f>
        <v>SUB EEN</v>
      </c>
      <c r="AF674" s="85" t="str">
        <f>IFERROR(__xludf.DUMMYFUNCTION("""COMPUTED_VALUE"""),"085695431111")</f>
        <v>085695431111</v>
      </c>
      <c r="AG674" s="85"/>
      <c r="AH674" s="85" t="str">
        <f>IFERROR(__xludf.DUMMYFUNCTION("""COMPUTED_VALUE"""),"husein0901@gmail.com")</f>
        <v>husein0901@gmail.com</v>
      </c>
      <c r="AI674" s="85" t="str">
        <f>IFERROR(__xludf.DUMMYFUNCTION("""COMPUTED_VALUE"""),"12250S2")</f>
        <v>12250S2</v>
      </c>
      <c r="AJ674" s="85" t="str">
        <f>IFERROR(__xludf.DUMMYFUNCTION("""COMPUTED_VALUE"""),"68dce15727786ab6dd0b85bd")</f>
        <v>68dce15727786ab6dd0b85bd</v>
      </c>
      <c r="AK674" s="85" t="str">
        <f>IFERROR(__xludf.DUMMYFUNCTION("""COMPUTED_VALUE"""),"dm12250s2")</f>
        <v>dm12250s2</v>
      </c>
      <c r="AL674" s="85" t="str">
        <f>IFERROR(__xludf.DUMMYFUNCTION("""COMPUTED_VALUE"""),"#12250Pos")</f>
        <v>#12250Pos</v>
      </c>
      <c r="AM674" s="85" t="str">
        <f>IFERROR(__xludf.DUMMYFUNCTION("""COMPUTED_VALUE"""),"KANTOR REGIONAL II JAKARTA 10004")</f>
        <v>KANTOR REGIONAL II JAKARTA 10004</v>
      </c>
      <c r="AN674" s="85" t="str">
        <f>IFERROR(__xludf.DUMMYFUNCTION("""COMPUTED_VALUE"""),"KCU JAKARTAFLORA 12000")</f>
        <v>KCU JAKARTAFLORA 12000</v>
      </c>
      <c r="AO674" s="85" t="str">
        <f>IFERROR(__xludf.DUMMYFUNCTION("""COMPUTED_VALUE"""),"2509250109431")</f>
        <v>2509250109431</v>
      </c>
      <c r="AP674" s="85" t="str">
        <f>IFERROR(__xludf.DUMMYFUNCTION("""COMPUTED_VALUE"""),"25092501094310001")</f>
        <v>25092501094310001</v>
      </c>
      <c r="AQ674" s="93"/>
      <c r="AR674" s="85"/>
      <c r="AS674" s="85"/>
      <c r="AT674" s="85" t="str">
        <f>IFERROR(__xludf.DUMMYFUNCTION("""COMPUTED_VALUE"""),"-6.2271198")</f>
        <v>-6.2271198</v>
      </c>
      <c r="AU674" s="85" t="str">
        <f>IFERROR(__xludf.DUMMYFUNCTION("""COMPUTED_VALUE"""),"106.7605212")</f>
        <v>106.7605212</v>
      </c>
      <c r="AV674" s="85"/>
      <c r="AW674" s="85"/>
      <c r="AX674" s="85"/>
      <c r="AY674" s="85"/>
      <c r="AZ674" s="85"/>
      <c r="BA674" s="85"/>
      <c r="BB674" s="85"/>
      <c r="BC674" s="85"/>
      <c r="BD674" s="85"/>
      <c r="BE674" s="85"/>
      <c r="BF674" s="85"/>
      <c r="BG674" s="85"/>
      <c r="BH674" s="85"/>
      <c r="BI674" s="85"/>
      <c r="BJ674" s="85"/>
      <c r="BK674" s="85"/>
      <c r="BL674" s="85"/>
      <c r="BM674" s="85"/>
      <c r="BN674" s="85"/>
      <c r="BO674" s="85"/>
      <c r="BP674" s="85"/>
      <c r="BQ674" s="85"/>
      <c r="BR674" s="85"/>
      <c r="BS674" s="85"/>
      <c r="BT674" s="85"/>
      <c r="BU674" s="85"/>
      <c r="BV674" s="85"/>
      <c r="BW674" s="85"/>
      <c r="BX674" s="85" t="str">
        <f>IFERROR(__xludf.DUMMYFUNCTION("""COMPUTED_VALUE"""),"MULTIKURIR - JNT EXPRESS")</f>
        <v>MULTIKURIR - JNT EXPRESS</v>
      </c>
      <c r="BY674" s="85"/>
      <c r="BZ674" s="85"/>
      <c r="CA674" s="85"/>
      <c r="CB674" s="85"/>
      <c r="CC674" s="85"/>
      <c r="CD674" s="85"/>
      <c r="CE674" s="85"/>
      <c r="CF674" s="85"/>
      <c r="CG674" s="85"/>
      <c r="CH674" s="85"/>
      <c r="CI674" s="85"/>
      <c r="CJ674" s="85"/>
      <c r="CK674" s="2"/>
    </row>
    <row r="675" ht="12.75" customHeight="1">
      <c r="A675" s="80">
        <f>IFERROR(__xludf.DUMMYFUNCTION("""COMPUTED_VALUE"""),672.0)</f>
        <v>672</v>
      </c>
      <c r="B675" s="80"/>
      <c r="C675" s="80"/>
      <c r="D675" s="81">
        <f>IFERROR(__xludf.DUMMYFUNCTION("""COMPUTED_VALUE"""),45925.0)</f>
        <v>45925</v>
      </c>
      <c r="E675" s="82"/>
      <c r="F675" s="80"/>
      <c r="G675" s="81">
        <f>IFERROR(__xludf.DUMMYFUNCTION("""COMPUTED_VALUE"""),45938.0)</f>
        <v>45938</v>
      </c>
      <c r="H675" s="80"/>
      <c r="I675" s="80"/>
      <c r="J675" s="80"/>
      <c r="K675" s="80"/>
      <c r="L675" s="80">
        <f>IFERROR(__xludf.DUMMYFUNCTION("""COMPUTED_VALUE"""),13.0)</f>
        <v>13</v>
      </c>
      <c r="M675" s="80" t="str">
        <f>IFERROR(__xludf.DUMMYFUNCTION("""COMPUTED_VALUE"""),"ü")</f>
        <v>ü</v>
      </c>
      <c r="N675" s="80"/>
      <c r="O675" s="80"/>
      <c r="P675" s="80" t="str">
        <f>IFERROR(__xludf.DUMMYFUNCTION("""COMPUTED_VALUE"""),"MUCSPA63265PSIND")</f>
        <v>MUCSPA63265PSIND</v>
      </c>
      <c r="Q675" s="80" t="str">
        <f>IFERROR(__xludf.DUMMYFUNCTION("""COMPUTED_VALUE"""),"MUC KENZO")</f>
        <v>MUC KENZO</v>
      </c>
      <c r="R675" s="80" t="str">
        <f>IFERROR(__xludf.DUMMYFUNCTION("""COMPUTED_VALUE"""),"MUC KENZO")</f>
        <v>MUC KENZO</v>
      </c>
      <c r="S675" s="80" t="str">
        <f>IFERROR(__xludf.DUMMYFUNCTION("""COMPUTED_VALUE"""),"Tarlim")</f>
        <v>Tarlim</v>
      </c>
      <c r="T675" s="80" t="str">
        <f>IFERROR(__xludf.DUMMYFUNCTION("""COMPUTED_VALUE"""),"TULAAN, TULAAN, GUNUNG MERIAH, KAB. ACEH SINGKIL, PROV ACEH")</f>
        <v>TULAAN, TULAAN, GUNUNG MERIAH, KAB. ACEH SINGKIL, PROV ACEH</v>
      </c>
      <c r="U675" s="80" t="str">
        <f>IFERROR(__xludf.DUMMYFUNCTION("""COMPUTED_VALUE"""),"Jln Teuku Umar")</f>
        <v>Jln Teuku Umar</v>
      </c>
      <c r="V675" s="80"/>
      <c r="W675" s="80" t="str">
        <f>IFERROR(__xludf.DUMMYFUNCTION("""COMPUTED_VALUE"""),"Suka Makmur")</f>
        <v>Suka Makmur</v>
      </c>
      <c r="X675" s="80" t="str">
        <f>IFERROR(__xludf.DUMMYFUNCTION("""COMPUTED_VALUE"""),"Gunung Meriah")</f>
        <v>Gunung Meriah</v>
      </c>
      <c r="Y675" s="80" t="str">
        <f>IFERROR(__xludf.DUMMYFUNCTION("""COMPUTED_VALUE"""),"Aceh Singkil")</f>
        <v>Aceh Singkil</v>
      </c>
      <c r="Z675" s="80" t="str">
        <f>IFERROR(__xludf.DUMMYFUNCTION("""COMPUTED_VALUE"""),"Aceh")</f>
        <v>Aceh</v>
      </c>
      <c r="AA675" s="80" t="str">
        <f>IFERROR(__xludf.DUMMYFUNCTION("""COMPUTED_VALUE"""),"23784")</f>
        <v>23784</v>
      </c>
      <c r="AB675" s="80" t="str">
        <f>IFERROR(__xludf.DUMMYFUNCTION("""COMPUTED_VALUE"""),"1110062102830002")</f>
        <v>1110062102830002</v>
      </c>
      <c r="AC675" s="80" t="str">
        <f>IFERROR(__xludf.DUMMYFUNCTION("""COMPUTED_VALUE"""),"16.216.186.3.107.000")</f>
        <v>16.216.186.3.107.000</v>
      </c>
      <c r="AD675" s="80" t="str">
        <f>IFERROR(__xludf.DUMMYFUNCTION("""COMPUTED_VALUE"""),"BU RINA KC TAPAKTUAN")</f>
        <v>BU RINA KC TAPAKTUAN</v>
      </c>
      <c r="AE675" s="80" t="str">
        <f>IFERROR(__xludf.DUMMYFUNCTION("""COMPUTED_VALUE"""),"BU RINA KC TAPAKTUAN")</f>
        <v>BU RINA KC TAPAKTUAN</v>
      </c>
      <c r="AF675" s="80" t="str">
        <f>IFERROR(__xludf.DUMMYFUNCTION("""COMPUTED_VALUE"""),"081535332445")</f>
        <v>081535332445</v>
      </c>
      <c r="AG675" s="80"/>
      <c r="AH675" s="80" t="str">
        <f>IFERROR(__xludf.DUMMYFUNCTION("""COMPUTED_VALUE"""),"kenzooppo321@gmail.com")</f>
        <v>kenzooppo321@gmail.com</v>
      </c>
      <c r="AI675" s="80" t="str">
        <f>IFERROR(__xludf.DUMMYFUNCTION("""COMPUTED_VALUE"""),"24784S1")</f>
        <v>24784S1</v>
      </c>
      <c r="AJ675" s="80" t="str">
        <f>IFERROR(__xludf.DUMMYFUNCTION("""COMPUTED_VALUE"""),"68e60e8152a0dc0d320e7b78")</f>
        <v>68e60e8152a0dc0d320e7b78</v>
      </c>
      <c r="AK675" s="80" t="str">
        <f>IFERROR(__xludf.DUMMYFUNCTION("""COMPUTED_VALUE"""),"dm24784s1")</f>
        <v>dm24784s1</v>
      </c>
      <c r="AL675" s="80" t="str">
        <f>IFERROR(__xludf.DUMMYFUNCTION("""COMPUTED_VALUE"""),"#24784Pos")</f>
        <v>#24784Pos</v>
      </c>
      <c r="AM675" s="80" t="str">
        <f>IFERROR(__xludf.DUMMYFUNCTION("""COMPUTED_VALUE"""),"KANTOR REGIONAL I MEDAN 20004")</f>
        <v>KANTOR REGIONAL I MEDAN 20004</v>
      </c>
      <c r="AN675" s="80" t="str">
        <f>IFERROR(__xludf.DUMMYFUNCTION("""COMPUTED_VALUE"""),"KC TAPAKTUAN")</f>
        <v>KC TAPAKTUAN</v>
      </c>
      <c r="AO675" s="80" t="str">
        <f>IFERROR(__xludf.DUMMYFUNCTION("""COMPUTED_VALUE"""),"1704230031547")</f>
        <v>1704230031547</v>
      </c>
      <c r="AP675" s="80" t="str">
        <f>IFERROR(__xludf.DUMMYFUNCTION("""COMPUTED_VALUE"""),"17042300315470001")</f>
        <v>17042300315470001</v>
      </c>
      <c r="AQ675" s="83"/>
      <c r="AR675" s="80"/>
      <c r="AS675" s="80"/>
      <c r="AT675" s="80" t="str">
        <f>IFERROR(__xludf.DUMMYFUNCTION("""COMPUTED_VALUE"""),"2.365040 ")</f>
        <v>2.365040 </v>
      </c>
      <c r="AU675" s="80" t="str">
        <f>IFERROR(__xludf.DUMMYFUNCTION("""COMPUTED_VALUE"""),"97.954491")</f>
        <v>97.954491</v>
      </c>
      <c r="AV675" s="80"/>
      <c r="AW675" s="80"/>
      <c r="AX675" s="80"/>
      <c r="AY675" s="80"/>
      <c r="AZ675" s="80"/>
      <c r="BA675" s="80"/>
      <c r="BB675" s="80"/>
      <c r="BC675" s="80"/>
      <c r="BD675" s="80"/>
      <c r="BE675" s="80"/>
      <c r="BF675" s="80"/>
      <c r="BG675" s="80"/>
      <c r="BH675" s="80"/>
      <c r="BI675" s="80"/>
      <c r="BJ675" s="80"/>
      <c r="BK675" s="80"/>
      <c r="BL675" s="80"/>
      <c r="BM675" s="80"/>
      <c r="BN675" s="80"/>
      <c r="BO675" s="80"/>
      <c r="BP675" s="80"/>
      <c r="BQ675" s="80"/>
      <c r="BR675" s="80"/>
      <c r="BS675" s="80"/>
      <c r="BT675" s="80"/>
      <c r="BU675" s="80"/>
      <c r="BV675" s="80"/>
      <c r="BW675" s="80"/>
      <c r="BX675" s="80" t="str">
        <f>IFERROR(__xludf.DUMMYFUNCTION("""COMPUTED_VALUE"""),"NEWBIE")</f>
        <v>NEWBIE</v>
      </c>
      <c r="BY675" s="80"/>
      <c r="BZ675" s="80"/>
      <c r="CA675" s="80"/>
      <c r="CB675" s="80"/>
      <c r="CC675" s="80"/>
      <c r="CD675" s="80"/>
      <c r="CE675" s="80"/>
      <c r="CF675" s="80"/>
      <c r="CG675" s="80"/>
      <c r="CH675" s="80"/>
      <c r="CI675" s="80"/>
      <c r="CJ675" s="80"/>
      <c r="CK675" s="2"/>
    </row>
    <row r="676" ht="12.75" customHeight="1">
      <c r="A676" s="85">
        <f>IFERROR(__xludf.DUMMYFUNCTION("""COMPUTED_VALUE"""),673.0)</f>
        <v>673</v>
      </c>
      <c r="B676" s="85"/>
      <c r="C676" s="85"/>
      <c r="D676" s="86">
        <f>IFERROR(__xludf.DUMMYFUNCTION("""COMPUTED_VALUE"""),45925.0)</f>
        <v>45925</v>
      </c>
      <c r="E676" s="88"/>
      <c r="F676" s="85"/>
      <c r="G676" s="86">
        <f>IFERROR(__xludf.DUMMYFUNCTION("""COMPUTED_VALUE"""),45941.0)</f>
        <v>45941</v>
      </c>
      <c r="H676" s="85"/>
      <c r="I676" s="85"/>
      <c r="J676" s="85"/>
      <c r="K676" s="85"/>
      <c r="L676" s="85">
        <f>IFERROR(__xludf.DUMMYFUNCTION("""COMPUTED_VALUE"""),16.0)</f>
        <v>16</v>
      </c>
      <c r="M676" s="85" t="str">
        <f>IFERROR(__xludf.DUMMYFUNCTION("""COMPUTED_VALUE"""),"ü")</f>
        <v>ü</v>
      </c>
      <c r="N676" s="85"/>
      <c r="O676" s="85"/>
      <c r="P676" s="85" t="str">
        <f>IFERROR(__xludf.DUMMYFUNCTION("""COMPUTED_VALUE"""),"MUCSPA63266PSIND")</f>
        <v>MUCSPA63266PSIND</v>
      </c>
      <c r="Q676" s="85" t="str">
        <f>IFERROR(__xludf.DUMMYFUNCTION("""COMPUTED_VALUE"""),"MUC ANI")</f>
        <v>MUC ANI</v>
      </c>
      <c r="R676" s="85" t="str">
        <f>IFERROR(__xludf.DUMMYFUNCTION("""COMPUTED_VALUE"""),"MUC ANI")</f>
        <v>MUC ANI</v>
      </c>
      <c r="S676" s="85" t="str">
        <f>IFERROR(__xludf.DUMMYFUNCTION("""COMPUTED_VALUE"""),"Sujayani ")</f>
        <v>Sujayani </v>
      </c>
      <c r="T676" s="85" t="str">
        <f>IFERROR(__xludf.DUMMYFUNCTION("""COMPUTED_VALUE"""),"Jln Galur Selatan Rt01 Rw03 nmr 22 kelurahan Galur kecamatan Johar Baru")</f>
        <v>Jln Galur Selatan Rt01 Rw03 nmr 22 kelurahan Galur kecamatan Johar Baru</v>
      </c>
      <c r="U676" s="85" t="str">
        <f>IFERROR(__xludf.DUMMYFUNCTION("""COMPUTED_VALUE"""),"Jln Biduri Pandan RT 02 / RW 02 nmr 21 A")</f>
        <v>Jln Biduri Pandan RT 02 / RW 02 nmr 21 A</v>
      </c>
      <c r="V676" s="85"/>
      <c r="W676" s="85" t="str">
        <f>IFERROR(__xludf.DUMMYFUNCTION("""COMPUTED_VALUE"""),"Galur")</f>
        <v>Galur</v>
      </c>
      <c r="X676" s="85" t="str">
        <f>IFERROR(__xludf.DUMMYFUNCTION("""COMPUTED_VALUE"""),"Johar Baru")</f>
        <v>Johar Baru</v>
      </c>
      <c r="Y676" s="85" t="str">
        <f>IFERROR(__xludf.DUMMYFUNCTION("""COMPUTED_VALUE"""),"Jakarta Pusat")</f>
        <v>Jakarta Pusat</v>
      </c>
      <c r="Z676" s="85" t="str">
        <f>IFERROR(__xludf.DUMMYFUNCTION("""COMPUTED_VALUE"""),"DKI Jakarta")</f>
        <v>DKI Jakarta</v>
      </c>
      <c r="AA676" s="85" t="str">
        <f>IFERROR(__xludf.DUMMYFUNCTION("""COMPUTED_VALUE"""),"10530")</f>
        <v>10530</v>
      </c>
      <c r="AB676" s="85" t="str">
        <f>IFERROR(__xludf.DUMMYFUNCTION("""COMPUTED_VALUE"""),"3171086810710004")</f>
        <v>3171086810710004</v>
      </c>
      <c r="AC676" s="85" t="str">
        <f>IFERROR(__xludf.DUMMYFUNCTION("""COMPUTED_VALUE"""),"3171 0868 1071 0004")</f>
        <v>3171 0868 1071 0004</v>
      </c>
      <c r="AD676" s="85" t="str">
        <f>IFERROR(__xludf.DUMMYFUNCTION("""COMPUTED_VALUE"""),"PAK WANTO KCU CENTRUM")</f>
        <v>PAK WANTO KCU CENTRUM</v>
      </c>
      <c r="AE676" s="85" t="str">
        <f>IFERROR(__xludf.DUMMYFUNCTION("""COMPUTED_VALUE"""),"PAK WANTO KCU CENTRUM")</f>
        <v>PAK WANTO KCU CENTRUM</v>
      </c>
      <c r="AF676" s="85" t="str">
        <f>IFERROR(__xludf.DUMMYFUNCTION("""COMPUTED_VALUE"""),"081297778466")</f>
        <v>081297778466</v>
      </c>
      <c r="AG676" s="85"/>
      <c r="AH676" s="85" t="str">
        <f>IFERROR(__xludf.DUMMYFUNCTION("""COMPUTED_VALUE"""),"jakpreneurjoharb.aru20.2.2@gmail.com")</f>
        <v>jakpreneurjoharb.aru20.2.2@gmail.com</v>
      </c>
      <c r="AI676" s="85" t="str">
        <f>IFERROR(__xludf.DUMMYFUNCTION("""COMPUTED_VALUE"""),"10530S3")</f>
        <v>10530S3</v>
      </c>
      <c r="AJ676" s="85" t="str">
        <f>IFERROR(__xludf.DUMMYFUNCTION("""COMPUTED_VALUE"""),"68e8c7d6c6247d5fc3008727")</f>
        <v>68e8c7d6c6247d5fc3008727</v>
      </c>
      <c r="AK676" s="85" t="str">
        <f>IFERROR(__xludf.DUMMYFUNCTION("""COMPUTED_VALUE"""),"dm10530s3")</f>
        <v>dm10530s3</v>
      </c>
      <c r="AL676" s="85" t="str">
        <f>IFERROR(__xludf.DUMMYFUNCTION("""COMPUTED_VALUE"""),"#10530Pos")</f>
        <v>#10530Pos</v>
      </c>
      <c r="AM676" s="85" t="str">
        <f>IFERROR(__xludf.DUMMYFUNCTION("""COMPUTED_VALUE"""),"KANTOR REGIONAL II JAKARTA 10004")</f>
        <v>KANTOR REGIONAL II JAKARTA 10004</v>
      </c>
      <c r="AN676" s="85" t="str">
        <f>IFERROR(__xludf.DUMMYFUNCTION("""COMPUTED_VALUE"""),"KCU JAKARTACENTRUM 10000")</f>
        <v>KCU JAKARTACENTRUM 10000</v>
      </c>
      <c r="AO676" s="85" t="str">
        <f>IFERROR(__xludf.DUMMYFUNCTION("""COMPUTED_VALUE"""),"1602230055754")</f>
        <v>1602230055754</v>
      </c>
      <c r="AP676" s="85" t="str">
        <f>IFERROR(__xludf.DUMMYFUNCTION("""COMPUTED_VALUE"""),"16022300557540001")</f>
        <v>16022300557540001</v>
      </c>
      <c r="AQ676" s="93"/>
      <c r="AR676" s="85"/>
      <c r="AS676" s="85"/>
      <c r="AT676" s="85" t="str">
        <f>IFERROR(__xludf.DUMMYFUNCTION("""COMPUTED_VALUE"""),"-6.175207")</f>
        <v>-6.175207</v>
      </c>
      <c r="AU676" s="85" t="str">
        <f>IFERROR(__xludf.DUMMYFUNCTION("""COMPUTED_VALUE"""),"106.853053")</f>
        <v>106.853053</v>
      </c>
      <c r="AV676" s="85"/>
      <c r="AW676" s="85"/>
      <c r="AX676" s="85"/>
      <c r="AY676" s="85"/>
      <c r="AZ676" s="85"/>
      <c r="BA676" s="85"/>
      <c r="BB676" s="85"/>
      <c r="BC676" s="85"/>
      <c r="BD676" s="85"/>
      <c r="BE676" s="85"/>
      <c r="BF676" s="85"/>
      <c r="BG676" s="85"/>
      <c r="BH676" s="85"/>
      <c r="BI676" s="85"/>
      <c r="BJ676" s="85"/>
      <c r="BK676" s="85"/>
      <c r="BL676" s="85"/>
      <c r="BM676" s="85"/>
      <c r="BN676" s="85"/>
      <c r="BO676" s="85"/>
      <c r="BP676" s="85"/>
      <c r="BQ676" s="85"/>
      <c r="BR676" s="85"/>
      <c r="BS676" s="85"/>
      <c r="BT676" s="85"/>
      <c r="BU676" s="85"/>
      <c r="BV676" s="85"/>
      <c r="BW676" s="85"/>
      <c r="BX676" s="85" t="str">
        <f>IFERROR(__xludf.DUMMYFUNCTION("""COMPUTED_VALUE"""),"NEWBIE")</f>
        <v>NEWBIE</v>
      </c>
      <c r="BY676" s="85"/>
      <c r="BZ676" s="85"/>
      <c r="CA676" s="85"/>
      <c r="CB676" s="85"/>
      <c r="CC676" s="85"/>
      <c r="CD676" s="85"/>
      <c r="CE676" s="85"/>
      <c r="CF676" s="85"/>
      <c r="CG676" s="85"/>
      <c r="CH676" s="85"/>
      <c r="CI676" s="85"/>
      <c r="CJ676" s="85"/>
      <c r="CK676" s="2"/>
    </row>
    <row r="677" ht="12.75" customHeight="1">
      <c r="A677" s="80">
        <f>IFERROR(__xludf.DUMMYFUNCTION("""COMPUTED_VALUE"""),674.0)</f>
        <v>674</v>
      </c>
      <c r="B677" s="80"/>
      <c r="C677" s="80"/>
      <c r="D677" s="81">
        <f>IFERROR(__xludf.DUMMYFUNCTION("""COMPUTED_VALUE"""),45926.0)</f>
        <v>45926</v>
      </c>
      <c r="E677" s="82"/>
      <c r="F677" s="80"/>
      <c r="G677" s="81">
        <f>IFERROR(__xludf.DUMMYFUNCTION("""COMPUTED_VALUE"""),45965.0)</f>
        <v>45965</v>
      </c>
      <c r="H677" s="80"/>
      <c r="I677" s="80"/>
      <c r="J677" s="80"/>
      <c r="K677" s="80"/>
      <c r="L677" s="80">
        <f>IFERROR(__xludf.DUMMYFUNCTION("""COMPUTED_VALUE"""),39.0)</f>
        <v>39</v>
      </c>
      <c r="M677" s="80" t="str">
        <f>IFERROR(__xludf.DUMMYFUNCTION("""COMPUTED_VALUE"""),"ü")</f>
        <v>ü</v>
      </c>
      <c r="N677" s="80"/>
      <c r="O677" s="80"/>
      <c r="P677" s="80" t="str">
        <f>IFERROR(__xludf.DUMMYFUNCTION("""COMPUTED_VALUE"""),"MUCSPA63267PSIND")</f>
        <v>MUCSPA63267PSIND</v>
      </c>
      <c r="Q677" s="80" t="str">
        <f>IFERROR(__xludf.DUMMYFUNCTION("""COMPUTED_VALUE"""),"MUC SRC PRAMA")</f>
        <v>MUC SRC PRAMA</v>
      </c>
      <c r="R677" s="80" t="str">
        <f>IFERROR(__xludf.DUMMYFUNCTION("""COMPUTED_VALUE"""),"MUC SRC PRAMA")</f>
        <v>MUC SRC PRAMA</v>
      </c>
      <c r="S677" s="80" t="str">
        <f>IFERROR(__xludf.DUMMYFUNCTION("""COMPUTED_VALUE"""),"RIMA RAMAYANTI")</f>
        <v>RIMA RAMAYANTI</v>
      </c>
      <c r="T677" s="80" t="str">
        <f>IFERROR(__xludf.DUMMYFUNCTION("""COMPUTED_VALUE"""),"KP. PASAR RT 2 RW 3 KARANG TENGAH CIBADAK")</f>
        <v>KP. PASAR RT 2 RW 3 KARANG TENGAH CIBADAK</v>
      </c>
      <c r="U677" s="80" t="str">
        <f>IFERROR(__xludf.DUMMYFUNCTION("""COMPUTED_VALUE"""),"KP. PASAR RT 1 RW 3")</f>
        <v>KP. PASAR RT 1 RW 3</v>
      </c>
      <c r="V677" s="80"/>
      <c r="W677" s="80" t="str">
        <f>IFERROR(__xludf.DUMMYFUNCTION("""COMPUTED_VALUE"""),"KARANG TENGAH")</f>
        <v>KARANG TENGAH</v>
      </c>
      <c r="X677" s="80" t="str">
        <f>IFERROR(__xludf.DUMMYFUNCTION("""COMPUTED_VALUE"""),"CIBADAK")</f>
        <v>CIBADAK</v>
      </c>
      <c r="Y677" s="80" t="str">
        <f>IFERROR(__xludf.DUMMYFUNCTION("""COMPUTED_VALUE"""),"KAB. SUKABUMI")</f>
        <v>KAB. SUKABUMI</v>
      </c>
      <c r="Z677" s="80" t="str">
        <f>IFERROR(__xludf.DUMMYFUNCTION("""COMPUTED_VALUE"""),"JAWA BARAT")</f>
        <v>JAWA BARAT</v>
      </c>
      <c r="AA677" s="80" t="str">
        <f>IFERROR(__xludf.DUMMYFUNCTION("""COMPUTED_VALUE"""),"43351")</f>
        <v>43351</v>
      </c>
      <c r="AB677" s="80" t="str">
        <f>IFERROR(__xludf.DUMMYFUNCTION("""COMPUTED_VALUE"""),"3202117012800006")</f>
        <v>3202117012800006</v>
      </c>
      <c r="AC677" s="80" t="str">
        <f>IFERROR(__xludf.DUMMYFUNCTION("""COMPUTED_VALUE"""),"75.204.020.4-405.000")</f>
        <v>75.204.020.4-405.000</v>
      </c>
      <c r="AD677" s="80" t="str">
        <f>IFERROR(__xludf.DUMMYFUNCTION("""COMPUTED_VALUE"""),"PAK RIAN HEXA")</f>
        <v>PAK RIAN HEXA</v>
      </c>
      <c r="AE677" s="80" t="str">
        <f>IFERROR(__xludf.DUMMYFUNCTION("""COMPUTED_VALUE"""),"PAK RIAN HEXA")</f>
        <v>PAK RIAN HEXA</v>
      </c>
      <c r="AF677" s="80" t="str">
        <f>IFERROR(__xludf.DUMMYFUNCTION("""COMPUTED_VALUE"""),"085880811066")</f>
        <v>085880811066</v>
      </c>
      <c r="AG677" s="80"/>
      <c r="AH677" s="80" t="str">
        <f>IFERROR(__xludf.DUMMYFUNCTION("""COMPUTED_VALUE"""),"rimaramayanti320@gmail.com")</f>
        <v>rimaramayanti320@gmail.com</v>
      </c>
      <c r="AI677" s="80" t="str">
        <f>IFERROR(__xludf.DUMMYFUNCTION("""COMPUTED_VALUE"""),"43351S1")</f>
        <v>43351S1</v>
      </c>
      <c r="AJ677" s="80" t="str">
        <f>IFERROR(__xludf.DUMMYFUNCTION("""COMPUTED_VALUE"""),"6909a77739512922c404cd1c")</f>
        <v>6909a77739512922c404cd1c</v>
      </c>
      <c r="AK677" s="80" t="str">
        <f>IFERROR(__xludf.DUMMYFUNCTION("""COMPUTED_VALUE"""),"dm43351s1")</f>
        <v>dm43351s1</v>
      </c>
      <c r="AL677" s="80" t="str">
        <f>IFERROR(__xludf.DUMMYFUNCTION("""COMPUTED_VALUE"""),"#43351Pos")</f>
        <v>#43351Pos</v>
      </c>
      <c r="AM677" s="80" t="str">
        <f>IFERROR(__xludf.DUMMYFUNCTION("""COMPUTED_VALUE"""),"KANTOR REGIONAL III BANDUNG 40004")</f>
        <v>KANTOR REGIONAL III BANDUNG 40004</v>
      </c>
      <c r="AN677" s="80" t="str">
        <f>IFERROR(__xludf.DUMMYFUNCTION("""COMPUTED_VALUE"""),"KC SUKABUMI")</f>
        <v>KC SUKABUMI</v>
      </c>
      <c r="AO677" s="80" t="str">
        <f>IFERROR(__xludf.DUMMYFUNCTION("""COMPUTED_VALUE"""),"0808240094297")</f>
        <v>0808240094297</v>
      </c>
      <c r="AP677" s="80" t="str">
        <f>IFERROR(__xludf.DUMMYFUNCTION("""COMPUTED_VALUE"""),"08082400942970002")</f>
        <v>08082400942970002</v>
      </c>
      <c r="AQ677" s="83"/>
      <c r="AR677" s="80"/>
      <c r="AS677" s="80"/>
      <c r="AT677" s="80" t="str">
        <f>IFERROR(__xludf.DUMMYFUNCTION("""COMPUTED_VALUE"""),"-6.8963144")</f>
        <v>-6.8963144</v>
      </c>
      <c r="AU677" s="80" t="str">
        <f>IFERROR(__xludf.DUMMYFUNCTION("""COMPUTED_VALUE"""),"106.8173908")</f>
        <v>106.8173908</v>
      </c>
      <c r="AV677" s="80"/>
      <c r="AW677" s="80"/>
      <c r="AX677" s="80"/>
      <c r="AY677" s="80"/>
      <c r="AZ677" s="80"/>
      <c r="BA677" s="80"/>
      <c r="BB677" s="80"/>
      <c r="BC677" s="80"/>
      <c r="BD677" s="80"/>
      <c r="BE677" s="80"/>
      <c r="BF677" s="80"/>
      <c r="BG677" s="80"/>
      <c r="BH677" s="80"/>
      <c r="BI677" s="80"/>
      <c r="BJ677" s="80"/>
      <c r="BK677" s="80"/>
      <c r="BL677" s="80"/>
      <c r="BM677" s="80"/>
      <c r="BN677" s="80"/>
      <c r="BO677" s="80"/>
      <c r="BP677" s="80"/>
      <c r="BQ677" s="80"/>
      <c r="BR677" s="80"/>
      <c r="BS677" s="80"/>
      <c r="BT677" s="80"/>
      <c r="BU677" s="80"/>
      <c r="BV677" s="80"/>
      <c r="BW677" s="80"/>
      <c r="BX677" s="80" t="str">
        <f>IFERROR(__xludf.DUMMYFUNCTION("""COMPUTED_VALUE"""),"NEWBIE")</f>
        <v>NEWBIE</v>
      </c>
      <c r="BY677" s="80"/>
      <c r="BZ677" s="80"/>
      <c r="CA677" s="80"/>
      <c r="CB677" s="80"/>
      <c r="CC677" s="80"/>
      <c r="CD677" s="80"/>
      <c r="CE677" s="80"/>
      <c r="CF677" s="80"/>
      <c r="CG677" s="80"/>
      <c r="CH677" s="80"/>
      <c r="CI677" s="80"/>
      <c r="CJ677" s="80"/>
      <c r="CK677" s="2"/>
    </row>
    <row r="678" ht="12.75" customHeight="1">
      <c r="A678" s="85">
        <f>IFERROR(__xludf.DUMMYFUNCTION("""COMPUTED_VALUE"""),675.0)</f>
        <v>675</v>
      </c>
      <c r="B678" s="85"/>
      <c r="C678" s="85"/>
      <c r="D678" s="86">
        <f>IFERROR(__xludf.DUMMYFUNCTION("""COMPUTED_VALUE"""),45929.0)</f>
        <v>45929</v>
      </c>
      <c r="E678" s="88"/>
      <c r="F678" s="85"/>
      <c r="G678" s="86">
        <f>IFERROR(__xludf.DUMMYFUNCTION("""COMPUTED_VALUE"""),45933.0)</f>
        <v>45933</v>
      </c>
      <c r="H678" s="85"/>
      <c r="I678" s="85"/>
      <c r="J678" s="85"/>
      <c r="K678" s="85"/>
      <c r="L678" s="85">
        <f>IFERROR(__xludf.DUMMYFUNCTION("""COMPUTED_VALUE"""),4.0)</f>
        <v>4</v>
      </c>
      <c r="M678" s="85" t="str">
        <f>IFERROR(__xludf.DUMMYFUNCTION("""COMPUTED_VALUE"""),"ü")</f>
        <v>ü</v>
      </c>
      <c r="N678" s="85"/>
      <c r="O678" s="85"/>
      <c r="P678" s="85" t="str">
        <f>IFERROR(__xludf.DUMMYFUNCTION("""COMPUTED_VALUE"""),"MUCSPA63268PSIND")</f>
        <v>MUCSPA63268PSIND</v>
      </c>
      <c r="Q678" s="85" t="str">
        <f>IFERROR(__xludf.DUMMYFUNCTION("""COMPUTED_VALUE"""),"MUC GRAHA ASRI")</f>
        <v>MUC GRAHA ASRI</v>
      </c>
      <c r="R678" s="85" t="str">
        <f>IFERROR(__xludf.DUMMYFUNCTION("""COMPUTED_VALUE"""),"MUC GRAHA ASRI")</f>
        <v>MUC GRAHA ASRI</v>
      </c>
      <c r="S678" s="85" t="str">
        <f>IFERROR(__xludf.DUMMYFUNCTION("""COMPUTED_VALUE"""),"ROID WICAKSONO")</f>
        <v>ROID WICAKSONO</v>
      </c>
      <c r="T678" s="85" t="str">
        <f>IFERROR(__xludf.DUMMYFUNCTION("""COMPUTED_VALUE"""),"JL. PULOSIRIH BARAT X FE/507 RT.003 RW.015 JAKA SETIA, BEKASI SELATAN")</f>
        <v>JL. PULOSIRIH BARAT X FE/507 RT.003 RW.015 JAKA SETIA, BEKASI SELATAN</v>
      </c>
      <c r="U678" s="85" t="str">
        <f>IFERROR(__xludf.DUMMYFUNCTION("""COMPUTED_VALUE"""),"Perumahan Graha Asri Block E.3 No.21, Jl. Puri Asri Raya, RT.10/RW.07")</f>
        <v>Perumahan Graha Asri Block E.3 No.21, Jl. Puri Asri Raya, RT.10/RW.07</v>
      </c>
      <c r="V678" s="85"/>
      <c r="W678" s="85" t="str">
        <f>IFERROR(__xludf.DUMMYFUNCTION("""COMPUTED_VALUE"""),"Perumahan Graha Asri Block E.3 No.21, Jl. Puri Asri Raya, RT.10/RW.07")</f>
        <v>Perumahan Graha Asri Block E.3 No.21, Jl. Puri Asri Raya, RT.10/RW.07</v>
      </c>
      <c r="X678" s="85" t="str">
        <f>IFERROR(__xludf.DUMMYFUNCTION("""COMPUTED_VALUE"""),"Cikarang Barat")</f>
        <v>Cikarang Barat</v>
      </c>
      <c r="Y678" s="85" t="str">
        <f>IFERROR(__xludf.DUMMYFUNCTION("""COMPUTED_VALUE"""),"Kabupaten Bekasi")</f>
        <v>Kabupaten Bekasi</v>
      </c>
      <c r="Z678" s="85" t="str">
        <f>IFERROR(__xludf.DUMMYFUNCTION("""COMPUTED_VALUE"""),"Jawa Barat")</f>
        <v>Jawa Barat</v>
      </c>
      <c r="AA678" s="85" t="str">
        <f>IFERROR(__xludf.DUMMYFUNCTION("""COMPUTED_VALUE"""),"17530")</f>
        <v>17530</v>
      </c>
      <c r="AB678" s="85" t="str">
        <f>IFERROR(__xludf.DUMMYFUNCTION("""COMPUTED_VALUE"""),"3275041808970015")</f>
        <v>3275041808970015</v>
      </c>
      <c r="AC678" s="85" t="str">
        <f>IFERROR(__xludf.DUMMYFUNCTION("""COMPUTED_VALUE"""),"68.839.486.5-432.000")</f>
        <v>68.839.486.5-432.000</v>
      </c>
      <c r="AD678" s="85" t="str">
        <f>IFERROR(__xludf.DUMMYFUNCTION("""COMPUTED_VALUE"""),"CUM - PS - NITA")</f>
        <v>CUM - PS - NITA</v>
      </c>
      <c r="AE678" s="85" t="str">
        <f>IFERROR(__xludf.DUMMYFUNCTION("""COMPUTED_VALUE"""),"SUB NITA POS")</f>
        <v>SUB NITA POS</v>
      </c>
      <c r="AF678" s="85" t="str">
        <f>IFERROR(__xludf.DUMMYFUNCTION("""COMPUTED_VALUE"""),"081908905546")</f>
        <v>081908905546</v>
      </c>
      <c r="AG678" s="85"/>
      <c r="AH678" s="85" t="str">
        <f>IFERROR(__xludf.DUMMYFUNCTION("""COMPUTED_VALUE"""),"wicaksono.roid@gmail.com")</f>
        <v>wicaksono.roid@gmail.com</v>
      </c>
      <c r="AI678" s="85" t="str">
        <f>IFERROR(__xludf.DUMMYFUNCTION("""COMPUTED_VALUE"""),"17844S3")</f>
        <v>17844S3</v>
      </c>
      <c r="AJ678" s="85" t="str">
        <f>IFERROR(__xludf.DUMMYFUNCTION("""COMPUTED_VALUE"""),"68df694b62df50717909bb41")</f>
        <v>68df694b62df50717909bb41</v>
      </c>
      <c r="AK678" s="85" t="str">
        <f>IFERROR(__xludf.DUMMYFUNCTION("""COMPUTED_VALUE"""),"dm17844s3")</f>
        <v>dm17844s3</v>
      </c>
      <c r="AL678" s="85" t="str">
        <f>IFERROR(__xludf.DUMMYFUNCTION("""COMPUTED_VALUE"""),"#17844Pos")</f>
        <v>#17844Pos</v>
      </c>
      <c r="AM678" s="85" t="str">
        <f>IFERROR(__xludf.DUMMYFUNCTION("""COMPUTED_VALUE"""),"KANTOR REGIONAL II JAKARTA 10004")</f>
        <v>KANTOR REGIONAL II JAKARTA 10004</v>
      </c>
      <c r="AN678" s="85" t="str">
        <f>IFERROR(__xludf.DUMMYFUNCTION("""COMPUTED_VALUE"""),"KC CIKARANG 17500")</f>
        <v>KC CIKARANG 17500</v>
      </c>
      <c r="AO678" s="85" t="str">
        <f>IFERROR(__xludf.DUMMYFUNCTION("""COMPUTED_VALUE"""),"2309250124839")</f>
        <v>2309250124839</v>
      </c>
      <c r="AP678" s="85" t="str">
        <f>IFERROR(__xludf.DUMMYFUNCTION("""COMPUTED_VALUE"""),"23092501248390001")</f>
        <v>23092501248390001</v>
      </c>
      <c r="AQ678" s="93"/>
      <c r="AR678" s="85"/>
      <c r="AS678" s="85"/>
      <c r="AT678" s="85" t="str">
        <f>IFERROR(__xludf.DUMMYFUNCTION("""COMPUTED_VALUE"""),"-6.3393072")</f>
        <v>-6.3393072</v>
      </c>
      <c r="AU678" s="85" t="str">
        <f>IFERROR(__xludf.DUMMYFUNCTION("""COMPUTED_VALUE"""),"107.0533757")</f>
        <v>107.0533757</v>
      </c>
      <c r="AV678" s="85"/>
      <c r="AW678" s="85"/>
      <c r="AX678" s="85"/>
      <c r="AY678" s="85"/>
      <c r="AZ678" s="85"/>
      <c r="BA678" s="85"/>
      <c r="BB678" s="85"/>
      <c r="BC678" s="85"/>
      <c r="BD678" s="85"/>
      <c r="BE678" s="85"/>
      <c r="BF678" s="85"/>
      <c r="BG678" s="85"/>
      <c r="BH678" s="85"/>
      <c r="BI678" s="85"/>
      <c r="BJ678" s="85"/>
      <c r="BK678" s="85"/>
      <c r="BL678" s="85"/>
      <c r="BM678" s="85"/>
      <c r="BN678" s="85"/>
      <c r="BO678" s="85"/>
      <c r="BP678" s="85"/>
      <c r="BQ678" s="85"/>
      <c r="BR678" s="85"/>
      <c r="BS678" s="85"/>
      <c r="BT678" s="85"/>
      <c r="BU678" s="85"/>
      <c r="BV678" s="85"/>
      <c r="BW678" s="85"/>
      <c r="BX678" s="85" t="str">
        <f>IFERROR(__xludf.DUMMYFUNCTION("""COMPUTED_VALUE"""),"NEWBIE")</f>
        <v>NEWBIE</v>
      </c>
      <c r="BY678" s="85"/>
      <c r="BZ678" s="85"/>
      <c r="CA678" s="85"/>
      <c r="CB678" s="85"/>
      <c r="CC678" s="85"/>
      <c r="CD678" s="85"/>
      <c r="CE678" s="85"/>
      <c r="CF678" s="85"/>
      <c r="CG678" s="85"/>
      <c r="CH678" s="85"/>
      <c r="CI678" s="85"/>
      <c r="CJ678" s="85"/>
      <c r="CK678" s="2"/>
    </row>
    <row r="679" ht="12.75" customHeight="1">
      <c r="A679" s="80">
        <f>IFERROR(__xludf.DUMMYFUNCTION("""COMPUTED_VALUE"""),676.0)</f>
        <v>676</v>
      </c>
      <c r="B679" s="80"/>
      <c r="C679" s="80"/>
      <c r="D679" s="81">
        <f>IFERROR(__xludf.DUMMYFUNCTION("""COMPUTED_VALUE"""),45929.0)</f>
        <v>45929</v>
      </c>
      <c r="E679" s="82"/>
      <c r="F679" s="80"/>
      <c r="G679" s="81">
        <f>IFERROR(__xludf.DUMMYFUNCTION("""COMPUTED_VALUE"""),45932.0)</f>
        <v>45932</v>
      </c>
      <c r="H679" s="80"/>
      <c r="I679" s="80"/>
      <c r="J679" s="80"/>
      <c r="K679" s="80"/>
      <c r="L679" s="80">
        <f>IFERROR(__xludf.DUMMYFUNCTION("""COMPUTED_VALUE"""),3.0)</f>
        <v>3</v>
      </c>
      <c r="M679" s="80" t="str">
        <f>IFERROR(__xludf.DUMMYFUNCTION("""COMPUTED_VALUE"""),"ü")</f>
        <v>ü</v>
      </c>
      <c r="N679" s="80"/>
      <c r="O679" s="80"/>
      <c r="P679" s="80" t="str">
        <f>IFERROR(__xludf.DUMMYFUNCTION("""COMPUTED_VALUE"""),"MUCSPA63269PSIND")</f>
        <v>MUCSPA63269PSIND</v>
      </c>
      <c r="Q679" s="80" t="str">
        <f>IFERROR(__xludf.DUMMYFUNCTION("""COMPUTED_VALUE"""),"MUC UMKM Naik Kelas")</f>
        <v>MUC UMKM Naik Kelas</v>
      </c>
      <c r="R679" s="80" t="str">
        <f>IFERROR(__xludf.DUMMYFUNCTION("""COMPUTED_VALUE"""),"MUC UMKM Naik Kelas")</f>
        <v>MUC UMKM Naik Kelas</v>
      </c>
      <c r="S679" s="80" t="str">
        <f>IFERROR(__xludf.DUMMYFUNCTION("""COMPUTED_VALUE"""),"M. H. B. MALTHUS SITORUS PANE")</f>
        <v>M. H. B. MALTHUS SITORUS PANE</v>
      </c>
      <c r="T679" s="80" t="str">
        <f>IFERROR(__xludf.DUMMYFUNCTION("""COMPUTED_VALUE"""),"KOMP. DEP. AGAMA BLOK C-7/11 RT.002 RW.007 , BAMBU APUS, PAMULANG, KOTA TANGERANG SELATAN")</f>
        <v>KOMP. DEP. AGAMA BLOK C-7/11 RT.002 RW.007 , BAMBU APUS, PAMULANG, KOTA TANGERANG SELATAN</v>
      </c>
      <c r="U679" s="80" t="str">
        <f>IFERROR(__xludf.DUMMYFUNCTION("""COMPUTED_VALUE"""),"Jl. Otista Raya Ruko Prima Ciputat Blok B.15")</f>
        <v>Jl. Otista Raya Ruko Prima Ciputat Blok B.15</v>
      </c>
      <c r="V679" s="80"/>
      <c r="W679" s="80" t="str">
        <f>IFERROR(__xludf.DUMMYFUNCTION("""COMPUTED_VALUE"""),"Ciputat")</f>
        <v>Ciputat</v>
      </c>
      <c r="X679" s="80" t="str">
        <f>IFERROR(__xludf.DUMMYFUNCTION("""COMPUTED_VALUE"""),"Ciputat")</f>
        <v>Ciputat</v>
      </c>
      <c r="Y679" s="80" t="str">
        <f>IFERROR(__xludf.DUMMYFUNCTION("""COMPUTED_VALUE"""),"Tangerang Selatan")</f>
        <v>Tangerang Selatan</v>
      </c>
      <c r="Z679" s="80" t="str">
        <f>IFERROR(__xludf.DUMMYFUNCTION("""COMPUTED_VALUE"""),"Banten")</f>
        <v>Banten</v>
      </c>
      <c r="AA679" s="80" t="str">
        <f>IFERROR(__xludf.DUMMYFUNCTION("""COMPUTED_VALUE"""),"15411")</f>
        <v>15411</v>
      </c>
      <c r="AB679" s="80" t="str">
        <f>IFERROR(__xludf.DUMMYFUNCTION("""COMPUTED_VALUE"""),"3674062001590003")</f>
        <v>3674062001590003</v>
      </c>
      <c r="AC679" s="80" t="str">
        <f>IFERROR(__xludf.DUMMYFUNCTION("""COMPUTED_VALUE"""),"24.432.057.8-411.000")</f>
        <v>24.432.057.8-411.000</v>
      </c>
      <c r="AD679" s="80" t="str">
        <f>IFERROR(__xludf.DUMMYFUNCTION("""COMPUTED_VALUE"""),"PAK DIKA TANGSEL")</f>
        <v>PAK DIKA TANGSEL</v>
      </c>
      <c r="AE679" s="80" t="str">
        <f>IFERROR(__xludf.DUMMYFUNCTION("""COMPUTED_VALUE"""),"PAK DIKA TANGSEL")</f>
        <v>PAK DIKA TANGSEL</v>
      </c>
      <c r="AF679" s="80" t="str">
        <f>IFERROR(__xludf.DUMMYFUNCTION("""COMPUTED_VALUE"""),"081808159888")</f>
        <v>081808159888</v>
      </c>
      <c r="AG679" s="80"/>
      <c r="AH679" s="80" t="str">
        <f>IFERROR(__xludf.DUMMYFUNCTION("""COMPUTED_VALUE"""),"malthussitorus2018@gmaik.com")</f>
        <v>malthussitorus2018@gmaik.com</v>
      </c>
      <c r="AI679" s="80" t="str">
        <f>IFERROR(__xludf.DUMMYFUNCTION("""COMPUTED_VALUE"""),"15411S5")</f>
        <v>15411S5</v>
      </c>
      <c r="AJ679" s="80" t="str">
        <f>IFERROR(__xludf.DUMMYFUNCTION("""COMPUTED_VALUE"""),"68de155620542fbc5d0d7069")</f>
        <v>68de155620542fbc5d0d7069</v>
      </c>
      <c r="AK679" s="80" t="str">
        <f>IFERROR(__xludf.DUMMYFUNCTION("""COMPUTED_VALUE"""),"dm15411s5")</f>
        <v>dm15411s5</v>
      </c>
      <c r="AL679" s="80" t="str">
        <f>IFERROR(__xludf.DUMMYFUNCTION("""COMPUTED_VALUE"""),"#15411Pos")</f>
        <v>#15411Pos</v>
      </c>
      <c r="AM679" s="80" t="str">
        <f>IFERROR(__xludf.DUMMYFUNCTION("""COMPUTED_VALUE"""),"KANTOR REGIONAL II JAKARTA 10004")</f>
        <v>KANTOR REGIONAL II JAKARTA 10004</v>
      </c>
      <c r="AN679" s="80" t="str">
        <f>IFERROR(__xludf.DUMMYFUNCTION("""COMPUTED_VALUE"""),"KC TANGERANG SELATAN")</f>
        <v>KC TANGERANG SELATAN</v>
      </c>
      <c r="AO679" s="80" t="str">
        <f>IFERROR(__xludf.DUMMYFUNCTION("""COMPUTED_VALUE"""),"0291012032063")</f>
        <v>0291012032063</v>
      </c>
      <c r="AP679" s="80" t="str">
        <f>IFERROR(__xludf.DUMMYFUNCTION("""COMPUTED_VALUE"""),"02910120320630004")</f>
        <v>02910120320630004</v>
      </c>
      <c r="AQ679" s="83"/>
      <c r="AR679" s="80"/>
      <c r="AS679" s="80"/>
      <c r="AT679" s="80" t="str">
        <f>IFERROR(__xludf.DUMMYFUNCTION("""COMPUTED_VALUE"""),"-6.323694")</f>
        <v>-6.323694</v>
      </c>
      <c r="AU679" s="80" t="str">
        <f>IFERROR(__xludf.DUMMYFUNCTION("""COMPUTED_VALUE"""),"106.744924")</f>
        <v>106.744924</v>
      </c>
      <c r="AV679" s="80"/>
      <c r="AW679" s="80"/>
      <c r="AX679" s="80"/>
      <c r="AY679" s="80"/>
      <c r="AZ679" s="80"/>
      <c r="BA679" s="80"/>
      <c r="BB679" s="80"/>
      <c r="BC679" s="80"/>
      <c r="BD679" s="80"/>
      <c r="BE679" s="80"/>
      <c r="BF679" s="80"/>
      <c r="BG679" s="80"/>
      <c r="BH679" s="80"/>
      <c r="BI679" s="80"/>
      <c r="BJ679" s="80"/>
      <c r="BK679" s="80"/>
      <c r="BL679" s="80"/>
      <c r="BM679" s="80"/>
      <c r="BN679" s="80"/>
      <c r="BO679" s="80"/>
      <c r="BP679" s="80"/>
      <c r="BQ679" s="80"/>
      <c r="BR679" s="80"/>
      <c r="BS679" s="80"/>
      <c r="BT679" s="80"/>
      <c r="BU679" s="80"/>
      <c r="BV679" s="80"/>
      <c r="BW679" s="80"/>
      <c r="BX679" s="80" t="str">
        <f>IFERROR(__xludf.DUMMYFUNCTION("""COMPUTED_VALUE"""),"NEWBIE")</f>
        <v>NEWBIE</v>
      </c>
      <c r="BY679" s="80"/>
      <c r="BZ679" s="80"/>
      <c r="CA679" s="80"/>
      <c r="CB679" s="80"/>
      <c r="CC679" s="80"/>
      <c r="CD679" s="80"/>
      <c r="CE679" s="80"/>
      <c r="CF679" s="80"/>
      <c r="CG679" s="80"/>
      <c r="CH679" s="80"/>
      <c r="CI679" s="80"/>
      <c r="CJ679" s="80"/>
      <c r="CK679" s="2"/>
    </row>
    <row r="680" ht="12.75" customHeight="1">
      <c r="A680" s="85">
        <f>IFERROR(__xludf.DUMMYFUNCTION("""COMPUTED_VALUE"""),677.0)</f>
        <v>677</v>
      </c>
      <c r="B680" s="85"/>
      <c r="C680" s="85"/>
      <c r="D680" s="86">
        <f>IFERROR(__xludf.DUMMYFUNCTION("""COMPUTED_VALUE"""),45929.0)</f>
        <v>45929</v>
      </c>
      <c r="E680" s="88"/>
      <c r="F680" s="85"/>
      <c r="G680" s="86">
        <f>IFERROR(__xludf.DUMMYFUNCTION("""COMPUTED_VALUE"""),45950.0)</f>
        <v>45950</v>
      </c>
      <c r="H680" s="85"/>
      <c r="I680" s="85"/>
      <c r="J680" s="85"/>
      <c r="K680" s="85"/>
      <c r="L680" s="85">
        <f>IFERROR(__xludf.DUMMYFUNCTION("""COMPUTED_VALUE"""),21.0)</f>
        <v>21</v>
      </c>
      <c r="M680" s="85" t="str">
        <f>IFERROR(__xludf.DUMMYFUNCTION("""COMPUTED_VALUE"""),"ü")</f>
        <v>ü</v>
      </c>
      <c r="N680" s="85"/>
      <c r="O680" s="85"/>
      <c r="P680" s="85" t="str">
        <f>IFERROR(__xludf.DUMMYFUNCTION("""COMPUTED_VALUE"""),"52BSPA02361KBMAD")</f>
        <v>52BSPA02361KBMAD</v>
      </c>
      <c r="Q680" s="85" t="str">
        <f>IFERROR(__xludf.DUMMYFUNCTION("""COMPUTED_VALUE"""),"MUC TOKO WIRAWAN")</f>
        <v>MUC TOKO WIRAWAN</v>
      </c>
      <c r="R680" s="85" t="str">
        <f>IFERROR(__xludf.DUMMYFUNCTION("""COMPUTED_VALUE"""),"MUC TOKO WIRAWAN")</f>
        <v>MUC TOKO WIRAWAN</v>
      </c>
      <c r="S680" s="85" t="str">
        <f>IFERROR(__xludf.DUMMYFUNCTION("""COMPUTED_VALUE"""),"ADI SETIA IRAWAN")</f>
        <v>ADI SETIA IRAWAN</v>
      </c>
      <c r="T680" s="85" t="str">
        <f>IFERROR(__xludf.DUMMYFUNCTION("""COMPUTED_VALUE"""),"DK. JURUTENGAH RT.001 RW.001, JATIPURUS, PONCOWARNO, KAB. KEBUMEN JAWA TENGAH")</f>
        <v>DK. JURUTENGAH RT.001 RW.001, JATIPURUS, PONCOWARNO, KAB. KEBUMEN JAWA TENGAH</v>
      </c>
      <c r="U680" s="85" t="str">
        <f>IFERROR(__xludf.DUMMYFUNCTION("""COMPUTED_VALUE"""),"Dusun Jurutengah Desa Jatipurus")</f>
        <v>Dusun Jurutengah Desa Jatipurus</v>
      </c>
      <c r="V680" s="85"/>
      <c r="W680" s="85" t="str">
        <f>IFERROR(__xludf.DUMMYFUNCTION("""COMPUTED_VALUE"""),"Jatipurus")</f>
        <v>Jatipurus</v>
      </c>
      <c r="X680" s="85" t="str">
        <f>IFERROR(__xludf.DUMMYFUNCTION("""COMPUTED_VALUE"""),"Poncowarno")</f>
        <v>Poncowarno</v>
      </c>
      <c r="Y680" s="85" t="str">
        <f>IFERROR(__xludf.DUMMYFUNCTION("""COMPUTED_VALUE"""),"Kab. Kebumen")</f>
        <v>Kab. Kebumen</v>
      </c>
      <c r="Z680" s="85" t="str">
        <f>IFERROR(__xludf.DUMMYFUNCTION("""COMPUTED_VALUE"""),"Jawa Tengah")</f>
        <v>Jawa Tengah</v>
      </c>
      <c r="AA680" s="85" t="str">
        <f>IFERROR(__xludf.DUMMYFUNCTION("""COMPUTED_VALUE"""),"54352")</f>
        <v>54352</v>
      </c>
      <c r="AB680" s="85" t="str">
        <f>IFERROR(__xludf.DUMMYFUNCTION("""COMPUTED_VALUE"""),"3305252611890001")</f>
        <v>3305252611890001</v>
      </c>
      <c r="AC680" s="85" t="str">
        <f>IFERROR(__xludf.DUMMYFUNCTION("""COMPUTED_VALUE"""),"86.057.847.5-523.000")</f>
        <v>86.057.847.5-523.000</v>
      </c>
      <c r="AD680" s="85" t="str">
        <f>IFERROR(__xludf.DUMMYFUNCTION("""COMPUTED_VALUE"""),"CUM - KRS")</f>
        <v>CUM - KRS</v>
      </c>
      <c r="AE680" s="85" t="str">
        <f>IFERROR(__xludf.DUMMYFUNCTION("""COMPUTED_VALUE"""),"SUB KARSINI")</f>
        <v>SUB KARSINI</v>
      </c>
      <c r="AF680" s="85" t="str">
        <f>IFERROR(__xludf.DUMMYFUNCTION("""COMPUTED_VALUE"""),"087848411115")</f>
        <v>087848411115</v>
      </c>
      <c r="AG680" s="85"/>
      <c r="AH680" s="85" t="str">
        <f>IFERROR(__xludf.DUMMYFUNCTION("""COMPUTED_VALUE"""),"adisetiairawan9@gmail.com")</f>
        <v>adisetiairawan9@gmail.com</v>
      </c>
      <c r="AI680" s="85" t="str">
        <f>IFERROR(__xludf.DUMMYFUNCTION("""COMPUTED_VALUE"""),"54355S2")</f>
        <v>54355S2</v>
      </c>
      <c r="AJ680" s="85" t="str">
        <f>IFERROR(__xludf.DUMMYFUNCTION("""COMPUTED_VALUE"""),"68f5f2ab9cbe2f26b501d2bb")</f>
        <v>68f5f2ab9cbe2f26b501d2bb</v>
      </c>
      <c r="AK680" s="85" t="str">
        <f>IFERROR(__xludf.DUMMYFUNCTION("""COMPUTED_VALUE"""),"dm54355s2")</f>
        <v>dm54355s2</v>
      </c>
      <c r="AL680" s="85" t="str">
        <f>IFERROR(__xludf.DUMMYFUNCTION("""COMPUTED_VALUE"""),"#54355Pos")</f>
        <v>#54355Pos</v>
      </c>
      <c r="AM680" s="85" t="str">
        <f>IFERROR(__xludf.DUMMYFUNCTION("""COMPUTED_VALUE"""),"KANTOR REGIONAL IV SEMARANG 50004")</f>
        <v>KANTOR REGIONAL IV SEMARANG 50004</v>
      </c>
      <c r="AN680" s="85" t="str">
        <f>IFERROR(__xludf.DUMMYFUNCTION("""COMPUTED_VALUE"""),"KC KEBUMEN")</f>
        <v>KC KEBUMEN</v>
      </c>
      <c r="AO680" s="85" t="str">
        <f>IFERROR(__xludf.DUMMYFUNCTION("""COMPUTED_VALUE"""),"0291012032063")</f>
        <v>0291012032063</v>
      </c>
      <c r="AP680" s="85" t="str">
        <f>IFERROR(__xludf.DUMMYFUNCTION("""COMPUTED_VALUE"""),"02910120320630004")</f>
        <v>02910120320630004</v>
      </c>
      <c r="AQ680" s="93"/>
      <c r="AR680" s="85"/>
      <c r="AS680" s="85"/>
      <c r="AT680" s="85" t="str">
        <f>IFERROR(__xludf.DUMMYFUNCTION("""COMPUTED_VALUE"""),"-6.323694")</f>
        <v>-6.323694</v>
      </c>
      <c r="AU680" s="85" t="str">
        <f>IFERROR(__xludf.DUMMYFUNCTION("""COMPUTED_VALUE"""),"106.744924")</f>
        <v>106.744924</v>
      </c>
      <c r="AV680" s="85"/>
      <c r="AW680" s="85"/>
      <c r="AX680" s="85"/>
      <c r="AY680" s="85"/>
      <c r="AZ680" s="85"/>
      <c r="BA680" s="85"/>
      <c r="BB680" s="85"/>
      <c r="BC680" s="85"/>
      <c r="BD680" s="85"/>
      <c r="BE680" s="85"/>
      <c r="BF680" s="85"/>
      <c r="BG680" s="85"/>
      <c r="BH680" s="85"/>
      <c r="BI680" s="85"/>
      <c r="BJ680" s="85"/>
      <c r="BK680" s="85"/>
      <c r="BL680" s="85"/>
      <c r="BM680" s="85"/>
      <c r="BN680" s="85"/>
      <c r="BO680" s="85"/>
      <c r="BP680" s="85"/>
      <c r="BQ680" s="85"/>
      <c r="BR680" s="85"/>
      <c r="BS680" s="85"/>
      <c r="BT680" s="85"/>
      <c r="BU680" s="85"/>
      <c r="BV680" s="85"/>
      <c r="BW680" s="85"/>
      <c r="BX680" s="85" t="str">
        <f>IFERROR(__xludf.DUMMYFUNCTION("""COMPUTED_VALUE"""),"NEWBIE BRILINK")</f>
        <v>NEWBIE BRILINK</v>
      </c>
      <c r="BY680" s="85"/>
      <c r="BZ680" s="85"/>
      <c r="CA680" s="85"/>
      <c r="CB680" s="85"/>
      <c r="CC680" s="85"/>
      <c r="CD680" s="85"/>
      <c r="CE680" s="85"/>
      <c r="CF680" s="85"/>
      <c r="CG680" s="85"/>
      <c r="CH680" s="85"/>
      <c r="CI680" s="85"/>
      <c r="CJ680" s="85"/>
      <c r="CK680" s="2"/>
    </row>
    <row r="681" ht="12.75" customHeight="1">
      <c r="A681" s="80">
        <f>IFERROR(__xludf.DUMMYFUNCTION("""COMPUTED_VALUE"""),678.0)</f>
        <v>678</v>
      </c>
      <c r="B681" s="80"/>
      <c r="C681" s="80"/>
      <c r="D681" s="81">
        <f>IFERROR(__xludf.DUMMYFUNCTION("""COMPUTED_VALUE"""),45929.0)</f>
        <v>45929</v>
      </c>
      <c r="E681" s="82"/>
      <c r="F681" s="80"/>
      <c r="G681" s="81">
        <f>IFERROR(__xludf.DUMMYFUNCTION("""COMPUTED_VALUE"""),45938.0)</f>
        <v>45938</v>
      </c>
      <c r="H681" s="80"/>
      <c r="I681" s="80"/>
      <c r="J681" s="80"/>
      <c r="K681" s="80"/>
      <c r="L681" s="80">
        <f>IFERROR(__xludf.DUMMYFUNCTION("""COMPUTED_VALUE"""),9.0)</f>
        <v>9</v>
      </c>
      <c r="M681" s="80" t="str">
        <f>IFERROR(__xludf.DUMMYFUNCTION("""COMPUTED_VALUE"""),"ü")</f>
        <v>ü</v>
      </c>
      <c r="N681" s="80"/>
      <c r="O681" s="80"/>
      <c r="P681" s="80" t="str">
        <f>IFERROR(__xludf.DUMMYFUNCTION("""COMPUTED_VALUE"""),"52BSPA07673JTAMD")</f>
        <v>52BSPA07673JTAMD</v>
      </c>
      <c r="Q681" s="80" t="str">
        <f>IFERROR(__xludf.DUMMYFUNCTION("""COMPUTED_VALUE"""),"MUC PUTRI JAYA")</f>
        <v>MUC PUTRI JAYA</v>
      </c>
      <c r="R681" s="80" t="str">
        <f>IFERROR(__xludf.DUMMYFUNCTION("""COMPUTED_VALUE"""),"MUC PUTRI JAYA")</f>
        <v>MUC PUTRI JAYA</v>
      </c>
      <c r="S681" s="80" t="str">
        <f>IFERROR(__xludf.DUMMYFUNCTION("""COMPUTED_VALUE"""),"TRI HARJO")</f>
        <v>TRI HARJO</v>
      </c>
      <c r="T681" s="80" t="str">
        <f>IFERROR(__xludf.DUMMYFUNCTION("""COMPUTED_VALUE"""),"JITENGAN RT.008 RW.003, POGUNG, CAWAS, KAB. KLATEN")</f>
        <v>JITENGAN RT.008 RW.003, POGUNG, CAWAS, KAB. KLATEN</v>
      </c>
      <c r="U681" s="80" t="str">
        <f>IFERROR(__xludf.DUMMYFUNCTION("""COMPUTED_VALUE"""),"Jitengan RT.008 RW.003 Pogung")</f>
        <v>Jitengan RT.008 RW.003 Pogung</v>
      </c>
      <c r="V681" s="80"/>
      <c r="W681" s="80" t="str">
        <f>IFERROR(__xludf.DUMMYFUNCTION("""COMPUTED_VALUE"""),"Pogung")</f>
        <v>Pogung</v>
      </c>
      <c r="X681" s="80" t="str">
        <f>IFERROR(__xludf.DUMMYFUNCTION("""COMPUTED_VALUE"""),"Cawas")</f>
        <v>Cawas</v>
      </c>
      <c r="Y681" s="80" t="str">
        <f>IFERROR(__xludf.DUMMYFUNCTION("""COMPUTED_VALUE"""),"Kab. Klaten")</f>
        <v>Kab. Klaten</v>
      </c>
      <c r="Z681" s="80" t="str">
        <f>IFERROR(__xludf.DUMMYFUNCTION("""COMPUTED_VALUE"""),"Jawa Tengah")</f>
        <v>Jawa Tengah</v>
      </c>
      <c r="AA681" s="80" t="str">
        <f>IFERROR(__xludf.DUMMYFUNCTION("""COMPUTED_VALUE"""),"57463")</f>
        <v>57463</v>
      </c>
      <c r="AB681" s="80" t="str">
        <f>IFERROR(__xludf.DUMMYFUNCTION("""COMPUTED_VALUE"""),"3310051607890003")</f>
        <v>3310051607890003</v>
      </c>
      <c r="AC681" s="80" t="str">
        <f>IFERROR(__xludf.DUMMYFUNCTION("""COMPUTED_VALUE"""),"84.686.655.6-525.000")</f>
        <v>84.686.655.6-525.000</v>
      </c>
      <c r="AD681" s="80" t="str">
        <f>IFERROR(__xludf.DUMMYFUNCTION("""COMPUTED_VALUE"""),"CUM - AMI")</f>
        <v>CUM - AMI</v>
      </c>
      <c r="AE681" s="80" t="str">
        <f>IFERROR(__xludf.DUMMYFUNCTION("""COMPUTED_VALUE"""),"SUB AMINUDDIN")</f>
        <v>SUB AMINUDDIN</v>
      </c>
      <c r="AF681" s="80" t="str">
        <f>IFERROR(__xludf.DUMMYFUNCTION("""COMPUTED_VALUE"""),"085695531154")</f>
        <v>085695531154</v>
      </c>
      <c r="AG681" s="80"/>
      <c r="AH681" s="80" t="str">
        <f>IFERROR(__xludf.DUMMYFUNCTION("""COMPUTED_VALUE"""),"ayuu.ningning@gmail.com")</f>
        <v>ayuu.ningning@gmail.com</v>
      </c>
      <c r="AI681" s="80" t="str">
        <f>IFERROR(__xludf.DUMMYFUNCTION("""COMPUTED_VALUE"""),"57463S4")</f>
        <v>57463S4</v>
      </c>
      <c r="AJ681" s="80" t="str">
        <f>IFERROR(__xludf.DUMMYFUNCTION("""COMPUTED_VALUE"""),"68e608c9bb8de276e106200c")</f>
        <v>68e608c9bb8de276e106200c</v>
      </c>
      <c r="AK681" s="80" t="str">
        <f>IFERROR(__xludf.DUMMYFUNCTION("""COMPUTED_VALUE"""),"dm57463s4")</f>
        <v>dm57463s4</v>
      </c>
      <c r="AL681" s="80" t="str">
        <f>IFERROR(__xludf.DUMMYFUNCTION("""COMPUTED_VALUE"""),"#57463Pos")</f>
        <v>#57463Pos</v>
      </c>
      <c r="AM681" s="80" t="str">
        <f>IFERROR(__xludf.DUMMYFUNCTION("""COMPUTED_VALUE"""),"KANTOR REGIONAL IV SEMARANG 50004")</f>
        <v>KANTOR REGIONAL IV SEMARANG 50004</v>
      </c>
      <c r="AN681" s="80" t="str">
        <f>IFERROR(__xludf.DUMMYFUNCTION("""COMPUTED_VALUE"""),"KC KLATEN 57400")</f>
        <v>KC KLATEN 57400</v>
      </c>
      <c r="AO681" s="80" t="str">
        <f>IFERROR(__xludf.DUMMYFUNCTION("""COMPUTED_VALUE"""),"0705240085111")</f>
        <v>0705240085111</v>
      </c>
      <c r="AP681" s="80" t="str">
        <f>IFERROR(__xludf.DUMMYFUNCTION("""COMPUTED_VALUE"""),"07052400851110002")</f>
        <v>07052400851110002</v>
      </c>
      <c r="AQ681" s="83"/>
      <c r="AR681" s="80"/>
      <c r="AS681" s="80"/>
      <c r="AT681" s="80" t="str">
        <f>IFERROR(__xludf.DUMMYFUNCTION("""COMPUTED_VALUE"""),"-7.7289165")</f>
        <v>-7.7289165</v>
      </c>
      <c r="AU681" s="80" t="str">
        <f>IFERROR(__xludf.DUMMYFUNCTION("""COMPUTED_VALUE"""),"110.7185419")</f>
        <v>110.7185419</v>
      </c>
      <c r="AV681" s="80"/>
      <c r="AW681" s="80"/>
      <c r="AX681" s="80"/>
      <c r="AY681" s="80"/>
      <c r="AZ681" s="80"/>
      <c r="BA681" s="80"/>
      <c r="BB681" s="80"/>
      <c r="BC681" s="80"/>
      <c r="BD681" s="80"/>
      <c r="BE681" s="80"/>
      <c r="BF681" s="80"/>
      <c r="BG681" s="80"/>
      <c r="BH681" s="80"/>
      <c r="BI681" s="80"/>
      <c r="BJ681" s="80"/>
      <c r="BK681" s="80"/>
      <c r="BL681" s="80"/>
      <c r="BM681" s="80"/>
      <c r="BN681" s="80"/>
      <c r="BO681" s="80"/>
      <c r="BP681" s="80"/>
      <c r="BQ681" s="80"/>
      <c r="BR681" s="80"/>
      <c r="BS681" s="80"/>
      <c r="BT681" s="80"/>
      <c r="BU681" s="80"/>
      <c r="BV681" s="80"/>
      <c r="BW681" s="80"/>
      <c r="BX681" s="80" t="str">
        <f>IFERROR(__xludf.DUMMYFUNCTION("""COMPUTED_VALUE"""),"NEWBIE")</f>
        <v>NEWBIE</v>
      </c>
      <c r="BY681" s="80"/>
      <c r="BZ681" s="80"/>
      <c r="CA681" s="80"/>
      <c r="CB681" s="80"/>
      <c r="CC681" s="80"/>
      <c r="CD681" s="80"/>
      <c r="CE681" s="80"/>
      <c r="CF681" s="80"/>
      <c r="CG681" s="80"/>
      <c r="CH681" s="80"/>
      <c r="CI681" s="80"/>
      <c r="CJ681" s="80"/>
      <c r="CK681" s="2"/>
    </row>
    <row r="682" ht="12.75" customHeight="1">
      <c r="A682" s="85">
        <f>IFERROR(__xludf.DUMMYFUNCTION("""COMPUTED_VALUE"""),679.0)</f>
        <v>679</v>
      </c>
      <c r="B682" s="85"/>
      <c r="C682" s="85"/>
      <c r="D682" s="86">
        <f>IFERROR(__xludf.DUMMYFUNCTION("""COMPUTED_VALUE"""),45929.0)</f>
        <v>45929</v>
      </c>
      <c r="E682" s="88"/>
      <c r="F682" s="85"/>
      <c r="G682" s="86">
        <f>IFERROR(__xludf.DUMMYFUNCTION("""COMPUTED_VALUE"""),45938.0)</f>
        <v>45938</v>
      </c>
      <c r="H682" s="85"/>
      <c r="I682" s="85"/>
      <c r="J682" s="85"/>
      <c r="K682" s="85"/>
      <c r="L682" s="85">
        <f>IFERROR(__xludf.DUMMYFUNCTION("""COMPUTED_VALUE"""),9.0)</f>
        <v>9</v>
      </c>
      <c r="M682" s="85" t="str">
        <f>IFERROR(__xludf.DUMMYFUNCTION("""COMPUTED_VALUE"""),"ü")</f>
        <v>ü</v>
      </c>
      <c r="N682" s="85"/>
      <c r="O682" s="85"/>
      <c r="P682" s="85" t="str">
        <f>IFERROR(__xludf.DUMMYFUNCTION("""COMPUTED_VALUE"""),"53BSPA09673JBEEN")</f>
        <v>53BSPA09673JBEEN</v>
      </c>
      <c r="Q682" s="85" t="str">
        <f>IFERROR(__xludf.DUMMYFUNCTION("""COMPUTED_VALUE"""),"MUC ZAFRAN")</f>
        <v>MUC ZAFRAN</v>
      </c>
      <c r="R682" s="85" t="str">
        <f>IFERROR(__xludf.DUMMYFUNCTION("""COMPUTED_VALUE"""),"MUC ZAFRAN")</f>
        <v>MUC ZAFRAN</v>
      </c>
      <c r="S682" s="85" t="str">
        <f>IFERROR(__xludf.DUMMYFUNCTION("""COMPUTED_VALUE"""),"ACHMAD REZA PAHLEVI")</f>
        <v>ACHMAD REZA PAHLEVI</v>
      </c>
      <c r="T682" s="85" t="str">
        <f>IFERROR(__xludf.DUMMYFUNCTION("""COMPUTED_VALUE"""),"JL. CIMANUK RAYA NO.12 RT.007 RW.002 BAKTIJAYA, SUKMAJAYA, KOTA DEPOK")</f>
        <v>JL. CIMANUK RAYA NO.12 RT.007 RW.002 BAKTIJAYA, SUKMAJAYA, KOTA DEPOK</v>
      </c>
      <c r="U682" s="85" t="str">
        <f>IFERROR(__xludf.DUMMYFUNCTION("""COMPUTED_VALUE"""),"Jl. M Nasir")</f>
        <v>Jl. M Nasir</v>
      </c>
      <c r="V682" s="85"/>
      <c r="W682" s="85" t="str">
        <f>IFERROR(__xludf.DUMMYFUNCTION("""COMPUTED_VALUE"""),"Cilodong")</f>
        <v>Cilodong</v>
      </c>
      <c r="X682" s="85" t="str">
        <f>IFERROR(__xludf.DUMMYFUNCTION("""COMPUTED_VALUE"""),"Cilodong")</f>
        <v>Cilodong</v>
      </c>
      <c r="Y682" s="85" t="str">
        <f>IFERROR(__xludf.DUMMYFUNCTION("""COMPUTED_VALUE"""),"Kota Depok")</f>
        <v>Kota Depok</v>
      </c>
      <c r="Z682" s="85" t="str">
        <f>IFERROR(__xludf.DUMMYFUNCTION("""COMPUTED_VALUE"""),"Jawa Barat")</f>
        <v>Jawa Barat</v>
      </c>
      <c r="AA682" s="85" t="str">
        <f>IFERROR(__xludf.DUMMYFUNCTION("""COMPUTED_VALUE"""),"16474")</f>
        <v>16474</v>
      </c>
      <c r="AB682" s="85" t="str">
        <f>IFERROR(__xludf.DUMMYFUNCTION("""COMPUTED_VALUE"""),"3276050909970010")</f>
        <v>3276050909970010</v>
      </c>
      <c r="AC682" s="85" t="str">
        <f>IFERROR(__xludf.DUMMYFUNCTION("""COMPUTED_VALUE"""),"80.303.456.0-412.000")</f>
        <v>80.303.456.0-412.000</v>
      </c>
      <c r="AD682" s="85" t="str">
        <f>IFERROR(__xludf.DUMMYFUNCTION("""COMPUTED_VALUE"""),"CUM - EEN")</f>
        <v>CUM - EEN</v>
      </c>
      <c r="AE682" s="85" t="str">
        <f>IFERROR(__xludf.DUMMYFUNCTION("""COMPUTED_VALUE"""),"SUB EEN")</f>
        <v>SUB EEN</v>
      </c>
      <c r="AF682" s="85" t="str">
        <f>IFERROR(__xludf.DUMMYFUNCTION("""COMPUTED_VALUE"""),"089653718203")</f>
        <v>089653718203</v>
      </c>
      <c r="AG682" s="85"/>
      <c r="AH682" s="85" t="str">
        <f>IFERROR(__xludf.DUMMYFUNCTION("""COMPUTED_VALUE"""),"hungkrea12345@gmail.com")</f>
        <v>hungkrea12345@gmail.com</v>
      </c>
      <c r="AI682" s="85" t="str">
        <f>IFERROR(__xludf.DUMMYFUNCTION("""COMPUTED_VALUE"""),"16474S2")</f>
        <v>16474S2</v>
      </c>
      <c r="AJ682" s="85" t="str">
        <f>IFERROR(__xludf.DUMMYFUNCTION("""COMPUTED_VALUE"""),"68e61374226afd8c760b44c9")</f>
        <v>68e61374226afd8c760b44c9</v>
      </c>
      <c r="AK682" s="85" t="str">
        <f>IFERROR(__xludf.DUMMYFUNCTION("""COMPUTED_VALUE"""),"dm16474s2")</f>
        <v>dm16474s2</v>
      </c>
      <c r="AL682" s="85" t="str">
        <f>IFERROR(__xludf.DUMMYFUNCTION("""COMPUTED_VALUE"""),"#16474Pos")</f>
        <v>#16474Pos</v>
      </c>
      <c r="AM682" s="85" t="str">
        <f>IFERROR(__xludf.DUMMYFUNCTION("""COMPUTED_VALUE"""),"KANTOR REGIONAL II JAKARTA 10004")</f>
        <v>KANTOR REGIONAL II JAKARTA 10004</v>
      </c>
      <c r="AN682" s="85" t="str">
        <f>IFERROR(__xludf.DUMMYFUNCTION("""COMPUTED_VALUE"""),"KC DEPOK 16400")</f>
        <v>KC DEPOK 16400</v>
      </c>
      <c r="AO682" s="85" t="str">
        <f>IFERROR(__xludf.DUMMYFUNCTION("""COMPUTED_VALUE"""),"2909250101932")</f>
        <v>2909250101932</v>
      </c>
      <c r="AP682" s="85" t="str">
        <f>IFERROR(__xludf.DUMMYFUNCTION("""COMPUTED_VALUE"""),"29092501019320001")</f>
        <v>29092501019320001</v>
      </c>
      <c r="AQ682" s="93"/>
      <c r="AR682" s="85"/>
      <c r="AS682" s="85"/>
      <c r="AT682" s="85" t="str">
        <f>IFERROR(__xludf.DUMMYFUNCTION("""COMPUTED_VALUE"""),"-6.424868")</f>
        <v>-6.424868</v>
      </c>
      <c r="AU682" s="85" t="str">
        <f>IFERROR(__xludf.DUMMYFUNCTION("""COMPUTED_VALUE"""),"106.847849")</f>
        <v>106.847849</v>
      </c>
      <c r="AV682" s="85"/>
      <c r="AW682" s="85"/>
      <c r="AX682" s="85"/>
      <c r="AY682" s="85"/>
      <c r="AZ682" s="85"/>
      <c r="BA682" s="85"/>
      <c r="BB682" s="85"/>
      <c r="BC682" s="85"/>
      <c r="BD682" s="85"/>
      <c r="BE682" s="85"/>
      <c r="BF682" s="85"/>
      <c r="BG682" s="85"/>
      <c r="BH682" s="85"/>
      <c r="BI682" s="85"/>
      <c r="BJ682" s="85"/>
      <c r="BK682" s="85"/>
      <c r="BL682" s="85"/>
      <c r="BM682" s="85"/>
      <c r="BN682" s="85"/>
      <c r="BO682" s="85"/>
      <c r="BP682" s="85"/>
      <c r="BQ682" s="85"/>
      <c r="BR682" s="85"/>
      <c r="BS682" s="85"/>
      <c r="BT682" s="85"/>
      <c r="BU682" s="85"/>
      <c r="BV682" s="85"/>
      <c r="BW682" s="85"/>
      <c r="BX682" s="85" t="str">
        <f>IFERROR(__xludf.DUMMYFUNCTION("""COMPUTED_VALUE"""),"MULTIKURIR - JNT CARGO")</f>
        <v>MULTIKURIR - JNT CARGO</v>
      </c>
      <c r="BY682" s="85"/>
      <c r="BZ682" s="85"/>
      <c r="CA682" s="85"/>
      <c r="CB682" s="85"/>
      <c r="CC682" s="85"/>
      <c r="CD682" s="85"/>
      <c r="CE682" s="85"/>
      <c r="CF682" s="85"/>
      <c r="CG682" s="85"/>
      <c r="CH682" s="85"/>
      <c r="CI682" s="85"/>
      <c r="CJ682" s="85"/>
      <c r="CK682" s="2"/>
    </row>
    <row r="683" ht="12.75" customHeight="1">
      <c r="A683" s="80">
        <f>IFERROR(__xludf.DUMMYFUNCTION("""COMPUTED_VALUE"""),680.0)</f>
        <v>680</v>
      </c>
      <c r="B683" s="80"/>
      <c r="C683" s="80"/>
      <c r="D683" s="81">
        <f>IFERROR(__xludf.DUMMYFUNCTION("""COMPUTED_VALUE"""),45930.0)</f>
        <v>45930</v>
      </c>
      <c r="E683" s="82"/>
      <c r="F683" s="80"/>
      <c r="G683" s="81">
        <f>IFERROR(__xludf.DUMMYFUNCTION("""COMPUTED_VALUE"""),45931.0)</f>
        <v>45931</v>
      </c>
      <c r="H683" s="80"/>
      <c r="I683" s="80"/>
      <c r="J683" s="80"/>
      <c r="K683" s="80"/>
      <c r="L683" s="80">
        <f>IFERROR(__xludf.DUMMYFUNCTION("""COMPUTED_VALUE"""),1.0)</f>
        <v>1</v>
      </c>
      <c r="M683" s="80" t="str">
        <f>IFERROR(__xludf.DUMMYFUNCTION("""COMPUTED_VALUE"""),"ü")</f>
        <v>ü</v>
      </c>
      <c r="N683" s="80"/>
      <c r="O683" s="80"/>
      <c r="P683" s="80" t="str">
        <f>IFERROR(__xludf.DUMMYFUNCTION("""COMPUTED_VALUE"""),"MUCSPA63270PSIND")</f>
        <v>MUCSPA63270PSIND</v>
      </c>
      <c r="Q683" s="80" t="str">
        <f>IFERROR(__xludf.DUMMYFUNCTION("""COMPUTED_VALUE"""),"MUC KANAYA")</f>
        <v>MUC KANAYA</v>
      </c>
      <c r="R683" s="80" t="str">
        <f>IFERROR(__xludf.DUMMYFUNCTION("""COMPUTED_VALUE"""),"MUC KANAYA")</f>
        <v>MUC KANAYA</v>
      </c>
      <c r="S683" s="80" t="str">
        <f>IFERROR(__xludf.DUMMYFUNCTION("""COMPUTED_VALUE"""),"JUNAEDI")</f>
        <v>JUNAEDI</v>
      </c>
      <c r="T683" s="80" t="str">
        <f>IFERROR(__xludf.DUMMYFUNCTION("""COMPUTED_VALUE"""),"Jl. Ismail RT.008 RW.002 Desa Dermayu Kecamatan Sindang Kabupaten Indramayu")</f>
        <v>Jl. Ismail RT.008 RW.002 Desa Dermayu Kecamatan Sindang Kabupaten Indramayu</v>
      </c>
      <c r="U683" s="80" t="str">
        <f>IFERROR(__xludf.DUMMYFUNCTION("""COMPUTED_VALUE"""),"Jl. Ismail Rt.008 Rw.002")</f>
        <v>Jl. Ismail Rt.008 Rw.002</v>
      </c>
      <c r="V683" s="80"/>
      <c r="W683" s="80" t="str">
        <f>IFERROR(__xludf.DUMMYFUNCTION("""COMPUTED_VALUE"""),"Dermayu")</f>
        <v>Dermayu</v>
      </c>
      <c r="X683" s="80" t="str">
        <f>IFERROR(__xludf.DUMMYFUNCTION("""COMPUTED_VALUE"""),"Sindang")</f>
        <v>Sindang</v>
      </c>
      <c r="Y683" s="80" t="str">
        <f>IFERROR(__xludf.DUMMYFUNCTION("""COMPUTED_VALUE"""),"Indramayu")</f>
        <v>Indramayu</v>
      </c>
      <c r="Z683" s="80" t="str">
        <f>IFERROR(__xludf.DUMMYFUNCTION("""COMPUTED_VALUE"""),"Jawa Barat")</f>
        <v>Jawa Barat</v>
      </c>
      <c r="AA683" s="80" t="str">
        <f>IFERROR(__xludf.DUMMYFUNCTION("""COMPUTED_VALUE"""),"45223")</f>
        <v>45223</v>
      </c>
      <c r="AB683" s="80" t="str">
        <f>IFERROR(__xludf.DUMMYFUNCTION("""COMPUTED_VALUE"""),"3212162704650005")</f>
        <v>3212162704650005</v>
      </c>
      <c r="AC683" s="80" t="str">
        <f>IFERROR(__xludf.DUMMYFUNCTION("""COMPUTED_VALUE"""),"57.179.384.3-437.000")</f>
        <v>57.179.384.3-437.000</v>
      </c>
      <c r="AD683" s="80" t="str">
        <f>IFERROR(__xludf.DUMMYFUNCTION("""COMPUTED_VALUE"""),"CUM - PS - WENDY")</f>
        <v>CUM - PS - WENDY</v>
      </c>
      <c r="AE683" s="80" t="str">
        <f>IFERROR(__xludf.DUMMYFUNCTION("""COMPUTED_VALUE"""),"SUB WENDY")</f>
        <v>SUB WENDY</v>
      </c>
      <c r="AF683" s="80" t="str">
        <f>IFERROR(__xludf.DUMMYFUNCTION("""COMPUTED_VALUE"""),"08971550722")</f>
        <v>08971550722</v>
      </c>
      <c r="AG683" s="80"/>
      <c r="AH683" s="80" t="str">
        <f>IFERROR(__xludf.DUMMYFUNCTION("""COMPUTED_VALUE"""),"aryapadakurama@gmail.com")</f>
        <v>aryapadakurama@gmail.com</v>
      </c>
      <c r="AI683" s="80" t="str">
        <f>IFERROR(__xludf.DUMMYFUNCTION("""COMPUTED_VALUE"""),"45223S2")</f>
        <v>45223S2</v>
      </c>
      <c r="AJ683" s="80" t="str">
        <f>IFERROR(__xludf.DUMMYFUNCTION("""COMPUTED_VALUE"""),"68db883f6412f329540e48a7")</f>
        <v>68db883f6412f329540e48a7</v>
      </c>
      <c r="AK683" s="80" t="str">
        <f>IFERROR(__xludf.DUMMYFUNCTION("""COMPUTED_VALUE"""),"dm45223s2")</f>
        <v>dm45223s2</v>
      </c>
      <c r="AL683" s="80" t="str">
        <f>IFERROR(__xludf.DUMMYFUNCTION("""COMPUTED_VALUE"""),"#45223Pos")</f>
        <v>#45223Pos</v>
      </c>
      <c r="AM683" s="80" t="str">
        <f>IFERROR(__xludf.DUMMYFUNCTION("""COMPUTED_VALUE"""),"KANTOR REGIONAL III BANDUNG 40004")</f>
        <v>KANTOR REGIONAL III BANDUNG 40004</v>
      </c>
      <c r="AN683" s="80" t="str">
        <f>IFERROR(__xludf.DUMMYFUNCTION("""COMPUTED_VALUE"""),"KC INDRAMAYU")</f>
        <v>KC INDRAMAYU</v>
      </c>
      <c r="AO683" s="80" t="str">
        <f>IFERROR(__xludf.DUMMYFUNCTION("""COMPUTED_VALUE"""),"2909250122362")</f>
        <v>2909250122362</v>
      </c>
      <c r="AP683" s="80" t="str">
        <f>IFERROR(__xludf.DUMMYFUNCTION("""COMPUTED_VALUE"""),"29092501223620001")</f>
        <v>29092501223620001</v>
      </c>
      <c r="AQ683" s="83"/>
      <c r="AR683" s="80"/>
      <c r="AS683" s="80"/>
      <c r="AT683" s="80" t="str">
        <f>IFERROR(__xludf.DUMMYFUNCTION("""COMPUTED_VALUE"""),"-6.336248")</f>
        <v>-6.336248</v>
      </c>
      <c r="AU683" s="80" t="str">
        <f>IFERROR(__xludf.DUMMYFUNCTION("""COMPUTED_VALUE"""),"108.319683")</f>
        <v>108.319683</v>
      </c>
      <c r="AV683" s="80"/>
      <c r="AW683" s="80"/>
      <c r="AX683" s="80"/>
      <c r="AY683" s="80"/>
      <c r="AZ683" s="80"/>
      <c r="BA683" s="80"/>
      <c r="BB683" s="80"/>
      <c r="BC683" s="80"/>
      <c r="BD683" s="80"/>
      <c r="BE683" s="80"/>
      <c r="BF683" s="80"/>
      <c r="BG683" s="80"/>
      <c r="BH683" s="80"/>
      <c r="BI683" s="80"/>
      <c r="BJ683" s="80"/>
      <c r="BK683" s="80"/>
      <c r="BL683" s="80"/>
      <c r="BM683" s="80"/>
      <c r="BN683" s="80"/>
      <c r="BO683" s="80"/>
      <c r="BP683" s="80"/>
      <c r="BQ683" s="80"/>
      <c r="BR683" s="80"/>
      <c r="BS683" s="80"/>
      <c r="BT683" s="80"/>
      <c r="BU683" s="80"/>
      <c r="BV683" s="80"/>
      <c r="BW683" s="80"/>
      <c r="BX683" s="80" t="str">
        <f>IFERROR(__xludf.DUMMYFUNCTION("""COMPUTED_VALUE"""),"POS")</f>
        <v>POS</v>
      </c>
      <c r="BY683" s="80"/>
      <c r="BZ683" s="80"/>
      <c r="CA683" s="80"/>
      <c r="CB683" s="80"/>
      <c r="CC683" s="80"/>
      <c r="CD683" s="80"/>
      <c r="CE683" s="80"/>
      <c r="CF683" s="80"/>
      <c r="CG683" s="80"/>
      <c r="CH683" s="80"/>
      <c r="CI683" s="80"/>
      <c r="CJ683" s="80"/>
      <c r="CK683" s="2"/>
    </row>
    <row r="684" ht="12.75" customHeight="1">
      <c r="A684" s="85">
        <f>IFERROR(__xludf.DUMMYFUNCTION("""COMPUTED_VALUE"""),681.0)</f>
        <v>681</v>
      </c>
      <c r="B684" s="85"/>
      <c r="C684" s="85"/>
      <c r="D684" s="86">
        <f>IFERROR(__xludf.DUMMYFUNCTION("""COMPUTED_VALUE"""),45930.0)</f>
        <v>45930</v>
      </c>
      <c r="E684" s="88"/>
      <c r="F684" s="85"/>
      <c r="G684" s="86"/>
      <c r="H684" s="85"/>
      <c r="I684" s="85"/>
      <c r="J684" s="85"/>
      <c r="K684" s="85"/>
      <c r="L684" s="85"/>
      <c r="M684" s="85" t="str">
        <f>IFERROR(__xludf.DUMMYFUNCTION("""COMPUTED_VALUE"""),"ü")</f>
        <v>ü</v>
      </c>
      <c r="N684" s="85"/>
      <c r="O684" s="85"/>
      <c r="P684" s="85" t="str">
        <f>IFERROR(__xludf.DUMMYFUNCTION("""COMPUTED_VALUE"""),"53BSPA09699JBEEN")</f>
        <v>53BSPA09699JBEEN</v>
      </c>
      <c r="Q684" s="85" t="str">
        <f>IFERROR(__xludf.DUMMYFUNCTION("""COMPUTED_VALUE"""),"MUC Droper Keagungan")</f>
        <v>MUC Droper Keagungan</v>
      </c>
      <c r="R684" s="85" t="str">
        <f>IFERROR(__xludf.DUMMYFUNCTION("""COMPUTED_VALUE"""),"MUC Droper Keagungan")</f>
        <v>MUC Droper Keagungan</v>
      </c>
      <c r="S684" s="85" t="str">
        <f>IFERROR(__xludf.DUMMYFUNCTION("""COMPUTED_VALUE"""),"NG MIE FUN")</f>
        <v>NG MIE FUN</v>
      </c>
      <c r="T684" s="85" t="str">
        <f>IFERROR(__xludf.DUMMYFUNCTION("""COMPUTED_VALUE"""),"JL. KERAJINAN I NO.5 RT.015/010, KEAGUNGAN, TAMAN SARI, JAKARTA BARAT")</f>
        <v>JL. KERAJINAN I NO.5 RT.015/010, KEAGUNGAN, TAMAN SARI, JAKARTA BARAT</v>
      </c>
      <c r="U684" s="85" t="str">
        <f>IFERROR(__xludf.DUMMYFUNCTION("""COMPUTED_VALUE"""),"Jl. Kerajinan I Kebon Sayur 1 No.05, RT.15/RW.10")</f>
        <v>Jl. Kerajinan I Kebon Sayur 1 No.05, RT.15/RW.10</v>
      </c>
      <c r="V684" s="85"/>
      <c r="W684" s="85" t="str">
        <f>IFERROR(__xludf.DUMMYFUNCTION("""COMPUTED_VALUE"""),"Keagungan")</f>
        <v>Keagungan</v>
      </c>
      <c r="X684" s="85" t="str">
        <f>IFERROR(__xludf.DUMMYFUNCTION("""COMPUTED_VALUE"""),"Taman Sari")</f>
        <v>Taman Sari</v>
      </c>
      <c r="Y684" s="85" t="str">
        <f>IFERROR(__xludf.DUMMYFUNCTION("""COMPUTED_VALUE"""),"Jakarta Barat")</f>
        <v>Jakarta Barat</v>
      </c>
      <c r="Z684" s="85" t="str">
        <f>IFERROR(__xludf.DUMMYFUNCTION("""COMPUTED_VALUE"""),"DKI Jakarta")</f>
        <v>DKI Jakarta</v>
      </c>
      <c r="AA684" s="85" t="str">
        <f>IFERROR(__xludf.DUMMYFUNCTION("""COMPUTED_VALUE"""),"11130")</f>
        <v>11130</v>
      </c>
      <c r="AB684" s="85" t="str">
        <f>IFERROR(__xludf.DUMMYFUNCTION("""COMPUTED_VALUE"""),"3172026911650009")</f>
        <v>3172026911650009</v>
      </c>
      <c r="AC684" s="85" t="str">
        <f>IFERROR(__xludf.DUMMYFUNCTION("""COMPUTED_VALUE"""),"25.565.381.8-048.000")</f>
        <v>25.565.381.8-048.000</v>
      </c>
      <c r="AD684" s="85" t="str">
        <f>IFERROR(__xludf.DUMMYFUNCTION("""COMPUTED_VALUE"""),"CUM - EEN")</f>
        <v>CUM - EEN</v>
      </c>
      <c r="AE684" s="85" t="str">
        <f>IFERROR(__xludf.DUMMYFUNCTION("""COMPUTED_VALUE"""),"SUB EEN")</f>
        <v>SUB EEN</v>
      </c>
      <c r="AF684" s="85" t="str">
        <f>IFERROR(__xludf.DUMMYFUNCTION("""COMPUTED_VALUE"""),"081290337999")</f>
        <v>081290337999</v>
      </c>
      <c r="AG684" s="85"/>
      <c r="AH684" s="85" t="str">
        <f>IFERROR(__xludf.DUMMYFUNCTION("""COMPUTED_VALUE"""),"mellymelly1220@gmail.com")</f>
        <v>mellymelly1220@gmail.com</v>
      </c>
      <c r="AI684" s="85"/>
      <c r="AJ684" s="85"/>
      <c r="AK684" s="85"/>
      <c r="AL684" s="85"/>
      <c r="AM684" s="85" t="str">
        <f>IFERROR(__xludf.DUMMYFUNCTION("""COMPUTED_VALUE"""),"KANTOR REGIONAL II JAKARTA 10004")</f>
        <v>KANTOR REGIONAL II JAKARTA 10004</v>
      </c>
      <c r="AN684" s="85" t="str">
        <f>IFERROR(__xludf.DUMMYFUNCTION("""COMPUTED_VALUE"""),"KCU JAKARTAOCEANIA 11000")</f>
        <v>KCU JAKARTAOCEANIA 11000</v>
      </c>
      <c r="AO684" s="85" t="str">
        <f>IFERROR(__xludf.DUMMYFUNCTION("""COMPUTED_VALUE"""),"3009250062509")</f>
        <v>3009250062509</v>
      </c>
      <c r="AP684" s="85" t="str">
        <f>IFERROR(__xludf.DUMMYFUNCTION("""COMPUTED_VALUE"""),"30092500625090001")</f>
        <v>30092500625090001</v>
      </c>
      <c r="AQ684" s="93"/>
      <c r="AR684" s="85"/>
      <c r="AS684" s="85"/>
      <c r="AT684" s="85" t="str">
        <f>IFERROR(__xludf.DUMMYFUNCTION("""COMPUTED_VALUE"""),"-6.154108")</f>
        <v>-6.154108</v>
      </c>
      <c r="AU684" s="85" t="str">
        <f>IFERROR(__xludf.DUMMYFUNCTION("""COMPUTED_VALUE"""),"106.812613")</f>
        <v>106.812613</v>
      </c>
      <c r="AV684" s="85"/>
      <c r="AW684" s="85"/>
      <c r="AX684" s="85"/>
      <c r="AY684" s="85"/>
      <c r="AZ684" s="85"/>
      <c r="BA684" s="85"/>
      <c r="BB684" s="85"/>
      <c r="BC684" s="85"/>
      <c r="BD684" s="85"/>
      <c r="BE684" s="85"/>
      <c r="BF684" s="85"/>
      <c r="BG684" s="85"/>
      <c r="BH684" s="85"/>
      <c r="BI684" s="85"/>
      <c r="BJ684" s="85"/>
      <c r="BK684" s="85"/>
      <c r="BL684" s="85"/>
      <c r="BM684" s="85"/>
      <c r="BN684" s="85"/>
      <c r="BO684" s="85"/>
      <c r="BP684" s="85"/>
      <c r="BQ684" s="85"/>
      <c r="BR684" s="85"/>
      <c r="BS684" s="85"/>
      <c r="BT684" s="85"/>
      <c r="BU684" s="85"/>
      <c r="BV684" s="85"/>
      <c r="BW684" s="85"/>
      <c r="BX684" s="85" t="str">
        <f>IFERROR(__xludf.DUMMYFUNCTION("""COMPUTED_VALUE"""),"MULTTIKURIR - ID EXPRESS - LION PARCEL")</f>
        <v>MULTTIKURIR - ID EXPRESS - LION PARCEL</v>
      </c>
      <c r="BY684" s="85"/>
      <c r="BZ684" s="85"/>
      <c r="CA684" s="85"/>
      <c r="CB684" s="85"/>
      <c r="CC684" s="85"/>
      <c r="CD684" s="85"/>
      <c r="CE684" s="85"/>
      <c r="CF684" s="85"/>
      <c r="CG684" s="85"/>
      <c r="CH684" s="85"/>
      <c r="CI684" s="85"/>
      <c r="CJ684" s="85"/>
      <c r="CK684" s="2"/>
    </row>
    <row r="685" ht="12.75" customHeight="1">
      <c r="A685" s="80">
        <f>IFERROR(__xludf.DUMMYFUNCTION("""COMPUTED_VALUE"""),682.0)</f>
        <v>682</v>
      </c>
      <c r="B685" s="80"/>
      <c r="C685" s="80"/>
      <c r="D685" s="81">
        <f>IFERROR(__xludf.DUMMYFUNCTION("""COMPUTED_VALUE"""),45931.0)</f>
        <v>45931</v>
      </c>
      <c r="E685" s="82"/>
      <c r="F685" s="80"/>
      <c r="G685" s="81">
        <f>IFERROR(__xludf.DUMMYFUNCTION("""COMPUTED_VALUE"""),45943.0)</f>
        <v>45943</v>
      </c>
      <c r="H685" s="80"/>
      <c r="I685" s="80"/>
      <c r="J685" s="80"/>
      <c r="K685" s="80"/>
      <c r="L685" s="80">
        <f>IFERROR(__xludf.DUMMYFUNCTION("""COMPUTED_VALUE"""),12.0)</f>
        <v>12</v>
      </c>
      <c r="M685" s="80" t="str">
        <f>IFERROR(__xludf.DUMMYFUNCTION("""COMPUTED_VALUE"""),"ü")</f>
        <v>ü</v>
      </c>
      <c r="N685" s="80"/>
      <c r="O685" s="80"/>
      <c r="P685" s="80" t="str">
        <f>IFERROR(__xludf.DUMMYFUNCTION("""COMPUTED_VALUE"""),"MUCSPA63271PSIND")</f>
        <v>MUCSPA63271PSIND</v>
      </c>
      <c r="Q685" s="80" t="str">
        <f>IFERROR(__xludf.DUMMYFUNCTION("""COMPUTED_VALUE"""),"MUC RUAZz")</f>
        <v>MUC RUAZz</v>
      </c>
      <c r="R685" s="80" t="str">
        <f>IFERROR(__xludf.DUMMYFUNCTION("""COMPUTED_VALUE"""),"MUC RUAZz")</f>
        <v>MUC RUAZz</v>
      </c>
      <c r="S685" s="80" t="str">
        <f>IFERROR(__xludf.DUMMYFUNCTION("""COMPUTED_VALUE"""),"Silvia Elisa Iskandar")</f>
        <v>Silvia Elisa Iskandar</v>
      </c>
      <c r="T685" s="80" t="str">
        <f>IFERROR(__xludf.DUMMYFUNCTION("""COMPUTED_VALUE"""),"Jl. Kutacane - medan, Depan SDN 1Desa Biak Muli Kec. Bambel Kab. Aceh Tenggara")</f>
        <v>Jl. Kutacane - medan, Depan SDN 1Desa Biak Muli Kec. Bambel Kab. Aceh Tenggara</v>
      </c>
      <c r="U685" s="80" t="str">
        <f>IFERROR(__xludf.DUMMYFUNCTION("""COMPUTED_VALUE"""),"jl. Kutacane-medan depan SDN 1 BIAK Muli")</f>
        <v>jl. Kutacane-medan depan SDN 1 BIAK Muli</v>
      </c>
      <c r="V685" s="80"/>
      <c r="W685" s="80" t="str">
        <f>IFERROR(__xludf.DUMMYFUNCTION("""COMPUTED_VALUE"""),"Biak Muli")</f>
        <v>Biak Muli</v>
      </c>
      <c r="X685" s="80" t="str">
        <f>IFERROR(__xludf.DUMMYFUNCTION("""COMPUTED_VALUE"""),"Bambel")</f>
        <v>Bambel</v>
      </c>
      <c r="Y685" s="80" t="str">
        <f>IFERROR(__xludf.DUMMYFUNCTION("""COMPUTED_VALUE"""),"Aceh Tenggara")</f>
        <v>Aceh Tenggara</v>
      </c>
      <c r="Z685" s="80" t="str">
        <f>IFERROR(__xludf.DUMMYFUNCTION("""COMPUTED_VALUE"""),"Aceh")</f>
        <v>Aceh</v>
      </c>
      <c r="AA685" s="80" t="str">
        <f>IFERROR(__xludf.DUMMYFUNCTION("""COMPUTED_VALUE"""),"24671")</f>
        <v>24671</v>
      </c>
      <c r="AB685" s="80" t="str">
        <f>IFERROR(__xludf.DUMMYFUNCTION("""COMPUTED_VALUE"""),"1102034703880001")</f>
        <v>1102034703880001</v>
      </c>
      <c r="AC685" s="80" t="str">
        <f>IFERROR(__xludf.DUMMYFUNCTION("""COMPUTED_VALUE"""),"75.608.151.9-107.000")</f>
        <v>75.608.151.9-107.000</v>
      </c>
      <c r="AD685" s="80" t="str">
        <f>IFERROR(__xludf.DUMMYFUNCTION("""COMPUTED_VALUE"""),"PAK GEORGE KC KUTACANE")</f>
        <v>PAK GEORGE KC KUTACANE</v>
      </c>
      <c r="AE685" s="80" t="str">
        <f>IFERROR(__xludf.DUMMYFUNCTION("""COMPUTED_VALUE"""),"PAK GEORGE KC KUTACANE")</f>
        <v>PAK GEORGE KC KUTACANE</v>
      </c>
      <c r="AF685" s="80" t="str">
        <f>IFERROR(__xludf.DUMMYFUNCTION("""COMPUTED_VALUE"""),"081314444473")</f>
        <v>081314444473</v>
      </c>
      <c r="AG685" s="80"/>
      <c r="AH685" s="80" t="str">
        <f>IFERROR(__xludf.DUMMYFUNCTION("""COMPUTED_VALUE"""),"silviaelisaiskandar@gmail.com")</f>
        <v>silviaelisaiskandar@gmail.com</v>
      </c>
      <c r="AI685" s="80" t="str">
        <f>IFERROR(__xludf.DUMMYFUNCTION("""COMPUTED_VALUE"""),"24671S1")</f>
        <v>24671S1</v>
      </c>
      <c r="AJ685" s="80" t="str">
        <f>IFERROR(__xludf.DUMMYFUNCTION("""COMPUTED_VALUE"""),"68e9fef2c615311fd90323ec")</f>
        <v>68e9fef2c615311fd90323ec</v>
      </c>
      <c r="AK685" s="80" t="str">
        <f>IFERROR(__xludf.DUMMYFUNCTION("""COMPUTED_VALUE"""),"dm24671s1")</f>
        <v>dm24671s1</v>
      </c>
      <c r="AL685" s="80" t="str">
        <f>IFERROR(__xludf.DUMMYFUNCTION("""COMPUTED_VALUE"""),"#24671Pos")</f>
        <v>#24671Pos</v>
      </c>
      <c r="AM685" s="80" t="str">
        <f>IFERROR(__xludf.DUMMYFUNCTION("""COMPUTED_VALUE"""),"KANTOR REGIONAL I MEDAN 20004")</f>
        <v>KANTOR REGIONAL I MEDAN 20004</v>
      </c>
      <c r="AN685" s="80" t="str">
        <f>IFERROR(__xludf.DUMMYFUNCTION("""COMPUTED_VALUE"""),"KC KUTACANE")</f>
        <v>KC KUTACANE</v>
      </c>
      <c r="AO685" s="80" t="str">
        <f>IFERROR(__xludf.DUMMYFUNCTION("""COMPUTED_VALUE"""),"0110250032143")</f>
        <v>0110250032143</v>
      </c>
      <c r="AP685" s="80" t="str">
        <f>IFERROR(__xludf.DUMMYFUNCTION("""COMPUTED_VALUE"""),"01102500321430001")</f>
        <v>01102500321430001</v>
      </c>
      <c r="AQ685" s="83"/>
      <c r="AR685" s="80"/>
      <c r="AS685" s="80"/>
      <c r="AT685" s="80" t="str">
        <f>IFERROR(__xludf.DUMMYFUNCTION("""COMPUTED_VALUE"""),"3.4453214")</f>
        <v>3.4453214</v>
      </c>
      <c r="AU685" s="80" t="str">
        <f>IFERROR(__xludf.DUMMYFUNCTION("""COMPUTED_VALUE"""),"97.8322521")</f>
        <v>97.8322521</v>
      </c>
      <c r="AV685" s="80"/>
      <c r="AW685" s="80"/>
      <c r="AX685" s="80"/>
      <c r="AY685" s="80"/>
      <c r="AZ685" s="80"/>
      <c r="BA685" s="80"/>
      <c r="BB685" s="80"/>
      <c r="BC685" s="80"/>
      <c r="BD685" s="80"/>
      <c r="BE685" s="80"/>
      <c r="BF685" s="80"/>
      <c r="BG685" s="80"/>
      <c r="BH685" s="80"/>
      <c r="BI685" s="80"/>
      <c r="BJ685" s="80"/>
      <c r="BK685" s="80"/>
      <c r="BL685" s="80"/>
      <c r="BM685" s="80"/>
      <c r="BN685" s="80"/>
      <c r="BO685" s="80"/>
      <c r="BP685" s="80"/>
      <c r="BQ685" s="80"/>
      <c r="BR685" s="80"/>
      <c r="BS685" s="80"/>
      <c r="BT685" s="80"/>
      <c r="BU685" s="80"/>
      <c r="BV685" s="80"/>
      <c r="BW685" s="80"/>
      <c r="BX685" s="80" t="str">
        <f>IFERROR(__xludf.DUMMYFUNCTION("""COMPUTED_VALUE"""),"NEWBIE")</f>
        <v>NEWBIE</v>
      </c>
      <c r="BY685" s="80"/>
      <c r="BZ685" s="80"/>
      <c r="CA685" s="80"/>
      <c r="CB685" s="80"/>
      <c r="CC685" s="80"/>
      <c r="CD685" s="80"/>
      <c r="CE685" s="80"/>
      <c r="CF685" s="80"/>
      <c r="CG685" s="80"/>
      <c r="CH685" s="80"/>
      <c r="CI685" s="80"/>
      <c r="CJ685" s="80"/>
      <c r="CK685" s="2"/>
    </row>
    <row r="686" ht="12.75" customHeight="1">
      <c r="A686" s="85">
        <f>IFERROR(__xludf.DUMMYFUNCTION("""COMPUTED_VALUE"""),683.0)</f>
        <v>683</v>
      </c>
      <c r="B686" s="85"/>
      <c r="C686" s="85"/>
      <c r="D686" s="86">
        <f>IFERROR(__xludf.DUMMYFUNCTION("""COMPUTED_VALUE"""),45931.0)</f>
        <v>45931</v>
      </c>
      <c r="E686" s="88"/>
      <c r="F686" s="85"/>
      <c r="G686" s="86">
        <f>IFERROR(__xludf.DUMMYFUNCTION("""COMPUTED_VALUE"""),45943.0)</f>
        <v>45943</v>
      </c>
      <c r="H686" s="85"/>
      <c r="I686" s="85"/>
      <c r="J686" s="85"/>
      <c r="K686" s="85"/>
      <c r="L686" s="85">
        <f>IFERROR(__xludf.DUMMYFUNCTION("""COMPUTED_VALUE"""),12.0)</f>
        <v>12</v>
      </c>
      <c r="M686" s="85" t="str">
        <f>IFERROR(__xludf.DUMMYFUNCTION("""COMPUTED_VALUE"""),"ü")</f>
        <v>ü</v>
      </c>
      <c r="N686" s="85"/>
      <c r="O686" s="85"/>
      <c r="P686" s="85" t="str">
        <f>IFERROR(__xludf.DUMMYFUNCTION("""COMPUTED_VALUE"""),"MUCSPA63272PSIND")</f>
        <v>MUCSPA63272PSIND</v>
      </c>
      <c r="Q686" s="85" t="str">
        <f>IFERROR(__xludf.DUMMYFUNCTION("""COMPUTED_VALUE"""),"MUC HikmahLink")</f>
        <v>MUC HikmahLink</v>
      </c>
      <c r="R686" s="85" t="str">
        <f>IFERROR(__xludf.DUMMYFUNCTION("""COMPUTED_VALUE"""),"MUC HikmahLink")</f>
        <v>MUC HikmahLink</v>
      </c>
      <c r="S686" s="85" t="str">
        <f>IFERROR(__xludf.DUMMYFUNCTION("""COMPUTED_VALUE"""),"REVINDA AHZA ANZAFA MOHAMMAD")</f>
        <v>REVINDA AHZA ANZAFA MOHAMMAD</v>
      </c>
      <c r="T686" s="85" t="str">
        <f>IFERROR(__xludf.DUMMYFUNCTION("""COMPUTED_VALUE"""),"DELTA SARI INDAH BI-06 RT.007 RW.011, KUREKSARI, WARU, KAB. SIDOARJO")</f>
        <v>DELTA SARI INDAH BI-06 RT.007 RW.011, KUREKSARI, WARU, KAB. SIDOARJO</v>
      </c>
      <c r="U686" s="85" t="str">
        <f>IFERROR(__xludf.DUMMYFUNCTION("""COMPUTED_VALUE"""),"Deltasari Indah Blok BI No.5, Waru, Sidoarjo")</f>
        <v>Deltasari Indah Blok BI No.5, Waru, Sidoarjo</v>
      </c>
      <c r="V686" s="85"/>
      <c r="W686" s="85" t="str">
        <f>IFERROR(__xludf.DUMMYFUNCTION("""COMPUTED_VALUE"""),"Kureksari")</f>
        <v>Kureksari</v>
      </c>
      <c r="X686" s="85" t="str">
        <f>IFERROR(__xludf.DUMMYFUNCTION("""COMPUTED_VALUE"""),"Kureksari")</f>
        <v>Kureksari</v>
      </c>
      <c r="Y686" s="85" t="str">
        <f>IFERROR(__xludf.DUMMYFUNCTION("""COMPUTED_VALUE"""),"Sidoarjo")</f>
        <v>Sidoarjo</v>
      </c>
      <c r="Z686" s="85" t="str">
        <f>IFERROR(__xludf.DUMMYFUNCTION("""COMPUTED_VALUE"""),"Jawa Timur")</f>
        <v>Jawa Timur</v>
      </c>
      <c r="AA686" s="85" t="str">
        <f>IFERROR(__xludf.DUMMYFUNCTION("""COMPUTED_VALUE"""),"61256")</f>
        <v>61256</v>
      </c>
      <c r="AB686" s="85" t="str">
        <f>IFERROR(__xludf.DUMMYFUNCTION("""COMPUTED_VALUE"""),"3515182605020007")</f>
        <v>3515182605020007</v>
      </c>
      <c r="AC686" s="85" t="str">
        <f>IFERROR(__xludf.DUMMYFUNCTION("""COMPUTED_VALUE"""),"95.324.402.7-643.000")</f>
        <v>95.324.402.7-643.000</v>
      </c>
      <c r="AD686" s="85" t="str">
        <f>IFERROR(__xludf.DUMMYFUNCTION("""COMPUTED_VALUE"""),"BU RINI KC SIDOARJO")</f>
        <v>BU RINI KC SIDOARJO</v>
      </c>
      <c r="AE686" s="85" t="str">
        <f>IFERROR(__xludf.DUMMYFUNCTION("""COMPUTED_VALUE"""),"BU RINI KC SIDOARJO")</f>
        <v>BU RINI KC SIDOARJO</v>
      </c>
      <c r="AF686" s="85" t="str">
        <f>IFERROR(__xludf.DUMMYFUNCTION("""COMPUTED_VALUE"""),"081332496767")</f>
        <v>081332496767</v>
      </c>
      <c r="AG686" s="85"/>
      <c r="AH686" s="85" t="str">
        <f>IFERROR(__xludf.DUMMYFUNCTION("""COMPUTED_VALUE"""),"hikmahlink.bilima@gmail.com")</f>
        <v>hikmahlink.bilima@gmail.com</v>
      </c>
      <c r="AI686" s="85" t="str">
        <f>IFERROR(__xludf.DUMMYFUNCTION("""COMPUTED_VALUE"""),"61256T1")</f>
        <v>61256T1</v>
      </c>
      <c r="AJ686" s="85" t="str">
        <f>IFERROR(__xludf.DUMMYFUNCTION("""COMPUTED_VALUE"""),"68eb027fee040e235c0f298d")</f>
        <v>68eb027fee040e235c0f298d</v>
      </c>
      <c r="AK686" s="85" t="str">
        <f>IFERROR(__xludf.DUMMYFUNCTION("""COMPUTED_VALUE"""),"dm61256t1")</f>
        <v>dm61256t1</v>
      </c>
      <c r="AL686" s="85" t="str">
        <f>IFERROR(__xludf.DUMMYFUNCTION("""COMPUTED_VALUE"""),"#61256Pos")</f>
        <v>#61256Pos</v>
      </c>
      <c r="AM686" s="85" t="str">
        <f>IFERROR(__xludf.DUMMYFUNCTION("""COMPUTED_VALUE"""),"KANTOR REGIONAL V SURABAYA 60004")</f>
        <v>KANTOR REGIONAL V SURABAYA 60004</v>
      </c>
      <c r="AN686" s="85" t="str">
        <f>IFERROR(__xludf.DUMMYFUNCTION("""COMPUTED_VALUE"""),"KC SIDOARJO")</f>
        <v>KC SIDOARJO</v>
      </c>
      <c r="AO686" s="85" t="str">
        <f>IFERROR(__xludf.DUMMYFUNCTION("""COMPUTED_VALUE"""),"2909250115937")</f>
        <v>2909250115937</v>
      </c>
      <c r="AP686" s="85" t="str">
        <f>IFERROR(__xludf.DUMMYFUNCTION("""COMPUTED_VALUE"""),"29092501159370001")</f>
        <v>29092501159370001</v>
      </c>
      <c r="AQ686" s="93"/>
      <c r="AR686" s="85"/>
      <c r="AS686" s="85"/>
      <c r="AT686" s="85" t="str">
        <f>IFERROR(__xludf.DUMMYFUNCTION("""COMPUTED_VALUE"""),"-7.361933 ")</f>
        <v>-7.361933 </v>
      </c>
      <c r="AU686" s="85" t="str">
        <f>IFERROR(__xludf.DUMMYFUNCTION("""COMPUTED_VALUE"""),"112.738065 ")</f>
        <v>112.738065 </v>
      </c>
      <c r="AV686" s="85"/>
      <c r="AW686" s="85"/>
      <c r="AX686" s="85"/>
      <c r="AY686" s="85"/>
      <c r="AZ686" s="85"/>
      <c r="BA686" s="85"/>
      <c r="BB686" s="85"/>
      <c r="BC686" s="85"/>
      <c r="BD686" s="85"/>
      <c r="BE686" s="85"/>
      <c r="BF686" s="85"/>
      <c r="BG686" s="85"/>
      <c r="BH686" s="85"/>
      <c r="BI686" s="85"/>
      <c r="BJ686" s="85"/>
      <c r="BK686" s="85"/>
      <c r="BL686" s="85"/>
      <c r="BM686" s="85"/>
      <c r="BN686" s="85"/>
      <c r="BO686" s="85"/>
      <c r="BP686" s="85"/>
      <c r="BQ686" s="85"/>
      <c r="BR686" s="85"/>
      <c r="BS686" s="85"/>
      <c r="BT686" s="85"/>
      <c r="BU686" s="85"/>
      <c r="BV686" s="85"/>
      <c r="BW686" s="85"/>
      <c r="BX686" s="85" t="str">
        <f>IFERROR(__xludf.DUMMYFUNCTION("""COMPUTED_VALUE"""),"NEWBIE")</f>
        <v>NEWBIE</v>
      </c>
      <c r="BY686" s="85"/>
      <c r="BZ686" s="85"/>
      <c r="CA686" s="85"/>
      <c r="CB686" s="85"/>
      <c r="CC686" s="85"/>
      <c r="CD686" s="85"/>
      <c r="CE686" s="85"/>
      <c r="CF686" s="85"/>
      <c r="CG686" s="85"/>
      <c r="CH686" s="85"/>
      <c r="CI686" s="85"/>
      <c r="CJ686" s="85"/>
      <c r="CK686" s="2"/>
    </row>
    <row r="687" ht="12.75" customHeight="1">
      <c r="A687" s="80">
        <f>IFERROR(__xludf.DUMMYFUNCTION("""COMPUTED_VALUE"""),684.0)</f>
        <v>684</v>
      </c>
      <c r="B687" s="80"/>
      <c r="C687" s="80"/>
      <c r="D687" s="81">
        <f>IFERROR(__xludf.DUMMYFUNCTION("""COMPUTED_VALUE"""),45931.0)</f>
        <v>45931</v>
      </c>
      <c r="E687" s="82"/>
      <c r="F687" s="80"/>
      <c r="G687" s="81">
        <f>IFERROR(__xludf.DUMMYFUNCTION("""COMPUTED_VALUE"""),45932.0)</f>
        <v>45932</v>
      </c>
      <c r="H687" s="80"/>
      <c r="I687" s="80"/>
      <c r="J687" s="80"/>
      <c r="K687" s="80"/>
      <c r="L687" s="80">
        <f>IFERROR(__xludf.DUMMYFUNCTION("""COMPUTED_VALUE"""),1.0)</f>
        <v>1</v>
      </c>
      <c r="M687" s="80" t="str">
        <f>IFERROR(__xludf.DUMMYFUNCTION("""COMPUTED_VALUE"""),"ü")</f>
        <v>ü</v>
      </c>
      <c r="N687" s="80"/>
      <c r="O687" s="80"/>
      <c r="P687" s="80" t="str">
        <f>IFERROR(__xludf.DUMMYFUNCTION("""COMPUTED_VALUE"""),"MUCSPA63273PSIND")</f>
        <v>MUCSPA63273PSIND</v>
      </c>
      <c r="Q687" s="80" t="str">
        <f>IFERROR(__xludf.DUMMYFUNCTION("""COMPUTED_VALUE"""),"MUC NADIA")</f>
        <v>MUC NADIA</v>
      </c>
      <c r="R687" s="80" t="str">
        <f>IFERROR(__xludf.DUMMYFUNCTION("""COMPUTED_VALUE"""),"MUC NADIA")</f>
        <v>MUC NADIA</v>
      </c>
      <c r="S687" s="80" t="str">
        <f>IFERROR(__xludf.DUMMYFUNCTION("""COMPUTED_VALUE"""),"NADYA ROHADATUL AISY")</f>
        <v>NADYA ROHADATUL AISY</v>
      </c>
      <c r="T687" s="80" t="str">
        <f>IFERROR(__xludf.DUMMYFUNCTION("""COMPUTED_VALUE"""),"JL. MERPATI NO.3 LBS KAV BLOK.H RT.011/006, CIWADUK, CILEGON, KOTA CILEGON")</f>
        <v>JL. MERPATI NO.3 LBS KAV BLOK.H RT.011/006, CIWADUK, CILEGON, KOTA CILEGON</v>
      </c>
      <c r="U687" s="80" t="str">
        <f>IFERROR(__xludf.DUMMYFUNCTION("""COMPUTED_VALUE"""),"Jalan Lingkar Selatan, 100 Meter Setelah Pom Bensin, Km ke 3")</f>
        <v>Jalan Lingkar Selatan, 100 Meter Setelah Pom Bensin, Km ke 3</v>
      </c>
      <c r="V687" s="80"/>
      <c r="W687" s="80" t="str">
        <f>IFERROR(__xludf.DUMMYFUNCTION("""COMPUTED_VALUE"""),"Kalitimbang")</f>
        <v>Kalitimbang</v>
      </c>
      <c r="X687" s="80" t="str">
        <f>IFERROR(__xludf.DUMMYFUNCTION("""COMPUTED_VALUE"""),"Cibeber")</f>
        <v>Cibeber</v>
      </c>
      <c r="Y687" s="80" t="str">
        <f>IFERROR(__xludf.DUMMYFUNCTION("""COMPUTED_VALUE"""),"Kota Cilegon")</f>
        <v>Kota Cilegon</v>
      </c>
      <c r="Z687" s="80" t="str">
        <f>IFERROR(__xludf.DUMMYFUNCTION("""COMPUTED_VALUE"""),"Banten")</f>
        <v>Banten</v>
      </c>
      <c r="AA687" s="80" t="str">
        <f>IFERROR(__xludf.DUMMYFUNCTION("""COMPUTED_VALUE"""),"42426")</f>
        <v>42426</v>
      </c>
      <c r="AB687" s="80" t="str">
        <f>IFERROR(__xludf.DUMMYFUNCTION("""COMPUTED_VALUE"""),"3672024211970003")</f>
        <v>3672024211970003</v>
      </c>
      <c r="AC687" s="80" t="str">
        <f>IFERROR(__xludf.DUMMYFUNCTION("""COMPUTED_VALUE"""),"43.612.488.7-417.000")</f>
        <v>43.612.488.7-417.000</v>
      </c>
      <c r="AD687" s="80" t="str">
        <f>IFERROR(__xludf.DUMMYFUNCTION("""COMPUTED_VALUE"""),"PAK ICHSAN KC CILEGON")</f>
        <v>PAK ICHSAN KC CILEGON</v>
      </c>
      <c r="AE687" s="80" t="str">
        <f>IFERROR(__xludf.DUMMYFUNCTION("""COMPUTED_VALUE"""),"PAK ICHSAN KC CILEGON")</f>
        <v>PAK ICHSAN KC CILEGON</v>
      </c>
      <c r="AF687" s="80" t="str">
        <f>IFERROR(__xludf.DUMMYFUNCTION("""COMPUTED_VALUE"""),"085774332167")</f>
        <v>085774332167</v>
      </c>
      <c r="AG687" s="80"/>
      <c r="AH687" s="80" t="str">
        <f>IFERROR(__xludf.DUMMYFUNCTION("""COMPUTED_VALUE"""),"nadya.rohadatula@gmail.com")</f>
        <v>nadya.rohadatula@gmail.com</v>
      </c>
      <c r="AI687" s="80" t="str">
        <f>IFERROR(__xludf.DUMMYFUNCTION("""COMPUTED_VALUE"""),"42424S1")</f>
        <v>42424S1</v>
      </c>
      <c r="AJ687" s="80" t="str">
        <f>IFERROR(__xludf.DUMMYFUNCTION("""COMPUTED_VALUE"""),"68de38418cfdc049a40d12e7")</f>
        <v>68de38418cfdc049a40d12e7</v>
      </c>
      <c r="AK687" s="80" t="str">
        <f>IFERROR(__xludf.DUMMYFUNCTION("""COMPUTED_VALUE"""),"dm42424s1")</f>
        <v>dm42424s1</v>
      </c>
      <c r="AL687" s="80" t="str">
        <f>IFERROR(__xludf.DUMMYFUNCTION("""COMPUTED_VALUE"""),"#42424Pos")</f>
        <v>#42424Pos</v>
      </c>
      <c r="AM687" s="80" t="str">
        <f>IFERROR(__xludf.DUMMYFUNCTION("""COMPUTED_VALUE"""),"KANTOR REGIONAL II JAKARTA 10004")</f>
        <v>KANTOR REGIONAL II JAKARTA 10004</v>
      </c>
      <c r="AN687" s="80" t="str">
        <f>IFERROR(__xludf.DUMMYFUNCTION("""COMPUTED_VALUE"""),"KC CILEGON 42400")</f>
        <v>KC CILEGON 42400</v>
      </c>
      <c r="AO687" s="80" t="str">
        <f>IFERROR(__xludf.DUMMYFUNCTION("""COMPUTED_VALUE"""),"0408240023641")</f>
        <v>0408240023641</v>
      </c>
      <c r="AP687" s="80" t="str">
        <f>IFERROR(__xludf.DUMMYFUNCTION("""COMPUTED_VALUE"""),"04082400236410001")</f>
        <v>04082400236410001</v>
      </c>
      <c r="AQ687" s="83"/>
      <c r="AR687" s="80"/>
      <c r="AS687" s="80"/>
      <c r="AT687" s="80" t="str">
        <f>IFERROR(__xludf.DUMMYFUNCTION("""COMPUTED_VALUE"""),"-6.049204")</f>
        <v>-6.049204</v>
      </c>
      <c r="AU687" s="80" t="str">
        <f>IFERROR(__xludf.DUMMYFUNCTION("""COMPUTED_VALUE"""),"106.061542")</f>
        <v>106.061542</v>
      </c>
      <c r="AV687" s="80"/>
      <c r="AW687" s="80"/>
      <c r="AX687" s="80"/>
      <c r="AY687" s="80"/>
      <c r="AZ687" s="80"/>
      <c r="BA687" s="80"/>
      <c r="BB687" s="80"/>
      <c r="BC687" s="80"/>
      <c r="BD687" s="80"/>
      <c r="BE687" s="80"/>
      <c r="BF687" s="80"/>
      <c r="BG687" s="80"/>
      <c r="BH687" s="80"/>
      <c r="BI687" s="80"/>
      <c r="BJ687" s="80"/>
      <c r="BK687" s="80"/>
      <c r="BL687" s="80"/>
      <c r="BM687" s="80"/>
      <c r="BN687" s="80"/>
      <c r="BO687" s="80"/>
      <c r="BP687" s="80"/>
      <c r="BQ687" s="80"/>
      <c r="BR687" s="80"/>
      <c r="BS687" s="80"/>
      <c r="BT687" s="80"/>
      <c r="BU687" s="80"/>
      <c r="BV687" s="80"/>
      <c r="BW687" s="80"/>
      <c r="BX687" s="80" t="str">
        <f>IFERROR(__xludf.DUMMYFUNCTION("""COMPUTED_VALUE"""),"NEWBIE")</f>
        <v>NEWBIE</v>
      </c>
      <c r="BY687" s="80"/>
      <c r="BZ687" s="80"/>
      <c r="CA687" s="80"/>
      <c r="CB687" s="80"/>
      <c r="CC687" s="80"/>
      <c r="CD687" s="80"/>
      <c r="CE687" s="80"/>
      <c r="CF687" s="80"/>
      <c r="CG687" s="80"/>
      <c r="CH687" s="80"/>
      <c r="CI687" s="80"/>
      <c r="CJ687" s="80"/>
      <c r="CK687" s="2"/>
    </row>
    <row r="688" ht="12.75" customHeight="1">
      <c r="A688" s="85">
        <f>IFERROR(__xludf.DUMMYFUNCTION("""COMPUTED_VALUE"""),685.0)</f>
        <v>685</v>
      </c>
      <c r="B688" s="85"/>
      <c r="C688" s="85"/>
      <c r="D688" s="86">
        <f>IFERROR(__xludf.DUMMYFUNCTION("""COMPUTED_VALUE"""),45931.0)</f>
        <v>45931</v>
      </c>
      <c r="E688" s="88"/>
      <c r="F688" s="85"/>
      <c r="G688" s="86">
        <f>IFERROR(__xludf.DUMMYFUNCTION("""COMPUTED_VALUE"""),45957.0)</f>
        <v>45957</v>
      </c>
      <c r="H688" s="85"/>
      <c r="I688" s="85"/>
      <c r="J688" s="85"/>
      <c r="K688" s="85"/>
      <c r="L688" s="85">
        <f>IFERROR(__xludf.DUMMYFUNCTION("""COMPUTED_VALUE"""),26.0)</f>
        <v>26</v>
      </c>
      <c r="M688" s="85" t="str">
        <f>IFERROR(__xludf.DUMMYFUNCTION("""COMPUTED_VALUE"""),"ü")</f>
        <v>ü</v>
      </c>
      <c r="N688" s="85"/>
      <c r="O688" s="85"/>
      <c r="P688" s="85" t="str">
        <f>IFERROR(__xludf.DUMMYFUNCTION("""COMPUTED_VALUE"""),"MUCSPA63274PSIND")</f>
        <v>MUCSPA63274PSIND</v>
      </c>
      <c r="Q688" s="85" t="str">
        <f>IFERROR(__xludf.DUMMYFUNCTION("""COMPUTED_VALUE"""),"MUC AGUNG BLORA")</f>
        <v>MUC AGUNG BLORA</v>
      </c>
      <c r="R688" s="85" t="str">
        <f>IFERROR(__xludf.DUMMYFUNCTION("""COMPUTED_VALUE"""),"MUC AGUNG BLORA")</f>
        <v>MUC AGUNG BLORA</v>
      </c>
      <c r="S688" s="85" t="str">
        <f>IFERROR(__xludf.DUMMYFUNCTION("""COMPUTED_VALUE"""),"AGUNG SRI WIDIOKO")</f>
        <v>AGUNG SRI WIDIOKO</v>
      </c>
      <c r="T688" s="85" t="str">
        <f>IFERROR(__xludf.DUMMYFUNCTION("""COMPUTED_VALUE"""),"DUKUH PLOSO RT 01/05, DESA KAMOLAN, BLORA")</f>
        <v>DUKUH PLOSO RT 01/05, DESA KAMOLAN, BLORA</v>
      </c>
      <c r="U688" s="85" t="str">
        <f>IFERROR(__xludf.DUMMYFUNCTION("""COMPUTED_VALUE"""),"DS PLOSO RT.001 RW.005")</f>
        <v>DS PLOSO RT.001 RW.005</v>
      </c>
      <c r="V688" s="85"/>
      <c r="W688" s="85" t="str">
        <f>IFERROR(__xludf.DUMMYFUNCTION("""COMPUTED_VALUE"""),"KAMOLAN")</f>
        <v>KAMOLAN</v>
      </c>
      <c r="X688" s="85" t="str">
        <f>IFERROR(__xludf.DUMMYFUNCTION("""COMPUTED_VALUE"""),"BLORA")</f>
        <v>BLORA</v>
      </c>
      <c r="Y688" s="85" t="str">
        <f>IFERROR(__xludf.DUMMYFUNCTION("""COMPUTED_VALUE"""),"KAB. BLORA")</f>
        <v>KAB. BLORA</v>
      </c>
      <c r="Z688" s="85" t="str">
        <f>IFERROR(__xludf.DUMMYFUNCTION("""COMPUTED_VALUE"""),"JAWA TENGAH")</f>
        <v>JAWA TENGAH</v>
      </c>
      <c r="AA688" s="85" t="str">
        <f>IFERROR(__xludf.DUMMYFUNCTION("""COMPUTED_VALUE"""),"58219")</f>
        <v>58219</v>
      </c>
      <c r="AB688" s="85" t="str">
        <f>IFERROR(__xludf.DUMMYFUNCTION("""COMPUTED_VALUE"""),"3316091509910006")</f>
        <v>3316091509910006</v>
      </c>
      <c r="AC688" s="85" t="str">
        <f>IFERROR(__xludf.DUMMYFUNCTION("""COMPUTED_VALUE"""),"34.252.288.5-514.000")</f>
        <v>34.252.288.5-514.000</v>
      </c>
      <c r="AD688" s="85" t="str">
        <f>IFERROR(__xludf.DUMMYFUNCTION("""COMPUTED_VALUE"""),"BU ARSHANTI KC BLORA")</f>
        <v>BU ARSHANTI KC BLORA</v>
      </c>
      <c r="AE688" s="85" t="str">
        <f>IFERROR(__xludf.DUMMYFUNCTION("""COMPUTED_VALUE"""),"BU ARSHANTI KC BLORA")</f>
        <v>BU ARSHANTI KC BLORA</v>
      </c>
      <c r="AF688" s="85" t="str">
        <f>IFERROR(__xludf.DUMMYFUNCTION("""COMPUTED_VALUE"""),"088296729916")</f>
        <v>088296729916</v>
      </c>
      <c r="AG688" s="85"/>
      <c r="AH688" s="85" t="str">
        <f>IFERROR(__xludf.DUMMYFUNCTION("""COMPUTED_VALUE"""),"agungsw27@gmail.com")</f>
        <v>agungsw27@gmail.com</v>
      </c>
      <c r="AI688" s="85" t="str">
        <f>IFERROR(__xludf.DUMMYFUNCTION("""COMPUTED_VALUE"""),"58219S9")</f>
        <v>58219S9</v>
      </c>
      <c r="AJ688" s="85" t="str">
        <f>IFERROR(__xludf.DUMMYFUNCTION("""COMPUTED_VALUE"""),"68feebb3407989b6970fe5a1")</f>
        <v>68feebb3407989b6970fe5a1</v>
      </c>
      <c r="AK688" s="85" t="str">
        <f>IFERROR(__xludf.DUMMYFUNCTION("""COMPUTED_VALUE"""),"dm58219s9")</f>
        <v>dm58219s9</v>
      </c>
      <c r="AL688" s="85" t="str">
        <f>IFERROR(__xludf.DUMMYFUNCTION("""COMPUTED_VALUE"""),"#58219Pos")</f>
        <v>#58219Pos</v>
      </c>
      <c r="AM688" s="85" t="str">
        <f>IFERROR(__xludf.DUMMYFUNCTION("""COMPUTED_VALUE"""),"KANTOR REGIONAL IV SEMARANG 50004")</f>
        <v>KANTOR REGIONAL IV SEMARANG 50004</v>
      </c>
      <c r="AN688" s="85" t="str">
        <f>IFERROR(__xludf.DUMMYFUNCTION("""COMPUTED_VALUE"""),"KC BLORA")</f>
        <v>KC BLORA</v>
      </c>
      <c r="AO688" s="85" t="str">
        <f>IFERROR(__xludf.DUMMYFUNCTION("""COMPUTED_VALUE"""),"0110250103129")</f>
        <v>0110250103129</v>
      </c>
      <c r="AP688" s="85" t="str">
        <f>IFERROR(__xludf.DUMMYFUNCTION("""COMPUTED_VALUE"""),"01102501031290001")</f>
        <v>01102501031290001</v>
      </c>
      <c r="AQ688" s="93"/>
      <c r="AR688" s="85"/>
      <c r="AS688" s="85"/>
      <c r="AT688" s="85" t="str">
        <f>IFERROR(__xludf.DUMMYFUNCTION("""COMPUTED_VALUE"""),"-6.9976584")</f>
        <v>-6.9976584</v>
      </c>
      <c r="AU688" s="85" t="str">
        <f>IFERROR(__xludf.DUMMYFUNCTION("""COMPUTED_VALUE"""),"111.4205263")</f>
        <v>111.4205263</v>
      </c>
      <c r="AV688" s="85"/>
      <c r="AW688" s="85"/>
      <c r="AX688" s="85"/>
      <c r="AY688" s="85"/>
      <c r="AZ688" s="85"/>
      <c r="BA688" s="85"/>
      <c r="BB688" s="85"/>
      <c r="BC688" s="85"/>
      <c r="BD688" s="85"/>
      <c r="BE688" s="85"/>
      <c r="BF688" s="85"/>
      <c r="BG688" s="85"/>
      <c r="BH688" s="85"/>
      <c r="BI688" s="85"/>
      <c r="BJ688" s="85"/>
      <c r="BK688" s="85"/>
      <c r="BL688" s="85"/>
      <c r="BM688" s="85"/>
      <c r="BN688" s="85"/>
      <c r="BO688" s="85"/>
      <c r="BP688" s="85"/>
      <c r="BQ688" s="85"/>
      <c r="BR688" s="85"/>
      <c r="BS688" s="85"/>
      <c r="BT688" s="85"/>
      <c r="BU688" s="85"/>
      <c r="BV688" s="85"/>
      <c r="BW688" s="85"/>
      <c r="BX688" s="85" t="str">
        <f>IFERROR(__xludf.DUMMYFUNCTION("""COMPUTED_VALUE"""),"SELLER")</f>
        <v>SELLER</v>
      </c>
      <c r="BY688" s="85"/>
      <c r="BZ688" s="85"/>
      <c r="CA688" s="85"/>
      <c r="CB688" s="85"/>
      <c r="CC688" s="85"/>
      <c r="CD688" s="85"/>
      <c r="CE688" s="85"/>
      <c r="CF688" s="85"/>
      <c r="CG688" s="85"/>
      <c r="CH688" s="85"/>
      <c r="CI688" s="85"/>
      <c r="CJ688" s="85"/>
      <c r="CK688" s="2"/>
    </row>
    <row r="689" ht="12.75" customHeight="1">
      <c r="A689" s="80">
        <f>IFERROR(__xludf.DUMMYFUNCTION("""COMPUTED_VALUE"""),686.0)</f>
        <v>686</v>
      </c>
      <c r="B689" s="80"/>
      <c r="C689" s="80"/>
      <c r="D689" s="81">
        <f>IFERROR(__xludf.DUMMYFUNCTION("""COMPUTED_VALUE"""),45931.0)</f>
        <v>45931</v>
      </c>
      <c r="E689" s="82"/>
      <c r="F689" s="80"/>
      <c r="G689" s="81"/>
      <c r="H689" s="80"/>
      <c r="I689" s="80"/>
      <c r="J689" s="80"/>
      <c r="K689" s="80"/>
      <c r="L689" s="80"/>
      <c r="M689" s="80" t="str">
        <f>IFERROR(__xludf.DUMMYFUNCTION("""COMPUTED_VALUE"""),"ü")</f>
        <v>ü</v>
      </c>
      <c r="N689" s="80"/>
      <c r="O689" s="80"/>
      <c r="P689" s="80" t="str">
        <f>IFERROR(__xludf.DUMMYFUNCTION("""COMPUTED_VALUE"""),"MUCSPA63275PSIND")</f>
        <v>MUCSPA63275PSIND</v>
      </c>
      <c r="Q689" s="80" t="str">
        <f>IFERROR(__xludf.DUMMYFUNCTION("""COMPUTED_VALUE"""),"MUC SARFAWI 2")</f>
        <v>MUC SARFAWI 2</v>
      </c>
      <c r="R689" s="80" t="str">
        <f>IFERROR(__xludf.DUMMYFUNCTION("""COMPUTED_VALUE"""),"MUC SARFAWI 2")</f>
        <v>MUC SARFAWI 2</v>
      </c>
      <c r="S689" s="80" t="str">
        <f>IFERROR(__xludf.DUMMYFUNCTION("""COMPUTED_VALUE"""),"HASAN BASRI")</f>
        <v>HASAN BASRI</v>
      </c>
      <c r="T689" s="80" t="str">
        <f>IFERROR(__xludf.DUMMYFUNCTION("""COMPUTED_VALUE"""),"KP. CIBINCOY RT 29 RW 8 CISAAT")</f>
        <v>KP. CIBINCOY RT 29 RW 8 CISAAT</v>
      </c>
      <c r="U689" s="80" t="str">
        <f>IFERROR(__xludf.DUMMYFUNCTION("""COMPUTED_VALUE"""),"JL. CIBINCOY RT 29 RW 8")</f>
        <v>JL. CIBINCOY RT 29 RW 8</v>
      </c>
      <c r="V689" s="80"/>
      <c r="W689" s="80" t="str">
        <f>IFERROR(__xludf.DUMMYFUNCTION("""COMPUTED_VALUE"""),"CISAAT")</f>
        <v>CISAAT</v>
      </c>
      <c r="X689" s="80" t="str">
        <f>IFERROR(__xludf.DUMMYFUNCTION("""COMPUTED_VALUE"""),"CISAAT")</f>
        <v>CISAAT</v>
      </c>
      <c r="Y689" s="80" t="str">
        <f>IFERROR(__xludf.DUMMYFUNCTION("""COMPUTED_VALUE"""),"KAB. SUKABUMI")</f>
        <v>KAB. SUKABUMI</v>
      </c>
      <c r="Z689" s="80" t="str">
        <f>IFERROR(__xludf.DUMMYFUNCTION("""COMPUTED_VALUE"""),"JAWA BARAT")</f>
        <v>JAWA BARAT</v>
      </c>
      <c r="AA689" s="80" t="str">
        <f>IFERROR(__xludf.DUMMYFUNCTION("""COMPUTED_VALUE"""),"43156")</f>
        <v>43156</v>
      </c>
      <c r="AB689" s="80" t="str">
        <f>IFERROR(__xludf.DUMMYFUNCTION("""COMPUTED_VALUE"""),"3271041106860009")</f>
        <v>3271041106860009</v>
      </c>
      <c r="AC689" s="80" t="str">
        <f>IFERROR(__xludf.DUMMYFUNCTION("""COMPUTED_VALUE"""),"92.565.525.0-405.000")</f>
        <v>92.565.525.0-405.000</v>
      </c>
      <c r="AD689" s="80" t="str">
        <f>IFERROR(__xludf.DUMMYFUNCTION("""COMPUTED_VALUE"""),"PAK RIAN HEKSA")</f>
        <v>PAK RIAN HEKSA</v>
      </c>
      <c r="AE689" s="80" t="str">
        <f>IFERROR(__xludf.DUMMYFUNCTION("""COMPUTED_VALUE"""),"PAK RIAN HEKSA")</f>
        <v>PAK RIAN HEKSA</v>
      </c>
      <c r="AF689" s="80" t="str">
        <f>IFERROR(__xludf.DUMMYFUNCTION("""COMPUTED_VALUE"""),"085723314771")</f>
        <v>085723314771</v>
      </c>
      <c r="AG689" s="80"/>
      <c r="AH689" s="80" t="str">
        <f>IFERROR(__xludf.DUMMYFUNCTION("""COMPUTED_VALUE"""),"azkiarafifah19@gmail.com")</f>
        <v>azkiarafifah19@gmail.com</v>
      </c>
      <c r="AI689" s="80"/>
      <c r="AJ689" s="80"/>
      <c r="AK689" s="80"/>
      <c r="AL689" s="80"/>
      <c r="AM689" s="80" t="str">
        <f>IFERROR(__xludf.DUMMYFUNCTION("""COMPUTED_VALUE"""),"KANTOR REGIONAL III BANDUNG 40004")</f>
        <v>KANTOR REGIONAL III BANDUNG 40004</v>
      </c>
      <c r="AN689" s="80" t="str">
        <f>IFERROR(__xludf.DUMMYFUNCTION("""COMPUTED_VALUE"""),"KC SUKABUMI")</f>
        <v>KC SUKABUMI</v>
      </c>
      <c r="AO689" s="80" t="str">
        <f>IFERROR(__xludf.DUMMYFUNCTION("""COMPUTED_VALUE"""),"1612220033063")</f>
        <v>1612220033063</v>
      </c>
      <c r="AP689" s="80" t="str">
        <f>IFERROR(__xludf.DUMMYFUNCTION("""COMPUTED_VALUE"""),"16122200330630001")</f>
        <v>16122200330630001</v>
      </c>
      <c r="AQ689" s="83"/>
      <c r="AR689" s="80"/>
      <c r="AS689" s="80"/>
      <c r="AT689" s="80" t="str">
        <f>IFERROR(__xludf.DUMMYFUNCTION("""COMPUTED_VALUE"""),"-6.9189269")</f>
        <v>-6.9189269</v>
      </c>
      <c r="AU689" s="80" t="str">
        <f>IFERROR(__xludf.DUMMYFUNCTION("""COMPUTED_VALUE"""),"106.8831522")</f>
        <v>106.8831522</v>
      </c>
      <c r="AV689" s="80"/>
      <c r="AW689" s="80"/>
      <c r="AX689" s="80"/>
      <c r="AY689" s="80"/>
      <c r="AZ689" s="80"/>
      <c r="BA689" s="80"/>
      <c r="BB689" s="80"/>
      <c r="BC689" s="80"/>
      <c r="BD689" s="80"/>
      <c r="BE689" s="80"/>
      <c r="BF689" s="80"/>
      <c r="BG689" s="80"/>
      <c r="BH689" s="80"/>
      <c r="BI689" s="80"/>
      <c r="BJ689" s="80"/>
      <c r="BK689" s="80"/>
      <c r="BL689" s="80"/>
      <c r="BM689" s="80"/>
      <c r="BN689" s="80"/>
      <c r="BO689" s="80"/>
      <c r="BP689" s="80"/>
      <c r="BQ689" s="80"/>
      <c r="BR689" s="80"/>
      <c r="BS689" s="80"/>
      <c r="BT689" s="80"/>
      <c r="BU689" s="80"/>
      <c r="BV689" s="80"/>
      <c r="BW689" s="80"/>
      <c r="BX689" s="80" t="str">
        <f>IFERROR(__xludf.DUMMYFUNCTION("""COMPUTED_VALUE"""),"NEWBIE")</f>
        <v>NEWBIE</v>
      </c>
      <c r="BY689" s="80"/>
      <c r="BZ689" s="80"/>
      <c r="CA689" s="80"/>
      <c r="CB689" s="80"/>
      <c r="CC689" s="80"/>
      <c r="CD689" s="80"/>
      <c r="CE689" s="80"/>
      <c r="CF689" s="80"/>
      <c r="CG689" s="80"/>
      <c r="CH689" s="80"/>
      <c r="CI689" s="80"/>
      <c r="CJ689" s="80"/>
      <c r="CK689" s="2"/>
    </row>
    <row r="690" ht="12.75" customHeight="1">
      <c r="A690" s="85">
        <f>IFERROR(__xludf.DUMMYFUNCTION("""COMPUTED_VALUE"""),687.0)</f>
        <v>687</v>
      </c>
      <c r="B690" s="85"/>
      <c r="C690" s="85"/>
      <c r="D690" s="86">
        <f>IFERROR(__xludf.DUMMYFUNCTION("""COMPUTED_VALUE"""),45932.0)</f>
        <v>45932</v>
      </c>
      <c r="E690" s="88"/>
      <c r="F690" s="85"/>
      <c r="G690" s="86">
        <f>IFERROR(__xludf.DUMMYFUNCTION("""COMPUTED_VALUE"""),45943.0)</f>
        <v>45943</v>
      </c>
      <c r="H690" s="85"/>
      <c r="I690" s="85"/>
      <c r="J690" s="85"/>
      <c r="K690" s="85"/>
      <c r="L690" s="85">
        <f>IFERROR(__xludf.DUMMYFUNCTION("""COMPUTED_VALUE"""),11.0)</f>
        <v>11</v>
      </c>
      <c r="M690" s="85" t="str">
        <f>IFERROR(__xludf.DUMMYFUNCTION("""COMPUTED_VALUE"""),"ü")</f>
        <v>ü</v>
      </c>
      <c r="N690" s="85"/>
      <c r="O690" s="85"/>
      <c r="P690" s="85" t="str">
        <f>IFERROR(__xludf.DUMMYFUNCTION("""COMPUTED_VALUE"""),"53BSPA09702JBEEN")</f>
        <v>53BSPA09702JBEEN</v>
      </c>
      <c r="Q690" s="85" t="str">
        <f>IFERROR(__xludf.DUMMYFUNCTION("""COMPUTED_VALUE"""),"MUC Indonesia Maju 2")</f>
        <v>MUC Indonesia Maju 2</v>
      </c>
      <c r="R690" s="85" t="str">
        <f>IFERROR(__xludf.DUMMYFUNCTION("""COMPUTED_VALUE"""),"MUC Indonesia Maju 2")</f>
        <v>MUC Indonesia Maju 2</v>
      </c>
      <c r="S690" s="85" t="str">
        <f>IFERROR(__xludf.DUMMYFUNCTION("""COMPUTED_VALUE"""),"Muhammad Anjas")</f>
        <v>Muhammad Anjas</v>
      </c>
      <c r="T690" s="85" t="str">
        <f>IFERROR(__xludf.DUMMYFUNCTION("""COMPUTED_VALUE"""),"KP. JATIBENING BARU RT.002 RW.003 JAtIBENING BARU, PONDOKGEDE, KOTA BEKASI")</f>
        <v>KP. JATIBENING BARU RT.002 RW.003 JAtIBENING BARU, PONDOKGEDE, KOTA BEKASI</v>
      </c>
      <c r="U690" s="85" t="str">
        <f>IFERROR(__xludf.DUMMYFUNCTION("""COMPUTED_VALUE"""),"Kampung Pedurenan RT/RW 08/02")</f>
        <v>Kampung Pedurenan RT/RW 08/02</v>
      </c>
      <c r="V690" s="85"/>
      <c r="W690" s="85" t="str">
        <f>IFERROR(__xludf.DUMMYFUNCTION("""COMPUTED_VALUE"""),"Padurenan")</f>
        <v>Padurenan</v>
      </c>
      <c r="X690" s="85" t="str">
        <f>IFERROR(__xludf.DUMMYFUNCTION("""COMPUTED_VALUE"""),"Karang Tengah")</f>
        <v>Karang Tengah</v>
      </c>
      <c r="Y690" s="85" t="str">
        <f>IFERROR(__xludf.DUMMYFUNCTION("""COMPUTED_VALUE"""),"Kota Tangerang")</f>
        <v>Kota Tangerang</v>
      </c>
      <c r="Z690" s="85" t="str">
        <f>IFERROR(__xludf.DUMMYFUNCTION("""COMPUTED_VALUE"""),"Banten")</f>
        <v>Banten</v>
      </c>
      <c r="AA690" s="85" t="str">
        <f>IFERROR(__xludf.DUMMYFUNCTION("""COMPUTED_VALUE"""),"15157")</f>
        <v>15157</v>
      </c>
      <c r="AB690" s="85" t="str">
        <f>IFERROR(__xludf.DUMMYFUNCTION("""COMPUTED_VALUE"""),"3275080107990296")</f>
        <v>3275080107990296</v>
      </c>
      <c r="AC690" s="85" t="str">
        <f>IFERROR(__xludf.DUMMYFUNCTION("""COMPUTED_VALUE"""),"20.492.863.4-447.000")</f>
        <v>20.492.863.4-447.000</v>
      </c>
      <c r="AD690" s="85" t="str">
        <f>IFERROR(__xludf.DUMMYFUNCTION("""COMPUTED_VALUE"""),"CUM - EEN")</f>
        <v>CUM - EEN</v>
      </c>
      <c r="AE690" s="85" t="str">
        <f>IFERROR(__xludf.DUMMYFUNCTION("""COMPUTED_VALUE"""),"SUB EEN")</f>
        <v>SUB EEN</v>
      </c>
      <c r="AF690" s="85" t="str">
        <f>IFERROR(__xludf.DUMMYFUNCTION("""COMPUTED_VALUE"""),"0895372269364")</f>
        <v>0895372269364</v>
      </c>
      <c r="AG690" s="85"/>
      <c r="AH690" s="85" t="str">
        <f>IFERROR(__xludf.DUMMYFUNCTION("""COMPUTED_VALUE"""),"muhammad.anjas591@gmail.com")</f>
        <v>muhammad.anjas591@gmail.com</v>
      </c>
      <c r="AI690" s="85" t="str">
        <f>IFERROR(__xludf.DUMMYFUNCTION("""COMPUTED_VALUE"""),"15158S2")</f>
        <v>15158S2</v>
      </c>
      <c r="AJ690" s="85" t="str">
        <f>IFERROR(__xludf.DUMMYFUNCTION("""COMPUTED_VALUE"""),"68eca9a67d8ab439f005eff2")</f>
        <v>68eca9a67d8ab439f005eff2</v>
      </c>
      <c r="AK690" s="85" t="str">
        <f>IFERROR(__xludf.DUMMYFUNCTION("""COMPUTED_VALUE"""),"dm15158s2")</f>
        <v>dm15158s2</v>
      </c>
      <c r="AL690" s="85" t="str">
        <f>IFERROR(__xludf.DUMMYFUNCTION("""COMPUTED_VALUE"""),"#15158Pos")</f>
        <v>#15158Pos</v>
      </c>
      <c r="AM690" s="85" t="str">
        <f>IFERROR(__xludf.DUMMYFUNCTION("""COMPUTED_VALUE"""),"KANTOR REGIONAL II JAKARTA 10004")</f>
        <v>KANTOR REGIONAL II JAKARTA 10004</v>
      </c>
      <c r="AN690" s="85" t="str">
        <f>IFERROR(__xludf.DUMMYFUNCTION("""COMPUTED_VALUE"""),"KCU TANGERANG 15000")</f>
        <v>KCU TANGERANG 15000</v>
      </c>
      <c r="AO690" s="85" t="str">
        <f>IFERROR(__xludf.DUMMYFUNCTION("""COMPUTED_VALUE"""),"1208250033789")</f>
        <v>1208250033789</v>
      </c>
      <c r="AP690" s="85" t="str">
        <f>IFERROR(__xludf.DUMMYFUNCTION("""COMPUTED_VALUE"""),"12082500337890002")</f>
        <v>12082500337890002</v>
      </c>
      <c r="AQ690" s="93"/>
      <c r="AR690" s="85"/>
      <c r="AS690" s="85"/>
      <c r="AT690" s="85" t="str">
        <f>IFERROR(__xludf.DUMMYFUNCTION("""COMPUTED_VALUE"""),"-6.2244947")</f>
        <v>-6.2244947</v>
      </c>
      <c r="AU690" s="85" t="str">
        <f>IFERROR(__xludf.DUMMYFUNCTION("""COMPUTED_VALUE"""),"106.6956473")</f>
        <v>106.6956473</v>
      </c>
      <c r="AV690" s="85"/>
      <c r="AW690" s="85"/>
      <c r="AX690" s="85"/>
      <c r="AY690" s="85"/>
      <c r="AZ690" s="85"/>
      <c r="BA690" s="85"/>
      <c r="BB690" s="85"/>
      <c r="BC690" s="85"/>
      <c r="BD690" s="85"/>
      <c r="BE690" s="85"/>
      <c r="BF690" s="85"/>
      <c r="BG690" s="85"/>
      <c r="BH690" s="85"/>
      <c r="BI690" s="85"/>
      <c r="BJ690" s="85"/>
      <c r="BK690" s="85"/>
      <c r="BL690" s="85"/>
      <c r="BM690" s="85"/>
      <c r="BN690" s="85"/>
      <c r="BO690" s="85"/>
      <c r="BP690" s="85"/>
      <c r="BQ690" s="85"/>
      <c r="BR690" s="85"/>
      <c r="BS690" s="85"/>
      <c r="BT690" s="85"/>
      <c r="BU690" s="85"/>
      <c r="BV690" s="85"/>
      <c r="BW690" s="85"/>
      <c r="BX690" s="85" t="str">
        <f>IFERROR(__xludf.DUMMYFUNCTION("""COMPUTED_VALUE"""),"MULTIKURIR - 3PL")</f>
        <v>MULTIKURIR - 3PL</v>
      </c>
      <c r="BY690" s="85"/>
      <c r="BZ690" s="85"/>
      <c r="CA690" s="85"/>
      <c r="CB690" s="85"/>
      <c r="CC690" s="85"/>
      <c r="CD690" s="85"/>
      <c r="CE690" s="85"/>
      <c r="CF690" s="85"/>
      <c r="CG690" s="85"/>
      <c r="CH690" s="85"/>
      <c r="CI690" s="85"/>
      <c r="CJ690" s="85"/>
      <c r="CK690" s="2"/>
    </row>
    <row r="691" ht="12.75" customHeight="1">
      <c r="A691" s="80">
        <f>IFERROR(__xludf.DUMMYFUNCTION("""COMPUTED_VALUE"""),688.0)</f>
        <v>688</v>
      </c>
      <c r="B691" s="80"/>
      <c r="C691" s="80"/>
      <c r="D691" s="81">
        <f>IFERROR(__xludf.DUMMYFUNCTION("""COMPUTED_VALUE"""),45932.0)</f>
        <v>45932</v>
      </c>
      <c r="E691" s="82"/>
      <c r="F691" s="80"/>
      <c r="G691" s="81">
        <f>IFERROR(__xludf.DUMMYFUNCTION("""COMPUTED_VALUE"""),45936.0)</f>
        <v>45936</v>
      </c>
      <c r="H691" s="80"/>
      <c r="I691" s="80"/>
      <c r="J691" s="80"/>
      <c r="K691" s="80"/>
      <c r="L691" s="80">
        <f>IFERROR(__xludf.DUMMYFUNCTION("""COMPUTED_VALUE"""),4.0)</f>
        <v>4</v>
      </c>
      <c r="M691" s="80" t="str">
        <f>IFERROR(__xludf.DUMMYFUNCTION("""COMPUTED_VALUE"""),"ü")</f>
        <v>ü</v>
      </c>
      <c r="N691" s="80"/>
      <c r="O691" s="80"/>
      <c r="P691" s="80" t="str">
        <f>IFERROR(__xludf.DUMMYFUNCTION("""COMPUTED_VALUE"""),"53BSPA09703JBEEN")</f>
        <v>53BSPA09703JBEEN</v>
      </c>
      <c r="Q691" s="80" t="str">
        <f>IFERROR(__xludf.DUMMYFUNCTION("""COMPUTED_VALUE"""),"MUC Indonesia Maju 3")</f>
        <v>MUC Indonesia Maju 3</v>
      </c>
      <c r="R691" s="80" t="str">
        <f>IFERROR(__xludf.DUMMYFUNCTION("""COMPUTED_VALUE"""),"MUC Indonesia Maju 3")</f>
        <v>MUC Indonesia Maju 3</v>
      </c>
      <c r="S691" s="80" t="str">
        <f>IFERROR(__xludf.DUMMYFUNCTION("""COMPUTED_VALUE"""),"Muhammad Anjas")</f>
        <v>Muhammad Anjas</v>
      </c>
      <c r="T691" s="80" t="str">
        <f>IFERROR(__xludf.DUMMYFUNCTION("""COMPUTED_VALUE"""),"KP. JATIBENING BARU RT.002 RW.003 JAtIBENING BARU, PONDOKGEDE, KOTA BEKASI")</f>
        <v>KP. JATIBENING BARU RT.002 RW.003 JAtIBENING BARU, PONDOKGEDE, KOTA BEKASI</v>
      </c>
      <c r="U691" s="80" t="str">
        <f>IFERROR(__xludf.DUMMYFUNCTION("""COMPUTED_VALUE"""),"Jl. Nangka 3 Atas RT002/003 (Rumah Hani Caung)")</f>
        <v>Jl. Nangka 3 Atas RT002/003 (Rumah Hani Caung)</v>
      </c>
      <c r="V691" s="80"/>
      <c r="W691" s="80" t="str">
        <f>IFERROR(__xludf.DUMMYFUNCTION("""COMPUTED_VALUE"""),"Jatibening Baru")</f>
        <v>Jatibening Baru</v>
      </c>
      <c r="X691" s="80" t="str">
        <f>IFERROR(__xludf.DUMMYFUNCTION("""COMPUTED_VALUE"""),"Pondokgede")</f>
        <v>Pondokgede</v>
      </c>
      <c r="Y691" s="80" t="str">
        <f>IFERROR(__xludf.DUMMYFUNCTION("""COMPUTED_VALUE"""),"Kota Bekasi")</f>
        <v>Kota Bekasi</v>
      </c>
      <c r="Z691" s="80" t="str">
        <f>IFERROR(__xludf.DUMMYFUNCTION("""COMPUTED_VALUE"""),"Jawa Barat")</f>
        <v>Jawa Barat</v>
      </c>
      <c r="AA691" s="80" t="str">
        <f>IFERROR(__xludf.DUMMYFUNCTION("""COMPUTED_VALUE"""),"17412")</f>
        <v>17412</v>
      </c>
      <c r="AB691" s="80" t="str">
        <f>IFERROR(__xludf.DUMMYFUNCTION("""COMPUTED_VALUE"""),"3275080107990296")</f>
        <v>3275080107990296</v>
      </c>
      <c r="AC691" s="80" t="str">
        <f>IFERROR(__xludf.DUMMYFUNCTION("""COMPUTED_VALUE"""),"20.492.863.4-447.000")</f>
        <v>20.492.863.4-447.000</v>
      </c>
      <c r="AD691" s="80" t="str">
        <f>IFERROR(__xludf.DUMMYFUNCTION("""COMPUTED_VALUE"""),"CUM - EEN")</f>
        <v>CUM - EEN</v>
      </c>
      <c r="AE691" s="80" t="str">
        <f>IFERROR(__xludf.DUMMYFUNCTION("""COMPUTED_VALUE"""),"SUB EEN")</f>
        <v>SUB EEN</v>
      </c>
      <c r="AF691" s="80" t="str">
        <f>IFERROR(__xludf.DUMMYFUNCTION("""COMPUTED_VALUE"""),"0895372269364")</f>
        <v>0895372269364</v>
      </c>
      <c r="AG691" s="80"/>
      <c r="AH691" s="80" t="str">
        <f>IFERROR(__xludf.DUMMYFUNCTION("""COMPUTED_VALUE"""),"muhammad.anjas591@gmail.com")</f>
        <v>muhammad.anjas591@gmail.com</v>
      </c>
      <c r="AI691" s="80" t="str">
        <f>IFERROR(__xludf.DUMMYFUNCTION("""COMPUTED_VALUE"""),"17417S1")</f>
        <v>17417S1</v>
      </c>
      <c r="AJ691" s="80" t="str">
        <f>IFERROR(__xludf.DUMMYFUNCTION("""COMPUTED_VALUE"""),"68e0c21a9a45a3a033062218")</f>
        <v>68e0c21a9a45a3a033062218</v>
      </c>
      <c r="AK691" s="80" t="str">
        <f>IFERROR(__xludf.DUMMYFUNCTION("""COMPUTED_VALUE"""),"dm17417s1")</f>
        <v>dm17417s1</v>
      </c>
      <c r="AL691" s="80" t="str">
        <f>IFERROR(__xludf.DUMMYFUNCTION("""COMPUTED_VALUE"""),"#17417Pos")</f>
        <v>#17417Pos</v>
      </c>
      <c r="AM691" s="80" t="str">
        <f>IFERROR(__xludf.DUMMYFUNCTION("""COMPUTED_VALUE"""),"KANTOR REGIONAL II JAKARTA 10004")</f>
        <v>KANTOR REGIONAL II JAKARTA 10004</v>
      </c>
      <c r="AN691" s="80" t="str">
        <f>IFERROR(__xludf.DUMMYFUNCTION("""COMPUTED_VALUE"""),"KCU BEKASI 17000")</f>
        <v>KCU BEKASI 17000</v>
      </c>
      <c r="AO691" s="80" t="str">
        <f>IFERROR(__xludf.DUMMYFUNCTION("""COMPUTED_VALUE"""),"1208250033789")</f>
        <v>1208250033789</v>
      </c>
      <c r="AP691" s="80" t="str">
        <f>IFERROR(__xludf.DUMMYFUNCTION("""COMPUTED_VALUE"""),"12082500337890003")</f>
        <v>12082500337890003</v>
      </c>
      <c r="AQ691" s="83"/>
      <c r="AR691" s="80"/>
      <c r="AS691" s="80"/>
      <c r="AT691" s="80" t="str">
        <f>IFERROR(__xludf.DUMMYFUNCTION("""COMPUTED_VALUE"""),"-6.2244947")</f>
        <v>-6.2244947</v>
      </c>
      <c r="AU691" s="80" t="str">
        <f>IFERROR(__xludf.DUMMYFUNCTION("""COMPUTED_VALUE"""),"106.6956473")</f>
        <v>106.6956473</v>
      </c>
      <c r="AV691" s="80"/>
      <c r="AW691" s="80"/>
      <c r="AX691" s="80"/>
      <c r="AY691" s="80"/>
      <c r="AZ691" s="80"/>
      <c r="BA691" s="80"/>
      <c r="BB691" s="80"/>
      <c r="BC691" s="80"/>
      <c r="BD691" s="80"/>
      <c r="BE691" s="80"/>
      <c r="BF691" s="80"/>
      <c r="BG691" s="80"/>
      <c r="BH691" s="80"/>
      <c r="BI691" s="80"/>
      <c r="BJ691" s="80"/>
      <c r="BK691" s="80"/>
      <c r="BL691" s="80"/>
      <c r="BM691" s="80"/>
      <c r="BN691" s="80"/>
      <c r="BO691" s="80"/>
      <c r="BP691" s="80"/>
      <c r="BQ691" s="80"/>
      <c r="BR691" s="80"/>
      <c r="BS691" s="80"/>
      <c r="BT691" s="80"/>
      <c r="BU691" s="80"/>
      <c r="BV691" s="80"/>
      <c r="BW691" s="80"/>
      <c r="BX691" s="80" t="str">
        <f>IFERROR(__xludf.DUMMYFUNCTION("""COMPUTED_VALUE"""),"MULTIKURIR - 3PL")</f>
        <v>MULTIKURIR - 3PL</v>
      </c>
      <c r="BY691" s="80"/>
      <c r="BZ691" s="80"/>
      <c r="CA691" s="80"/>
      <c r="CB691" s="80"/>
      <c r="CC691" s="80"/>
      <c r="CD691" s="80"/>
      <c r="CE691" s="80"/>
      <c r="CF691" s="80"/>
      <c r="CG691" s="80"/>
      <c r="CH691" s="80"/>
      <c r="CI691" s="80"/>
      <c r="CJ691" s="80"/>
      <c r="CK691" s="2"/>
    </row>
    <row r="692" ht="12.75" customHeight="1">
      <c r="A692" s="85">
        <f>IFERROR(__xludf.DUMMYFUNCTION("""COMPUTED_VALUE"""),689.0)</f>
        <v>689</v>
      </c>
      <c r="B692" s="85"/>
      <c r="C692" s="85"/>
      <c r="D692" s="86">
        <f>IFERROR(__xludf.DUMMYFUNCTION("""COMPUTED_VALUE"""),45933.0)</f>
        <v>45933</v>
      </c>
      <c r="E692" s="88"/>
      <c r="F692" s="85"/>
      <c r="G692" s="86">
        <f>IFERROR(__xludf.DUMMYFUNCTION("""COMPUTED_VALUE"""),45965.0)</f>
        <v>45965</v>
      </c>
      <c r="H692" s="85"/>
      <c r="I692" s="85"/>
      <c r="J692" s="85"/>
      <c r="K692" s="85"/>
      <c r="L692" s="85">
        <f>IFERROR(__xludf.DUMMYFUNCTION("""COMPUTED_VALUE"""),32.0)</f>
        <v>32</v>
      </c>
      <c r="M692" s="85" t="str">
        <f>IFERROR(__xludf.DUMMYFUNCTION("""COMPUTED_VALUE"""),"ü")</f>
        <v>ü</v>
      </c>
      <c r="N692" s="85"/>
      <c r="O692" s="85"/>
      <c r="P692" s="85" t="str">
        <f>IFERROR(__xludf.DUMMYFUNCTION("""COMPUTED_VALUE"""),"MUCSPA63276PSIND")</f>
        <v>MUCSPA63276PSIND</v>
      </c>
      <c r="Q692" s="85" t="str">
        <f>IFERROR(__xludf.DUMMYFUNCTION("""COMPUTED_VALUE"""),"MUC JATIHARJO")</f>
        <v>MUC JATIHARJO</v>
      </c>
      <c r="R692" s="85" t="str">
        <f>IFERROR(__xludf.DUMMYFUNCTION("""COMPUTED_VALUE"""),"MUC JATIHARJO")</f>
        <v>MUC JATIHARJO</v>
      </c>
      <c r="S692" s="85" t="str">
        <f>IFERROR(__xludf.DUMMYFUNCTION("""COMPUTED_VALUE"""),"LEGIANTO")</f>
        <v>LEGIANTO</v>
      </c>
      <c r="T692" s="85" t="str">
        <f>IFERROR(__xludf.DUMMYFUNCTION("""COMPUTED_VALUE"""),"DUSUN NANGGUNGAN RT.007 RW.002, JATIHARJO, PULOKULON, KAB. GROBOGAN")</f>
        <v>DUSUN NANGGUNGAN RT.007 RW.002, JATIHARJO, PULOKULON, KAB. GROBOGAN</v>
      </c>
      <c r="U692" s="85" t="str">
        <f>IFERROR(__xludf.DUMMYFUNCTION("""COMPUTED_VALUE"""),"Dusun Nanggungan")</f>
        <v>Dusun Nanggungan</v>
      </c>
      <c r="V692" s="85"/>
      <c r="W692" s="85" t="str">
        <f>IFERROR(__xludf.DUMMYFUNCTION("""COMPUTED_VALUE"""),"Jatiharjo")</f>
        <v>Jatiharjo</v>
      </c>
      <c r="X692" s="85" t="str">
        <f>IFERROR(__xludf.DUMMYFUNCTION("""COMPUTED_VALUE"""),"Pulokulon")</f>
        <v>Pulokulon</v>
      </c>
      <c r="Y692" s="85" t="str">
        <f>IFERROR(__xludf.DUMMYFUNCTION("""COMPUTED_VALUE"""),"Grobogan")</f>
        <v>Grobogan</v>
      </c>
      <c r="Z692" s="85" t="str">
        <f>IFERROR(__xludf.DUMMYFUNCTION("""COMPUTED_VALUE"""),"Jawa Tengah")</f>
        <v>Jawa Tengah</v>
      </c>
      <c r="AA692" s="85" t="str">
        <f>IFERROR(__xludf.DUMMYFUNCTION("""COMPUTED_VALUE"""),"58181")</f>
        <v>58181</v>
      </c>
      <c r="AB692" s="85" t="str">
        <f>IFERROR(__xludf.DUMMYFUNCTION("""COMPUTED_VALUE"""),"3315062505900001")</f>
        <v>3315062505900001</v>
      </c>
      <c r="AC692" s="85" t="str">
        <f>IFERROR(__xludf.DUMMYFUNCTION("""COMPUTED_VALUE"""),"3315 0625 0590 0001")</f>
        <v>3315 0625 0590 0001</v>
      </c>
      <c r="AD692" s="85" t="str">
        <f>IFERROR(__xludf.DUMMYFUNCTION("""COMPUTED_VALUE"""),"PAK ARIEF KC GROBOGAN")</f>
        <v>PAK ARIEF KC GROBOGAN</v>
      </c>
      <c r="AE692" s="85" t="str">
        <f>IFERROR(__xludf.DUMMYFUNCTION("""COMPUTED_VALUE"""),"PAK ARIEF KC GROBOGAN")</f>
        <v>PAK ARIEF KC GROBOGAN</v>
      </c>
      <c r="AF692" s="85" t="str">
        <f>IFERROR(__xludf.DUMMYFUNCTION("""COMPUTED_VALUE"""),"081212193389")</f>
        <v>081212193389</v>
      </c>
      <c r="AG692" s="85"/>
      <c r="AH692" s="85" t="str">
        <f>IFERROR(__xludf.DUMMYFUNCTION("""COMPUTED_VALUE"""),"antolegi51@gmail.com")</f>
        <v>antolegi51@gmail.com</v>
      </c>
      <c r="AI692" s="85" t="str">
        <f>IFERROR(__xludf.DUMMYFUNCTION("""COMPUTED_VALUE"""),"58181S4")</f>
        <v>58181S4</v>
      </c>
      <c r="AJ692" s="85" t="str">
        <f>IFERROR(__xludf.DUMMYFUNCTION("""COMPUTED_VALUE"""),"69097c0ab13cbe687a0ba13e")</f>
        <v>69097c0ab13cbe687a0ba13e</v>
      </c>
      <c r="AK692" s="85" t="str">
        <f>IFERROR(__xludf.DUMMYFUNCTION("""COMPUTED_VALUE"""),"dm58181s4")</f>
        <v>dm58181s4</v>
      </c>
      <c r="AL692" s="85" t="str">
        <f>IFERROR(__xludf.DUMMYFUNCTION("""COMPUTED_VALUE"""),"#58181Pos")</f>
        <v>#58181Pos</v>
      </c>
      <c r="AM692" s="85" t="str">
        <f>IFERROR(__xludf.DUMMYFUNCTION("""COMPUTED_VALUE"""),"KANTOR REGIONAL IV SEMARANG 50004")</f>
        <v>KANTOR REGIONAL IV SEMARANG 50004</v>
      </c>
      <c r="AN692" s="85" t="str">
        <f>IFERROR(__xludf.DUMMYFUNCTION("""COMPUTED_VALUE"""),"KC GROBOGAN")</f>
        <v>KC GROBOGAN</v>
      </c>
      <c r="AO692" s="85" t="str">
        <f>IFERROR(__xludf.DUMMYFUNCTION("""COMPUTED_VALUE"""),"1512240012454")</f>
        <v>1512240012454</v>
      </c>
      <c r="AP692" s="85" t="str">
        <f>IFERROR(__xludf.DUMMYFUNCTION("""COMPUTED_VALUE"""),"15122400124540004")</f>
        <v>15122400124540004</v>
      </c>
      <c r="AQ692" s="93"/>
      <c r="AR692" s="85"/>
      <c r="AS692" s="85"/>
      <c r="AT692" s="85" t="str">
        <f>IFERROR(__xludf.DUMMYFUNCTION("""COMPUTED_VALUE"""),"-7.126735 ")</f>
        <v>-7.126735 </v>
      </c>
      <c r="AU692" s="85" t="str">
        <f>IFERROR(__xludf.DUMMYFUNCTION("""COMPUTED_VALUE"""),"111.053302")</f>
        <v>111.053302</v>
      </c>
      <c r="AV692" s="85"/>
      <c r="AW692" s="85"/>
      <c r="AX692" s="85"/>
      <c r="AY692" s="85"/>
      <c r="AZ692" s="85"/>
      <c r="BA692" s="85"/>
      <c r="BB692" s="85"/>
      <c r="BC692" s="85"/>
      <c r="BD692" s="85"/>
      <c r="BE692" s="85"/>
      <c r="BF692" s="85"/>
      <c r="BG692" s="85"/>
      <c r="BH692" s="85"/>
      <c r="BI692" s="85"/>
      <c r="BJ692" s="85"/>
      <c r="BK692" s="85"/>
      <c r="BL692" s="85"/>
      <c r="BM692" s="85"/>
      <c r="BN692" s="85"/>
      <c r="BO692" s="85"/>
      <c r="BP692" s="85"/>
      <c r="BQ692" s="85"/>
      <c r="BR692" s="85"/>
      <c r="BS692" s="85"/>
      <c r="BT692" s="85"/>
      <c r="BU692" s="85"/>
      <c r="BV692" s="85"/>
      <c r="BW692" s="85"/>
      <c r="BX692" s="85" t="str">
        <f>IFERROR(__xludf.DUMMYFUNCTION("""COMPUTED_VALUE"""),"MULTIKURIR - JNE")</f>
        <v>MULTIKURIR - JNE</v>
      </c>
      <c r="BY692" s="85"/>
      <c r="BZ692" s="85"/>
      <c r="CA692" s="85"/>
      <c r="CB692" s="85"/>
      <c r="CC692" s="85"/>
      <c r="CD692" s="85"/>
      <c r="CE692" s="85"/>
      <c r="CF692" s="85"/>
      <c r="CG692" s="85"/>
      <c r="CH692" s="85"/>
      <c r="CI692" s="85"/>
      <c r="CJ692" s="85"/>
      <c r="CK692" s="2"/>
    </row>
    <row r="693" ht="12.75" customHeight="1">
      <c r="A693" s="80">
        <f>IFERROR(__xludf.DUMMYFUNCTION("""COMPUTED_VALUE"""),690.0)</f>
        <v>690</v>
      </c>
      <c r="B693" s="80"/>
      <c r="C693" s="80"/>
      <c r="D693" s="81">
        <f>IFERROR(__xludf.DUMMYFUNCTION("""COMPUTED_VALUE"""),45933.0)</f>
        <v>45933</v>
      </c>
      <c r="E693" s="82"/>
      <c r="F693" s="80"/>
      <c r="G693" s="81">
        <f>IFERROR(__xludf.DUMMYFUNCTION("""COMPUTED_VALUE"""),45943.0)</f>
        <v>45943</v>
      </c>
      <c r="H693" s="80"/>
      <c r="I693" s="80"/>
      <c r="J693" s="80"/>
      <c r="K693" s="80"/>
      <c r="L693" s="80">
        <f>IFERROR(__xludf.DUMMYFUNCTION("""COMPUTED_VALUE"""),10.0)</f>
        <v>10</v>
      </c>
      <c r="M693" s="80" t="str">
        <f>IFERROR(__xludf.DUMMYFUNCTION("""COMPUTED_VALUE"""),"ü")</f>
        <v>ü</v>
      </c>
      <c r="N693" s="80"/>
      <c r="O693" s="80"/>
      <c r="P693" s="80" t="str">
        <f>IFERROR(__xludf.DUMMYFUNCTION("""COMPUTED_VALUE"""),"MUCSPA63277PSIND")</f>
        <v>MUCSPA63277PSIND</v>
      </c>
      <c r="Q693" s="80" t="str">
        <f>IFERROR(__xludf.DUMMYFUNCTION("""COMPUTED_VALUE"""),"MUC KIZUNA CARGO")</f>
        <v>MUC KIZUNA CARGO</v>
      </c>
      <c r="R693" s="80" t="str">
        <f>IFERROR(__xludf.DUMMYFUNCTION("""COMPUTED_VALUE"""),"MUC KIZUNA CARGO")</f>
        <v>MUC KIZUNA CARGO</v>
      </c>
      <c r="S693" s="80" t="str">
        <f>IFERROR(__xludf.DUMMYFUNCTION("""COMPUTED_VALUE"""),"FATIKAH SURYANINGRUM")</f>
        <v>FATIKAH SURYANINGRUM</v>
      </c>
      <c r="T693" s="80" t="str">
        <f>IFERROR(__xludf.DUMMYFUNCTION("""COMPUTED_VALUE"""),"KARANGANYAR RT 1 PATIHAN SIDOHARJO")</f>
        <v>KARANGANYAR RT 1 PATIHAN SIDOHARJO</v>
      </c>
      <c r="U693" s="80" t="str">
        <f>IFERROR(__xludf.DUMMYFUNCTION("""COMPUTED_VALUE"""),"JL. GEMOLONG-SRAGEN KAYEN")</f>
        <v>JL. GEMOLONG-SRAGEN KAYEN</v>
      </c>
      <c r="V693" s="80"/>
      <c r="W693" s="80" t="str">
        <f>IFERROR(__xludf.DUMMYFUNCTION("""COMPUTED_VALUE"""),"PATIHAN")</f>
        <v>PATIHAN</v>
      </c>
      <c r="X693" s="80" t="str">
        <f>IFERROR(__xludf.DUMMYFUNCTION("""COMPUTED_VALUE"""),"SIDOHARJO")</f>
        <v>SIDOHARJO</v>
      </c>
      <c r="Y693" s="80" t="str">
        <f>IFERROR(__xludf.DUMMYFUNCTION("""COMPUTED_VALUE"""),"KAB. SRAGEN")</f>
        <v>KAB. SRAGEN</v>
      </c>
      <c r="Z693" s="80" t="str">
        <f>IFERROR(__xludf.DUMMYFUNCTION("""COMPUTED_VALUE"""),"JAWA TENGAH")</f>
        <v>JAWA TENGAH</v>
      </c>
      <c r="AA693" s="80" t="str">
        <f>IFERROR(__xludf.DUMMYFUNCTION("""COMPUTED_VALUE"""),"57281")</f>
        <v>57281</v>
      </c>
      <c r="AB693" s="80" t="str">
        <f>IFERROR(__xludf.DUMMYFUNCTION("""COMPUTED_VALUE"""),"3314116403030006")</f>
        <v>3314116403030006</v>
      </c>
      <c r="AC693" s="80" t="str">
        <f>IFERROR(__xludf.DUMMYFUNCTION("""COMPUTED_VALUE"""),"21.128.285.0-528.000")</f>
        <v>21.128.285.0-528.000</v>
      </c>
      <c r="AD693" s="80" t="str">
        <f>IFERROR(__xludf.DUMMYFUNCTION("""COMPUTED_VALUE"""),"CUM - PS - SSL")</f>
        <v>CUM - PS - SSL</v>
      </c>
      <c r="AE693" s="80" t="str">
        <f>IFERROR(__xludf.DUMMYFUNCTION("""COMPUTED_VALUE"""),"SUB SUSILO POS")</f>
        <v>SUB SUSILO POS</v>
      </c>
      <c r="AF693" s="80" t="str">
        <f>IFERROR(__xludf.DUMMYFUNCTION("""COMPUTED_VALUE"""),"085641436681")</f>
        <v>085641436681</v>
      </c>
      <c r="AG693" s="80"/>
      <c r="AH693" s="80" t="str">
        <f>IFERROR(__xludf.DUMMYFUNCTION("""COMPUTED_VALUE"""),"fatikahsuryaningrum13@gmail.com")</f>
        <v>fatikahsuryaningrum13@gmail.com</v>
      </c>
      <c r="AI693" s="80" t="str">
        <f>IFERROR(__xludf.DUMMYFUNCTION("""COMPUTED_VALUE"""),"57281S3")</f>
        <v>57281S3</v>
      </c>
      <c r="AJ693" s="80" t="str">
        <f>IFERROR(__xludf.DUMMYFUNCTION("""COMPUTED_VALUE"""),"68eb17f71ead8a77640a89f6")</f>
        <v>68eb17f71ead8a77640a89f6</v>
      </c>
      <c r="AK693" s="80" t="str">
        <f>IFERROR(__xludf.DUMMYFUNCTION("""COMPUTED_VALUE"""),"dm57281s3")</f>
        <v>dm57281s3</v>
      </c>
      <c r="AL693" s="80" t="str">
        <f>IFERROR(__xludf.DUMMYFUNCTION("""COMPUTED_VALUE"""),"#57281Pos")</f>
        <v>#57281Pos</v>
      </c>
      <c r="AM693" s="80" t="str">
        <f>IFERROR(__xludf.DUMMYFUNCTION("""COMPUTED_VALUE"""),"KANTOR REGIONAL IV SEMARANG 50004")</f>
        <v>KANTOR REGIONAL IV SEMARANG 50004</v>
      </c>
      <c r="AN693" s="80" t="str">
        <f>IFERROR(__xludf.DUMMYFUNCTION("""COMPUTED_VALUE"""),"KC SRAGEN")</f>
        <v>KC SRAGEN</v>
      </c>
      <c r="AO693" s="80" t="str">
        <f>IFERROR(__xludf.DUMMYFUNCTION("""COMPUTED_VALUE"""),"0310250118038")</f>
        <v>0310250118038</v>
      </c>
      <c r="AP693" s="80" t="str">
        <f>IFERROR(__xludf.DUMMYFUNCTION("""COMPUTED_VALUE"""),"03102501180380001")</f>
        <v>03102501180380001</v>
      </c>
      <c r="AQ693" s="83"/>
      <c r="AR693" s="80"/>
      <c r="AS693" s="80"/>
      <c r="AT693" s="80" t="str">
        <f>IFERROR(__xludf.DUMMYFUNCTION("""COMPUTED_VALUE"""),"-7.4219161")</f>
        <v>-7.4219161</v>
      </c>
      <c r="AU693" s="80" t="str">
        <f>IFERROR(__xludf.DUMMYFUNCTION("""COMPUTED_VALUE"""),"110.9646264")</f>
        <v>110.9646264</v>
      </c>
      <c r="AV693" s="80"/>
      <c r="AW693" s="80"/>
      <c r="AX693" s="80"/>
      <c r="AY693" s="80"/>
      <c r="AZ693" s="80"/>
      <c r="BA693" s="80"/>
      <c r="BB693" s="80"/>
      <c r="BC693" s="80"/>
      <c r="BD693" s="80"/>
      <c r="BE693" s="80"/>
      <c r="BF693" s="80"/>
      <c r="BG693" s="80"/>
      <c r="BH693" s="80"/>
      <c r="BI693" s="80"/>
      <c r="BJ693" s="80"/>
      <c r="BK693" s="80"/>
      <c r="BL693" s="80"/>
      <c r="BM693" s="80"/>
      <c r="BN693" s="80"/>
      <c r="BO693" s="80"/>
      <c r="BP693" s="80"/>
      <c r="BQ693" s="80"/>
      <c r="BR693" s="80"/>
      <c r="BS693" s="80"/>
      <c r="BT693" s="80"/>
      <c r="BU693" s="80"/>
      <c r="BV693" s="80"/>
      <c r="BW693" s="80"/>
      <c r="BX693" s="80" t="str">
        <f>IFERROR(__xludf.DUMMYFUNCTION("""COMPUTED_VALUE"""),"NEWBIE")</f>
        <v>NEWBIE</v>
      </c>
      <c r="BY693" s="80"/>
      <c r="BZ693" s="80"/>
      <c r="CA693" s="80"/>
      <c r="CB693" s="80"/>
      <c r="CC693" s="80"/>
      <c r="CD693" s="80"/>
      <c r="CE693" s="80"/>
      <c r="CF693" s="80"/>
      <c r="CG693" s="80"/>
      <c r="CH693" s="80"/>
      <c r="CI693" s="80"/>
      <c r="CJ693" s="80"/>
      <c r="CK693" s="2"/>
    </row>
    <row r="694" ht="12.75" customHeight="1">
      <c r="A694" s="85">
        <f>IFERROR(__xludf.DUMMYFUNCTION("""COMPUTED_VALUE"""),691.0)</f>
        <v>691</v>
      </c>
      <c r="B694" s="85"/>
      <c r="C694" s="85"/>
      <c r="D694" s="86">
        <f>IFERROR(__xludf.DUMMYFUNCTION("""COMPUTED_VALUE"""),45936.0)</f>
        <v>45936</v>
      </c>
      <c r="E694" s="88"/>
      <c r="F694" s="85"/>
      <c r="G694" s="86"/>
      <c r="H694" s="85"/>
      <c r="I694" s="85"/>
      <c r="J694" s="85"/>
      <c r="K694" s="85"/>
      <c r="L694" s="85"/>
      <c r="M694" s="85" t="str">
        <f>IFERROR(__xludf.DUMMYFUNCTION("""COMPUTED_VALUE"""),"ü")</f>
        <v>ü</v>
      </c>
      <c r="N694" s="85"/>
      <c r="O694" s="85"/>
      <c r="P694" s="85" t="str">
        <f>IFERROR(__xludf.DUMMYFUNCTION("""COMPUTED_VALUE"""),"MUCSPA63278PSIND")</f>
        <v>MUCSPA63278PSIND</v>
      </c>
      <c r="Q694" s="85" t="str">
        <f>IFERROR(__xludf.DUMMYFUNCTION("""COMPUTED_VALUE"""),"MUC ABIDZAR CELL")</f>
        <v>MUC ABIDZAR CELL</v>
      </c>
      <c r="R694" s="85" t="str">
        <f>IFERROR(__xludf.DUMMYFUNCTION("""COMPUTED_VALUE"""),"MUC ABIDZAR CELL")</f>
        <v>MUC ABIDZAR CELL</v>
      </c>
      <c r="S694" s="85" t="str">
        <f>IFERROR(__xludf.DUMMYFUNCTION("""COMPUTED_VALUE"""),"RUDIYANA")</f>
        <v>RUDIYANA</v>
      </c>
      <c r="T694" s="85" t="str">
        <f>IFERROR(__xludf.DUMMYFUNCTION("""COMPUTED_VALUE"""),"KP. CADAS GANTUNG RT 2 RW 6")</f>
        <v>KP. CADAS GANTUNG RT 2 RW 6</v>
      </c>
      <c r="U694" s="85" t="str">
        <f>IFERROR(__xludf.DUMMYFUNCTION("""COMPUTED_VALUE"""),"JL. BABAKAN SAPUTRA SABELAH")</f>
        <v>JL. BABAKAN SAPUTRA SABELAH</v>
      </c>
      <c r="V694" s="85"/>
      <c r="W694" s="85" t="str">
        <f>IFERROR(__xludf.DUMMYFUNCTION("""COMPUTED_VALUE"""),"CIBODAS")</f>
        <v>CIBODAS</v>
      </c>
      <c r="X694" s="85" t="str">
        <f>IFERROR(__xludf.DUMMYFUNCTION("""COMPUTED_VALUE"""),"PACET")</f>
        <v>PACET</v>
      </c>
      <c r="Y694" s="85" t="str">
        <f>IFERROR(__xludf.DUMMYFUNCTION("""COMPUTED_VALUE"""),"KAB. CIANJUR")</f>
        <v>KAB. CIANJUR</v>
      </c>
      <c r="Z694" s="85" t="str">
        <f>IFERROR(__xludf.DUMMYFUNCTION("""COMPUTED_VALUE"""),"JAWA BARAT")</f>
        <v>JAWA BARAT</v>
      </c>
      <c r="AA694" s="85" t="str">
        <f>IFERROR(__xludf.DUMMYFUNCTION("""COMPUTED_VALUE"""),"43253")</f>
        <v>43253</v>
      </c>
      <c r="AB694" s="85" t="str">
        <f>IFERROR(__xludf.DUMMYFUNCTION("""COMPUTED_VALUE"""),"3203102202960002")</f>
        <v>3203102202960002</v>
      </c>
      <c r="AC694" s="85" t="str">
        <f>IFERROR(__xludf.DUMMYFUNCTION("""COMPUTED_VALUE"""),"20.075.555.1-406.000")</f>
        <v>20.075.555.1-406.000</v>
      </c>
      <c r="AD694" s="85" t="str">
        <f>IFERROR(__xludf.DUMMYFUNCTION("""COMPUTED_VALUE"""),"PAK RIAN HEXA")</f>
        <v>PAK RIAN HEXA</v>
      </c>
      <c r="AE694" s="85" t="str">
        <f>IFERROR(__xludf.DUMMYFUNCTION("""COMPUTED_VALUE"""),"PAK RIAN HEKSA")</f>
        <v>PAK RIAN HEKSA</v>
      </c>
      <c r="AF694" s="85" t="str">
        <f>IFERROR(__xludf.DUMMYFUNCTION("""COMPUTED_VALUE"""),"081394568985")</f>
        <v>081394568985</v>
      </c>
      <c r="AG694" s="85"/>
      <c r="AH694" s="85" t="str">
        <f>IFERROR(__xludf.DUMMYFUNCTION("""COMPUTED_VALUE"""),"abidzargardens17@gmail.com")</f>
        <v>abidzargardens17@gmail.com</v>
      </c>
      <c r="AI694" s="85"/>
      <c r="AJ694" s="85"/>
      <c r="AK694" s="85"/>
      <c r="AL694" s="85"/>
      <c r="AM694" s="85" t="str">
        <f>IFERROR(__xludf.DUMMYFUNCTION("""COMPUTED_VALUE"""),"KANTOR REGIONAL III BANDUNG 40004")</f>
        <v>KANTOR REGIONAL III BANDUNG 40004</v>
      </c>
      <c r="AN694" s="85" t="str">
        <f>IFERROR(__xludf.DUMMYFUNCTION("""COMPUTED_VALUE"""),"KC CIANJUR 43200")</f>
        <v>KC CIANJUR 43200</v>
      </c>
      <c r="AO694" s="85" t="str">
        <f>IFERROR(__xludf.DUMMYFUNCTION("""COMPUTED_VALUE"""),"0110250078315")</f>
        <v>0110250078315</v>
      </c>
      <c r="AP694" s="85" t="str">
        <f>IFERROR(__xludf.DUMMYFUNCTION("""COMPUTED_VALUE"""),"01102500783150001")</f>
        <v>01102500783150001</v>
      </c>
      <c r="AQ694" s="93"/>
      <c r="AR694" s="85"/>
      <c r="AS694" s="85"/>
      <c r="AT694" s="85" t="str">
        <f>IFERROR(__xludf.DUMMYFUNCTION("""COMPUTED_VALUE"""),"-6.7322109")</f>
        <v>-6.7322109</v>
      </c>
      <c r="AU694" s="85" t="str">
        <f>IFERROR(__xludf.DUMMYFUNCTION("""COMPUTED_VALUE"""),"106.7636118")</f>
        <v>106.7636118</v>
      </c>
      <c r="AV694" s="85"/>
      <c r="AW694" s="85"/>
      <c r="AX694" s="85"/>
      <c r="AY694" s="85"/>
      <c r="AZ694" s="85"/>
      <c r="BA694" s="85"/>
      <c r="BB694" s="85"/>
      <c r="BC694" s="85"/>
      <c r="BD694" s="85"/>
      <c r="BE694" s="85"/>
      <c r="BF694" s="85"/>
      <c r="BG694" s="85"/>
      <c r="BH694" s="85"/>
      <c r="BI694" s="85"/>
      <c r="BJ694" s="85"/>
      <c r="BK694" s="85"/>
      <c r="BL694" s="85"/>
      <c r="BM694" s="85"/>
      <c r="BN694" s="85"/>
      <c r="BO694" s="85"/>
      <c r="BP694" s="85"/>
      <c r="BQ694" s="85"/>
      <c r="BR694" s="85"/>
      <c r="BS694" s="85"/>
      <c r="BT694" s="85"/>
      <c r="BU694" s="85"/>
      <c r="BV694" s="85"/>
      <c r="BW694" s="85"/>
      <c r="BX694" s="85" t="str">
        <f>IFERROR(__xludf.DUMMYFUNCTION("""COMPUTED_VALUE"""),"NEWBIE")</f>
        <v>NEWBIE</v>
      </c>
      <c r="BY694" s="85"/>
      <c r="BZ694" s="85"/>
      <c r="CA694" s="85"/>
      <c r="CB694" s="85"/>
      <c r="CC694" s="85"/>
      <c r="CD694" s="85"/>
      <c r="CE694" s="85"/>
      <c r="CF694" s="85"/>
      <c r="CG694" s="85"/>
      <c r="CH694" s="85"/>
      <c r="CI694" s="85"/>
      <c r="CJ694" s="85"/>
      <c r="CK694" s="2"/>
    </row>
    <row r="695" ht="12.75" customHeight="1">
      <c r="A695" s="80">
        <f>IFERROR(__xludf.DUMMYFUNCTION("""COMPUTED_VALUE"""),692.0)</f>
        <v>692</v>
      </c>
      <c r="B695" s="80"/>
      <c r="C695" s="80"/>
      <c r="D695" s="81">
        <f>IFERROR(__xludf.DUMMYFUNCTION("""COMPUTED_VALUE"""),45937.0)</f>
        <v>45937</v>
      </c>
      <c r="E695" s="82"/>
      <c r="F695" s="80"/>
      <c r="G695" s="81">
        <f>IFERROR(__xludf.DUMMYFUNCTION("""COMPUTED_VALUE"""),45943.0)</f>
        <v>45943</v>
      </c>
      <c r="H695" s="80"/>
      <c r="I695" s="80"/>
      <c r="J695" s="80"/>
      <c r="K695" s="80"/>
      <c r="L695" s="80">
        <f>IFERROR(__xludf.DUMMYFUNCTION("""COMPUTED_VALUE"""),6.0)</f>
        <v>6</v>
      </c>
      <c r="M695" s="80" t="str">
        <f>IFERROR(__xludf.DUMMYFUNCTION("""COMPUTED_VALUE"""),"ü")</f>
        <v>ü</v>
      </c>
      <c r="N695" s="80"/>
      <c r="O695" s="80"/>
      <c r="P695" s="80" t="str">
        <f>IFERROR(__xludf.DUMMYFUNCTION("""COMPUTED_VALUE"""),"MUCSPA63279PSIND")</f>
        <v>MUCSPA63279PSIND</v>
      </c>
      <c r="Q695" s="80" t="str">
        <f>IFERROR(__xludf.DUMMYFUNCTION("""COMPUTED_VALUE"""),"MUC HIDAYAH")</f>
        <v>MUC HIDAYAH</v>
      </c>
      <c r="R695" s="80" t="str">
        <f>IFERROR(__xludf.DUMMYFUNCTION("""COMPUTED_VALUE"""),"MUC HIDAYAH")</f>
        <v>MUC HIDAYAH</v>
      </c>
      <c r="S695" s="80" t="str">
        <f>IFERROR(__xludf.DUMMYFUNCTION("""COMPUTED_VALUE"""),"ANDRI HOILILUDIN HIDAYAT")</f>
        <v>ANDRI HOILILUDIN HIDAYAT</v>
      </c>
      <c r="T695" s="80" t="str">
        <f>IFERROR(__xludf.DUMMYFUNCTION("""COMPUTED_VALUE"""),"KMP. TEGAL ILAT RT.002 RT.013, SEKARWANGI, SOREANG, KAB. BANDUNG JAWA BARAT")</f>
        <v>KMP. TEGAL ILAT RT.002 RT.013, SEKARWANGI, SOREANG, KAB. BANDUNG JAWA BARAT</v>
      </c>
      <c r="U695" s="80" t="str">
        <f>IFERROR(__xludf.DUMMYFUNCTION("""COMPUTED_VALUE"""),"Kp.Tegal Ilat Rt 02/Rw 13")</f>
        <v>Kp.Tegal Ilat Rt 02/Rw 13</v>
      </c>
      <c r="V695" s="80"/>
      <c r="W695" s="80" t="str">
        <f>IFERROR(__xludf.DUMMYFUNCTION("""COMPUTED_VALUE"""),"Sekarwangi")</f>
        <v>Sekarwangi</v>
      </c>
      <c r="X695" s="80" t="str">
        <f>IFERROR(__xludf.DUMMYFUNCTION("""COMPUTED_VALUE"""),"Soreang")</f>
        <v>Soreang</v>
      </c>
      <c r="Y695" s="80" t="str">
        <f>IFERROR(__xludf.DUMMYFUNCTION("""COMPUTED_VALUE"""),"Kab. Bandung")</f>
        <v>Kab. Bandung</v>
      </c>
      <c r="Z695" s="80" t="str">
        <f>IFERROR(__xludf.DUMMYFUNCTION("""COMPUTED_VALUE"""),"Jawa Barat")</f>
        <v>Jawa Barat</v>
      </c>
      <c r="AA695" s="80" t="str">
        <f>IFERROR(__xludf.DUMMYFUNCTION("""COMPUTED_VALUE"""),"40923")</f>
        <v>40923</v>
      </c>
      <c r="AB695" s="80" t="str">
        <f>IFERROR(__xludf.DUMMYFUNCTION("""COMPUTED_VALUE"""),"3204370809710001")</f>
        <v>3204370809710001</v>
      </c>
      <c r="AC695" s="80" t="str">
        <f>IFERROR(__xludf.DUMMYFUNCTION("""COMPUTED_VALUE"""),"58.249.889.5-445.000")</f>
        <v>58.249.889.5-445.000</v>
      </c>
      <c r="AD695" s="80" t="str">
        <f>IFERROR(__xludf.DUMMYFUNCTION("""COMPUTED_VALUE"""),"CUM - PS - RSS")</f>
        <v>CUM - PS - RSS</v>
      </c>
      <c r="AE695" s="80" t="str">
        <f>IFERROR(__xludf.DUMMYFUNCTION("""COMPUTED_VALUE"""),"SUB RONY POS")</f>
        <v>SUB RONY POS</v>
      </c>
      <c r="AF695" s="80" t="str">
        <f>IFERROR(__xludf.DUMMYFUNCTION("""COMPUTED_VALUE"""),"081223914071")</f>
        <v>081223914071</v>
      </c>
      <c r="AG695" s="80"/>
      <c r="AH695" s="80" t="str">
        <f>IFERROR(__xludf.DUMMYFUNCTION("""COMPUTED_VALUE"""),"andrihidayat8971@gmail.com")</f>
        <v>andrihidayat8971@gmail.com</v>
      </c>
      <c r="AI695" s="80" t="str">
        <f>IFERROR(__xludf.DUMMYFUNCTION("""COMPUTED_VALUE"""),"40318S2")</f>
        <v>40318S2</v>
      </c>
      <c r="AJ695" s="80" t="str">
        <f>IFERROR(__xludf.DUMMYFUNCTION("""COMPUTED_VALUE"""),"68eb27ca6493d476590c654b")</f>
        <v>68eb27ca6493d476590c654b</v>
      </c>
      <c r="AK695" s="80" t="str">
        <f>IFERROR(__xludf.DUMMYFUNCTION("""COMPUTED_VALUE"""),"dm40318s2")</f>
        <v>dm40318s2</v>
      </c>
      <c r="AL695" s="80" t="str">
        <f>IFERROR(__xludf.DUMMYFUNCTION("""COMPUTED_VALUE"""),"#40318P@s")</f>
        <v>#40318P@s</v>
      </c>
      <c r="AM695" s="80" t="str">
        <f>IFERROR(__xludf.DUMMYFUNCTION("""COMPUTED_VALUE"""),"KANTOR REGIONAL III BANDUNG 40004")</f>
        <v>KANTOR REGIONAL III BANDUNG 40004</v>
      </c>
      <c r="AN695" s="80" t="str">
        <f>IFERROR(__xludf.DUMMYFUNCTION("""COMPUTED_VALUE"""),"KC SOREANG 40900")</f>
        <v>KC SOREANG 40900</v>
      </c>
      <c r="AO695" s="80" t="str">
        <f>IFERROR(__xludf.DUMMYFUNCTION("""COMPUTED_VALUE"""),"0210250123913")</f>
        <v>0210250123913</v>
      </c>
      <c r="AP695" s="80" t="str">
        <f>IFERROR(__xludf.DUMMYFUNCTION("""COMPUTED_VALUE"""),"02102501239130001")</f>
        <v>02102501239130001</v>
      </c>
      <c r="AQ695" s="83"/>
      <c r="AR695" s="80"/>
      <c r="AS695" s="80"/>
      <c r="AT695" s="80" t="str">
        <f>IFERROR(__xludf.DUMMYFUNCTION("""COMPUTED_VALUE"""),"-7.0120268")</f>
        <v>-7.0120268</v>
      </c>
      <c r="AU695" s="80" t="str">
        <f>IFERROR(__xludf.DUMMYFUNCTION("""COMPUTED_VALUE"""),"107.5376845")</f>
        <v>107.5376845</v>
      </c>
      <c r="AV695" s="80"/>
      <c r="AW695" s="80"/>
      <c r="AX695" s="80"/>
      <c r="AY695" s="80"/>
      <c r="AZ695" s="80"/>
      <c r="BA695" s="80"/>
      <c r="BB695" s="80"/>
      <c r="BC695" s="80"/>
      <c r="BD695" s="80"/>
      <c r="BE695" s="80"/>
      <c r="BF695" s="80"/>
      <c r="BG695" s="80"/>
      <c r="BH695" s="80"/>
      <c r="BI695" s="80"/>
      <c r="BJ695" s="80"/>
      <c r="BK695" s="80"/>
      <c r="BL695" s="80"/>
      <c r="BM695" s="80"/>
      <c r="BN695" s="80"/>
      <c r="BO695" s="80"/>
      <c r="BP695" s="80"/>
      <c r="BQ695" s="80"/>
      <c r="BR695" s="80"/>
      <c r="BS695" s="80"/>
      <c r="BT695" s="80"/>
      <c r="BU695" s="80"/>
      <c r="BV695" s="80"/>
      <c r="BW695" s="80"/>
      <c r="BX695" s="80" t="str">
        <f>IFERROR(__xludf.DUMMYFUNCTION("""COMPUTED_VALUE"""),"NEWBIE")</f>
        <v>NEWBIE</v>
      </c>
      <c r="BY695" s="80"/>
      <c r="BZ695" s="80"/>
      <c r="CA695" s="80"/>
      <c r="CB695" s="80"/>
      <c r="CC695" s="80"/>
      <c r="CD695" s="80"/>
      <c r="CE695" s="80"/>
      <c r="CF695" s="80"/>
      <c r="CG695" s="80"/>
      <c r="CH695" s="80"/>
      <c r="CI695" s="80"/>
      <c r="CJ695" s="80"/>
      <c r="CK695" s="2"/>
    </row>
    <row r="696" ht="12.75" customHeight="1">
      <c r="A696" s="85">
        <f>IFERROR(__xludf.DUMMYFUNCTION("""COMPUTED_VALUE"""),693.0)</f>
        <v>693</v>
      </c>
      <c r="B696" s="85"/>
      <c r="C696" s="85"/>
      <c r="D696" s="86">
        <f>IFERROR(__xludf.DUMMYFUNCTION("""COMPUTED_VALUE"""),45938.0)</f>
        <v>45938</v>
      </c>
      <c r="E696" s="88"/>
      <c r="F696" s="85"/>
      <c r="G696" s="86">
        <f>IFERROR(__xludf.DUMMYFUNCTION("""COMPUTED_VALUE"""),45941.0)</f>
        <v>45941</v>
      </c>
      <c r="H696" s="85"/>
      <c r="I696" s="85"/>
      <c r="J696" s="85"/>
      <c r="K696" s="85"/>
      <c r="L696" s="85">
        <f>IFERROR(__xludf.DUMMYFUNCTION("""COMPUTED_VALUE"""),3.0)</f>
        <v>3</v>
      </c>
      <c r="M696" s="85" t="str">
        <f>IFERROR(__xludf.DUMMYFUNCTION("""COMPUTED_VALUE"""),"ü")</f>
        <v>ü</v>
      </c>
      <c r="N696" s="85"/>
      <c r="O696" s="85"/>
      <c r="P696" s="85" t="str">
        <f>IFERROR(__xludf.DUMMYFUNCTION("""COMPUTED_VALUE"""),"MUCSPA63280PSIND")</f>
        <v>MUCSPA63280PSIND</v>
      </c>
      <c r="Q696" s="85" t="str">
        <f>IFERROR(__xludf.DUMMYFUNCTION("""COMPUTED_VALUE"""),"MUC DUBES")</f>
        <v>MUC DUBES</v>
      </c>
      <c r="R696" s="85" t="str">
        <f>IFERROR(__xludf.DUMMYFUNCTION("""COMPUTED_VALUE"""),"MUC DUBES")</f>
        <v>MUC DUBES</v>
      </c>
      <c r="S696" s="85" t="str">
        <f>IFERROR(__xludf.DUMMYFUNCTION("""COMPUTED_VALUE"""),"Welhelmince Lea Dudu")</f>
        <v>Welhelmince Lea Dudu</v>
      </c>
      <c r="T696" s="85" t="str">
        <f>IFERROR(__xludf.DUMMYFUNCTION("""COMPUTED_VALUE"""),"kambaniru RT 017 RW 004 KECAMATAN KAMBERA ")</f>
        <v>kambaniru RT 017 RW 004 KECAMATAN KAMBERA </v>
      </c>
      <c r="U696" s="85" t="str">
        <f>IFERROR(__xludf.DUMMYFUNCTION("""COMPUTED_VALUE"""),"Padadita Kambaniru")</f>
        <v>Padadita Kambaniru</v>
      </c>
      <c r="V696" s="85"/>
      <c r="W696" s="85" t="str">
        <f>IFERROR(__xludf.DUMMYFUNCTION("""COMPUTED_VALUE"""),"Kambaniru")</f>
        <v>Kambaniru</v>
      </c>
      <c r="X696" s="85" t="str">
        <f>IFERROR(__xludf.DUMMYFUNCTION("""COMPUTED_VALUE"""),"Kambera")</f>
        <v>Kambera</v>
      </c>
      <c r="Y696" s="85" t="str">
        <f>IFERROR(__xludf.DUMMYFUNCTION("""COMPUTED_VALUE"""),"Sumba Timur")</f>
        <v>Sumba Timur</v>
      </c>
      <c r="Z696" s="85" t="str">
        <f>IFERROR(__xludf.DUMMYFUNCTION("""COMPUTED_VALUE"""),"Nusa Tenggara Timur")</f>
        <v>Nusa Tenggara Timur</v>
      </c>
      <c r="AA696" s="85" t="str">
        <f>IFERROR(__xludf.DUMMYFUNCTION("""COMPUTED_VALUE"""),"87114")</f>
        <v>87114</v>
      </c>
      <c r="AB696" s="85" t="str">
        <f>IFERROR(__xludf.DUMMYFUNCTION("""COMPUTED_VALUE"""),"5311165005790001")</f>
        <v>5311165005790001</v>
      </c>
      <c r="AC696" s="85" t="str">
        <f>IFERROR(__xludf.DUMMYFUNCTION("""COMPUTED_VALUE"""),"81.643.917.8.926.000")</f>
        <v>81.643.917.8.926.000</v>
      </c>
      <c r="AD696" s="85" t="str">
        <f>IFERROR(__xludf.DUMMYFUNCTION("""COMPUTED_VALUE"""),"PAK RAIHAN KC WAINGAPU")</f>
        <v>PAK RAIHAN KC WAINGAPU</v>
      </c>
      <c r="AE696" s="85" t="str">
        <f>IFERROR(__xludf.DUMMYFUNCTION("""COMPUTED_VALUE"""),"PAK RAIHAN KC WAINGAPU")</f>
        <v>PAK RAIHAN KC WAINGAPU</v>
      </c>
      <c r="AF696" s="85" t="str">
        <f>IFERROR(__xludf.DUMMYFUNCTION("""COMPUTED_VALUE"""),"089512915779")</f>
        <v>089512915779</v>
      </c>
      <c r="AG696" s="85"/>
      <c r="AH696" s="85" t="str">
        <f>IFERROR(__xludf.DUMMYFUNCTION("""COMPUTED_VALUE"""),"welhelmincedudu261@gmail.com")</f>
        <v>welhelmincedudu261@gmail.com</v>
      </c>
      <c r="AI696" s="85" t="str">
        <f>IFERROR(__xludf.DUMMYFUNCTION("""COMPUTED_VALUE"""),"87128S1")</f>
        <v>87128S1</v>
      </c>
      <c r="AJ696" s="85" t="str">
        <f>IFERROR(__xludf.DUMMYFUNCTION("""COMPUTED_VALUE"""),"68e65b7eed9f93f7c101ca70")</f>
        <v>68e65b7eed9f93f7c101ca70</v>
      </c>
      <c r="AK696" s="85" t="str">
        <f>IFERROR(__xludf.DUMMYFUNCTION("""COMPUTED_VALUE"""),"dm87128s1")</f>
        <v>dm87128s1</v>
      </c>
      <c r="AL696" s="85" t="str">
        <f>IFERROR(__xludf.DUMMYFUNCTION("""COMPUTED_VALUE"""),"#87128Pos")</f>
        <v>#87128Pos</v>
      </c>
      <c r="AM696" s="85" t="str">
        <f>IFERROR(__xludf.DUMMYFUNCTION("""COMPUTED_VALUE"""),"KANTOR REGIONAL V SURABAYA 60004")</f>
        <v>KANTOR REGIONAL V SURABAYA 60004</v>
      </c>
      <c r="AN696" s="85" t="str">
        <f>IFERROR(__xludf.DUMMYFUNCTION("""COMPUTED_VALUE"""),"KC WAINGAPU")</f>
        <v>KC WAINGAPU</v>
      </c>
      <c r="AO696" s="85" t="str">
        <f>IFERROR(__xludf.DUMMYFUNCTION("""COMPUTED_VALUE"""),"2209250047844")</f>
        <v>2209250047844</v>
      </c>
      <c r="AP696" s="85" t="str">
        <f>IFERROR(__xludf.DUMMYFUNCTION("""COMPUTED_VALUE"""),"22092500478440001")</f>
        <v>22092500478440001</v>
      </c>
      <c r="AQ696" s="93"/>
      <c r="AR696" s="85"/>
      <c r="AS696" s="85"/>
      <c r="AT696" s="85" t="str">
        <f>IFERROR(__xludf.DUMMYFUNCTION("""COMPUTED_VALUE"""),"-9.6541236")</f>
        <v>-9.6541236</v>
      </c>
      <c r="AU696" s="85" t="str">
        <f>IFERROR(__xludf.DUMMYFUNCTION("""COMPUTED_VALUE"""),"120.2987036")</f>
        <v>120.2987036</v>
      </c>
      <c r="AV696" s="85"/>
      <c r="AW696" s="85"/>
      <c r="AX696" s="85"/>
      <c r="AY696" s="85"/>
      <c r="AZ696" s="85"/>
      <c r="BA696" s="85"/>
      <c r="BB696" s="85"/>
      <c r="BC696" s="85"/>
      <c r="BD696" s="85"/>
      <c r="BE696" s="85"/>
      <c r="BF696" s="85"/>
      <c r="BG696" s="85"/>
      <c r="BH696" s="85"/>
      <c r="BI696" s="85"/>
      <c r="BJ696" s="85"/>
      <c r="BK696" s="85"/>
      <c r="BL696" s="85"/>
      <c r="BM696" s="85"/>
      <c r="BN696" s="85"/>
      <c r="BO696" s="85"/>
      <c r="BP696" s="85"/>
      <c r="BQ696" s="85"/>
      <c r="BR696" s="85"/>
      <c r="BS696" s="85"/>
      <c r="BT696" s="85"/>
      <c r="BU696" s="85"/>
      <c r="BV696" s="85"/>
      <c r="BW696" s="85"/>
      <c r="BX696" s="85" t="str">
        <f>IFERROR(__xludf.DUMMYFUNCTION("""COMPUTED_VALUE"""),"NEWBIE")</f>
        <v>NEWBIE</v>
      </c>
      <c r="BY696" s="85"/>
      <c r="BZ696" s="85"/>
      <c r="CA696" s="85"/>
      <c r="CB696" s="85"/>
      <c r="CC696" s="85"/>
      <c r="CD696" s="85"/>
      <c r="CE696" s="85"/>
      <c r="CF696" s="85"/>
      <c r="CG696" s="85"/>
      <c r="CH696" s="85"/>
      <c r="CI696" s="85"/>
      <c r="CJ696" s="85"/>
      <c r="CK696" s="2"/>
    </row>
    <row r="697" ht="12.75" customHeight="1">
      <c r="A697" s="80">
        <f>IFERROR(__xludf.DUMMYFUNCTION("""COMPUTED_VALUE"""),694.0)</f>
        <v>694</v>
      </c>
      <c r="B697" s="80"/>
      <c r="C697" s="80"/>
      <c r="D697" s="81">
        <f>IFERROR(__xludf.DUMMYFUNCTION("""COMPUTED_VALUE"""),45938.0)</f>
        <v>45938</v>
      </c>
      <c r="E697" s="82"/>
      <c r="F697" s="80"/>
      <c r="G697" s="81">
        <f>IFERROR(__xludf.DUMMYFUNCTION("""COMPUTED_VALUE"""),45943.0)</f>
        <v>45943</v>
      </c>
      <c r="H697" s="80"/>
      <c r="I697" s="80"/>
      <c r="J697" s="80"/>
      <c r="K697" s="80"/>
      <c r="L697" s="80">
        <f>IFERROR(__xludf.DUMMYFUNCTION("""COMPUTED_VALUE"""),5.0)</f>
        <v>5</v>
      </c>
      <c r="M697" s="80" t="str">
        <f>IFERROR(__xludf.DUMMYFUNCTION("""COMPUTED_VALUE"""),"ü")</f>
        <v>ü</v>
      </c>
      <c r="N697" s="80"/>
      <c r="O697" s="80"/>
      <c r="P697" s="80" t="str">
        <f>IFERROR(__xludf.DUMMYFUNCTION("""COMPUTED_VALUE"""),"MUCSPA63281PSIND")</f>
        <v>MUCSPA63281PSIND</v>
      </c>
      <c r="Q697" s="80" t="str">
        <f>IFERROR(__xludf.DUMMYFUNCTION("""COMPUTED_VALUE"""),"MUC KARYA MUDA")</f>
        <v>MUC KARYA MUDA</v>
      </c>
      <c r="R697" s="80" t="str">
        <f>IFERROR(__xludf.DUMMYFUNCTION("""COMPUTED_VALUE"""),"MUC KARYA MUDA")</f>
        <v>MUC KARYA MUDA</v>
      </c>
      <c r="S697" s="80" t="str">
        <f>IFERROR(__xludf.DUMMYFUNCTION("""COMPUTED_VALUE"""),"ALFONSIUS LORENSIUS")</f>
        <v>ALFONSIUS LORENSIUS</v>
      </c>
      <c r="T697" s="80" t="str">
        <f>IFERROR(__xludf.DUMMYFUNCTION("""COMPUTED_VALUE"""),"PANGADU, RT 010/RW 004, DS. MUTUNGGEDING, KEC. UMALULU, KAB. SUMBA TIMUR")</f>
        <v>PANGADU, RT 010/RW 004, DS. MUTUNGGEDING, KEC. UMALULU, KAB. SUMBA TIMUR</v>
      </c>
      <c r="U697" s="80" t="str">
        <f>IFERROR(__xludf.DUMMYFUNCTION("""COMPUTED_VALUE"""),"PANGADU, RT 010/RW 004")</f>
        <v>PANGADU, RT 010/RW 004</v>
      </c>
      <c r="V697" s="80"/>
      <c r="W697" s="80" t="str">
        <f>IFERROR(__xludf.DUMMYFUNCTION("""COMPUTED_VALUE"""),"MUTUNGGEDING")</f>
        <v>MUTUNGGEDING</v>
      </c>
      <c r="X697" s="80" t="str">
        <f>IFERROR(__xludf.DUMMYFUNCTION("""COMPUTED_VALUE"""),"UMALULU")</f>
        <v>UMALULU</v>
      </c>
      <c r="Y697" s="80" t="str">
        <f>IFERROR(__xludf.DUMMYFUNCTION("""COMPUTED_VALUE"""),"SUMBA TIMUR")</f>
        <v>SUMBA TIMUR</v>
      </c>
      <c r="Z697" s="80" t="str">
        <f>IFERROR(__xludf.DUMMYFUNCTION("""COMPUTED_VALUE"""),"NUSA TENGGARA TIMUR")</f>
        <v>NUSA TENGGARA TIMUR</v>
      </c>
      <c r="AA697" s="80" t="str">
        <f>IFERROR(__xludf.DUMMYFUNCTION("""COMPUTED_VALUE"""),"87181")</f>
        <v>87181</v>
      </c>
      <c r="AB697" s="80" t="str">
        <f>IFERROR(__xludf.DUMMYFUNCTION("""COMPUTED_VALUE"""),"5311083110960001")</f>
        <v>5311083110960001</v>
      </c>
      <c r="AC697" s="80" t="str">
        <f>IFERROR(__xludf.DUMMYFUNCTION("""COMPUTED_VALUE"""),"63.923.613.2-926.000")</f>
        <v>63.923.613.2-926.000</v>
      </c>
      <c r="AD697" s="80" t="str">
        <f>IFERROR(__xludf.DUMMYFUNCTION("""COMPUTED_VALUE"""),"PAK RAIHAN KC WAINGAPU")</f>
        <v>PAK RAIHAN KC WAINGAPU</v>
      </c>
      <c r="AE697" s="80" t="str">
        <f>IFERROR(__xludf.DUMMYFUNCTION("""COMPUTED_VALUE"""),"PAK RAIHAN KC WAINGAPU")</f>
        <v>PAK RAIHAN KC WAINGAPU</v>
      </c>
      <c r="AF697" s="80" t="str">
        <f>IFERROR(__xludf.DUMMYFUNCTION("""COMPUTED_VALUE"""),"081353099400")</f>
        <v>081353099400</v>
      </c>
      <c r="AG697" s="80"/>
      <c r="AH697" s="80" t="str">
        <f>IFERROR(__xludf.DUMMYFUNCTION("""COMPUTED_VALUE"""),"alfons.lorensius@gmail.com")</f>
        <v>alfons.lorensius@gmail.com</v>
      </c>
      <c r="AI697" s="80" t="str">
        <f>IFERROR(__xludf.DUMMYFUNCTION("""COMPUTED_VALUE"""),"87181S1")</f>
        <v>87181S1</v>
      </c>
      <c r="AJ697" s="80" t="str">
        <f>IFERROR(__xludf.DUMMYFUNCTION("""COMPUTED_VALUE"""),"68eb4f7815bed852a70e2c09")</f>
        <v>68eb4f7815bed852a70e2c09</v>
      </c>
      <c r="AK697" s="80" t="str">
        <f>IFERROR(__xludf.DUMMYFUNCTION("""COMPUTED_VALUE"""),"dm87181s1")</f>
        <v>dm87181s1</v>
      </c>
      <c r="AL697" s="80" t="str">
        <f>IFERROR(__xludf.DUMMYFUNCTION("""COMPUTED_VALUE"""),"#87181Pos")</f>
        <v>#87181Pos</v>
      </c>
      <c r="AM697" s="80" t="str">
        <f>IFERROR(__xludf.DUMMYFUNCTION("""COMPUTED_VALUE"""),"KANTOR REGIONAL V SURABAYA 60004")</f>
        <v>KANTOR REGIONAL V SURABAYA 60004</v>
      </c>
      <c r="AN697" s="80" t="str">
        <f>IFERROR(__xludf.DUMMYFUNCTION("""COMPUTED_VALUE"""),"KC WAINGAPU")</f>
        <v>KC WAINGAPU</v>
      </c>
      <c r="AO697" s="80" t="str">
        <f>IFERROR(__xludf.DUMMYFUNCTION("""COMPUTED_VALUE"""),"0210250064895")</f>
        <v>0210250064895</v>
      </c>
      <c r="AP697" s="80" t="str">
        <f>IFERROR(__xludf.DUMMYFUNCTION("""COMPUTED_VALUE"""),"02102500648950001")</f>
        <v>02102500648950001</v>
      </c>
      <c r="AQ697" s="83"/>
      <c r="AR697" s="80"/>
      <c r="AS697" s="80"/>
      <c r="AT697" s="80" t="str">
        <f>IFERROR(__xludf.DUMMYFUNCTION("""COMPUTED_VALUE"""),"-9.8744649")</f>
        <v>-9.8744649</v>
      </c>
      <c r="AU697" s="80" t="str">
        <f>IFERROR(__xludf.DUMMYFUNCTION("""COMPUTED_VALUE"""),"120.6537959")</f>
        <v>120.6537959</v>
      </c>
      <c r="AV697" s="80"/>
      <c r="AW697" s="80"/>
      <c r="AX697" s="80"/>
      <c r="AY697" s="80"/>
      <c r="AZ697" s="80"/>
      <c r="BA697" s="80"/>
      <c r="BB697" s="80"/>
      <c r="BC697" s="80"/>
      <c r="BD697" s="80"/>
      <c r="BE697" s="80"/>
      <c r="BF697" s="80"/>
      <c r="BG697" s="80"/>
      <c r="BH697" s="80"/>
      <c r="BI697" s="80"/>
      <c r="BJ697" s="80"/>
      <c r="BK697" s="80"/>
      <c r="BL697" s="80"/>
      <c r="BM697" s="80"/>
      <c r="BN697" s="80"/>
      <c r="BO697" s="80"/>
      <c r="BP697" s="80"/>
      <c r="BQ697" s="80"/>
      <c r="BR697" s="80"/>
      <c r="BS697" s="80"/>
      <c r="BT697" s="80"/>
      <c r="BU697" s="80"/>
      <c r="BV697" s="80"/>
      <c r="BW697" s="80"/>
      <c r="BX697" s="80" t="str">
        <f>IFERROR(__xludf.DUMMYFUNCTION("""COMPUTED_VALUE"""),"NEWBIE")</f>
        <v>NEWBIE</v>
      </c>
      <c r="BY697" s="80"/>
      <c r="BZ697" s="80"/>
      <c r="CA697" s="80"/>
      <c r="CB697" s="80"/>
      <c r="CC697" s="80"/>
      <c r="CD697" s="80"/>
      <c r="CE697" s="80"/>
      <c r="CF697" s="80"/>
      <c r="CG697" s="80"/>
      <c r="CH697" s="80"/>
      <c r="CI697" s="80"/>
      <c r="CJ697" s="80"/>
      <c r="CK697" s="2"/>
    </row>
    <row r="698" ht="12.75" customHeight="1">
      <c r="A698" s="85">
        <f>IFERROR(__xludf.DUMMYFUNCTION("""COMPUTED_VALUE"""),695.0)</f>
        <v>695</v>
      </c>
      <c r="B698" s="85"/>
      <c r="C698" s="85"/>
      <c r="D698" s="86">
        <f>IFERROR(__xludf.DUMMYFUNCTION("""COMPUTED_VALUE"""),45939.0)</f>
        <v>45939</v>
      </c>
      <c r="E698" s="88"/>
      <c r="F698" s="85"/>
      <c r="G698" s="86">
        <f>IFERROR(__xludf.DUMMYFUNCTION("""COMPUTED_VALUE"""),45947.0)</f>
        <v>45947</v>
      </c>
      <c r="H698" s="85"/>
      <c r="I698" s="85"/>
      <c r="J698" s="85"/>
      <c r="K698" s="85"/>
      <c r="L698" s="85">
        <f>IFERROR(__xludf.DUMMYFUNCTION("""COMPUTED_VALUE"""),8.0)</f>
        <v>8</v>
      </c>
      <c r="M698" s="85" t="str">
        <f>IFERROR(__xludf.DUMMYFUNCTION("""COMPUTED_VALUE"""),"ü")</f>
        <v>ü</v>
      </c>
      <c r="N698" s="85"/>
      <c r="O698" s="85"/>
      <c r="P698" s="85" t="str">
        <f>IFERROR(__xludf.DUMMYFUNCTION("""COMPUTED_VALUE"""),"52BSPA07797JTAMT")</f>
        <v>52BSPA07797JTAMT</v>
      </c>
      <c r="Q698" s="85" t="str">
        <f>IFERROR(__xludf.DUMMYFUNCTION("""COMPUTED_VALUE"""),"MUC YUDY FARMA")</f>
        <v>MUC YUDY FARMA</v>
      </c>
      <c r="R698" s="85" t="str">
        <f>IFERROR(__xludf.DUMMYFUNCTION("""COMPUTED_VALUE"""),"MUC YUDY FARMA")</f>
        <v>MUC YUDY FARMA</v>
      </c>
      <c r="S698" s="85" t="str">
        <f>IFERROR(__xludf.DUMMYFUNCTION("""COMPUTED_VALUE"""),"PANDU HIDAYAT")</f>
        <v>PANDU HIDAYAT</v>
      </c>
      <c r="T698" s="85" t="str">
        <f>IFERROR(__xludf.DUMMYFUNCTION("""COMPUTED_VALUE"""),"DK KARANGSARI RT.004 RW.001, CLERING, DONOROJO, KAB. JEPARA")</f>
        <v>DK KARANGSARI RT.004 RW.001, CLERING, DONOROJO, KAB. JEPARA</v>
      </c>
      <c r="U698" s="85" t="str">
        <f>IFERROR(__xludf.DUMMYFUNCTION("""COMPUTED_VALUE"""),"RT.04/RW.01, Karangsari")</f>
        <v>RT.04/RW.01, Karangsari</v>
      </c>
      <c r="V698" s="85"/>
      <c r="W698" s="85" t="str">
        <f>IFERROR(__xludf.DUMMYFUNCTION("""COMPUTED_VALUE"""),"Clering")</f>
        <v>Clering</v>
      </c>
      <c r="X698" s="85" t="str">
        <f>IFERROR(__xludf.DUMMYFUNCTION("""COMPUTED_VALUE"""),"Donorojo")</f>
        <v>Donorojo</v>
      </c>
      <c r="Y698" s="85" t="str">
        <f>IFERROR(__xludf.DUMMYFUNCTION("""COMPUTED_VALUE"""),"Jepara")</f>
        <v>Jepara</v>
      </c>
      <c r="Z698" s="85" t="str">
        <f>IFERROR(__xludf.DUMMYFUNCTION("""COMPUTED_VALUE"""),"Jawa Tengah")</f>
        <v>Jawa Tengah</v>
      </c>
      <c r="AA698" s="85" t="str">
        <f>IFERROR(__xludf.DUMMYFUNCTION("""COMPUTED_VALUE"""),"59454")</f>
        <v>59454</v>
      </c>
      <c r="AB698" s="85" t="str">
        <f>IFERROR(__xludf.DUMMYFUNCTION("""COMPUTED_VALUE"""),"3320091408010006")</f>
        <v>3320091408010006</v>
      </c>
      <c r="AC698" s="85" t="str">
        <f>IFERROR(__xludf.DUMMYFUNCTION("""COMPUTED_VALUE"""),"3320 0914 0801 0006")</f>
        <v>3320 0914 0801 0006</v>
      </c>
      <c r="AD698" s="85" t="str">
        <f>IFERROR(__xludf.DUMMYFUNCTION("""COMPUTED_VALUE"""),"CUM - AMT")</f>
        <v>CUM - AMT</v>
      </c>
      <c r="AE698" s="85" t="str">
        <f>IFERROR(__xludf.DUMMYFUNCTION("""COMPUTED_VALUE"""),"SUB AMINARTI")</f>
        <v>SUB AMINARTI</v>
      </c>
      <c r="AF698" s="85" t="str">
        <f>IFERROR(__xludf.DUMMYFUNCTION("""COMPUTED_VALUE"""),"082237193911")</f>
        <v>082237193911</v>
      </c>
      <c r="AG698" s="85"/>
      <c r="AH698" s="85" t="str">
        <f>IFERROR(__xludf.DUMMYFUNCTION("""COMPUTED_VALUE"""),"pandugamn9@gmail.com")</f>
        <v>pandugamn9@gmail.com</v>
      </c>
      <c r="AI698" s="85" t="str">
        <f>IFERROR(__xludf.DUMMYFUNCTION("""COMPUTED_VALUE"""),"59458S3")</f>
        <v>59458S3</v>
      </c>
      <c r="AJ698" s="85" t="str">
        <f>IFERROR(__xludf.DUMMYFUNCTION("""COMPUTED_VALUE"""),"68f1ae452345d0338d08fb79")</f>
        <v>68f1ae452345d0338d08fb79</v>
      </c>
      <c r="AK698" s="85" t="str">
        <f>IFERROR(__xludf.DUMMYFUNCTION("""COMPUTED_VALUE"""),"dm59458s3")</f>
        <v>dm59458s3</v>
      </c>
      <c r="AL698" s="85" t="str">
        <f>IFERROR(__xludf.DUMMYFUNCTION("""COMPUTED_VALUE"""),"#59458Pos")</f>
        <v>#59458Pos</v>
      </c>
      <c r="AM698" s="85" t="str">
        <f>IFERROR(__xludf.DUMMYFUNCTION("""COMPUTED_VALUE"""),"KANTOR REGIONAL IV SEMARANG 50004")</f>
        <v>KANTOR REGIONAL IV SEMARANG 50004</v>
      </c>
      <c r="AN698" s="85" t="str">
        <f>IFERROR(__xludf.DUMMYFUNCTION("""COMPUTED_VALUE"""),"KC JEPARA")</f>
        <v>KC JEPARA</v>
      </c>
      <c r="AO698" s="85" t="str">
        <f>IFERROR(__xludf.DUMMYFUNCTION("""COMPUTED_VALUE"""),"0810250005874")</f>
        <v>0810250005874</v>
      </c>
      <c r="AP698" s="85" t="str">
        <f>IFERROR(__xludf.DUMMYFUNCTION("""COMPUTED_VALUE"""),"08102500058740001")</f>
        <v>08102500058740001</v>
      </c>
      <c r="AQ698" s="93"/>
      <c r="AR698" s="85"/>
      <c r="AS698" s="85"/>
      <c r="AT698" s="85" t="str">
        <f>IFERROR(__xludf.DUMMYFUNCTION("""COMPUTED_VALUE"""),"-6.4281894")</f>
        <v>-6.4281894</v>
      </c>
      <c r="AU698" s="85" t="str">
        <f>IFERROR(__xludf.DUMMYFUNCTION("""COMPUTED_VALUE"""),"110.9617951")</f>
        <v>110.9617951</v>
      </c>
      <c r="AV698" s="85"/>
      <c r="AW698" s="85"/>
      <c r="AX698" s="85"/>
      <c r="AY698" s="85"/>
      <c r="AZ698" s="85"/>
      <c r="BA698" s="85"/>
      <c r="BB698" s="85"/>
      <c r="BC698" s="85"/>
      <c r="BD698" s="85"/>
      <c r="BE698" s="85"/>
      <c r="BF698" s="85"/>
      <c r="BG698" s="85"/>
      <c r="BH698" s="85"/>
      <c r="BI698" s="85"/>
      <c r="BJ698" s="85"/>
      <c r="BK698" s="85"/>
      <c r="BL698" s="85"/>
      <c r="BM698" s="85"/>
      <c r="BN698" s="85"/>
      <c r="BO698" s="85"/>
      <c r="BP698" s="85"/>
      <c r="BQ698" s="85"/>
      <c r="BR698" s="85"/>
      <c r="BS698" s="85"/>
      <c r="BT698" s="85"/>
      <c r="BU698" s="85"/>
      <c r="BV698" s="85"/>
      <c r="BW698" s="85"/>
      <c r="BX698" s="85" t="str">
        <f>IFERROR(__xludf.DUMMYFUNCTION("""COMPUTED_VALUE"""),"MULTIKURIR - SPX")</f>
        <v>MULTIKURIR - SPX</v>
      </c>
      <c r="BY698" s="85"/>
      <c r="BZ698" s="85"/>
      <c r="CA698" s="85"/>
      <c r="CB698" s="85"/>
      <c r="CC698" s="85"/>
      <c r="CD698" s="85"/>
      <c r="CE698" s="85"/>
      <c r="CF698" s="85"/>
      <c r="CG698" s="85"/>
      <c r="CH698" s="85"/>
      <c r="CI698" s="85"/>
      <c r="CJ698" s="85"/>
      <c r="CK698" s="2"/>
    </row>
    <row r="699" ht="12.75" customHeight="1">
      <c r="A699" s="80">
        <f>IFERROR(__xludf.DUMMYFUNCTION("""COMPUTED_VALUE"""),696.0)</f>
        <v>696</v>
      </c>
      <c r="B699" s="80"/>
      <c r="C699" s="80"/>
      <c r="D699" s="81">
        <f>IFERROR(__xludf.DUMMYFUNCTION("""COMPUTED_VALUE"""),45944.0)</f>
        <v>45944</v>
      </c>
      <c r="E699" s="82"/>
      <c r="F699" s="80"/>
      <c r="G699" s="81">
        <f>IFERROR(__xludf.DUMMYFUNCTION("""COMPUTED_VALUE"""),45968.0)</f>
        <v>45968</v>
      </c>
      <c r="H699" s="80"/>
      <c r="I699" s="80"/>
      <c r="J699" s="80"/>
      <c r="K699" s="80"/>
      <c r="L699" s="80">
        <f>IFERROR(__xludf.DUMMYFUNCTION("""COMPUTED_VALUE"""),24.0)</f>
        <v>24</v>
      </c>
      <c r="M699" s="80" t="str">
        <f>IFERROR(__xludf.DUMMYFUNCTION("""COMPUTED_VALUE"""),"ü")</f>
        <v>ü</v>
      </c>
      <c r="N699" s="80"/>
      <c r="O699" s="80"/>
      <c r="P699" s="80" t="str">
        <f>IFERROR(__xludf.DUMMYFUNCTION("""COMPUTED_VALUE"""),"MUCSPA63283PSIND")</f>
        <v>MUCSPA63283PSIND</v>
      </c>
      <c r="Q699" s="80" t="str">
        <f>IFERROR(__xludf.DUMMYFUNCTION("""COMPUTED_VALUE"""),"MUC GERAI HILYA")</f>
        <v>MUC GERAI HILYA</v>
      </c>
      <c r="R699" s="80" t="str">
        <f>IFERROR(__xludf.DUMMYFUNCTION("""COMPUTED_VALUE"""),"MUC GERAI HILYA")</f>
        <v>MUC GERAI HILYA</v>
      </c>
      <c r="S699" s="80" t="str">
        <f>IFERROR(__xludf.DUMMYFUNCTION("""COMPUTED_VALUE"""),"HAYUN TRI AKBAR")</f>
        <v>HAYUN TRI AKBAR</v>
      </c>
      <c r="T699" s="80" t="str">
        <f>IFERROR(__xludf.DUMMYFUNCTION("""COMPUTED_VALUE"""),"JL. KRAMAT PULO DALAM GG.21/C.142 D RT.007 RW.008, KRAMAT, SENEN, JAKARTA PUSAT")</f>
        <v>JL. KRAMAT PULO DALAM GG.21/C.142 D RT.007 RW.008, KRAMAT, SENEN, JAKARTA PUSAT</v>
      </c>
      <c r="U699" s="80" t="str">
        <f>IFERROR(__xludf.DUMMYFUNCTION("""COMPUTED_VALUE"""),"JL. MOH SALEH 1 NO F-67 RT 1 RW 6")</f>
        <v>JL. MOH SALEH 1 NO F-67 RT 1 RW 6</v>
      </c>
      <c r="V699" s="80"/>
      <c r="W699" s="80" t="str">
        <f>IFERROR(__xludf.DUMMYFUNCTION("""COMPUTED_VALUE"""),"KRAMAT")</f>
        <v>KRAMAT</v>
      </c>
      <c r="X699" s="80" t="str">
        <f>IFERROR(__xludf.DUMMYFUNCTION("""COMPUTED_VALUE"""),"SENEN")</f>
        <v>SENEN</v>
      </c>
      <c r="Y699" s="80" t="str">
        <f>IFERROR(__xludf.DUMMYFUNCTION("""COMPUTED_VALUE"""),"JAKARTA PUSAT")</f>
        <v>JAKARTA PUSAT</v>
      </c>
      <c r="Z699" s="80" t="str">
        <f>IFERROR(__xludf.DUMMYFUNCTION("""COMPUTED_VALUE"""),"DKI JAKARTA")</f>
        <v>DKI JAKARTA</v>
      </c>
      <c r="AA699" s="80" t="str">
        <f>IFERROR(__xludf.DUMMYFUNCTION("""COMPUTED_VALUE"""),"10450")</f>
        <v>10450</v>
      </c>
      <c r="AB699" s="80" t="str">
        <f>IFERROR(__xludf.DUMMYFUNCTION("""COMPUTED_VALUE"""),"3174011106860003")</f>
        <v>3174011106860003</v>
      </c>
      <c r="AC699" s="80" t="str">
        <f>IFERROR(__xludf.DUMMYFUNCTION("""COMPUTED_VALUE"""),"79.956.702.9-015.000")</f>
        <v>79.956.702.9-015.000</v>
      </c>
      <c r="AD699" s="80" t="str">
        <f>IFERROR(__xludf.DUMMYFUNCTION("""COMPUTED_VALUE"""),"PAK WANTO KCU CENTRUM")</f>
        <v>PAK WANTO KCU CENTRUM</v>
      </c>
      <c r="AE699" s="80" t="str">
        <f>IFERROR(__xludf.DUMMYFUNCTION("""COMPUTED_VALUE"""),"PAK WANTO KCU CENTRUM")</f>
        <v>PAK WANTO KCU CENTRUM</v>
      </c>
      <c r="AF699" s="80" t="str">
        <f>IFERROR(__xludf.DUMMYFUNCTION("""COMPUTED_VALUE"""),"081809888609")</f>
        <v>081809888609</v>
      </c>
      <c r="AG699" s="80"/>
      <c r="AH699" s="80" t="str">
        <f>IFERROR(__xludf.DUMMYFUNCTION("""COMPUTED_VALUE"""),"hayunta@gmail.com")</f>
        <v>hayunta@gmail.com</v>
      </c>
      <c r="AI699" s="80" t="str">
        <f>IFERROR(__xludf.DUMMYFUNCTION("""COMPUTED_VALUE"""),"10450S1")</f>
        <v>10450S1</v>
      </c>
      <c r="AJ699" s="80" t="str">
        <f>IFERROR(__xludf.DUMMYFUNCTION("""COMPUTED_VALUE"""),"690c1a13c9186b50ee040eb3")</f>
        <v>690c1a13c9186b50ee040eb3</v>
      </c>
      <c r="AK699" s="80" t="str">
        <f>IFERROR(__xludf.DUMMYFUNCTION("""COMPUTED_VALUE"""),"dm10450s1")</f>
        <v>dm10450s1</v>
      </c>
      <c r="AL699" s="80" t="str">
        <f>IFERROR(__xludf.DUMMYFUNCTION("""COMPUTED_VALUE"""),"#10450Pos")</f>
        <v>#10450Pos</v>
      </c>
      <c r="AM699" s="80" t="str">
        <f>IFERROR(__xludf.DUMMYFUNCTION("""COMPUTED_VALUE"""),"KANTOR REGIONAL II JAKARTA 10004")</f>
        <v>KANTOR REGIONAL II JAKARTA 10004</v>
      </c>
      <c r="AN699" s="80" t="str">
        <f>IFERROR(__xludf.DUMMYFUNCTION("""COMPUTED_VALUE"""),"KCU JAKARTACENTRUM 10000")</f>
        <v>KCU JAKARTACENTRUM 10000</v>
      </c>
      <c r="AO699" s="80" t="str">
        <f>IFERROR(__xludf.DUMMYFUNCTION("""COMPUTED_VALUE"""),"2110250045138")</f>
        <v>2110250045138</v>
      </c>
      <c r="AP699" s="80" t="str">
        <f>IFERROR(__xludf.DUMMYFUNCTION("""COMPUTED_VALUE"""),"21102500451380001")</f>
        <v>21102500451380001</v>
      </c>
      <c r="AQ699" s="83"/>
      <c r="AR699" s="80"/>
      <c r="AS699" s="80"/>
      <c r="AT699" s="80" t="str">
        <f>IFERROR(__xludf.DUMMYFUNCTION("""COMPUTED_VALUE"""),"-6.184925 ")</f>
        <v>-6.184925 </v>
      </c>
      <c r="AU699" s="80" t="str">
        <f>IFERROR(__xludf.DUMMYFUNCTION("""COMPUTED_VALUE"""),"106.847670")</f>
        <v>106.847670</v>
      </c>
      <c r="AV699" s="80"/>
      <c r="AW699" s="80"/>
      <c r="AX699" s="80"/>
      <c r="AY699" s="80"/>
      <c r="AZ699" s="80"/>
      <c r="BA699" s="80"/>
      <c r="BB699" s="80"/>
      <c r="BC699" s="80"/>
      <c r="BD699" s="80"/>
      <c r="BE699" s="80"/>
      <c r="BF699" s="80"/>
      <c r="BG699" s="80"/>
      <c r="BH699" s="80"/>
      <c r="BI699" s="80"/>
      <c r="BJ699" s="80"/>
      <c r="BK699" s="80"/>
      <c r="BL699" s="80"/>
      <c r="BM699" s="80"/>
      <c r="BN699" s="80"/>
      <c r="BO699" s="80"/>
      <c r="BP699" s="80"/>
      <c r="BQ699" s="80"/>
      <c r="BR699" s="80"/>
      <c r="BS699" s="80"/>
      <c r="BT699" s="80"/>
      <c r="BU699" s="80"/>
      <c r="BV699" s="80"/>
      <c r="BW699" s="80"/>
      <c r="BX699" s="80" t="str">
        <f>IFERROR(__xludf.DUMMYFUNCTION("""COMPUTED_VALUE"""),"MULTIKURIR - LION PARCEL - WAHANA - SICEPAT - ANTERAJA - JNE - SAP - LAZADA")</f>
        <v>MULTIKURIR - LION PARCEL - WAHANA - SICEPAT - ANTERAJA - JNE - SAP - LAZADA</v>
      </c>
      <c r="BY699" s="80"/>
      <c r="BZ699" s="80"/>
      <c r="CA699" s="80"/>
      <c r="CB699" s="80"/>
      <c r="CC699" s="80"/>
      <c r="CD699" s="80"/>
      <c r="CE699" s="80"/>
      <c r="CF699" s="80"/>
      <c r="CG699" s="80"/>
      <c r="CH699" s="80"/>
      <c r="CI699" s="80"/>
      <c r="CJ699" s="80"/>
      <c r="CK699" s="2"/>
    </row>
    <row r="700" ht="12.75" customHeight="1">
      <c r="A700" s="85">
        <f>IFERROR(__xludf.DUMMYFUNCTION("""COMPUTED_VALUE"""),697.0)</f>
        <v>697</v>
      </c>
      <c r="B700" s="85"/>
      <c r="C700" s="85"/>
      <c r="D700" s="86">
        <f>IFERROR(__xludf.DUMMYFUNCTION("""COMPUTED_VALUE"""),45944.0)</f>
        <v>45944</v>
      </c>
      <c r="E700" s="88"/>
      <c r="F700" s="85"/>
      <c r="G700" s="86">
        <f>IFERROR(__xludf.DUMMYFUNCTION("""COMPUTED_VALUE"""),45957.0)</f>
        <v>45957</v>
      </c>
      <c r="H700" s="85"/>
      <c r="I700" s="85"/>
      <c r="J700" s="85"/>
      <c r="K700" s="85"/>
      <c r="L700" s="85">
        <f>IFERROR(__xludf.DUMMYFUNCTION("""COMPUTED_VALUE"""),13.0)</f>
        <v>13</v>
      </c>
      <c r="M700" s="85"/>
      <c r="N700" s="85" t="str">
        <f>IFERROR(__xludf.DUMMYFUNCTION("""COMPUTED_VALUE"""),"ü")</f>
        <v>ü</v>
      </c>
      <c r="O700" s="85"/>
      <c r="P700" s="85" t="str">
        <f>IFERROR(__xludf.DUMMYFUNCTION("""COMPUTED_VALUE"""),"MUCSPA63284PSIND")</f>
        <v>MUCSPA63284PSIND</v>
      </c>
      <c r="Q700" s="85" t="str">
        <f>IFERROR(__xludf.DUMMYFUNCTION("""COMPUTED_VALUE"""),"MUC PASKUM 104")</f>
        <v>MUC PASKUM 104</v>
      </c>
      <c r="R700" s="85" t="str">
        <f>IFERROR(__xludf.DUMMYFUNCTION("""COMPUTED_VALUE"""),"MUC PASKUM 104")</f>
        <v>MUC PASKUM 104</v>
      </c>
      <c r="S700" s="85" t="str">
        <f>IFERROR(__xludf.DUMMYFUNCTION("""COMPUTED_VALUE"""),"PINKAN LONTOH")</f>
        <v>PINKAN LONTOH</v>
      </c>
      <c r="T700" s="85" t="str">
        <f>IFERROR(__xludf.DUMMYFUNCTION("""COMPUTED_VALUE"""),"SANGGAR INDAH BANJARAN BLOK H3 NO. 15 RT 2 RW 6")</f>
        <v>SANGGAR INDAH BANJARAN BLOK H3 NO. 15 RT 2 RW 6</v>
      </c>
      <c r="U700" s="85" t="str">
        <f>IFERROR(__xludf.DUMMYFUNCTION("""COMPUTED_VALUE"""),"JL. PASIR KUMELI NO. 104 RT 1 RW 1")</f>
        <v>JL. PASIR KUMELI NO. 104 RT 1 RW 1</v>
      </c>
      <c r="V700" s="85"/>
      <c r="W700" s="85" t="str">
        <f>IFERROR(__xludf.DUMMYFUNCTION("""COMPUTED_VALUE"""),"BAROS")</f>
        <v>BAROS</v>
      </c>
      <c r="X700" s="85" t="str">
        <f>IFERROR(__xludf.DUMMYFUNCTION("""COMPUTED_VALUE"""),"CIMAHI TENGAH")</f>
        <v>CIMAHI TENGAH</v>
      </c>
      <c r="Y700" s="85" t="str">
        <f>IFERROR(__xludf.DUMMYFUNCTION("""COMPUTED_VALUE"""),"CIMAHI")</f>
        <v>CIMAHI</v>
      </c>
      <c r="Z700" s="85" t="str">
        <f>IFERROR(__xludf.DUMMYFUNCTION("""COMPUTED_VALUE"""),"JAWA BARAT")</f>
        <v>JAWA BARAT</v>
      </c>
      <c r="AA700" s="85" t="str">
        <f>IFERROR(__xludf.DUMMYFUNCTION("""COMPUTED_VALUE"""),"40521")</f>
        <v>40521</v>
      </c>
      <c r="AB700" s="85" t="str">
        <f>IFERROR(__xludf.DUMMYFUNCTION("""COMPUTED_VALUE"""),"3277034801770021")</f>
        <v>3277034801770021</v>
      </c>
      <c r="AC700" s="85" t="str">
        <f>IFERROR(__xludf.DUMMYFUNCTION("""COMPUTED_VALUE"""),"34.013.254.7-421.000")</f>
        <v>34.013.254.7-421.000</v>
      </c>
      <c r="AD700" s="85" t="str">
        <f>IFERROR(__xludf.DUMMYFUNCTION("""COMPUTED_VALUE"""),"CUM - PS - ADS")</f>
        <v>CUM - PS - ADS</v>
      </c>
      <c r="AE700" s="85" t="str">
        <f>IFERROR(__xludf.DUMMYFUNCTION("""COMPUTED_VALUE"""),"SUB ADI SONJAYA POS")</f>
        <v>SUB ADI SONJAYA POS</v>
      </c>
      <c r="AF700" s="85" t="str">
        <f>IFERROR(__xludf.DUMMYFUNCTION("""COMPUTED_VALUE"""),"081261472741")</f>
        <v>081261472741</v>
      </c>
      <c r="AG700" s="85"/>
      <c r="AH700" s="85" t="str">
        <f>IFERROR(__xludf.DUMMYFUNCTION("""COMPUTED_VALUE"""),"pinkanlontoh08@gmail.com")</f>
        <v>pinkanlontoh08@gmail.com</v>
      </c>
      <c r="AI700" s="85" t="str">
        <f>IFERROR(__xludf.DUMMYFUNCTION("""COMPUTED_VALUE"""),"40521S4")</f>
        <v>40521S4</v>
      </c>
      <c r="AJ700" s="85" t="str">
        <f>IFERROR(__xludf.DUMMYFUNCTION("""COMPUTED_VALUE"""),"68fc4171edfd5580e10d7b59")</f>
        <v>68fc4171edfd5580e10d7b59</v>
      </c>
      <c r="AK700" s="85" t="str">
        <f>IFERROR(__xludf.DUMMYFUNCTION("""COMPUTED_VALUE"""),"dm40521s4")</f>
        <v>dm40521s4</v>
      </c>
      <c r="AL700" s="85" t="str">
        <f>IFERROR(__xludf.DUMMYFUNCTION("""COMPUTED_VALUE"""),"#40521Pos")</f>
        <v>#40521Pos</v>
      </c>
      <c r="AM700" s="85" t="str">
        <f>IFERROR(__xludf.DUMMYFUNCTION("""COMPUTED_VALUE"""),"KANTOR REGIONAL III BANDUNG 40004")</f>
        <v>KANTOR REGIONAL III BANDUNG 40004</v>
      </c>
      <c r="AN700" s="85" t="str">
        <f>IFERROR(__xludf.DUMMYFUNCTION("""COMPUTED_VALUE"""),"KC CIMAHI ")</f>
        <v>KC CIMAHI </v>
      </c>
      <c r="AO700" s="85" t="str">
        <f>IFERROR(__xludf.DUMMYFUNCTION("""COMPUTED_VALUE"""),"1112210013624")</f>
        <v>1112210013624</v>
      </c>
      <c r="AP700" s="85" t="str">
        <f>IFERROR(__xludf.DUMMYFUNCTION("""COMPUTED_VALUE"""),"11122100136240001")</f>
        <v>11122100136240001</v>
      </c>
      <c r="AQ700" s="93"/>
      <c r="AR700" s="85"/>
      <c r="AS700" s="85"/>
      <c r="AT700" s="85" t="str">
        <f>IFERROR(__xludf.DUMMYFUNCTION("""COMPUTED_VALUE"""),"-6.8862214")</f>
        <v>-6.8862214</v>
      </c>
      <c r="AU700" s="85" t="str">
        <f>IFERROR(__xludf.DUMMYFUNCTION("""COMPUTED_VALUE"""),"107.5411206")</f>
        <v>107.5411206</v>
      </c>
      <c r="AV700" s="85"/>
      <c r="AW700" s="85"/>
      <c r="AX700" s="85"/>
      <c r="AY700" s="85"/>
      <c r="AZ700" s="85"/>
      <c r="BA700" s="85"/>
      <c r="BB700" s="85"/>
      <c r="BC700" s="85"/>
      <c r="BD700" s="85"/>
      <c r="BE700" s="85"/>
      <c r="BF700" s="85"/>
      <c r="BG700" s="85"/>
      <c r="BH700" s="85"/>
      <c r="BI700" s="85"/>
      <c r="BJ700" s="85"/>
      <c r="BK700" s="85"/>
      <c r="BL700" s="85"/>
      <c r="BM700" s="85"/>
      <c r="BN700" s="85"/>
      <c r="BO700" s="85"/>
      <c r="BP700" s="85"/>
      <c r="BQ700" s="85"/>
      <c r="BR700" s="85"/>
      <c r="BS700" s="85"/>
      <c r="BT700" s="85"/>
      <c r="BU700" s="85"/>
      <c r="BV700" s="85"/>
      <c r="BW700" s="85"/>
      <c r="BX700" s="85" t="str">
        <f>IFERROR(__xludf.DUMMYFUNCTION("""COMPUTED_VALUE"""),"NEWBIE BRILINK")</f>
        <v>NEWBIE BRILINK</v>
      </c>
      <c r="BY700" s="85"/>
      <c r="BZ700" s="85"/>
      <c r="CA700" s="85"/>
      <c r="CB700" s="85"/>
      <c r="CC700" s="85"/>
      <c r="CD700" s="85"/>
      <c r="CE700" s="85"/>
      <c r="CF700" s="85"/>
      <c r="CG700" s="85"/>
      <c r="CH700" s="85"/>
      <c r="CI700" s="85"/>
      <c r="CJ700" s="85"/>
      <c r="CK700" s="2"/>
    </row>
    <row r="701" ht="12.75" customHeight="1">
      <c r="A701" s="80">
        <f>IFERROR(__xludf.DUMMYFUNCTION("""COMPUTED_VALUE"""),698.0)</f>
        <v>698</v>
      </c>
      <c r="B701" s="80"/>
      <c r="C701" s="80"/>
      <c r="D701" s="81">
        <f>IFERROR(__xludf.DUMMYFUNCTION("""COMPUTED_VALUE"""),45944.0)</f>
        <v>45944</v>
      </c>
      <c r="E701" s="82"/>
      <c r="F701" s="80"/>
      <c r="G701" s="81"/>
      <c r="H701" s="80"/>
      <c r="I701" s="80"/>
      <c r="J701" s="80"/>
      <c r="K701" s="80"/>
      <c r="L701" s="80"/>
      <c r="M701" s="80"/>
      <c r="N701" s="80" t="str">
        <f>IFERROR(__xludf.DUMMYFUNCTION("""COMPUTED_VALUE"""),"ü")</f>
        <v>ü</v>
      </c>
      <c r="O701" s="80"/>
      <c r="P701" s="80" t="str">
        <f>IFERROR(__xludf.DUMMYFUNCTION("""COMPUTED_VALUE"""),"MLO5500051CUMPOS")</f>
        <v>MLO5500051CUMPOS</v>
      </c>
      <c r="Q701" s="80" t="str">
        <f>IFERROR(__xludf.DUMMYFUNCTION("""COMPUTED_VALUE"""),"MUC MHL STORE")</f>
        <v>MUC MHL STORE</v>
      </c>
      <c r="R701" s="80" t="str">
        <f>IFERROR(__xludf.DUMMYFUNCTION("""COMPUTED_VALUE"""),"MUC MHL STORE")</f>
        <v>MUC MHL STORE</v>
      </c>
      <c r="S701" s="80" t="str">
        <f>IFERROR(__xludf.DUMMYFUNCTION("""COMPUTED_VALUE"""),"MINHAIZUL")</f>
        <v>MINHAIZUL</v>
      </c>
      <c r="T701" s="80" t="str">
        <f>IFERROR(__xludf.DUMMYFUNCTION("""COMPUTED_VALUE"""),"BLOK DESA RT.003 RW.001, CILEDUG WETAN, CILEDUG, KAB. CIREBON")</f>
        <v>BLOK DESA RT.003 RW.001, CILEDUG WETAN, CILEDUG, KAB. CIREBON</v>
      </c>
      <c r="U701" s="80" t="str">
        <f>IFERROR(__xludf.DUMMYFUNCTION("""COMPUTED_VALUE"""),"DESA CILEGUG WETAN RT.03 RW.01")</f>
        <v>DESA CILEGUG WETAN RT.03 RW.01</v>
      </c>
      <c r="V701" s="80"/>
      <c r="W701" s="80" t="str">
        <f>IFERROR(__xludf.DUMMYFUNCTION("""COMPUTED_VALUE"""),"CILEDUG WETAN")</f>
        <v>CILEDUG WETAN</v>
      </c>
      <c r="X701" s="80" t="str">
        <f>IFERROR(__xludf.DUMMYFUNCTION("""COMPUTED_VALUE"""),"CILEDUG")</f>
        <v>CILEDUG</v>
      </c>
      <c r="Y701" s="80" t="str">
        <f>IFERROR(__xludf.DUMMYFUNCTION("""COMPUTED_VALUE"""),"CIREBON")</f>
        <v>CIREBON</v>
      </c>
      <c r="Z701" s="80" t="str">
        <f>IFERROR(__xludf.DUMMYFUNCTION("""COMPUTED_VALUE"""),"JAWA BARAT")</f>
        <v>JAWA BARAT</v>
      </c>
      <c r="AA701" s="80" t="str">
        <f>IFERROR(__xludf.DUMMYFUNCTION("""COMPUTED_VALUE"""),"45188")</f>
        <v>45188</v>
      </c>
      <c r="AB701" s="80" t="str">
        <f>IFERROR(__xludf.DUMMYFUNCTION("""COMPUTED_VALUE"""),"3209020708950007")</f>
        <v>3209020708950007</v>
      </c>
      <c r="AC701" s="80" t="str">
        <f>IFERROR(__xludf.DUMMYFUNCTION("""COMPUTED_VALUE"""),"72.096.690.2-426.000")</f>
        <v>72.096.690.2-426.000</v>
      </c>
      <c r="AD701" s="80" t="str">
        <f>IFERROR(__xludf.DUMMYFUNCTION("""COMPUTED_VALUE"""),"CUM - PS - JHR")</f>
        <v>CUM - PS - JHR</v>
      </c>
      <c r="AE701" s="80" t="str">
        <f>IFERROR(__xludf.DUMMYFUNCTION("""COMPUTED_VALUE"""),"SUB JOHAN POS")</f>
        <v>SUB JOHAN POS</v>
      </c>
      <c r="AF701" s="80" t="str">
        <f>IFERROR(__xludf.DUMMYFUNCTION("""COMPUTED_VALUE"""),"0895399205501")</f>
        <v>0895399205501</v>
      </c>
      <c r="AG701" s="80"/>
      <c r="AH701" s="80" t="str">
        <f>IFERROR(__xludf.DUMMYFUNCTION("""COMPUTED_VALUE"""),"izul140@gmail.com")</f>
        <v>izul140@gmail.com</v>
      </c>
      <c r="AI701" s="80"/>
      <c r="AJ701" s="80"/>
      <c r="AK701" s="80"/>
      <c r="AL701" s="80"/>
      <c r="AM701" s="80" t="str">
        <f>IFERROR(__xludf.DUMMYFUNCTION("""COMPUTED_VALUE"""),"KANTOR REGIONAL III BANDUNG 40004")</f>
        <v>KANTOR REGIONAL III BANDUNG 40004</v>
      </c>
      <c r="AN701" s="80" t="str">
        <f>IFERROR(__xludf.DUMMYFUNCTION("""COMPUTED_VALUE"""),"KCU CIREBON 45100")</f>
        <v>KCU CIREBON 45100</v>
      </c>
      <c r="AO701" s="80" t="str">
        <f>IFERROR(__xludf.DUMMYFUNCTION("""COMPUTED_VALUE"""),"MENYUSUL")</f>
        <v>MENYUSUL</v>
      </c>
      <c r="AP701" s="80" t="str">
        <f>IFERROR(__xludf.DUMMYFUNCTION("""COMPUTED_VALUE"""),"MENYUSUL")</f>
        <v>MENYUSUL</v>
      </c>
      <c r="AQ701" s="83"/>
      <c r="AR701" s="80"/>
      <c r="AS701" s="80"/>
      <c r="AT701" s="80" t="str">
        <f>IFERROR(__xludf.DUMMYFUNCTION("""COMPUTED_VALUE"""),"-6.9078643")</f>
        <v>-6.9078643</v>
      </c>
      <c r="AU701" s="80" t="str">
        <f>IFERROR(__xludf.DUMMYFUNCTION("""COMPUTED_VALUE"""),"108.7519818")</f>
        <v>108.7519818</v>
      </c>
      <c r="AV701" s="80"/>
      <c r="AW701" s="80"/>
      <c r="AX701" s="80"/>
      <c r="AY701" s="80"/>
      <c r="AZ701" s="80"/>
      <c r="BA701" s="80"/>
      <c r="BB701" s="80"/>
      <c r="BC701" s="80"/>
      <c r="BD701" s="80"/>
      <c r="BE701" s="80"/>
      <c r="BF701" s="80"/>
      <c r="BG701" s="80"/>
      <c r="BH701" s="80"/>
      <c r="BI701" s="80"/>
      <c r="BJ701" s="80"/>
      <c r="BK701" s="80"/>
      <c r="BL701" s="80"/>
      <c r="BM701" s="80"/>
      <c r="BN701" s="80"/>
      <c r="BO701" s="80"/>
      <c r="BP701" s="80"/>
      <c r="BQ701" s="80"/>
      <c r="BR701" s="80"/>
      <c r="BS701" s="80"/>
      <c r="BT701" s="80"/>
      <c r="BU701" s="80"/>
      <c r="BV701" s="80"/>
      <c r="BW701" s="80"/>
      <c r="BX701" s="80" t="str">
        <f>IFERROR(__xludf.DUMMYFUNCTION("""COMPUTED_VALUE"""),"POS")</f>
        <v>POS</v>
      </c>
      <c r="BY701" s="80"/>
      <c r="BZ701" s="80"/>
      <c r="CA701" s="80"/>
      <c r="CB701" s="80"/>
      <c r="CC701" s="80"/>
      <c r="CD701" s="80"/>
      <c r="CE701" s="80"/>
      <c r="CF701" s="80"/>
      <c r="CG701" s="80"/>
      <c r="CH701" s="80"/>
      <c r="CI701" s="80"/>
      <c r="CJ701" s="80"/>
      <c r="CK701" s="2"/>
    </row>
    <row r="702" ht="12.75" customHeight="1">
      <c r="A702" s="85">
        <f>IFERROR(__xludf.DUMMYFUNCTION("""COMPUTED_VALUE"""),699.0)</f>
        <v>699</v>
      </c>
      <c r="B702" s="85"/>
      <c r="C702" s="85"/>
      <c r="D702" s="86">
        <f>IFERROR(__xludf.DUMMYFUNCTION("""COMPUTED_VALUE"""),45944.0)</f>
        <v>45944</v>
      </c>
      <c r="E702" s="88"/>
      <c r="F702" s="85"/>
      <c r="G702" s="86"/>
      <c r="H702" s="85"/>
      <c r="I702" s="85"/>
      <c r="J702" s="85"/>
      <c r="K702" s="85"/>
      <c r="L702" s="85"/>
      <c r="M702" s="85" t="str">
        <f>IFERROR(__xludf.DUMMYFUNCTION("""COMPUTED_VALUE"""),"ü")</f>
        <v>ü</v>
      </c>
      <c r="N702" s="85"/>
      <c r="O702" s="85"/>
      <c r="P702" s="85" t="str">
        <f>IFERROR(__xludf.DUMMYFUNCTION("""COMPUTED_VALUE"""),"MUCSPA63285PSIND")</f>
        <v>MUCSPA63285PSIND</v>
      </c>
      <c r="Q702" s="85" t="str">
        <f>IFERROR(__xludf.DUMMYFUNCTION("""COMPUTED_VALUE"""),"MUC Condet Pejaten")</f>
        <v>MUC Condet Pejaten</v>
      </c>
      <c r="R702" s="85" t="str">
        <f>IFERROR(__xludf.DUMMYFUNCTION("""COMPUTED_VALUE"""),"MUC Condet Pejaten")</f>
        <v>MUC Condet Pejaten</v>
      </c>
      <c r="S702" s="85" t="str">
        <f>IFERROR(__xludf.DUMMYFUNCTION("""COMPUTED_VALUE"""),"KARTIKA SARI")</f>
        <v>KARTIKA SARI</v>
      </c>
      <c r="T702" s="85" t="str">
        <f>IFERROR(__xludf.DUMMYFUNCTION("""COMPUTED_VALUE"""),"JL. JATI PADANG UTARA RT.013 RW.002, JATI PADANG, PASAR MINGGU, JAKARTA SELATAN")</f>
        <v>JL. JATI PADANG UTARA RT.013 RW.002, JATI PADANG, PASAR MINGGU, JAKARTA SELATAN</v>
      </c>
      <c r="U702" s="85" t="str">
        <f>IFERROR(__xludf.DUMMYFUNCTION("""COMPUTED_VALUE"""),"Jl. Pejaten Raya RT.13/2 NO. 12c")</f>
        <v>Jl. Pejaten Raya RT.13/2 NO. 12c</v>
      </c>
      <c r="V702" s="85"/>
      <c r="W702" s="85" t="str">
        <f>IFERROR(__xludf.DUMMYFUNCTION("""COMPUTED_VALUE"""),"Jati Padang")</f>
        <v>Jati Padang</v>
      </c>
      <c r="X702" s="85" t="str">
        <f>IFERROR(__xludf.DUMMYFUNCTION("""COMPUTED_VALUE"""),"Pasar Minggu")</f>
        <v>Pasar Minggu</v>
      </c>
      <c r="Y702" s="85" t="str">
        <f>IFERROR(__xludf.DUMMYFUNCTION("""COMPUTED_VALUE"""),"Jakarta Selatan")</f>
        <v>Jakarta Selatan</v>
      </c>
      <c r="Z702" s="85" t="str">
        <f>IFERROR(__xludf.DUMMYFUNCTION("""COMPUTED_VALUE"""),"DKI Jakarta")</f>
        <v>DKI Jakarta</v>
      </c>
      <c r="AA702" s="85" t="str">
        <f>IFERROR(__xludf.DUMMYFUNCTION("""COMPUTED_VALUE"""),"12550")</f>
        <v>12550</v>
      </c>
      <c r="AB702" s="85" t="str">
        <f>IFERROR(__xludf.DUMMYFUNCTION("""COMPUTED_VALUE"""),"3174044111900003")</f>
        <v>3174044111900003</v>
      </c>
      <c r="AC702" s="85" t="str">
        <f>IFERROR(__xludf.DUMMYFUNCTION("""COMPUTED_VALUE"""),"89.818.72.4-017.000")</f>
        <v>89.818.72.4-017.000</v>
      </c>
      <c r="AD702" s="85" t="str">
        <f>IFERROR(__xludf.DUMMYFUNCTION("""COMPUTED_VALUE"""),"CUM - PS - MIRS")</f>
        <v>CUM - PS - MIRS</v>
      </c>
      <c r="AE702" s="85" t="str">
        <f>IFERROR(__xludf.DUMMYFUNCTION("""COMPUTED_VALUE"""),"SUB ANGGA POS")</f>
        <v>SUB ANGGA POS</v>
      </c>
      <c r="AF702" s="85" t="str">
        <f>IFERROR(__xludf.DUMMYFUNCTION("""COMPUTED_VALUE"""),"082124735331")</f>
        <v>082124735331</v>
      </c>
      <c r="AG702" s="85"/>
      <c r="AH702" s="85" t="str">
        <f>IFERROR(__xludf.DUMMYFUNCTION("""COMPUTED_VALUE"""),"poscondetpejaten@gmail.com")</f>
        <v>poscondetpejaten@gmail.com</v>
      </c>
      <c r="AI702" s="85"/>
      <c r="AJ702" s="85"/>
      <c r="AK702" s="85"/>
      <c r="AL702" s="85"/>
      <c r="AM702" s="85" t="str">
        <f>IFERROR(__xludf.DUMMYFUNCTION("""COMPUTED_VALUE"""),"KANTOR REGIONAL II JAKARTA 10004")</f>
        <v>KANTOR REGIONAL II JAKARTA 10004</v>
      </c>
      <c r="AN702" s="85" t="str">
        <f>IFERROR(__xludf.DUMMYFUNCTION("""COMPUTED_VALUE"""),"KCU JAKARTAFLORA 12000")</f>
        <v>KCU JAKARTAFLORA 12000</v>
      </c>
      <c r="AO702" s="85" t="str">
        <f>IFERROR(__xludf.DUMMYFUNCTION("""COMPUTED_VALUE"""),"3001240072508")</f>
        <v>3001240072508</v>
      </c>
      <c r="AP702" s="85" t="str">
        <f>IFERROR(__xludf.DUMMYFUNCTION("""COMPUTED_VALUE"""),"30012400725080001")</f>
        <v>30012400725080001</v>
      </c>
      <c r="AQ702" s="93"/>
      <c r="AR702" s="85"/>
      <c r="AS702" s="85"/>
      <c r="AT702" s="85" t="str">
        <f>IFERROR(__xludf.DUMMYFUNCTION("""COMPUTED_VALUE"""),"-6.278682")</f>
        <v>-6.278682</v>
      </c>
      <c r="AU702" s="85" t="str">
        <f>IFERROR(__xludf.DUMMYFUNCTION("""COMPUTED_VALUE"""),"106.831785")</f>
        <v>106.831785</v>
      </c>
      <c r="AV702" s="85"/>
      <c r="AW702" s="85"/>
      <c r="AX702" s="85"/>
      <c r="AY702" s="85"/>
      <c r="AZ702" s="85"/>
      <c r="BA702" s="85"/>
      <c r="BB702" s="85"/>
      <c r="BC702" s="85"/>
      <c r="BD702" s="85"/>
      <c r="BE702" s="85"/>
      <c r="BF702" s="85"/>
      <c r="BG702" s="85"/>
      <c r="BH702" s="85"/>
      <c r="BI702" s="85"/>
      <c r="BJ702" s="85"/>
      <c r="BK702" s="85"/>
      <c r="BL702" s="85"/>
      <c r="BM702" s="85"/>
      <c r="BN702" s="85"/>
      <c r="BO702" s="85"/>
      <c r="BP702" s="85"/>
      <c r="BQ702" s="85"/>
      <c r="BR702" s="85"/>
      <c r="BS702" s="85"/>
      <c r="BT702" s="85"/>
      <c r="BU702" s="85"/>
      <c r="BV702" s="85"/>
      <c r="BW702" s="85"/>
      <c r="BX702" s="85" t="str">
        <f>IFERROR(__xludf.DUMMYFUNCTION("""COMPUTED_VALUE"""),"MULTIKURIR - LION PARCEL")</f>
        <v>MULTIKURIR - LION PARCEL</v>
      </c>
      <c r="BY702" s="85"/>
      <c r="BZ702" s="85"/>
      <c r="CA702" s="85"/>
      <c r="CB702" s="85"/>
      <c r="CC702" s="85"/>
      <c r="CD702" s="85"/>
      <c r="CE702" s="85"/>
      <c r="CF702" s="85"/>
      <c r="CG702" s="85"/>
      <c r="CH702" s="85"/>
      <c r="CI702" s="85"/>
      <c r="CJ702" s="85"/>
      <c r="CK702" s="2"/>
    </row>
    <row r="703" ht="12.75" customHeight="1">
      <c r="A703" s="80">
        <f>IFERROR(__xludf.DUMMYFUNCTION("""COMPUTED_VALUE"""),700.0)</f>
        <v>700</v>
      </c>
      <c r="B703" s="80"/>
      <c r="C703" s="80"/>
      <c r="D703" s="81">
        <f>IFERROR(__xludf.DUMMYFUNCTION("""COMPUTED_VALUE"""),45950.0)</f>
        <v>45950</v>
      </c>
      <c r="E703" s="82"/>
      <c r="F703" s="80"/>
      <c r="G703" s="81">
        <f>IFERROR(__xludf.DUMMYFUNCTION("""COMPUTED_VALUE"""),45965.0)</f>
        <v>45965</v>
      </c>
      <c r="H703" s="80"/>
      <c r="I703" s="80"/>
      <c r="J703" s="80"/>
      <c r="K703" s="80"/>
      <c r="L703" s="80">
        <f>IFERROR(__xludf.DUMMYFUNCTION("""COMPUTED_VALUE"""),15.0)</f>
        <v>15</v>
      </c>
      <c r="M703" s="80" t="str">
        <f>IFERROR(__xludf.DUMMYFUNCTION("""COMPUTED_VALUE"""),"ü")</f>
        <v>ü</v>
      </c>
      <c r="N703" s="80"/>
      <c r="O703" s="80"/>
      <c r="P703" s="80" t="str">
        <f>IFERROR(__xludf.DUMMYFUNCTION("""COMPUTED_VALUE"""),"MUCSPA63286PSIND")</f>
        <v>MUCSPA63286PSIND</v>
      </c>
      <c r="Q703" s="80" t="str">
        <f>IFERROR(__xludf.DUMMYFUNCTION("""COMPUTED_VALUE"""),"MUC DIKY ZM")</f>
        <v>MUC DIKY ZM</v>
      </c>
      <c r="R703" s="80" t="str">
        <f>IFERROR(__xludf.DUMMYFUNCTION("""COMPUTED_VALUE"""),"MUC DIKY ZM")</f>
        <v>MUC DIKY ZM</v>
      </c>
      <c r="S703" s="80" t="str">
        <f>IFERROR(__xludf.DUMMYFUNCTION("""COMPUTED_VALUE"""),"DIKY ZAMALUDIN M,S.Pd")</f>
        <v>DIKY ZAMALUDIN M,S.Pd</v>
      </c>
      <c r="T703" s="80" t="str">
        <f>IFERROR(__xludf.DUMMYFUNCTION("""COMPUTED_VALUE"""),"KP. SAPAN RT 03 RW 06 DS. SUMBERSARI KEC. CIPARAY")</f>
        <v>KP. SAPAN RT 03 RW 06 DS. SUMBERSARI KEC. CIPARAY</v>
      </c>
      <c r="U703" s="80" t="str">
        <f>IFERROR(__xludf.DUMMYFUNCTION("""COMPUTED_VALUE"""),"KP. SAPAN RT 03 RW 06 ")</f>
        <v>KP. SAPAN RT 03 RW 06 </v>
      </c>
      <c r="V703" s="80"/>
      <c r="W703" s="80" t="str">
        <f>IFERROR(__xludf.DUMMYFUNCTION("""COMPUTED_VALUE"""),"SUMBERSARI")</f>
        <v>SUMBERSARI</v>
      </c>
      <c r="X703" s="80" t="str">
        <f>IFERROR(__xludf.DUMMYFUNCTION("""COMPUTED_VALUE"""),"CIPARAY")</f>
        <v>CIPARAY</v>
      </c>
      <c r="Y703" s="80" t="str">
        <f>IFERROR(__xludf.DUMMYFUNCTION("""COMPUTED_VALUE"""),"KAB. BANDUNG")</f>
        <v>KAB. BANDUNG</v>
      </c>
      <c r="Z703" s="80" t="str">
        <f>IFERROR(__xludf.DUMMYFUNCTION("""COMPUTED_VALUE"""),"JAWA BARAT")</f>
        <v>JAWA BARAT</v>
      </c>
      <c r="AA703" s="80" t="str">
        <f>IFERROR(__xludf.DUMMYFUNCTION("""COMPUTED_VALUE"""),"40381")</f>
        <v>40381</v>
      </c>
      <c r="AB703" s="80" t="str">
        <f>IFERROR(__xludf.DUMMYFUNCTION("""COMPUTED_VALUE"""),"3204290510900005")</f>
        <v>3204290510900005</v>
      </c>
      <c r="AC703" s="80" t="str">
        <f>IFERROR(__xludf.DUMMYFUNCTION("""COMPUTED_VALUE"""),"11.664.155.6-444.000")</f>
        <v>11.664.155.6-444.000</v>
      </c>
      <c r="AD703" s="80" t="str">
        <f>IFERROR(__xludf.DUMMYFUNCTION("""COMPUTED_VALUE"""),"CUM - PS - THI")</f>
        <v>CUM - PS - THI</v>
      </c>
      <c r="AE703" s="80" t="str">
        <f>IFERROR(__xludf.DUMMYFUNCTION("""COMPUTED_VALUE"""),"SUB THIO POS")</f>
        <v>SUB THIO POS</v>
      </c>
      <c r="AF703" s="80" t="str">
        <f>IFERROR(__xludf.DUMMYFUNCTION("""COMPUTED_VALUE"""),"082316302106")</f>
        <v>082316302106</v>
      </c>
      <c r="AG703" s="80"/>
      <c r="AH703" s="80" t="str">
        <f>IFERROR(__xludf.DUMMYFUNCTION("""COMPUTED_VALUE"""),"dikyzamaludin54@gmail.com")</f>
        <v>dikyzamaludin54@gmail.com</v>
      </c>
      <c r="AI703" s="80" t="str">
        <f>IFERROR(__xludf.DUMMYFUNCTION("""COMPUTED_VALUE"""),"40381S3")</f>
        <v>40381S3</v>
      </c>
      <c r="AJ703" s="80" t="str">
        <f>IFERROR(__xludf.DUMMYFUNCTION("""COMPUTED_VALUE"""),"6909bb33cdabb6fd100d7d48")</f>
        <v>6909bb33cdabb6fd100d7d48</v>
      </c>
      <c r="AK703" s="80" t="str">
        <f>IFERROR(__xludf.DUMMYFUNCTION("""COMPUTED_VALUE"""),"dm40381s3")</f>
        <v>dm40381s3</v>
      </c>
      <c r="AL703" s="80" t="str">
        <f>IFERROR(__xludf.DUMMYFUNCTION("""COMPUTED_VALUE"""),"#40381Pos")</f>
        <v>#40381Pos</v>
      </c>
      <c r="AM703" s="80" t="str">
        <f>IFERROR(__xludf.DUMMYFUNCTION("""COMPUTED_VALUE"""),"KANTOR REGIONAL III BANDUNG 40004")</f>
        <v>KANTOR REGIONAL III BANDUNG 40004</v>
      </c>
      <c r="AN703" s="80" t="str">
        <f>IFERROR(__xludf.DUMMYFUNCTION("""COMPUTED_VALUE"""),"KC UJUNGBERUNG ")</f>
        <v>KC UJUNGBERUNG </v>
      </c>
      <c r="AO703" s="80" t="str">
        <f>IFERROR(__xludf.DUMMYFUNCTION("""COMPUTED_VALUE"""),"080821000073")</f>
        <v>080821000073</v>
      </c>
      <c r="AP703" s="80" t="str">
        <f>IFERROR(__xludf.DUMMYFUNCTION("""COMPUTED_VALUE"""),"08082100000730002")</f>
        <v>08082100000730002</v>
      </c>
      <c r="AQ703" s="83"/>
      <c r="AR703" s="80"/>
      <c r="AS703" s="80"/>
      <c r="AT703" s="80" t="str">
        <f>IFERROR(__xludf.DUMMYFUNCTION("""COMPUTED_VALUE"""),"-6.9133686")</f>
        <v>-6.9133686</v>
      </c>
      <c r="AU703" s="80" t="str">
        <f>IFERROR(__xludf.DUMMYFUNCTION("""COMPUTED_VALUE"""),"107.7018497")</f>
        <v>107.7018497</v>
      </c>
      <c r="AV703" s="80"/>
      <c r="AW703" s="80"/>
      <c r="AX703" s="80"/>
      <c r="AY703" s="80"/>
      <c r="AZ703" s="80"/>
      <c r="BA703" s="80"/>
      <c r="BB703" s="80"/>
      <c r="BC703" s="80"/>
      <c r="BD703" s="80"/>
      <c r="BE703" s="80"/>
      <c r="BF703" s="80"/>
      <c r="BG703" s="80"/>
      <c r="BH703" s="80"/>
      <c r="BI703" s="80"/>
      <c r="BJ703" s="80"/>
      <c r="BK703" s="80"/>
      <c r="BL703" s="80"/>
      <c r="BM703" s="80"/>
      <c r="BN703" s="80"/>
      <c r="BO703" s="80"/>
      <c r="BP703" s="80"/>
      <c r="BQ703" s="80"/>
      <c r="BR703" s="80"/>
      <c r="BS703" s="80"/>
      <c r="BT703" s="80"/>
      <c r="BU703" s="80"/>
      <c r="BV703" s="80"/>
      <c r="BW703" s="80"/>
      <c r="BX703" s="80" t="str">
        <f>IFERROR(__xludf.DUMMYFUNCTION("""COMPUTED_VALUE"""),"MULTIKURIR - SPX")</f>
        <v>MULTIKURIR - SPX</v>
      </c>
      <c r="BY703" s="80"/>
      <c r="BZ703" s="80"/>
      <c r="CA703" s="80"/>
      <c r="CB703" s="80"/>
      <c r="CC703" s="80"/>
      <c r="CD703" s="80"/>
      <c r="CE703" s="80"/>
      <c r="CF703" s="80"/>
      <c r="CG703" s="80"/>
      <c r="CH703" s="80"/>
      <c r="CI703" s="80"/>
      <c r="CJ703" s="80"/>
      <c r="CK703" s="2"/>
    </row>
    <row r="704" ht="12.75" customHeight="1">
      <c r="A704" s="85">
        <f>IFERROR(__xludf.DUMMYFUNCTION("""COMPUTED_VALUE"""),701.0)</f>
        <v>701</v>
      </c>
      <c r="B704" s="85"/>
      <c r="C704" s="85"/>
      <c r="D704" s="86">
        <f>IFERROR(__xludf.DUMMYFUNCTION("""COMPUTED_VALUE"""),45950.0)</f>
        <v>45950</v>
      </c>
      <c r="E704" s="88"/>
      <c r="F704" s="85"/>
      <c r="G704" s="86"/>
      <c r="H704" s="85"/>
      <c r="I704" s="85"/>
      <c r="J704" s="85"/>
      <c r="K704" s="85"/>
      <c r="L704" s="85"/>
      <c r="M704" s="85"/>
      <c r="N704" s="85" t="str">
        <f>IFERROR(__xludf.DUMMYFUNCTION("""COMPUTED_VALUE"""),"ü")</f>
        <v>ü</v>
      </c>
      <c r="O704" s="85"/>
      <c r="P704" s="85" t="str">
        <f>IFERROR(__xludf.DUMMYFUNCTION("""COMPUTED_VALUE"""),"MLO5500053CUMPOS")</f>
        <v>MLO5500053CUMPOS</v>
      </c>
      <c r="Q704" s="85" t="str">
        <f>IFERROR(__xludf.DUMMYFUNCTION("""COMPUTED_VALUE"""),"MUC RN Shop ")</f>
        <v>MUC RN Shop </v>
      </c>
      <c r="R704" s="85" t="str">
        <f>IFERROR(__xludf.DUMMYFUNCTION("""COMPUTED_VALUE"""),"MUC RN Shop ")</f>
        <v>MUC RN Shop </v>
      </c>
      <c r="S704" s="85" t="str">
        <f>IFERROR(__xludf.DUMMYFUNCTION("""COMPUTED_VALUE"""),"JONIH MARTIAN")</f>
        <v>JONIH MARTIAN</v>
      </c>
      <c r="T704" s="85" t="str">
        <f>IFERROR(__xludf.DUMMYFUNCTION("""COMPUTED_VALUE"""),"Dusun Pon RT 009 RW 005 Desa pasaleman kec pasaleman kab cirebon")</f>
        <v>Dusun Pon RT 009 RW 005 Desa pasaleman kec pasaleman kab cirebon</v>
      </c>
      <c r="U704" s="85" t="str">
        <f>IFERROR(__xludf.DUMMYFUNCTION("""COMPUTED_VALUE"""),"Dusun Pon ")</f>
        <v>Dusun Pon </v>
      </c>
      <c r="V704" s="85"/>
      <c r="W704" s="85" t="str">
        <f>IFERROR(__xludf.DUMMYFUNCTION("""COMPUTED_VALUE"""),"pasaleman")</f>
        <v>pasaleman</v>
      </c>
      <c r="X704" s="85" t="str">
        <f>IFERROR(__xludf.DUMMYFUNCTION("""COMPUTED_VALUE"""),"pasaleman")</f>
        <v>pasaleman</v>
      </c>
      <c r="Y704" s="85" t="str">
        <f>IFERROR(__xludf.DUMMYFUNCTION("""COMPUTED_VALUE"""),"kab Cirebon")</f>
        <v>kab Cirebon</v>
      </c>
      <c r="Z704" s="85" t="str">
        <f>IFERROR(__xludf.DUMMYFUNCTION("""COMPUTED_VALUE"""),"Jawa barat")</f>
        <v>Jawa barat</v>
      </c>
      <c r="AA704" s="85" t="str">
        <f>IFERROR(__xludf.DUMMYFUNCTION("""COMPUTED_VALUE"""),"45187")</f>
        <v>45187</v>
      </c>
      <c r="AB704" s="85" t="str">
        <f>IFERROR(__xludf.DUMMYFUNCTION("""COMPUTED_VALUE"""),"3209012707820008")</f>
        <v>3209012707820008</v>
      </c>
      <c r="AC704" s="85" t="str">
        <f>IFERROR(__xludf.DUMMYFUNCTION("""COMPUTED_VALUE"""),"83.540.343.7-426.000")</f>
        <v>83.540.343.7-426.000</v>
      </c>
      <c r="AD704" s="85" t="str">
        <f>IFERROR(__xludf.DUMMYFUNCTION("""COMPUTED_VALUE"""),"CUM - PS - JHR")</f>
        <v>CUM - PS - JHR</v>
      </c>
      <c r="AE704" s="85" t="str">
        <f>IFERROR(__xludf.DUMMYFUNCTION("""COMPUTED_VALUE"""),"SUB JOHAN POS")</f>
        <v>SUB JOHAN POS</v>
      </c>
      <c r="AF704" s="85" t="str">
        <f>IFERROR(__xludf.DUMMYFUNCTION("""COMPUTED_VALUE"""),"083178015216")</f>
        <v>083178015216</v>
      </c>
      <c r="AG704" s="85"/>
      <c r="AH704" s="85" t="str">
        <f>IFERROR(__xludf.DUMMYFUNCTION("""COMPUTED_VALUE"""),"jonihmartian50@gmail.com")</f>
        <v>jonihmartian50@gmail.com</v>
      </c>
      <c r="AI704" s="85"/>
      <c r="AJ704" s="85"/>
      <c r="AK704" s="85"/>
      <c r="AL704" s="85"/>
      <c r="AM704" s="85" t="str">
        <f>IFERROR(__xludf.DUMMYFUNCTION("""COMPUTED_VALUE"""),"KANTOR REGIONAL III BANDUNG 40004")</f>
        <v>KANTOR REGIONAL III BANDUNG 40004</v>
      </c>
      <c r="AN704" s="85" t="str">
        <f>IFERROR(__xludf.DUMMYFUNCTION("""COMPUTED_VALUE"""),"KCU CIREBON 45100")</f>
        <v>KCU CIREBON 45100</v>
      </c>
      <c r="AO704" s="85" t="str">
        <f>IFERROR(__xludf.DUMMYFUNCTION("""COMPUTED_VALUE"""),"MENYUSUL")</f>
        <v>MENYUSUL</v>
      </c>
      <c r="AP704" s="85" t="str">
        <f>IFERROR(__xludf.DUMMYFUNCTION("""COMPUTED_VALUE"""),"MENYUSUL")</f>
        <v>MENYUSUL</v>
      </c>
      <c r="AQ704" s="93"/>
      <c r="AR704" s="85"/>
      <c r="AS704" s="85"/>
      <c r="AT704" s="85" t="str">
        <f>IFERROR(__xludf.DUMMYFUNCTION("""COMPUTED_VALUE"""),"-6.822666")</f>
        <v>-6.822666</v>
      </c>
      <c r="AU704" s="85" t="str">
        <f>IFERROR(__xludf.DUMMYFUNCTION("""COMPUTED_VALUE"""),"108.726280")</f>
        <v>108.726280</v>
      </c>
      <c r="AV704" s="85"/>
      <c r="AW704" s="85"/>
      <c r="AX704" s="85"/>
      <c r="AY704" s="85"/>
      <c r="AZ704" s="85"/>
      <c r="BA704" s="85"/>
      <c r="BB704" s="85"/>
      <c r="BC704" s="85"/>
      <c r="BD704" s="85"/>
      <c r="BE704" s="85"/>
      <c r="BF704" s="85"/>
      <c r="BG704" s="85"/>
      <c r="BH704" s="85"/>
      <c r="BI704" s="85"/>
      <c r="BJ704" s="85"/>
      <c r="BK704" s="85"/>
      <c r="BL704" s="85"/>
      <c r="BM704" s="85"/>
      <c r="BN704" s="85"/>
      <c r="BO704" s="85"/>
      <c r="BP704" s="85"/>
      <c r="BQ704" s="85"/>
      <c r="BR704" s="85"/>
      <c r="BS704" s="85"/>
      <c r="BT704" s="85"/>
      <c r="BU704" s="85"/>
      <c r="BV704" s="85"/>
      <c r="BW704" s="85"/>
      <c r="BX704" s="85" t="str">
        <f>IFERROR(__xludf.DUMMYFUNCTION("""COMPUTED_VALUE"""),"SELLER")</f>
        <v>SELLER</v>
      </c>
      <c r="BY704" s="85"/>
      <c r="BZ704" s="85"/>
      <c r="CA704" s="85"/>
      <c r="CB704" s="85"/>
      <c r="CC704" s="85"/>
      <c r="CD704" s="85"/>
      <c r="CE704" s="85"/>
      <c r="CF704" s="85"/>
      <c r="CG704" s="85"/>
      <c r="CH704" s="85"/>
      <c r="CI704" s="85"/>
      <c r="CJ704" s="85"/>
      <c r="CK704" s="2"/>
    </row>
    <row r="705" ht="12.75" customHeight="1">
      <c r="A705" s="80">
        <f>IFERROR(__xludf.DUMMYFUNCTION("""COMPUTED_VALUE"""),702.0)</f>
        <v>702</v>
      </c>
      <c r="B705" s="80"/>
      <c r="C705" s="80"/>
      <c r="D705" s="81">
        <f>IFERROR(__xludf.DUMMYFUNCTION("""COMPUTED_VALUE"""),45951.0)</f>
        <v>45951</v>
      </c>
      <c r="E705" s="82"/>
      <c r="F705" s="80"/>
      <c r="G705" s="81"/>
      <c r="H705" s="80"/>
      <c r="I705" s="80"/>
      <c r="J705" s="80"/>
      <c r="K705" s="80"/>
      <c r="L705" s="80"/>
      <c r="M705" s="80" t="str">
        <f>IFERROR(__xludf.DUMMYFUNCTION("""COMPUTED_VALUE"""),"ü")</f>
        <v>ü</v>
      </c>
      <c r="N705" s="80"/>
      <c r="O705" s="80"/>
      <c r="P705" s="80" t="str">
        <f>IFERROR(__xludf.DUMMYFUNCTION("""COMPUTED_VALUE"""),"MUCSPA63287PSIND")</f>
        <v>MUCSPA63287PSIND</v>
      </c>
      <c r="Q705" s="80" t="str">
        <f>IFERROR(__xludf.DUMMYFUNCTION("""COMPUTED_VALUE"""),"MUC BAGUS PULSA")</f>
        <v>MUC BAGUS PULSA</v>
      </c>
      <c r="R705" s="80" t="str">
        <f>IFERROR(__xludf.DUMMYFUNCTION("""COMPUTED_VALUE"""),"MUC BAGUS PULSA")</f>
        <v>MUC BAGUS PULSA</v>
      </c>
      <c r="S705" s="80" t="str">
        <f>IFERROR(__xludf.DUMMYFUNCTION("""COMPUTED_VALUE"""),"FIRMANSYAH")</f>
        <v>FIRMANSYAH</v>
      </c>
      <c r="T705" s="80" t="str">
        <f>IFERROR(__xludf.DUMMYFUNCTION("""COMPUTED_VALUE"""),"KP. WARUNGBAWANG RT 1 RW 4")</f>
        <v>KP. WARUNGBAWANG RT 1 RW 4</v>
      </c>
      <c r="U705" s="80" t="str">
        <f>IFERROR(__xludf.DUMMYFUNCTION("""COMPUTED_VALUE"""),"KP. WARUNGBAWANG RT 1 RW 4")</f>
        <v>KP. WARUNGBAWANG RT 1 RW 4</v>
      </c>
      <c r="V705" s="80"/>
      <c r="W705" s="80" t="str">
        <f>IFERROR(__xludf.DUMMYFUNCTION("""COMPUTED_VALUE"""),"CIBEUREUM")</f>
        <v>CIBEUREUM</v>
      </c>
      <c r="X705" s="80" t="str">
        <f>IFERROR(__xludf.DUMMYFUNCTION("""COMPUTED_VALUE"""),"CUGENANG")</f>
        <v>CUGENANG</v>
      </c>
      <c r="Y705" s="80" t="str">
        <f>IFERROR(__xludf.DUMMYFUNCTION("""COMPUTED_VALUE"""),"KAB. CIANJUR")</f>
        <v>KAB. CIANJUR</v>
      </c>
      <c r="Z705" s="80" t="str">
        <f>IFERROR(__xludf.DUMMYFUNCTION("""COMPUTED_VALUE"""),"JAWA BARAT")</f>
        <v>JAWA BARAT</v>
      </c>
      <c r="AA705" s="80" t="str">
        <f>IFERROR(__xludf.DUMMYFUNCTION("""COMPUTED_VALUE"""),"43252")</f>
        <v>43252</v>
      </c>
      <c r="AB705" s="80" t="str">
        <f>IFERROR(__xludf.DUMMYFUNCTION("""COMPUTED_VALUE"""),"3203111003890011")</f>
        <v>3203111003890011</v>
      </c>
      <c r="AC705" s="80" t="str">
        <f>IFERROR(__xludf.DUMMYFUNCTION("""COMPUTED_VALUE"""),"72.281.527.1-406.000")</f>
        <v>72.281.527.1-406.000</v>
      </c>
      <c r="AD705" s="80" t="str">
        <f>IFERROR(__xludf.DUMMYFUNCTION("""COMPUTED_VALUE"""),"PAK RIAN HEKSA")</f>
        <v>PAK RIAN HEKSA</v>
      </c>
      <c r="AE705" s="80" t="str">
        <f>IFERROR(__xludf.DUMMYFUNCTION("""COMPUTED_VALUE"""),"PAK RIAN HEKSA")</f>
        <v>PAK RIAN HEKSA</v>
      </c>
      <c r="AF705" s="80" t="str">
        <f>IFERROR(__xludf.DUMMYFUNCTION("""COMPUTED_VALUE"""),"0816669622")</f>
        <v>0816669622</v>
      </c>
      <c r="AG705" s="80"/>
      <c r="AH705" s="80" t="str">
        <f>IFERROR(__xludf.DUMMYFUNCTION("""COMPUTED_VALUE"""),"firmsyah.fs@gmail.com")</f>
        <v>firmsyah.fs@gmail.com</v>
      </c>
      <c r="AI705" s="80"/>
      <c r="AJ705" s="80"/>
      <c r="AK705" s="80"/>
      <c r="AL705" s="80"/>
      <c r="AM705" s="80" t="str">
        <f>IFERROR(__xludf.DUMMYFUNCTION("""COMPUTED_VALUE"""),"KANTOR REGIONAL III BANDUNG 40004")</f>
        <v>KANTOR REGIONAL III BANDUNG 40004</v>
      </c>
      <c r="AN705" s="80" t="str">
        <f>IFERROR(__xludf.DUMMYFUNCTION("""COMPUTED_VALUE"""),"KC CIANJUR 43200")</f>
        <v>KC CIANJUR 43200</v>
      </c>
      <c r="AO705" s="80" t="str">
        <f>IFERROR(__xludf.DUMMYFUNCTION("""COMPUTED_VALUE"""),"1907220037877")</f>
        <v>1907220037877</v>
      </c>
      <c r="AP705" s="80" t="str">
        <f>IFERROR(__xludf.DUMMYFUNCTION("""COMPUTED_VALUE"""),"19072200378770002")</f>
        <v>19072200378770002</v>
      </c>
      <c r="AQ705" s="83"/>
      <c r="AR705" s="80"/>
      <c r="AS705" s="80"/>
      <c r="AT705" s="80" t="str">
        <f>IFERROR(__xludf.DUMMYFUNCTION("""COMPUTED_VALUE"""),"-6.7831749")</f>
        <v>-6.7831749</v>
      </c>
      <c r="AU705" s="80" t="str">
        <f>IFERROR(__xludf.DUMMYFUNCTION("""COMPUTED_VALUE"""),"107.0634943")</f>
        <v>107.0634943</v>
      </c>
      <c r="AV705" s="80"/>
      <c r="AW705" s="80"/>
      <c r="AX705" s="80"/>
      <c r="AY705" s="80"/>
      <c r="AZ705" s="80"/>
      <c r="BA705" s="80"/>
      <c r="BB705" s="80"/>
      <c r="BC705" s="80"/>
      <c r="BD705" s="80"/>
      <c r="BE705" s="80"/>
      <c r="BF705" s="80"/>
      <c r="BG705" s="80"/>
      <c r="BH705" s="80"/>
      <c r="BI705" s="80"/>
      <c r="BJ705" s="80"/>
      <c r="BK705" s="80"/>
      <c r="BL705" s="80"/>
      <c r="BM705" s="80"/>
      <c r="BN705" s="80"/>
      <c r="BO705" s="80"/>
      <c r="BP705" s="80"/>
      <c r="BQ705" s="80"/>
      <c r="BR705" s="80"/>
      <c r="BS705" s="80"/>
      <c r="BT705" s="80"/>
      <c r="BU705" s="80"/>
      <c r="BV705" s="80"/>
      <c r="BW705" s="80"/>
      <c r="BX705" s="80" t="str">
        <f>IFERROR(__xludf.DUMMYFUNCTION("""COMPUTED_VALUE"""),"NEWBIE")</f>
        <v>NEWBIE</v>
      </c>
      <c r="BY705" s="80"/>
      <c r="BZ705" s="80"/>
      <c r="CA705" s="80"/>
      <c r="CB705" s="80"/>
      <c r="CC705" s="80"/>
      <c r="CD705" s="80"/>
      <c r="CE705" s="80"/>
      <c r="CF705" s="80"/>
      <c r="CG705" s="80"/>
      <c r="CH705" s="80"/>
      <c r="CI705" s="80"/>
      <c r="CJ705" s="80"/>
      <c r="CK705" s="2"/>
    </row>
    <row r="706" ht="12.75" customHeight="1">
      <c r="A706" s="85">
        <f>IFERROR(__xludf.DUMMYFUNCTION("""COMPUTED_VALUE"""),703.0)</f>
        <v>703</v>
      </c>
      <c r="B706" s="85"/>
      <c r="C706" s="85"/>
      <c r="D706" s="86">
        <f>IFERROR(__xludf.DUMMYFUNCTION("""COMPUTED_VALUE"""),45952.0)</f>
        <v>45952</v>
      </c>
      <c r="E706" s="88"/>
      <c r="F706" s="85"/>
      <c r="G706" s="86">
        <f>IFERROR(__xludf.DUMMYFUNCTION("""COMPUTED_VALUE"""),45964.0)</f>
        <v>45964</v>
      </c>
      <c r="H706" s="85"/>
      <c r="I706" s="85"/>
      <c r="J706" s="85"/>
      <c r="K706" s="85"/>
      <c r="L706" s="85">
        <f>IFERROR(__xludf.DUMMYFUNCTION("""COMPUTED_VALUE"""),12.0)</f>
        <v>12</v>
      </c>
      <c r="M706" s="85"/>
      <c r="N706" s="85" t="str">
        <f>IFERROR(__xludf.DUMMYFUNCTION("""COMPUTED_VALUE"""),"ü")</f>
        <v>ü</v>
      </c>
      <c r="O706" s="85"/>
      <c r="P706" s="85" t="str">
        <f>IFERROR(__xludf.DUMMYFUNCTION("""COMPUTED_VALUE"""),"MUCSPA63288PSIND")</f>
        <v>MUCSPA63288PSIND</v>
      </c>
      <c r="Q706" s="85" t="str">
        <f>IFERROR(__xludf.DUMMYFUNCTION("""COMPUTED_VALUE"""),"MUC TERAPI LANGIT 2")</f>
        <v>MUC TERAPI LANGIT 2</v>
      </c>
      <c r="R706" s="85" t="str">
        <f>IFERROR(__xludf.DUMMYFUNCTION("""COMPUTED_VALUE"""),"MUC TERAPI LANGIT 2")</f>
        <v>MUC TERAPI LANGIT 2</v>
      </c>
      <c r="S706" s="85" t="str">
        <f>IFERROR(__xludf.DUMMYFUNCTION("""COMPUTED_VALUE"""),"ROHMAT SAWALI")</f>
        <v>ROHMAT SAWALI</v>
      </c>
      <c r="T706" s="85" t="str">
        <f>IFERROR(__xludf.DUMMYFUNCTION("""COMPUTED_VALUE"""),"JL. CIMANUK GG. 2 NO. 34 RT 001 RW 007 MINTARAGEN TEGAL")</f>
        <v>JL. CIMANUK GG. 2 NO. 34 RT 001 RW 007 MINTARAGEN TEGAL</v>
      </c>
      <c r="U706" s="85" t="str">
        <f>IFERROR(__xludf.DUMMYFUNCTION("""COMPUTED_VALUE"""),"Jl. Ponggok II ")</f>
        <v>Jl. Ponggok II </v>
      </c>
      <c r="V706" s="85"/>
      <c r="W706" s="85" t="str">
        <f>IFERROR(__xludf.DUMMYFUNCTION("""COMPUTED_VALUE"""),"Trimulyo")</f>
        <v>Trimulyo</v>
      </c>
      <c r="X706" s="85" t="str">
        <f>IFERROR(__xludf.DUMMYFUNCTION("""COMPUTED_VALUE"""),"Jetis")</f>
        <v>Jetis</v>
      </c>
      <c r="Y706" s="85" t="str">
        <f>IFERROR(__xludf.DUMMYFUNCTION("""COMPUTED_VALUE"""),"Kabupaten Bantul")</f>
        <v>Kabupaten Bantul</v>
      </c>
      <c r="Z706" s="85" t="str">
        <f>IFERROR(__xludf.DUMMYFUNCTION("""COMPUTED_VALUE"""),"DIY")</f>
        <v>DIY</v>
      </c>
      <c r="AA706" s="85" t="str">
        <f>IFERROR(__xludf.DUMMYFUNCTION("""COMPUTED_VALUE"""),"55185")</f>
        <v>55185</v>
      </c>
      <c r="AB706" s="85" t="str">
        <f>IFERROR(__xludf.DUMMYFUNCTION("""COMPUTED_VALUE"""),"3376022204910003")</f>
        <v>3376022204910003</v>
      </c>
      <c r="AC706" s="85" t="str">
        <f>IFERROR(__xludf.DUMMYFUNCTION("""COMPUTED_VALUE"""),"79.190.138.2-501.000")</f>
        <v>79.190.138.2-501.000</v>
      </c>
      <c r="AD706" s="85" t="str">
        <f>IFERROR(__xludf.DUMMYFUNCTION("""COMPUTED_VALUE"""),"PAK FAJAR KC BANTUL")</f>
        <v>PAK FAJAR KC BANTUL</v>
      </c>
      <c r="AE706" s="85" t="str">
        <f>IFERROR(__xludf.DUMMYFUNCTION("""COMPUTED_VALUE"""),"PAK FAJAR KC BANTUL")</f>
        <v>PAK FAJAR KC BANTUL</v>
      </c>
      <c r="AF706" s="85" t="str">
        <f>IFERROR(__xludf.DUMMYFUNCTION("""COMPUTED_VALUE"""),"085601819147")</f>
        <v>085601819147</v>
      </c>
      <c r="AG706" s="85"/>
      <c r="AH706" s="85" t="str">
        <f>IFERROR(__xludf.DUMMYFUNCTION("""COMPUTED_VALUE"""),"official.terapianak@gmail.com")</f>
        <v>official.terapianak@gmail.com</v>
      </c>
      <c r="AI706" s="85" t="str">
        <f>IFERROR(__xludf.DUMMYFUNCTION("""COMPUTED_VALUE"""),"55781S5")</f>
        <v>55781S5</v>
      </c>
      <c r="AJ706" s="85" t="str">
        <f>IFERROR(__xludf.DUMMYFUNCTION("""COMPUTED_VALUE"""),"69082e6ae53eea75980b7e3c")</f>
        <v>69082e6ae53eea75980b7e3c</v>
      </c>
      <c r="AK706" s="85" t="str">
        <f>IFERROR(__xludf.DUMMYFUNCTION("""COMPUTED_VALUE"""),"dm55781s5")</f>
        <v>dm55781s5</v>
      </c>
      <c r="AL706" s="85" t="str">
        <f>IFERROR(__xludf.DUMMYFUNCTION("""COMPUTED_VALUE"""),"#55781Pos")</f>
        <v>#55781Pos</v>
      </c>
      <c r="AM706" s="85" t="str">
        <f>IFERROR(__xludf.DUMMYFUNCTION("""COMPUTED_VALUE"""),"KANTOR REGIONAL IV SEMARANG 50004")</f>
        <v>KANTOR REGIONAL IV SEMARANG 50004</v>
      </c>
      <c r="AN706" s="85" t="str">
        <f>IFERROR(__xludf.DUMMYFUNCTION("""COMPUTED_VALUE"""),"KC BANTUL 55700")</f>
        <v>KC BANTUL 55700</v>
      </c>
      <c r="AO706" s="85" t="str">
        <f>IFERROR(__xludf.DUMMYFUNCTION("""COMPUTED_VALUE"""),"1906250071346")</f>
        <v>1906250071346</v>
      </c>
      <c r="AP706" s="85" t="str">
        <f>IFERROR(__xludf.DUMMYFUNCTION("""COMPUTED_VALUE"""),"19062500713460002")</f>
        <v>19062500713460002</v>
      </c>
      <c r="AQ706" s="93"/>
      <c r="AR706" s="85"/>
      <c r="AS706" s="85"/>
      <c r="AT706" s="85" t="str">
        <f>IFERROR(__xludf.DUMMYFUNCTION("""COMPUTED_VALUE"""),"-7.8741607")</f>
        <v>-7.8741607</v>
      </c>
      <c r="AU706" s="85" t="str">
        <f>IFERROR(__xludf.DUMMYFUNCTION("""COMPUTED_VALUE"""),"110.3771377")</f>
        <v>110.3771377</v>
      </c>
      <c r="AV706" s="85"/>
      <c r="AW706" s="85"/>
      <c r="AX706" s="85"/>
      <c r="AY706" s="85"/>
      <c r="AZ706" s="85"/>
      <c r="BA706" s="85"/>
      <c r="BB706" s="85"/>
      <c r="BC706" s="85"/>
      <c r="BD706" s="85"/>
      <c r="BE706" s="85"/>
      <c r="BF706" s="85"/>
      <c r="BG706" s="85"/>
      <c r="BH706" s="85"/>
      <c r="BI706" s="85"/>
      <c r="BJ706" s="85"/>
      <c r="BK706" s="85"/>
      <c r="BL706" s="85"/>
      <c r="BM706" s="85"/>
      <c r="BN706" s="85"/>
      <c r="BO706" s="85"/>
      <c r="BP706" s="85"/>
      <c r="BQ706" s="85"/>
      <c r="BR706" s="85"/>
      <c r="BS706" s="85"/>
      <c r="BT706" s="85"/>
      <c r="BU706" s="85"/>
      <c r="BV706" s="85"/>
      <c r="BW706" s="85"/>
      <c r="BX706" s="85" t="str">
        <f>IFERROR(__xludf.DUMMYFUNCTION("""COMPUTED_VALUE"""),"SELLER")</f>
        <v>SELLER</v>
      </c>
      <c r="BY706" s="85"/>
      <c r="BZ706" s="85"/>
      <c r="CA706" s="85"/>
      <c r="CB706" s="85"/>
      <c r="CC706" s="85"/>
      <c r="CD706" s="85"/>
      <c r="CE706" s="85"/>
      <c r="CF706" s="85"/>
      <c r="CG706" s="85"/>
      <c r="CH706" s="85"/>
      <c r="CI706" s="85"/>
      <c r="CJ706" s="85"/>
      <c r="CK706" s="2"/>
    </row>
    <row r="707" ht="12.75" customHeight="1">
      <c r="A707" s="80">
        <f>IFERROR(__xludf.DUMMYFUNCTION("""COMPUTED_VALUE"""),704.0)</f>
        <v>704</v>
      </c>
      <c r="B707" s="80"/>
      <c r="C707" s="80"/>
      <c r="D707" s="81">
        <f>IFERROR(__xludf.DUMMYFUNCTION("""COMPUTED_VALUE"""),45952.0)</f>
        <v>45952</v>
      </c>
      <c r="E707" s="82"/>
      <c r="F707" s="80"/>
      <c r="G707" s="81">
        <f>IFERROR(__xludf.DUMMYFUNCTION("""COMPUTED_VALUE"""),45958.0)</f>
        <v>45958</v>
      </c>
      <c r="H707" s="80"/>
      <c r="I707" s="80"/>
      <c r="J707" s="80"/>
      <c r="K707" s="80"/>
      <c r="L707" s="80">
        <f>IFERROR(__xludf.DUMMYFUNCTION("""COMPUTED_VALUE"""),6.0)</f>
        <v>6</v>
      </c>
      <c r="M707" s="80" t="str">
        <f>IFERROR(__xludf.DUMMYFUNCTION("""COMPUTED_VALUE"""),"ü")</f>
        <v>ü</v>
      </c>
      <c r="N707" s="80"/>
      <c r="O707" s="80"/>
      <c r="P707" s="80" t="str">
        <f>IFERROR(__xludf.DUMMYFUNCTION("""COMPUTED_VALUE"""),"MUCSPA63289PSIND")</f>
        <v>MUCSPA63289PSIND</v>
      </c>
      <c r="Q707" s="80" t="str">
        <f>IFERROR(__xludf.DUMMYFUNCTION("""COMPUTED_VALUE"""),"MUC GEMAH RAYA")</f>
        <v>MUC GEMAH RAYA</v>
      </c>
      <c r="R707" s="80" t="str">
        <f>IFERROR(__xludf.DUMMYFUNCTION("""COMPUTED_VALUE"""),"MUC GEMAH RAYA")</f>
        <v>MUC GEMAH RAYA</v>
      </c>
      <c r="S707" s="80" t="str">
        <f>IFERROR(__xludf.DUMMYFUNCTION("""COMPUTED_VALUE"""),"ADI SUSANTO")</f>
        <v>ADI SUSANTO</v>
      </c>
      <c r="T707" s="80" t="str">
        <f>IFERROR(__xludf.DUMMYFUNCTION("""COMPUTED_VALUE"""),"JL. GEMAH RAYA SELATAN RT.008 RW.006, GEMAH, PEDURUNGAN, KOTA SEMARANG")</f>
        <v>JL. GEMAH RAYA SELATAN RT.008 RW.006, GEMAH, PEDURUNGAN, KOTA SEMARANG</v>
      </c>
      <c r="U707" s="80" t="str">
        <f>IFERROR(__xludf.DUMMYFUNCTION("""COMPUTED_VALUE"""),"JL. GEMAH RAYA RT.08 RW.06")</f>
        <v>JL. GEMAH RAYA RT.08 RW.06</v>
      </c>
      <c r="V707" s="80"/>
      <c r="W707" s="80" t="str">
        <f>IFERROR(__xludf.DUMMYFUNCTION("""COMPUTED_VALUE"""),"GEMAH")</f>
        <v>GEMAH</v>
      </c>
      <c r="X707" s="80" t="str">
        <f>IFERROR(__xludf.DUMMYFUNCTION("""COMPUTED_VALUE"""),"PEDURUNGAN")</f>
        <v>PEDURUNGAN</v>
      </c>
      <c r="Y707" s="80" t="str">
        <f>IFERROR(__xludf.DUMMYFUNCTION("""COMPUTED_VALUE"""),"KOTA SEMARANG")</f>
        <v>KOTA SEMARANG</v>
      </c>
      <c r="Z707" s="80" t="str">
        <f>IFERROR(__xludf.DUMMYFUNCTION("""COMPUTED_VALUE"""),"JAWA TENGAH")</f>
        <v>JAWA TENGAH</v>
      </c>
      <c r="AA707" s="80" t="str">
        <f>IFERROR(__xludf.DUMMYFUNCTION("""COMPUTED_VALUE"""),"50246")</f>
        <v>50246</v>
      </c>
      <c r="AB707" s="80" t="str">
        <f>IFERROR(__xludf.DUMMYFUNCTION("""COMPUTED_VALUE"""),"3374061803030003")</f>
        <v>3374061803030003</v>
      </c>
      <c r="AC707" s="80" t="str">
        <f>IFERROR(__xludf.DUMMYFUNCTION("""COMPUTED_VALUE"""),"3374 0618 0303 0003")</f>
        <v>3374 0618 0303 0003</v>
      </c>
      <c r="AD707" s="80" t="str">
        <f>IFERROR(__xludf.DUMMYFUNCTION("""COMPUTED_VALUE"""),"CUM - PS - PDW")</f>
        <v>CUM - PS - PDW</v>
      </c>
      <c r="AE707" s="80" t="str">
        <f>IFERROR(__xludf.DUMMYFUNCTION("""COMPUTED_VALUE"""),"SUB BOWO POS")</f>
        <v>SUB BOWO POS</v>
      </c>
      <c r="AF707" s="80" t="str">
        <f>IFERROR(__xludf.DUMMYFUNCTION("""COMPUTED_VALUE"""),"0882003295152")</f>
        <v>0882003295152</v>
      </c>
      <c r="AG707" s="80"/>
      <c r="AH707" s="80" t="str">
        <f>IFERROR(__xludf.DUMMYFUNCTION("""COMPUTED_VALUE"""),"adisemaranga467@gmail.com")</f>
        <v>adisemaranga467@gmail.com</v>
      </c>
      <c r="AI707" s="80" t="str">
        <f>IFERROR(__xludf.DUMMYFUNCTION("""COMPUTED_VALUE"""),"50191S3")</f>
        <v>50191S3</v>
      </c>
      <c r="AJ707" s="80" t="str">
        <f>IFERROR(__xludf.DUMMYFUNCTION("""COMPUTED_VALUE"""),"690030f9f27bd11f420ba23a")</f>
        <v>690030f9f27bd11f420ba23a</v>
      </c>
      <c r="AK707" s="80" t="str">
        <f>IFERROR(__xludf.DUMMYFUNCTION("""COMPUTED_VALUE"""),"dm50191s3")</f>
        <v>dm50191s3</v>
      </c>
      <c r="AL707" s="80" t="str">
        <f>IFERROR(__xludf.DUMMYFUNCTION("""COMPUTED_VALUE"""),"#50191Pos")</f>
        <v>#50191Pos</v>
      </c>
      <c r="AM707" s="80" t="str">
        <f>IFERROR(__xludf.DUMMYFUNCTION("""COMPUTED_VALUE"""),"KANTOR REGIONAL IV SEMARANG 50004")</f>
        <v>KANTOR REGIONAL IV SEMARANG 50004</v>
      </c>
      <c r="AN707" s="80" t="str">
        <f>IFERROR(__xludf.DUMMYFUNCTION("""COMPUTED_VALUE"""),"KCU SEMARANG 50000")</f>
        <v>KCU SEMARANG 50000</v>
      </c>
      <c r="AO707" s="80" t="str">
        <f>IFERROR(__xludf.DUMMYFUNCTION("""COMPUTED_VALUE"""),"1410250046854")</f>
        <v>1410250046854</v>
      </c>
      <c r="AP707" s="80" t="str">
        <f>IFERROR(__xludf.DUMMYFUNCTION("""COMPUTED_VALUE"""),"14102500468540001")</f>
        <v>14102500468540001</v>
      </c>
      <c r="AQ707" s="83"/>
      <c r="AR707" s="80"/>
      <c r="AS707" s="80"/>
      <c r="AT707" s="80" t="str">
        <f>IFERROR(__xludf.DUMMYFUNCTION("""COMPUTED_VALUE"""),"-7.014374 ")</f>
        <v>-7.014374 </v>
      </c>
      <c r="AU707" s="80" t="str">
        <f>IFERROR(__xludf.DUMMYFUNCTION("""COMPUTED_VALUE"""),"110.465403")</f>
        <v>110.465403</v>
      </c>
      <c r="AV707" s="80"/>
      <c r="AW707" s="80"/>
      <c r="AX707" s="80"/>
      <c r="AY707" s="80"/>
      <c r="AZ707" s="80"/>
      <c r="BA707" s="80"/>
      <c r="BB707" s="80"/>
      <c r="BC707" s="80"/>
      <c r="BD707" s="80"/>
      <c r="BE707" s="80"/>
      <c r="BF707" s="80"/>
      <c r="BG707" s="80"/>
      <c r="BH707" s="80"/>
      <c r="BI707" s="80"/>
      <c r="BJ707" s="80"/>
      <c r="BK707" s="80"/>
      <c r="BL707" s="80"/>
      <c r="BM707" s="80"/>
      <c r="BN707" s="80"/>
      <c r="BO707" s="80"/>
      <c r="BP707" s="80"/>
      <c r="BQ707" s="80"/>
      <c r="BR707" s="80"/>
      <c r="BS707" s="80"/>
      <c r="BT707" s="80"/>
      <c r="BU707" s="80"/>
      <c r="BV707" s="80"/>
      <c r="BW707" s="80"/>
      <c r="BX707" s="80" t="str">
        <f>IFERROR(__xludf.DUMMYFUNCTION("""COMPUTED_VALUE"""),"MULTIKURIR - LION PARCEL - SPX")</f>
        <v>MULTIKURIR - LION PARCEL - SPX</v>
      </c>
      <c r="BY707" s="80"/>
      <c r="BZ707" s="80"/>
      <c r="CA707" s="80"/>
      <c r="CB707" s="80"/>
      <c r="CC707" s="80"/>
      <c r="CD707" s="80"/>
      <c r="CE707" s="80"/>
      <c r="CF707" s="80"/>
      <c r="CG707" s="80"/>
      <c r="CH707" s="80"/>
      <c r="CI707" s="80"/>
      <c r="CJ707" s="80"/>
      <c r="CK707" s="2"/>
    </row>
    <row r="708" ht="12.75" customHeight="1">
      <c r="A708" s="85">
        <f>IFERROR(__xludf.DUMMYFUNCTION("""COMPUTED_VALUE"""),705.0)</f>
        <v>705</v>
      </c>
      <c r="B708" s="85"/>
      <c r="C708" s="85"/>
      <c r="D708" s="86">
        <f>IFERROR(__xludf.DUMMYFUNCTION("""COMPUTED_VALUE"""),45953.0)</f>
        <v>45953</v>
      </c>
      <c r="E708" s="88"/>
      <c r="F708" s="85"/>
      <c r="G708" s="86">
        <f>IFERROR(__xludf.DUMMYFUNCTION("""COMPUTED_VALUE"""),45958.0)</f>
        <v>45958</v>
      </c>
      <c r="H708" s="85"/>
      <c r="I708" s="85"/>
      <c r="J708" s="85"/>
      <c r="K708" s="85"/>
      <c r="L708" s="85">
        <f>IFERROR(__xludf.DUMMYFUNCTION("""COMPUTED_VALUE"""),5.0)</f>
        <v>5</v>
      </c>
      <c r="M708" s="85" t="str">
        <f>IFERROR(__xludf.DUMMYFUNCTION("""COMPUTED_VALUE"""),"ü")</f>
        <v>ü</v>
      </c>
      <c r="N708" s="85"/>
      <c r="O708" s="85"/>
      <c r="P708" s="85" t="str">
        <f>IFERROR(__xludf.DUMMYFUNCTION("""COMPUTED_VALUE"""),"53BSPA09709JBEEN")</f>
        <v>53BSPA09709JBEEN</v>
      </c>
      <c r="Q708" s="85" t="str">
        <f>IFERROR(__xludf.DUMMYFUNCTION("""COMPUTED_VALUE"""),"MUC RITAQA GROUP")</f>
        <v>MUC RITAQA GROUP</v>
      </c>
      <c r="R708" s="85" t="str">
        <f>IFERROR(__xludf.DUMMYFUNCTION("""COMPUTED_VALUE"""),"MUC RITAQA GROUP")</f>
        <v>MUC RITAQA GROUP</v>
      </c>
      <c r="S708" s="85" t="str">
        <f>IFERROR(__xludf.DUMMYFUNCTION("""COMPUTED_VALUE"""),"KUN MAULIDDINA")</f>
        <v>KUN MAULIDDINA</v>
      </c>
      <c r="T708" s="85" t="str">
        <f>IFERROR(__xludf.DUMMYFUNCTION("""COMPUTED_VALUE"""),"JL. KP RAWA BARAT NO.84 RT.007 RW.016, PONDOK PUCUNG, PONDOK AREN, TANGERANG SELATAN")</f>
        <v>JL. KP RAWA BARAT NO.84 RT.007 RW.016, PONDOK PUCUNG, PONDOK AREN, TANGERANG SELATAN</v>
      </c>
      <c r="U708" s="85" t="str">
        <f>IFERROR(__xludf.DUMMYFUNCTION("""COMPUTED_VALUE"""),"JL.KP RAWA BARAT 84, RT.07-16")</f>
        <v>JL.KP RAWA BARAT 84, RT.07-16</v>
      </c>
      <c r="V708" s="85"/>
      <c r="W708" s="85" t="str">
        <f>IFERROR(__xludf.DUMMYFUNCTION("""COMPUTED_VALUE"""),"Pondok Pucung")</f>
        <v>Pondok Pucung</v>
      </c>
      <c r="X708" s="85" t="str">
        <f>IFERROR(__xludf.DUMMYFUNCTION("""COMPUTED_VALUE"""),"Pondok Aren")</f>
        <v>Pondok Aren</v>
      </c>
      <c r="Y708" s="85" t="str">
        <f>IFERROR(__xludf.DUMMYFUNCTION("""COMPUTED_VALUE"""),"Tangerang Selatan")</f>
        <v>Tangerang Selatan</v>
      </c>
      <c r="Z708" s="85" t="str">
        <f>IFERROR(__xludf.DUMMYFUNCTION("""COMPUTED_VALUE"""),"Banten")</f>
        <v>Banten</v>
      </c>
      <c r="AA708" s="85" t="str">
        <f>IFERROR(__xludf.DUMMYFUNCTION("""COMPUTED_VALUE"""),"15429")</f>
        <v>15429</v>
      </c>
      <c r="AB708" s="85" t="str">
        <f>IFERROR(__xludf.DUMMYFUNCTION("""COMPUTED_VALUE"""),"3175070103770004")</f>
        <v>3175070103770004</v>
      </c>
      <c r="AC708" s="85" t="str">
        <f>IFERROR(__xludf.DUMMYFUNCTION("""COMPUTED_VALUE"""),"34.140.330.1-008.000")</f>
        <v>34.140.330.1-008.000</v>
      </c>
      <c r="AD708" s="85" t="str">
        <f>IFERROR(__xludf.DUMMYFUNCTION("""COMPUTED_VALUE"""),"CUM - EEN")</f>
        <v>CUM - EEN</v>
      </c>
      <c r="AE708" s="85" t="str">
        <f>IFERROR(__xludf.DUMMYFUNCTION("""COMPUTED_VALUE"""),"SUB EEN")</f>
        <v>SUB EEN</v>
      </c>
      <c r="AF708" s="85" t="str">
        <f>IFERROR(__xludf.DUMMYFUNCTION("""COMPUTED_VALUE"""),"081317043152")</f>
        <v>081317043152</v>
      </c>
      <c r="AG708" s="85"/>
      <c r="AH708" s="85" t="str">
        <f>IFERROR(__xludf.DUMMYFUNCTION("""COMPUTED_VALUE"""),"kunmauliddina05@gmail.com")</f>
        <v>kunmauliddina05@gmail.com</v>
      </c>
      <c r="AI708" s="85" t="str">
        <f>IFERROR(__xludf.DUMMYFUNCTION("""COMPUTED_VALUE"""),"15429S3")</f>
        <v>15429S3</v>
      </c>
      <c r="AJ708" s="85" t="str">
        <f>IFERROR(__xludf.DUMMYFUNCTION("""COMPUTED_VALUE"""),"6900893eea15649247032c87")</f>
        <v>6900893eea15649247032c87</v>
      </c>
      <c r="AK708" s="85" t="str">
        <f>IFERROR(__xludf.DUMMYFUNCTION("""COMPUTED_VALUE"""),"dm15429s3")</f>
        <v>dm15429s3</v>
      </c>
      <c r="AL708" s="85" t="str">
        <f>IFERROR(__xludf.DUMMYFUNCTION("""COMPUTED_VALUE"""),"#15429Pos")</f>
        <v>#15429Pos</v>
      </c>
      <c r="AM708" s="85" t="str">
        <f>IFERROR(__xludf.DUMMYFUNCTION("""COMPUTED_VALUE"""),"KANTOR REGIONAL II JAKARTA 10004")</f>
        <v>KANTOR REGIONAL II JAKARTA 10004</v>
      </c>
      <c r="AN708" s="85" t="str">
        <f>IFERROR(__xludf.DUMMYFUNCTION("""COMPUTED_VALUE"""),"KC TANGERANG SELATAN")</f>
        <v>KC TANGERANG SELATAN</v>
      </c>
      <c r="AO708" s="85" t="str">
        <f>IFERROR(__xludf.DUMMYFUNCTION("""COMPUTED_VALUE"""),"2207220023399")</f>
        <v>2207220023399</v>
      </c>
      <c r="AP708" s="85" t="str">
        <f>IFERROR(__xludf.DUMMYFUNCTION("""COMPUTED_VALUE"""),"22072200233990002")</f>
        <v>22072200233990002</v>
      </c>
      <c r="AQ708" s="93"/>
      <c r="AR708" s="85"/>
      <c r="AS708" s="85"/>
      <c r="AT708" s="85" t="str">
        <f>IFERROR(__xludf.DUMMYFUNCTION("""COMPUTED_VALUE"""),"-6.291305")</f>
        <v>-6.291305</v>
      </c>
      <c r="AU708" s="85" t="str">
        <f>IFERROR(__xludf.DUMMYFUNCTION("""COMPUTED_VALUE"""),"106.709425")</f>
        <v>106.709425</v>
      </c>
      <c r="AV708" s="85"/>
      <c r="AW708" s="85"/>
      <c r="AX708" s="85"/>
      <c r="AY708" s="85"/>
      <c r="AZ708" s="85"/>
      <c r="BA708" s="85"/>
      <c r="BB708" s="85"/>
      <c r="BC708" s="85"/>
      <c r="BD708" s="85"/>
      <c r="BE708" s="85"/>
      <c r="BF708" s="85"/>
      <c r="BG708" s="85"/>
      <c r="BH708" s="85"/>
      <c r="BI708" s="85"/>
      <c r="BJ708" s="85"/>
      <c r="BK708" s="85"/>
      <c r="BL708" s="85"/>
      <c r="BM708" s="85"/>
      <c r="BN708" s="85"/>
      <c r="BO708" s="85"/>
      <c r="BP708" s="85"/>
      <c r="BQ708" s="85"/>
      <c r="BR708" s="85"/>
      <c r="BS708" s="85"/>
      <c r="BT708" s="85"/>
      <c r="BU708" s="85"/>
      <c r="BV708" s="85"/>
      <c r="BW708" s="85"/>
      <c r="BX708" s="85" t="str">
        <f>IFERROR(__xludf.DUMMYFUNCTION("""COMPUTED_VALUE"""),"NEWBIE")</f>
        <v>NEWBIE</v>
      </c>
      <c r="BY708" s="85"/>
      <c r="BZ708" s="85"/>
      <c r="CA708" s="85"/>
      <c r="CB708" s="85"/>
      <c r="CC708" s="85"/>
      <c r="CD708" s="85"/>
      <c r="CE708" s="85"/>
      <c r="CF708" s="85"/>
      <c r="CG708" s="85"/>
      <c r="CH708" s="85"/>
      <c r="CI708" s="85"/>
      <c r="CJ708" s="85"/>
      <c r="CK708" s="2"/>
    </row>
    <row r="709" ht="12.75" customHeight="1">
      <c r="A709" s="80">
        <f>IFERROR(__xludf.DUMMYFUNCTION("""COMPUTED_VALUE"""),706.0)</f>
        <v>706</v>
      </c>
      <c r="B709" s="80"/>
      <c r="C709" s="80"/>
      <c r="D709" s="81">
        <f>IFERROR(__xludf.DUMMYFUNCTION("""COMPUTED_VALUE"""),45953.0)</f>
        <v>45953</v>
      </c>
      <c r="E709" s="82"/>
      <c r="F709" s="80"/>
      <c r="G709" s="81">
        <f>IFERROR(__xludf.DUMMYFUNCTION("""COMPUTED_VALUE"""),45999.0)</f>
        <v>45999</v>
      </c>
      <c r="H709" s="80"/>
      <c r="I709" s="80"/>
      <c r="J709" s="80"/>
      <c r="K709" s="80"/>
      <c r="L709" s="80">
        <f>IFERROR(__xludf.DUMMYFUNCTION("""COMPUTED_VALUE"""),46.0)</f>
        <v>46</v>
      </c>
      <c r="M709" s="80" t="str">
        <f>IFERROR(__xludf.DUMMYFUNCTION("""COMPUTED_VALUE"""),"ü")</f>
        <v>ü</v>
      </c>
      <c r="N709" s="80"/>
      <c r="O709" s="80"/>
      <c r="P709" s="80" t="str">
        <f>IFERROR(__xludf.DUMMYFUNCTION("""COMPUTED_VALUE"""),"MUCSPA63290PSIND")</f>
        <v>MUCSPA63290PSIND</v>
      </c>
      <c r="Q709" s="80" t="str">
        <f>IFERROR(__xludf.DUMMYFUNCTION("""COMPUTED_VALUE"""),"MUC GARUDA MAS Mandalika 1")</f>
        <v>MUC GARUDA MAS Mandalika 1</v>
      </c>
      <c r="R709" s="80" t="str">
        <f>IFERROR(__xludf.DUMMYFUNCTION("""COMPUTED_VALUE"""),"MUC GARUDA MAS Mandalika 1")</f>
        <v>MUC GARUDA MAS Mandalika 1</v>
      </c>
      <c r="S709" s="80" t="str">
        <f>IFERROR(__xludf.DUMMYFUNCTION("""COMPUTED_VALUE"""),"FAUZI")</f>
        <v>FAUZI</v>
      </c>
      <c r="T709" s="80" t="str">
        <f>IFERROR(__xludf.DUMMYFUNCTION("""COMPUTED_VALUE"""),"GG. H.SOLEH PEDO RT.002 RW.001, TANJUNG DUREN SELATAN, GROGOL PETAMBURAN, JAKARTA BARAT")</f>
        <v>GG. H.SOLEH PEDO RT.002 RW.001, TANJUNG DUREN SELATAN, GROGOL PETAMBURAN, JAKARTA BARAT</v>
      </c>
      <c r="U709" s="80" t="str">
        <f>IFERROR(__xludf.DUMMYFUNCTION("""COMPUTED_VALUE"""),"Jl.Tanjung Duren Timur No 20, Rt 5, Rw 5, Blok Mandalika 1")</f>
        <v>Jl.Tanjung Duren Timur No 20, Rt 5, Rw 5, Blok Mandalika 1</v>
      </c>
      <c r="V709" s="80"/>
      <c r="W709" s="80" t="str">
        <f>IFERROR(__xludf.DUMMYFUNCTION("""COMPUTED_VALUE"""),"Tanjung Duren Selatan")</f>
        <v>Tanjung Duren Selatan</v>
      </c>
      <c r="X709" s="80" t="str">
        <f>IFERROR(__xludf.DUMMYFUNCTION("""COMPUTED_VALUE"""),"Grogol Petamburan")</f>
        <v>Grogol Petamburan</v>
      </c>
      <c r="Y709" s="80" t="str">
        <f>IFERROR(__xludf.DUMMYFUNCTION("""COMPUTED_VALUE"""),"Jakarta Barat")</f>
        <v>Jakarta Barat</v>
      </c>
      <c r="Z709" s="80" t="str">
        <f>IFERROR(__xludf.DUMMYFUNCTION("""COMPUTED_VALUE"""),"DKI Jakarta")</f>
        <v>DKI Jakarta</v>
      </c>
      <c r="AA709" s="80" t="str">
        <f>IFERROR(__xludf.DUMMYFUNCTION("""COMPUTED_VALUE"""),"11470")</f>
        <v>11470</v>
      </c>
      <c r="AB709" s="80" t="str">
        <f>IFERROR(__xludf.DUMMYFUNCTION("""COMPUTED_VALUE"""),"3173072901900007")</f>
        <v>3173072901900007</v>
      </c>
      <c r="AC709" s="80" t="str">
        <f>IFERROR(__xludf.DUMMYFUNCTION("""COMPUTED_VALUE"""),"76.196.039.2-036.000")</f>
        <v>76.196.039.2-036.000</v>
      </c>
      <c r="AD709" s="80" t="str">
        <f>IFERROR(__xludf.DUMMYFUNCTION("""COMPUTED_VALUE"""),"CUM - PS - SUSU")</f>
        <v>CUM - PS - SUSU</v>
      </c>
      <c r="AE709" s="80" t="str">
        <f>IFERROR(__xludf.DUMMYFUNCTION("""COMPUTED_VALUE"""),"SUB SUGENG POS")</f>
        <v>SUB SUGENG POS</v>
      </c>
      <c r="AF709" s="80" t="str">
        <f>IFERROR(__xludf.DUMMYFUNCTION("""COMPUTED_VALUE"""),"082111363755")</f>
        <v>082111363755</v>
      </c>
      <c r="AG709" s="80"/>
      <c r="AH709" s="80" t="str">
        <f>IFERROR(__xludf.DUMMYFUNCTION("""COMPUTED_VALUE"""),"darapuspita871@gmail.com")</f>
        <v>darapuspita871@gmail.com</v>
      </c>
      <c r="AI709" s="80" t="str">
        <f>IFERROR(__xludf.DUMMYFUNCTION("""COMPUTED_VALUE"""),"11470S2")</f>
        <v>11470S2</v>
      </c>
      <c r="AJ709" s="80" t="str">
        <f>IFERROR(__xludf.DUMMYFUNCTION("""COMPUTED_VALUE"""),"6934f783d8cd605ec8028c8c")</f>
        <v>6934f783d8cd605ec8028c8c</v>
      </c>
      <c r="AK709" s="80" t="str">
        <f>IFERROR(__xludf.DUMMYFUNCTION("""COMPUTED_VALUE"""),"dm11470s2")</f>
        <v>dm11470s2</v>
      </c>
      <c r="AL709" s="80" t="str">
        <f>IFERROR(__xludf.DUMMYFUNCTION("""COMPUTED_VALUE"""),"#11470Pos")</f>
        <v>#11470Pos</v>
      </c>
      <c r="AM709" s="80" t="str">
        <f>IFERROR(__xludf.DUMMYFUNCTION("""COMPUTED_VALUE"""),"KANTOR REGIONAL II JAKARTA 10004")</f>
        <v>KANTOR REGIONAL II JAKARTA 10004</v>
      </c>
      <c r="AN709" s="80" t="str">
        <f>IFERROR(__xludf.DUMMYFUNCTION("""COMPUTED_VALUE"""),"KCU JAKARTAOCEANIA 11000")</f>
        <v>KCU JAKARTAOCEANIA 11000</v>
      </c>
      <c r="AO709" s="80" t="str">
        <f>IFERROR(__xludf.DUMMYFUNCTION("""COMPUTED_VALUE"""),"2711230399999")</f>
        <v>2711230399999</v>
      </c>
      <c r="AP709" s="80" t="str">
        <f>IFERROR(__xludf.DUMMYFUNCTION("""COMPUTED_VALUE"""),"27112303999990002")</f>
        <v>27112303999990002</v>
      </c>
      <c r="AQ709" s="83"/>
      <c r="AR709" s="80"/>
      <c r="AS709" s="80"/>
      <c r="AT709" s="80" t="str">
        <f>IFERROR(__xludf.DUMMYFUNCTION("""COMPUTED_VALUE"""),"-6.1779056")</f>
        <v>-6.1779056</v>
      </c>
      <c r="AU709" s="80" t="str">
        <f>IFERROR(__xludf.DUMMYFUNCTION("""COMPUTED_VALUE"""),"106.7871001")</f>
        <v>106.7871001</v>
      </c>
      <c r="AV709" s="80"/>
      <c r="AW709" s="80"/>
      <c r="AX709" s="80"/>
      <c r="AY709" s="80"/>
      <c r="AZ709" s="80"/>
      <c r="BA709" s="80"/>
      <c r="BB709" s="80"/>
      <c r="BC709" s="80"/>
      <c r="BD709" s="80"/>
      <c r="BE709" s="80"/>
      <c r="BF709" s="80"/>
      <c r="BG709" s="80"/>
      <c r="BH709" s="80"/>
      <c r="BI709" s="80"/>
      <c r="BJ709" s="80"/>
      <c r="BK709" s="80"/>
      <c r="BL709" s="80"/>
      <c r="BM709" s="80"/>
      <c r="BN709" s="80"/>
      <c r="BO709" s="80"/>
      <c r="BP709" s="80"/>
      <c r="BQ709" s="80"/>
      <c r="BR709" s="80"/>
      <c r="BS709" s="80"/>
      <c r="BT709" s="80"/>
      <c r="BU709" s="80"/>
      <c r="BV709" s="80"/>
      <c r="BW709" s="80"/>
      <c r="BX709" s="80" t="str">
        <f>IFERROR(__xludf.DUMMYFUNCTION("""COMPUTED_VALUE"""),"MULTIKURIR - LION PARCEL - WAHANA")</f>
        <v>MULTIKURIR - LION PARCEL - WAHANA</v>
      </c>
      <c r="BY709" s="80"/>
      <c r="BZ709" s="80"/>
      <c r="CA709" s="80"/>
      <c r="CB709" s="80"/>
      <c r="CC709" s="80"/>
      <c r="CD709" s="80"/>
      <c r="CE709" s="80"/>
      <c r="CF709" s="80"/>
      <c r="CG709" s="80"/>
      <c r="CH709" s="80"/>
      <c r="CI709" s="80"/>
      <c r="CJ709" s="80"/>
      <c r="CK709" s="2"/>
    </row>
    <row r="710" ht="12.75" customHeight="1">
      <c r="A710" s="85">
        <f>IFERROR(__xludf.DUMMYFUNCTION("""COMPUTED_VALUE"""),707.0)</f>
        <v>707</v>
      </c>
      <c r="B710" s="85"/>
      <c r="C710" s="85"/>
      <c r="D710" s="86">
        <f>IFERROR(__xludf.DUMMYFUNCTION("""COMPUTED_VALUE"""),45954.0)</f>
        <v>45954</v>
      </c>
      <c r="E710" s="88"/>
      <c r="F710" s="85"/>
      <c r="G710" s="86">
        <f>IFERROR(__xludf.DUMMYFUNCTION("""COMPUTED_VALUE"""),45964.0)</f>
        <v>45964</v>
      </c>
      <c r="H710" s="85"/>
      <c r="I710" s="85"/>
      <c r="J710" s="85"/>
      <c r="K710" s="85"/>
      <c r="L710" s="85">
        <f>IFERROR(__xludf.DUMMYFUNCTION("""COMPUTED_VALUE"""),10.0)</f>
        <v>10</v>
      </c>
      <c r="M710" s="85" t="str">
        <f>IFERROR(__xludf.DUMMYFUNCTION("""COMPUTED_VALUE"""),"ü")</f>
        <v>ü</v>
      </c>
      <c r="N710" s="85"/>
      <c r="O710" s="85"/>
      <c r="P710" s="85" t="str">
        <f>IFERROR(__xludf.DUMMYFUNCTION("""COMPUTED_VALUE"""),"MUCSPA63291PSIND")</f>
        <v>MUCSPA63291PSIND</v>
      </c>
      <c r="Q710" s="85" t="str">
        <f>IFERROR(__xludf.DUMMYFUNCTION("""COMPUTED_VALUE"""),"MUC Globalindo Tour")</f>
        <v>MUC Globalindo Tour</v>
      </c>
      <c r="R710" s="85" t="str">
        <f>IFERROR(__xludf.DUMMYFUNCTION("""COMPUTED_VALUE"""),"MUC Globalindo Tour")</f>
        <v>MUC Globalindo Tour</v>
      </c>
      <c r="S710" s="85" t="str">
        <f>IFERROR(__xludf.DUMMYFUNCTION("""COMPUTED_VALUE"""),"M. HILMI")</f>
        <v>M. HILMI</v>
      </c>
      <c r="T710" s="85" t="str">
        <f>IFERROR(__xludf.DUMMYFUNCTION("""COMPUTED_VALUE"""),"JL. LORONG FORT TIMUR NO.53B, RT.002 RW.002, KOJA,KOJA, JAKARTA UTARA")</f>
        <v>JL. LORONG FORT TIMUR NO.53B, RT.002 RW.002, KOJA,KOJA, JAKARTA UTARA</v>
      </c>
      <c r="U710" s="85" t="str">
        <f>IFERROR(__xludf.DUMMYFUNCTION("""COMPUTED_VALUE"""),"Jl. Lorong Fort Timur 53B Rt. 002/002 ")</f>
        <v>Jl. Lorong Fort Timur 53B Rt. 002/002 </v>
      </c>
      <c r="V710" s="85"/>
      <c r="W710" s="85" t="str">
        <f>IFERROR(__xludf.DUMMYFUNCTION("""COMPUTED_VALUE"""),"Koja")</f>
        <v>Koja</v>
      </c>
      <c r="X710" s="85" t="str">
        <f>IFERROR(__xludf.DUMMYFUNCTION("""COMPUTED_VALUE"""),"Koja")</f>
        <v>Koja</v>
      </c>
      <c r="Y710" s="85" t="str">
        <f>IFERROR(__xludf.DUMMYFUNCTION("""COMPUTED_VALUE"""),"Jakarta Utara")</f>
        <v>Jakarta Utara</v>
      </c>
      <c r="Z710" s="85" t="str">
        <f>IFERROR(__xludf.DUMMYFUNCTION("""COMPUTED_VALUE"""),"DKI Jakarta")</f>
        <v>DKI Jakarta</v>
      </c>
      <c r="AA710" s="85" t="str">
        <f>IFERROR(__xludf.DUMMYFUNCTION("""COMPUTED_VALUE"""),"14220")</f>
        <v>14220</v>
      </c>
      <c r="AB710" s="85" t="str">
        <f>IFERROR(__xludf.DUMMYFUNCTION("""COMPUTED_VALUE"""),"3172031211780020")</f>
        <v>3172031211780020</v>
      </c>
      <c r="AC710" s="85" t="str">
        <f>IFERROR(__xludf.DUMMYFUNCTION("""COMPUTED_VALUE"""),"72.526.219.0-045.000")</f>
        <v>72.526.219.0-045.000</v>
      </c>
      <c r="AD710" s="85" t="str">
        <f>IFERROR(__xludf.DUMMYFUNCTION("""COMPUTED_VALUE"""),"CUM - PS - NITA")</f>
        <v>CUM - PS - NITA</v>
      </c>
      <c r="AE710" s="85" t="str">
        <f>IFERROR(__xludf.DUMMYFUNCTION("""COMPUTED_VALUE"""),"SUB NITA POS")</f>
        <v>SUB NITA POS</v>
      </c>
      <c r="AF710" s="85" t="str">
        <f>IFERROR(__xludf.DUMMYFUNCTION("""COMPUTED_VALUE"""),"081319205560")</f>
        <v>081319205560</v>
      </c>
      <c r="AG710" s="85"/>
      <c r="AH710" s="85" t="str">
        <f>IFERROR(__xludf.DUMMYFUNCTION("""COMPUTED_VALUE"""),"gwntravel@gmail.com")</f>
        <v>gwntravel@gmail.com</v>
      </c>
      <c r="AI710" s="85" t="str">
        <f>IFERROR(__xludf.DUMMYFUNCTION("""COMPUTED_VALUE"""),"14210S1")</f>
        <v>14210S1</v>
      </c>
      <c r="AJ710" s="85" t="str">
        <f>IFERROR(__xludf.DUMMYFUNCTION("""COMPUTED_VALUE"""),"690857ca2908a784aa06a320")</f>
        <v>690857ca2908a784aa06a320</v>
      </c>
      <c r="AK710" s="85" t="str">
        <f>IFERROR(__xludf.DUMMYFUNCTION("""COMPUTED_VALUE"""),"dm14210s1")</f>
        <v>dm14210s1</v>
      </c>
      <c r="AL710" s="85" t="str">
        <f>IFERROR(__xludf.DUMMYFUNCTION("""COMPUTED_VALUE"""),"#14210Pos")</f>
        <v>#14210Pos</v>
      </c>
      <c r="AM710" s="85" t="str">
        <f>IFERROR(__xludf.DUMMYFUNCTION("""COMPUTED_VALUE"""),"KANTOR REGIONAL II JAKARTA 10004")</f>
        <v>KANTOR REGIONAL II JAKARTA 10004</v>
      </c>
      <c r="AN710" s="85" t="str">
        <f>IFERROR(__xludf.DUMMYFUNCTION("""COMPUTED_VALUE"""),"KCU JAKARTAPREMIER 13000")</f>
        <v>KCU JAKARTAPREMIER 13000</v>
      </c>
      <c r="AO710" s="85" t="str">
        <f>IFERROR(__xludf.DUMMYFUNCTION("""COMPUTED_VALUE"""),"2410250074801")</f>
        <v>2410250074801</v>
      </c>
      <c r="AP710" s="85" t="str">
        <f>IFERROR(__xludf.DUMMYFUNCTION("""COMPUTED_VALUE"""),"24102500748010001")</f>
        <v>24102500748010001</v>
      </c>
      <c r="AQ710" s="93"/>
      <c r="AR710" s="85"/>
      <c r="AS710" s="85"/>
      <c r="AT710" s="85" t="str">
        <f>IFERROR(__xludf.DUMMYFUNCTION("""COMPUTED_VALUE"""),"-6.111899")</f>
        <v>-6.111899</v>
      </c>
      <c r="AU710" s="85" t="str">
        <f>IFERROR(__xludf.DUMMYFUNCTION("""COMPUTED_VALUE"""),"106.893707")</f>
        <v>106.893707</v>
      </c>
      <c r="AV710" s="85"/>
      <c r="AW710" s="85"/>
      <c r="AX710" s="85"/>
      <c r="AY710" s="85"/>
      <c r="AZ710" s="85"/>
      <c r="BA710" s="85"/>
      <c r="BB710" s="85"/>
      <c r="BC710" s="85"/>
      <c r="BD710" s="85"/>
      <c r="BE710" s="85"/>
      <c r="BF710" s="85"/>
      <c r="BG710" s="85"/>
      <c r="BH710" s="85"/>
      <c r="BI710" s="85"/>
      <c r="BJ710" s="85"/>
      <c r="BK710" s="85"/>
      <c r="BL710" s="85"/>
      <c r="BM710" s="85"/>
      <c r="BN710" s="85"/>
      <c r="BO710" s="85"/>
      <c r="BP710" s="85"/>
      <c r="BQ710" s="85"/>
      <c r="BR710" s="85"/>
      <c r="BS710" s="85"/>
      <c r="BT710" s="85"/>
      <c r="BU710" s="85"/>
      <c r="BV710" s="85"/>
      <c r="BW710" s="85"/>
      <c r="BX710" s="85" t="str">
        <f>IFERROR(__xludf.DUMMYFUNCTION("""COMPUTED_VALUE"""),"MULTIKURIR - LION PARCEL")</f>
        <v>MULTIKURIR - LION PARCEL</v>
      </c>
      <c r="BY710" s="85"/>
      <c r="BZ710" s="85"/>
      <c r="CA710" s="85"/>
      <c r="CB710" s="85"/>
      <c r="CC710" s="85"/>
      <c r="CD710" s="85"/>
      <c r="CE710" s="85"/>
      <c r="CF710" s="85"/>
      <c r="CG710" s="85"/>
      <c r="CH710" s="85"/>
      <c r="CI710" s="85"/>
      <c r="CJ710" s="85"/>
      <c r="CK710" s="2"/>
    </row>
    <row r="711" ht="12.75" customHeight="1">
      <c r="A711" s="80">
        <f>IFERROR(__xludf.DUMMYFUNCTION("""COMPUTED_VALUE"""),708.0)</f>
        <v>708</v>
      </c>
      <c r="B711" s="80"/>
      <c r="C711" s="80"/>
      <c r="D711" s="81">
        <f>IFERROR(__xludf.DUMMYFUNCTION("""COMPUTED_VALUE"""),45957.0)</f>
        <v>45957</v>
      </c>
      <c r="E711" s="82"/>
      <c r="F711" s="80"/>
      <c r="G711" s="81">
        <f>IFERROR(__xludf.DUMMYFUNCTION("""COMPUTED_VALUE"""),45961.0)</f>
        <v>45961</v>
      </c>
      <c r="H711" s="80"/>
      <c r="I711" s="80"/>
      <c r="J711" s="80"/>
      <c r="K711" s="80"/>
      <c r="L711" s="80">
        <f>IFERROR(__xludf.DUMMYFUNCTION("""COMPUTED_VALUE"""),4.0)</f>
        <v>4</v>
      </c>
      <c r="M711" s="80" t="str">
        <f>IFERROR(__xludf.DUMMYFUNCTION("""COMPUTED_VALUE"""),"ü")</f>
        <v>ü</v>
      </c>
      <c r="N711" s="80"/>
      <c r="O711" s="80"/>
      <c r="P711" s="80" t="str">
        <f>IFERROR(__xludf.DUMMYFUNCTION("""COMPUTED_VALUE"""),"MUCSPA63292PSIND")</f>
        <v>MUCSPA63292PSIND</v>
      </c>
      <c r="Q711" s="80" t="str">
        <f>IFERROR(__xludf.DUMMYFUNCTION("""COMPUTED_VALUE"""),"MUC Jisel")</f>
        <v>MUC Jisel</v>
      </c>
      <c r="R711" s="80" t="str">
        <f>IFERROR(__xludf.DUMMYFUNCTION("""COMPUTED_VALUE"""),"MUC Jisel")</f>
        <v>MUC Jisel</v>
      </c>
      <c r="S711" s="80" t="str">
        <f>IFERROR(__xludf.DUMMYFUNCTION("""COMPUTED_VALUE"""),"Jimmy Newyearson")</f>
        <v>Jimmy Newyearson</v>
      </c>
      <c r="T711" s="80" t="str">
        <f>IFERROR(__xludf.DUMMYFUNCTION("""COMPUTED_VALUE"""),"Asrama Polri Palmerah Rt/Rw 007/014, Kelurahan Palmerah, Kecamatan Pal Merah, Kota Administrasi Jakarta Barat, DKI Jakarta 11480")</f>
        <v>Asrama Polri Palmerah Rt/Rw 007/014, Kelurahan Palmerah, Kecamatan Pal Merah, Kota Administrasi Jakarta Barat, DKI Jakarta 11480</v>
      </c>
      <c r="U711" s="80" t="str">
        <f>IFERROR(__xludf.DUMMYFUNCTION("""COMPUTED_VALUE"""),"Ruko Perum Bumi Telukjambe Blok S No. 27")</f>
        <v>Ruko Perum Bumi Telukjambe Blok S No. 27</v>
      </c>
      <c r="V711" s="80"/>
      <c r="W711" s="80" t="str">
        <f>IFERROR(__xludf.DUMMYFUNCTION("""COMPUTED_VALUE"""),"Wadas")</f>
        <v>Wadas</v>
      </c>
      <c r="X711" s="80" t="str">
        <f>IFERROR(__xludf.DUMMYFUNCTION("""COMPUTED_VALUE"""),"Telukjambe Timur")</f>
        <v>Telukjambe Timur</v>
      </c>
      <c r="Y711" s="80" t="str">
        <f>IFERROR(__xludf.DUMMYFUNCTION("""COMPUTED_VALUE"""),"Karawang")</f>
        <v>Karawang</v>
      </c>
      <c r="Z711" s="80" t="str">
        <f>IFERROR(__xludf.DUMMYFUNCTION("""COMPUTED_VALUE"""),"Jawa Barat")</f>
        <v>Jawa Barat</v>
      </c>
      <c r="AA711" s="80" t="str">
        <f>IFERROR(__xludf.DUMMYFUNCTION("""COMPUTED_VALUE"""),"41360")</f>
        <v>41360</v>
      </c>
      <c r="AB711" s="80" t="str">
        <f>IFERROR(__xludf.DUMMYFUNCTION("""COMPUTED_VALUE"""),"3173070106840003")</f>
        <v>3173070106840003</v>
      </c>
      <c r="AC711" s="80" t="str">
        <f>IFERROR(__xludf.DUMMYFUNCTION("""COMPUTED_VALUE"""),"74.519.810.1-031.000")</f>
        <v>74.519.810.1-031.000</v>
      </c>
      <c r="AD711" s="80" t="str">
        <f>IFERROR(__xludf.DUMMYFUNCTION("""COMPUTED_VALUE"""),"CUM - PS - SITIH")</f>
        <v>CUM - PS - SITIH</v>
      </c>
      <c r="AE711" s="80" t="str">
        <f>IFERROR(__xludf.DUMMYFUNCTION("""COMPUTED_VALUE"""),"BU GITA KCU KARAWANG")</f>
        <v>BU GITA KCU KARAWANG</v>
      </c>
      <c r="AF711" s="80" t="str">
        <f>IFERROR(__xludf.DUMMYFUNCTION("""COMPUTED_VALUE"""),"085215459526")</f>
        <v>085215459526</v>
      </c>
      <c r="AG711" s="80"/>
      <c r="AH711" s="80" t="str">
        <f>IFERROR(__xludf.DUMMYFUNCTION("""COMPUTED_VALUE"""),"siregarme3@gmail.com")</f>
        <v>siregarme3@gmail.com</v>
      </c>
      <c r="AI711" s="80" t="str">
        <f>IFERROR(__xludf.DUMMYFUNCTION("""COMPUTED_VALUE"""),"41337S1")</f>
        <v>41337S1</v>
      </c>
      <c r="AJ711" s="80" t="str">
        <f>IFERROR(__xludf.DUMMYFUNCTION("""COMPUTED_VALUE"""),"69043815a09d0b43fa05fc12")</f>
        <v>69043815a09d0b43fa05fc12</v>
      </c>
      <c r="AK711" s="80" t="str">
        <f>IFERROR(__xludf.DUMMYFUNCTION("""COMPUTED_VALUE"""),"dm41337s1")</f>
        <v>dm41337s1</v>
      </c>
      <c r="AL711" s="80" t="str">
        <f>IFERROR(__xludf.DUMMYFUNCTION("""COMPUTED_VALUE"""),"#41337Pos")</f>
        <v>#41337Pos</v>
      </c>
      <c r="AM711" s="80" t="str">
        <f>IFERROR(__xludf.DUMMYFUNCTION("""COMPUTED_VALUE"""),"KANTOR REGIONAL III BANDUNG 40004")</f>
        <v>KANTOR REGIONAL III BANDUNG 40004</v>
      </c>
      <c r="AN711" s="80" t="str">
        <f>IFERROR(__xludf.DUMMYFUNCTION("""COMPUTED_VALUE"""),"KCU KARAWANG 41300")</f>
        <v>KCU KARAWANG 41300</v>
      </c>
      <c r="AO711" s="80" t="str">
        <f>IFERROR(__xludf.DUMMYFUNCTION("""COMPUTED_VALUE"""),"2410250057227")</f>
        <v>2410250057227</v>
      </c>
      <c r="AP711" s="80" t="str">
        <f>IFERROR(__xludf.DUMMYFUNCTION("""COMPUTED_VALUE"""),"24102500572270001")</f>
        <v>24102500572270001</v>
      </c>
      <c r="AQ711" s="83"/>
      <c r="AR711" s="80"/>
      <c r="AS711" s="80"/>
      <c r="AT711" s="80" t="str">
        <f>IFERROR(__xludf.DUMMYFUNCTION("""COMPUTED_VALUE"""),"-6.328421")</f>
        <v>-6.328421</v>
      </c>
      <c r="AU711" s="80" t="str">
        <f>IFERROR(__xludf.DUMMYFUNCTION("""COMPUTED_VALUE"""),"107.280661")</f>
        <v>107.280661</v>
      </c>
      <c r="AV711" s="80"/>
      <c r="AW711" s="80"/>
      <c r="AX711" s="80"/>
      <c r="AY711" s="80"/>
      <c r="AZ711" s="80"/>
      <c r="BA711" s="80"/>
      <c r="BB711" s="80"/>
      <c r="BC711" s="80"/>
      <c r="BD711" s="80"/>
      <c r="BE711" s="80"/>
      <c r="BF711" s="80"/>
      <c r="BG711" s="80"/>
      <c r="BH711" s="80"/>
      <c r="BI711" s="80"/>
      <c r="BJ711" s="80"/>
      <c r="BK711" s="80"/>
      <c r="BL711" s="80"/>
      <c r="BM711" s="80"/>
      <c r="BN711" s="80"/>
      <c r="BO711" s="80"/>
      <c r="BP711" s="80"/>
      <c r="BQ711" s="80"/>
      <c r="BR711" s="80"/>
      <c r="BS711" s="80"/>
      <c r="BT711" s="80"/>
      <c r="BU711" s="80"/>
      <c r="BV711" s="80"/>
      <c r="BW711" s="80"/>
      <c r="BX711" s="80" t="str">
        <f>IFERROR(__xludf.DUMMYFUNCTION("""COMPUTED_VALUE"""),"NEWBIE")</f>
        <v>NEWBIE</v>
      </c>
      <c r="BY711" s="80"/>
      <c r="BZ711" s="80"/>
      <c r="CA711" s="80"/>
      <c r="CB711" s="80"/>
      <c r="CC711" s="80"/>
      <c r="CD711" s="80"/>
      <c r="CE711" s="80"/>
      <c r="CF711" s="80"/>
      <c r="CG711" s="80"/>
      <c r="CH711" s="80"/>
      <c r="CI711" s="80"/>
      <c r="CJ711" s="80"/>
      <c r="CK711" s="2"/>
    </row>
    <row r="712" ht="12.75" customHeight="1">
      <c r="A712" s="85">
        <f>IFERROR(__xludf.DUMMYFUNCTION("""COMPUTED_VALUE"""),709.0)</f>
        <v>709</v>
      </c>
      <c r="B712" s="85"/>
      <c r="C712" s="85"/>
      <c r="D712" s="86">
        <f>IFERROR(__xludf.DUMMYFUNCTION("""COMPUTED_VALUE"""),45957.0)</f>
        <v>45957</v>
      </c>
      <c r="E712" s="88"/>
      <c r="F712" s="85"/>
      <c r="G712" s="86">
        <f>IFERROR(__xludf.DUMMYFUNCTION("""COMPUTED_VALUE"""),45965.0)</f>
        <v>45965</v>
      </c>
      <c r="H712" s="85"/>
      <c r="I712" s="85"/>
      <c r="J712" s="85"/>
      <c r="K712" s="85"/>
      <c r="L712" s="85">
        <f>IFERROR(__xludf.DUMMYFUNCTION("""COMPUTED_VALUE"""),8.0)</f>
        <v>8</v>
      </c>
      <c r="M712" s="85" t="str">
        <f>IFERROR(__xludf.DUMMYFUNCTION("""COMPUTED_VALUE"""),"ü")</f>
        <v>ü</v>
      </c>
      <c r="N712" s="85"/>
      <c r="O712" s="85"/>
      <c r="P712" s="85" t="str">
        <f>IFERROR(__xludf.DUMMYFUNCTION("""COMPUTED_VALUE"""),"MUCSPA63293PSIND")</f>
        <v>MUCSPA63293PSIND</v>
      </c>
      <c r="Q712" s="85" t="str">
        <f>IFERROR(__xludf.DUMMYFUNCTION("""COMPUTED_VALUE"""),"MUC BERKAH JAYA EXPRESS")</f>
        <v>MUC BERKAH JAYA EXPRESS</v>
      </c>
      <c r="R712" s="85" t="str">
        <f>IFERROR(__xludf.DUMMYFUNCTION("""COMPUTED_VALUE"""),"MUC BERKAH JAYA EXPRESS")</f>
        <v>MUC BERKAH JAYA EXPRESS</v>
      </c>
      <c r="S712" s="85" t="str">
        <f>IFERROR(__xludf.DUMMYFUNCTION("""COMPUTED_VALUE"""),"ANNIE AGUSTYANI CHOIRIL, ST")</f>
        <v>ANNIE AGUSTYANI CHOIRIL, ST</v>
      </c>
      <c r="T712" s="85" t="str">
        <f>IFERROR(__xludf.DUMMYFUNCTION("""COMPUTED_VALUE"""),"MARGAHAYU RAYA BARAT BLOK K-II NO. 15")</f>
        <v>MARGAHAYU RAYA BARAT BLOK K-II NO. 15</v>
      </c>
      <c r="U712" s="85" t="str">
        <f>IFERROR(__xludf.DUMMYFUNCTION("""COMPUTED_VALUE"""),"JL. NEPTUNUS UTARA I")</f>
        <v>JL. NEPTUNUS UTARA I</v>
      </c>
      <c r="V712" s="85"/>
      <c r="W712" s="85" t="str">
        <f>IFERROR(__xludf.DUMMYFUNCTION("""COMPUTED_VALUE"""),"SEKEJATI")</f>
        <v>SEKEJATI</v>
      </c>
      <c r="X712" s="85" t="str">
        <f>IFERROR(__xludf.DUMMYFUNCTION("""COMPUTED_VALUE"""),"BUAHBATU")</f>
        <v>BUAHBATU</v>
      </c>
      <c r="Y712" s="85" t="str">
        <f>IFERROR(__xludf.DUMMYFUNCTION("""COMPUTED_VALUE"""),"BANDUNG")</f>
        <v>BANDUNG</v>
      </c>
      <c r="Z712" s="85" t="str">
        <f>IFERROR(__xludf.DUMMYFUNCTION("""COMPUTED_VALUE"""),"JAWA BARAT")</f>
        <v>JAWA BARAT</v>
      </c>
      <c r="AA712" s="85" t="str">
        <f>IFERROR(__xludf.DUMMYFUNCTION("""COMPUTED_VALUE"""),"40286")</f>
        <v>40286</v>
      </c>
      <c r="AB712" s="85" t="str">
        <f>IFERROR(__xludf.DUMMYFUNCTION("""COMPUTED_VALUE"""),"3273224608810002")</f>
        <v>3273224608810002</v>
      </c>
      <c r="AC712" s="85" t="str">
        <f>IFERROR(__xludf.DUMMYFUNCTION("""COMPUTED_VALUE"""),"59.576.248.5-429.000")</f>
        <v>59.576.248.5-429.000</v>
      </c>
      <c r="AD712" s="85" t="str">
        <f>IFERROR(__xludf.DUMMYFUNCTION("""COMPUTED_VALUE"""),"CUM - NOV")</f>
        <v>CUM - NOV</v>
      </c>
      <c r="AE712" s="85" t="str">
        <f>IFERROR(__xludf.DUMMYFUNCTION("""COMPUTED_VALUE"""),"SUB NOVI")</f>
        <v>SUB NOVI</v>
      </c>
      <c r="AF712" s="85" t="str">
        <f>IFERROR(__xludf.DUMMYFUNCTION("""COMPUTED_VALUE"""),"082121741702")</f>
        <v>082121741702</v>
      </c>
      <c r="AG712" s="85"/>
      <c r="AH712" s="85" t="str">
        <f>IFERROR(__xludf.DUMMYFUNCTION("""COMPUTED_VALUE"""),"annie_agustyani81@yahoo.com")</f>
        <v>annie_agustyani81@yahoo.com</v>
      </c>
      <c r="AI712" s="85" t="str">
        <f>IFERROR(__xludf.DUMMYFUNCTION("""COMPUTED_VALUE"""),"40286SE")</f>
        <v>40286SE</v>
      </c>
      <c r="AJ712" s="85" t="str">
        <f>IFERROR(__xludf.DUMMYFUNCTION("""COMPUTED_VALUE"""),"69048fbe7d3c0386df0df62b")</f>
        <v>69048fbe7d3c0386df0df62b</v>
      </c>
      <c r="AK712" s="85" t="str">
        <f>IFERROR(__xludf.DUMMYFUNCTION("""COMPUTED_VALUE"""),"dm40286se")</f>
        <v>dm40286se</v>
      </c>
      <c r="AL712" s="85" t="str">
        <f>IFERROR(__xludf.DUMMYFUNCTION("""COMPUTED_VALUE"""),"#40286Pos")</f>
        <v>#40286Pos</v>
      </c>
      <c r="AM712" s="85" t="str">
        <f>IFERROR(__xludf.DUMMYFUNCTION("""COMPUTED_VALUE"""),"KANTOR REGIONAL III BANDUNG 40004")</f>
        <v>KANTOR REGIONAL III BANDUNG 40004</v>
      </c>
      <c r="AN712" s="85" t="str">
        <f>IFERROR(__xludf.DUMMYFUNCTION("""COMPUTED_VALUE"""),"KCU BANDUNG 40000")</f>
        <v>KCU BANDUNG 40000</v>
      </c>
      <c r="AO712" s="85" t="str">
        <f>IFERROR(__xludf.DUMMYFUNCTION("""COMPUTED_VALUE"""),"2710250086616")</f>
        <v>2710250086616</v>
      </c>
      <c r="AP712" s="85" t="str">
        <f>IFERROR(__xludf.DUMMYFUNCTION("""COMPUTED_VALUE"""),"27102500866160001")</f>
        <v>27102500866160001</v>
      </c>
      <c r="AQ712" s="93"/>
      <c r="AR712" s="85"/>
      <c r="AS712" s="85"/>
      <c r="AT712" s="85" t="str">
        <f>IFERROR(__xludf.DUMMYFUNCTION("""COMPUTED_VALUE"""),"-6.9476130")</f>
        <v>-6.9476130</v>
      </c>
      <c r="AU712" s="85" t="str">
        <f>IFERROR(__xludf.DUMMYFUNCTION("""COMPUTED_VALUE"""),"107.6590340")</f>
        <v>107.6590340</v>
      </c>
      <c r="AV712" s="85"/>
      <c r="AW712" s="85"/>
      <c r="AX712" s="85"/>
      <c r="AY712" s="85"/>
      <c r="AZ712" s="85"/>
      <c r="BA712" s="85"/>
      <c r="BB712" s="85"/>
      <c r="BC712" s="85"/>
      <c r="BD712" s="85"/>
      <c r="BE712" s="85"/>
      <c r="BF712" s="85"/>
      <c r="BG712" s="85"/>
      <c r="BH712" s="85"/>
      <c r="BI712" s="85"/>
      <c r="BJ712" s="85"/>
      <c r="BK712" s="85"/>
      <c r="BL712" s="85"/>
      <c r="BM712" s="85"/>
      <c r="BN712" s="85"/>
      <c r="BO712" s="85"/>
      <c r="BP712" s="85"/>
      <c r="BQ712" s="85"/>
      <c r="BR712" s="85"/>
      <c r="BS712" s="85"/>
      <c r="BT712" s="85"/>
      <c r="BU712" s="85"/>
      <c r="BV712" s="85"/>
      <c r="BW712" s="85"/>
      <c r="BX712" s="85" t="str">
        <f>IFERROR(__xludf.DUMMYFUNCTION("""COMPUTED_VALUE"""),"NEWBIE")</f>
        <v>NEWBIE</v>
      </c>
      <c r="BY712" s="85"/>
      <c r="BZ712" s="85"/>
      <c r="CA712" s="85"/>
      <c r="CB712" s="85"/>
      <c r="CC712" s="85"/>
      <c r="CD712" s="85"/>
      <c r="CE712" s="85"/>
      <c r="CF712" s="85"/>
      <c r="CG712" s="85"/>
      <c r="CH712" s="85"/>
      <c r="CI712" s="85"/>
      <c r="CJ712" s="85"/>
      <c r="CK712" s="2"/>
    </row>
    <row r="713" ht="12.75" customHeight="1">
      <c r="A713" s="80">
        <f>IFERROR(__xludf.DUMMYFUNCTION("""COMPUTED_VALUE"""),710.0)</f>
        <v>710</v>
      </c>
      <c r="B713" s="80"/>
      <c r="C713" s="80"/>
      <c r="D713" s="81">
        <f>IFERROR(__xludf.DUMMYFUNCTION("""COMPUTED_VALUE"""),45958.0)</f>
        <v>45958</v>
      </c>
      <c r="E713" s="82"/>
      <c r="F713" s="80"/>
      <c r="G713" s="81">
        <f>IFERROR(__xludf.DUMMYFUNCTION("""COMPUTED_VALUE"""),45972.0)</f>
        <v>45972</v>
      </c>
      <c r="H713" s="80"/>
      <c r="I713" s="80"/>
      <c r="J713" s="80"/>
      <c r="K713" s="80"/>
      <c r="L713" s="80">
        <f>IFERROR(__xludf.DUMMYFUNCTION("""COMPUTED_VALUE"""),14.0)</f>
        <v>14</v>
      </c>
      <c r="M713" s="80" t="str">
        <f>IFERROR(__xludf.DUMMYFUNCTION("""COMPUTED_VALUE"""),"ü")</f>
        <v>ü</v>
      </c>
      <c r="N713" s="80"/>
      <c r="O713" s="80"/>
      <c r="P713" s="80" t="str">
        <f>IFERROR(__xludf.DUMMYFUNCTION("""COMPUTED_VALUE"""),"MUCSPA63294PSIND")</f>
        <v>MUCSPA63294PSIND</v>
      </c>
      <c r="Q713" s="80" t="str">
        <f>IFERROR(__xludf.DUMMYFUNCTION("""COMPUTED_VALUE"""),"MUC SHIONA")</f>
        <v>MUC SHIONA</v>
      </c>
      <c r="R713" s="80" t="str">
        <f>IFERROR(__xludf.DUMMYFUNCTION("""COMPUTED_VALUE"""),"MUC SHIONA")</f>
        <v>MUC SHIONA</v>
      </c>
      <c r="S713" s="80" t="str">
        <f>IFERROR(__xludf.DUMMYFUNCTION("""COMPUTED_VALUE"""),"JOSUA AGUSTA")</f>
        <v>JOSUA AGUSTA</v>
      </c>
      <c r="T713" s="80" t="str">
        <f>IFERROR(__xludf.DUMMYFUNCTION("""COMPUTED_VALUE"""),"DUSUN VI BANDAR SAKTI, TANJUNG KARIAHAN, SIRAPIT,  KAB. LANGKAT, SUMATERA UTARA")</f>
        <v>DUSUN VI BANDAR SAKTI, TANJUNG KARIAHAN, SIRAPIT,  KAB. LANGKAT, SUMATERA UTARA</v>
      </c>
      <c r="U713" s="80" t="str">
        <f>IFERROR(__xludf.DUMMYFUNCTION("""COMPUTED_VALUE"""),"DUSUN VI BANDAR SAKTI")</f>
        <v>DUSUN VI BANDAR SAKTI</v>
      </c>
      <c r="V713" s="80"/>
      <c r="W713" s="80" t="str">
        <f>IFERROR(__xludf.DUMMYFUNCTION("""COMPUTED_VALUE"""),"TANJUNG KARIAHAN")</f>
        <v>TANJUNG KARIAHAN</v>
      </c>
      <c r="X713" s="80" t="str">
        <f>IFERROR(__xludf.DUMMYFUNCTION("""COMPUTED_VALUE"""),"SIRAPIT")</f>
        <v>SIRAPIT</v>
      </c>
      <c r="Y713" s="80" t="str">
        <f>IFERROR(__xludf.DUMMYFUNCTION("""COMPUTED_VALUE"""),"KAB. LANGKAT")</f>
        <v>KAB. LANGKAT</v>
      </c>
      <c r="Z713" s="80" t="str">
        <f>IFERROR(__xludf.DUMMYFUNCTION("""COMPUTED_VALUE"""),"SUMATERA UTARA")</f>
        <v>SUMATERA UTARA</v>
      </c>
      <c r="AA713" s="80" t="str">
        <f>IFERROR(__xludf.DUMMYFUNCTION("""COMPUTED_VALUE"""),"20762")</f>
        <v>20762</v>
      </c>
      <c r="AB713" s="80" t="str">
        <f>IFERROR(__xludf.DUMMYFUNCTION("""COMPUTED_VALUE"""),"1205212004930001")</f>
        <v>1205212004930001</v>
      </c>
      <c r="AC713" s="80" t="str">
        <f>IFERROR(__xludf.DUMMYFUNCTION("""COMPUTED_VALUE"""),"82.332.707.7-119.000")</f>
        <v>82.332.707.7-119.000</v>
      </c>
      <c r="AD713" s="80" t="str">
        <f>IFERROR(__xludf.DUMMYFUNCTION("""COMPUTED_VALUE"""),"CUM - PS - ARFI")</f>
        <v>CUM - PS - ARFI</v>
      </c>
      <c r="AE713" s="80" t="str">
        <f>IFERROR(__xludf.DUMMYFUNCTION("""COMPUTED_VALUE"""),"SUB ARIEF POS")</f>
        <v>SUB ARIEF POS</v>
      </c>
      <c r="AF713" s="80" t="str">
        <f>IFERROR(__xludf.DUMMYFUNCTION("""COMPUTED_VALUE"""),"081264719832 ")</f>
        <v>081264719832 </v>
      </c>
      <c r="AG713" s="80"/>
      <c r="AH713" s="80" t="str">
        <f>IFERROR(__xludf.DUMMYFUNCTION("""COMPUTED_VALUE"""),"josuaagusta85@gmail.com")</f>
        <v>josuaagusta85@gmail.com</v>
      </c>
      <c r="AI713" s="80" t="str">
        <f>IFERROR(__xludf.DUMMYFUNCTION("""COMPUTED_VALUE"""),"20776S1")</f>
        <v>20776S1</v>
      </c>
      <c r="AJ713" s="80" t="str">
        <f>IFERROR(__xludf.DUMMYFUNCTION("""COMPUTED_VALUE"""),"6912d490784111c9f8036430")</f>
        <v>6912d490784111c9f8036430</v>
      </c>
      <c r="AK713" s="80" t="str">
        <f>IFERROR(__xludf.DUMMYFUNCTION("""COMPUTED_VALUE"""),"dm20776s1")</f>
        <v>dm20776s1</v>
      </c>
      <c r="AL713" s="80" t="str">
        <f>IFERROR(__xludf.DUMMYFUNCTION("""COMPUTED_VALUE"""),"#20776Pos")</f>
        <v>#20776Pos</v>
      </c>
      <c r="AM713" s="80" t="str">
        <f>IFERROR(__xludf.DUMMYFUNCTION("""COMPUTED_VALUE"""),"KANTOR REGIONAL I MEDAN 20004")</f>
        <v>KANTOR REGIONAL I MEDAN 20004</v>
      </c>
      <c r="AN713" s="80" t="str">
        <f>IFERROR(__xludf.DUMMYFUNCTION("""COMPUTED_VALUE"""),"KC BINJAI")</f>
        <v>KC BINJAI</v>
      </c>
      <c r="AO713" s="80" t="str">
        <f>IFERROR(__xludf.DUMMYFUNCTION("""COMPUTED_VALUE"""),"1009250052879")</f>
        <v>1009250052879</v>
      </c>
      <c r="AP713" s="80" t="str">
        <f>IFERROR(__xludf.DUMMYFUNCTION("""COMPUTED_VALUE"""),"10092500528790001")</f>
        <v>10092500528790001</v>
      </c>
      <c r="AQ713" s="83"/>
      <c r="AR713" s="80"/>
      <c r="AS713" s="80"/>
      <c r="AT713" s="80" t="str">
        <f>IFERROR(__xludf.DUMMYFUNCTION("""COMPUTED_VALUE"""),"3.5751188")</f>
        <v>3.5751188</v>
      </c>
      <c r="AU713" s="80" t="str">
        <f>IFERROR(__xludf.DUMMYFUNCTION("""COMPUTED_VALUE"""),"98.3504693")</f>
        <v>98.3504693</v>
      </c>
      <c r="AV713" s="80"/>
      <c r="AW713" s="80"/>
      <c r="AX713" s="80"/>
      <c r="AY713" s="80"/>
      <c r="AZ713" s="80"/>
      <c r="BA713" s="80"/>
      <c r="BB713" s="80"/>
      <c r="BC713" s="80"/>
      <c r="BD713" s="80"/>
      <c r="BE713" s="80"/>
      <c r="BF713" s="80"/>
      <c r="BG713" s="80"/>
      <c r="BH713" s="80"/>
      <c r="BI713" s="80"/>
      <c r="BJ713" s="80"/>
      <c r="BK713" s="80"/>
      <c r="BL713" s="80"/>
      <c r="BM713" s="80"/>
      <c r="BN713" s="80"/>
      <c r="BO713" s="80"/>
      <c r="BP713" s="80"/>
      <c r="BQ713" s="80"/>
      <c r="BR713" s="80"/>
      <c r="BS713" s="80"/>
      <c r="BT713" s="80"/>
      <c r="BU713" s="80"/>
      <c r="BV713" s="80"/>
      <c r="BW713" s="80"/>
      <c r="BX713" s="80" t="str">
        <f>IFERROR(__xludf.DUMMYFUNCTION("""COMPUTED_VALUE"""),"NEWBIE")</f>
        <v>NEWBIE</v>
      </c>
      <c r="BY713" s="80"/>
      <c r="BZ713" s="80"/>
      <c r="CA713" s="80"/>
      <c r="CB713" s="80"/>
      <c r="CC713" s="80"/>
      <c r="CD713" s="80"/>
      <c r="CE713" s="80"/>
      <c r="CF713" s="80"/>
      <c r="CG713" s="80"/>
      <c r="CH713" s="80"/>
      <c r="CI713" s="80"/>
      <c r="CJ713" s="80"/>
      <c r="CK713" s="2"/>
    </row>
    <row r="714" ht="12.75" customHeight="1">
      <c r="A714" s="85">
        <f>IFERROR(__xludf.DUMMYFUNCTION("""COMPUTED_VALUE"""),711.0)</f>
        <v>711</v>
      </c>
      <c r="B714" s="85"/>
      <c r="C714" s="85"/>
      <c r="D714" s="86">
        <f>IFERROR(__xludf.DUMMYFUNCTION("""COMPUTED_VALUE"""),45958.0)</f>
        <v>45958</v>
      </c>
      <c r="E714" s="88"/>
      <c r="F714" s="85"/>
      <c r="G714" s="86">
        <f>IFERROR(__xludf.DUMMYFUNCTION("""COMPUTED_VALUE"""),45981.0)</f>
        <v>45981</v>
      </c>
      <c r="H714" s="85"/>
      <c r="I714" s="85"/>
      <c r="J714" s="85"/>
      <c r="K714" s="85"/>
      <c r="L714" s="85">
        <f>IFERROR(__xludf.DUMMYFUNCTION("""COMPUTED_VALUE"""),23.0)</f>
        <v>23</v>
      </c>
      <c r="M714" s="85" t="str">
        <f>IFERROR(__xludf.DUMMYFUNCTION("""COMPUTED_VALUE"""),"ü")</f>
        <v>ü</v>
      </c>
      <c r="N714" s="85"/>
      <c r="O714" s="85"/>
      <c r="P714" s="85" t="str">
        <f>IFERROR(__xludf.DUMMYFUNCTION("""COMPUTED_VALUE"""),"MUCSPA63295PSIND")</f>
        <v>MUCSPA63295PSIND</v>
      </c>
      <c r="Q714" s="85" t="str">
        <f>IFERROR(__xludf.DUMMYFUNCTION("""COMPUTED_VALUE"""),"MUC Gesa Faizar")</f>
        <v>MUC Gesa Faizar</v>
      </c>
      <c r="R714" s="85" t="str">
        <f>IFERROR(__xludf.DUMMYFUNCTION("""COMPUTED_VALUE"""),"MUC Gesa Faizar")</f>
        <v>MUC Gesa Faizar</v>
      </c>
      <c r="S714" s="85" t="str">
        <f>IFERROR(__xludf.DUMMYFUNCTION("""COMPUTED_VALUE"""),"Gevrazi")</f>
        <v>Gevrazi</v>
      </c>
      <c r="T714" s="85" t="str">
        <f>IFERROR(__xludf.DUMMYFUNCTION("""COMPUTED_VALUE"""),"SELENSEN RT.015 RW.010, SELENSEN, KEMUNING, KAB. INDRAGIRI HILIR, PROV RIAU")</f>
        <v>SELENSEN RT.015 RW.010, SELENSEN, KEMUNING, KAB. INDRAGIRI HILIR, PROV RIAU</v>
      </c>
      <c r="U714" s="85" t="str">
        <f>IFERROR(__xludf.DUMMYFUNCTION("""COMPUTED_VALUE"""),"Jl. Lintas Sumatera No.Km. 295")</f>
        <v>Jl. Lintas Sumatera No.Km. 295</v>
      </c>
      <c r="V714" s="85"/>
      <c r="W714" s="85" t="str">
        <f>IFERROR(__xludf.DUMMYFUNCTION("""COMPUTED_VALUE"""),"Selensen ")</f>
        <v>Selensen </v>
      </c>
      <c r="X714" s="85" t="str">
        <f>IFERROR(__xludf.DUMMYFUNCTION("""COMPUTED_VALUE"""),"Kemuning ")</f>
        <v>Kemuning </v>
      </c>
      <c r="Y714" s="85" t="str">
        <f>IFERROR(__xludf.DUMMYFUNCTION("""COMPUTED_VALUE"""),"Kabupaten Indragiri Hilir")</f>
        <v>Kabupaten Indragiri Hilir</v>
      </c>
      <c r="Z714" s="85" t="str">
        <f>IFERROR(__xludf.DUMMYFUNCTION("""COMPUTED_VALUE"""),"Riau")</f>
        <v>Riau</v>
      </c>
      <c r="AA714" s="85" t="str">
        <f>IFERROR(__xludf.DUMMYFUNCTION("""COMPUTED_VALUE"""),"29274")</f>
        <v>29274</v>
      </c>
      <c r="AB714" s="85" t="str">
        <f>IFERROR(__xludf.DUMMYFUNCTION("""COMPUTED_VALUE"""),"1404142309950004")</f>
        <v>1404142309950004</v>
      </c>
      <c r="AC714" s="85" t="str">
        <f>IFERROR(__xludf.DUMMYFUNCTION("""COMPUTED_VALUE"""),"65.052.728.6-213.000")</f>
        <v>65.052.728.6-213.000</v>
      </c>
      <c r="AD714" s="85" t="str">
        <f>IFERROR(__xludf.DUMMYFUNCTION("""COMPUTED_VALUE"""),"CUM - PS  - TASY")</f>
        <v>CUM - PS  - TASY</v>
      </c>
      <c r="AE714" s="85" t="str">
        <f>IFERROR(__xludf.DUMMYFUNCTION("""COMPUTED_VALUE"""),"BU TASYA KC TEMBILAHAN")</f>
        <v>BU TASYA KC TEMBILAHAN</v>
      </c>
      <c r="AF714" s="85" t="str">
        <f>IFERROR(__xludf.DUMMYFUNCTION("""COMPUTED_VALUE"""),"081261737948")</f>
        <v>081261737948</v>
      </c>
      <c r="AG714" s="85"/>
      <c r="AH714" s="85" t="str">
        <f>IFERROR(__xludf.DUMMYFUNCTION("""COMPUTED_VALUE"""),"gevrazy@gmail.com")</f>
        <v>gevrazy@gmail.com</v>
      </c>
      <c r="AI714" s="85" t="str">
        <f>IFERROR(__xludf.DUMMYFUNCTION("""COMPUTED_VALUE"""),"29276S3")</f>
        <v>29276S3</v>
      </c>
      <c r="AJ714" s="85" t="str">
        <f>IFERROR(__xludf.DUMMYFUNCTION("""COMPUTED_VALUE"""),"691d3e8d9cb306d95d0e7844")</f>
        <v>691d3e8d9cb306d95d0e7844</v>
      </c>
      <c r="AK714" s="85" t="str">
        <f>IFERROR(__xludf.DUMMYFUNCTION("""COMPUTED_VALUE"""),"dm29276s4 ")</f>
        <v>dm29276s4 </v>
      </c>
      <c r="AL714" s="85" t="str">
        <f>IFERROR(__xludf.DUMMYFUNCTION("""COMPUTED_VALUE"""),"#29276Pos")</f>
        <v>#29276Pos</v>
      </c>
      <c r="AM714" s="85" t="str">
        <f>IFERROR(__xludf.DUMMYFUNCTION("""COMPUTED_VALUE"""),"KANTOR REGIONAL I MEDAN 20004")</f>
        <v>KANTOR REGIONAL I MEDAN 20004</v>
      </c>
      <c r="AN714" s="85" t="str">
        <f>IFERROR(__xludf.DUMMYFUNCTION("""COMPUTED_VALUE"""),"KC TEMBILAHAN")</f>
        <v>KC TEMBILAHAN</v>
      </c>
      <c r="AO714" s="85" t="str">
        <f>IFERROR(__xludf.DUMMYFUNCTION("""COMPUTED_VALUE"""),"2810250108329")</f>
        <v>2810250108329</v>
      </c>
      <c r="AP714" s="85" t="str">
        <f>IFERROR(__xludf.DUMMYFUNCTION("""COMPUTED_VALUE"""),"28102501083290001")</f>
        <v>28102501083290001</v>
      </c>
      <c r="AQ714" s="93"/>
      <c r="AR714" s="85"/>
      <c r="AS714" s="85"/>
      <c r="AT714" s="85" t="str">
        <f>IFERROR(__xludf.DUMMYFUNCTION("""COMPUTED_VALUE"""),"-0.966808")</f>
        <v>-0.966808</v>
      </c>
      <c r="AU714" s="85" t="str">
        <f>IFERROR(__xludf.DUMMYFUNCTION("""COMPUTED_VALUE"""),"102.7416665")</f>
        <v>102.7416665</v>
      </c>
      <c r="AV714" s="85"/>
      <c r="AW714" s="85"/>
      <c r="AX714" s="85"/>
      <c r="AY714" s="85"/>
      <c r="AZ714" s="85"/>
      <c r="BA714" s="85"/>
      <c r="BB714" s="85"/>
      <c r="BC714" s="85"/>
      <c r="BD714" s="85"/>
      <c r="BE714" s="85"/>
      <c r="BF714" s="85"/>
      <c r="BG714" s="85"/>
      <c r="BH714" s="85"/>
      <c r="BI714" s="85"/>
      <c r="BJ714" s="85"/>
      <c r="BK714" s="85"/>
      <c r="BL714" s="85"/>
      <c r="BM714" s="85"/>
      <c r="BN714" s="85"/>
      <c r="BO714" s="85"/>
      <c r="BP714" s="85"/>
      <c r="BQ714" s="85"/>
      <c r="BR714" s="85"/>
      <c r="BS714" s="85"/>
      <c r="BT714" s="85"/>
      <c r="BU714" s="85"/>
      <c r="BV714" s="85"/>
      <c r="BW714" s="85"/>
      <c r="BX714" s="85" t="str">
        <f>IFERROR(__xludf.DUMMYFUNCTION("""COMPUTED_VALUE"""),"NEWBIE BRILINK/PPOB")</f>
        <v>NEWBIE BRILINK/PPOB</v>
      </c>
      <c r="BY714" s="85"/>
      <c r="BZ714" s="85"/>
      <c r="CA714" s="85"/>
      <c r="CB714" s="85"/>
      <c r="CC714" s="85"/>
      <c r="CD714" s="85"/>
      <c r="CE714" s="85"/>
      <c r="CF714" s="85"/>
      <c r="CG714" s="85"/>
      <c r="CH714" s="85"/>
      <c r="CI714" s="85"/>
      <c r="CJ714" s="85"/>
      <c r="CK714" s="2"/>
    </row>
    <row r="715" ht="12.75" customHeight="1">
      <c r="A715" s="80">
        <f>IFERROR(__xludf.DUMMYFUNCTION("""COMPUTED_VALUE"""),712.0)</f>
        <v>712</v>
      </c>
      <c r="B715" s="80"/>
      <c r="C715" s="80"/>
      <c r="D715" s="81">
        <f>IFERROR(__xludf.DUMMYFUNCTION("""COMPUTED_VALUE"""),45959.0)</f>
        <v>45959</v>
      </c>
      <c r="E715" s="82"/>
      <c r="F715" s="80"/>
      <c r="G715" s="81">
        <f>IFERROR(__xludf.DUMMYFUNCTION("""COMPUTED_VALUE"""),45982.0)</f>
        <v>45982</v>
      </c>
      <c r="H715" s="80"/>
      <c r="I715" s="80"/>
      <c r="J715" s="80"/>
      <c r="K715" s="80"/>
      <c r="L715" s="80">
        <f>IFERROR(__xludf.DUMMYFUNCTION("""COMPUTED_VALUE"""),23.0)</f>
        <v>23</v>
      </c>
      <c r="M715" s="80" t="str">
        <f>IFERROR(__xludf.DUMMYFUNCTION("""COMPUTED_VALUE"""),"ü")</f>
        <v>ü</v>
      </c>
      <c r="N715" s="80"/>
      <c r="O715" s="80"/>
      <c r="P715" s="80" t="str">
        <f>IFERROR(__xludf.DUMMYFUNCTION("""COMPUTED_VALUE"""),"MUCSPA63296PSIND")</f>
        <v>MUCSPA63296PSIND</v>
      </c>
      <c r="Q715" s="80" t="str">
        <f>IFERROR(__xludf.DUMMYFUNCTION("""COMPUTED_VALUE"""),"MUC LABEL O")</f>
        <v>MUC LABEL O</v>
      </c>
      <c r="R715" s="80" t="str">
        <f>IFERROR(__xludf.DUMMYFUNCTION("""COMPUTED_VALUE"""),"MUC LABEL O")</f>
        <v>MUC LABEL O</v>
      </c>
      <c r="S715" s="80" t="str">
        <f>IFERROR(__xludf.DUMMYFUNCTION("""COMPUTED_VALUE"""),"ARQY AQSHABRILYAN")</f>
        <v>ARQY AQSHABRILYAN</v>
      </c>
      <c r="T715" s="80" t="str">
        <f>IFERROR(__xludf.DUMMYFUNCTION("""COMPUTED_VALUE"""),"PONGGONGAN BAWAH JORONG LASI MUDO, KEL. LASI, KEC. CANDUNG, KAB. AGAM, SUMATERA BARAT")</f>
        <v>PONGGONGAN BAWAH JORONG LASI MUDO, KEL. LASI, KEC. CANDUNG, KAB. AGAM, SUMATERA BARAT</v>
      </c>
      <c r="U715" s="80" t="str">
        <f>IFERROR(__xludf.DUMMYFUNCTION("""COMPUTED_VALUE"""),"PONGGONGAN BAWAH JORONG LASI MUDO")</f>
        <v>PONGGONGAN BAWAH JORONG LASI MUDO</v>
      </c>
      <c r="V715" s="80"/>
      <c r="W715" s="80" t="str">
        <f>IFERROR(__xludf.DUMMYFUNCTION("""COMPUTED_VALUE"""),"LASI")</f>
        <v>LASI</v>
      </c>
      <c r="X715" s="80" t="str">
        <f>IFERROR(__xludf.DUMMYFUNCTION("""COMPUTED_VALUE"""),"CANDUNG")</f>
        <v>CANDUNG</v>
      </c>
      <c r="Y715" s="80" t="str">
        <f>IFERROR(__xludf.DUMMYFUNCTION("""COMPUTED_VALUE"""),"KAB. AGAM")</f>
        <v>KAB. AGAM</v>
      </c>
      <c r="Z715" s="80" t="str">
        <f>IFERROR(__xludf.DUMMYFUNCTION("""COMPUTED_VALUE"""),"SUMATERA BARAT")</f>
        <v>SUMATERA BARAT</v>
      </c>
      <c r="AA715" s="80" t="str">
        <f>IFERROR(__xludf.DUMMYFUNCTION("""COMPUTED_VALUE"""),"26191")</f>
        <v>26191</v>
      </c>
      <c r="AB715" s="80" t="str">
        <f>IFERROR(__xludf.DUMMYFUNCTION("""COMPUTED_VALUE"""),"1306141207880001")</f>
        <v>1306141207880001</v>
      </c>
      <c r="AC715" s="80" t="str">
        <f>IFERROR(__xludf.DUMMYFUNCTION("""COMPUTED_VALUE"""),"73.914.332.9-202.000")</f>
        <v>73.914.332.9-202.000</v>
      </c>
      <c r="AD715" s="80" t="str">
        <f>IFERROR(__xludf.DUMMYFUNCTION("""COMPUTED_VALUE"""),"BU ESTA")</f>
        <v>BU ESTA</v>
      </c>
      <c r="AE715" s="80" t="str">
        <f>IFERROR(__xludf.DUMMYFUNCTION("""COMPUTED_VALUE"""),"BU ESTA KC BUKITTINGGI")</f>
        <v>BU ESTA KC BUKITTINGGI</v>
      </c>
      <c r="AF715" s="80" t="str">
        <f>IFERROR(__xludf.DUMMYFUNCTION("""COMPUTED_VALUE"""),"081268776897")</f>
        <v>081268776897</v>
      </c>
      <c r="AG715" s="80"/>
      <c r="AH715" s="80" t="str">
        <f>IFERROR(__xludf.DUMMYFUNCTION("""COMPUTED_VALUE"""),"arkyashabrilyan@gmail.com")</f>
        <v>arkyashabrilyan@gmail.com</v>
      </c>
      <c r="AI715" s="80" t="str">
        <f>IFERROR(__xludf.DUMMYFUNCTION("""COMPUTED_VALUE"""),"26493S1")</f>
        <v>26493S1</v>
      </c>
      <c r="AJ715" s="80" t="str">
        <f>IFERROR(__xludf.DUMMYFUNCTION("""COMPUTED_VALUE"""),"691fd10a6eefe1a2d408cde3")</f>
        <v>691fd10a6eefe1a2d408cde3</v>
      </c>
      <c r="AK715" s="80" t="str">
        <f>IFERROR(__xludf.DUMMYFUNCTION("""COMPUTED_VALUE"""),"dm26493s1")</f>
        <v>dm26493s1</v>
      </c>
      <c r="AL715" s="80" t="str">
        <f>IFERROR(__xludf.DUMMYFUNCTION("""COMPUTED_VALUE"""),"#26493Pos")</f>
        <v>#26493Pos</v>
      </c>
      <c r="AM715" s="80" t="str">
        <f>IFERROR(__xludf.DUMMYFUNCTION("""COMPUTED_VALUE"""),"KANTOR REGIONAL I MEDAN 20004")</f>
        <v>KANTOR REGIONAL I MEDAN 20004</v>
      </c>
      <c r="AN715" s="80" t="str">
        <f>IFERROR(__xludf.DUMMYFUNCTION("""COMPUTED_VALUE"""),"KC BUKITTINGGI")</f>
        <v>KC BUKITTINGGI</v>
      </c>
      <c r="AO715" s="80" t="str">
        <f>IFERROR(__xludf.DUMMYFUNCTION("""COMPUTED_VALUE"""),"0103220022365")</f>
        <v>0103220022365</v>
      </c>
      <c r="AP715" s="80" t="str">
        <f>IFERROR(__xludf.DUMMYFUNCTION("""COMPUTED_VALUE"""),"01032200223650003")</f>
        <v>01032200223650003</v>
      </c>
      <c r="AQ715" s="83"/>
      <c r="AR715" s="80"/>
      <c r="AS715" s="80"/>
      <c r="AT715" s="80" t="str">
        <f>IFERROR(__xludf.DUMMYFUNCTION("""COMPUTED_VALUE"""),"-0.31532")</f>
        <v>-0.31532</v>
      </c>
      <c r="AU715" s="80" t="str">
        <f>IFERROR(__xludf.DUMMYFUNCTION("""COMPUTED_VALUE"""),"100.43879")</f>
        <v>100.43879</v>
      </c>
      <c r="AV715" s="80"/>
      <c r="AW715" s="80"/>
      <c r="AX715" s="80"/>
      <c r="AY715" s="80"/>
      <c r="AZ715" s="80"/>
      <c r="BA715" s="80"/>
      <c r="BB715" s="80"/>
      <c r="BC715" s="80"/>
      <c r="BD715" s="80"/>
      <c r="BE715" s="80"/>
      <c r="BF715" s="80"/>
      <c r="BG715" s="80"/>
      <c r="BH715" s="80"/>
      <c r="BI715" s="80"/>
      <c r="BJ715" s="80"/>
      <c r="BK715" s="80"/>
      <c r="BL715" s="80"/>
      <c r="BM715" s="80"/>
      <c r="BN715" s="80"/>
      <c r="BO715" s="80"/>
      <c r="BP715" s="80"/>
      <c r="BQ715" s="80"/>
      <c r="BR715" s="80"/>
      <c r="BS715" s="80"/>
      <c r="BT715" s="80"/>
      <c r="BU715" s="80"/>
      <c r="BV715" s="80"/>
      <c r="BW715" s="80"/>
      <c r="BX715" s="80" t="str">
        <f>IFERROR(__xludf.DUMMYFUNCTION("""COMPUTED_VALUE"""),"NEWBIE")</f>
        <v>NEWBIE</v>
      </c>
      <c r="BY715" s="80"/>
      <c r="BZ715" s="80"/>
      <c r="CA715" s="80"/>
      <c r="CB715" s="80"/>
      <c r="CC715" s="80"/>
      <c r="CD715" s="80"/>
      <c r="CE715" s="80"/>
      <c r="CF715" s="80"/>
      <c r="CG715" s="80"/>
      <c r="CH715" s="80"/>
      <c r="CI715" s="80"/>
      <c r="CJ715" s="80"/>
      <c r="CK715" s="2"/>
    </row>
    <row r="716" ht="12.75" customHeight="1">
      <c r="A716" s="85">
        <f>IFERROR(__xludf.DUMMYFUNCTION("""COMPUTED_VALUE"""),713.0)</f>
        <v>713</v>
      </c>
      <c r="B716" s="85"/>
      <c r="C716" s="85"/>
      <c r="D716" s="86">
        <f>IFERROR(__xludf.DUMMYFUNCTION("""COMPUTED_VALUE"""),45960.0)</f>
        <v>45960</v>
      </c>
      <c r="E716" s="88"/>
      <c r="F716" s="85"/>
      <c r="G716" s="86">
        <f>IFERROR(__xludf.DUMMYFUNCTION("""COMPUTED_VALUE"""),46048.0)</f>
        <v>46048</v>
      </c>
      <c r="H716" s="85"/>
      <c r="I716" s="85"/>
      <c r="J716" s="85"/>
      <c r="K716" s="85"/>
      <c r="L716" s="85">
        <f>IFERROR(__xludf.DUMMYFUNCTION("""COMPUTED_VALUE"""),88.0)</f>
        <v>88</v>
      </c>
      <c r="M716" s="85" t="str">
        <f>IFERROR(__xludf.DUMMYFUNCTION("""COMPUTED_VALUE"""),"ü")</f>
        <v>ü</v>
      </c>
      <c r="N716" s="85"/>
      <c r="O716" s="85"/>
      <c r="P716" s="85" t="str">
        <f>IFERROR(__xludf.DUMMYFUNCTION("""COMPUTED_VALUE"""),"52BSPA07793JTYNA")</f>
        <v>52BSPA07793JTYNA</v>
      </c>
      <c r="Q716" s="85" t="str">
        <f>IFERROR(__xludf.DUMMYFUNCTION("""COMPUTED_VALUE"""),"MUC TIRTOMULYO")</f>
        <v>MUC TIRTOMULYO</v>
      </c>
      <c r="R716" s="85" t="str">
        <f>IFERROR(__xludf.DUMMYFUNCTION("""COMPUTED_VALUE"""),"MUC TIRTOMULYO")</f>
        <v>MUC TIRTOMULYO</v>
      </c>
      <c r="S716" s="85"/>
      <c r="T716" s="85"/>
      <c r="U716" s="85"/>
      <c r="V716" s="85"/>
      <c r="W716" s="85"/>
      <c r="X716" s="85"/>
      <c r="Y716" s="85"/>
      <c r="Z716" s="85"/>
      <c r="AA716" s="85"/>
      <c r="AB716" s="85"/>
      <c r="AC716" s="85"/>
      <c r="AD716" s="85" t="str">
        <f>IFERROR(__xludf.DUMMYFUNCTION("""COMPUTED_VALUE"""),"-")</f>
        <v>-</v>
      </c>
      <c r="AE716" s="85" t="str">
        <f>IFERROR(__xludf.DUMMYFUNCTION("""COMPUTED_VALUE"""),"-")</f>
        <v>-</v>
      </c>
      <c r="AF716" s="85"/>
      <c r="AG716" s="85"/>
      <c r="AH716" s="85"/>
      <c r="AI716" s="85" t="str">
        <f>IFERROR(__xludf.DUMMYFUNCTION("""COMPUTED_VALUE"""),"57434S2")</f>
        <v>57434S2</v>
      </c>
      <c r="AJ716" s="85" t="str">
        <f>IFERROR(__xludf.DUMMYFUNCTION("""COMPUTED_VALUE"""),"697596a4fa9ed246730a08a4")</f>
        <v>697596a4fa9ed246730a08a4</v>
      </c>
      <c r="AK716" s="85" t="str">
        <f>IFERROR(__xludf.DUMMYFUNCTION("""COMPUTED_VALUE"""),"tirtomulyowahana@gmail.com ")</f>
        <v>tirtomulyowahana@gmail.com </v>
      </c>
      <c r="AL716" s="85" t="str">
        <f>IFERROR(__xludf.DUMMYFUNCTION("""COMPUTED_VALUE"""),"#Muc57434S2$")</f>
        <v>#Muc57434S2$</v>
      </c>
      <c r="AM716" s="85" t="str">
        <f>IFERROR(__xludf.DUMMYFUNCTION("""COMPUTED_VALUE"""),"-")</f>
        <v>-</v>
      </c>
      <c r="AN716" s="85" t="str">
        <f>IFERROR(__xludf.DUMMYFUNCTION("""COMPUTED_VALUE"""),"-")</f>
        <v>-</v>
      </c>
      <c r="AO716" s="85"/>
      <c r="AP716" s="85"/>
      <c r="AQ716" s="93"/>
      <c r="AR716" s="85"/>
      <c r="AS716" s="85"/>
      <c r="AT716" s="85"/>
      <c r="AU716" s="85"/>
      <c r="AV716" s="85"/>
      <c r="AW716" s="85"/>
      <c r="AX716" s="85"/>
      <c r="AY716" s="85"/>
      <c r="AZ716" s="85"/>
      <c r="BA716" s="85"/>
      <c r="BB716" s="85"/>
      <c r="BC716" s="85"/>
      <c r="BD716" s="85"/>
      <c r="BE716" s="85"/>
      <c r="BF716" s="85"/>
      <c r="BG716" s="85"/>
      <c r="BH716" s="85"/>
      <c r="BI716" s="85"/>
      <c r="BJ716" s="85"/>
      <c r="BK716" s="85"/>
      <c r="BL716" s="85"/>
      <c r="BM716" s="85"/>
      <c r="BN716" s="85"/>
      <c r="BO716" s="85"/>
      <c r="BP716" s="85"/>
      <c r="BQ716" s="85"/>
      <c r="BR716" s="85"/>
      <c r="BS716" s="85"/>
      <c r="BT716" s="85"/>
      <c r="BU716" s="85"/>
      <c r="BV716" s="85"/>
      <c r="BW716" s="85"/>
      <c r="BX716" s="85" t="str">
        <f>IFERROR(__xludf.DUMMYFUNCTION("""COMPUTED_VALUE"""),"-")</f>
        <v>-</v>
      </c>
      <c r="BY716" s="85"/>
      <c r="BZ716" s="85"/>
      <c r="CA716" s="85"/>
      <c r="CB716" s="85"/>
      <c r="CC716" s="85"/>
      <c r="CD716" s="85"/>
      <c r="CE716" s="85"/>
      <c r="CF716" s="85"/>
      <c r="CG716" s="85"/>
      <c r="CH716" s="85"/>
      <c r="CI716" s="85"/>
      <c r="CJ716" s="85"/>
      <c r="CK716" s="2"/>
    </row>
    <row r="717" ht="12.75" customHeight="1">
      <c r="A717" s="80">
        <f>IFERROR(__xludf.DUMMYFUNCTION("""COMPUTED_VALUE"""),713.0)</f>
        <v>713</v>
      </c>
      <c r="B717" s="80"/>
      <c r="C717" s="80"/>
      <c r="D717" s="81">
        <f>IFERROR(__xludf.DUMMYFUNCTION("""COMPUTED_VALUE"""),45960.0)</f>
        <v>45960</v>
      </c>
      <c r="E717" s="82"/>
      <c r="F717" s="80"/>
      <c r="G717" s="81">
        <f>IFERROR(__xludf.DUMMYFUNCTION("""COMPUTED_VALUE"""),45971.0)</f>
        <v>45971</v>
      </c>
      <c r="H717" s="80"/>
      <c r="I717" s="80"/>
      <c r="J717" s="80"/>
      <c r="K717" s="80"/>
      <c r="L717" s="80">
        <f>IFERROR(__xludf.DUMMYFUNCTION("""COMPUTED_VALUE"""),11.0)</f>
        <v>11</v>
      </c>
      <c r="M717" s="80" t="str">
        <f>IFERROR(__xludf.DUMMYFUNCTION("""COMPUTED_VALUE"""),"ü")</f>
        <v>ü</v>
      </c>
      <c r="N717" s="80"/>
      <c r="O717" s="80"/>
      <c r="P717" s="80" t="str">
        <f>IFERROR(__xludf.DUMMYFUNCTION("""COMPUTED_VALUE"""),"MUCSPA63297PSIND")</f>
        <v>MUCSPA63297PSIND</v>
      </c>
      <c r="Q717" s="80" t="str">
        <f>IFERROR(__xludf.DUMMYFUNCTION("""COMPUTED_VALUE"""),"MUC JPBAI WONOSOBO")</f>
        <v>MUC JPBAI WONOSOBO</v>
      </c>
      <c r="R717" s="80" t="str">
        <f>IFERROR(__xludf.DUMMYFUNCTION("""COMPUTED_VALUE"""),"MUC JPBAI WONOSOBO")</f>
        <v>MUC JPBAI WONOSOBO</v>
      </c>
      <c r="S717" s="80" t="str">
        <f>IFERROR(__xludf.DUMMYFUNCTION("""COMPUTED_VALUE"""),"MUKORODIN")</f>
        <v>MUKORODIN</v>
      </c>
      <c r="T717" s="80" t="str">
        <f>IFERROR(__xludf.DUMMYFUNCTION("""COMPUTED_VALUE"""),"PENAWANGAN RT.001 RW.001, TAWANGSARI, WONOSOBO, KAB. WONOSOBO")</f>
        <v>PENAWANGAN RT.001 RW.001, TAWANGSARI, WONOSOBO, KAB. WONOSOBO</v>
      </c>
      <c r="U717" s="80" t="str">
        <f>IFERROR(__xludf.DUMMYFUNCTION("""COMPUTED_VALUE"""),"Penawangan RT1 RW1")</f>
        <v>Penawangan RT1 RW1</v>
      </c>
      <c r="V717" s="80"/>
      <c r="W717" s="80" t="str">
        <f>IFERROR(__xludf.DUMMYFUNCTION("""COMPUTED_VALUE"""),"Tawangsari")</f>
        <v>Tawangsari</v>
      </c>
      <c r="X717" s="80" t="str">
        <f>IFERROR(__xludf.DUMMYFUNCTION("""COMPUTED_VALUE"""),"Wonosobo")</f>
        <v>Wonosobo</v>
      </c>
      <c r="Y717" s="80" t="str">
        <f>IFERROR(__xludf.DUMMYFUNCTION("""COMPUTED_VALUE"""),"Kab.Wonosobo")</f>
        <v>Kab.Wonosobo</v>
      </c>
      <c r="Z717" s="80" t="str">
        <f>IFERROR(__xludf.DUMMYFUNCTION("""COMPUTED_VALUE"""),"Jawa Tengah")</f>
        <v>Jawa Tengah</v>
      </c>
      <c r="AA717" s="80" t="str">
        <f>IFERROR(__xludf.DUMMYFUNCTION("""COMPUTED_VALUE"""),"56313")</f>
        <v>56313</v>
      </c>
      <c r="AB717" s="80" t="str">
        <f>IFERROR(__xludf.DUMMYFUNCTION("""COMPUTED_VALUE"""),"3307091105750004")</f>
        <v>3307091105750004</v>
      </c>
      <c r="AC717" s="80" t="str">
        <f>IFERROR(__xludf.DUMMYFUNCTION("""COMPUTED_VALUE"""),"30.175.086.5-533.000")</f>
        <v>30.175.086.5-533.000</v>
      </c>
      <c r="AD717" s="80" t="str">
        <f>IFERROR(__xludf.DUMMYFUNCTION("""COMPUTED_VALUE"""),"CUM - PS - MSJ")</f>
        <v>CUM - PS - MSJ</v>
      </c>
      <c r="AE717" s="80" t="str">
        <f>IFERROR(__xludf.DUMMYFUNCTION("""COMPUTED_VALUE"""),"SUB MELATI POS")</f>
        <v>SUB MELATI POS</v>
      </c>
      <c r="AF717" s="80" t="str">
        <f>IFERROR(__xludf.DUMMYFUNCTION("""COMPUTED_VALUE"""),"081297303878")</f>
        <v>081297303878</v>
      </c>
      <c r="AG717" s="80"/>
      <c r="AH717" s="80" t="str">
        <f>IFERROR(__xludf.DUMMYFUNCTION("""COMPUTED_VALUE"""),"Alan.nooel@gmail.com")</f>
        <v>Alan.nooel@gmail.com</v>
      </c>
      <c r="AI717" s="80" t="str">
        <f>IFERROR(__xludf.DUMMYFUNCTION("""COMPUTED_VALUE"""),"56313S1")</f>
        <v>56313S1</v>
      </c>
      <c r="AJ717" s="80" t="str">
        <f>IFERROR(__xludf.DUMMYFUNCTION("""COMPUTED_VALUE"""),"690f4ee1010be7de4c061ab4")</f>
        <v>690f4ee1010be7de4c061ab4</v>
      </c>
      <c r="AK717" s="80" t="str">
        <f>IFERROR(__xludf.DUMMYFUNCTION("""COMPUTED_VALUE"""),"dm56313s1")</f>
        <v>dm56313s1</v>
      </c>
      <c r="AL717" s="80" t="str">
        <f>IFERROR(__xludf.DUMMYFUNCTION("""COMPUTED_VALUE"""),"#56313Pos")</f>
        <v>#56313Pos</v>
      </c>
      <c r="AM717" s="80" t="str">
        <f>IFERROR(__xludf.DUMMYFUNCTION("""COMPUTED_VALUE"""),"KANTOR REGIONAL IV SEMARANG 50004")</f>
        <v>KANTOR REGIONAL IV SEMARANG 50004</v>
      </c>
      <c r="AN717" s="80" t="str">
        <f>IFERROR(__xludf.DUMMYFUNCTION("""COMPUTED_VALUE"""),"KC WONOSOBO")</f>
        <v>KC WONOSOBO</v>
      </c>
      <c r="AO717" s="80" t="str">
        <f>IFERROR(__xludf.DUMMYFUNCTION("""COMPUTED_VALUE"""),"2910250130029")</f>
        <v>2910250130029</v>
      </c>
      <c r="AP717" s="80" t="str">
        <f>IFERROR(__xludf.DUMMYFUNCTION("""COMPUTED_VALUE"""),"29102501300290001")</f>
        <v>29102501300290001</v>
      </c>
      <c r="AQ717" s="83"/>
      <c r="AR717" s="80"/>
      <c r="AS717" s="80"/>
      <c r="AT717" s="80" t="str">
        <f>IFERROR(__xludf.DUMMYFUNCTION("""COMPUTED_VALUE"""),"-7.384063")</f>
        <v>-7.384063</v>
      </c>
      <c r="AU717" s="80" t="str">
        <f>IFERROR(__xludf.DUMMYFUNCTION("""COMPUTED_VALUE"""),"109.892088")</f>
        <v>109.892088</v>
      </c>
      <c r="AV717" s="80"/>
      <c r="AW717" s="80"/>
      <c r="AX717" s="80"/>
      <c r="AY717" s="80"/>
      <c r="AZ717" s="80"/>
      <c r="BA717" s="80"/>
      <c r="BB717" s="80"/>
      <c r="BC717" s="80"/>
      <c r="BD717" s="80"/>
      <c r="BE717" s="80"/>
      <c r="BF717" s="80"/>
      <c r="BG717" s="80"/>
      <c r="BH717" s="80"/>
      <c r="BI717" s="80"/>
      <c r="BJ717" s="80"/>
      <c r="BK717" s="80"/>
      <c r="BL717" s="80"/>
      <c r="BM717" s="80"/>
      <c r="BN717" s="80"/>
      <c r="BO717" s="80"/>
      <c r="BP717" s="80"/>
      <c r="BQ717" s="80"/>
      <c r="BR717" s="80"/>
      <c r="BS717" s="80"/>
      <c r="BT717" s="80"/>
      <c r="BU717" s="80"/>
      <c r="BV717" s="80"/>
      <c r="BW717" s="80"/>
      <c r="BX717" s="80" t="str">
        <f>IFERROR(__xludf.DUMMYFUNCTION("""COMPUTED_VALUE"""),"JASTIP")</f>
        <v>JASTIP</v>
      </c>
      <c r="BY717" s="80"/>
      <c r="BZ717" s="80"/>
      <c r="CA717" s="80"/>
      <c r="CB717" s="80"/>
      <c r="CC717" s="80"/>
      <c r="CD717" s="80"/>
      <c r="CE717" s="80"/>
      <c r="CF717" s="80"/>
      <c r="CG717" s="80"/>
      <c r="CH717" s="80"/>
      <c r="CI717" s="80"/>
      <c r="CJ717" s="80"/>
      <c r="CK717" s="2"/>
    </row>
    <row r="718" ht="12.75" customHeight="1">
      <c r="A718" s="85">
        <f>IFERROR(__xludf.DUMMYFUNCTION("""COMPUTED_VALUE"""),714.0)</f>
        <v>714</v>
      </c>
      <c r="B718" s="85"/>
      <c r="C718" s="85"/>
      <c r="D718" s="86">
        <f>IFERROR(__xludf.DUMMYFUNCTION("""COMPUTED_VALUE"""),45960.0)</f>
        <v>45960</v>
      </c>
      <c r="E718" s="88"/>
      <c r="F718" s="85"/>
      <c r="G718" s="86">
        <f>IFERROR(__xludf.DUMMYFUNCTION("""COMPUTED_VALUE"""),45965.0)</f>
        <v>45965</v>
      </c>
      <c r="H718" s="85"/>
      <c r="I718" s="85"/>
      <c r="J718" s="85"/>
      <c r="K718" s="85"/>
      <c r="L718" s="85">
        <f>IFERROR(__xludf.DUMMYFUNCTION("""COMPUTED_VALUE"""),5.0)</f>
        <v>5</v>
      </c>
      <c r="M718" s="85" t="str">
        <f>IFERROR(__xludf.DUMMYFUNCTION("""COMPUTED_VALUE"""),"ü")</f>
        <v>ü</v>
      </c>
      <c r="N718" s="85"/>
      <c r="O718" s="85"/>
      <c r="P718" s="85" t="str">
        <f>IFERROR(__xludf.DUMMYFUNCTION("""COMPUTED_VALUE"""),"MUCSPA63298PSIND")</f>
        <v>MUCSPA63298PSIND</v>
      </c>
      <c r="Q718" s="85" t="str">
        <f>IFERROR(__xludf.DUMMYFUNCTION("""COMPUTED_VALUE"""),"MUC RUDINI")</f>
        <v>MUC RUDINI</v>
      </c>
      <c r="R718" s="85" t="str">
        <f>IFERROR(__xludf.DUMMYFUNCTION("""COMPUTED_VALUE"""),"MUC RUDINI")</f>
        <v>MUC RUDINI</v>
      </c>
      <c r="S718" s="85" t="str">
        <f>IFERROR(__xludf.DUMMYFUNCTION("""COMPUTED_VALUE"""),"RUDI SISWANTO, SE")</f>
        <v>RUDI SISWANTO, SE</v>
      </c>
      <c r="T718" s="85" t="str">
        <f>IFERROR(__xludf.DUMMYFUNCTION("""COMPUTED_VALUE"""),"PERUM MUTIARA GADING TIMUR 2 BLOK N 15 NO.8 RT.008 RW.029, MUSTIKAJAYA, MUSTIKA JAYA, KOTA BEKASI ")</f>
        <v>PERUM MUTIARA GADING TIMUR 2 BLOK N 15 NO.8 RT.008 RW.029, MUSTIKAJAYA, MUSTIKA JAYA, KOTA BEKASI </v>
      </c>
      <c r="U718" s="85" t="str">
        <f>IFERROR(__xludf.DUMMYFUNCTION("""COMPUTED_VALUE"""),"Perumahan Mutiara Gading Timur Blok N 15 no 8")</f>
        <v>Perumahan Mutiara Gading Timur Blok N 15 no 8</v>
      </c>
      <c r="V718" s="85"/>
      <c r="W718" s="85" t="str">
        <f>IFERROR(__xludf.DUMMYFUNCTION("""COMPUTED_VALUE"""),"Mustikajaya")</f>
        <v>Mustikajaya</v>
      </c>
      <c r="X718" s="85" t="str">
        <f>IFERROR(__xludf.DUMMYFUNCTION("""COMPUTED_VALUE"""),"Mustika Jaya")</f>
        <v>Mustika Jaya</v>
      </c>
      <c r="Y718" s="85" t="str">
        <f>IFERROR(__xludf.DUMMYFUNCTION("""COMPUTED_VALUE"""),"Bekasi")</f>
        <v>Bekasi</v>
      </c>
      <c r="Z718" s="85" t="str">
        <f>IFERROR(__xludf.DUMMYFUNCTION("""COMPUTED_VALUE"""),"Jawa Barat")</f>
        <v>Jawa Barat</v>
      </c>
      <c r="AA718" s="85" t="str">
        <f>IFERROR(__xludf.DUMMYFUNCTION("""COMPUTED_VALUE"""),"17158")</f>
        <v>17158</v>
      </c>
      <c r="AB718" s="85" t="str">
        <f>IFERROR(__xludf.DUMMYFUNCTION("""COMPUTED_VALUE"""),"3275112410660002")</f>
        <v>3275112410660002</v>
      </c>
      <c r="AC718" s="85" t="str">
        <f>IFERROR(__xludf.DUMMYFUNCTION("""COMPUTED_VALUE"""),"67.046.205.0-006.000")</f>
        <v>67.046.205.0-006.000</v>
      </c>
      <c r="AD718" s="85" t="str">
        <f>IFERROR(__xludf.DUMMYFUNCTION("""COMPUTED_VALUE"""),"CUM - PS - AYS")</f>
        <v>CUM - PS - AYS</v>
      </c>
      <c r="AE718" s="85" t="str">
        <f>IFERROR(__xludf.DUMMYFUNCTION("""COMPUTED_VALUE"""),"SUB YUNUS POS")</f>
        <v>SUB YUNUS POS</v>
      </c>
      <c r="AF718" s="85" t="str">
        <f>IFERROR(__xludf.DUMMYFUNCTION("""COMPUTED_VALUE"""),"081370227213")</f>
        <v>081370227213</v>
      </c>
      <c r="AG718" s="85"/>
      <c r="AH718" s="85" t="str">
        <f>IFERROR(__xludf.DUMMYFUNCTION("""COMPUTED_VALUE"""),"rudi.siswanto@ymail.com")</f>
        <v>rudi.siswanto@ymail.com</v>
      </c>
      <c r="AI718" s="85" t="str">
        <f>IFERROR(__xludf.DUMMYFUNCTION("""COMPUTED_VALUE"""),"17168S5")</f>
        <v>17168S5</v>
      </c>
      <c r="AJ718" s="85" t="str">
        <f>IFERROR(__xludf.DUMMYFUNCTION("""COMPUTED_VALUE"""),"6909a376319964ee6501ac51")</f>
        <v>6909a376319964ee6501ac51</v>
      </c>
      <c r="AK718" s="85" t="str">
        <f>IFERROR(__xludf.DUMMYFUNCTION("""COMPUTED_VALUE"""),"dm17168s5")</f>
        <v>dm17168s5</v>
      </c>
      <c r="AL718" s="85" t="str">
        <f>IFERROR(__xludf.DUMMYFUNCTION("""COMPUTED_VALUE"""),"#17168Pos")</f>
        <v>#17168Pos</v>
      </c>
      <c r="AM718" s="85" t="str">
        <f>IFERROR(__xludf.DUMMYFUNCTION("""COMPUTED_VALUE"""),"KANTOR REGIONAL II JAKARTA 10004")</f>
        <v>KANTOR REGIONAL II JAKARTA 10004</v>
      </c>
      <c r="AN718" s="85" t="str">
        <f>IFERROR(__xludf.DUMMYFUNCTION("""COMPUTED_VALUE"""),"KCU BEKASI 17000")</f>
        <v>KCU BEKASI 17000</v>
      </c>
      <c r="AO718" s="85" t="str">
        <f>IFERROR(__xludf.DUMMYFUNCTION("""COMPUTED_VALUE"""),"2910250057414")</f>
        <v>2910250057414</v>
      </c>
      <c r="AP718" s="85" t="str">
        <f>IFERROR(__xludf.DUMMYFUNCTION("""COMPUTED_VALUE"""),"29102500574140001")</f>
        <v>29102500574140001</v>
      </c>
      <c r="AQ718" s="93"/>
      <c r="AR718" s="85"/>
      <c r="AS718" s="85"/>
      <c r="AT718" s="85" t="str">
        <f>IFERROR(__xludf.DUMMYFUNCTION("""COMPUTED_VALUE"""),"-6.282609")</f>
        <v>-6.282609</v>
      </c>
      <c r="AU718" s="85" t="str">
        <f>IFERROR(__xludf.DUMMYFUNCTION("""COMPUTED_VALUE"""),"107.031244")</f>
        <v>107.031244</v>
      </c>
      <c r="AV718" s="85"/>
      <c r="AW718" s="85"/>
      <c r="AX718" s="85"/>
      <c r="AY718" s="85"/>
      <c r="AZ718" s="85"/>
      <c r="BA718" s="85"/>
      <c r="BB718" s="85"/>
      <c r="BC718" s="85"/>
      <c r="BD718" s="85"/>
      <c r="BE718" s="85"/>
      <c r="BF718" s="85"/>
      <c r="BG718" s="85"/>
      <c r="BH718" s="85"/>
      <c r="BI718" s="85"/>
      <c r="BJ718" s="85"/>
      <c r="BK718" s="85"/>
      <c r="BL718" s="85"/>
      <c r="BM718" s="85"/>
      <c r="BN718" s="85"/>
      <c r="BO718" s="85"/>
      <c r="BP718" s="85"/>
      <c r="BQ718" s="85"/>
      <c r="BR718" s="85"/>
      <c r="BS718" s="85"/>
      <c r="BT718" s="85"/>
      <c r="BU718" s="85"/>
      <c r="BV718" s="85"/>
      <c r="BW718" s="85"/>
      <c r="BX718" s="85" t="str">
        <f>IFERROR(__xludf.DUMMYFUNCTION("""COMPUTED_VALUE"""),"NEWBIE")</f>
        <v>NEWBIE</v>
      </c>
      <c r="BY718" s="85"/>
      <c r="BZ718" s="85"/>
      <c r="CA718" s="85"/>
      <c r="CB718" s="85"/>
      <c r="CC718" s="85"/>
      <c r="CD718" s="85"/>
      <c r="CE718" s="85"/>
      <c r="CF718" s="85"/>
      <c r="CG718" s="85"/>
      <c r="CH718" s="85"/>
      <c r="CI718" s="85"/>
      <c r="CJ718" s="85"/>
      <c r="CK718" s="2"/>
    </row>
    <row r="719" ht="12.75" customHeight="1">
      <c r="A719" s="80">
        <f>IFERROR(__xludf.DUMMYFUNCTION("""COMPUTED_VALUE"""),715.0)</f>
        <v>715</v>
      </c>
      <c r="B719" s="80"/>
      <c r="C719" s="80"/>
      <c r="D719" s="81">
        <f>IFERROR(__xludf.DUMMYFUNCTION("""COMPUTED_VALUE"""),45961.0)</f>
        <v>45961</v>
      </c>
      <c r="E719" s="82"/>
      <c r="F719" s="80"/>
      <c r="G719" s="81">
        <f>IFERROR(__xludf.DUMMYFUNCTION("""COMPUTED_VALUE"""),45964.0)</f>
        <v>45964</v>
      </c>
      <c r="H719" s="80"/>
      <c r="I719" s="80"/>
      <c r="J719" s="80"/>
      <c r="K719" s="80"/>
      <c r="L719" s="80">
        <f>IFERROR(__xludf.DUMMYFUNCTION("""COMPUTED_VALUE"""),3.0)</f>
        <v>3</v>
      </c>
      <c r="M719" s="80" t="str">
        <f>IFERROR(__xludf.DUMMYFUNCTION("""COMPUTED_VALUE"""),"ü")</f>
        <v>ü</v>
      </c>
      <c r="N719" s="80"/>
      <c r="O719" s="80"/>
      <c r="P719" s="80" t="str">
        <f>IFERROR(__xludf.DUMMYFUNCTION("""COMPUTED_VALUE"""),"MUCSPA63299PSIND")</f>
        <v>MUCSPA63299PSIND</v>
      </c>
      <c r="Q719" s="80" t="str">
        <f>IFERROR(__xludf.DUMMYFUNCTION("""COMPUTED_VALUE"""),"MUC MAMA PETSHOP BATURAJA")</f>
        <v>MUC MAMA PETSHOP BATURAJA</v>
      </c>
      <c r="R719" s="80" t="str">
        <f>IFERROR(__xludf.DUMMYFUNCTION("""COMPUTED_VALUE"""),"MUC MAMA PETSHOP BATURAJA")</f>
        <v>MUC MAMA PETSHOP BATURAJA</v>
      </c>
      <c r="S719" s="80" t="str">
        <f>IFERROR(__xludf.DUMMYFUNCTION("""COMPUTED_VALUE"""),"HAIRUL CANDRA")</f>
        <v>HAIRUL CANDRA</v>
      </c>
      <c r="T719" s="80" t="str">
        <f>IFERROR(__xludf.DUMMYFUNCTION("""COMPUTED_VALUE"""),"JL SEPAKAT IV BLOK B NO 48 C RT 014 RW 06 BATURAJA PERMAI")</f>
        <v>JL SEPAKAT IV BLOK B NO 48 C RT 014 RW 06 BATURAJA PERMAI</v>
      </c>
      <c r="U719" s="80" t="str">
        <f>IFERROR(__xludf.DUMMYFUNCTION("""COMPUTED_VALUE"""),"JL SEPAKAT II NO 68 BLOK S")</f>
        <v>JL SEPAKAT II NO 68 BLOK S</v>
      </c>
      <c r="V719" s="80"/>
      <c r="W719" s="80" t="str">
        <f>IFERROR(__xludf.DUMMYFUNCTION("""COMPUTED_VALUE"""),"BATURAJA PERMAI")</f>
        <v>BATURAJA PERMAI</v>
      </c>
      <c r="X719" s="80" t="str">
        <f>IFERROR(__xludf.DUMMYFUNCTION("""COMPUTED_VALUE"""),"BATURAJA TIMUR")</f>
        <v>BATURAJA TIMUR</v>
      </c>
      <c r="Y719" s="80" t="str">
        <f>IFERROR(__xludf.DUMMYFUNCTION("""COMPUTED_VALUE"""),"OGAN KOMERING ULU")</f>
        <v>OGAN KOMERING ULU</v>
      </c>
      <c r="Z719" s="80" t="str">
        <f>IFERROR(__xludf.DUMMYFUNCTION("""COMPUTED_VALUE"""),"SUMATERA SELATAN")</f>
        <v>SUMATERA SELATAN</v>
      </c>
      <c r="AA719" s="80" t="str">
        <f>IFERROR(__xludf.DUMMYFUNCTION("""COMPUTED_VALUE"""),"32113")</f>
        <v>32113</v>
      </c>
      <c r="AB719" s="80" t="str">
        <f>IFERROR(__xludf.DUMMYFUNCTION("""COMPUTED_VALUE"""),"1601142412940003")</f>
        <v>1601142412940003</v>
      </c>
      <c r="AC719" s="80" t="str">
        <f>IFERROR(__xludf.DUMMYFUNCTION("""COMPUTED_VALUE"""),"80.444.792.8-302.000")</f>
        <v>80.444.792.8-302.000</v>
      </c>
      <c r="AD719" s="80" t="str">
        <f>IFERROR(__xludf.DUMMYFUNCTION("""COMPUTED_VALUE"""),"CUM - PS - YOSA")</f>
        <v>CUM - PS - YOSA</v>
      </c>
      <c r="AE719" s="80" t="str">
        <f>IFERROR(__xludf.DUMMYFUNCTION("""COMPUTED_VALUE"""),"PAK ANDHIKA KC BATURAJA")</f>
        <v>PAK ANDHIKA KC BATURAJA</v>
      </c>
      <c r="AF719" s="80" t="str">
        <f>IFERROR(__xludf.DUMMYFUNCTION("""COMPUTED_VALUE"""),"082280050327")</f>
        <v>082280050327</v>
      </c>
      <c r="AG719" s="80"/>
      <c r="AH719" s="80" t="str">
        <f>IFERROR(__xludf.DUMMYFUNCTION("""COMPUTED_VALUE"""),"candrahairull@gmail.com ")</f>
        <v>candrahairull@gmail.com </v>
      </c>
      <c r="AI719" s="80" t="str">
        <f>IFERROR(__xludf.DUMMYFUNCTION("""COMPUTED_VALUE"""),"32112S1")</f>
        <v>32112S1</v>
      </c>
      <c r="AJ719" s="80" t="str">
        <f>IFERROR(__xludf.DUMMYFUNCTION("""COMPUTED_VALUE"""),"69084cb884e25666dc0f30ce")</f>
        <v>69084cb884e25666dc0f30ce</v>
      </c>
      <c r="AK719" s="80" t="str">
        <f>IFERROR(__xludf.DUMMYFUNCTION("""COMPUTED_VALUE"""),"dm32112s1")</f>
        <v>dm32112s1</v>
      </c>
      <c r="AL719" s="80" t="str">
        <f>IFERROR(__xludf.DUMMYFUNCTION("""COMPUTED_VALUE"""),"#32112Pos")</f>
        <v>#32112Pos</v>
      </c>
      <c r="AM719" s="80" t="str">
        <f>IFERROR(__xludf.DUMMYFUNCTION("""COMPUTED_VALUE"""),"KANTOR REGIONAL I MEDAN 20004")</f>
        <v>KANTOR REGIONAL I MEDAN 20004</v>
      </c>
      <c r="AN719" s="80" t="str">
        <f>IFERROR(__xludf.DUMMYFUNCTION("""COMPUTED_VALUE"""),"KC BATURAJA")</f>
        <v>KC BATURAJA</v>
      </c>
      <c r="AO719" s="80" t="str">
        <f>IFERROR(__xludf.DUMMYFUNCTION("""COMPUTED_VALUE"""),"1304220011887")</f>
        <v>1304220011887</v>
      </c>
      <c r="AP719" s="80" t="str">
        <f>IFERROR(__xludf.DUMMYFUNCTION("""COMPUTED_VALUE"""),"13042200118870002")</f>
        <v>13042200118870002</v>
      </c>
      <c r="AQ719" s="83"/>
      <c r="AR719" s="80"/>
      <c r="AS719" s="80"/>
      <c r="AT719" s="80" t="str">
        <f>IFERROR(__xludf.DUMMYFUNCTION("""COMPUTED_VALUE"""),"-4.129918")</f>
        <v>-4.129918</v>
      </c>
      <c r="AU719" s="80" t="str">
        <f>IFERROR(__xludf.DUMMYFUNCTION("""COMPUTED_VALUE"""),"104.201001")</f>
        <v>104.201001</v>
      </c>
      <c r="AV719" s="80"/>
      <c r="AW719" s="80"/>
      <c r="AX719" s="80"/>
      <c r="AY719" s="80"/>
      <c r="AZ719" s="80"/>
      <c r="BA719" s="80"/>
      <c r="BB719" s="80"/>
      <c r="BC719" s="80"/>
      <c r="BD719" s="80"/>
      <c r="BE719" s="80"/>
      <c r="BF719" s="80"/>
      <c r="BG719" s="80"/>
      <c r="BH719" s="80"/>
      <c r="BI719" s="80"/>
      <c r="BJ719" s="80"/>
      <c r="BK719" s="80"/>
      <c r="BL719" s="80"/>
      <c r="BM719" s="80"/>
      <c r="BN719" s="80"/>
      <c r="BO719" s="80"/>
      <c r="BP719" s="80"/>
      <c r="BQ719" s="80"/>
      <c r="BR719" s="80"/>
      <c r="BS719" s="80"/>
      <c r="BT719" s="80"/>
      <c r="BU719" s="80"/>
      <c r="BV719" s="80"/>
      <c r="BW719" s="80"/>
      <c r="BX719" s="80" t="str">
        <f>IFERROR(__xludf.DUMMYFUNCTION("""COMPUTED_VALUE"""),"NEWBIE")</f>
        <v>NEWBIE</v>
      </c>
      <c r="BY719" s="80"/>
      <c r="BZ719" s="80"/>
      <c r="CA719" s="80"/>
      <c r="CB719" s="80"/>
      <c r="CC719" s="80"/>
      <c r="CD719" s="80"/>
      <c r="CE719" s="80"/>
      <c r="CF719" s="80"/>
      <c r="CG719" s="80"/>
      <c r="CH719" s="80"/>
      <c r="CI719" s="80"/>
      <c r="CJ719" s="80"/>
      <c r="CK719" s="2"/>
    </row>
    <row r="720" ht="12.75" customHeight="1">
      <c r="A720" s="85">
        <f>IFERROR(__xludf.DUMMYFUNCTION("""COMPUTED_VALUE"""),716.0)</f>
        <v>716</v>
      </c>
      <c r="B720" s="85"/>
      <c r="C720" s="85"/>
      <c r="D720" s="86">
        <f>IFERROR(__xludf.DUMMYFUNCTION("""COMPUTED_VALUE"""),45964.0)</f>
        <v>45964</v>
      </c>
      <c r="E720" s="88"/>
      <c r="F720" s="85"/>
      <c r="G720" s="86">
        <f>IFERROR(__xludf.DUMMYFUNCTION("""COMPUTED_VALUE"""),45965.0)</f>
        <v>45965</v>
      </c>
      <c r="H720" s="85"/>
      <c r="I720" s="85"/>
      <c r="J720" s="85"/>
      <c r="K720" s="85"/>
      <c r="L720" s="85">
        <f>IFERROR(__xludf.DUMMYFUNCTION("""COMPUTED_VALUE"""),1.0)</f>
        <v>1</v>
      </c>
      <c r="M720" s="85" t="str">
        <f>IFERROR(__xludf.DUMMYFUNCTION("""COMPUTED_VALUE"""),"ü")</f>
        <v>ü</v>
      </c>
      <c r="N720" s="85"/>
      <c r="O720" s="85"/>
      <c r="P720" s="85" t="str">
        <f>IFERROR(__xludf.DUMMYFUNCTION("""COMPUTED_VALUE"""),"MUCSPA63301PSIND")</f>
        <v>MUCSPA63301PSIND</v>
      </c>
      <c r="Q720" s="85" t="str">
        <f>IFERROR(__xludf.DUMMYFUNCTION("""COMPUTED_VALUE"""),"MUC ALBYANDRA SIMPANG MARTAPUR")</f>
        <v>MUC ALBYANDRA SIMPANG MARTAPUR</v>
      </c>
      <c r="R720" s="85" t="str">
        <f>IFERROR(__xludf.DUMMYFUNCTION("""COMPUTED_VALUE"""),"MUC ALBYANDRA SIMPANG MARTAPUR")</f>
        <v>MUC ALBYANDRA SIMPANG MARTAPUR</v>
      </c>
      <c r="S720" s="85" t="str">
        <f>IFERROR(__xludf.DUMMYFUNCTION("""COMPUTED_VALUE"""),"YUDIANSYAH ")</f>
        <v>YUDIANSYAH </v>
      </c>
      <c r="T720" s="85" t="str">
        <f>IFERROR(__xludf.DUMMYFUNCTION("""COMPUTED_VALUE"""),"DESA SIMPANG AGUNG NO 122 KECAMATAN SIMPANG KAB OKU SELATAN ")</f>
        <v>DESA SIMPANG AGUNG NO 122 KECAMATAN SIMPANG KAB OKU SELATAN </v>
      </c>
      <c r="U720" s="85" t="str">
        <f>IFERROR(__xludf.DUMMYFUNCTION("""COMPUTED_VALUE"""),"DESA SIMPANG AGUNG NO 122")</f>
        <v>DESA SIMPANG AGUNG NO 122</v>
      </c>
      <c r="V720" s="85"/>
      <c r="W720" s="85" t="str">
        <f>IFERROR(__xludf.DUMMYFUNCTION("""COMPUTED_VALUE"""),"SIMPANG AGUNG")</f>
        <v>SIMPANG AGUNG</v>
      </c>
      <c r="X720" s="85" t="str">
        <f>IFERROR(__xludf.DUMMYFUNCTION("""COMPUTED_VALUE"""),"SIMPANG ")</f>
        <v>SIMPANG </v>
      </c>
      <c r="Y720" s="85" t="str">
        <f>IFERROR(__xludf.DUMMYFUNCTION("""COMPUTED_VALUE"""),"OGAN KOMERING ULU SELATAN")</f>
        <v>OGAN KOMERING ULU SELATAN</v>
      </c>
      <c r="Z720" s="85" t="str">
        <f>IFERROR(__xludf.DUMMYFUNCTION("""COMPUTED_VALUE"""),"SUMATRA SELATAN ")</f>
        <v>SUMATRA SELATAN </v>
      </c>
      <c r="AA720" s="85" t="str">
        <f>IFERROR(__xludf.DUMMYFUNCTION("""COMPUTED_VALUE"""),"32164")</f>
        <v>32164</v>
      </c>
      <c r="AB720" s="85" t="str">
        <f>IFERROR(__xludf.DUMMYFUNCTION("""COMPUTED_VALUE"""),"1609053006880001")</f>
        <v>1609053006880001</v>
      </c>
      <c r="AC720" s="85" t="str">
        <f>IFERROR(__xludf.DUMMYFUNCTION("""COMPUTED_VALUE"""),"74.796.088.8-302.000")</f>
        <v>74.796.088.8-302.000</v>
      </c>
      <c r="AD720" s="85" t="str">
        <f>IFERROR(__xludf.DUMMYFUNCTION("""COMPUTED_VALUE"""),"CUM - PS - YOSA")</f>
        <v>CUM - PS - YOSA</v>
      </c>
      <c r="AE720" s="85" t="str">
        <f>IFERROR(__xludf.DUMMYFUNCTION("""COMPUTED_VALUE"""),"PAK ANDHIKA KC BATURAJA")</f>
        <v>PAK ANDHIKA KC BATURAJA</v>
      </c>
      <c r="AF720" s="85" t="str">
        <f>IFERROR(__xludf.DUMMYFUNCTION("""COMPUTED_VALUE"""),"082184928478")</f>
        <v>082184928478</v>
      </c>
      <c r="AG720" s="85"/>
      <c r="AH720" s="85" t="str">
        <f>IFERROR(__xludf.DUMMYFUNCTION("""COMPUTED_VALUE"""),"yudiansyah3366@gmail.com")</f>
        <v>yudiansyah3366@gmail.com</v>
      </c>
      <c r="AI720" s="85" t="str">
        <f>IFERROR(__xludf.DUMMYFUNCTION("""COMPUTED_VALUE"""),"32264S1")</f>
        <v>32264S1</v>
      </c>
      <c r="AJ720" s="85" t="str">
        <f>IFERROR(__xludf.DUMMYFUNCTION("""COMPUTED_VALUE"""),"690975ba5c9f461425053f8d")</f>
        <v>690975ba5c9f461425053f8d</v>
      </c>
      <c r="AK720" s="85" t="str">
        <f>IFERROR(__xludf.DUMMYFUNCTION("""COMPUTED_VALUE"""),"dm32264s1")</f>
        <v>dm32264s1</v>
      </c>
      <c r="AL720" s="85" t="str">
        <f>IFERROR(__xludf.DUMMYFUNCTION("""COMPUTED_VALUE"""),"#32264Pos")</f>
        <v>#32264Pos</v>
      </c>
      <c r="AM720" s="85" t="str">
        <f>IFERROR(__xludf.DUMMYFUNCTION("""COMPUTED_VALUE"""),"KANTOR REGIONAL I MEDAN 20004")</f>
        <v>KANTOR REGIONAL I MEDAN 20004</v>
      </c>
      <c r="AN720" s="85" t="str">
        <f>IFERROR(__xludf.DUMMYFUNCTION("""COMPUTED_VALUE"""),"KC BATURAJA")</f>
        <v>KC BATURAJA</v>
      </c>
      <c r="AO720" s="85" t="str">
        <f>IFERROR(__xludf.DUMMYFUNCTION("""COMPUTED_VALUE"""),"1108250038556")</f>
        <v>1108250038556</v>
      </c>
      <c r="AP720" s="85" t="str">
        <f>IFERROR(__xludf.DUMMYFUNCTION("""COMPUTED_VALUE"""),"11082500385560001")</f>
        <v>11082500385560001</v>
      </c>
      <c r="AQ720" s="93"/>
      <c r="AR720" s="85"/>
      <c r="AS720" s="85"/>
      <c r="AT720" s="85" t="str">
        <f>IFERROR(__xludf.DUMMYFUNCTION("""COMPUTED_VALUE"""),"-4.4476053")</f>
        <v>-4.4476053</v>
      </c>
      <c r="AU720" s="85" t="str">
        <f>IFERROR(__xludf.DUMMYFUNCTION("""COMPUTED_VALUE"""),"104.1865232")</f>
        <v>104.1865232</v>
      </c>
      <c r="AV720" s="85"/>
      <c r="AW720" s="85"/>
      <c r="AX720" s="85"/>
      <c r="AY720" s="85"/>
      <c r="AZ720" s="85"/>
      <c r="BA720" s="85"/>
      <c r="BB720" s="85"/>
      <c r="BC720" s="85"/>
      <c r="BD720" s="85"/>
      <c r="BE720" s="85"/>
      <c r="BF720" s="85"/>
      <c r="BG720" s="85"/>
      <c r="BH720" s="85"/>
      <c r="BI720" s="85"/>
      <c r="BJ720" s="85"/>
      <c r="BK720" s="85"/>
      <c r="BL720" s="85"/>
      <c r="BM720" s="85"/>
      <c r="BN720" s="85"/>
      <c r="BO720" s="85"/>
      <c r="BP720" s="85"/>
      <c r="BQ720" s="85"/>
      <c r="BR720" s="85"/>
      <c r="BS720" s="85"/>
      <c r="BT720" s="85"/>
      <c r="BU720" s="85"/>
      <c r="BV720" s="85"/>
      <c r="BW720" s="85"/>
      <c r="BX720" s="85" t="str">
        <f>IFERROR(__xludf.DUMMYFUNCTION("""COMPUTED_VALUE"""),"MULTIKURIR - JNT EXPRESS")</f>
        <v>MULTIKURIR - JNT EXPRESS</v>
      </c>
      <c r="BY720" s="85"/>
      <c r="BZ720" s="85"/>
      <c r="CA720" s="85"/>
      <c r="CB720" s="85"/>
      <c r="CC720" s="85"/>
      <c r="CD720" s="85"/>
      <c r="CE720" s="85"/>
      <c r="CF720" s="85"/>
      <c r="CG720" s="85"/>
      <c r="CH720" s="85"/>
      <c r="CI720" s="85"/>
      <c r="CJ720" s="85"/>
      <c r="CK720" s="2"/>
    </row>
    <row r="721" ht="12.75" customHeight="1">
      <c r="A721" s="80">
        <f>IFERROR(__xludf.DUMMYFUNCTION("""COMPUTED_VALUE"""),717.0)</f>
        <v>717</v>
      </c>
      <c r="B721" s="80"/>
      <c r="C721" s="80"/>
      <c r="D721" s="81">
        <f>IFERROR(__xludf.DUMMYFUNCTION("""COMPUTED_VALUE"""),45964.0)</f>
        <v>45964</v>
      </c>
      <c r="E721" s="82"/>
      <c r="F721" s="80"/>
      <c r="G721" s="81">
        <f>IFERROR(__xludf.DUMMYFUNCTION("""COMPUTED_VALUE"""),45965.0)</f>
        <v>45965</v>
      </c>
      <c r="H721" s="80"/>
      <c r="I721" s="80"/>
      <c r="J721" s="80"/>
      <c r="K721" s="80"/>
      <c r="L721" s="80">
        <f>IFERROR(__xludf.DUMMYFUNCTION("""COMPUTED_VALUE"""),1.0)</f>
        <v>1</v>
      </c>
      <c r="M721" s="80" t="str">
        <f>IFERROR(__xludf.DUMMYFUNCTION("""COMPUTED_VALUE"""),"ü")</f>
        <v>ü</v>
      </c>
      <c r="N721" s="80"/>
      <c r="O721" s="80"/>
      <c r="P721" s="80" t="str">
        <f>IFERROR(__xludf.DUMMYFUNCTION("""COMPUTED_VALUE"""),"MUCSPA63302PSIND")</f>
        <v>MUCSPA63302PSIND</v>
      </c>
      <c r="Q721" s="80" t="str">
        <f>IFERROR(__xludf.DUMMYFUNCTION("""COMPUTED_VALUE"""),"MUC PONDOK BENDA")</f>
        <v>MUC PONDOK BENDA</v>
      </c>
      <c r="R721" s="80" t="str">
        <f>IFERROR(__xludf.DUMMYFUNCTION("""COMPUTED_VALUE"""),"MUC PONDOK BENDA")</f>
        <v>MUC PONDOK BENDA</v>
      </c>
      <c r="S721" s="80" t="str">
        <f>IFERROR(__xludf.DUMMYFUNCTION("""COMPUTED_VALUE"""),"SALWA YUSTIKA PUTRI")</f>
        <v>SALWA YUSTIKA PUTRI</v>
      </c>
      <c r="T721" s="80" t="str">
        <f>IFERROR(__xludf.DUMMYFUNCTION("""COMPUTED_VALUE"""),"PAMULANG PERMAI II B-7/4 RT.004 RW.011, PONDOK BENDA, PAMULANG, TANGERANG SELATAN")</f>
        <v>PAMULANG PERMAI II B-7/4 RT.004 RW.011, PONDOK BENDA, PAMULANG, TANGERANG SELATAN</v>
      </c>
      <c r="U721" s="80" t="str">
        <f>IFERROR(__xludf.DUMMYFUNCTION("""COMPUTED_VALUE"""),"Jl Raya Parakan RT 003 RW 001 ")</f>
        <v>Jl Raya Parakan RT 003 RW 001 </v>
      </c>
      <c r="V721" s="80"/>
      <c r="W721" s="80" t="str">
        <f>IFERROR(__xludf.DUMMYFUNCTION("""COMPUTED_VALUE"""),"Pondok Benda")</f>
        <v>Pondok Benda</v>
      </c>
      <c r="X721" s="80" t="str">
        <f>IFERROR(__xludf.DUMMYFUNCTION("""COMPUTED_VALUE"""),"Pamulang")</f>
        <v>Pamulang</v>
      </c>
      <c r="Y721" s="80" t="str">
        <f>IFERROR(__xludf.DUMMYFUNCTION("""COMPUTED_VALUE"""),"Tangerang Selatan")</f>
        <v>Tangerang Selatan</v>
      </c>
      <c r="Z721" s="80" t="str">
        <f>IFERROR(__xludf.DUMMYFUNCTION("""COMPUTED_VALUE"""),"Banten ")</f>
        <v>Banten </v>
      </c>
      <c r="AA721" s="80" t="str">
        <f>IFERROR(__xludf.DUMMYFUNCTION("""COMPUTED_VALUE"""),"15416")</f>
        <v>15416</v>
      </c>
      <c r="AB721" s="80" t="str">
        <f>IFERROR(__xludf.DUMMYFUNCTION("""COMPUTED_VALUE"""),"3674064606980006")</f>
        <v>3674064606980006</v>
      </c>
      <c r="AC721" s="80" t="str">
        <f>IFERROR(__xludf.DUMMYFUNCTION("""COMPUTED_VALUE"""),"65.945.787.3-453.000")</f>
        <v>65.945.787.3-453.000</v>
      </c>
      <c r="AD721" s="80" t="str">
        <f>IFERROR(__xludf.DUMMYFUNCTION("""COMPUTED_VALUE"""),"PAK DIKA TANGSEL")</f>
        <v>PAK DIKA TANGSEL</v>
      </c>
      <c r="AE721" s="80" t="str">
        <f>IFERROR(__xludf.DUMMYFUNCTION("""COMPUTED_VALUE"""),"PAK DIKA TANGSEL")</f>
        <v>PAK DIKA TANGSEL</v>
      </c>
      <c r="AF721" s="80" t="str">
        <f>IFERROR(__xludf.DUMMYFUNCTION("""COMPUTED_VALUE"""),"085175022794")</f>
        <v>085175022794</v>
      </c>
      <c r="AG721" s="80"/>
      <c r="AH721" s="80" t="str">
        <f>IFERROR(__xludf.DUMMYFUNCTION("""COMPUTED_VALUE"""),"dianytresnar@gmail.com")</f>
        <v>dianytresnar@gmail.com</v>
      </c>
      <c r="AI721" s="80" t="str">
        <f>IFERROR(__xludf.DUMMYFUNCTION("""COMPUTED_VALUE"""),"15434SB")</f>
        <v>15434SB</v>
      </c>
      <c r="AJ721" s="80" t="str">
        <f>IFERROR(__xludf.DUMMYFUNCTION("""COMPUTED_VALUE"""),"690c1f969e39d3ac120387f8")</f>
        <v>690c1f969e39d3ac120387f8</v>
      </c>
      <c r="AK721" s="80" t="str">
        <f>IFERROR(__xludf.DUMMYFUNCTION("""COMPUTED_VALUE"""),"dm15434sb")</f>
        <v>dm15434sb</v>
      </c>
      <c r="AL721" s="80" t="str">
        <f>IFERROR(__xludf.DUMMYFUNCTION("""COMPUTED_VALUE"""),"#15434Pos")</f>
        <v>#15434Pos</v>
      </c>
      <c r="AM721" s="80" t="str">
        <f>IFERROR(__xludf.DUMMYFUNCTION("""COMPUTED_VALUE"""),"KANTOR REGIONAL II JAKARTA 10004")</f>
        <v>KANTOR REGIONAL II JAKARTA 10004</v>
      </c>
      <c r="AN721" s="80" t="str">
        <f>IFERROR(__xludf.DUMMYFUNCTION("""COMPUTED_VALUE"""),"KC TANGERANG SELATAN")</f>
        <v>KC TANGERANG SELATAN</v>
      </c>
      <c r="AO721" s="80" t="str">
        <f>IFERROR(__xludf.DUMMYFUNCTION("""COMPUTED_VALUE"""),"2909230062903")</f>
        <v>2909230062903</v>
      </c>
      <c r="AP721" s="80" t="str">
        <f>IFERROR(__xludf.DUMMYFUNCTION("""COMPUTED_VALUE"""),"29092300629030001")</f>
        <v>29092300629030001</v>
      </c>
      <c r="AQ721" s="83"/>
      <c r="AR721" s="80"/>
      <c r="AS721" s="80"/>
      <c r="AT721" s="80" t="str">
        <f>IFERROR(__xludf.DUMMYFUNCTION("""COMPUTED_VALUE"""),"-6.3418791")</f>
        <v>-6.3418791</v>
      </c>
      <c r="AU721" s="80" t="str">
        <f>IFERROR(__xludf.DUMMYFUNCTION("""COMPUTED_VALUE"""),"106.7105959")</f>
        <v>106.7105959</v>
      </c>
      <c r="AV721" s="80"/>
      <c r="AW721" s="80"/>
      <c r="AX721" s="80"/>
      <c r="AY721" s="80"/>
      <c r="AZ721" s="80"/>
      <c r="BA721" s="80"/>
      <c r="BB721" s="80"/>
      <c r="BC721" s="80"/>
      <c r="BD721" s="80"/>
      <c r="BE721" s="80"/>
      <c r="BF721" s="80"/>
      <c r="BG721" s="80"/>
      <c r="BH721" s="80"/>
      <c r="BI721" s="80"/>
      <c r="BJ721" s="80"/>
      <c r="BK721" s="80"/>
      <c r="BL721" s="80"/>
      <c r="BM721" s="80"/>
      <c r="BN721" s="80"/>
      <c r="BO721" s="80"/>
      <c r="BP721" s="80"/>
      <c r="BQ721" s="80"/>
      <c r="BR721" s="80"/>
      <c r="BS721" s="80"/>
      <c r="BT721" s="80"/>
      <c r="BU721" s="80"/>
      <c r="BV721" s="80"/>
      <c r="BW721" s="80"/>
      <c r="BX721" s="80" t="str">
        <f>IFERROR(__xludf.DUMMYFUNCTION("""COMPUTED_VALUE"""),"MULTIKURIR - JNT CARGO")</f>
        <v>MULTIKURIR - JNT CARGO</v>
      </c>
      <c r="BY721" s="80"/>
      <c r="BZ721" s="80"/>
      <c r="CA721" s="80"/>
      <c r="CB721" s="80"/>
      <c r="CC721" s="80"/>
      <c r="CD721" s="80"/>
      <c r="CE721" s="80"/>
      <c r="CF721" s="80"/>
      <c r="CG721" s="80"/>
      <c r="CH721" s="80"/>
      <c r="CI721" s="80"/>
      <c r="CJ721" s="80"/>
      <c r="CK721" s="2"/>
    </row>
    <row r="722" ht="12.75" customHeight="1">
      <c r="A722" s="85">
        <f>IFERROR(__xludf.DUMMYFUNCTION("""COMPUTED_VALUE"""),718.0)</f>
        <v>718</v>
      </c>
      <c r="B722" s="85"/>
      <c r="C722" s="85"/>
      <c r="D722" s="86">
        <f>IFERROR(__xludf.DUMMYFUNCTION("""COMPUTED_VALUE"""),45964.0)</f>
        <v>45964</v>
      </c>
      <c r="E722" s="88"/>
      <c r="F722" s="85"/>
      <c r="G722" s="86">
        <f>IFERROR(__xludf.DUMMYFUNCTION("""COMPUTED_VALUE"""),45971.0)</f>
        <v>45971</v>
      </c>
      <c r="H722" s="85"/>
      <c r="I722" s="85"/>
      <c r="J722" s="85"/>
      <c r="K722" s="85"/>
      <c r="L722" s="85">
        <f>IFERROR(__xludf.DUMMYFUNCTION("""COMPUTED_VALUE"""),7.0)</f>
        <v>7</v>
      </c>
      <c r="M722" s="85" t="str">
        <f>IFERROR(__xludf.DUMMYFUNCTION("""COMPUTED_VALUE"""),"ü")</f>
        <v>ü</v>
      </c>
      <c r="N722" s="85"/>
      <c r="O722" s="85"/>
      <c r="P722" s="85" t="str">
        <f>IFERROR(__xludf.DUMMYFUNCTION("""COMPUTED_VALUE"""),"53BSPA09710JBEEN")</f>
        <v>53BSPA09710JBEEN</v>
      </c>
      <c r="Q722" s="85" t="str">
        <f>IFERROR(__xludf.DUMMYFUNCTION("""COMPUTED_VALUE"""),"MUC SEPATAN")</f>
        <v>MUC SEPATAN</v>
      </c>
      <c r="R722" s="85" t="str">
        <f>IFERROR(__xludf.DUMMYFUNCTION("""COMPUTED_VALUE"""),"MUC SEPATAN")</f>
        <v>MUC SEPATAN</v>
      </c>
      <c r="S722" s="85" t="str">
        <f>IFERROR(__xludf.DUMMYFUNCTION("""COMPUTED_VALUE"""),"ZAINUL MARSOFI")</f>
        <v>ZAINUL MARSOFI</v>
      </c>
      <c r="T722" s="85" t="str">
        <f>IFERROR(__xludf.DUMMYFUNCTION("""COMPUTED_VALUE"""),"KP. SEPATAN RT.002 RW.001, SEPATAN, SEPATAN KAB. TANGERANG")</f>
        <v>KP. SEPATAN RT.002 RW.001, SEPATAN, SEPATAN KAB. TANGERANG</v>
      </c>
      <c r="U722" s="85" t="str">
        <f>IFERROR(__xludf.DUMMYFUNCTION("""COMPUTED_VALUE"""),"Kp Sepatan RT 01 RW 02")</f>
        <v>Kp Sepatan RT 01 RW 02</v>
      </c>
      <c r="V722" s="85"/>
      <c r="W722" s="85" t="str">
        <f>IFERROR(__xludf.DUMMYFUNCTION("""COMPUTED_VALUE"""),"Sepatan")</f>
        <v>Sepatan</v>
      </c>
      <c r="X722" s="85" t="str">
        <f>IFERROR(__xludf.DUMMYFUNCTION("""COMPUTED_VALUE"""),"Sepatan")</f>
        <v>Sepatan</v>
      </c>
      <c r="Y722" s="85" t="str">
        <f>IFERROR(__xludf.DUMMYFUNCTION("""COMPUTED_VALUE"""),"Kab. Tangerang")</f>
        <v>Kab. Tangerang</v>
      </c>
      <c r="Z722" s="85" t="str">
        <f>IFERROR(__xludf.DUMMYFUNCTION("""COMPUTED_VALUE"""),"Banten")</f>
        <v>Banten</v>
      </c>
      <c r="AA722" s="85" t="str">
        <f>IFERROR(__xludf.DUMMYFUNCTION("""COMPUTED_VALUE"""),"15520")</f>
        <v>15520</v>
      </c>
      <c r="AB722" s="85" t="str">
        <f>IFERROR(__xludf.DUMMYFUNCTION("""COMPUTED_VALUE"""),"3603161309790001")</f>
        <v>3603161309790001</v>
      </c>
      <c r="AC722" s="85" t="str">
        <f>IFERROR(__xludf.DUMMYFUNCTION("""COMPUTED_VALUE"""),"54.874.974.6-418.000")</f>
        <v>54.874.974.6-418.000</v>
      </c>
      <c r="AD722" s="85" t="str">
        <f>IFERROR(__xludf.DUMMYFUNCTION("""COMPUTED_VALUE"""),"CUM - EEN")</f>
        <v>CUM - EEN</v>
      </c>
      <c r="AE722" s="85" t="str">
        <f>IFERROR(__xludf.DUMMYFUNCTION("""COMPUTED_VALUE"""),"SUB EEN")</f>
        <v>SUB EEN</v>
      </c>
      <c r="AF722" s="85" t="str">
        <f>IFERROR(__xludf.DUMMYFUNCTION("""COMPUTED_VALUE"""),"082130152084")</f>
        <v>082130152084</v>
      </c>
      <c r="AG722" s="85"/>
      <c r="AH722" s="85" t="str">
        <f>IFERROR(__xludf.DUMMYFUNCTION("""COMPUTED_VALUE"""),"afharachairuzad@gmail.com")</f>
        <v>afharachairuzad@gmail.com</v>
      </c>
      <c r="AI722" s="85" t="str">
        <f>IFERROR(__xludf.DUMMYFUNCTION("""COMPUTED_VALUE"""),"15521S2")</f>
        <v>15521S2</v>
      </c>
      <c r="AJ722" s="85" t="str">
        <f>IFERROR(__xludf.DUMMYFUNCTION("""COMPUTED_VALUE"""),"690ef9e0a679b5596c0530fb")</f>
        <v>690ef9e0a679b5596c0530fb</v>
      </c>
      <c r="AK722" s="85" t="str">
        <f>IFERROR(__xludf.DUMMYFUNCTION("""COMPUTED_VALUE"""),"dm15521s2")</f>
        <v>dm15521s2</v>
      </c>
      <c r="AL722" s="85" t="str">
        <f>IFERROR(__xludf.DUMMYFUNCTION("""COMPUTED_VALUE"""),"#15521Pos")</f>
        <v>#15521Pos</v>
      </c>
      <c r="AM722" s="85" t="str">
        <f>IFERROR(__xludf.DUMMYFUNCTION("""COMPUTED_VALUE"""),"KANTOR REGIONAL II JAKARTA 10004")</f>
        <v>KANTOR REGIONAL II JAKARTA 10004</v>
      </c>
      <c r="AN722" s="85" t="str">
        <f>IFERROR(__xludf.DUMMYFUNCTION("""COMPUTED_VALUE"""),"KCU TANGERANG 15000")</f>
        <v>KCU TANGERANG 15000</v>
      </c>
      <c r="AO722" s="85" t="str">
        <f>IFERROR(__xludf.DUMMYFUNCTION("""COMPUTED_VALUE"""),"0311250108694")</f>
        <v>0311250108694</v>
      </c>
      <c r="AP722" s="85" t="str">
        <f>IFERROR(__xludf.DUMMYFUNCTION("""COMPUTED_VALUE"""),"03112501086940001")</f>
        <v>03112501086940001</v>
      </c>
      <c r="AQ722" s="93"/>
      <c r="AR722" s="85"/>
      <c r="AS722" s="85"/>
      <c r="AT722" s="85" t="str">
        <f>IFERROR(__xludf.DUMMYFUNCTION("""COMPUTED_VALUE"""),"-6.117756")</f>
        <v>-6.117756</v>
      </c>
      <c r="AU722" s="85" t="str">
        <f>IFERROR(__xludf.DUMMYFUNCTION("""COMPUTED_VALUE"""),"106.579505")</f>
        <v>106.579505</v>
      </c>
      <c r="AV722" s="85"/>
      <c r="AW722" s="85"/>
      <c r="AX722" s="85"/>
      <c r="AY722" s="85"/>
      <c r="AZ722" s="85"/>
      <c r="BA722" s="85"/>
      <c r="BB722" s="85"/>
      <c r="BC722" s="85"/>
      <c r="BD722" s="85"/>
      <c r="BE722" s="85"/>
      <c r="BF722" s="85"/>
      <c r="BG722" s="85"/>
      <c r="BH722" s="85"/>
      <c r="BI722" s="85"/>
      <c r="BJ722" s="85"/>
      <c r="BK722" s="85"/>
      <c r="BL722" s="85"/>
      <c r="BM722" s="85"/>
      <c r="BN722" s="85"/>
      <c r="BO722" s="85"/>
      <c r="BP722" s="85"/>
      <c r="BQ722" s="85"/>
      <c r="BR722" s="85"/>
      <c r="BS722" s="85"/>
      <c r="BT722" s="85"/>
      <c r="BU722" s="85"/>
      <c r="BV722" s="85"/>
      <c r="BW722" s="85"/>
      <c r="BX722" s="85" t="str">
        <f>IFERROR(__xludf.DUMMYFUNCTION("""COMPUTED_VALUE"""),"MULTIKURIR - JNE - JNT CARGO - JNT EXPRESS - SAP - INDAH CARGO - NINJA XPRESS - ID EXPRESS - INTERPEDIA")</f>
        <v>MULTIKURIR - JNE - JNT CARGO - JNT EXPRESS - SAP - INDAH CARGO - NINJA XPRESS - ID EXPRESS - INTERPEDIA</v>
      </c>
      <c r="BY722" s="85"/>
      <c r="BZ722" s="85"/>
      <c r="CA722" s="85"/>
      <c r="CB722" s="85"/>
      <c r="CC722" s="85"/>
      <c r="CD722" s="85"/>
      <c r="CE722" s="85"/>
      <c r="CF722" s="85"/>
      <c r="CG722" s="85"/>
      <c r="CH722" s="85"/>
      <c r="CI722" s="85"/>
      <c r="CJ722" s="85"/>
      <c r="CK722" s="2"/>
    </row>
    <row r="723" ht="12.75" customHeight="1">
      <c r="A723" s="80">
        <f>IFERROR(__xludf.DUMMYFUNCTION("""COMPUTED_VALUE"""),719.0)</f>
        <v>719</v>
      </c>
      <c r="B723" s="80"/>
      <c r="C723" s="80"/>
      <c r="D723" s="81">
        <f>IFERROR(__xludf.DUMMYFUNCTION("""COMPUTED_VALUE"""),45964.0)</f>
        <v>45964</v>
      </c>
      <c r="E723" s="82"/>
      <c r="F723" s="80"/>
      <c r="G723" s="81">
        <f>IFERROR(__xludf.DUMMYFUNCTION("""COMPUTED_VALUE"""),46000.0)</f>
        <v>46000</v>
      </c>
      <c r="H723" s="80"/>
      <c r="I723" s="80"/>
      <c r="J723" s="80"/>
      <c r="K723" s="80"/>
      <c r="L723" s="80">
        <f>IFERROR(__xludf.DUMMYFUNCTION("""COMPUTED_VALUE"""),36.0)</f>
        <v>36</v>
      </c>
      <c r="M723" s="80" t="str">
        <f>IFERROR(__xludf.DUMMYFUNCTION("""COMPUTED_VALUE"""),"ü")</f>
        <v>ü</v>
      </c>
      <c r="N723" s="80"/>
      <c r="O723" s="80"/>
      <c r="P723" s="80" t="str">
        <f>IFERROR(__xludf.DUMMYFUNCTION("""COMPUTED_VALUE"""),"MUCSPA63303PSIND")</f>
        <v>MUCSPA63303PSIND</v>
      </c>
      <c r="Q723" s="80" t="str">
        <f>IFERROR(__xludf.DUMMYFUNCTION("""COMPUTED_VALUE"""),"MUC BILAL")</f>
        <v>MUC BILAL</v>
      </c>
      <c r="R723" s="80" t="str">
        <f>IFERROR(__xludf.DUMMYFUNCTION("""COMPUTED_VALUE"""),"MUC BILAL")</f>
        <v>MUC BILAL</v>
      </c>
      <c r="S723" s="80" t="str">
        <f>IFERROR(__xludf.DUMMYFUNCTION("""COMPUTED_VALUE"""),"SUCI PURNAMA SARI")</f>
        <v>SUCI PURNAMA SARI</v>
      </c>
      <c r="T723" s="80" t="str">
        <f>IFERROR(__xludf.DUMMYFUNCTION("""COMPUTED_VALUE"""),"KEMPAS JAYA RT.004 RW.007, KEMPAS JAYA, KEMPAS, KAB. INDRAGIRI HILIR, RIAU")</f>
        <v>KEMPAS JAYA RT.004 RW.007, KEMPAS JAYA, KEMPAS, KAB. INDRAGIRI HILIR, RIAU</v>
      </c>
      <c r="U723" s="80" t="str">
        <f>IFERROR(__xludf.DUMMYFUNCTION("""COMPUTED_VALUE"""),"Kempas Jaya Depan UGD 24 Jam RT 01 RW 07")</f>
        <v>Kempas Jaya Depan UGD 24 Jam RT 01 RW 07</v>
      </c>
      <c r="V723" s="80"/>
      <c r="W723" s="80" t="str">
        <f>IFERROR(__xludf.DUMMYFUNCTION("""COMPUTED_VALUE"""),"Kempas Jaya")</f>
        <v>Kempas Jaya</v>
      </c>
      <c r="X723" s="80" t="str">
        <f>IFERROR(__xludf.DUMMYFUNCTION("""COMPUTED_VALUE"""),"Kempas")</f>
        <v>Kempas</v>
      </c>
      <c r="Y723" s="80" t="str">
        <f>IFERROR(__xludf.DUMMYFUNCTION("""COMPUTED_VALUE"""),"Kab. Indragiri Hilir")</f>
        <v>Kab. Indragiri Hilir</v>
      </c>
      <c r="Z723" s="80" t="str">
        <f>IFERROR(__xludf.DUMMYFUNCTION("""COMPUTED_VALUE"""),"Riau")</f>
        <v>Riau</v>
      </c>
      <c r="AA723" s="80" t="str">
        <f>IFERROR(__xludf.DUMMYFUNCTION("""COMPUTED_VALUE"""),"29261")</f>
        <v>29261</v>
      </c>
      <c r="AB723" s="80" t="str">
        <f>IFERROR(__xludf.DUMMYFUNCTION("""COMPUTED_VALUE"""),"1404026501960002")</f>
        <v>1404026501960002</v>
      </c>
      <c r="AC723" s="80" t="str">
        <f>IFERROR(__xludf.DUMMYFUNCTION("""COMPUTED_VALUE"""),"1404 0265 0196 0002")</f>
        <v>1404 0265 0196 0002</v>
      </c>
      <c r="AD723" s="80" t="str">
        <f>IFERROR(__xludf.DUMMYFUNCTION("""COMPUTED_VALUE"""),"BU TASYA KC TEMBILAHAN")</f>
        <v>BU TASYA KC TEMBILAHAN</v>
      </c>
      <c r="AE723" s="80" t="str">
        <f>IFERROR(__xludf.DUMMYFUNCTION("""COMPUTED_VALUE"""),"BU TASYA KC TEMBILAHAN")</f>
        <v>BU TASYA KC TEMBILAHAN</v>
      </c>
      <c r="AF723" s="80" t="str">
        <f>IFERROR(__xludf.DUMMYFUNCTION("""COMPUTED_VALUE"""),"085211529918")</f>
        <v>085211529918</v>
      </c>
      <c r="AG723" s="80"/>
      <c r="AH723" s="80" t="str">
        <f>IFERROR(__xludf.DUMMYFUNCTION("""COMPUTED_VALUE"""),"uchybilal9@gmail.com")</f>
        <v>uchybilal9@gmail.com</v>
      </c>
      <c r="AI723" s="80" t="str">
        <f>IFERROR(__xludf.DUMMYFUNCTION("""COMPUTED_VALUE"""),"29262S2")</f>
        <v>29262S2</v>
      </c>
      <c r="AJ723" s="80" t="str">
        <f>IFERROR(__xludf.DUMMYFUNCTION("""COMPUTED_VALUE"""),"69367f0e7bdb19d32607dd8f")</f>
        <v>69367f0e7bdb19d32607dd8f</v>
      </c>
      <c r="AK723" s="80" t="str">
        <f>IFERROR(__xludf.DUMMYFUNCTION("""COMPUTED_VALUE"""),"m29262s2")</f>
        <v>m29262s2</v>
      </c>
      <c r="AL723" s="80" t="str">
        <f>IFERROR(__xludf.DUMMYFUNCTION("""COMPUTED_VALUE"""),"#Des091225$")</f>
        <v>#Des091225$</v>
      </c>
      <c r="AM723" s="80" t="str">
        <f>IFERROR(__xludf.DUMMYFUNCTION("""COMPUTED_VALUE"""),"KANTOR REGIONAL I MEDAN 20004")</f>
        <v>KANTOR REGIONAL I MEDAN 20004</v>
      </c>
      <c r="AN723" s="80" t="str">
        <f>IFERROR(__xludf.DUMMYFUNCTION("""COMPUTED_VALUE"""),"KC TEMBILAHAN")</f>
        <v>KC TEMBILAHAN</v>
      </c>
      <c r="AO723" s="80" t="str">
        <f>IFERROR(__xludf.DUMMYFUNCTION("""COMPUTED_VALUE"""),"0311250120155")</f>
        <v>0311250120155</v>
      </c>
      <c r="AP723" s="80" t="str">
        <f>IFERROR(__xludf.DUMMYFUNCTION("""COMPUTED_VALUE"""),"03112501201550001")</f>
        <v>03112501201550001</v>
      </c>
      <c r="AQ723" s="83"/>
      <c r="AR723" s="80"/>
      <c r="AS723" s="80"/>
      <c r="AT723" s="80" t="str">
        <f>IFERROR(__xludf.DUMMYFUNCTION("""COMPUTED_VALUE"""),"-0.539409")</f>
        <v>-0.539409</v>
      </c>
      <c r="AU723" s="80" t="str">
        <f>IFERROR(__xludf.DUMMYFUNCTION("""COMPUTED_VALUE"""),"102.816214")</f>
        <v>102.816214</v>
      </c>
      <c r="AV723" s="80"/>
      <c r="AW723" s="80"/>
      <c r="AX723" s="80"/>
      <c r="AY723" s="80"/>
      <c r="AZ723" s="80"/>
      <c r="BA723" s="80"/>
      <c r="BB723" s="80"/>
      <c r="BC723" s="80"/>
      <c r="BD723" s="80"/>
      <c r="BE723" s="80"/>
      <c r="BF723" s="80"/>
      <c r="BG723" s="80"/>
      <c r="BH723" s="80"/>
      <c r="BI723" s="80"/>
      <c r="BJ723" s="80"/>
      <c r="BK723" s="80"/>
      <c r="BL723" s="80"/>
      <c r="BM723" s="80"/>
      <c r="BN723" s="80"/>
      <c r="BO723" s="80"/>
      <c r="BP723" s="80"/>
      <c r="BQ723" s="80"/>
      <c r="BR723" s="80"/>
      <c r="BS723" s="80"/>
      <c r="BT723" s="80"/>
      <c r="BU723" s="80"/>
      <c r="BV723" s="80"/>
      <c r="BW723" s="80"/>
      <c r="BX723" s="80" t="str">
        <f>IFERROR(__xludf.DUMMYFUNCTION("""COMPUTED_VALUE"""),"NEWBIE BRILINK")</f>
        <v>NEWBIE BRILINK</v>
      </c>
      <c r="BY723" s="80"/>
      <c r="BZ723" s="80"/>
      <c r="CA723" s="80"/>
      <c r="CB723" s="80"/>
      <c r="CC723" s="80"/>
      <c r="CD723" s="80"/>
      <c r="CE723" s="80"/>
      <c r="CF723" s="80"/>
      <c r="CG723" s="80"/>
      <c r="CH723" s="80"/>
      <c r="CI723" s="80"/>
      <c r="CJ723" s="80"/>
      <c r="CK723" s="2"/>
    </row>
    <row r="724" ht="12.75" customHeight="1">
      <c r="A724" s="85">
        <f>IFERROR(__xludf.DUMMYFUNCTION("""COMPUTED_VALUE"""),720.0)</f>
        <v>720</v>
      </c>
      <c r="B724" s="85"/>
      <c r="C724" s="85"/>
      <c r="D724" s="86">
        <f>IFERROR(__xludf.DUMMYFUNCTION("""COMPUTED_VALUE"""),45965.0)</f>
        <v>45965</v>
      </c>
      <c r="E724" s="88"/>
      <c r="F724" s="85"/>
      <c r="G724" s="86">
        <f>IFERROR(__xludf.DUMMYFUNCTION("""COMPUTED_VALUE"""),45968.0)</f>
        <v>45968</v>
      </c>
      <c r="H724" s="85"/>
      <c r="I724" s="85"/>
      <c r="J724" s="85"/>
      <c r="K724" s="85"/>
      <c r="L724" s="85">
        <f>IFERROR(__xludf.DUMMYFUNCTION("""COMPUTED_VALUE"""),3.0)</f>
        <v>3</v>
      </c>
      <c r="M724" s="85" t="str">
        <f>IFERROR(__xludf.DUMMYFUNCTION("""COMPUTED_VALUE"""),"ü")</f>
        <v>ü</v>
      </c>
      <c r="N724" s="85"/>
      <c r="O724" s="85"/>
      <c r="P724" s="85" t="str">
        <f>IFERROR(__xludf.DUMMYFUNCTION("""COMPUTED_VALUE"""),"53BSPA09712JBEEN")</f>
        <v>53BSPA09712JBEEN</v>
      </c>
      <c r="Q724" s="85" t="str">
        <f>IFERROR(__xludf.DUMMYFUNCTION("""COMPUTED_VALUE"""),"MUC BINTARO")</f>
        <v>MUC BINTARO</v>
      </c>
      <c r="R724" s="85" t="str">
        <f>IFERROR(__xludf.DUMMYFUNCTION("""COMPUTED_VALUE"""),"MUC BINTARO")</f>
        <v>MUC BINTARO</v>
      </c>
      <c r="S724" s="85" t="str">
        <f>IFERROR(__xludf.DUMMYFUNCTION("""COMPUTED_VALUE"""),"MUSHONIF")</f>
        <v>MUSHONIF</v>
      </c>
      <c r="T724" s="85" t="str">
        <f>IFERROR(__xludf.DUMMYFUNCTION("""COMPUTED_VALUE"""),"JL. KUCICA II BLOK JG.5/17 RT 2 RW 11")</f>
        <v>JL. KUCICA II BLOK JG.5/17 RT 2 RW 11</v>
      </c>
      <c r="U724" s="85" t="str">
        <f>IFERROR(__xludf.DUMMYFUNCTION("""COMPUTED_VALUE"""),"JL. KUCICA II BLOK JG.5/17 RT.002 RW.011")</f>
        <v>JL. KUCICA II BLOK JG.5/17 RT.002 RW.011</v>
      </c>
      <c r="V724" s="85"/>
      <c r="W724" s="85" t="str">
        <f>IFERROR(__xludf.DUMMYFUNCTION("""COMPUTED_VALUE"""),"PONDOK PUCUNG")</f>
        <v>PONDOK PUCUNG</v>
      </c>
      <c r="X724" s="85" t="str">
        <f>IFERROR(__xludf.DUMMYFUNCTION("""COMPUTED_VALUE"""),"PONDOK AREN")</f>
        <v>PONDOK AREN</v>
      </c>
      <c r="Y724" s="85" t="str">
        <f>IFERROR(__xludf.DUMMYFUNCTION("""COMPUTED_VALUE"""),"TANGERANG SELATAN")</f>
        <v>TANGERANG SELATAN</v>
      </c>
      <c r="Z724" s="85" t="str">
        <f>IFERROR(__xludf.DUMMYFUNCTION("""COMPUTED_VALUE"""),"BANTEN")</f>
        <v>BANTEN</v>
      </c>
      <c r="AA724" s="85" t="str">
        <f>IFERROR(__xludf.DUMMYFUNCTION("""COMPUTED_VALUE"""),"15229")</f>
        <v>15229</v>
      </c>
      <c r="AB724" s="85" t="str">
        <f>IFERROR(__xludf.DUMMYFUNCTION("""COMPUTED_VALUE"""),"3674032411670004")</f>
        <v>3674032411670004</v>
      </c>
      <c r="AC724" s="85" t="str">
        <f>IFERROR(__xludf.DUMMYFUNCTION("""COMPUTED_VALUE"""),"09.321.158.9-411.000")</f>
        <v>09.321.158.9-411.000</v>
      </c>
      <c r="AD724" s="85" t="str">
        <f>IFERROR(__xludf.DUMMYFUNCTION("""COMPUTED_VALUE"""),"CUM - EEN")</f>
        <v>CUM - EEN</v>
      </c>
      <c r="AE724" s="85" t="str">
        <f>IFERROR(__xludf.DUMMYFUNCTION("""COMPUTED_VALUE"""),"SUB EEN")</f>
        <v>SUB EEN</v>
      </c>
      <c r="AF724" s="85" t="str">
        <f>IFERROR(__xludf.DUMMYFUNCTION("""COMPUTED_VALUE"""),"08159100301")</f>
        <v>08159100301</v>
      </c>
      <c r="AG724" s="85"/>
      <c r="AH724" s="85" t="str">
        <f>IFERROR(__xludf.DUMMYFUNCTION("""COMPUTED_VALUE"""),"mushoniftcm@gmail.com")</f>
        <v>mushoniftcm@gmail.com</v>
      </c>
      <c r="AI724" s="85" t="str">
        <f>IFERROR(__xludf.DUMMYFUNCTION("""COMPUTED_VALUE"""),"15429S4")</f>
        <v>15429S4</v>
      </c>
      <c r="AJ724" s="85" t="str">
        <f>IFERROR(__xludf.DUMMYFUNCTION("""COMPUTED_VALUE"""),"690c10fb22be5f3f4e032201")</f>
        <v>690c10fb22be5f3f4e032201</v>
      </c>
      <c r="AK724" s="85" t="str">
        <f>IFERROR(__xludf.DUMMYFUNCTION("""COMPUTED_VALUE"""),"dm15429s4")</f>
        <v>dm15429s4</v>
      </c>
      <c r="AL724" s="85" t="str">
        <f>IFERROR(__xludf.DUMMYFUNCTION("""COMPUTED_VALUE"""),"#15429Pos")</f>
        <v>#15429Pos</v>
      </c>
      <c r="AM724" s="85" t="str">
        <f>IFERROR(__xludf.DUMMYFUNCTION("""COMPUTED_VALUE"""),"KANTOR REGIONAL II JAKARTA 10004")</f>
        <v>KANTOR REGIONAL II JAKARTA 10004</v>
      </c>
      <c r="AN724" s="85" t="str">
        <f>IFERROR(__xludf.DUMMYFUNCTION("""COMPUTED_VALUE"""),"KC TANGERANG SELATAN")</f>
        <v>KC TANGERANG SELATAN</v>
      </c>
      <c r="AO724" s="85" t="str">
        <f>IFERROR(__xludf.DUMMYFUNCTION("""COMPUTED_VALUE"""),"0285010122049")</f>
        <v>0285010122049</v>
      </c>
      <c r="AP724" s="85" t="str">
        <f>IFERROR(__xludf.DUMMYFUNCTION("""COMPUTED_VALUE"""),"02850101220490002")</f>
        <v>02850101220490002</v>
      </c>
      <c r="AQ724" s="93"/>
      <c r="AR724" s="85"/>
      <c r="AS724" s="85"/>
      <c r="AT724" s="85" t="str">
        <f>IFERROR(__xludf.DUMMYFUNCTION("""COMPUTED_VALUE"""),"-6.287477")</f>
        <v>-6.287477</v>
      </c>
      <c r="AU724" s="85" t="str">
        <f>IFERROR(__xludf.DUMMYFUNCTION("""COMPUTED_VALUE"""),"106.710964")</f>
        <v>106.710964</v>
      </c>
      <c r="AV724" s="85"/>
      <c r="AW724" s="85"/>
      <c r="AX724" s="85"/>
      <c r="AY724" s="85"/>
      <c r="AZ724" s="85"/>
      <c r="BA724" s="85"/>
      <c r="BB724" s="85"/>
      <c r="BC724" s="85"/>
      <c r="BD724" s="85"/>
      <c r="BE724" s="85"/>
      <c r="BF724" s="85"/>
      <c r="BG724" s="85"/>
      <c r="BH724" s="85"/>
      <c r="BI724" s="85"/>
      <c r="BJ724" s="85"/>
      <c r="BK724" s="85"/>
      <c r="BL724" s="85"/>
      <c r="BM724" s="85"/>
      <c r="BN724" s="85"/>
      <c r="BO724" s="85"/>
      <c r="BP724" s="85"/>
      <c r="BQ724" s="85"/>
      <c r="BR724" s="85"/>
      <c r="BS724" s="85"/>
      <c r="BT724" s="85"/>
      <c r="BU724" s="85"/>
      <c r="BV724" s="85"/>
      <c r="BW724" s="85"/>
      <c r="BX724" s="85" t="str">
        <f>IFERROR(__xludf.DUMMYFUNCTION("""COMPUTED_VALUE"""),"POS")</f>
        <v>POS</v>
      </c>
      <c r="BY724" s="85"/>
      <c r="BZ724" s="85"/>
      <c r="CA724" s="85"/>
      <c r="CB724" s="85"/>
      <c r="CC724" s="85"/>
      <c r="CD724" s="85"/>
      <c r="CE724" s="85"/>
      <c r="CF724" s="85"/>
      <c r="CG724" s="85"/>
      <c r="CH724" s="85"/>
      <c r="CI724" s="85"/>
      <c r="CJ724" s="85"/>
      <c r="CK724" s="2"/>
    </row>
    <row r="725" ht="12.75" customHeight="1">
      <c r="A725" s="80">
        <f>IFERROR(__xludf.DUMMYFUNCTION("""COMPUTED_VALUE"""),721.0)</f>
        <v>721</v>
      </c>
      <c r="B725" s="80"/>
      <c r="C725" s="80"/>
      <c r="D725" s="81">
        <f>IFERROR(__xludf.DUMMYFUNCTION("""COMPUTED_VALUE"""),45965.0)</f>
        <v>45965</v>
      </c>
      <c r="E725" s="82"/>
      <c r="F725" s="80"/>
      <c r="G725" s="81">
        <f>IFERROR(__xludf.DUMMYFUNCTION("""COMPUTED_VALUE"""),45971.0)</f>
        <v>45971</v>
      </c>
      <c r="H725" s="80"/>
      <c r="I725" s="80"/>
      <c r="J725" s="80"/>
      <c r="K725" s="80"/>
      <c r="L725" s="80">
        <f>IFERROR(__xludf.DUMMYFUNCTION("""COMPUTED_VALUE"""),6.0)</f>
        <v>6</v>
      </c>
      <c r="M725" s="80" t="str">
        <f>IFERROR(__xludf.DUMMYFUNCTION("""COMPUTED_VALUE"""),"ü")</f>
        <v>ü</v>
      </c>
      <c r="N725" s="80"/>
      <c r="O725" s="80"/>
      <c r="P725" s="80" t="str">
        <f>IFERROR(__xludf.DUMMYFUNCTION("""COMPUTED_VALUE"""),"MUCSPA63304PSIND")</f>
        <v>MUCSPA63304PSIND</v>
      </c>
      <c r="Q725" s="80" t="str">
        <f>IFERROR(__xludf.DUMMYFUNCTION("""COMPUTED_VALUE"""),"MUC METROPOLIS")</f>
        <v>MUC METROPOLIS</v>
      </c>
      <c r="R725" s="80" t="str">
        <f>IFERROR(__xludf.DUMMYFUNCTION("""COMPUTED_VALUE"""),"MUC METROPOLIS")</f>
        <v>MUC METROPOLIS</v>
      </c>
      <c r="S725" s="80" t="str">
        <f>IFERROR(__xludf.DUMMYFUNCTION("""COMPUTED_VALUE"""),"ADRIANSYAH.L")</f>
        <v>ADRIANSYAH.L</v>
      </c>
      <c r="T725" s="80" t="str">
        <f>IFERROR(__xludf.DUMMYFUNCTION("""COMPUTED_VALUE"""),"RUKO DAAN MOGOT PERMAI BLOK.E1/1")</f>
        <v>RUKO DAAN MOGOT PERMAI BLOK.E1/1</v>
      </c>
      <c r="U725" s="80" t="str">
        <f>IFERROR(__xludf.DUMMYFUNCTION("""COMPUTED_VALUE"""),"Mall metropolis Townsquare Blok GB No.1")</f>
        <v>Mall metropolis Townsquare Blok GB No.1</v>
      </c>
      <c r="V725" s="80"/>
      <c r="W725" s="80" t="str">
        <f>IFERROR(__xludf.DUMMYFUNCTION("""COMPUTED_VALUE"""),"Kelapa Indah")</f>
        <v>Kelapa Indah</v>
      </c>
      <c r="X725" s="80" t="str">
        <f>IFERROR(__xludf.DUMMYFUNCTION("""COMPUTED_VALUE"""),"Tangerang")</f>
        <v>Tangerang</v>
      </c>
      <c r="Y725" s="80" t="str">
        <f>IFERROR(__xludf.DUMMYFUNCTION("""COMPUTED_VALUE"""),"Tangerang")</f>
        <v>Tangerang</v>
      </c>
      <c r="Z725" s="80" t="str">
        <f>IFERROR(__xludf.DUMMYFUNCTION("""COMPUTED_VALUE"""),"Banten")</f>
        <v>Banten</v>
      </c>
      <c r="AA725" s="80" t="str">
        <f>IFERROR(__xludf.DUMMYFUNCTION("""COMPUTED_VALUE"""),"15118")</f>
        <v>15118</v>
      </c>
      <c r="AB725" s="80" t="str">
        <f>IFERROR(__xludf.DUMMYFUNCTION("""COMPUTED_VALUE"""),"3671032903800003")</f>
        <v>3671032903800003</v>
      </c>
      <c r="AC725" s="80" t="str">
        <f>IFERROR(__xludf.DUMMYFUNCTION("""COMPUTED_VALUE"""),"24.919.077.8-416.000")</f>
        <v>24.919.077.8-416.000</v>
      </c>
      <c r="AD725" s="80" t="str">
        <f>IFERROR(__xludf.DUMMYFUNCTION("""COMPUTED_VALUE"""),"CUM - PS - DWIH")</f>
        <v>CUM - PS - DWIH</v>
      </c>
      <c r="AE725" s="80" t="str">
        <f>IFERROR(__xludf.DUMMYFUNCTION("""COMPUTED_VALUE"""),"SUB DWI HARTANTO POS")</f>
        <v>SUB DWI HARTANTO POS</v>
      </c>
      <c r="AF725" s="80" t="str">
        <f>IFERROR(__xludf.DUMMYFUNCTION("""COMPUTED_VALUE"""),"08558558088")</f>
        <v>08558558088</v>
      </c>
      <c r="AG725" s="80"/>
      <c r="AH725" s="80" t="str">
        <f>IFERROR(__xludf.DUMMYFUNCTION("""COMPUTED_VALUE"""),"pos@jelajah.com")</f>
        <v>pos@jelajah.com</v>
      </c>
      <c r="AI725" s="80" t="str">
        <f>IFERROR(__xludf.DUMMYFUNCTION("""COMPUTED_VALUE"""),"15117S1")</f>
        <v>15117S1</v>
      </c>
      <c r="AJ725" s="80" t="str">
        <f>IFERROR(__xludf.DUMMYFUNCTION("""COMPUTED_VALUE"""),"690f572b8f20c474440f3446")</f>
        <v>690f572b8f20c474440f3446</v>
      </c>
      <c r="AK725" s="80" t="str">
        <f>IFERROR(__xludf.DUMMYFUNCTION("""COMPUTED_VALUE"""),"dm15117s1")</f>
        <v>dm15117s1</v>
      </c>
      <c r="AL725" s="80" t="str">
        <f>IFERROR(__xludf.DUMMYFUNCTION("""COMPUTED_VALUE"""),"#15117Pos")</f>
        <v>#15117Pos</v>
      </c>
      <c r="AM725" s="80" t="str">
        <f>IFERROR(__xludf.DUMMYFUNCTION("""COMPUTED_VALUE"""),"KANTOR REGIONAL II JAKARTA 10004")</f>
        <v>KANTOR REGIONAL II JAKARTA 10004</v>
      </c>
      <c r="AN725" s="80" t="str">
        <f>IFERROR(__xludf.DUMMYFUNCTION("""COMPUTED_VALUE"""),"KCU TANGERANG 15000")</f>
        <v>KCU TANGERANG 15000</v>
      </c>
      <c r="AO725" s="80" t="str">
        <f>IFERROR(__xludf.DUMMYFUNCTION("""COMPUTED_VALUE"""),"0220207192182")</f>
        <v>0220207192182</v>
      </c>
      <c r="AP725" s="80" t="str">
        <f>IFERROR(__xludf.DUMMYFUNCTION("""COMPUTED_VALUE"""),"02202071921820002")</f>
        <v>02202071921820002</v>
      </c>
      <c r="AQ725" s="83"/>
      <c r="AR725" s="80"/>
      <c r="AS725" s="80"/>
      <c r="AT725" s="80" t="str">
        <f>IFERROR(__xludf.DUMMYFUNCTION("""COMPUTED_VALUE"""),"-6.1975217")</f>
        <v>-6.1975217</v>
      </c>
      <c r="AU725" s="80" t="str">
        <f>IFERROR(__xludf.DUMMYFUNCTION("""COMPUTED_VALUE"""),"106.6364644")</f>
        <v>106.6364644</v>
      </c>
      <c r="AV725" s="80"/>
      <c r="AW725" s="80"/>
      <c r="AX725" s="80"/>
      <c r="AY725" s="80"/>
      <c r="AZ725" s="80"/>
      <c r="BA725" s="80"/>
      <c r="BB725" s="80"/>
      <c r="BC725" s="80"/>
      <c r="BD725" s="80"/>
      <c r="BE725" s="80"/>
      <c r="BF725" s="80"/>
      <c r="BG725" s="80"/>
      <c r="BH725" s="80"/>
      <c r="BI725" s="80"/>
      <c r="BJ725" s="80"/>
      <c r="BK725" s="80"/>
      <c r="BL725" s="80"/>
      <c r="BM725" s="80"/>
      <c r="BN725" s="80"/>
      <c r="BO725" s="80"/>
      <c r="BP725" s="80"/>
      <c r="BQ725" s="80"/>
      <c r="BR725" s="80"/>
      <c r="BS725" s="80"/>
      <c r="BT725" s="80"/>
      <c r="BU725" s="80"/>
      <c r="BV725" s="80"/>
      <c r="BW725" s="80"/>
      <c r="BX725" s="80" t="str">
        <f>IFERROR(__xludf.DUMMYFUNCTION("""COMPUTED_VALUE"""),"MULTIKURIR - JXPRESS")</f>
        <v>MULTIKURIR - JXPRESS</v>
      </c>
      <c r="BY725" s="80"/>
      <c r="BZ725" s="80"/>
      <c r="CA725" s="80"/>
      <c r="CB725" s="80"/>
      <c r="CC725" s="80"/>
      <c r="CD725" s="80"/>
      <c r="CE725" s="80"/>
      <c r="CF725" s="80"/>
      <c r="CG725" s="80"/>
      <c r="CH725" s="80"/>
      <c r="CI725" s="80"/>
      <c r="CJ725" s="80"/>
      <c r="CK725" s="2"/>
    </row>
    <row r="726" ht="12.75" customHeight="1">
      <c r="A726" s="85">
        <f>IFERROR(__xludf.DUMMYFUNCTION("""COMPUTED_VALUE"""),722.0)</f>
        <v>722</v>
      </c>
      <c r="B726" s="85"/>
      <c r="C726" s="85"/>
      <c r="D726" s="86">
        <f>IFERROR(__xludf.DUMMYFUNCTION("""COMPUTED_VALUE"""),45967.0)</f>
        <v>45967</v>
      </c>
      <c r="E726" s="88"/>
      <c r="F726" s="85"/>
      <c r="G726" s="86">
        <f>IFERROR(__xludf.DUMMYFUNCTION("""COMPUTED_VALUE"""),45972.0)</f>
        <v>45972</v>
      </c>
      <c r="H726" s="85"/>
      <c r="I726" s="85"/>
      <c r="J726" s="85"/>
      <c r="K726" s="85"/>
      <c r="L726" s="85">
        <f>IFERROR(__xludf.DUMMYFUNCTION("""COMPUTED_VALUE"""),5.0)</f>
        <v>5</v>
      </c>
      <c r="M726" s="85" t="str">
        <f>IFERROR(__xludf.DUMMYFUNCTION("""COMPUTED_VALUE"""),"ü")</f>
        <v>ü</v>
      </c>
      <c r="N726" s="85"/>
      <c r="O726" s="85"/>
      <c r="P726" s="85" t="str">
        <f>IFERROR(__xludf.DUMMYFUNCTION("""COMPUTED_VALUE"""),"MLO5500055CUMPOS")</f>
        <v>MLO5500055CUMPOS</v>
      </c>
      <c r="Q726" s="85" t="str">
        <f>IFERROR(__xludf.DUMMYFUNCTION("""COMPUTED_VALUE"""),"MUC Razi Suryawan")</f>
        <v>MUC Razi Suryawan</v>
      </c>
      <c r="R726" s="85" t="str">
        <f>IFERROR(__xludf.DUMMYFUNCTION("""COMPUTED_VALUE"""),"MUC Razi Suryawan")</f>
        <v>MUC Razi Suryawan</v>
      </c>
      <c r="S726" s="85" t="str">
        <f>IFERROR(__xludf.DUMMYFUNCTION("""COMPUTED_VALUE"""),"Suryati")</f>
        <v>Suryati</v>
      </c>
      <c r="T726" s="85" t="str">
        <f>IFERROR(__xludf.DUMMYFUNCTION("""COMPUTED_VALUE"""),"BLOK KI GAYAM RT/RW 002/006 desa Buyut kec Gunungjati kab cirebon")</f>
        <v>BLOK KI GAYAM RT/RW 002/006 desa Buyut kec Gunungjati kab cirebon</v>
      </c>
      <c r="U726" s="85" t="str">
        <f>IFERROR(__xludf.DUMMYFUNCTION("""COMPUTED_VALUE"""),"Perumahan Sindang Kemuning Asri Blok B no 5 ")</f>
        <v>Perumahan Sindang Kemuning Asri Blok B no 5 </v>
      </c>
      <c r="V726" s="85"/>
      <c r="W726" s="85" t="str">
        <f>IFERROR(__xludf.DUMMYFUNCTION("""COMPUTED_VALUE"""),"Asem")</f>
        <v>Asem</v>
      </c>
      <c r="X726" s="85" t="str">
        <f>IFERROR(__xludf.DUMMYFUNCTION("""COMPUTED_VALUE"""),"Lemahabang")</f>
        <v>Lemahabang</v>
      </c>
      <c r="Y726" s="85" t="str">
        <f>IFERROR(__xludf.DUMMYFUNCTION("""COMPUTED_VALUE"""),"Cirebon")</f>
        <v>Cirebon</v>
      </c>
      <c r="Z726" s="85" t="str">
        <f>IFERROR(__xludf.DUMMYFUNCTION("""COMPUTED_VALUE"""),"Jawa Barat")</f>
        <v>Jawa Barat</v>
      </c>
      <c r="AA726" s="85" t="str">
        <f>IFERROR(__xludf.DUMMYFUNCTION("""COMPUTED_VALUE"""),"45183")</f>
        <v>45183</v>
      </c>
      <c r="AB726" s="85" t="str">
        <f>IFERROR(__xludf.DUMMYFUNCTION("""COMPUTED_VALUE"""),"3209105507850009")</f>
        <v>3209105507850009</v>
      </c>
      <c r="AC726" s="85" t="str">
        <f>IFERROR(__xludf.DUMMYFUNCTION("""COMPUTED_VALUE"""),"35.885.788.6-426.000")</f>
        <v>35.885.788.6-426.000</v>
      </c>
      <c r="AD726" s="85" t="str">
        <f>IFERROR(__xludf.DUMMYFUNCTION("""COMPUTED_VALUE"""),"CUM - PS - JHR")</f>
        <v>CUM - PS - JHR</v>
      </c>
      <c r="AE726" s="85" t="str">
        <f>IFERROR(__xludf.DUMMYFUNCTION("""COMPUTED_VALUE"""),"SUB JOHAN POS")</f>
        <v>SUB JOHAN POS</v>
      </c>
      <c r="AF726" s="85" t="str">
        <f>IFERROR(__xludf.DUMMYFUNCTION("""COMPUTED_VALUE"""),"089654543271")</f>
        <v>089654543271</v>
      </c>
      <c r="AG726" s="85"/>
      <c r="AH726" s="85" t="str">
        <f>IFERROR(__xludf.DUMMYFUNCTION("""COMPUTED_VALUE"""),"suryati150785@gmail.com")</f>
        <v>suryati150785@gmail.com</v>
      </c>
      <c r="AI726" s="85" t="str">
        <f>IFERROR(__xludf.DUMMYFUNCTION("""COMPUTED_VALUE"""),"45683S2")</f>
        <v>45683S2</v>
      </c>
      <c r="AJ726" s="85" t="str">
        <f>IFERROR(__xludf.DUMMYFUNCTION("""COMPUTED_VALUE"""),"6912e0ba7ab9731e7e0695ac")</f>
        <v>6912e0ba7ab9731e7e0695ac</v>
      </c>
      <c r="AK726" s="85" t="str">
        <f>IFERROR(__xludf.DUMMYFUNCTION("""COMPUTED_VALUE"""),"dm45683s2")</f>
        <v>dm45683s2</v>
      </c>
      <c r="AL726" s="85" t="str">
        <f>IFERROR(__xludf.DUMMYFUNCTION("""COMPUTED_VALUE"""),"#45683Pos")</f>
        <v>#45683Pos</v>
      </c>
      <c r="AM726" s="85" t="str">
        <f>IFERROR(__xludf.DUMMYFUNCTION("""COMPUTED_VALUE"""),"KANTOR REGIONAL III BANDUNG 40004")</f>
        <v>KANTOR REGIONAL III BANDUNG 40004</v>
      </c>
      <c r="AN726" s="85" t="str">
        <f>IFERROR(__xludf.DUMMYFUNCTION("""COMPUTED_VALUE"""),"KCU CIREBON 45100")</f>
        <v>KCU CIREBON 45100</v>
      </c>
      <c r="AO726" s="85" t="str">
        <f>IFERROR(__xludf.DUMMYFUNCTION("""COMPUTED_VALUE"""),"0611250063765")</f>
        <v>0611250063765</v>
      </c>
      <c r="AP726" s="85" t="str">
        <f>IFERROR(__xludf.DUMMYFUNCTION("""COMPUTED_VALUE"""),"06112500637650001")</f>
        <v>06112500637650001</v>
      </c>
      <c r="AQ726" s="93"/>
      <c r="AR726" s="85"/>
      <c r="AS726" s="85"/>
      <c r="AT726" s="85" t="str">
        <f>IFERROR(__xludf.DUMMYFUNCTION("""COMPUTED_VALUE"""),"-6.818854")</f>
        <v>-6.818854</v>
      </c>
      <c r="AU726" s="85" t="str">
        <f>IFERROR(__xludf.DUMMYFUNCTION("""COMPUTED_VALUE"""),"108.729369")</f>
        <v>108.729369</v>
      </c>
      <c r="AV726" s="85"/>
      <c r="AW726" s="85"/>
      <c r="AX726" s="85"/>
      <c r="AY726" s="85"/>
      <c r="AZ726" s="85"/>
      <c r="BA726" s="85"/>
      <c r="BB726" s="85"/>
      <c r="BC726" s="85"/>
      <c r="BD726" s="85"/>
      <c r="BE726" s="85"/>
      <c r="BF726" s="85"/>
      <c r="BG726" s="85"/>
      <c r="BH726" s="85"/>
      <c r="BI726" s="85"/>
      <c r="BJ726" s="85"/>
      <c r="BK726" s="85"/>
      <c r="BL726" s="85"/>
      <c r="BM726" s="85"/>
      <c r="BN726" s="85"/>
      <c r="BO726" s="85"/>
      <c r="BP726" s="85"/>
      <c r="BQ726" s="85"/>
      <c r="BR726" s="85"/>
      <c r="BS726" s="85"/>
      <c r="BT726" s="85"/>
      <c r="BU726" s="85"/>
      <c r="BV726" s="85"/>
      <c r="BW726" s="85"/>
      <c r="BX726" s="85" t="str">
        <f>IFERROR(__xludf.DUMMYFUNCTION("""COMPUTED_VALUE"""),"NEWBIE")</f>
        <v>NEWBIE</v>
      </c>
      <c r="BY726" s="85"/>
      <c r="BZ726" s="85"/>
      <c r="CA726" s="85"/>
      <c r="CB726" s="85"/>
      <c r="CC726" s="85"/>
      <c r="CD726" s="85"/>
      <c r="CE726" s="85"/>
      <c r="CF726" s="85"/>
      <c r="CG726" s="85"/>
      <c r="CH726" s="85"/>
      <c r="CI726" s="85"/>
      <c r="CJ726" s="85"/>
      <c r="CK726" s="2"/>
    </row>
    <row r="727" ht="12.75" customHeight="1">
      <c r="A727" s="80">
        <f>IFERROR(__xludf.DUMMYFUNCTION("""COMPUTED_VALUE"""),723.0)</f>
        <v>723</v>
      </c>
      <c r="B727" s="80"/>
      <c r="C727" s="80"/>
      <c r="D727" s="81">
        <f>IFERROR(__xludf.DUMMYFUNCTION("""COMPUTED_VALUE"""),45968.0)</f>
        <v>45968</v>
      </c>
      <c r="E727" s="82"/>
      <c r="F727" s="80"/>
      <c r="G727" s="81">
        <f>IFERROR(__xludf.DUMMYFUNCTION("""COMPUTED_VALUE"""),45978.0)</f>
        <v>45978</v>
      </c>
      <c r="H727" s="80"/>
      <c r="I727" s="80"/>
      <c r="J727" s="80"/>
      <c r="K727" s="80"/>
      <c r="L727" s="80">
        <f>IFERROR(__xludf.DUMMYFUNCTION("""COMPUTED_VALUE"""),10.0)</f>
        <v>10</v>
      </c>
      <c r="M727" s="80" t="str">
        <f>IFERROR(__xludf.DUMMYFUNCTION("""COMPUTED_VALUE"""),"ü")</f>
        <v>ü</v>
      </c>
      <c r="N727" s="80"/>
      <c r="O727" s="80"/>
      <c r="P727" s="80" t="str">
        <f>IFERROR(__xludf.DUMMYFUNCTION("""COMPUTED_VALUE"""),"MUCSPA63305PSIND")</f>
        <v>MUCSPA63305PSIND</v>
      </c>
      <c r="Q727" s="80" t="str">
        <f>IFERROR(__xludf.DUMMYFUNCTION("""COMPUTED_VALUE"""),"MUC ALIGIS EXPRESS")</f>
        <v>MUC ALIGIS EXPRESS</v>
      </c>
      <c r="R727" s="80" t="str">
        <f>IFERROR(__xludf.DUMMYFUNCTION("""COMPUTED_VALUE"""),"MUC ALIGIS EXPRESS")</f>
        <v>MUC ALIGIS EXPRESS</v>
      </c>
      <c r="S727" s="80" t="str">
        <f>IFERROR(__xludf.DUMMYFUNCTION("""COMPUTED_VALUE"""),"REZA MEIFIA FITRA")</f>
        <v>REZA MEIFIA FITRA</v>
      </c>
      <c r="T727" s="80" t="str">
        <f>IFERROR(__xludf.DUMMYFUNCTION("""COMPUTED_VALUE"""),"PERUM GRIYA WISATA BLOK I NO 15 RT 25 RW 07 KEDENSARI TANGGULANGIN SIDOARJO ")</f>
        <v>PERUM GRIYA WISATA BLOK I NO 15 RT 25 RW 07 KEDENSARI TANGGULANGIN SIDOARJO </v>
      </c>
      <c r="U727" s="80" t="str">
        <f>IFERROR(__xludf.DUMMYFUNCTION("""COMPUTED_VALUE"""),"PERUMTAS 2 BLOK N7 NO 4 RT 06 RW 06 ")</f>
        <v>PERUMTAS 2 BLOK N7 NO 4 RT 06 RW 06 </v>
      </c>
      <c r="V727" s="80"/>
      <c r="W727" s="80" t="str">
        <f>IFERROR(__xludf.DUMMYFUNCTION("""COMPUTED_VALUE"""),"KALISAMPURNO")</f>
        <v>KALISAMPURNO</v>
      </c>
      <c r="X727" s="80" t="str">
        <f>IFERROR(__xludf.DUMMYFUNCTION("""COMPUTED_VALUE"""),"TANGGULANGIN")</f>
        <v>TANGGULANGIN</v>
      </c>
      <c r="Y727" s="80" t="str">
        <f>IFERROR(__xludf.DUMMYFUNCTION("""COMPUTED_VALUE"""),"SIDOARJO")</f>
        <v>SIDOARJO</v>
      </c>
      <c r="Z727" s="80" t="str">
        <f>IFERROR(__xludf.DUMMYFUNCTION("""COMPUTED_VALUE"""),"JAWA TIMUR")</f>
        <v>JAWA TIMUR</v>
      </c>
      <c r="AA727" s="80" t="str">
        <f>IFERROR(__xludf.DUMMYFUNCTION("""COMPUTED_VALUE"""),"61272")</f>
        <v>61272</v>
      </c>
      <c r="AB727" s="80" t="str">
        <f>IFERROR(__xludf.DUMMYFUNCTION("""COMPUTED_VALUE"""),"3523120905890003")</f>
        <v>3523120905890003</v>
      </c>
      <c r="AC727" s="80" t="str">
        <f>IFERROR(__xludf.DUMMYFUNCTION("""COMPUTED_VALUE"""),"99.033.333.8-617.000")</f>
        <v>99.033.333.8-617.000</v>
      </c>
      <c r="AD727" s="80" t="str">
        <f>IFERROR(__xludf.DUMMYFUNCTION("""COMPUTED_VALUE"""),"REG V NON KORGEN")</f>
        <v>REG V NON KORGEN</v>
      </c>
      <c r="AE727" s="80" t="str">
        <f>IFERROR(__xludf.DUMMYFUNCTION("""COMPUTED_VALUE"""),"REG V NON KORGEN")</f>
        <v>REG V NON KORGEN</v>
      </c>
      <c r="AF727" s="80" t="str">
        <f>IFERROR(__xludf.DUMMYFUNCTION("""COMPUTED_VALUE"""),"08885472600")</f>
        <v>08885472600</v>
      </c>
      <c r="AG727" s="80"/>
      <c r="AH727" s="80" t="str">
        <f>IFERROR(__xludf.DUMMYFUNCTION("""COMPUTED_VALUE"""),"rezamfitra@gmail.com")</f>
        <v>rezamfitra@gmail.com</v>
      </c>
      <c r="AI727" s="80" t="str">
        <f>IFERROR(__xludf.DUMMYFUNCTION("""COMPUTED_VALUE"""),"61272S6")</f>
        <v>61272S6</v>
      </c>
      <c r="AJ727" s="80" t="str">
        <f>IFERROR(__xludf.DUMMYFUNCTION("""COMPUTED_VALUE"""),"691545e1d0af708e7b0c2433")</f>
        <v>691545e1d0af708e7b0c2433</v>
      </c>
      <c r="AK727" s="80" t="str">
        <f>IFERROR(__xludf.DUMMYFUNCTION("""COMPUTED_VALUE"""),"dm61272s6")</f>
        <v>dm61272s6</v>
      </c>
      <c r="AL727" s="80" t="str">
        <f>IFERROR(__xludf.DUMMYFUNCTION("""COMPUTED_VALUE"""),"#61272Pos")</f>
        <v>#61272Pos</v>
      </c>
      <c r="AM727" s="80" t="str">
        <f>IFERROR(__xludf.DUMMYFUNCTION("""COMPUTED_VALUE"""),"KANTOR REGIONAL V SURABAYA 60004")</f>
        <v>KANTOR REGIONAL V SURABAYA 60004</v>
      </c>
      <c r="AN727" s="80" t="str">
        <f>IFERROR(__xludf.DUMMYFUNCTION("""COMPUTED_VALUE"""),"KC SIDOARJO")</f>
        <v>KC SIDOARJO</v>
      </c>
      <c r="AO727" s="80" t="str">
        <f>IFERROR(__xludf.DUMMYFUNCTION("""COMPUTED_VALUE"""),"1011230020475")</f>
        <v>1011230020475</v>
      </c>
      <c r="AP727" s="80" t="str">
        <f>IFERROR(__xludf.DUMMYFUNCTION("""COMPUTED_VALUE"""),"10112300204750002")</f>
        <v>10112300204750002</v>
      </c>
      <c r="AQ727" s="83"/>
      <c r="AR727" s="80"/>
      <c r="AS727" s="80"/>
      <c r="AT727" s="80" t="str">
        <f>IFERROR(__xludf.DUMMYFUNCTION("""COMPUTED_VALUE"""),"-7.5082033")</f>
        <v>-7.5082033</v>
      </c>
      <c r="AU727" s="80" t="str">
        <f>IFERROR(__xludf.DUMMYFUNCTION("""COMPUTED_VALUE"""),"112.700822")</f>
        <v>112.700822</v>
      </c>
      <c r="AV727" s="80"/>
      <c r="AW727" s="80"/>
      <c r="AX727" s="80"/>
      <c r="AY727" s="80"/>
      <c r="AZ727" s="80"/>
      <c r="BA727" s="80"/>
      <c r="BB727" s="80"/>
      <c r="BC727" s="80"/>
      <c r="BD727" s="80"/>
      <c r="BE727" s="80"/>
      <c r="BF727" s="80"/>
      <c r="BG727" s="80"/>
      <c r="BH727" s="80"/>
      <c r="BI727" s="80"/>
      <c r="BJ727" s="80"/>
      <c r="BK727" s="80"/>
      <c r="BL727" s="80"/>
      <c r="BM727" s="80"/>
      <c r="BN727" s="80"/>
      <c r="BO727" s="80"/>
      <c r="BP727" s="80"/>
      <c r="BQ727" s="80"/>
      <c r="BR727" s="80"/>
      <c r="BS727" s="80"/>
      <c r="BT727" s="80"/>
      <c r="BU727" s="80"/>
      <c r="BV727" s="80"/>
      <c r="BW727" s="80"/>
      <c r="BX727" s="80" t="str">
        <f>IFERROR(__xludf.DUMMYFUNCTION("""COMPUTED_VALUE"""),"MULTIKURIR - SPX - ID EXPRESS - ANTERAJA")</f>
        <v>MULTIKURIR - SPX - ID EXPRESS - ANTERAJA</v>
      </c>
      <c r="BY727" s="80"/>
      <c r="BZ727" s="80"/>
      <c r="CA727" s="80"/>
      <c r="CB727" s="80"/>
      <c r="CC727" s="80"/>
      <c r="CD727" s="80"/>
      <c r="CE727" s="80"/>
      <c r="CF727" s="80"/>
      <c r="CG727" s="80"/>
      <c r="CH727" s="80"/>
      <c r="CI727" s="80"/>
      <c r="CJ727" s="80"/>
      <c r="CK727" s="2"/>
    </row>
    <row r="728" ht="12.75" customHeight="1">
      <c r="A728" s="85">
        <f>IFERROR(__xludf.DUMMYFUNCTION("""COMPUTED_VALUE"""),724.0)</f>
        <v>724</v>
      </c>
      <c r="B728" s="85"/>
      <c r="C728" s="85"/>
      <c r="D728" s="86">
        <f>IFERROR(__xludf.DUMMYFUNCTION("""COMPUTED_VALUE"""),45968.0)</f>
        <v>45968</v>
      </c>
      <c r="E728" s="88"/>
      <c r="F728" s="85"/>
      <c r="G728" s="86"/>
      <c r="H728" s="85"/>
      <c r="I728" s="85"/>
      <c r="J728" s="85"/>
      <c r="K728" s="85"/>
      <c r="L728" s="85"/>
      <c r="M728" s="85" t="str">
        <f>IFERROR(__xludf.DUMMYFUNCTION("""COMPUTED_VALUE"""),"ü")</f>
        <v>ü</v>
      </c>
      <c r="N728" s="85"/>
      <c r="O728" s="85"/>
      <c r="P728" s="85" t="str">
        <f>IFERROR(__xludf.DUMMYFUNCTION("""COMPUTED_VALUE"""),"MUCSPA63306PSIND")</f>
        <v>MUCSPA63306PSIND</v>
      </c>
      <c r="Q728" s="85" t="str">
        <f>IFERROR(__xludf.DUMMYFUNCTION("""COMPUTED_VALUE"""),"MUC BATU PANJANG")</f>
        <v>MUC BATU PANJANG</v>
      </c>
      <c r="R728" s="85" t="str">
        <f>IFERROR(__xludf.DUMMYFUNCTION("""COMPUTED_VALUE"""),"MUC BATU PANJANG")</f>
        <v>MUC BATU PANJANG</v>
      </c>
      <c r="S728" s="85" t="str">
        <f>IFERROR(__xludf.DUMMYFUNCTION("""COMPUTED_VALUE"""),"MUHAMMAD SHOLEH")</f>
        <v>MUHAMMAD SHOLEH</v>
      </c>
      <c r="T728" s="85" t="str">
        <f>IFERROR(__xludf.DUMMYFUNCTION("""COMPUTED_VALUE"""),"JL. MASJID GG. DIALIM RT.004 RW.001, BATU PANJANG, RUPAT, KAB. BENGKALIS PROVINSI RIAU")</f>
        <v>JL. MASJID GG. DIALIM RT.004 RW.001, BATU PANJANG, RUPAT, KAB. BENGKALIS PROVINSI RIAU</v>
      </c>
      <c r="U728" s="85" t="str">
        <f>IFERROR(__xludf.DUMMYFUNCTION("""COMPUTED_VALUE"""),"JL. MASJID GG. DUALIM, RT 004/RW 001")</f>
        <v>JL. MASJID GG. DUALIM, RT 004/RW 001</v>
      </c>
      <c r="V728" s="85"/>
      <c r="W728" s="85" t="str">
        <f>IFERROR(__xludf.DUMMYFUNCTION("""COMPUTED_VALUE"""),"BATUPANJANG")</f>
        <v>BATUPANJANG</v>
      </c>
      <c r="X728" s="85" t="str">
        <f>IFERROR(__xludf.DUMMYFUNCTION("""COMPUTED_VALUE"""),"RUPAT")</f>
        <v>RUPAT</v>
      </c>
      <c r="Y728" s="85" t="str">
        <f>IFERROR(__xludf.DUMMYFUNCTION("""COMPUTED_VALUE"""),"KAB. BENGKALIS")</f>
        <v>KAB. BENGKALIS</v>
      </c>
      <c r="Z728" s="85" t="str">
        <f>IFERROR(__xludf.DUMMYFUNCTION("""COMPUTED_VALUE"""),"RIAU")</f>
        <v>RIAU</v>
      </c>
      <c r="AA728" s="85" t="str">
        <f>IFERROR(__xludf.DUMMYFUNCTION("""COMPUTED_VALUE"""),"28781")</f>
        <v>28781</v>
      </c>
      <c r="AB728" s="85" t="str">
        <f>IFERROR(__xludf.DUMMYFUNCTION("""COMPUTED_VALUE"""),"1403101009050003")</f>
        <v>1403101009050003</v>
      </c>
      <c r="AC728" s="85" t="str">
        <f>IFERROR(__xludf.DUMMYFUNCTION("""COMPUTED_VALUE"""),"21.287.512.4-219.000")</f>
        <v>21.287.512.4-219.000</v>
      </c>
      <c r="AD728" s="85" t="str">
        <f>IFERROR(__xludf.DUMMYFUNCTION("""COMPUTED_VALUE"""),"BU RANI KC DUMAI")</f>
        <v>BU RANI KC DUMAI</v>
      </c>
      <c r="AE728" s="85" t="str">
        <f>IFERROR(__xludf.DUMMYFUNCTION("""COMPUTED_VALUE"""),"BU RANI KC DUMAI")</f>
        <v>BU RANI KC DUMAI</v>
      </c>
      <c r="AF728" s="85" t="str">
        <f>IFERROR(__xludf.DUMMYFUNCTION("""COMPUTED_VALUE"""),"081363690837")</f>
        <v>081363690837</v>
      </c>
      <c r="AG728" s="85"/>
      <c r="AH728" s="85" t="str">
        <f>IFERROR(__xludf.DUMMYFUNCTION("""COMPUTED_VALUE"""),"mohdsholeh100905@gmail.com")</f>
        <v>mohdsholeh100905@gmail.com</v>
      </c>
      <c r="AI728" s="85"/>
      <c r="AJ728" s="85"/>
      <c r="AK728" s="85"/>
      <c r="AL728" s="85"/>
      <c r="AM728" s="85" t="str">
        <f>IFERROR(__xludf.DUMMYFUNCTION("""COMPUTED_VALUE"""),"KANTOR REGIONAL I MEDAN 20004")</f>
        <v>KANTOR REGIONAL I MEDAN 20004</v>
      </c>
      <c r="AN728" s="85" t="str">
        <f>IFERROR(__xludf.DUMMYFUNCTION("""COMPUTED_VALUE"""),"KC DUMAI")</f>
        <v>KC DUMAI</v>
      </c>
      <c r="AO728" s="85" t="str">
        <f>IFERROR(__xludf.DUMMYFUNCTION("""COMPUTED_VALUE"""),"2605250053545")</f>
        <v>2605250053545</v>
      </c>
      <c r="AP728" s="85" t="str">
        <f>IFERROR(__xludf.DUMMYFUNCTION("""COMPUTED_VALUE"""),"26052500535450001")</f>
        <v>26052500535450001</v>
      </c>
      <c r="AQ728" s="93"/>
      <c r="AR728" s="85"/>
      <c r="AS728" s="85"/>
      <c r="AT728" s="85" t="str">
        <f>IFERROR(__xludf.DUMMYFUNCTION("""COMPUTED_VALUE"""),"1.712842")</f>
        <v>1.712842</v>
      </c>
      <c r="AU728" s="85" t="str">
        <f>IFERROR(__xludf.DUMMYFUNCTION("""COMPUTED_VALUE"""),"101.515626")</f>
        <v>101.515626</v>
      </c>
      <c r="AV728" s="85"/>
      <c r="AW728" s="85"/>
      <c r="AX728" s="85"/>
      <c r="AY728" s="85"/>
      <c r="AZ728" s="85"/>
      <c r="BA728" s="85"/>
      <c r="BB728" s="85"/>
      <c r="BC728" s="85"/>
      <c r="BD728" s="85"/>
      <c r="BE728" s="85"/>
      <c r="BF728" s="85"/>
      <c r="BG728" s="85"/>
      <c r="BH728" s="85"/>
      <c r="BI728" s="85"/>
      <c r="BJ728" s="85"/>
      <c r="BK728" s="85"/>
      <c r="BL728" s="85"/>
      <c r="BM728" s="85"/>
      <c r="BN728" s="85"/>
      <c r="BO728" s="85"/>
      <c r="BP728" s="85"/>
      <c r="BQ728" s="85"/>
      <c r="BR728" s="85"/>
      <c r="BS728" s="85"/>
      <c r="BT728" s="85"/>
      <c r="BU728" s="85"/>
      <c r="BV728" s="85"/>
      <c r="BW728" s="85"/>
      <c r="BX728" s="85" t="str">
        <f>IFERROR(__xludf.DUMMYFUNCTION("""COMPUTED_VALUE"""),"NEWBIE")</f>
        <v>NEWBIE</v>
      </c>
      <c r="BY728" s="85"/>
      <c r="BZ728" s="85"/>
      <c r="CA728" s="85"/>
      <c r="CB728" s="85"/>
      <c r="CC728" s="85"/>
      <c r="CD728" s="85"/>
      <c r="CE728" s="85"/>
      <c r="CF728" s="85"/>
      <c r="CG728" s="85"/>
      <c r="CH728" s="85"/>
      <c r="CI728" s="85"/>
      <c r="CJ728" s="85"/>
      <c r="CK728" s="2"/>
    </row>
    <row r="729" ht="12.75" customHeight="1">
      <c r="A729" s="80">
        <f>IFERROR(__xludf.DUMMYFUNCTION("""COMPUTED_VALUE"""),725.0)</f>
        <v>725</v>
      </c>
      <c r="B729" s="80"/>
      <c r="C729" s="80"/>
      <c r="D729" s="81">
        <f>IFERROR(__xludf.DUMMYFUNCTION("""COMPUTED_VALUE"""),45968.0)</f>
        <v>45968</v>
      </c>
      <c r="E729" s="82"/>
      <c r="F729" s="80"/>
      <c r="G729" s="81">
        <f>IFERROR(__xludf.DUMMYFUNCTION("""COMPUTED_VALUE"""),45993.0)</f>
        <v>45993</v>
      </c>
      <c r="H729" s="80"/>
      <c r="I729" s="80"/>
      <c r="J729" s="80"/>
      <c r="K729" s="80"/>
      <c r="L729" s="80">
        <f>IFERROR(__xludf.DUMMYFUNCTION("""COMPUTED_VALUE"""),25.0)</f>
        <v>25</v>
      </c>
      <c r="M729" s="80" t="str">
        <f>IFERROR(__xludf.DUMMYFUNCTION("""COMPUTED_VALUE"""),"ü")</f>
        <v>ü</v>
      </c>
      <c r="N729" s="80"/>
      <c r="O729" s="80"/>
      <c r="P729" s="80" t="str">
        <f>IFERROR(__xludf.DUMMYFUNCTION("""COMPUTED_VALUE"""),"53BSPA09711JBEEN")</f>
        <v>53BSPA09711JBEEN</v>
      </c>
      <c r="Q729" s="80" t="str">
        <f>IFERROR(__xludf.DUMMYFUNCTION("""COMPUTED_VALUE"""),"MUC Hisyam Alzam")</f>
        <v>MUC Hisyam Alzam</v>
      </c>
      <c r="R729" s="80" t="str">
        <f>IFERROR(__xludf.DUMMYFUNCTION("""COMPUTED_VALUE"""),"MUC Hisyam Alzam")</f>
        <v>MUC Hisyam Alzam</v>
      </c>
      <c r="S729" s="80" t="str">
        <f>IFERROR(__xludf.DUMMYFUNCTION("""COMPUTED_VALUE"""),"M. IQBAL FERDIAN MAULANA")</f>
        <v>M. IQBAL FERDIAN MAULANA</v>
      </c>
      <c r="T729" s="80" t="str">
        <f>IFERROR(__xludf.DUMMYFUNCTION("""COMPUTED_VALUE"""),"PERUM PASPAMPRES GRIYA GARDA GARUDA BLOK C4/09 RT.003 RW.003, MUKTIWARI, CIBITUNG, KAB. BEKASI JAWA BARAT")</f>
        <v>PERUM PASPAMPRES GRIYA GARDA GARUDA BLOK C4/09 RT.003 RW.003, MUKTIWARI, CIBITUNG, KAB. BEKASI JAWA BARAT</v>
      </c>
      <c r="U729" s="80" t="str">
        <f>IFERROR(__xludf.DUMMYFUNCTION("""COMPUTED_VALUE"""),"Perumahan paspampres Griya Garda Garuda Blok C4 No. 9")</f>
        <v>Perumahan paspampres Griya Garda Garuda Blok C4 No. 9</v>
      </c>
      <c r="V729" s="80"/>
      <c r="W729" s="80" t="str">
        <f>IFERROR(__xludf.DUMMYFUNCTION("""COMPUTED_VALUE"""),"Muktiwari")</f>
        <v>Muktiwari</v>
      </c>
      <c r="X729" s="80" t="str">
        <f>IFERROR(__xludf.DUMMYFUNCTION("""COMPUTED_VALUE"""),"Cibitung")</f>
        <v>Cibitung</v>
      </c>
      <c r="Y729" s="80" t="str">
        <f>IFERROR(__xludf.DUMMYFUNCTION("""COMPUTED_VALUE"""),"Kabupaten Bekasi")</f>
        <v>Kabupaten Bekasi</v>
      </c>
      <c r="Z729" s="80" t="str">
        <f>IFERROR(__xludf.DUMMYFUNCTION("""COMPUTED_VALUE"""),"Jawa Barat ")</f>
        <v>Jawa Barat </v>
      </c>
      <c r="AA729" s="80" t="str">
        <f>IFERROR(__xludf.DUMMYFUNCTION("""COMPUTED_VALUE"""),"17520")</f>
        <v>17520</v>
      </c>
      <c r="AB729" s="80" t="str">
        <f>IFERROR(__xludf.DUMMYFUNCTION("""COMPUTED_VALUE"""),"3603220608950001")</f>
        <v>3603220608950001</v>
      </c>
      <c r="AC729" s="80" t="str">
        <f>IFERROR(__xludf.DUMMYFUNCTION("""COMPUTED_VALUE"""),"75.800.222.4-452.000")</f>
        <v>75.800.222.4-452.000</v>
      </c>
      <c r="AD729" s="80" t="str">
        <f>IFERROR(__xludf.DUMMYFUNCTION("""COMPUTED_VALUE"""),"CUM - EEN")</f>
        <v>CUM - EEN</v>
      </c>
      <c r="AE729" s="80" t="str">
        <f>IFERROR(__xludf.DUMMYFUNCTION("""COMPUTED_VALUE"""),"SUB EEN")</f>
        <v>SUB EEN</v>
      </c>
      <c r="AF729" s="80" t="str">
        <f>IFERROR(__xludf.DUMMYFUNCTION("""COMPUTED_VALUE"""),"085977159381")</f>
        <v>085977159381</v>
      </c>
      <c r="AG729" s="80"/>
      <c r="AH729" s="80" t="str">
        <f>IFERROR(__xludf.DUMMYFUNCTION("""COMPUTED_VALUE"""),"fherdhie@gmail.com")</f>
        <v>fherdhie@gmail.com</v>
      </c>
      <c r="AI729" s="80" t="str">
        <f>IFERROR(__xludf.DUMMYFUNCTION("""COMPUTED_VALUE"""),"17526S4")</f>
        <v>17526S4</v>
      </c>
      <c r="AJ729" s="80" t="str">
        <f>IFERROR(__xludf.DUMMYFUNCTION("""COMPUTED_VALUE"""),"692e56165a421f017f09b2e7")</f>
        <v>692e56165a421f017f09b2e7</v>
      </c>
      <c r="AK729" s="80" t="str">
        <f>IFERROR(__xludf.DUMMYFUNCTION("""COMPUTED_VALUE"""),"dm17526s4")</f>
        <v>dm17526s4</v>
      </c>
      <c r="AL729" s="80" t="str">
        <f>IFERROR(__xludf.DUMMYFUNCTION("""COMPUTED_VALUE"""),"#17526Pos")</f>
        <v>#17526Pos</v>
      </c>
      <c r="AM729" s="80" t="str">
        <f>IFERROR(__xludf.DUMMYFUNCTION("""COMPUTED_VALUE"""),"KANTOR REGIONAL II JAKARTA 10004")</f>
        <v>KANTOR REGIONAL II JAKARTA 10004</v>
      </c>
      <c r="AN729" s="80" t="str">
        <f>IFERROR(__xludf.DUMMYFUNCTION("""COMPUTED_VALUE"""),"KC CIKARANG 17500")</f>
        <v>KC CIKARANG 17500</v>
      </c>
      <c r="AO729" s="80" t="str">
        <f>IFERROR(__xludf.DUMMYFUNCTION("""COMPUTED_VALUE"""),"0215011003603")</f>
        <v>0215011003603</v>
      </c>
      <c r="AP729" s="80" t="str">
        <f>IFERROR(__xludf.DUMMYFUNCTION("""COMPUTED_VALUE"""),"02150110036030001")</f>
        <v>02150110036030001</v>
      </c>
      <c r="AQ729" s="83"/>
      <c r="AR729" s="80"/>
      <c r="AS729" s="80"/>
      <c r="AT729" s="80" t="str">
        <f>IFERROR(__xludf.DUMMYFUNCTION("""COMPUTED_VALUE"""),"-6.211947")</f>
        <v>-6.211947</v>
      </c>
      <c r="AU729" s="80" t="str">
        <f>IFERROR(__xludf.DUMMYFUNCTION("""COMPUTED_VALUE"""),"107.096272")</f>
        <v>107.096272</v>
      </c>
      <c r="AV729" s="80"/>
      <c r="AW729" s="80"/>
      <c r="AX729" s="80"/>
      <c r="AY729" s="80"/>
      <c r="AZ729" s="80"/>
      <c r="BA729" s="80"/>
      <c r="BB729" s="80"/>
      <c r="BC729" s="80"/>
      <c r="BD729" s="80"/>
      <c r="BE729" s="80"/>
      <c r="BF729" s="80"/>
      <c r="BG729" s="80"/>
      <c r="BH729" s="80"/>
      <c r="BI729" s="80"/>
      <c r="BJ729" s="80"/>
      <c r="BK729" s="80"/>
      <c r="BL729" s="80"/>
      <c r="BM729" s="80"/>
      <c r="BN729" s="80"/>
      <c r="BO729" s="80"/>
      <c r="BP729" s="80"/>
      <c r="BQ729" s="80"/>
      <c r="BR729" s="80"/>
      <c r="BS729" s="80"/>
      <c r="BT729" s="80"/>
      <c r="BU729" s="80"/>
      <c r="BV729" s="80"/>
      <c r="BW729" s="80"/>
      <c r="BX729" s="80" t="str">
        <f>IFERROR(__xludf.DUMMYFUNCTION("""COMPUTED_VALUE"""),"MULTIKURIR - WAHANA")</f>
        <v>MULTIKURIR - WAHANA</v>
      </c>
      <c r="BY729" s="80"/>
      <c r="BZ729" s="80"/>
      <c r="CA729" s="80"/>
      <c r="CB729" s="80"/>
      <c r="CC729" s="80"/>
      <c r="CD729" s="80"/>
      <c r="CE729" s="80"/>
      <c r="CF729" s="80"/>
      <c r="CG729" s="80"/>
      <c r="CH729" s="80"/>
      <c r="CI729" s="80"/>
      <c r="CJ729" s="80"/>
      <c r="CK729" s="2"/>
    </row>
    <row r="730" ht="12.75" customHeight="1">
      <c r="A730" s="85">
        <f>IFERROR(__xludf.DUMMYFUNCTION("""COMPUTED_VALUE"""),726.0)</f>
        <v>726</v>
      </c>
      <c r="B730" s="85"/>
      <c r="C730" s="85"/>
      <c r="D730" s="86">
        <f>IFERROR(__xludf.DUMMYFUNCTION("""COMPUTED_VALUE"""),45974.0)</f>
        <v>45974</v>
      </c>
      <c r="E730" s="88"/>
      <c r="F730" s="85"/>
      <c r="G730" s="86"/>
      <c r="H730" s="85"/>
      <c r="I730" s="85"/>
      <c r="J730" s="85"/>
      <c r="K730" s="85"/>
      <c r="L730" s="85"/>
      <c r="M730" s="85" t="str">
        <f>IFERROR(__xludf.DUMMYFUNCTION("""COMPUTED_VALUE"""),"ü")</f>
        <v>ü</v>
      </c>
      <c r="N730" s="85"/>
      <c r="O730" s="85"/>
      <c r="P730" s="85" t="str">
        <f>IFERROR(__xludf.DUMMYFUNCTION("""COMPUTED_VALUE"""),"MUCSPA63307PSIND")</f>
        <v>MUCSPA63307PSIND</v>
      </c>
      <c r="Q730" s="85" t="str">
        <f>IFERROR(__xludf.DUMMYFUNCTION("""COMPUTED_VALUE"""),"MUC Sukses Jaya Abadi ")</f>
        <v>MUC Sukses Jaya Abadi </v>
      </c>
      <c r="R730" s="85" t="str">
        <f>IFERROR(__xludf.DUMMYFUNCTION("""COMPUTED_VALUE"""),"MUC Sukses Jaya Abadi ")</f>
        <v>MUC Sukses Jaya Abadi </v>
      </c>
      <c r="S730" s="85" t="str">
        <f>IFERROR(__xludf.DUMMYFUNCTION("""COMPUTED_VALUE"""),"MOHAMAD ROFI")</f>
        <v>MOHAMAD ROFI</v>
      </c>
      <c r="T730" s="85" t="str">
        <f>IFERROR(__xludf.DUMMYFUNCTION("""COMPUTED_VALUE"""),"JL. MALABAR RT.003 RW.002, JUNGJANG, ARJAWINANGUN, KAB. CIREBON")</f>
        <v>JL. MALABAR RT.003 RW.002, JUNGJANG, ARJAWINANGUN, KAB. CIREBON</v>
      </c>
      <c r="U730" s="85" t="str">
        <f>IFERROR(__xludf.DUMMYFUNCTION("""COMPUTED_VALUE"""),"Jalan raya cigasong no 88")</f>
        <v>Jalan raya cigasong no 88</v>
      </c>
      <c r="V730" s="85"/>
      <c r="W730" s="85" t="str">
        <f>IFERROR(__xludf.DUMMYFUNCTION("""COMPUTED_VALUE"""),"Cicenang")</f>
        <v>Cicenang</v>
      </c>
      <c r="X730" s="85" t="str">
        <f>IFERROR(__xludf.DUMMYFUNCTION("""COMPUTED_VALUE"""),"Cigasong")</f>
        <v>Cigasong</v>
      </c>
      <c r="Y730" s="85" t="str">
        <f>IFERROR(__xludf.DUMMYFUNCTION("""COMPUTED_VALUE"""),"Kab. Majalengka")</f>
        <v>Kab. Majalengka</v>
      </c>
      <c r="Z730" s="85" t="str">
        <f>IFERROR(__xludf.DUMMYFUNCTION("""COMPUTED_VALUE"""),"Jawa Barat")</f>
        <v>Jawa Barat</v>
      </c>
      <c r="AA730" s="85" t="str">
        <f>IFERROR(__xludf.DUMMYFUNCTION("""COMPUTED_VALUE"""),"45476")</f>
        <v>45476</v>
      </c>
      <c r="AB730" s="85" t="str">
        <f>IFERROR(__xludf.DUMMYFUNCTION("""COMPUTED_VALUE"""),"3209371401920003")</f>
        <v>3209371401920003</v>
      </c>
      <c r="AC730" s="85" t="str">
        <f>IFERROR(__xludf.DUMMYFUNCTION("""COMPUTED_VALUE"""),"3209 3714 0192 0003")</f>
        <v>3209 3714 0192 0003</v>
      </c>
      <c r="AD730" s="85" t="str">
        <f>IFERROR(__xludf.DUMMYFUNCTION("""COMPUTED_VALUE"""),"PAK NOVY KC MAJALENGKA")</f>
        <v>PAK NOVY KC MAJALENGKA</v>
      </c>
      <c r="AE730" s="85" t="str">
        <f>IFERROR(__xludf.DUMMYFUNCTION("""COMPUTED_VALUE"""),"PAK NOVY KC MAJALENGKA")</f>
        <v>PAK NOVY KC MAJALENGKA</v>
      </c>
      <c r="AF730" s="85" t="str">
        <f>IFERROR(__xludf.DUMMYFUNCTION("""COMPUTED_VALUE"""),"0882001767667")</f>
        <v>0882001767667</v>
      </c>
      <c r="AG730" s="85"/>
      <c r="AH730" s="85" t="str">
        <f>IFERROR(__xludf.DUMMYFUNCTION("""COMPUTED_VALUE"""),"suksesjaya99a@gmail.com")</f>
        <v>suksesjaya99a@gmail.com</v>
      </c>
      <c r="AI730" s="85"/>
      <c r="AJ730" s="85"/>
      <c r="AK730" s="85"/>
      <c r="AL730" s="85"/>
      <c r="AM730" s="85" t="str">
        <f>IFERROR(__xludf.DUMMYFUNCTION("""COMPUTED_VALUE"""),"KANTOR REGIONAL III BANDUNG 40004")</f>
        <v>KANTOR REGIONAL III BANDUNG 40004</v>
      </c>
      <c r="AN730" s="85" t="str">
        <f>IFERROR(__xludf.DUMMYFUNCTION("""COMPUTED_VALUE"""),"KC MAJALENGKA")</f>
        <v>KC MAJALENGKA</v>
      </c>
      <c r="AO730" s="85" t="str">
        <f>IFERROR(__xludf.DUMMYFUNCTION("""COMPUTED_VALUE"""),"-")</f>
        <v>-</v>
      </c>
      <c r="AP730" s="85" t="str">
        <f>IFERROR(__xludf.DUMMYFUNCTION("""COMPUTED_VALUE"""),"-")</f>
        <v>-</v>
      </c>
      <c r="AQ730" s="93"/>
      <c r="AR730" s="85"/>
      <c r="AS730" s="85"/>
      <c r="AT730" s="85" t="str">
        <f>IFERROR(__xludf.DUMMYFUNCTION("""COMPUTED_VALUE"""),"-6.841044")</f>
        <v>-6.841044</v>
      </c>
      <c r="AU730" s="85" t="str">
        <f>IFERROR(__xludf.DUMMYFUNCTION("""COMPUTED_VALUE"""),"108.252078")</f>
        <v>108.252078</v>
      </c>
      <c r="AV730" s="85"/>
      <c r="AW730" s="85"/>
      <c r="AX730" s="85"/>
      <c r="AY730" s="85"/>
      <c r="AZ730" s="85"/>
      <c r="BA730" s="85"/>
      <c r="BB730" s="85"/>
      <c r="BC730" s="85"/>
      <c r="BD730" s="85"/>
      <c r="BE730" s="85"/>
      <c r="BF730" s="85"/>
      <c r="BG730" s="85"/>
      <c r="BH730" s="85"/>
      <c r="BI730" s="85"/>
      <c r="BJ730" s="85"/>
      <c r="BK730" s="85"/>
      <c r="BL730" s="85"/>
      <c r="BM730" s="85"/>
      <c r="BN730" s="85"/>
      <c r="BO730" s="85"/>
      <c r="BP730" s="85"/>
      <c r="BQ730" s="85"/>
      <c r="BR730" s="85"/>
      <c r="BS730" s="85"/>
      <c r="BT730" s="85"/>
      <c r="BU730" s="85"/>
      <c r="BV730" s="85"/>
      <c r="BW730" s="85"/>
      <c r="BX730" s="85" t="str">
        <f>IFERROR(__xludf.DUMMYFUNCTION("""COMPUTED_VALUE"""),"SELLER")</f>
        <v>SELLER</v>
      </c>
      <c r="BY730" s="85"/>
      <c r="BZ730" s="85"/>
      <c r="CA730" s="85"/>
      <c r="CB730" s="85"/>
      <c r="CC730" s="85"/>
      <c r="CD730" s="85"/>
      <c r="CE730" s="85"/>
      <c r="CF730" s="85"/>
      <c r="CG730" s="85"/>
      <c r="CH730" s="85"/>
      <c r="CI730" s="85"/>
      <c r="CJ730" s="85"/>
      <c r="CK730" s="2"/>
    </row>
    <row r="731" ht="12.75" customHeight="1">
      <c r="A731" s="80">
        <f>IFERROR(__xludf.DUMMYFUNCTION("""COMPUTED_VALUE"""),727.0)</f>
        <v>727</v>
      </c>
      <c r="B731" s="80"/>
      <c r="C731" s="80"/>
      <c r="D731" s="81">
        <f>IFERROR(__xludf.DUMMYFUNCTION("""COMPUTED_VALUE"""),45974.0)</f>
        <v>45974</v>
      </c>
      <c r="E731" s="82"/>
      <c r="F731" s="80"/>
      <c r="G731" s="81">
        <f>IFERROR(__xludf.DUMMYFUNCTION("""COMPUTED_VALUE"""),45981.0)</f>
        <v>45981</v>
      </c>
      <c r="H731" s="80"/>
      <c r="I731" s="80"/>
      <c r="J731" s="80"/>
      <c r="K731" s="80"/>
      <c r="L731" s="80">
        <f>IFERROR(__xludf.DUMMYFUNCTION("""COMPUTED_VALUE"""),7.0)</f>
        <v>7</v>
      </c>
      <c r="M731" s="80" t="str">
        <f>IFERROR(__xludf.DUMMYFUNCTION("""COMPUTED_VALUE"""),"ü")</f>
        <v>ü</v>
      </c>
      <c r="N731" s="80"/>
      <c r="O731" s="80"/>
      <c r="P731" s="80" t="str">
        <f>IFERROR(__xludf.DUMMYFUNCTION("""COMPUTED_VALUE"""),"MUCSPA63308PSIND")</f>
        <v>MUCSPA63308PSIND</v>
      </c>
      <c r="Q731" s="80" t="str">
        <f>IFERROR(__xludf.DUMMYFUNCTION("""COMPUTED_VALUE"""),"MUC Sauqie Logistik")</f>
        <v>MUC Sauqie Logistik</v>
      </c>
      <c r="R731" s="80" t="str">
        <f>IFERROR(__xludf.DUMMYFUNCTION("""COMPUTED_VALUE"""),"MUC Sauqie Logistik")</f>
        <v>MUC Sauqie Logistik</v>
      </c>
      <c r="S731" s="80" t="str">
        <f>IFERROR(__xludf.DUMMYFUNCTION("""COMPUTED_VALUE"""),"RIYAN PRADINA")</f>
        <v>RIYAN PRADINA</v>
      </c>
      <c r="T731" s="80" t="str">
        <f>IFERROR(__xludf.DUMMYFUNCTION("""COMPUTED_VALUE"""),"Jl. kigesang plaza kaliwedi no. 6 Desa kaliwedi Kidul Kecamatan Kaliwedi Kabupaten Cirebon")</f>
        <v>Jl. kigesang plaza kaliwedi no. 6 Desa kaliwedi Kidul Kecamatan Kaliwedi Kabupaten Cirebon</v>
      </c>
      <c r="U731" s="80" t="str">
        <f>IFERROR(__xludf.DUMMYFUNCTION("""COMPUTED_VALUE"""),"Jl kigesang RT 10 RW 5")</f>
        <v>Jl kigesang RT 10 RW 5</v>
      </c>
      <c r="V731" s="80"/>
      <c r="W731" s="80" t="str">
        <f>IFERROR(__xludf.DUMMYFUNCTION("""COMPUTED_VALUE"""),"Kaliwedi Kidul")</f>
        <v>Kaliwedi Kidul</v>
      </c>
      <c r="X731" s="80" t="str">
        <f>IFERROR(__xludf.DUMMYFUNCTION("""COMPUTED_VALUE"""),"Kaliwedi")</f>
        <v>Kaliwedi</v>
      </c>
      <c r="Y731" s="80" t="str">
        <f>IFERROR(__xludf.DUMMYFUNCTION("""COMPUTED_VALUE"""),"Cirebon")</f>
        <v>Cirebon</v>
      </c>
      <c r="Z731" s="80" t="str">
        <f>IFERROR(__xludf.DUMMYFUNCTION("""COMPUTED_VALUE"""),"Jawa Barat")</f>
        <v>Jawa Barat</v>
      </c>
      <c r="AA731" s="80" t="str">
        <f>IFERROR(__xludf.DUMMYFUNCTION("""COMPUTED_VALUE"""),"45165")</f>
        <v>45165</v>
      </c>
      <c r="AB731" s="80" t="str">
        <f>IFERROR(__xludf.DUMMYFUNCTION("""COMPUTED_VALUE"""),"3209271511980004")</f>
        <v>3209271511980004</v>
      </c>
      <c r="AC731" s="80" t="str">
        <f>IFERROR(__xludf.DUMMYFUNCTION("""COMPUTED_VALUE"""),"65.492.054.5-455.000")</f>
        <v>65.492.054.5-455.000</v>
      </c>
      <c r="AD731" s="80" t="str">
        <f>IFERROR(__xludf.DUMMYFUNCTION("""COMPUTED_VALUE"""),"BU DEWI KCU CIREBON")</f>
        <v>BU DEWI KCU CIREBON</v>
      </c>
      <c r="AE731" s="80" t="str">
        <f>IFERROR(__xludf.DUMMYFUNCTION("""COMPUTED_VALUE"""),"BU DEWI KCU CIREBON")</f>
        <v>BU DEWI KCU CIREBON</v>
      </c>
      <c r="AF731" s="80" t="str">
        <f>IFERROR(__xludf.DUMMYFUNCTION("""COMPUTED_VALUE"""),"085872572088")</f>
        <v>085872572088</v>
      </c>
      <c r="AG731" s="80"/>
      <c r="AH731" s="80" t="str">
        <f>IFERROR(__xludf.DUMMYFUNCTION("""COMPUTED_VALUE"""),"sauqielogistik@gmail.com")</f>
        <v>sauqielogistik@gmail.com</v>
      </c>
      <c r="AI731" s="80" t="str">
        <f>IFERROR(__xludf.DUMMYFUNCTION("""COMPUTED_VALUE"""),"45665S4")</f>
        <v>45665S4</v>
      </c>
      <c r="AJ731" s="80" t="str">
        <f>IFERROR(__xludf.DUMMYFUNCTION("""COMPUTED_VALUE"""),"691d2dccd19a1233df075746")</f>
        <v>691d2dccd19a1233df075746</v>
      </c>
      <c r="AK731" s="80" t="str">
        <f>IFERROR(__xludf.DUMMYFUNCTION("""COMPUTED_VALUE"""),"dm45665s4")</f>
        <v>dm45665s4</v>
      </c>
      <c r="AL731" s="80" t="str">
        <f>IFERROR(__xludf.DUMMYFUNCTION("""COMPUTED_VALUE"""),"#45665Pos")</f>
        <v>#45665Pos</v>
      </c>
      <c r="AM731" s="80" t="str">
        <f>IFERROR(__xludf.DUMMYFUNCTION("""COMPUTED_VALUE"""),"KANTOR REGIONAL III BANDUNG 40004")</f>
        <v>KANTOR REGIONAL III BANDUNG 40004</v>
      </c>
      <c r="AN731" s="80" t="str">
        <f>IFERROR(__xludf.DUMMYFUNCTION("""COMPUTED_VALUE"""),"KCU CIREBON 45100")</f>
        <v>KCU CIREBON 45100</v>
      </c>
      <c r="AO731" s="80" t="str">
        <f>IFERROR(__xludf.DUMMYFUNCTION("""COMPUTED_VALUE"""),"0206240023317")</f>
        <v>0206240023317</v>
      </c>
      <c r="AP731" s="80" t="str">
        <f>IFERROR(__xludf.DUMMYFUNCTION("""COMPUTED_VALUE"""),"02062400233170001")</f>
        <v>02062400233170001</v>
      </c>
      <c r="AQ731" s="83"/>
      <c r="AR731" s="80"/>
      <c r="AS731" s="80"/>
      <c r="AT731" s="80" t="str">
        <f>IFERROR(__xludf.DUMMYFUNCTION("""COMPUTED_VALUE"""),"-6.595847")</f>
        <v>-6.595847</v>
      </c>
      <c r="AU731" s="80" t="str">
        <f>IFERROR(__xludf.DUMMYFUNCTION("""COMPUTED_VALUE"""),"108.384892")</f>
        <v>108.384892</v>
      </c>
      <c r="AV731" s="80"/>
      <c r="AW731" s="80"/>
      <c r="AX731" s="80"/>
      <c r="AY731" s="80"/>
      <c r="AZ731" s="80"/>
      <c r="BA731" s="80"/>
      <c r="BB731" s="80"/>
      <c r="BC731" s="80"/>
      <c r="BD731" s="80"/>
      <c r="BE731" s="80"/>
      <c r="BF731" s="80"/>
      <c r="BG731" s="80"/>
      <c r="BH731" s="80"/>
      <c r="BI731" s="80"/>
      <c r="BJ731" s="80"/>
      <c r="BK731" s="80"/>
      <c r="BL731" s="80"/>
      <c r="BM731" s="80"/>
      <c r="BN731" s="80"/>
      <c r="BO731" s="80"/>
      <c r="BP731" s="80"/>
      <c r="BQ731" s="80"/>
      <c r="BR731" s="80"/>
      <c r="BS731" s="80"/>
      <c r="BT731" s="80"/>
      <c r="BU731" s="80"/>
      <c r="BV731" s="80"/>
      <c r="BW731" s="80"/>
      <c r="BX731" s="80" t="str">
        <f>IFERROR(__xludf.DUMMYFUNCTION("""COMPUTED_VALUE"""),"MULTIKURI - LION PARCEL - WAHANA")</f>
        <v>MULTIKURI - LION PARCEL - WAHANA</v>
      </c>
      <c r="BY731" s="80"/>
      <c r="BZ731" s="80"/>
      <c r="CA731" s="80"/>
      <c r="CB731" s="80"/>
      <c r="CC731" s="80"/>
      <c r="CD731" s="80"/>
      <c r="CE731" s="80"/>
      <c r="CF731" s="80"/>
      <c r="CG731" s="80"/>
      <c r="CH731" s="80"/>
      <c r="CI731" s="80"/>
      <c r="CJ731" s="80"/>
      <c r="CK731" s="2"/>
    </row>
    <row r="732" ht="12.75" customHeight="1">
      <c r="A732" s="85">
        <f>IFERROR(__xludf.DUMMYFUNCTION("""COMPUTED_VALUE"""),728.0)</f>
        <v>728</v>
      </c>
      <c r="B732" s="85"/>
      <c r="C732" s="85"/>
      <c r="D732" s="86">
        <f>IFERROR(__xludf.DUMMYFUNCTION("""COMPUTED_VALUE"""),45978.0)</f>
        <v>45978</v>
      </c>
      <c r="E732" s="88"/>
      <c r="F732" s="85"/>
      <c r="G732" s="86">
        <f>IFERROR(__xludf.DUMMYFUNCTION("""COMPUTED_VALUE"""),45981.0)</f>
        <v>45981</v>
      </c>
      <c r="H732" s="85"/>
      <c r="I732" s="85"/>
      <c r="J732" s="85"/>
      <c r="K732" s="85"/>
      <c r="L732" s="85">
        <f>IFERROR(__xludf.DUMMYFUNCTION("""COMPUTED_VALUE"""),3.0)</f>
        <v>3</v>
      </c>
      <c r="M732" s="85" t="str">
        <f>IFERROR(__xludf.DUMMYFUNCTION("""COMPUTED_VALUE"""),"ü")</f>
        <v>ü</v>
      </c>
      <c r="N732" s="85"/>
      <c r="O732" s="85"/>
      <c r="P732" s="85" t="str">
        <f>IFERROR(__xludf.DUMMYFUNCTION("""COMPUTED_VALUE"""),"MLO5500058CUMPOS")</f>
        <v>MLO5500058CUMPOS</v>
      </c>
      <c r="Q732" s="85" t="str">
        <f>IFERROR(__xludf.DUMMYFUNCTION("""COMPUTED_VALUE"""),"MUC J GRAGE SHOP")</f>
        <v>MUC J GRAGE SHOP</v>
      </c>
      <c r="R732" s="85" t="str">
        <f>IFERROR(__xludf.DUMMYFUNCTION("""COMPUTED_VALUE"""),"MUC J GRAGE SHOP")</f>
        <v>MUC J GRAGE SHOP</v>
      </c>
      <c r="S732" s="85" t="str">
        <f>IFERROR(__xludf.DUMMYFUNCTION("""COMPUTED_VALUE"""),"Ratih Purwasih")</f>
        <v>Ratih Purwasih</v>
      </c>
      <c r="T732" s="85" t="str">
        <f>IFERROR(__xludf.DUMMYFUNCTION("""COMPUTED_VALUE"""),"Blok B 003/002 Desa Belawa Kec. Lemahabang Kab. Cirebon")</f>
        <v>Blok B 003/002 Desa Belawa Kec. Lemahabang Kab. Cirebon</v>
      </c>
      <c r="U732" s="85" t="str">
        <f>IFERROR(__xludf.DUMMYFUNCTION("""COMPUTED_VALUE"""),"Blok B 003/002 Gg Penggilingan")</f>
        <v>Blok B 003/002 Gg Penggilingan</v>
      </c>
      <c r="V732" s="85"/>
      <c r="W732" s="85" t="str">
        <f>IFERROR(__xludf.DUMMYFUNCTION("""COMPUTED_VALUE"""),"Belawa")</f>
        <v>Belawa</v>
      </c>
      <c r="X732" s="85" t="str">
        <f>IFERROR(__xludf.DUMMYFUNCTION("""COMPUTED_VALUE"""),"Lemahabang")</f>
        <v>Lemahabang</v>
      </c>
      <c r="Y732" s="85" t="str">
        <f>IFERROR(__xludf.DUMMYFUNCTION("""COMPUTED_VALUE"""),"Cirebon ")</f>
        <v>Cirebon </v>
      </c>
      <c r="Z732" s="85" t="str">
        <f>IFERROR(__xludf.DUMMYFUNCTION("""COMPUTED_VALUE"""),"Jawa Barat")</f>
        <v>Jawa Barat</v>
      </c>
      <c r="AA732" s="85" t="str">
        <f>IFERROR(__xludf.DUMMYFUNCTION("""COMPUTED_VALUE"""),"45183")</f>
        <v>45183</v>
      </c>
      <c r="AB732" s="85" t="str">
        <f>IFERROR(__xludf.DUMMYFUNCTION("""COMPUTED_VALUE"""),"3209077007870003")</f>
        <v>3209077007870003</v>
      </c>
      <c r="AC732" s="85" t="str">
        <f>IFERROR(__xludf.DUMMYFUNCTION("""COMPUTED_VALUE"""),"73.181.145.1-426.000")</f>
        <v>73.181.145.1-426.000</v>
      </c>
      <c r="AD732" s="85" t="str">
        <f>IFERROR(__xludf.DUMMYFUNCTION("""COMPUTED_VALUE"""),"CUM - PS - JHR")</f>
        <v>CUM - PS - JHR</v>
      </c>
      <c r="AE732" s="85" t="str">
        <f>IFERROR(__xludf.DUMMYFUNCTION("""COMPUTED_VALUE"""),"SUB JOHAN POS")</f>
        <v>SUB JOHAN POS</v>
      </c>
      <c r="AF732" s="85" t="str">
        <f>IFERROR(__xludf.DUMMYFUNCTION("""COMPUTED_VALUE"""),"085293170209")</f>
        <v>085293170209</v>
      </c>
      <c r="AG732" s="85"/>
      <c r="AH732" s="85" t="str">
        <f>IFERROR(__xludf.DUMMYFUNCTION("""COMPUTED_VALUE"""),"abangfaey12@gmail.com")</f>
        <v>abangfaey12@gmail.com</v>
      </c>
      <c r="AI732" s="85" t="str">
        <f>IFERROR(__xludf.DUMMYFUNCTION("""COMPUTED_VALUE"""),"45683S4")</f>
        <v>45683S4</v>
      </c>
      <c r="AJ732" s="85" t="str">
        <f>IFERROR(__xludf.DUMMYFUNCTION("""COMPUTED_VALUE"""),"691d64a07c62a5e67d0db7fe")</f>
        <v>691d64a07c62a5e67d0db7fe</v>
      </c>
      <c r="AK732" s="85" t="str">
        <f>IFERROR(__xludf.DUMMYFUNCTION("""COMPUTED_VALUE"""),"dm45683s4")</f>
        <v>dm45683s4</v>
      </c>
      <c r="AL732" s="85" t="str">
        <f>IFERROR(__xludf.DUMMYFUNCTION("""COMPUTED_VALUE"""),"#45683Pos")</f>
        <v>#45683Pos</v>
      </c>
      <c r="AM732" s="85" t="str">
        <f>IFERROR(__xludf.DUMMYFUNCTION("""COMPUTED_VALUE"""),"KANTOR REGIONAL III BANDUNG 40004")</f>
        <v>KANTOR REGIONAL III BANDUNG 40004</v>
      </c>
      <c r="AN732" s="85" t="str">
        <f>IFERROR(__xludf.DUMMYFUNCTION("""COMPUTED_VALUE"""),"KCU CIREBON 45100")</f>
        <v>KCU CIREBON 45100</v>
      </c>
      <c r="AO732" s="85" t="str">
        <f>IFERROR(__xludf.DUMMYFUNCTION("""COMPUTED_VALUE"""),"0296010131426")</f>
        <v>0296010131426</v>
      </c>
      <c r="AP732" s="85" t="str">
        <f>IFERROR(__xludf.DUMMYFUNCTION("""COMPUTED_VALUE"""),"02960101314260001")</f>
        <v>02960101314260001</v>
      </c>
      <c r="AQ732" s="93"/>
      <c r="AR732" s="85"/>
      <c r="AS732" s="85"/>
      <c r="AT732" s="85" t="str">
        <f>IFERROR(__xludf.DUMMYFUNCTION("""COMPUTED_VALUE"""),"-6.846263")</f>
        <v>-6.846263</v>
      </c>
      <c r="AU732" s="85" t="str">
        <f>IFERROR(__xludf.DUMMYFUNCTION("""COMPUTED_VALUE"""),"108.623876")</f>
        <v>108.623876</v>
      </c>
      <c r="AV732" s="85"/>
      <c r="AW732" s="85"/>
      <c r="AX732" s="85"/>
      <c r="AY732" s="85"/>
      <c r="AZ732" s="85"/>
      <c r="BA732" s="85"/>
      <c r="BB732" s="85"/>
      <c r="BC732" s="85"/>
      <c r="BD732" s="85"/>
      <c r="BE732" s="85"/>
      <c r="BF732" s="85"/>
      <c r="BG732" s="85"/>
      <c r="BH732" s="85"/>
      <c r="BI732" s="85"/>
      <c r="BJ732" s="85"/>
      <c r="BK732" s="85"/>
      <c r="BL732" s="85"/>
      <c r="BM732" s="85"/>
      <c r="BN732" s="85"/>
      <c r="BO732" s="85"/>
      <c r="BP732" s="85"/>
      <c r="BQ732" s="85"/>
      <c r="BR732" s="85"/>
      <c r="BS732" s="85"/>
      <c r="BT732" s="85"/>
      <c r="BU732" s="85"/>
      <c r="BV732" s="85"/>
      <c r="BW732" s="85"/>
      <c r="BX732" s="85" t="str">
        <f>IFERROR(__xludf.DUMMYFUNCTION("""COMPUTED_VALUE"""),"SELLER")</f>
        <v>SELLER</v>
      </c>
      <c r="BY732" s="85"/>
      <c r="BZ732" s="85"/>
      <c r="CA732" s="85"/>
      <c r="CB732" s="85"/>
      <c r="CC732" s="85"/>
      <c r="CD732" s="85"/>
      <c r="CE732" s="85"/>
      <c r="CF732" s="85"/>
      <c r="CG732" s="85"/>
      <c r="CH732" s="85"/>
      <c r="CI732" s="85"/>
      <c r="CJ732" s="85"/>
      <c r="CK732" s="2"/>
    </row>
    <row r="733" ht="12.75" customHeight="1">
      <c r="A733" s="80">
        <f>IFERROR(__xludf.DUMMYFUNCTION("""COMPUTED_VALUE"""),729.0)</f>
        <v>729</v>
      </c>
      <c r="B733" s="80"/>
      <c r="C733" s="80"/>
      <c r="D733" s="81">
        <f>IFERROR(__xludf.DUMMYFUNCTION("""COMPUTED_VALUE"""),45982.0)</f>
        <v>45982</v>
      </c>
      <c r="E733" s="82"/>
      <c r="F733" s="80"/>
      <c r="G733" s="81">
        <f>IFERROR(__xludf.DUMMYFUNCTION("""COMPUTED_VALUE"""),46006.0)</f>
        <v>46006</v>
      </c>
      <c r="H733" s="80"/>
      <c r="I733" s="80"/>
      <c r="J733" s="80"/>
      <c r="K733" s="80"/>
      <c r="L733" s="80">
        <f>IFERROR(__xludf.DUMMYFUNCTION("""COMPUTED_VALUE"""),24.0)</f>
        <v>24</v>
      </c>
      <c r="M733" s="80" t="str">
        <f>IFERROR(__xludf.DUMMYFUNCTION("""COMPUTED_VALUE"""),"ü")</f>
        <v>ü</v>
      </c>
      <c r="N733" s="80"/>
      <c r="O733" s="80"/>
      <c r="P733" s="80" t="str">
        <f>IFERROR(__xludf.DUMMYFUNCTION("""COMPUTED_VALUE"""),"53BSPA09764JBEEN")</f>
        <v>53BSPA09764JBEEN</v>
      </c>
      <c r="Q733" s="80" t="str">
        <f>IFERROR(__xludf.DUMMYFUNCTION("""COMPUTED_VALUE"""),"MUC Cijawura Ciwastra")</f>
        <v>MUC Cijawura Ciwastra</v>
      </c>
      <c r="R733" s="80" t="str">
        <f>IFERROR(__xludf.DUMMYFUNCTION("""COMPUTED_VALUE"""),"MUC Cijawura Ciwastra")</f>
        <v>MUC Cijawura Ciwastra</v>
      </c>
      <c r="S733" s="80" t="str">
        <f>IFERROR(__xludf.DUMMYFUNCTION("""COMPUTED_VALUE"""),"NINA NURAENI")</f>
        <v>NINA NURAENI</v>
      </c>
      <c r="T733" s="80" t="str">
        <f>IFERROR(__xludf.DUMMYFUNCTION("""COMPUTED_VALUE"""),"NEGLASARI RT.006 RW.008, CIJAURA, BUAHBATU, KOTA BANDUNG")</f>
        <v>NEGLASARI RT.006 RW.008, CIJAURA, BUAHBATU, KOTA BANDUNG</v>
      </c>
      <c r="U733" s="80" t="str">
        <f>IFERROR(__xludf.DUMMYFUNCTION("""COMPUTED_VALUE"""),"Jl. Cijawura Hilir No.50")</f>
        <v>Jl. Cijawura Hilir No.50</v>
      </c>
      <c r="V733" s="80"/>
      <c r="W733" s="80" t="str">
        <f>IFERROR(__xludf.DUMMYFUNCTION("""COMPUTED_VALUE"""),"Cijaura")</f>
        <v>Cijaura</v>
      </c>
      <c r="X733" s="80" t="str">
        <f>IFERROR(__xludf.DUMMYFUNCTION("""COMPUTED_VALUE"""),"Buahbatu")</f>
        <v>Buahbatu</v>
      </c>
      <c r="Y733" s="80" t="str">
        <f>IFERROR(__xludf.DUMMYFUNCTION("""COMPUTED_VALUE"""),"Kota Bandung")</f>
        <v>Kota Bandung</v>
      </c>
      <c r="Z733" s="80" t="str">
        <f>IFERROR(__xludf.DUMMYFUNCTION("""COMPUTED_VALUE"""),"Jawa Barat")</f>
        <v>Jawa Barat</v>
      </c>
      <c r="AA733" s="80" t="str">
        <f>IFERROR(__xludf.DUMMYFUNCTION("""COMPUTED_VALUE"""),"40287")</f>
        <v>40287</v>
      </c>
      <c r="AB733" s="80" t="str">
        <f>IFERROR(__xludf.DUMMYFUNCTION("""COMPUTED_VALUE"""),"3273225112950003")</f>
        <v>3273225112950003</v>
      </c>
      <c r="AC733" s="80" t="str">
        <f>IFERROR(__xludf.DUMMYFUNCTION("""COMPUTED_VALUE"""),"75.879.000.0-429.000")</f>
        <v>75.879.000.0-429.000</v>
      </c>
      <c r="AD733" s="80" t="str">
        <f>IFERROR(__xludf.DUMMYFUNCTION("""COMPUTED_VALUE"""),"CUM - EEN")</f>
        <v>CUM - EEN</v>
      </c>
      <c r="AE733" s="80" t="str">
        <f>IFERROR(__xludf.DUMMYFUNCTION("""COMPUTED_VALUE"""),"SUB EEN")</f>
        <v>SUB EEN</v>
      </c>
      <c r="AF733" s="80" t="str">
        <f>IFERROR(__xludf.DUMMYFUNCTION("""COMPUTED_VALUE"""),"0818991112")</f>
        <v>0818991112</v>
      </c>
      <c r="AG733" s="80"/>
      <c r="AH733" s="80" t="str">
        <f>IFERROR(__xludf.DUMMYFUNCTION("""COMPUTED_VALUE"""),"ninananura@gmail.com")</f>
        <v>ninananura@gmail.com</v>
      </c>
      <c r="AI733" s="80" t="str">
        <f>IFERROR(__xludf.DUMMYFUNCTION("""COMPUTED_VALUE"""),"40286SF")</f>
        <v>40286SF</v>
      </c>
      <c r="AJ733" s="80" t="str">
        <f>IFERROR(__xludf.DUMMYFUNCTION("""COMPUTED_VALUE"""),"6934312e8f180b796606c40c")</f>
        <v>6934312e8f180b796606c40c</v>
      </c>
      <c r="AK733" s="80" t="str">
        <f>IFERROR(__xludf.DUMMYFUNCTION("""COMPUTED_VALUE"""),"ninananura@gmail.com ")</f>
        <v>ninananura@gmail.com </v>
      </c>
      <c r="AL733" s="80" t="str">
        <f>IFERROR(__xludf.DUMMYFUNCTION("""COMPUTED_VALUE"""),"#Des40286$")</f>
        <v>#Des40286$</v>
      </c>
      <c r="AM733" s="80" t="str">
        <f>IFERROR(__xludf.DUMMYFUNCTION("""COMPUTED_VALUE"""),"KANTOR REGIONAL III BANDUNG 40004")</f>
        <v>KANTOR REGIONAL III BANDUNG 40004</v>
      </c>
      <c r="AN733" s="80" t="str">
        <f>IFERROR(__xludf.DUMMYFUNCTION("""COMPUTED_VALUE"""),"KCU BANDUNG 40000")</f>
        <v>KCU BANDUNG 40000</v>
      </c>
      <c r="AO733" s="80" t="str">
        <f>IFERROR(__xludf.DUMMYFUNCTION("""COMPUTED_VALUE"""),"2111250088253")</f>
        <v>2111250088253</v>
      </c>
      <c r="AP733" s="80" t="str">
        <f>IFERROR(__xludf.DUMMYFUNCTION("""COMPUTED_VALUE"""),"21112500882530001")</f>
        <v>21112500882530001</v>
      </c>
      <c r="AQ733" s="83"/>
      <c r="AR733" s="80"/>
      <c r="AS733" s="80"/>
      <c r="AT733" s="80" t="str">
        <f>IFERROR(__xludf.DUMMYFUNCTION("""COMPUTED_VALUE"""),"-6.9599132")</f>
        <v>-6.9599132</v>
      </c>
      <c r="AU733" s="80" t="str">
        <f>IFERROR(__xludf.DUMMYFUNCTION("""COMPUTED_VALUE"""),"107.6558072")</f>
        <v>107.6558072</v>
      </c>
      <c r="AV733" s="80"/>
      <c r="AW733" s="80"/>
      <c r="AX733" s="80"/>
      <c r="AY733" s="80"/>
      <c r="AZ733" s="80"/>
      <c r="BA733" s="80"/>
      <c r="BB733" s="80"/>
      <c r="BC733" s="80"/>
      <c r="BD733" s="80"/>
      <c r="BE733" s="80"/>
      <c r="BF733" s="80"/>
      <c r="BG733" s="80"/>
      <c r="BH733" s="80"/>
      <c r="BI733" s="80"/>
      <c r="BJ733" s="80"/>
      <c r="BK733" s="80"/>
      <c r="BL733" s="80"/>
      <c r="BM733" s="80"/>
      <c r="BN733" s="80"/>
      <c r="BO733" s="80"/>
      <c r="BP733" s="80"/>
      <c r="BQ733" s="80"/>
      <c r="BR733" s="80"/>
      <c r="BS733" s="80"/>
      <c r="BT733" s="80"/>
      <c r="BU733" s="80"/>
      <c r="BV733" s="80"/>
      <c r="BW733" s="80"/>
      <c r="BX733" s="80" t="str">
        <f>IFERROR(__xludf.DUMMYFUNCTION("""COMPUTED_VALUE"""),"MULTIKURIR - WAHANA")</f>
        <v>MULTIKURIR - WAHANA</v>
      </c>
      <c r="BY733" s="80"/>
      <c r="BZ733" s="80"/>
      <c r="CA733" s="80"/>
      <c r="CB733" s="80"/>
      <c r="CC733" s="80"/>
      <c r="CD733" s="80"/>
      <c r="CE733" s="80"/>
      <c r="CF733" s="80"/>
      <c r="CG733" s="80"/>
      <c r="CH733" s="80"/>
      <c r="CI733" s="80"/>
      <c r="CJ733" s="80"/>
      <c r="CK733" s="2"/>
    </row>
    <row r="734" ht="12.75" customHeight="1">
      <c r="A734" s="85">
        <f>IFERROR(__xludf.DUMMYFUNCTION("""COMPUTED_VALUE"""),730.0)</f>
        <v>730</v>
      </c>
      <c r="B734" s="85"/>
      <c r="C734" s="85"/>
      <c r="D734" s="86">
        <f>IFERROR(__xludf.DUMMYFUNCTION("""COMPUTED_VALUE"""),45986.0)</f>
        <v>45986</v>
      </c>
      <c r="E734" s="88"/>
      <c r="F734" s="85"/>
      <c r="G734" s="86">
        <f>IFERROR(__xludf.DUMMYFUNCTION("""COMPUTED_VALUE"""),46007.0)</f>
        <v>46007</v>
      </c>
      <c r="H734" s="85"/>
      <c r="I734" s="85"/>
      <c r="J734" s="85"/>
      <c r="K734" s="85"/>
      <c r="L734" s="85">
        <f>IFERROR(__xludf.DUMMYFUNCTION("""COMPUTED_VALUE"""),21.0)</f>
        <v>21</v>
      </c>
      <c r="M734" s="85" t="str">
        <f>IFERROR(__xludf.DUMMYFUNCTION("""COMPUTED_VALUE"""),"ü")</f>
        <v>ü</v>
      </c>
      <c r="N734" s="85"/>
      <c r="O734" s="85"/>
      <c r="P734" s="85" t="str">
        <f>IFERROR(__xludf.DUMMYFUNCTION("""COMPUTED_VALUE"""),"MUCSPA63309PSIND")</f>
        <v>MUCSPA63309PSIND</v>
      </c>
      <c r="Q734" s="85" t="str">
        <f>IFERROR(__xludf.DUMMYFUNCTION("""COMPUTED_VALUE"""),"MUC JEDENG NUSANTARA EXPRESS")</f>
        <v>MUC JEDENG NUSANTARA EXPRESS</v>
      </c>
      <c r="R734" s="85" t="str">
        <f>IFERROR(__xludf.DUMMYFUNCTION("""COMPUTED_VALUE"""),"MUC JEDENG NUSANTARA EXPRESS")</f>
        <v>MUC JEDENG NUSANTARA EXPRESS</v>
      </c>
      <c r="S734" s="85" t="str">
        <f>IFERROR(__xludf.DUMMYFUNCTION("""COMPUTED_VALUE"""),"KETUT ARIASA")</f>
        <v>KETUT ARIASA</v>
      </c>
      <c r="T734" s="85" t="str">
        <f>IFERROR(__xludf.DUMMYFUNCTION("""COMPUTED_VALUE"""),"RAJEK KIDUL RT.005 RW.023, TIRTOADI, MLATI, KAB. SLEMAN, DIY YOGYAKARTA")</f>
        <v>RAJEK KIDUL RT.005 RW.023, TIRTOADI, MLATI, KAB. SLEMAN, DIY YOGYAKARTA</v>
      </c>
      <c r="U734" s="85" t="str">
        <f>IFERROR(__xludf.DUMMYFUNCTION("""COMPUTED_VALUE"""),"Jl. Pundung No.4a Area Sawah")</f>
        <v>Jl. Pundung No.4a Area Sawah</v>
      </c>
      <c r="V734" s="85"/>
      <c r="W734" s="85" t="str">
        <f>IFERROR(__xludf.DUMMYFUNCTION("""COMPUTED_VALUE"""),"Nogotirto")</f>
        <v>Nogotirto</v>
      </c>
      <c r="X734" s="85" t="str">
        <f>IFERROR(__xludf.DUMMYFUNCTION("""COMPUTED_VALUE"""),"Gamping")</f>
        <v>Gamping</v>
      </c>
      <c r="Y734" s="85" t="str">
        <f>IFERROR(__xludf.DUMMYFUNCTION("""COMPUTED_VALUE"""),"Kabupaten Sleman")</f>
        <v>Kabupaten Sleman</v>
      </c>
      <c r="Z734" s="85" t="str">
        <f>IFERROR(__xludf.DUMMYFUNCTION("""COMPUTED_VALUE"""),"Daerah Istimewa Yogyakarta")</f>
        <v>Daerah Istimewa Yogyakarta</v>
      </c>
      <c r="AA734" s="85" t="str">
        <f>IFERROR(__xludf.DUMMYFUNCTION("""COMPUTED_VALUE"""),"55592 ")</f>
        <v>55592 </v>
      </c>
      <c r="AB734" s="85" t="str">
        <f>IFERROR(__xludf.DUMMYFUNCTION("""COMPUTED_VALUE"""),"3471110403780001")</f>
        <v>3471110403780001</v>
      </c>
      <c r="AC734" s="85" t="str">
        <f>IFERROR(__xludf.DUMMYFUNCTION("""COMPUTED_VALUE"""),"08.975.382.6-541.000")</f>
        <v>08.975.382.6-541.000</v>
      </c>
      <c r="AD734" s="85" t="str">
        <f>IFERROR(__xludf.DUMMYFUNCTION("""COMPUTED_VALUE"""),"CUM - PS - BPKT")</f>
        <v>CUM - PS - BPKT</v>
      </c>
      <c r="AE734" s="85" t="str">
        <f>IFERROR(__xludf.DUMMYFUNCTION("""COMPUTED_VALUE"""),"SUB PURBO POS")</f>
        <v>SUB PURBO POS</v>
      </c>
      <c r="AF734" s="85" t="str">
        <f>IFERROR(__xludf.DUMMYFUNCTION("""COMPUTED_VALUE"""),"08121585792")</f>
        <v>08121585792</v>
      </c>
      <c r="AG734" s="85"/>
      <c r="AH734" s="85" t="str">
        <f>IFERROR(__xludf.DUMMYFUNCTION("""COMPUTED_VALUE"""),"ketutariasa23@gmail.com")</f>
        <v>ketutariasa23@gmail.com</v>
      </c>
      <c r="AI734" s="85" t="str">
        <f>IFERROR(__xludf.DUMMYFUNCTION("""COMPUTED_VALUE"""),"55599SB")</f>
        <v>55599SB</v>
      </c>
      <c r="AJ734" s="85" t="str">
        <f>IFERROR(__xludf.DUMMYFUNCTION("""COMPUTED_VALUE"""),"6940d0c14d815b3b270b6916")</f>
        <v>6940d0c14d815b3b270b6916</v>
      </c>
      <c r="AK734" s="85" t="str">
        <f>IFERROR(__xludf.DUMMYFUNCTION("""COMPUTED_VALUE"""),"ketutariasa23@gmail.com")</f>
        <v>ketutariasa23@gmail.com</v>
      </c>
      <c r="AL734" s="85" t="str">
        <f>IFERROR(__xludf.DUMMYFUNCTION("""COMPUTED_VALUE"""),"#Des55599$")</f>
        <v>#Des55599$</v>
      </c>
      <c r="AM734" s="85" t="str">
        <f>IFERROR(__xludf.DUMMYFUNCTION("""COMPUTED_VALUE"""),"KANTOR REGIONAL IV SEMARANG 50004")</f>
        <v>KANTOR REGIONAL IV SEMARANG 50004</v>
      </c>
      <c r="AN734" s="85" t="str">
        <f>IFERROR(__xludf.DUMMYFUNCTION("""COMPUTED_VALUE"""),"KCU YOGYAKARTA 55000")</f>
        <v>KCU YOGYAKARTA 55000</v>
      </c>
      <c r="AO734" s="85" t="str">
        <f>IFERROR(__xludf.DUMMYFUNCTION("""COMPUTED_VALUE"""),"2511250041964")</f>
        <v>2511250041964</v>
      </c>
      <c r="AP734" s="85" t="str">
        <f>IFERROR(__xludf.DUMMYFUNCTION("""COMPUTED_VALUE"""),"25112500419640001")</f>
        <v>25112500419640001</v>
      </c>
      <c r="AQ734" s="93"/>
      <c r="AR734" s="85"/>
      <c r="AS734" s="85"/>
      <c r="AT734" s="85" t="str">
        <f>IFERROR(__xludf.DUMMYFUNCTION("""COMPUTED_VALUE"""),"-7.766963")</f>
        <v>-7.766963</v>
      </c>
      <c r="AU734" s="85" t="str">
        <f>IFERROR(__xludf.DUMMYFUNCTION("""COMPUTED_VALUE"""),"110.332323")</f>
        <v>110.332323</v>
      </c>
      <c r="AV734" s="85"/>
      <c r="AW734" s="85"/>
      <c r="AX734" s="85"/>
      <c r="AY734" s="85"/>
      <c r="AZ734" s="85"/>
      <c r="BA734" s="85"/>
      <c r="BB734" s="85"/>
      <c r="BC734" s="85"/>
      <c r="BD734" s="85"/>
      <c r="BE734" s="85"/>
      <c r="BF734" s="85"/>
      <c r="BG734" s="85"/>
      <c r="BH734" s="85"/>
      <c r="BI734" s="85"/>
      <c r="BJ734" s="85"/>
      <c r="BK734" s="85"/>
      <c r="BL734" s="85"/>
      <c r="BM734" s="85"/>
      <c r="BN734" s="85"/>
      <c r="BO734" s="85"/>
      <c r="BP734" s="85"/>
      <c r="BQ734" s="85"/>
      <c r="BR734" s="85"/>
      <c r="BS734" s="85"/>
      <c r="BT734" s="85"/>
      <c r="BU734" s="85"/>
      <c r="BV734" s="85"/>
      <c r="BW734" s="85"/>
      <c r="BX734" s="85" t="str">
        <f>IFERROR(__xludf.DUMMYFUNCTION("""COMPUTED_VALUE"""),"MULTIKURIR -JNT CARGO - INDAH CARGO")</f>
        <v>MULTIKURIR -JNT CARGO - INDAH CARGO</v>
      </c>
      <c r="BY734" s="85"/>
      <c r="BZ734" s="85"/>
      <c r="CA734" s="85"/>
      <c r="CB734" s="85"/>
      <c r="CC734" s="85"/>
      <c r="CD734" s="85"/>
      <c r="CE734" s="85"/>
      <c r="CF734" s="85"/>
      <c r="CG734" s="85"/>
      <c r="CH734" s="85"/>
      <c r="CI734" s="85"/>
      <c r="CJ734" s="85"/>
      <c r="CK734" s="2"/>
    </row>
    <row r="735" ht="12.75" customHeight="1">
      <c r="A735" s="80">
        <f>IFERROR(__xludf.DUMMYFUNCTION("""COMPUTED_VALUE"""),731.0)</f>
        <v>731</v>
      </c>
      <c r="B735" s="80"/>
      <c r="C735" s="80"/>
      <c r="D735" s="81">
        <f>IFERROR(__xludf.DUMMYFUNCTION("""COMPUTED_VALUE"""),45987.0)</f>
        <v>45987</v>
      </c>
      <c r="E735" s="82"/>
      <c r="F735" s="80"/>
      <c r="G735" s="81">
        <f>IFERROR(__xludf.DUMMYFUNCTION("""COMPUTED_VALUE"""),45994.0)</f>
        <v>45994</v>
      </c>
      <c r="H735" s="80"/>
      <c r="I735" s="80"/>
      <c r="J735" s="80"/>
      <c r="K735" s="80"/>
      <c r="L735" s="80">
        <f>IFERROR(__xludf.DUMMYFUNCTION("""COMPUTED_VALUE"""),7.0)</f>
        <v>7</v>
      </c>
      <c r="M735" s="80" t="str">
        <f>IFERROR(__xludf.DUMMYFUNCTION("""COMPUTED_VALUE"""),"ü")</f>
        <v>ü</v>
      </c>
      <c r="N735" s="80"/>
      <c r="O735" s="80"/>
      <c r="P735" s="80" t="str">
        <f>IFERROR(__xludf.DUMMYFUNCTION("""COMPUTED_VALUE"""),"52BSPA07811JTYNA")</f>
        <v>52BSPA07811JTYNA</v>
      </c>
      <c r="Q735" s="80" t="str">
        <f>IFERROR(__xludf.DUMMYFUNCTION("""COMPUTED_VALUE"""),"MUC ARYA")</f>
        <v>MUC ARYA</v>
      </c>
      <c r="R735" s="80" t="str">
        <f>IFERROR(__xludf.DUMMYFUNCTION("""COMPUTED_VALUE"""),"MUC ARYA")</f>
        <v>MUC ARYA</v>
      </c>
      <c r="S735" s="80" t="str">
        <f>IFERROR(__xludf.DUMMYFUNCTION("""COMPUTED_VALUE"""),"Aditya Pradana")</f>
        <v>Aditya Pradana</v>
      </c>
      <c r="T735" s="80" t="str">
        <f>IFERROR(__xludf.DUMMYFUNCTION("""COMPUTED_VALUE"""),"Jl. Satria Barat H/351, Rt4 Rw4, Plombokan, Semarang Utara, Kota Semarang, Jawa Tengah")</f>
        <v>Jl. Satria Barat H/351, Rt4 Rw4, Plombokan, Semarang Utara, Kota Semarang, Jawa Tengah</v>
      </c>
      <c r="U735" s="80" t="str">
        <f>IFERROR(__xludf.DUMMYFUNCTION("""COMPUTED_VALUE"""),"Jl. Hasanudin G7B")</f>
        <v>Jl. Hasanudin G7B</v>
      </c>
      <c r="V735" s="80"/>
      <c r="W735" s="80" t="str">
        <f>IFERROR(__xludf.DUMMYFUNCTION("""COMPUTED_VALUE"""),"Purwosari")</f>
        <v>Purwosari</v>
      </c>
      <c r="X735" s="80" t="str">
        <f>IFERROR(__xludf.DUMMYFUNCTION("""COMPUTED_VALUE"""),"Semarang Utara")</f>
        <v>Semarang Utara</v>
      </c>
      <c r="Y735" s="80" t="str">
        <f>IFERROR(__xludf.DUMMYFUNCTION("""COMPUTED_VALUE"""),"Semarang Utara")</f>
        <v>Semarang Utara</v>
      </c>
      <c r="Z735" s="80" t="str">
        <f>IFERROR(__xludf.DUMMYFUNCTION("""COMPUTED_VALUE"""),"Jawa Tengah ")</f>
        <v>Jawa Tengah </v>
      </c>
      <c r="AA735" s="80" t="str">
        <f>IFERROR(__xludf.DUMMYFUNCTION("""COMPUTED_VALUE"""),"50172")</f>
        <v>50172</v>
      </c>
      <c r="AB735" s="80" t="str">
        <f>IFERROR(__xludf.DUMMYFUNCTION("""COMPUTED_VALUE"""),"3374022509850004")</f>
        <v>3374022509850004</v>
      </c>
      <c r="AC735" s="80" t="str">
        <f>IFERROR(__xludf.DUMMYFUNCTION("""COMPUTED_VALUE"""),"74.289.747.3-504.000")</f>
        <v>74.289.747.3-504.000</v>
      </c>
      <c r="AD735" s="80" t="str">
        <f>IFERROR(__xludf.DUMMYFUNCTION("""COMPUTED_VALUE"""),"CUM - YNA")</f>
        <v>CUM - YNA</v>
      </c>
      <c r="AE735" s="80" t="str">
        <f>IFERROR(__xludf.DUMMYFUNCTION("""COMPUTED_VALUE"""),"SUB YOHANNITA")</f>
        <v>SUB YOHANNITA</v>
      </c>
      <c r="AF735" s="80" t="str">
        <f>IFERROR(__xludf.DUMMYFUNCTION("""COMPUTED_VALUE"""),"085876626666")</f>
        <v>085876626666</v>
      </c>
      <c r="AG735" s="80"/>
      <c r="AH735" s="80" t="str">
        <f>IFERROR(__xludf.DUMMYFUNCTION("""COMPUTED_VALUE"""),"badranaya.id@gmail.com")</f>
        <v>badranaya.id@gmail.com</v>
      </c>
      <c r="AI735" s="80" t="str">
        <f>IFERROR(__xludf.DUMMYFUNCTION("""COMPUTED_VALUE"""),"50172S1")</f>
        <v>50172S1</v>
      </c>
      <c r="AJ735" s="80" t="str">
        <f>IFERROR(__xludf.DUMMYFUNCTION("""COMPUTED_VALUE"""),"692f9a24359a0a611201b2ab")</f>
        <v>692f9a24359a0a611201b2ab</v>
      </c>
      <c r="AK735" s="80" t="str">
        <f>IFERROR(__xludf.DUMMYFUNCTION("""COMPUTED_VALUE"""),"dm50172s1")</f>
        <v>dm50172s1</v>
      </c>
      <c r="AL735" s="80" t="str">
        <f>IFERROR(__xludf.DUMMYFUNCTION("""COMPUTED_VALUE"""),"#50172Pos")</f>
        <v>#50172Pos</v>
      </c>
      <c r="AM735" s="80" t="str">
        <f>IFERROR(__xludf.DUMMYFUNCTION("""COMPUTED_VALUE"""),"KANTOR REGIONAL IV SEMARANG 50004")</f>
        <v>KANTOR REGIONAL IV SEMARANG 50004</v>
      </c>
      <c r="AN735" s="80" t="str">
        <f>IFERROR(__xludf.DUMMYFUNCTION("""COMPUTED_VALUE"""),"KCU SEMARANG 50000")</f>
        <v>KCU SEMARANG 50000</v>
      </c>
      <c r="AO735" s="80" t="str">
        <f>IFERROR(__xludf.DUMMYFUNCTION("""COMPUTED_VALUE"""),"1509250120316")</f>
        <v>1509250120316</v>
      </c>
      <c r="AP735" s="80" t="str">
        <f>IFERROR(__xludf.DUMMYFUNCTION("""COMPUTED_VALUE"""),"15092501203160001")</f>
        <v>15092501203160001</v>
      </c>
      <c r="AQ735" s="83"/>
      <c r="AR735" s="80"/>
      <c r="AS735" s="80"/>
      <c r="AT735" s="80" t="str">
        <f>IFERROR(__xludf.DUMMYFUNCTION("""COMPUTED_VALUE"""),"-6.970171")</f>
        <v>-6.970171</v>
      </c>
      <c r="AU735" s="80" t="str">
        <f>IFERROR(__xludf.DUMMYFUNCTION("""COMPUTED_VALUE"""),"110.412241")</f>
        <v>110.412241</v>
      </c>
      <c r="AV735" s="80"/>
      <c r="AW735" s="80"/>
      <c r="AX735" s="80"/>
      <c r="AY735" s="80"/>
      <c r="AZ735" s="80"/>
      <c r="BA735" s="80"/>
      <c r="BB735" s="80"/>
      <c r="BC735" s="80"/>
      <c r="BD735" s="80"/>
      <c r="BE735" s="80"/>
      <c r="BF735" s="80"/>
      <c r="BG735" s="80"/>
      <c r="BH735" s="80"/>
      <c r="BI735" s="80"/>
      <c r="BJ735" s="80"/>
      <c r="BK735" s="80"/>
      <c r="BL735" s="80"/>
      <c r="BM735" s="80"/>
      <c r="BN735" s="80"/>
      <c r="BO735" s="80"/>
      <c r="BP735" s="80"/>
      <c r="BQ735" s="80"/>
      <c r="BR735" s="80"/>
      <c r="BS735" s="80"/>
      <c r="BT735" s="80"/>
      <c r="BU735" s="80"/>
      <c r="BV735" s="80"/>
      <c r="BW735" s="80"/>
      <c r="BX735" s="80" t="str">
        <f>IFERROR(__xludf.DUMMYFUNCTION("""COMPUTED_VALUE"""),"MULTIKURIR - TIKI - LION PARCEL - JNT CARGO - SICEPAT - ID EXPRESS - JNE - NINJA")</f>
        <v>MULTIKURIR - TIKI - LION PARCEL - JNT CARGO - SICEPAT - ID EXPRESS - JNE - NINJA</v>
      </c>
      <c r="BY735" s="80"/>
      <c r="BZ735" s="80"/>
      <c r="CA735" s="80"/>
      <c r="CB735" s="80"/>
      <c r="CC735" s="80"/>
      <c r="CD735" s="80"/>
      <c r="CE735" s="80"/>
      <c r="CF735" s="80"/>
      <c r="CG735" s="80"/>
      <c r="CH735" s="80"/>
      <c r="CI735" s="80"/>
      <c r="CJ735" s="80"/>
      <c r="CK735" s="2"/>
    </row>
    <row r="736" ht="12.75" customHeight="1">
      <c r="A736" s="85">
        <f>IFERROR(__xludf.DUMMYFUNCTION("""COMPUTED_VALUE"""),732.0)</f>
        <v>732</v>
      </c>
      <c r="B736" s="85"/>
      <c r="C736" s="85"/>
      <c r="D736" s="86">
        <f>IFERROR(__xludf.DUMMYFUNCTION("""COMPUTED_VALUE"""),45987.0)</f>
        <v>45987</v>
      </c>
      <c r="E736" s="88"/>
      <c r="F736" s="85"/>
      <c r="G736" s="86">
        <f>IFERROR(__xludf.DUMMYFUNCTION("""COMPUTED_VALUE"""),46000.0)</f>
        <v>46000</v>
      </c>
      <c r="H736" s="85"/>
      <c r="I736" s="85"/>
      <c r="J736" s="85"/>
      <c r="K736" s="85"/>
      <c r="L736" s="85">
        <f>IFERROR(__xludf.DUMMYFUNCTION("""COMPUTED_VALUE"""),13.0)</f>
        <v>13</v>
      </c>
      <c r="M736" s="85" t="str">
        <f>IFERROR(__xludf.DUMMYFUNCTION("""COMPUTED_VALUE"""),"ü")</f>
        <v>ü</v>
      </c>
      <c r="N736" s="85"/>
      <c r="O736" s="85"/>
      <c r="P736" s="85" t="str">
        <f>IFERROR(__xludf.DUMMYFUNCTION("""COMPUTED_VALUE"""),"53BSPA09772JBEEN")</f>
        <v>53BSPA09772JBEEN</v>
      </c>
      <c r="Q736" s="85" t="str">
        <f>IFERROR(__xludf.DUMMYFUNCTION("""COMPUTED_VALUE"""),"MUC KEMBANGAN SELATAN")</f>
        <v>MUC KEMBANGAN SELATAN</v>
      </c>
      <c r="R736" s="85" t="str">
        <f>IFERROR(__xludf.DUMMYFUNCTION("""COMPUTED_VALUE"""),"MUC KEMBANGAN SELATAN")</f>
        <v>MUC KEMBANGAN SELATAN</v>
      </c>
      <c r="S736" s="85" t="str">
        <f>IFERROR(__xludf.DUMMYFUNCTION("""COMPUTED_VALUE"""),"SULTHONY ALI AKBAR")</f>
        <v>SULTHONY ALI AKBAR</v>
      </c>
      <c r="T736" s="85" t="str">
        <f>IFERROR(__xludf.DUMMYFUNCTION("""COMPUTED_VALUE"""),"JL. H. MUCHTAR RAYA NO.3, PETUKANGAN UTARA PESANGGRAHAN, JAKARTA SELATAN")</f>
        <v>JL. H. MUCHTAR RAYA NO.3, PETUKANGAN UTARA PESANGGRAHAN, JAKARTA SELATAN</v>
      </c>
      <c r="U736" s="85" t="str">
        <f>IFERROR(__xludf.DUMMYFUNCTION("""COMPUTED_VALUE"""),"JL. Raya Kembangan Selatan no 2 rt2/1")</f>
        <v>JL. Raya Kembangan Selatan no 2 rt2/1</v>
      </c>
      <c r="V736" s="85"/>
      <c r="W736" s="85" t="str">
        <f>IFERROR(__xludf.DUMMYFUNCTION("""COMPUTED_VALUE"""),"Kembangan Selatan")</f>
        <v>Kembangan Selatan</v>
      </c>
      <c r="X736" s="85" t="str">
        <f>IFERROR(__xludf.DUMMYFUNCTION("""COMPUTED_VALUE"""),"Kembangan")</f>
        <v>Kembangan</v>
      </c>
      <c r="Y736" s="85" t="str">
        <f>IFERROR(__xludf.DUMMYFUNCTION("""COMPUTED_VALUE"""),"Jakarta Barat")</f>
        <v>Jakarta Barat</v>
      </c>
      <c r="Z736" s="85" t="str">
        <f>IFERROR(__xludf.DUMMYFUNCTION("""COMPUTED_VALUE"""),"DKI Jakarta")</f>
        <v>DKI Jakarta</v>
      </c>
      <c r="AA736" s="85" t="str">
        <f>IFERROR(__xludf.DUMMYFUNCTION("""COMPUTED_VALUE"""),"11610")</f>
        <v>11610</v>
      </c>
      <c r="AB736" s="85" t="str">
        <f>IFERROR(__xludf.DUMMYFUNCTION("""COMPUTED_VALUE"""),"3174103006840002")</f>
        <v>3174103006840002</v>
      </c>
      <c r="AC736" s="85" t="str">
        <f>IFERROR(__xludf.DUMMYFUNCTION("""COMPUTED_VALUE"""),"35.419.135.5-013.000")</f>
        <v>35.419.135.5-013.000</v>
      </c>
      <c r="AD736" s="85" t="str">
        <f>IFERROR(__xludf.DUMMYFUNCTION("""COMPUTED_VALUE"""),"CUM - EEN")</f>
        <v>CUM - EEN</v>
      </c>
      <c r="AE736" s="85" t="str">
        <f>IFERROR(__xludf.DUMMYFUNCTION("""COMPUTED_VALUE"""),"SUB EEN")</f>
        <v>SUB EEN</v>
      </c>
      <c r="AF736" s="85" t="str">
        <f>IFERROR(__xludf.DUMMYFUNCTION("""COMPUTED_VALUE"""),"085695431111")</f>
        <v>085695431111</v>
      </c>
      <c r="AG736" s="85"/>
      <c r="AH736" s="85" t="str">
        <f>IFERROR(__xludf.DUMMYFUNCTION("""COMPUTED_VALUE"""),"husein0901@gmail.com")</f>
        <v>husein0901@gmail.com</v>
      </c>
      <c r="AI736" s="85" t="str">
        <f>IFERROR(__xludf.DUMMYFUNCTION("""COMPUTED_VALUE"""),"11610S6")</f>
        <v>11610S6</v>
      </c>
      <c r="AJ736" s="85" t="str">
        <f>IFERROR(__xludf.DUMMYFUNCTION("""COMPUTED_VALUE"""),"693692a878811a12a804c0bf")</f>
        <v>693692a878811a12a804c0bf</v>
      </c>
      <c r="AK736" s="85" t="str">
        <f>IFERROR(__xludf.DUMMYFUNCTION("""COMPUTED_VALUE"""),"dm11610s6")</f>
        <v>dm11610s6</v>
      </c>
      <c r="AL736" s="85" t="str">
        <f>IFERROR(__xludf.DUMMYFUNCTION("""COMPUTED_VALUE"""),"#11610Pos")</f>
        <v>#11610Pos</v>
      </c>
      <c r="AM736" s="85" t="str">
        <f>IFERROR(__xludf.DUMMYFUNCTION("""COMPUTED_VALUE"""),"KANTOR REGIONAL II JAKARTA 10004")</f>
        <v>KANTOR REGIONAL II JAKARTA 10004</v>
      </c>
      <c r="AN736" s="85" t="str">
        <f>IFERROR(__xludf.DUMMYFUNCTION("""COMPUTED_VALUE"""),"KCU JAKARTAOCEANIA 11000")</f>
        <v>KCU JAKARTAOCEANIA 11000</v>
      </c>
      <c r="AO736" s="85" t="str">
        <f>IFERROR(__xludf.DUMMYFUNCTION("""COMPUTED_VALUE"""),"2509250109431")</f>
        <v>2509250109431</v>
      </c>
      <c r="AP736" s="85" t="str">
        <f>IFERROR(__xludf.DUMMYFUNCTION("""COMPUTED_VALUE"""),"25092501094310002")</f>
        <v>25092501094310002</v>
      </c>
      <c r="AQ736" s="93"/>
      <c r="AR736" s="85"/>
      <c r="AS736" s="85"/>
      <c r="AT736" s="85" t="str">
        <f>IFERROR(__xludf.DUMMYFUNCTION("""COMPUTED_VALUE"""),"-6.184214")</f>
        <v>-6.184214</v>
      </c>
      <c r="AU736" s="85" t="str">
        <f>IFERROR(__xludf.DUMMYFUNCTION("""COMPUTED_VALUE"""),"106.728711")</f>
        <v>106.728711</v>
      </c>
      <c r="AV736" s="85"/>
      <c r="AW736" s="85"/>
      <c r="AX736" s="85"/>
      <c r="AY736" s="85"/>
      <c r="AZ736" s="85"/>
      <c r="BA736" s="85"/>
      <c r="BB736" s="85"/>
      <c r="BC736" s="85"/>
      <c r="BD736" s="85"/>
      <c r="BE736" s="85"/>
      <c r="BF736" s="85"/>
      <c r="BG736" s="85"/>
      <c r="BH736" s="85"/>
      <c r="BI736" s="85"/>
      <c r="BJ736" s="85"/>
      <c r="BK736" s="85"/>
      <c r="BL736" s="85"/>
      <c r="BM736" s="85"/>
      <c r="BN736" s="85"/>
      <c r="BO736" s="85"/>
      <c r="BP736" s="85"/>
      <c r="BQ736" s="85"/>
      <c r="BR736" s="85"/>
      <c r="BS736" s="85"/>
      <c r="BT736" s="85"/>
      <c r="BU736" s="85"/>
      <c r="BV736" s="85"/>
      <c r="BW736" s="85"/>
      <c r="BX736" s="85" t="str">
        <f>IFERROR(__xludf.DUMMYFUNCTION("""COMPUTED_VALUE"""),"MULTIKURIR - SPX")</f>
        <v>MULTIKURIR - SPX</v>
      </c>
      <c r="BY736" s="85"/>
      <c r="BZ736" s="85"/>
      <c r="CA736" s="85"/>
      <c r="CB736" s="85"/>
      <c r="CC736" s="85"/>
      <c r="CD736" s="85"/>
      <c r="CE736" s="85"/>
      <c r="CF736" s="85"/>
      <c r="CG736" s="85"/>
      <c r="CH736" s="85"/>
      <c r="CI736" s="85"/>
      <c r="CJ736" s="85"/>
      <c r="CK736" s="2"/>
    </row>
    <row r="737" ht="12.75" customHeight="1">
      <c r="A737" s="80">
        <f>IFERROR(__xludf.DUMMYFUNCTION("""COMPUTED_VALUE"""),733.0)</f>
        <v>733</v>
      </c>
      <c r="B737" s="80"/>
      <c r="C737" s="80"/>
      <c r="D737" s="81">
        <f>IFERROR(__xludf.DUMMYFUNCTION("""COMPUTED_VALUE"""),45993.0)</f>
        <v>45993</v>
      </c>
      <c r="E737" s="82"/>
      <c r="F737" s="80"/>
      <c r="G737" s="81">
        <f>IFERROR(__xludf.DUMMYFUNCTION("""COMPUTED_VALUE"""),46051.0)</f>
        <v>46051</v>
      </c>
      <c r="H737" s="80"/>
      <c r="I737" s="80"/>
      <c r="J737" s="80"/>
      <c r="K737" s="80"/>
      <c r="L737" s="80">
        <f>IFERROR(__xludf.DUMMYFUNCTION("""COMPUTED_VALUE"""),58.0)</f>
        <v>58</v>
      </c>
      <c r="M737" s="80" t="str">
        <f>IFERROR(__xludf.DUMMYFUNCTION("""COMPUTED_VALUE"""),"ü")</f>
        <v>ü</v>
      </c>
      <c r="N737" s="80"/>
      <c r="O737" s="80"/>
      <c r="P737" s="80" t="str">
        <f>IFERROR(__xludf.DUMMYFUNCTION("""COMPUTED_VALUE"""),"53BSPA09770JBEEN")</f>
        <v>53BSPA09770JBEEN</v>
      </c>
      <c r="Q737" s="80" t="str">
        <f>IFERROR(__xludf.DUMMYFUNCTION("""COMPUTED_VALUE"""),"MUC FEBE BONGANGIN")</f>
        <v>MUC FEBE BONGANGIN</v>
      </c>
      <c r="R737" s="80" t="str">
        <f>IFERROR(__xludf.DUMMYFUNCTION("""COMPUTED_VALUE"""),"MUC FEBE BONGANGIN")</f>
        <v>MUC FEBE BONGANGIN</v>
      </c>
      <c r="S737" s="80" t="str">
        <f>IFERROR(__xludf.DUMMYFUNCTION("""COMPUTED_VALUE"""),"DEBORA FEBE WILLIANY")</f>
        <v>DEBORA FEBE WILLIANY</v>
      </c>
      <c r="T737" s="80" t="str">
        <f>IFERROR(__xludf.DUMMYFUNCTION("""COMPUTED_VALUE"""),"BOGANGIN GANG 11/B/8 RT 002 RW 005, KEDURUS, KARANG PILANG, KOTA SURABAYA, JAWA TIMUR")</f>
        <v>BOGANGIN GANG 11/B/8 RT 002 RW 005, KEDURUS, KARANG PILANG, KOTA SURABAYA, JAWA TIMUR</v>
      </c>
      <c r="U737" s="80" t="str">
        <f>IFERROR(__xludf.DUMMYFUNCTION("""COMPUTED_VALUE"""),"Bogangin 2b No.8")</f>
        <v>Bogangin 2b No.8</v>
      </c>
      <c r="V737" s="80"/>
      <c r="W737" s="80" t="str">
        <f>IFERROR(__xludf.DUMMYFUNCTION("""COMPUTED_VALUE"""),"Kedurus")</f>
        <v>Kedurus</v>
      </c>
      <c r="X737" s="80" t="str">
        <f>IFERROR(__xludf.DUMMYFUNCTION("""COMPUTED_VALUE"""),"Karangpilang")</f>
        <v>Karangpilang</v>
      </c>
      <c r="Y737" s="80" t="str">
        <f>IFERROR(__xludf.DUMMYFUNCTION("""COMPUTED_VALUE"""),"Surabaya")</f>
        <v>Surabaya</v>
      </c>
      <c r="Z737" s="80" t="str">
        <f>IFERROR(__xludf.DUMMYFUNCTION("""COMPUTED_VALUE"""),"Jawa Timur")</f>
        <v>Jawa Timur</v>
      </c>
      <c r="AA737" s="80" t="str">
        <f>IFERROR(__xludf.DUMMYFUNCTION("""COMPUTED_VALUE"""),"60223")</f>
        <v>60223</v>
      </c>
      <c r="AB737" s="80" t="str">
        <f>IFERROR(__xludf.DUMMYFUNCTION("""COMPUTED_VALUE"""),"3578014102860001")</f>
        <v>3578014102860001</v>
      </c>
      <c r="AC737" s="80" t="str">
        <f>IFERROR(__xludf.DUMMYFUNCTION("""COMPUTED_VALUE"""),"81.632.600.3-618.000")</f>
        <v>81.632.600.3-618.000</v>
      </c>
      <c r="AD737" s="80" t="str">
        <f>IFERROR(__xludf.DUMMYFUNCTION("""COMPUTED_VALUE"""),"CUM - EEN")</f>
        <v>CUM - EEN</v>
      </c>
      <c r="AE737" s="80" t="str">
        <f>IFERROR(__xludf.DUMMYFUNCTION("""COMPUTED_VALUE"""),"SUB EEN")</f>
        <v>SUB EEN</v>
      </c>
      <c r="AF737" s="80" t="str">
        <f>IFERROR(__xludf.DUMMYFUNCTION("""COMPUTED_VALUE"""),"081232532251")</f>
        <v>081232532251</v>
      </c>
      <c r="AG737" s="80"/>
      <c r="AH737" s="80" t="str">
        <f>IFERROR(__xludf.DUMMYFUNCTION("""COMPUTED_VALUE"""),"deborafebe@gmail.com")</f>
        <v>deborafebe@gmail.com</v>
      </c>
      <c r="AI737" s="80" t="str">
        <f>IFERROR(__xludf.DUMMYFUNCTION("""COMPUTED_VALUE"""),"60223S3")</f>
        <v>60223S3</v>
      </c>
      <c r="AJ737" s="80" t="str">
        <f>IFERROR(__xludf.DUMMYFUNCTION("""COMPUTED_VALUE"""),"69522c4f00f59aa91e02da5c")</f>
        <v>69522c4f00f59aa91e02da5c</v>
      </c>
      <c r="AK737" s="80" t="str">
        <f>IFERROR(__xludf.DUMMYFUNCTION("""COMPUTED_VALUE"""),"deborafebe@gmail.com")</f>
        <v>deborafebe@gmail.com</v>
      </c>
      <c r="AL737" s="80" t="str">
        <f>IFERROR(__xludf.DUMMYFUNCTION("""COMPUTED_VALUE"""),"#Muc60223S3$")</f>
        <v>#Muc60223S3$</v>
      </c>
      <c r="AM737" s="80" t="str">
        <f>IFERROR(__xludf.DUMMYFUNCTION("""COMPUTED_VALUE"""),"KANTOR REGIONAL V SURABAYA 60004")</f>
        <v>KANTOR REGIONAL V SURABAYA 60004</v>
      </c>
      <c r="AN737" s="80" t="str">
        <f>IFERROR(__xludf.DUMMYFUNCTION("""COMPUTED_VALUE"""),"KCU SURABAYA")</f>
        <v>KCU SURABAYA</v>
      </c>
      <c r="AO737" s="80" t="str">
        <f>IFERROR(__xludf.DUMMYFUNCTION("""COMPUTED_VALUE"""),"0112250094541")</f>
        <v>0112250094541</v>
      </c>
      <c r="AP737" s="80" t="str">
        <f>IFERROR(__xludf.DUMMYFUNCTION("""COMPUTED_VALUE"""),"01122500945410001")</f>
        <v>01122500945410001</v>
      </c>
      <c r="AQ737" s="83"/>
      <c r="AR737" s="80"/>
      <c r="AS737" s="80"/>
      <c r="AT737" s="80" t="str">
        <f>IFERROR(__xludf.DUMMYFUNCTION("""COMPUTED_VALUE"""),"-7.324855")</f>
        <v>-7.324855</v>
      </c>
      <c r="AU737" s="80" t="str">
        <f>IFERROR(__xludf.DUMMYFUNCTION("""COMPUTED_VALUE"""),"112.707819")</f>
        <v>112.707819</v>
      </c>
      <c r="AV737" s="80"/>
      <c r="AW737" s="80"/>
      <c r="AX737" s="80"/>
      <c r="AY737" s="80"/>
      <c r="AZ737" s="80"/>
      <c r="BA737" s="80"/>
      <c r="BB737" s="80"/>
      <c r="BC737" s="80"/>
      <c r="BD737" s="80"/>
      <c r="BE737" s="80"/>
      <c r="BF737" s="80"/>
      <c r="BG737" s="80"/>
      <c r="BH737" s="80"/>
      <c r="BI737" s="80"/>
      <c r="BJ737" s="80"/>
      <c r="BK737" s="80"/>
      <c r="BL737" s="80"/>
      <c r="BM737" s="80"/>
      <c r="BN737" s="80"/>
      <c r="BO737" s="80"/>
      <c r="BP737" s="80"/>
      <c r="BQ737" s="80"/>
      <c r="BR737" s="80"/>
      <c r="BS737" s="80"/>
      <c r="BT737" s="80"/>
      <c r="BU737" s="80"/>
      <c r="BV737" s="80"/>
      <c r="BW737" s="80"/>
      <c r="BX737" s="80" t="str">
        <f>IFERROR(__xludf.DUMMYFUNCTION("""COMPUTED_VALUE"""),"MULTIKURIR - WAHANA - SPX")</f>
        <v>MULTIKURIR - WAHANA - SPX</v>
      </c>
      <c r="BY737" s="80"/>
      <c r="BZ737" s="80"/>
      <c r="CA737" s="80"/>
      <c r="CB737" s="80"/>
      <c r="CC737" s="80"/>
      <c r="CD737" s="80"/>
      <c r="CE737" s="80"/>
      <c r="CF737" s="80"/>
      <c r="CG737" s="80"/>
      <c r="CH737" s="80"/>
      <c r="CI737" s="80"/>
      <c r="CJ737" s="80"/>
      <c r="CK737" s="2"/>
    </row>
    <row r="738" ht="12.75" customHeight="1">
      <c r="A738" s="85">
        <f>IFERROR(__xludf.DUMMYFUNCTION("""COMPUTED_VALUE"""),734.0)</f>
        <v>734</v>
      </c>
      <c r="B738" s="85"/>
      <c r="C738" s="85"/>
      <c r="D738" s="86">
        <f>IFERROR(__xludf.DUMMYFUNCTION("""COMPUTED_VALUE"""),45993.0)</f>
        <v>45993</v>
      </c>
      <c r="E738" s="88"/>
      <c r="F738" s="85"/>
      <c r="G738" s="86">
        <f>IFERROR(__xludf.DUMMYFUNCTION("""COMPUTED_VALUE"""),46007.0)</f>
        <v>46007</v>
      </c>
      <c r="H738" s="85"/>
      <c r="I738" s="85"/>
      <c r="J738" s="85"/>
      <c r="K738" s="85"/>
      <c r="L738" s="85">
        <f>IFERROR(__xludf.DUMMYFUNCTION("""COMPUTED_VALUE"""),14.0)</f>
        <v>14</v>
      </c>
      <c r="M738" s="85" t="str">
        <f>IFERROR(__xludf.DUMMYFUNCTION("""COMPUTED_VALUE"""),"ü")</f>
        <v>ü</v>
      </c>
      <c r="N738" s="85"/>
      <c r="O738" s="85"/>
      <c r="P738" s="85" t="str">
        <f>IFERROR(__xludf.DUMMYFUNCTION("""COMPUTED_VALUE"""),"MUCSPA63310PSIND")</f>
        <v>MUCSPA63310PSIND</v>
      </c>
      <c r="Q738" s="85" t="str">
        <f>IFERROR(__xludf.DUMMYFUNCTION("""COMPUTED_VALUE"""),"MUC NGENTAK")</f>
        <v>MUC NGENTAK</v>
      </c>
      <c r="R738" s="85" t="str">
        <f>IFERROR(__xludf.DUMMYFUNCTION("""COMPUTED_VALUE"""),"MUC NGENTAK")</f>
        <v>MUC NGENTAK</v>
      </c>
      <c r="S738" s="85" t="str">
        <f>IFERROR(__xludf.DUMMYFUNCTION("""COMPUTED_VALUE"""),"AAN NUR ROCHMAN")</f>
        <v>AAN NUR ROCHMAN</v>
      </c>
      <c r="T738" s="85" t="str">
        <f>IFERROR(__xludf.DUMMYFUNCTION("""COMPUTED_VALUE"""),"NGENTAK RT 065 RW 000, ARGOREJO SEDAYU BANTUL")</f>
        <v>NGENTAK RT 065 RW 000, ARGOREJO SEDAYU BANTUL</v>
      </c>
      <c r="U738" s="85" t="str">
        <f>IFERROR(__xludf.DUMMYFUNCTION("""COMPUTED_VALUE"""),"NGENTAK")</f>
        <v>NGENTAK</v>
      </c>
      <c r="V738" s="85"/>
      <c r="W738" s="85" t="str">
        <f>IFERROR(__xludf.DUMMYFUNCTION("""COMPUTED_VALUE"""),"ARGOREJO")</f>
        <v>ARGOREJO</v>
      </c>
      <c r="X738" s="85" t="str">
        <f>IFERROR(__xludf.DUMMYFUNCTION("""COMPUTED_VALUE"""),"SEDAYU")</f>
        <v>SEDAYU</v>
      </c>
      <c r="Y738" s="85" t="str">
        <f>IFERROR(__xludf.DUMMYFUNCTION("""COMPUTED_VALUE"""),"KAB. BANTUL")</f>
        <v>KAB. BANTUL</v>
      </c>
      <c r="Z738" s="85" t="str">
        <f>IFERROR(__xludf.DUMMYFUNCTION("""COMPUTED_VALUE"""),"DIY")</f>
        <v>DIY</v>
      </c>
      <c r="AA738" s="85" t="str">
        <f>IFERROR(__xludf.DUMMYFUNCTION("""COMPUTED_VALUE"""),"55752")</f>
        <v>55752</v>
      </c>
      <c r="AB738" s="85" t="str">
        <f>IFERROR(__xludf.DUMMYFUNCTION("""COMPUTED_VALUE"""),"3402172805900001")</f>
        <v>3402172805900001</v>
      </c>
      <c r="AC738" s="85" t="str">
        <f>IFERROR(__xludf.DUMMYFUNCTION("""COMPUTED_VALUE"""),"81.784.723.9-543.000")</f>
        <v>81.784.723.9-543.000</v>
      </c>
      <c r="AD738" s="85" t="str">
        <f>IFERROR(__xludf.DUMMYFUNCTION("""COMPUTED_VALUE"""),"bu ririn kcu yogya")</f>
        <v>bu ririn kcu yogya</v>
      </c>
      <c r="AE738" s="85" t="str">
        <f>IFERROR(__xludf.DUMMYFUNCTION("""COMPUTED_VALUE"""),"BU RIRIN KCU YOGYA")</f>
        <v>BU RIRIN KCU YOGYA</v>
      </c>
      <c r="AF738" s="85" t="str">
        <f>IFERROR(__xludf.DUMMYFUNCTION("""COMPUTED_VALUE"""),"082138110090")</f>
        <v>082138110090</v>
      </c>
      <c r="AG738" s="85"/>
      <c r="AH738" s="85" t="str">
        <f>IFERROR(__xludf.DUMMYFUNCTION("""COMPUTED_VALUE"""),"uundavinci89@gmail.com")</f>
        <v>uundavinci89@gmail.com</v>
      </c>
      <c r="AI738" s="85" t="str">
        <f>IFERROR(__xludf.DUMMYFUNCTION("""COMPUTED_VALUE"""),"55752S1")</f>
        <v>55752S1</v>
      </c>
      <c r="AJ738" s="85" t="str">
        <f>IFERROR(__xludf.DUMMYFUNCTION("""COMPUTED_VALUE"""),"6940e1758dde43afa20538a7")</f>
        <v>6940e1758dde43afa20538a7</v>
      </c>
      <c r="AK738" s="85" t="str">
        <f>IFERROR(__xludf.DUMMYFUNCTION("""COMPUTED_VALUE"""),"uundavinci89")</f>
        <v>uundavinci89</v>
      </c>
      <c r="AL738" s="85" t="str">
        <f>IFERROR(__xludf.DUMMYFUNCTION("""COMPUTED_VALUE"""),"#Des55752$")</f>
        <v>#Des55752$</v>
      </c>
      <c r="AM738" s="85" t="str">
        <f>IFERROR(__xludf.DUMMYFUNCTION("""COMPUTED_VALUE"""),"KANTOR REGIONAL IV SEMARANG 50004")</f>
        <v>KANTOR REGIONAL IV SEMARANG 50004</v>
      </c>
      <c r="AN738" s="85" t="str">
        <f>IFERROR(__xludf.DUMMYFUNCTION("""COMPUTED_VALUE"""),"KCU YOGYAKARTA 55000")</f>
        <v>KCU YOGYAKARTA 55000</v>
      </c>
      <c r="AO738" s="85" t="str">
        <f>IFERROR(__xludf.DUMMYFUNCTION("""COMPUTED_VALUE"""),"0212250085983")</f>
        <v>0212250085983</v>
      </c>
      <c r="AP738" s="85" t="str">
        <f>IFERROR(__xludf.DUMMYFUNCTION("""COMPUTED_VALUE"""),"02122500859830001")</f>
        <v>02122500859830001</v>
      </c>
      <c r="AQ738" s="93"/>
      <c r="AR738" s="85"/>
      <c r="AS738" s="85"/>
      <c r="AT738" s="85" t="str">
        <f>IFERROR(__xludf.DUMMYFUNCTION("""COMPUTED_VALUE"""),"-7.820339")</f>
        <v>-7.820339</v>
      </c>
      <c r="AU738" s="85" t="str">
        <f>IFERROR(__xludf.DUMMYFUNCTION("""COMPUTED_VALUE"""),"110.2590402")</f>
        <v>110.2590402</v>
      </c>
      <c r="AV738" s="85"/>
      <c r="AW738" s="85"/>
      <c r="AX738" s="85"/>
      <c r="AY738" s="85"/>
      <c r="AZ738" s="85"/>
      <c r="BA738" s="85"/>
      <c r="BB738" s="85"/>
      <c r="BC738" s="85"/>
      <c r="BD738" s="85"/>
      <c r="BE738" s="85"/>
      <c r="BF738" s="85"/>
      <c r="BG738" s="85"/>
      <c r="BH738" s="85"/>
      <c r="BI738" s="85"/>
      <c r="BJ738" s="85"/>
      <c r="BK738" s="85"/>
      <c r="BL738" s="85"/>
      <c r="BM738" s="85"/>
      <c r="BN738" s="85"/>
      <c r="BO738" s="85"/>
      <c r="BP738" s="85"/>
      <c r="BQ738" s="85"/>
      <c r="BR738" s="85"/>
      <c r="BS738" s="85"/>
      <c r="BT738" s="85"/>
      <c r="BU738" s="85"/>
      <c r="BV738" s="85"/>
      <c r="BW738" s="85"/>
      <c r="BX738" s="85" t="str">
        <f>IFERROR(__xludf.DUMMYFUNCTION("""COMPUTED_VALUE"""),"NEWBIE")</f>
        <v>NEWBIE</v>
      </c>
      <c r="BY738" s="85"/>
      <c r="BZ738" s="85"/>
      <c r="CA738" s="85"/>
      <c r="CB738" s="85"/>
      <c r="CC738" s="85"/>
      <c r="CD738" s="85"/>
      <c r="CE738" s="85"/>
      <c r="CF738" s="85"/>
      <c r="CG738" s="85"/>
      <c r="CH738" s="85"/>
      <c r="CI738" s="85"/>
      <c r="CJ738" s="85"/>
      <c r="CK738" s="2"/>
    </row>
    <row r="739" ht="12.75" customHeight="1">
      <c r="A739" s="80">
        <f>IFERROR(__xludf.DUMMYFUNCTION("""COMPUTED_VALUE"""),735.0)</f>
        <v>735</v>
      </c>
      <c r="B739" s="80"/>
      <c r="C739" s="80"/>
      <c r="D739" s="81">
        <f>IFERROR(__xludf.DUMMYFUNCTION("""COMPUTED_VALUE"""),45994.0)</f>
        <v>45994</v>
      </c>
      <c r="E739" s="82"/>
      <c r="F739" s="80"/>
      <c r="G739" s="81">
        <f>IFERROR(__xludf.DUMMYFUNCTION("""COMPUTED_VALUE"""),46035.0)</f>
        <v>46035</v>
      </c>
      <c r="H739" s="80"/>
      <c r="I739" s="80"/>
      <c r="J739" s="80"/>
      <c r="K739" s="80"/>
      <c r="L739" s="80">
        <f>IFERROR(__xludf.DUMMYFUNCTION("""COMPUTED_VALUE"""),41.0)</f>
        <v>41</v>
      </c>
      <c r="M739" s="80" t="str">
        <f>IFERROR(__xludf.DUMMYFUNCTION("""COMPUTED_VALUE"""),"ü")</f>
        <v>ü</v>
      </c>
      <c r="N739" s="80"/>
      <c r="O739" s="80"/>
      <c r="P739" s="80" t="str">
        <f>IFERROR(__xludf.DUMMYFUNCTION("""COMPUTED_VALUE"""),"MUCSPA63311PSIND")</f>
        <v>MUCSPA63311PSIND</v>
      </c>
      <c r="Q739" s="80" t="str">
        <f>IFERROR(__xludf.DUMMYFUNCTION("""COMPUTED_VALUE"""),"MUC Masnagaraya")</f>
        <v>MUC Masnagaraya</v>
      </c>
      <c r="R739" s="80" t="str">
        <f>IFERROR(__xludf.DUMMYFUNCTION("""COMPUTED_VALUE"""),"MUC Masnagaraya")</f>
        <v>MUC Masnagaraya</v>
      </c>
      <c r="S739" s="80" t="str">
        <f>IFERROR(__xludf.DUMMYFUNCTION("""COMPUTED_VALUE"""),"LISTIANI LUMINTO")</f>
        <v>LISTIANI LUMINTO</v>
      </c>
      <c r="T739" s="80" t="str">
        <f>IFERROR(__xludf.DUMMYFUNCTION("""COMPUTED_VALUE"""),"JL. MATAHARI RAYA BLOK B.453 RT.001 RW.010, JAKASETIA, BEKASI SELATAN, KOTA BEKASI")</f>
        <v>JL. MATAHARI RAYA BLOK B.453 RT.001 RW.010, JAKASETIA, BEKASI SELATAN, KOTA BEKASI</v>
      </c>
      <c r="U739" s="80" t="str">
        <f>IFERROR(__xludf.DUMMYFUNCTION("""COMPUTED_VALUE"""),"Jl. Matahari Raya, RT.002/RW.010")</f>
        <v>Jl. Matahari Raya, RT.002/RW.010</v>
      </c>
      <c r="V739" s="80"/>
      <c r="W739" s="80" t="str">
        <f>IFERROR(__xludf.DUMMYFUNCTION("""COMPUTED_VALUE"""),"Jaka Setia")</f>
        <v>Jaka Setia</v>
      </c>
      <c r="X739" s="80" t="str">
        <f>IFERROR(__xludf.DUMMYFUNCTION("""COMPUTED_VALUE"""),"Bekasi Selatan")</f>
        <v>Bekasi Selatan</v>
      </c>
      <c r="Y739" s="80" t="str">
        <f>IFERROR(__xludf.DUMMYFUNCTION("""COMPUTED_VALUE"""),"Kota Bekasi")</f>
        <v>Kota Bekasi</v>
      </c>
      <c r="Z739" s="80" t="str">
        <f>IFERROR(__xludf.DUMMYFUNCTION("""COMPUTED_VALUE"""),"Jawa Barat ")</f>
        <v>Jawa Barat </v>
      </c>
      <c r="AA739" s="80" t="str">
        <f>IFERROR(__xludf.DUMMYFUNCTION("""COMPUTED_VALUE"""),"17147")</f>
        <v>17147</v>
      </c>
      <c r="AB739" s="80" t="str">
        <f>IFERROR(__xludf.DUMMYFUNCTION("""COMPUTED_VALUE"""),"3275045101540003")</f>
        <v>3275045101540003</v>
      </c>
      <c r="AC739" s="80" t="str">
        <f>IFERROR(__xludf.DUMMYFUNCTION("""COMPUTED_VALUE"""),"39.865.545.6-427.000")</f>
        <v>39.865.545.6-427.000</v>
      </c>
      <c r="AD739" s="80" t="str">
        <f>IFERROR(__xludf.DUMMYFUNCTION("""COMPUTED_VALUE"""),"CUM - PS - AYS")</f>
        <v>CUM - PS - AYS</v>
      </c>
      <c r="AE739" s="80" t="str">
        <f>IFERROR(__xludf.DUMMYFUNCTION("""COMPUTED_VALUE"""),"SUB YUNUS POS")</f>
        <v>SUB YUNUS POS</v>
      </c>
      <c r="AF739" s="80" t="str">
        <f>IFERROR(__xludf.DUMMYFUNCTION("""COMPUTED_VALUE"""),"081315422565")</f>
        <v>081315422565</v>
      </c>
      <c r="AG739" s="80"/>
      <c r="AH739" s="80" t="str">
        <f>IFERROR(__xludf.DUMMYFUNCTION("""COMPUTED_VALUE"""),"lisluminto0@gmail.com")</f>
        <v>lisluminto0@gmail.com</v>
      </c>
      <c r="AI739" s="80" t="str">
        <f>IFERROR(__xludf.DUMMYFUNCTION("""COMPUTED_VALUE"""),"17147S4")</f>
        <v>17147S4</v>
      </c>
      <c r="AJ739" s="80" t="str">
        <f>IFERROR(__xludf.DUMMYFUNCTION("""COMPUTED_VALUE"""),"6965c1594eb0d3a3490e824f")</f>
        <v>6965c1594eb0d3a3490e824f</v>
      </c>
      <c r="AK739" s="80" t="str">
        <f>IFERROR(__xludf.DUMMYFUNCTION("""COMPUTED_VALUE"""),"lisluminto0@gmail.com")</f>
        <v>lisluminto0@gmail.com</v>
      </c>
      <c r="AL739" s="80" t="str">
        <f>IFERROR(__xludf.DUMMYFUNCTION("""COMPUTED_VALUE"""),"#Muc17147S4$")</f>
        <v>#Muc17147S4$</v>
      </c>
      <c r="AM739" s="80" t="str">
        <f>IFERROR(__xludf.DUMMYFUNCTION("""COMPUTED_VALUE"""),"KANTOR REGIONAL II JAKARTA 10004")</f>
        <v>KANTOR REGIONAL II JAKARTA 10004</v>
      </c>
      <c r="AN739" s="80" t="str">
        <f>IFERROR(__xludf.DUMMYFUNCTION("""COMPUTED_VALUE"""),"KCU BEKASI 17000")</f>
        <v>KCU BEKASI 17000</v>
      </c>
      <c r="AO739" s="80" t="str">
        <f>IFERROR(__xludf.DUMMYFUNCTION("""COMPUTED_VALUE"""),"MENYUSUL")</f>
        <v>MENYUSUL</v>
      </c>
      <c r="AP739" s="80" t="str">
        <f>IFERROR(__xludf.DUMMYFUNCTION("""COMPUTED_VALUE"""),"MENYUSUL")</f>
        <v>MENYUSUL</v>
      </c>
      <c r="AQ739" s="83"/>
      <c r="AR739" s="80"/>
      <c r="AS739" s="80"/>
      <c r="AT739" s="80" t="str">
        <f>IFERROR(__xludf.DUMMYFUNCTION("""COMPUTED_VALUE"""),"-6.256184")</f>
        <v>-6.256184</v>
      </c>
      <c r="AU739" s="80" t="str">
        <f>IFERROR(__xludf.DUMMYFUNCTION("""COMPUTED_VALUE"""),"106.966557")</f>
        <v>106.966557</v>
      </c>
      <c r="AV739" s="80"/>
      <c r="AW739" s="80"/>
      <c r="AX739" s="80"/>
      <c r="AY739" s="80"/>
      <c r="AZ739" s="80"/>
      <c r="BA739" s="80"/>
      <c r="BB739" s="80"/>
      <c r="BC739" s="80"/>
      <c r="BD739" s="80"/>
      <c r="BE739" s="80"/>
      <c r="BF739" s="80"/>
      <c r="BG739" s="80"/>
      <c r="BH739" s="80"/>
      <c r="BI739" s="80"/>
      <c r="BJ739" s="80"/>
      <c r="BK739" s="80"/>
      <c r="BL739" s="80"/>
      <c r="BM739" s="80"/>
      <c r="BN739" s="80"/>
      <c r="BO739" s="80"/>
      <c r="BP739" s="80"/>
      <c r="BQ739" s="80"/>
      <c r="BR739" s="80"/>
      <c r="BS739" s="80"/>
      <c r="BT739" s="80"/>
      <c r="BU739" s="80"/>
      <c r="BV739" s="80"/>
      <c r="BW739" s="80"/>
      <c r="BX739" s="80" t="str">
        <f>IFERROR(__xludf.DUMMYFUNCTION("""COMPUTED_VALUE"""),"POS")</f>
        <v>POS</v>
      </c>
      <c r="BY739" s="80"/>
      <c r="BZ739" s="80"/>
      <c r="CA739" s="80"/>
      <c r="CB739" s="80"/>
      <c r="CC739" s="80"/>
      <c r="CD739" s="80"/>
      <c r="CE739" s="80"/>
      <c r="CF739" s="80"/>
      <c r="CG739" s="80"/>
      <c r="CH739" s="80"/>
      <c r="CI739" s="80"/>
      <c r="CJ739" s="80"/>
      <c r="CK739" s="2"/>
    </row>
    <row r="740" ht="12.75" customHeight="1">
      <c r="A740" s="85">
        <f>IFERROR(__xludf.DUMMYFUNCTION("""COMPUTED_VALUE"""),736.0)</f>
        <v>736</v>
      </c>
      <c r="B740" s="85"/>
      <c r="C740" s="85"/>
      <c r="D740" s="86">
        <f>IFERROR(__xludf.DUMMYFUNCTION("""COMPUTED_VALUE"""),45995.0)</f>
        <v>45995</v>
      </c>
      <c r="E740" s="88"/>
      <c r="F740" s="85"/>
      <c r="G740" s="86">
        <f>IFERROR(__xludf.DUMMYFUNCTION("""COMPUTED_VALUE"""),46007.0)</f>
        <v>46007</v>
      </c>
      <c r="H740" s="85"/>
      <c r="I740" s="85"/>
      <c r="J740" s="85"/>
      <c r="K740" s="85"/>
      <c r="L740" s="85">
        <f>IFERROR(__xludf.DUMMYFUNCTION("""COMPUTED_VALUE"""),12.0)</f>
        <v>12</v>
      </c>
      <c r="M740" s="85" t="str">
        <f>IFERROR(__xludf.DUMMYFUNCTION("""COMPUTED_VALUE"""),"ü")</f>
        <v>ü</v>
      </c>
      <c r="N740" s="85"/>
      <c r="O740" s="85"/>
      <c r="P740" s="85" t="str">
        <f>IFERROR(__xludf.DUMMYFUNCTION("""COMPUTED_VALUE"""),"MUCSPA63312PSIND")</f>
        <v>MUCSPA63312PSIND</v>
      </c>
      <c r="Q740" s="85" t="str">
        <f>IFERROR(__xludf.DUMMYFUNCTION("""COMPUTED_VALUE"""),"MUC SGG")</f>
        <v>MUC SGG</v>
      </c>
      <c r="R740" s="85" t="str">
        <f>IFERROR(__xludf.DUMMYFUNCTION("""COMPUTED_VALUE"""),"MUC SGG")</f>
        <v>MUC SGG</v>
      </c>
      <c r="S740" s="85" t="str">
        <f>IFERROR(__xludf.DUMMYFUNCTION("""COMPUTED_VALUE"""),"Sugeng Gunawan, SE")</f>
        <v>Sugeng Gunawan, SE</v>
      </c>
      <c r="T740" s="85" t="str">
        <f>IFERROR(__xludf.DUMMYFUNCTION("""COMPUTED_VALUE"""),"Jl. Kartini II No.34-A Rt 009 Rw 005")</f>
        <v>Jl. Kartini II No.34-A Rt 009 Rw 005</v>
      </c>
      <c r="U740" s="85" t="str">
        <f>IFERROR(__xludf.DUMMYFUNCTION("""COMPUTED_VALUE"""),"Soho Podomoro City 3617, Jln Lejten S.Parman Kav.28 ")</f>
        <v>Soho Podomoro City 3617, Jln Lejten S.Parman Kav.28 </v>
      </c>
      <c r="V740" s="85"/>
      <c r="W740" s="85" t="str">
        <f>IFERROR(__xludf.DUMMYFUNCTION("""COMPUTED_VALUE"""),"Tanjung Duren Selatan")</f>
        <v>Tanjung Duren Selatan</v>
      </c>
      <c r="X740" s="85" t="str">
        <f>IFERROR(__xludf.DUMMYFUNCTION("""COMPUTED_VALUE"""),"Grogol Petamburan ")</f>
        <v>Grogol Petamburan </v>
      </c>
      <c r="Y740" s="85" t="str">
        <f>IFERROR(__xludf.DUMMYFUNCTION("""COMPUTED_VALUE"""),"Jakarta Barat")</f>
        <v>Jakarta Barat</v>
      </c>
      <c r="Z740" s="85" t="str">
        <f>IFERROR(__xludf.DUMMYFUNCTION("""COMPUTED_VALUE"""),"DKI Jakarta")</f>
        <v>DKI Jakarta</v>
      </c>
      <c r="AA740" s="85" t="str">
        <f>IFERROR(__xludf.DUMMYFUNCTION("""COMPUTED_VALUE"""),"11470")</f>
        <v>11470</v>
      </c>
      <c r="AB740" s="85" t="str">
        <f>IFERROR(__xludf.DUMMYFUNCTION("""COMPUTED_VALUE"""),"3171020312670004")</f>
        <v>3171020312670004</v>
      </c>
      <c r="AC740" s="85" t="str">
        <f>IFERROR(__xludf.DUMMYFUNCTION("""COMPUTED_VALUE"""),"39.298.450.6-036.000")</f>
        <v>39.298.450.6-036.000</v>
      </c>
      <c r="AD740" s="85" t="str">
        <f>IFERROR(__xludf.DUMMYFUNCTION("""COMPUTED_VALUE"""),"CUM - PS - SUSU")</f>
        <v>CUM - PS - SUSU</v>
      </c>
      <c r="AE740" s="85" t="str">
        <f>IFERROR(__xludf.DUMMYFUNCTION("""COMPUTED_VALUE"""),"SUB SUGENG POS")</f>
        <v>SUB SUGENG POS</v>
      </c>
      <c r="AF740" s="85" t="str">
        <f>IFERROR(__xludf.DUMMYFUNCTION("""COMPUTED_VALUE"""),"081298500067")</f>
        <v>081298500067</v>
      </c>
      <c r="AG740" s="85"/>
      <c r="AH740" s="85" t="str">
        <f>IFERROR(__xludf.DUMMYFUNCTION("""COMPUTED_VALUE"""),"saipjaya9@gmail.com")</f>
        <v>saipjaya9@gmail.com</v>
      </c>
      <c r="AI740" s="85" t="str">
        <f>IFERROR(__xludf.DUMMYFUNCTION("""COMPUTED_VALUE"""),"11470S3")</f>
        <v>11470S3</v>
      </c>
      <c r="AJ740" s="85" t="str">
        <f>IFERROR(__xludf.DUMMYFUNCTION("""COMPUTED_VALUE"""),"694107834d4d75c866073797")</f>
        <v>694107834d4d75c866073797</v>
      </c>
      <c r="AK740" s="85" t="str">
        <f>IFERROR(__xludf.DUMMYFUNCTION("""COMPUTED_VALUE"""),"saipjaya9@gmail.com")</f>
        <v>saipjaya9@gmail.com</v>
      </c>
      <c r="AL740" s="85" t="str">
        <f>IFERROR(__xludf.DUMMYFUNCTION("""COMPUTED_VALUE"""),"#Des11470$")</f>
        <v>#Des11470$</v>
      </c>
      <c r="AM740" s="85" t="str">
        <f>IFERROR(__xludf.DUMMYFUNCTION("""COMPUTED_VALUE"""),"KANTOR REGIONAL II JAKARTA 10004")</f>
        <v>KANTOR REGIONAL II JAKARTA 10004</v>
      </c>
      <c r="AN740" s="85" t="str">
        <f>IFERROR(__xludf.DUMMYFUNCTION("""COMPUTED_VALUE"""),"KCU JAKARTAOCEANIA 11000")</f>
        <v>KCU JAKARTAOCEANIA 11000</v>
      </c>
      <c r="AO740" s="85" t="str">
        <f>IFERROR(__xludf.DUMMYFUNCTION("""COMPUTED_VALUE"""),"0412250019552")</f>
        <v>0412250019552</v>
      </c>
      <c r="AP740" s="85" t="str">
        <f>IFERROR(__xludf.DUMMYFUNCTION("""COMPUTED_VALUE"""),"04122500195520001")</f>
        <v>04122500195520001</v>
      </c>
      <c r="AQ740" s="93"/>
      <c r="AR740" s="85"/>
      <c r="AS740" s="85"/>
      <c r="AT740" s="85" t="str">
        <f>IFERROR(__xludf.DUMMYFUNCTION("""COMPUTED_VALUE"""),"-6.175214")</f>
        <v>-6.175214</v>
      </c>
      <c r="AU740" s="85" t="str">
        <f>IFERROR(__xludf.DUMMYFUNCTION("""COMPUTED_VALUE"""),"106.790113")</f>
        <v>106.790113</v>
      </c>
      <c r="AV740" s="85"/>
      <c r="AW740" s="85"/>
      <c r="AX740" s="85"/>
      <c r="AY740" s="85"/>
      <c r="AZ740" s="85"/>
      <c r="BA740" s="85"/>
      <c r="BB740" s="85"/>
      <c r="BC740" s="85"/>
      <c r="BD740" s="85"/>
      <c r="BE740" s="85"/>
      <c r="BF740" s="85"/>
      <c r="BG740" s="85"/>
      <c r="BH740" s="85"/>
      <c r="BI740" s="85"/>
      <c r="BJ740" s="85"/>
      <c r="BK740" s="85"/>
      <c r="BL740" s="85"/>
      <c r="BM740" s="85"/>
      <c r="BN740" s="85"/>
      <c r="BO740" s="85"/>
      <c r="BP740" s="85"/>
      <c r="BQ740" s="85"/>
      <c r="BR740" s="85"/>
      <c r="BS740" s="85"/>
      <c r="BT740" s="85"/>
      <c r="BU740" s="85"/>
      <c r="BV740" s="85"/>
      <c r="BW740" s="85"/>
      <c r="BX740" s="85" t="str">
        <f>IFERROR(__xludf.DUMMYFUNCTION("""COMPUTED_VALUE"""),"NEWBIE")</f>
        <v>NEWBIE</v>
      </c>
      <c r="BY740" s="85"/>
      <c r="BZ740" s="85"/>
      <c r="CA740" s="85"/>
      <c r="CB740" s="85"/>
      <c r="CC740" s="85"/>
      <c r="CD740" s="85"/>
      <c r="CE740" s="85"/>
      <c r="CF740" s="85"/>
      <c r="CG740" s="85"/>
      <c r="CH740" s="85"/>
      <c r="CI740" s="85"/>
      <c r="CJ740" s="85"/>
      <c r="CK740" s="2"/>
    </row>
    <row r="741" ht="12.75" customHeight="1">
      <c r="A741" s="80">
        <f>IFERROR(__xludf.DUMMYFUNCTION("""COMPUTED_VALUE"""),737.0)</f>
        <v>737</v>
      </c>
      <c r="B741" s="80"/>
      <c r="C741" s="80"/>
      <c r="D741" s="81">
        <f>IFERROR(__xludf.DUMMYFUNCTION("""COMPUTED_VALUE"""),46002.0)</f>
        <v>46002</v>
      </c>
      <c r="E741" s="82"/>
      <c r="F741" s="80"/>
      <c r="G741" s="81"/>
      <c r="H741" s="80"/>
      <c r="I741" s="80"/>
      <c r="J741" s="80"/>
      <c r="K741" s="80"/>
      <c r="L741" s="80"/>
      <c r="M741" s="80" t="str">
        <f>IFERROR(__xludf.DUMMYFUNCTION("""COMPUTED_VALUE"""),"ü")</f>
        <v>ü</v>
      </c>
      <c r="N741" s="80"/>
      <c r="O741" s="80"/>
      <c r="P741" s="80" t="str">
        <f>IFERROR(__xludf.DUMMYFUNCTION("""COMPUTED_VALUE"""),"52BSPA07813JTYNA")</f>
        <v>52BSPA07813JTYNA</v>
      </c>
      <c r="Q741" s="80" t="str">
        <f>IFERROR(__xludf.DUMMYFUNCTION("""COMPUTED_VALUE"""),"MUC NGAGLIK")</f>
        <v>MUC NGAGLIK</v>
      </c>
      <c r="R741" s="80" t="str">
        <f>IFERROR(__xludf.DUMMYFUNCTION("""COMPUTED_VALUE"""),"MUC NGAGLIK")</f>
        <v>MUC NGAGLIK</v>
      </c>
      <c r="S741" s="80" t="str">
        <f>IFERROR(__xludf.DUMMYFUNCTION("""COMPUTED_VALUE"""),"ADITYA NOVIANTO")</f>
        <v>ADITYA NOVIANTO</v>
      </c>
      <c r="T741" s="80" t="str">
        <f>IFERROR(__xludf.DUMMYFUNCTION("""COMPUTED_VALUE"""),"Mindi RT 3 RW 13 Sukoharjo Ngaglik Sleman Yogyakarta ")</f>
        <v>Mindi RT 3 RW 13 Sukoharjo Ngaglik Sleman Yogyakarta </v>
      </c>
      <c r="U741" s="80" t="str">
        <f>IFERROR(__xludf.DUMMYFUNCTION("""COMPUTED_VALUE"""),"Jl besi jangkang Km 1,2 Mindi RT 3 RW 13")</f>
        <v>Jl besi jangkang Km 1,2 Mindi RT 3 RW 13</v>
      </c>
      <c r="V741" s="80"/>
      <c r="W741" s="80" t="str">
        <f>IFERROR(__xludf.DUMMYFUNCTION("""COMPUTED_VALUE"""),"Sukoharjo")</f>
        <v>Sukoharjo</v>
      </c>
      <c r="X741" s="80" t="str">
        <f>IFERROR(__xludf.DUMMYFUNCTION("""COMPUTED_VALUE"""),"Ngaglik ")</f>
        <v>Ngaglik </v>
      </c>
      <c r="Y741" s="80" t="str">
        <f>IFERROR(__xludf.DUMMYFUNCTION("""COMPUTED_VALUE"""),"Sleman")</f>
        <v>Sleman</v>
      </c>
      <c r="Z741" s="80" t="str">
        <f>IFERROR(__xludf.DUMMYFUNCTION("""COMPUTED_VALUE"""),"Yogyakarta")</f>
        <v>Yogyakarta</v>
      </c>
      <c r="AA741" s="80" t="str">
        <f>IFERROR(__xludf.DUMMYFUNCTION("""COMPUTED_VALUE"""),"55581")</f>
        <v>55581</v>
      </c>
      <c r="AB741" s="80" t="str">
        <f>IFERROR(__xludf.DUMMYFUNCTION("""COMPUTED_VALUE"""),"3404122811990005")</f>
        <v>3404122811990005</v>
      </c>
      <c r="AC741" s="80" t="str">
        <f>IFERROR(__xludf.DUMMYFUNCTION("""COMPUTED_VALUE"""),"86.677.685.9-424.000")</f>
        <v>86.677.685.9-424.000</v>
      </c>
      <c r="AD741" s="80" t="str">
        <f>IFERROR(__xludf.DUMMYFUNCTION("""COMPUTED_VALUE"""),"CUM - YNA")</f>
        <v>CUM - YNA</v>
      </c>
      <c r="AE741" s="80" t="str">
        <f>IFERROR(__xludf.DUMMYFUNCTION("""COMPUTED_VALUE"""),"SUB YOHANNITA")</f>
        <v>SUB YOHANNITA</v>
      </c>
      <c r="AF741" s="80" t="str">
        <f>IFERROR(__xludf.DUMMYFUNCTION("""COMPUTED_VALUE"""),"0895379153348")</f>
        <v>0895379153348</v>
      </c>
      <c r="AG741" s="80"/>
      <c r="AH741" s="80" t="str">
        <f>IFERROR(__xludf.DUMMYFUNCTION("""COMPUTED_VALUE"""),"adityanovianto2011@gmail.com ")</f>
        <v>adityanovianto2011@gmail.com </v>
      </c>
      <c r="AI741" s="80"/>
      <c r="AJ741" s="80"/>
      <c r="AK741" s="80"/>
      <c r="AL741" s="80"/>
      <c r="AM741" s="80" t="str">
        <f>IFERROR(__xludf.DUMMYFUNCTION("""COMPUTED_VALUE"""),"KANTOR REGIONAL IV SEMARANG 50004")</f>
        <v>KANTOR REGIONAL IV SEMARANG 50004</v>
      </c>
      <c r="AN741" s="80" t="str">
        <f>IFERROR(__xludf.DUMMYFUNCTION("""COMPUTED_VALUE"""),"KCU YOGYAKARTA 55000")</f>
        <v>KCU YOGYAKARTA 55000</v>
      </c>
      <c r="AO741" s="80" t="str">
        <f>IFERROR(__xludf.DUMMYFUNCTION("""COMPUTED_VALUE"""),"1212210009476")</f>
        <v>1212210009476</v>
      </c>
      <c r="AP741" s="80" t="str">
        <f>IFERROR(__xludf.DUMMYFUNCTION("""COMPUTED_VALUE"""),"12122100094760001")</f>
        <v>12122100094760001</v>
      </c>
      <c r="AQ741" s="83"/>
      <c r="AR741" s="80"/>
      <c r="AS741" s="80"/>
      <c r="AT741" s="80" t="str">
        <f>IFERROR(__xludf.DUMMYFUNCTION("""COMPUTED_VALUE"""),"-7.704689")</f>
        <v>-7.704689</v>
      </c>
      <c r="AU741" s="80" t="str">
        <f>IFERROR(__xludf.DUMMYFUNCTION("""COMPUTED_VALUE"""),"110.428816")</f>
        <v>110.428816</v>
      </c>
      <c r="AV741" s="80"/>
      <c r="AW741" s="80"/>
      <c r="AX741" s="80"/>
      <c r="AY741" s="80"/>
      <c r="AZ741" s="80"/>
      <c r="BA741" s="80"/>
      <c r="BB741" s="80"/>
      <c r="BC741" s="80"/>
      <c r="BD741" s="80"/>
      <c r="BE741" s="80"/>
      <c r="BF741" s="80"/>
      <c r="BG741" s="80"/>
      <c r="BH741" s="80"/>
      <c r="BI741" s="80"/>
      <c r="BJ741" s="80"/>
      <c r="BK741" s="80"/>
      <c r="BL741" s="80"/>
      <c r="BM741" s="80"/>
      <c r="BN741" s="80"/>
      <c r="BO741" s="80"/>
      <c r="BP741" s="80"/>
      <c r="BQ741" s="80"/>
      <c r="BR741" s="80"/>
      <c r="BS741" s="80"/>
      <c r="BT741" s="80"/>
      <c r="BU741" s="80"/>
      <c r="BV741" s="80"/>
      <c r="BW741" s="80"/>
      <c r="BX741" s="80" t="str">
        <f>IFERROR(__xludf.DUMMYFUNCTION("""COMPUTED_VALUE"""),"MULTIKURIR - TIKI")</f>
        <v>MULTIKURIR - TIKI</v>
      </c>
      <c r="BY741" s="80"/>
      <c r="BZ741" s="80"/>
      <c r="CA741" s="80"/>
      <c r="CB741" s="80"/>
      <c r="CC741" s="80"/>
      <c r="CD741" s="80"/>
      <c r="CE741" s="80"/>
      <c r="CF741" s="80"/>
      <c r="CG741" s="80"/>
      <c r="CH741" s="80"/>
      <c r="CI741" s="80"/>
      <c r="CJ741" s="80"/>
      <c r="CK741" s="2"/>
    </row>
    <row r="742" ht="12.75" customHeight="1">
      <c r="A742" s="85">
        <f>IFERROR(__xludf.DUMMYFUNCTION("""COMPUTED_VALUE"""),738.0)</f>
        <v>738</v>
      </c>
      <c r="B742" s="85"/>
      <c r="C742" s="85"/>
      <c r="D742" s="86">
        <f>IFERROR(__xludf.DUMMYFUNCTION("""COMPUTED_VALUE"""),46007.0)</f>
        <v>46007</v>
      </c>
      <c r="E742" s="88"/>
      <c r="F742" s="85"/>
      <c r="G742" s="86">
        <f>IFERROR(__xludf.DUMMYFUNCTION("""COMPUTED_VALUE"""),46090.0)</f>
        <v>46090</v>
      </c>
      <c r="H742" s="85"/>
      <c r="I742" s="85"/>
      <c r="J742" s="85"/>
      <c r="K742" s="85"/>
      <c r="L742" s="85">
        <f>IFERROR(__xludf.DUMMYFUNCTION("""COMPUTED_VALUE"""),83.0)</f>
        <v>83</v>
      </c>
      <c r="M742" s="85" t="str">
        <f>IFERROR(__xludf.DUMMYFUNCTION("""COMPUTED_VALUE"""),"ü")</f>
        <v>ü</v>
      </c>
      <c r="N742" s="85"/>
      <c r="O742" s="85"/>
      <c r="P742" s="85" t="str">
        <f>IFERROR(__xludf.DUMMYFUNCTION("""COMPUTED_VALUE"""),"MUCSPA63313PSIND")</f>
        <v>MUCSPA63313PSIND</v>
      </c>
      <c r="Q742" s="85" t="str">
        <f>IFERROR(__xludf.DUMMYFUNCTION("""COMPUTED_VALUE"""),"MUC Nizam Cell")</f>
        <v>MUC Nizam Cell</v>
      </c>
      <c r="R742" s="85" t="str">
        <f>IFERROR(__xludf.DUMMYFUNCTION("""COMPUTED_VALUE"""),"MUC Nizam Cell")</f>
        <v>MUC Nizam Cell</v>
      </c>
      <c r="S742" s="85" t="str">
        <f>IFERROR(__xludf.DUMMYFUNCTION("""COMPUTED_VALUE"""),"Rahmat Akbar")</f>
        <v>Rahmat Akbar</v>
      </c>
      <c r="T742" s="85" t="str">
        <f>IFERROR(__xludf.DUMMYFUNCTION("""COMPUTED_VALUE"""),"Mesjid Baro, Samatiga, Aceh Barat")</f>
        <v>Mesjid Baro, Samatiga, Aceh Barat</v>
      </c>
      <c r="U742" s="85" t="str">
        <f>IFERROR(__xludf.DUMMYFUNCTION("""COMPUTED_VALUE"""),"Jalan Meulaboh - Kuala Bhee.")</f>
        <v>Jalan Meulaboh - Kuala Bhee.</v>
      </c>
      <c r="V742" s="85"/>
      <c r="W742" s="85" t="str">
        <f>IFERROR(__xludf.DUMMYFUNCTION("""COMPUTED_VALUE"""),"Reusak")</f>
        <v>Reusak</v>
      </c>
      <c r="X742" s="85" t="str">
        <f>IFERROR(__xludf.DUMMYFUNCTION("""COMPUTED_VALUE"""),"Samatiga")</f>
        <v>Samatiga</v>
      </c>
      <c r="Y742" s="85" t="str">
        <f>IFERROR(__xludf.DUMMYFUNCTION("""COMPUTED_VALUE"""),"Aceh Barat")</f>
        <v>Aceh Barat</v>
      </c>
      <c r="Z742" s="85" t="str">
        <f>IFERROR(__xludf.DUMMYFUNCTION("""COMPUTED_VALUE"""),"Aceh")</f>
        <v>Aceh</v>
      </c>
      <c r="AA742" s="85" t="str">
        <f>IFERROR(__xludf.DUMMYFUNCTION("""COMPUTED_VALUE"""),"23650")</f>
        <v>23650</v>
      </c>
      <c r="AB742" s="85" t="str">
        <f>IFERROR(__xludf.DUMMYFUNCTION("""COMPUTED_VALUE"""),"1107062206910001")</f>
        <v>1107062206910001</v>
      </c>
      <c r="AC742" s="85" t="str">
        <f>IFERROR(__xludf.DUMMYFUNCTION("""COMPUTED_VALUE"""),"84.066.907.1-101.000")</f>
        <v>84.066.907.1-101.000</v>
      </c>
      <c r="AD742" s="85" t="str">
        <f>IFERROR(__xludf.DUMMYFUNCTION("""COMPUTED_VALUE"""),"CUM - PS - SRMI")</f>
        <v>CUM - PS - SRMI</v>
      </c>
      <c r="AE742" s="85" t="str">
        <f>IFERROR(__xludf.DUMMYFUNCTION("""COMPUTED_VALUE"""),"MALIK MEULABOH")</f>
        <v>MALIK MEULABOH</v>
      </c>
      <c r="AF742" s="85" t="str">
        <f>IFERROR(__xludf.DUMMYFUNCTION("""COMPUTED_VALUE"""),"087777924455")</f>
        <v>087777924455</v>
      </c>
      <c r="AG742" s="85"/>
      <c r="AH742" s="85" t="str">
        <f>IFERROR(__xludf.DUMMYFUNCTION("""COMPUTED_VALUE"""),"tokonizam.cell@gmail.com")</f>
        <v>tokonizam.cell@gmail.com</v>
      </c>
      <c r="AI742" s="85" t="str">
        <f>IFERROR(__xludf.DUMMYFUNCTION("""COMPUTED_VALUE"""),"23652S1")</f>
        <v>23652S1</v>
      </c>
      <c r="AJ742" s="85" t="str">
        <f>IFERROR(__xludf.DUMMYFUNCTION("""COMPUTED_VALUE"""),"69ae4eb439801518cd037752")</f>
        <v>69ae4eb439801518cd037752</v>
      </c>
      <c r="AK742" s="85" t="str">
        <f>IFERROR(__xludf.DUMMYFUNCTION("""COMPUTED_VALUE"""),"tokonizam.cell@gmail.com")</f>
        <v>tokonizam.cell@gmail.com</v>
      </c>
      <c r="AL742" s="85" t="str">
        <f>IFERROR(__xludf.DUMMYFUNCTION("""COMPUTED_VALUE"""),"#Muc23652S1$")</f>
        <v>#Muc23652S1$</v>
      </c>
      <c r="AM742" s="85" t="str">
        <f>IFERROR(__xludf.DUMMYFUNCTION("""COMPUTED_VALUE"""),"KANTOR REGIONAL I MEDAN 20004")</f>
        <v>KANTOR REGIONAL I MEDAN 20004</v>
      </c>
      <c r="AN742" s="85" t="str">
        <f>IFERROR(__xludf.DUMMYFUNCTION("""COMPUTED_VALUE"""),"KC MEULABOH")</f>
        <v>KC MEULABOH</v>
      </c>
      <c r="AO742" s="85" t="str">
        <f>IFERROR(__xludf.DUMMYFUNCTION("""COMPUTED_VALUE"""),"MENYUSUL")</f>
        <v>MENYUSUL</v>
      </c>
      <c r="AP742" s="85" t="str">
        <f>IFERROR(__xludf.DUMMYFUNCTION("""COMPUTED_VALUE"""),"MENYUSUL")</f>
        <v>MENYUSUL</v>
      </c>
      <c r="AQ742" s="93"/>
      <c r="AR742" s="85"/>
      <c r="AS742" s="85"/>
      <c r="AT742" s="85" t="str">
        <f>IFERROR(__xludf.DUMMYFUNCTION("""COMPUTED_VALUE"""),"4.250836")</f>
        <v>4.250836</v>
      </c>
      <c r="AU742" s="85" t="str">
        <f>IFERROR(__xludf.DUMMYFUNCTION("""COMPUTED_VALUE"""),"96.063301")</f>
        <v>96.063301</v>
      </c>
      <c r="AV742" s="85"/>
      <c r="AW742" s="85"/>
      <c r="AX742" s="85"/>
      <c r="AY742" s="85"/>
      <c r="AZ742" s="85"/>
      <c r="BA742" s="85"/>
      <c r="BB742" s="85"/>
      <c r="BC742" s="85"/>
      <c r="BD742" s="85"/>
      <c r="BE742" s="85"/>
      <c r="BF742" s="85"/>
      <c r="BG742" s="85"/>
      <c r="BH742" s="85"/>
      <c r="BI742" s="85"/>
      <c r="BJ742" s="85"/>
      <c r="BK742" s="85"/>
      <c r="BL742" s="85"/>
      <c r="BM742" s="85"/>
      <c r="BN742" s="85"/>
      <c r="BO742" s="85"/>
      <c r="BP742" s="85"/>
      <c r="BQ742" s="85"/>
      <c r="BR742" s="85"/>
      <c r="BS742" s="85"/>
      <c r="BT742" s="85"/>
      <c r="BU742" s="85"/>
      <c r="BV742" s="85"/>
      <c r="BW742" s="85"/>
      <c r="BX742" s="85" t="str">
        <f>IFERROR(__xludf.DUMMYFUNCTION("""COMPUTED_VALUE"""),"NEWBIE")</f>
        <v>NEWBIE</v>
      </c>
      <c r="BY742" s="85"/>
      <c r="BZ742" s="85"/>
      <c r="CA742" s="85"/>
      <c r="CB742" s="85"/>
      <c r="CC742" s="85"/>
      <c r="CD742" s="85"/>
      <c r="CE742" s="85"/>
      <c r="CF742" s="85"/>
      <c r="CG742" s="85"/>
      <c r="CH742" s="85"/>
      <c r="CI742" s="85"/>
      <c r="CJ742" s="85"/>
      <c r="CK742" s="2"/>
    </row>
    <row r="743" ht="12.75" customHeight="1">
      <c r="A743" s="80">
        <f>IFERROR(__xludf.DUMMYFUNCTION("""COMPUTED_VALUE"""),739.0)</f>
        <v>739</v>
      </c>
      <c r="B743" s="80"/>
      <c r="C743" s="80"/>
      <c r="D743" s="81">
        <f>IFERROR(__xludf.DUMMYFUNCTION("""COMPUTED_VALUE"""),46007.0)</f>
        <v>46007</v>
      </c>
      <c r="E743" s="82"/>
      <c r="F743" s="80"/>
      <c r="G743" s="81">
        <f>IFERROR(__xludf.DUMMYFUNCTION("""COMPUTED_VALUE"""),46034.0)</f>
        <v>46034</v>
      </c>
      <c r="H743" s="80"/>
      <c r="I743" s="80"/>
      <c r="J743" s="80"/>
      <c r="K743" s="80"/>
      <c r="L743" s="80">
        <f>IFERROR(__xludf.DUMMYFUNCTION("""COMPUTED_VALUE"""),27.0)</f>
        <v>27</v>
      </c>
      <c r="M743" s="80" t="str">
        <f>IFERROR(__xludf.DUMMYFUNCTION("""COMPUTED_VALUE"""),"ü")</f>
        <v>ü</v>
      </c>
      <c r="N743" s="80"/>
      <c r="O743" s="80"/>
      <c r="P743" s="80" t="str">
        <f>IFERROR(__xludf.DUMMYFUNCTION("""COMPUTED_VALUE"""),"53BSPA09766JBEEN")</f>
        <v>53BSPA09766JBEEN</v>
      </c>
      <c r="Q743" s="80" t="str">
        <f>IFERROR(__xludf.DUMMYFUNCTION("""COMPUTED_VALUE"""),"MUC METLAND CILEUNGSI AB14")</f>
        <v>MUC METLAND CILEUNGSI AB14</v>
      </c>
      <c r="R743" s="80" t="str">
        <f>IFERROR(__xludf.DUMMYFUNCTION("""COMPUTED_VALUE"""),"MUC METLAND CILEUNGSI AB14")</f>
        <v>MUC METLAND CILEUNGSI AB14</v>
      </c>
      <c r="S743" s="80" t="str">
        <f>IFERROR(__xludf.DUMMYFUNCTION("""COMPUTED_VALUE"""),"DUMA ROHANI HUTAGALUNG")</f>
        <v>DUMA ROHANI HUTAGALUNG</v>
      </c>
      <c r="T743" s="80" t="str">
        <f>IFERROR(__xludf.DUMMYFUNCTION("""COMPUTED_VALUE"""),"TAMAN CILEUNGSI AB.4/14 RT.002 RW.010, CIPENJO, CILEUNGSI, KAB. BOGOR")</f>
        <v>TAMAN CILEUNGSI AB.4/14 RT.002 RW.010, CIPENJO, CILEUNGSI, KAB. BOGOR</v>
      </c>
      <c r="U743" s="80" t="str">
        <f>IFERROR(__xludf.DUMMYFUNCTION("""COMPUTED_VALUE"""),"METLAND CILEUNGSI BLOK AB 14 NO 11 RT 2 RW 10")</f>
        <v>METLAND CILEUNGSI BLOK AB 14 NO 11 RT 2 RW 10</v>
      </c>
      <c r="V743" s="80"/>
      <c r="W743" s="80" t="str">
        <f>IFERROR(__xludf.DUMMYFUNCTION("""COMPUTED_VALUE"""),"CIPENJO")</f>
        <v>CIPENJO</v>
      </c>
      <c r="X743" s="80" t="str">
        <f>IFERROR(__xludf.DUMMYFUNCTION("""COMPUTED_VALUE"""),"CILEUNGSI ")</f>
        <v>CILEUNGSI </v>
      </c>
      <c r="Y743" s="80" t="str">
        <f>IFERROR(__xludf.DUMMYFUNCTION("""COMPUTED_VALUE"""),"KAB. BOGOR")</f>
        <v>KAB. BOGOR</v>
      </c>
      <c r="Z743" s="80" t="str">
        <f>IFERROR(__xludf.DUMMYFUNCTION("""COMPUTED_VALUE"""),"JAWA BARAT")</f>
        <v>JAWA BARAT</v>
      </c>
      <c r="AA743" s="80" t="str">
        <f>IFERROR(__xludf.DUMMYFUNCTION("""COMPUTED_VALUE"""),"16820")</f>
        <v>16820</v>
      </c>
      <c r="AB743" s="80" t="str">
        <f>IFERROR(__xludf.DUMMYFUNCTION("""COMPUTED_VALUE"""),"3201076305750006")</f>
        <v>3201076305750006</v>
      </c>
      <c r="AC743" s="80" t="str">
        <f>IFERROR(__xludf.DUMMYFUNCTION("""COMPUTED_VALUE"""),"46.069.717.0-436.999")</f>
        <v>46.069.717.0-436.999</v>
      </c>
      <c r="AD743" s="80" t="str">
        <f>IFERROR(__xludf.DUMMYFUNCTION("""COMPUTED_VALUE"""),"CUM - EEN")</f>
        <v>CUM - EEN</v>
      </c>
      <c r="AE743" s="80" t="str">
        <f>IFERROR(__xludf.DUMMYFUNCTION("""COMPUTED_VALUE"""),"SUB EEN")</f>
        <v>SUB EEN</v>
      </c>
      <c r="AF743" s="80" t="str">
        <f>IFERROR(__xludf.DUMMYFUNCTION("""COMPUTED_VALUE"""),"081314731404")</f>
        <v>081314731404</v>
      </c>
      <c r="AG743" s="80"/>
      <c r="AH743" s="80" t="str">
        <f>IFERROR(__xludf.DUMMYFUNCTION("""COMPUTED_VALUE"""),"dumarohani23@gmail.com")</f>
        <v>dumarohani23@gmail.com</v>
      </c>
      <c r="AI743" s="80" t="str">
        <f>IFERROR(__xludf.DUMMYFUNCTION("""COMPUTED_VALUE"""),"16827S4")</f>
        <v>16827S4</v>
      </c>
      <c r="AJ743" s="80" t="str">
        <f>IFERROR(__xludf.DUMMYFUNCTION("""COMPUTED_VALUE"""),"6961d6530914f6d6b4028fd9")</f>
        <v>6961d6530914f6d6b4028fd9</v>
      </c>
      <c r="AK743" s="80" t="str">
        <f>IFERROR(__xludf.DUMMYFUNCTION("""COMPUTED_VALUE"""),"dumarohani23@gmail.com")</f>
        <v>dumarohani23@gmail.com</v>
      </c>
      <c r="AL743" s="80" t="str">
        <f>IFERROR(__xludf.DUMMYFUNCTION("""COMPUTED_VALUE"""),"#Muc16827S4$")</f>
        <v>#Muc16827S4$</v>
      </c>
      <c r="AM743" s="80" t="str">
        <f>IFERROR(__xludf.DUMMYFUNCTION("""COMPUTED_VALUE"""),"KANTOR REGIONAL II JAKARTA 10004")</f>
        <v>KANTOR REGIONAL II JAKARTA 10004</v>
      </c>
      <c r="AN743" s="80" t="str">
        <f>IFERROR(__xludf.DUMMYFUNCTION("""COMPUTED_VALUE"""),"KC CIBINONG")</f>
        <v>KC CIBINONG</v>
      </c>
      <c r="AO743" s="80" t="str">
        <f>IFERROR(__xludf.DUMMYFUNCTION("""COMPUTED_VALUE"""),"MENYUSUL")</f>
        <v>MENYUSUL</v>
      </c>
      <c r="AP743" s="80" t="str">
        <f>IFERROR(__xludf.DUMMYFUNCTION("""COMPUTED_VALUE"""),"MENYUSUL")</f>
        <v>MENYUSUL</v>
      </c>
      <c r="AQ743" s="83"/>
      <c r="AR743" s="80"/>
      <c r="AS743" s="80"/>
      <c r="AT743" s="80" t="str">
        <f>IFERROR(__xludf.DUMMYFUNCTION("""COMPUTED_VALUE"""),"-6.381301")</f>
        <v>-6.381301</v>
      </c>
      <c r="AU743" s="80" t="str">
        <f>IFERROR(__xludf.DUMMYFUNCTION("""COMPUTED_VALUE"""),"106.995039")</f>
        <v>106.995039</v>
      </c>
      <c r="AV743" s="80"/>
      <c r="AW743" s="80"/>
      <c r="AX743" s="80"/>
      <c r="AY743" s="80"/>
      <c r="AZ743" s="80"/>
      <c r="BA743" s="80"/>
      <c r="BB743" s="80"/>
      <c r="BC743" s="80"/>
      <c r="BD743" s="80"/>
      <c r="BE743" s="80"/>
      <c r="BF743" s="80"/>
      <c r="BG743" s="80"/>
      <c r="BH743" s="80"/>
      <c r="BI743" s="80"/>
      <c r="BJ743" s="80"/>
      <c r="BK743" s="80"/>
      <c r="BL743" s="80"/>
      <c r="BM743" s="80"/>
      <c r="BN743" s="80"/>
      <c r="BO743" s="80"/>
      <c r="BP743" s="80"/>
      <c r="BQ743" s="80"/>
      <c r="BR743" s="80"/>
      <c r="BS743" s="80"/>
      <c r="BT743" s="80"/>
      <c r="BU743" s="80"/>
      <c r="BV743" s="80"/>
      <c r="BW743" s="80"/>
      <c r="BX743" s="80" t="str">
        <f>IFERROR(__xludf.DUMMYFUNCTION("""COMPUTED_VALUE"""),"MULTIKURIR - SPX - LAZADA - WAHANA")</f>
        <v>MULTIKURIR - SPX - LAZADA - WAHANA</v>
      </c>
      <c r="BY743" s="80"/>
      <c r="BZ743" s="80"/>
      <c r="CA743" s="80"/>
      <c r="CB743" s="80"/>
      <c r="CC743" s="80"/>
      <c r="CD743" s="80"/>
      <c r="CE743" s="80"/>
      <c r="CF743" s="80"/>
      <c r="CG743" s="80"/>
      <c r="CH743" s="80"/>
      <c r="CI743" s="80"/>
      <c r="CJ743" s="80"/>
      <c r="CK743" s="2"/>
    </row>
    <row r="744" ht="12.75" customHeight="1">
      <c r="A744" s="85">
        <f>IFERROR(__xludf.DUMMYFUNCTION("""COMPUTED_VALUE"""),740.0)</f>
        <v>740</v>
      </c>
      <c r="B744" s="85"/>
      <c r="C744" s="85"/>
      <c r="D744" s="86">
        <f>IFERROR(__xludf.DUMMYFUNCTION("""COMPUTED_VALUE"""),46007.0)</f>
        <v>46007</v>
      </c>
      <c r="E744" s="88"/>
      <c r="F744" s="85"/>
      <c r="G744" s="86">
        <f>IFERROR(__xludf.DUMMYFUNCTION("""COMPUTED_VALUE"""),46042.0)</f>
        <v>46042</v>
      </c>
      <c r="H744" s="85"/>
      <c r="I744" s="85"/>
      <c r="J744" s="85"/>
      <c r="K744" s="85"/>
      <c r="L744" s="85">
        <f>IFERROR(__xludf.DUMMYFUNCTION("""COMPUTED_VALUE"""),35.0)</f>
        <v>35</v>
      </c>
      <c r="M744" s="85" t="str">
        <f>IFERROR(__xludf.DUMMYFUNCTION("""COMPUTED_VALUE"""),"ü")</f>
        <v>ü</v>
      </c>
      <c r="N744" s="85"/>
      <c r="O744" s="85"/>
      <c r="P744" s="85" t="str">
        <f>IFERROR(__xludf.DUMMYFUNCTION("""COMPUTED_VALUE"""),"MUCSPA63314PSIND")</f>
        <v>MUCSPA63314PSIND</v>
      </c>
      <c r="Q744" s="85" t="str">
        <f>IFERROR(__xludf.DUMMYFUNCTION("""COMPUTED_VALUE"""),"MUC SRIWEDARI")</f>
        <v>MUC SRIWEDARI</v>
      </c>
      <c r="R744" s="85" t="str">
        <f>IFERROR(__xludf.DUMMYFUNCTION("""COMPUTED_VALUE"""),"MUC SRIWEDARI")</f>
        <v>MUC SRIWEDARI</v>
      </c>
      <c r="S744" s="85" t="str">
        <f>IFERROR(__xludf.DUMMYFUNCTION("""COMPUTED_VALUE"""),"HESTI IRA PUSPITASARI")</f>
        <v>HESTI IRA PUSPITASARI</v>
      </c>
      <c r="T744" s="85" t="str">
        <f>IFERROR(__xludf.DUMMYFUNCTION("""COMPUTED_VALUE"""),"CITRA RINGIN MAS A-38, BABADAN RT.007 RW.003, PURWOMARTANI, KALASAN, KAB. SLEMAN")</f>
        <v>CITRA RINGIN MAS A-38, BABADAN RT.007 RW.003, PURWOMARTANI, KALASAN, KAB. SLEMAN</v>
      </c>
      <c r="U744" s="85" t="str">
        <f>IFERROR(__xludf.DUMMYFUNCTION("""COMPUTED_VALUE"""),"Bebengan")</f>
        <v>Bebengan</v>
      </c>
      <c r="V744" s="85"/>
      <c r="W744" s="85" t="str">
        <f>IFERROR(__xludf.DUMMYFUNCTION("""COMPUTED_VALUE"""),"Sriwedari")</f>
        <v>Sriwedari</v>
      </c>
      <c r="X744" s="85" t="str">
        <f>IFERROR(__xludf.DUMMYFUNCTION("""COMPUTED_VALUE"""),"Salaman")</f>
        <v>Salaman</v>
      </c>
      <c r="Y744" s="85" t="str">
        <f>IFERROR(__xludf.DUMMYFUNCTION("""COMPUTED_VALUE"""),"Magelang")</f>
        <v>Magelang</v>
      </c>
      <c r="Z744" s="85" t="str">
        <f>IFERROR(__xludf.DUMMYFUNCTION("""COMPUTED_VALUE"""),"Jawa Tengah")</f>
        <v>Jawa Tengah</v>
      </c>
      <c r="AA744" s="85" t="str">
        <f>IFERROR(__xludf.DUMMYFUNCTION("""COMPUTED_VALUE"""),"56162")</f>
        <v>56162</v>
      </c>
      <c r="AB744" s="85" t="str">
        <f>IFERROR(__xludf.DUMMYFUNCTION("""COMPUTED_VALUE"""),"3404104611760002")</f>
        <v>3404104611760002</v>
      </c>
      <c r="AC744" s="85" t="str">
        <f>IFERROR(__xludf.DUMMYFUNCTION("""COMPUTED_VALUE"""),"59.701.304.4-542.000")</f>
        <v>59.701.304.4-542.000</v>
      </c>
      <c r="AD744" s="85" t="str">
        <f>IFERROR(__xludf.DUMMYFUNCTION("""COMPUTED_VALUE"""),"CUM - PS - AMIA")</f>
        <v>CUM - PS - AMIA</v>
      </c>
      <c r="AE744" s="85" t="str">
        <f>IFERROR(__xludf.DUMMYFUNCTION("""COMPUTED_VALUE"""),"SUB AMILDA POS")</f>
        <v>SUB AMILDA POS</v>
      </c>
      <c r="AF744" s="85" t="str">
        <f>IFERROR(__xludf.DUMMYFUNCTION("""COMPUTED_VALUE"""),"082133778870")</f>
        <v>082133778870</v>
      </c>
      <c r="AG744" s="85"/>
      <c r="AH744" s="85" t="str">
        <f>IFERROR(__xludf.DUMMYFUNCTION("""COMPUTED_VALUE"""),"hestiira723@gmail.com")</f>
        <v>hestiira723@gmail.com</v>
      </c>
      <c r="AI744" s="85"/>
      <c r="AJ744" s="85"/>
      <c r="AK744" s="85" t="str">
        <f>IFERROR(__xludf.DUMMYFUNCTION("""COMPUTED_VALUE"""),"hestiira723@gmail.com")</f>
        <v>hestiira723@gmail.com</v>
      </c>
      <c r="AL744" s="85" t="str">
        <f>IFERROR(__xludf.DUMMYFUNCTION("""COMPUTED_VALUE"""),"#Muc56562S7$")</f>
        <v>#Muc56562S7$</v>
      </c>
      <c r="AM744" s="85" t="str">
        <f>IFERROR(__xludf.DUMMYFUNCTION("""COMPUTED_VALUE"""),"KANTOR REGIONAL IV SEMARANG 50004")</f>
        <v>KANTOR REGIONAL IV SEMARANG 50004</v>
      </c>
      <c r="AN744" s="85" t="str">
        <f>IFERROR(__xludf.DUMMYFUNCTION("""COMPUTED_VALUE"""),"KC MAGELANG 56100")</f>
        <v>KC MAGELANG 56100</v>
      </c>
      <c r="AO744" s="85" t="str">
        <f>IFERROR(__xludf.DUMMYFUNCTION("""COMPUTED_VALUE"""),"MENYUSUL")</f>
        <v>MENYUSUL</v>
      </c>
      <c r="AP744" s="85" t="str">
        <f>IFERROR(__xludf.DUMMYFUNCTION("""COMPUTED_VALUE"""),"MENYUSUL")</f>
        <v>MENYUSUL</v>
      </c>
      <c r="AQ744" s="93"/>
      <c r="AR744" s="85"/>
      <c r="AS744" s="85"/>
      <c r="AT744" s="85" t="str">
        <f>IFERROR(__xludf.DUMMYFUNCTION("""COMPUTED_VALUE"""),"-7.564168")</f>
        <v>-7.564168</v>
      </c>
      <c r="AU744" s="85" t="str">
        <f>IFERROR(__xludf.DUMMYFUNCTION("""COMPUTED_VALUE"""),"110.110727")</f>
        <v>110.110727</v>
      </c>
      <c r="AV744" s="85"/>
      <c r="AW744" s="85"/>
      <c r="AX744" s="85"/>
      <c r="AY744" s="85"/>
      <c r="AZ744" s="85"/>
      <c r="BA744" s="85"/>
      <c r="BB744" s="85"/>
      <c r="BC744" s="85"/>
      <c r="BD744" s="85"/>
      <c r="BE744" s="85"/>
      <c r="BF744" s="85"/>
      <c r="BG744" s="85"/>
      <c r="BH744" s="85"/>
      <c r="BI744" s="85"/>
      <c r="BJ744" s="85"/>
      <c r="BK744" s="85"/>
      <c r="BL744" s="85"/>
      <c r="BM744" s="85"/>
      <c r="BN744" s="85"/>
      <c r="BO744" s="85"/>
      <c r="BP744" s="85"/>
      <c r="BQ744" s="85"/>
      <c r="BR744" s="85"/>
      <c r="BS744" s="85"/>
      <c r="BT744" s="85"/>
      <c r="BU744" s="85"/>
      <c r="BV744" s="85"/>
      <c r="BW744" s="85"/>
      <c r="BX744" s="85" t="str">
        <f>IFERROR(__xludf.DUMMYFUNCTION("""COMPUTED_VALUE"""),"NEWBIE")</f>
        <v>NEWBIE</v>
      </c>
      <c r="BY744" s="85"/>
      <c r="BZ744" s="85"/>
      <c r="CA744" s="85"/>
      <c r="CB744" s="85"/>
      <c r="CC744" s="85"/>
      <c r="CD744" s="85"/>
      <c r="CE744" s="85"/>
      <c r="CF744" s="85"/>
      <c r="CG744" s="85"/>
      <c r="CH744" s="85"/>
      <c r="CI744" s="85"/>
      <c r="CJ744" s="85"/>
      <c r="CK744" s="2"/>
    </row>
    <row r="745" ht="12.75" customHeight="1">
      <c r="A745" s="80">
        <f>IFERROR(__xludf.DUMMYFUNCTION("""COMPUTED_VALUE"""),741.0)</f>
        <v>741</v>
      </c>
      <c r="B745" s="80"/>
      <c r="C745" s="80"/>
      <c r="D745" s="81">
        <f>IFERROR(__xludf.DUMMYFUNCTION("""COMPUTED_VALUE"""),46007.0)</f>
        <v>46007</v>
      </c>
      <c r="E745" s="82"/>
      <c r="F745" s="80"/>
      <c r="G745" s="81">
        <f>IFERROR(__xludf.DUMMYFUNCTION("""COMPUTED_VALUE"""),46020.0)</f>
        <v>46020</v>
      </c>
      <c r="H745" s="80"/>
      <c r="I745" s="80"/>
      <c r="J745" s="80"/>
      <c r="K745" s="80"/>
      <c r="L745" s="80">
        <f>IFERROR(__xludf.DUMMYFUNCTION("""COMPUTED_VALUE"""),13.0)</f>
        <v>13</v>
      </c>
      <c r="M745" s="80" t="str">
        <f>IFERROR(__xludf.DUMMYFUNCTION("""COMPUTED_VALUE"""),"ü")</f>
        <v>ü</v>
      </c>
      <c r="N745" s="80"/>
      <c r="O745" s="80"/>
      <c r="P745" s="80" t="str">
        <f>IFERROR(__xludf.DUMMYFUNCTION("""COMPUTED_VALUE"""),"MUCSPA63315PSIND")</f>
        <v>MUCSPA63315PSIND</v>
      </c>
      <c r="Q745" s="80" t="str">
        <f>IFERROR(__xludf.DUMMYFUNCTION("""COMPUTED_VALUE"""),"MUC MUKTIWARI")</f>
        <v>MUC MUKTIWARI</v>
      </c>
      <c r="R745" s="80" t="str">
        <f>IFERROR(__xludf.DUMMYFUNCTION("""COMPUTED_VALUE"""),"MUC MUKTIWARI")</f>
        <v>MUC MUKTIWARI</v>
      </c>
      <c r="S745" s="80" t="str">
        <f>IFERROR(__xludf.DUMMYFUNCTION("""COMPUTED_VALUE"""),"DELA ROSITA DELVIANI")</f>
        <v>DELA ROSITA DELVIANI</v>
      </c>
      <c r="T745" s="80" t="str">
        <f>IFERROR(__xludf.DUMMYFUNCTION("""COMPUTED_VALUE"""),"KP TAMBELANG RT.009 RW.005 SUKARAPIH, TAMBEANG, KAB. BEKASI")</f>
        <v>KP TAMBELANG RT.009 RW.005 SUKARAPIH, TAMBEANG, KAB. BEKASI</v>
      </c>
      <c r="U745" s="80" t="str">
        <f>IFERROR(__xludf.DUMMYFUNCTION("""COMPUTED_VALUE"""),"Ruko Blok D01-12 PERMATA NUSA INDAH,Jl.Raya kali CBL")</f>
        <v>Ruko Blok D01-12 PERMATA NUSA INDAH,Jl.Raya kali CBL</v>
      </c>
      <c r="V745" s="80"/>
      <c r="W745" s="80" t="str">
        <f>IFERROR(__xludf.DUMMYFUNCTION("""COMPUTED_VALUE"""),"MUKTIWARI")</f>
        <v>MUKTIWARI</v>
      </c>
      <c r="X745" s="80" t="str">
        <f>IFERROR(__xludf.DUMMYFUNCTION("""COMPUTED_VALUE"""),"Cibitung")</f>
        <v>Cibitung</v>
      </c>
      <c r="Y745" s="80" t="str">
        <f>IFERROR(__xludf.DUMMYFUNCTION("""COMPUTED_VALUE"""),"Kab.Bekasi")</f>
        <v>Kab.Bekasi</v>
      </c>
      <c r="Z745" s="80" t="str">
        <f>IFERROR(__xludf.DUMMYFUNCTION("""COMPUTED_VALUE"""),"Jawa Barat")</f>
        <v>Jawa Barat</v>
      </c>
      <c r="AA745" s="80" t="str">
        <f>IFERROR(__xludf.DUMMYFUNCTION("""COMPUTED_VALUE"""),"17520")</f>
        <v>17520</v>
      </c>
      <c r="AB745" s="80" t="str">
        <f>IFERROR(__xludf.DUMMYFUNCTION("""COMPUTED_VALUE"""),"3216045212960005")</f>
        <v>3216045212960005</v>
      </c>
      <c r="AC745" s="80" t="str">
        <f>IFERROR(__xludf.DUMMYFUNCTION("""COMPUTED_VALUE"""),"96.440.329.9-435.000")</f>
        <v>96.440.329.9-435.000</v>
      </c>
      <c r="AD745" s="80" t="str">
        <f>IFERROR(__xludf.DUMMYFUNCTION("""COMPUTED_VALUE"""),"CUM - PS - JMN")</f>
        <v>CUM - PS - JMN</v>
      </c>
      <c r="AE745" s="80" t="str">
        <f>IFERROR(__xludf.DUMMYFUNCTION("""COMPUTED_VALUE"""),"SUB JAMJAM POS")</f>
        <v>SUB JAMJAM POS</v>
      </c>
      <c r="AF745" s="80"/>
      <c r="AG745" s="80"/>
      <c r="AH745" s="80" t="str">
        <f>IFERROR(__xludf.DUMMYFUNCTION("""COMPUTED_VALUE"""),"delarositadelviani@gmail.com")</f>
        <v>delarositadelviani@gmail.com</v>
      </c>
      <c r="AI745" s="80" t="str">
        <f>IFERROR(__xludf.DUMMYFUNCTION("""COMPUTED_VALUE"""),"17526S5")</f>
        <v>17526S5</v>
      </c>
      <c r="AJ745" s="80" t="str">
        <f>IFERROR(__xludf.DUMMYFUNCTION("""COMPUTED_VALUE"""),"694b895510592a437d09c4de")</f>
        <v>694b895510592a437d09c4de</v>
      </c>
      <c r="AK745" s="80" t="str">
        <f>IFERROR(__xludf.DUMMYFUNCTION("""COMPUTED_VALUE"""),"delarositadelviani")</f>
        <v>delarositadelviani</v>
      </c>
      <c r="AL745" s="80" t="str">
        <f>IFERROR(__xludf.DUMMYFUNCTION("""COMPUTED_VALUE"""),"#Muc17526$")</f>
        <v>#Muc17526$</v>
      </c>
      <c r="AM745" s="80" t="str">
        <f>IFERROR(__xludf.DUMMYFUNCTION("""COMPUTED_VALUE"""),"KANTOR REGIONAL II JAKARTA 10004")</f>
        <v>KANTOR REGIONAL II JAKARTA 10004</v>
      </c>
      <c r="AN745" s="80" t="str">
        <f>IFERROR(__xludf.DUMMYFUNCTION("""COMPUTED_VALUE"""),"KC CIKARANG 17500")</f>
        <v>KC CIKARANG 17500</v>
      </c>
      <c r="AO745" s="80" t="str">
        <f>IFERROR(__xludf.DUMMYFUNCTION("""COMPUTED_VALUE"""),"MENYUSUL")</f>
        <v>MENYUSUL</v>
      </c>
      <c r="AP745" s="80" t="str">
        <f>IFERROR(__xludf.DUMMYFUNCTION("""COMPUTED_VALUE"""),"MENYUSUL")</f>
        <v>MENYUSUL</v>
      </c>
      <c r="AQ745" s="83"/>
      <c r="AR745" s="80"/>
      <c r="AS745" s="80"/>
      <c r="AT745" s="80"/>
      <c r="AU745" s="80"/>
      <c r="AV745" s="80"/>
      <c r="AW745" s="80"/>
      <c r="AX745" s="80"/>
      <c r="AY745" s="80"/>
      <c r="AZ745" s="80"/>
      <c r="BA745" s="80"/>
      <c r="BB745" s="80"/>
      <c r="BC745" s="80"/>
      <c r="BD745" s="80"/>
      <c r="BE745" s="80"/>
      <c r="BF745" s="80"/>
      <c r="BG745" s="80"/>
      <c r="BH745" s="80"/>
      <c r="BI745" s="80"/>
      <c r="BJ745" s="80"/>
      <c r="BK745" s="80"/>
      <c r="BL745" s="80"/>
      <c r="BM745" s="80"/>
      <c r="BN745" s="80"/>
      <c r="BO745" s="80"/>
      <c r="BP745" s="80"/>
      <c r="BQ745" s="80"/>
      <c r="BR745" s="80"/>
      <c r="BS745" s="80"/>
      <c r="BT745" s="80"/>
      <c r="BU745" s="80"/>
      <c r="BV745" s="80"/>
      <c r="BW745" s="80"/>
      <c r="BX745" s="80" t="str">
        <f>IFERROR(__xludf.DUMMYFUNCTION("""COMPUTED_VALUE"""),"NEWBIE")</f>
        <v>NEWBIE</v>
      </c>
      <c r="BY745" s="80"/>
      <c r="BZ745" s="80"/>
      <c r="CA745" s="80"/>
      <c r="CB745" s="80"/>
      <c r="CC745" s="80"/>
      <c r="CD745" s="80"/>
      <c r="CE745" s="80"/>
      <c r="CF745" s="80"/>
      <c r="CG745" s="80"/>
      <c r="CH745" s="80"/>
      <c r="CI745" s="80"/>
      <c r="CJ745" s="80"/>
      <c r="CK745" s="2"/>
    </row>
    <row r="746" ht="12.75" customHeight="1">
      <c r="A746" s="85">
        <f>IFERROR(__xludf.DUMMYFUNCTION("""COMPUTED_VALUE"""),742.0)</f>
        <v>742</v>
      </c>
      <c r="B746" s="85"/>
      <c r="C746" s="85"/>
      <c r="D746" s="86">
        <f>IFERROR(__xludf.DUMMYFUNCTION("""COMPUTED_VALUE"""),46007.0)</f>
        <v>46007</v>
      </c>
      <c r="E746" s="88"/>
      <c r="F746" s="85"/>
      <c r="G746" s="86"/>
      <c r="H746" s="85"/>
      <c r="I746" s="85"/>
      <c r="J746" s="85"/>
      <c r="K746" s="85"/>
      <c r="L746" s="85"/>
      <c r="M746" s="85" t="str">
        <f>IFERROR(__xludf.DUMMYFUNCTION("""COMPUTED_VALUE"""),"ü")</f>
        <v>ü</v>
      </c>
      <c r="N746" s="85"/>
      <c r="O746" s="85"/>
      <c r="P746" s="85" t="str">
        <f>IFERROR(__xludf.DUMMYFUNCTION("""COMPUTED_VALUE"""),"MUCSPA63316PSIND")</f>
        <v>MUCSPA63316PSIND</v>
      </c>
      <c r="Q746" s="85" t="str">
        <f>IFERROR(__xludf.DUMMYFUNCTION("""COMPUTED_VALUE"""),"MUC Lunnastationery")</f>
        <v>MUC Lunnastationery</v>
      </c>
      <c r="R746" s="85" t="str">
        <f>IFERROR(__xludf.DUMMYFUNCTION("""COMPUTED_VALUE"""),"MUC Lunnastationery")</f>
        <v>MUC Lunnastationery</v>
      </c>
      <c r="S746" s="85" t="str">
        <f>IFERROR(__xludf.DUMMYFUNCTION("""COMPUTED_VALUE"""),"Adhi Putra")</f>
        <v>Adhi Putra</v>
      </c>
      <c r="T746" s="85" t="str">
        <f>IFERROR(__xludf.DUMMYFUNCTION("""COMPUTED_VALUE"""),"Jln. Cibanteng Babengket Kp. Sinagar RT 002 RW 006 Desa Cihideung Udik Kecamatan Ciampea Kabupaten Bogor")</f>
        <v>Jln. Cibanteng Babengket Kp. Sinagar RT 002 RW 006 Desa Cihideung Udik Kecamatan Ciampea Kabupaten Bogor</v>
      </c>
      <c r="U746" s="85" t="str">
        <f>IFERROR(__xludf.DUMMYFUNCTION("""COMPUTED_VALUE"""),"Jln. Cibanteng Babengket Kp. Sinagar RT 002 RW 006 Desa Cihideung Udik Kecamatan Ciampea Kabupaten Bogor")</f>
        <v>Jln. Cibanteng Babengket Kp. Sinagar RT 002 RW 006 Desa Cihideung Udik Kecamatan Ciampea Kabupaten Bogor</v>
      </c>
      <c r="V746" s="85"/>
      <c r="W746" s="85" t="str">
        <f>IFERROR(__xludf.DUMMYFUNCTION("""COMPUTED_VALUE"""),"Cihideung Udik")</f>
        <v>Cihideung Udik</v>
      </c>
      <c r="X746" s="85" t="str">
        <f>IFERROR(__xludf.DUMMYFUNCTION("""COMPUTED_VALUE"""),"Ciampea")</f>
        <v>Ciampea</v>
      </c>
      <c r="Y746" s="85" t="str">
        <f>IFERROR(__xludf.DUMMYFUNCTION("""COMPUTED_VALUE"""),"Kab. Bogor")</f>
        <v>Kab. Bogor</v>
      </c>
      <c r="Z746" s="85" t="str">
        <f>IFERROR(__xludf.DUMMYFUNCTION("""COMPUTED_VALUE"""),"Jawa Barat")</f>
        <v>Jawa Barat</v>
      </c>
      <c r="AA746" s="85" t="str">
        <f>IFERROR(__xludf.DUMMYFUNCTION("""COMPUTED_VALUE"""),"16620")</f>
        <v>16620</v>
      </c>
      <c r="AB746" s="85" t="str">
        <f>IFERROR(__xludf.DUMMYFUNCTION("""COMPUTED_VALUE"""),"3201152209910001")</f>
        <v>3201152209910001</v>
      </c>
      <c r="AC746" s="85" t="str">
        <f>IFERROR(__xludf.DUMMYFUNCTION("""COMPUTED_VALUE"""),"46.529.117.7-434.000")</f>
        <v>46.529.117.7-434.000</v>
      </c>
      <c r="AD746" s="85" t="str">
        <f>IFERROR(__xludf.DUMMYFUNCTION("""COMPUTED_VALUE"""),"CUM - PS - DERI")</f>
        <v>CUM - PS - DERI</v>
      </c>
      <c r="AE746" s="85" t="str">
        <f>IFERROR(__xludf.DUMMYFUNCTION("""COMPUTED_VALUE"""),"SUB DERIANA POS")</f>
        <v>SUB DERIANA POS</v>
      </c>
      <c r="AF746" s="85" t="str">
        <f>IFERROR(__xludf.DUMMYFUNCTION("""COMPUTED_VALUE"""),"085117500688")</f>
        <v>085117500688</v>
      </c>
      <c r="AG746" s="85"/>
      <c r="AH746" s="85" t="str">
        <f>IFERROR(__xludf.DUMMYFUNCTION("""COMPUTED_VALUE"""),"useauniqname@gmail.com")</f>
        <v>useauniqname@gmail.com</v>
      </c>
      <c r="AI746" s="85"/>
      <c r="AJ746" s="85"/>
      <c r="AK746" s="85"/>
      <c r="AL746" s="85"/>
      <c r="AM746" s="85" t="str">
        <f>IFERROR(__xludf.DUMMYFUNCTION("""COMPUTED_VALUE"""),"KANTOR REGIONAL II JAKARTA 10004")</f>
        <v>KANTOR REGIONAL II JAKARTA 10004</v>
      </c>
      <c r="AN746" s="85" t="str">
        <f>IFERROR(__xludf.DUMMYFUNCTION("""COMPUTED_VALUE"""),"KCU BOGOR 16000")</f>
        <v>KCU BOGOR 16000</v>
      </c>
      <c r="AO746" s="85" t="str">
        <f>IFERROR(__xludf.DUMMYFUNCTION("""COMPUTED_VALUE"""),"MENYUSUL")</f>
        <v>MENYUSUL</v>
      </c>
      <c r="AP746" s="85" t="str">
        <f>IFERROR(__xludf.DUMMYFUNCTION("""COMPUTED_VALUE"""),"MENYUSUL")</f>
        <v>MENYUSUL</v>
      </c>
      <c r="AQ746" s="93"/>
      <c r="AR746" s="85"/>
      <c r="AS746" s="85"/>
      <c r="AT746" s="85" t="str">
        <f>IFERROR(__xludf.DUMMYFUNCTION("""COMPUTED_VALUE"""),"-6.578908")</f>
        <v>-6.578908</v>
      </c>
      <c r="AU746" s="85" t="str">
        <f>IFERROR(__xludf.DUMMYFUNCTION("""COMPUTED_VALUE"""),"106.715733")</f>
        <v>106.715733</v>
      </c>
      <c r="AV746" s="85"/>
      <c r="AW746" s="85"/>
      <c r="AX746" s="85"/>
      <c r="AY746" s="85"/>
      <c r="AZ746" s="85"/>
      <c r="BA746" s="85"/>
      <c r="BB746" s="85"/>
      <c r="BC746" s="85"/>
      <c r="BD746" s="85"/>
      <c r="BE746" s="85"/>
      <c r="BF746" s="85"/>
      <c r="BG746" s="85"/>
      <c r="BH746" s="85"/>
      <c r="BI746" s="85"/>
      <c r="BJ746" s="85"/>
      <c r="BK746" s="85"/>
      <c r="BL746" s="85"/>
      <c r="BM746" s="85"/>
      <c r="BN746" s="85"/>
      <c r="BO746" s="85"/>
      <c r="BP746" s="85"/>
      <c r="BQ746" s="85"/>
      <c r="BR746" s="85"/>
      <c r="BS746" s="85"/>
      <c r="BT746" s="85"/>
      <c r="BU746" s="85"/>
      <c r="BV746" s="85"/>
      <c r="BW746" s="85"/>
      <c r="BX746" s="85" t="str">
        <f>IFERROR(__xludf.DUMMYFUNCTION("""COMPUTED_VALUE"""),"NEWBIE")</f>
        <v>NEWBIE</v>
      </c>
      <c r="BY746" s="85"/>
      <c r="BZ746" s="85"/>
      <c r="CA746" s="85"/>
      <c r="CB746" s="85"/>
      <c r="CC746" s="85"/>
      <c r="CD746" s="85"/>
      <c r="CE746" s="85"/>
      <c r="CF746" s="85"/>
      <c r="CG746" s="85"/>
      <c r="CH746" s="85"/>
      <c r="CI746" s="85"/>
      <c r="CJ746" s="85"/>
      <c r="CK746" s="2"/>
    </row>
    <row r="747" ht="12.75" customHeight="1">
      <c r="A747" s="80">
        <f>IFERROR(__xludf.DUMMYFUNCTION("""COMPUTED_VALUE"""),743.0)</f>
        <v>743</v>
      </c>
      <c r="B747" s="80"/>
      <c r="C747" s="80"/>
      <c r="D747" s="81">
        <f>IFERROR(__xludf.DUMMYFUNCTION("""COMPUTED_VALUE"""),46008.0)</f>
        <v>46008</v>
      </c>
      <c r="E747" s="82"/>
      <c r="F747" s="80"/>
      <c r="G747" s="81"/>
      <c r="H747" s="80"/>
      <c r="I747" s="80"/>
      <c r="J747" s="80"/>
      <c r="K747" s="80"/>
      <c r="L747" s="80"/>
      <c r="M747" s="80" t="str">
        <f>IFERROR(__xludf.DUMMYFUNCTION("""COMPUTED_VALUE"""),"ü")</f>
        <v>ü</v>
      </c>
      <c r="N747" s="80"/>
      <c r="O747" s="80"/>
      <c r="P747" s="80" t="str">
        <f>IFERROR(__xludf.DUMMYFUNCTION("""COMPUTED_VALUE"""),"MUCSPA63317PSIND")</f>
        <v>MUCSPA63317PSIND</v>
      </c>
      <c r="Q747" s="80" t="str">
        <f>IFERROR(__xludf.DUMMYFUNCTION("""COMPUTED_VALUE"""),"MUC MANDIRI JAYA")</f>
        <v>MUC MANDIRI JAYA</v>
      </c>
      <c r="R747" s="80" t="str">
        <f>IFERROR(__xludf.DUMMYFUNCTION("""COMPUTED_VALUE"""),"MUC MANDIRI JAYA")</f>
        <v>MUC MANDIRI JAYA</v>
      </c>
      <c r="S747" s="80" t="str">
        <f>IFERROR(__xludf.DUMMYFUNCTION("""COMPUTED_VALUE"""),"EVI YENETI")</f>
        <v>EVI YENETI</v>
      </c>
      <c r="T747" s="80" t="str">
        <f>IFERROR(__xludf.DUMMYFUNCTION("""COMPUTED_VALUE"""),"PASA PADANG ALAI, GUNUNG PADANG ALAI, V KOTO TIMUR, KAB. PADANG PARIAMAN SUMATERA BARAT")</f>
        <v>PASA PADANG ALAI, GUNUNG PADANG ALAI, V KOTO TIMUR, KAB. PADANG PARIAMAN SUMATERA BARAT</v>
      </c>
      <c r="U747" s="80" t="str">
        <f>IFERROR(__xludf.DUMMYFUNCTION("""COMPUTED_VALUE"""),"Jl. Malalak - Padang Pariaman")</f>
        <v>Jl. Malalak - Padang Pariaman</v>
      </c>
      <c r="V747" s="80"/>
      <c r="W747" s="80" t="str">
        <f>IFERROR(__xludf.DUMMYFUNCTION("""COMPUTED_VALUE"""),"Gn. Padang Alai")</f>
        <v>Gn. Padang Alai</v>
      </c>
      <c r="X747" s="80" t="str">
        <f>IFERROR(__xludf.DUMMYFUNCTION("""COMPUTED_VALUE"""),"V Koto Timur")</f>
        <v>V Koto Timur</v>
      </c>
      <c r="Y747" s="80" t="str">
        <f>IFERROR(__xludf.DUMMYFUNCTION("""COMPUTED_VALUE"""),"Kabupaten Padang Pariaman")</f>
        <v>Kabupaten Padang Pariaman</v>
      </c>
      <c r="Z747" s="80" t="str">
        <f>IFERROR(__xludf.DUMMYFUNCTION("""COMPUTED_VALUE"""),"Sumatera Barat")</f>
        <v>Sumatera Barat</v>
      </c>
      <c r="AA747" s="80" t="str">
        <f>IFERROR(__xludf.DUMMYFUNCTION("""COMPUTED_VALUE"""),"25573")</f>
        <v>25573</v>
      </c>
      <c r="AB747" s="80" t="str">
        <f>IFERROR(__xludf.DUMMYFUNCTION("""COMPUTED_VALUE"""),"1306015502930002")</f>
        <v>1306015502930002</v>
      </c>
      <c r="AC747" s="80" t="str">
        <f>IFERROR(__xludf.DUMMYFUNCTION("""COMPUTED_VALUE"""),"15.855.981.2-201.000")</f>
        <v>15.855.981.2-201.000</v>
      </c>
      <c r="AD747" s="80" t="str">
        <f>IFERROR(__xludf.DUMMYFUNCTION("""COMPUTED_VALUE"""),"BU FEBY PARIAMAN")</f>
        <v>BU FEBY PARIAMAN</v>
      </c>
      <c r="AE747" s="80" t="str">
        <f>IFERROR(__xludf.DUMMYFUNCTION("""COMPUTED_VALUE"""),"BU FEBY PARIAMAN")</f>
        <v>BU FEBY PARIAMAN</v>
      </c>
      <c r="AF747" s="80" t="str">
        <f>IFERROR(__xludf.DUMMYFUNCTION("""COMPUTED_VALUE"""),"082391584543")</f>
        <v>082391584543</v>
      </c>
      <c r="AG747" s="80"/>
      <c r="AH747" s="80" t="str">
        <f>IFERROR(__xludf.DUMMYFUNCTION("""COMPUTED_VALUE"""),"evieyeneti88@gmail.com")</f>
        <v>evieyeneti88@gmail.com</v>
      </c>
      <c r="AI747" s="80"/>
      <c r="AJ747" s="80"/>
      <c r="AK747" s="80"/>
      <c r="AL747" s="80"/>
      <c r="AM747" s="80" t="str">
        <f>IFERROR(__xludf.DUMMYFUNCTION("""COMPUTED_VALUE"""),"KANTOR REGIONAL I MEDAN 20004")</f>
        <v>KANTOR REGIONAL I MEDAN 20004</v>
      </c>
      <c r="AN747" s="80" t="str">
        <f>IFERROR(__xludf.DUMMYFUNCTION("""COMPUTED_VALUE"""),"KC PARIAMAN")</f>
        <v>KC PARIAMAN</v>
      </c>
      <c r="AO747" s="80" t="str">
        <f>IFERROR(__xludf.DUMMYFUNCTION("""COMPUTED_VALUE"""),"MENYUSUL")</f>
        <v>MENYUSUL</v>
      </c>
      <c r="AP747" s="80" t="str">
        <f>IFERROR(__xludf.DUMMYFUNCTION("""COMPUTED_VALUE"""),"MENYUSUL")</f>
        <v>MENYUSUL</v>
      </c>
      <c r="AQ747" s="83"/>
      <c r="AR747" s="80"/>
      <c r="AS747" s="80"/>
      <c r="AT747" s="80" t="str">
        <f>IFERROR(__xludf.DUMMYFUNCTION("""COMPUTED_VALUE"""),"-0.484394")</f>
        <v>-0.484394</v>
      </c>
      <c r="AU747" s="80" t="str">
        <f>IFERROR(__xludf.DUMMYFUNCTION("""COMPUTED_VALUE"""),"100.198788")</f>
        <v>100.198788</v>
      </c>
      <c r="AV747" s="80"/>
      <c r="AW747" s="80"/>
      <c r="AX747" s="80"/>
      <c r="AY747" s="80"/>
      <c r="AZ747" s="80"/>
      <c r="BA747" s="80"/>
      <c r="BB747" s="80"/>
      <c r="BC747" s="80"/>
      <c r="BD747" s="80"/>
      <c r="BE747" s="80"/>
      <c r="BF747" s="80"/>
      <c r="BG747" s="80"/>
      <c r="BH747" s="80"/>
      <c r="BI747" s="80"/>
      <c r="BJ747" s="80"/>
      <c r="BK747" s="80"/>
      <c r="BL747" s="80"/>
      <c r="BM747" s="80"/>
      <c r="BN747" s="80"/>
      <c r="BO747" s="80"/>
      <c r="BP747" s="80"/>
      <c r="BQ747" s="80"/>
      <c r="BR747" s="80"/>
      <c r="BS747" s="80"/>
      <c r="BT747" s="80"/>
      <c r="BU747" s="80"/>
      <c r="BV747" s="80"/>
      <c r="BW747" s="80"/>
      <c r="BX747" s="80" t="str">
        <f>IFERROR(__xludf.DUMMYFUNCTION("""COMPUTED_VALUE"""),"NEWBIE")</f>
        <v>NEWBIE</v>
      </c>
      <c r="BY747" s="80"/>
      <c r="BZ747" s="80"/>
      <c r="CA747" s="80"/>
      <c r="CB747" s="80"/>
      <c r="CC747" s="80"/>
      <c r="CD747" s="80"/>
      <c r="CE747" s="80"/>
      <c r="CF747" s="80"/>
      <c r="CG747" s="80"/>
      <c r="CH747" s="80"/>
      <c r="CI747" s="80"/>
      <c r="CJ747" s="80"/>
      <c r="CK747" s="2"/>
    </row>
    <row r="748" ht="12.75" customHeight="1">
      <c r="A748" s="85">
        <f>IFERROR(__xludf.DUMMYFUNCTION("""COMPUTED_VALUE"""),744.0)</f>
        <v>744</v>
      </c>
      <c r="B748" s="85"/>
      <c r="C748" s="85"/>
      <c r="D748" s="86">
        <f>IFERROR(__xludf.DUMMYFUNCTION("""COMPUTED_VALUE"""),46008.0)</f>
        <v>46008</v>
      </c>
      <c r="E748" s="88"/>
      <c r="F748" s="85"/>
      <c r="G748" s="86"/>
      <c r="H748" s="85"/>
      <c r="I748" s="85"/>
      <c r="J748" s="85"/>
      <c r="K748" s="85"/>
      <c r="L748" s="85"/>
      <c r="M748" s="85" t="str">
        <f>IFERROR(__xludf.DUMMYFUNCTION("""COMPUTED_VALUE"""),"ü")</f>
        <v>ü</v>
      </c>
      <c r="N748" s="85"/>
      <c r="O748" s="85"/>
      <c r="P748" s="85" t="str">
        <f>IFERROR(__xludf.DUMMYFUNCTION("""COMPUTED_VALUE"""),"MUCSPA63318PSIND")</f>
        <v>MUCSPA63318PSIND</v>
      </c>
      <c r="Q748" s="85" t="str">
        <f>IFERROR(__xludf.DUMMYFUNCTION("""COMPUTED_VALUE"""),"MUC F2H")</f>
        <v>MUC F2H</v>
      </c>
      <c r="R748" s="85" t="str">
        <f>IFERROR(__xludf.DUMMYFUNCTION("""COMPUTED_VALUE"""),"MUC F2H")</f>
        <v>MUC F2H</v>
      </c>
      <c r="S748" s="85" t="str">
        <f>IFERROR(__xludf.DUMMYFUNCTION("""COMPUTED_VALUE"""),"ZULKARNAIN. KS")</f>
        <v>ZULKARNAIN. KS</v>
      </c>
      <c r="T748" s="85" t="str">
        <f>IFERROR(__xludf.DUMMYFUNCTION("""COMPUTED_VALUE"""),"DESA SUA SUA, Desa SUA-SUA, SIMEULUE TIMUR")</f>
        <v>DESA SUA SUA, Desa SUA-SUA, SIMEULUE TIMUR</v>
      </c>
      <c r="U748" s="85" t="str">
        <f>IFERROR(__xludf.DUMMYFUNCTION("""COMPUTED_VALUE"""),"Desa Sua-Sua ")</f>
        <v>Desa Sua-Sua </v>
      </c>
      <c r="V748" s="85"/>
      <c r="W748" s="85" t="str">
        <f>IFERROR(__xludf.DUMMYFUNCTION("""COMPUTED_VALUE"""),"Desa Sua-Sua ")</f>
        <v>Desa Sua-Sua </v>
      </c>
      <c r="X748" s="85" t="str">
        <f>IFERROR(__xludf.DUMMYFUNCTION("""COMPUTED_VALUE"""),"Teupah Tengah ")</f>
        <v>Teupah Tengah </v>
      </c>
      <c r="Y748" s="85" t="str">
        <f>IFERROR(__xludf.DUMMYFUNCTION("""COMPUTED_VALUE"""),"Kab.Simeulue ")</f>
        <v>Kab.Simeulue </v>
      </c>
      <c r="Z748" s="85" t="str">
        <f>IFERROR(__xludf.DUMMYFUNCTION("""COMPUTED_VALUE"""),"Aceh")</f>
        <v>Aceh</v>
      </c>
      <c r="AA748" s="85" t="str">
        <f>IFERROR(__xludf.DUMMYFUNCTION("""COMPUTED_VALUE"""),"23892")</f>
        <v>23892</v>
      </c>
      <c r="AB748" s="85" t="str">
        <f>IFERROR(__xludf.DUMMYFUNCTION("""COMPUTED_VALUE"""),"1109043110770001")</f>
        <v>1109043110770001</v>
      </c>
      <c r="AC748" s="85" t="str">
        <f>IFERROR(__xludf.DUMMYFUNCTION("""COMPUTED_VALUE"""),"69.500.597.5-106.000")</f>
        <v>69.500.597.5-106.000</v>
      </c>
      <c r="AD748" s="85" t="str">
        <f>IFERROR(__xludf.DUMMYFUNCTION("""COMPUTED_VALUE"""),"CUM - PS - SRMI")</f>
        <v>CUM - PS - SRMI</v>
      </c>
      <c r="AE748" s="85" t="str">
        <f>IFERROR(__xludf.DUMMYFUNCTION("""COMPUTED_VALUE"""),"MALIK MEULABOH")</f>
        <v>MALIK MEULABOH</v>
      </c>
      <c r="AF748" s="85" t="str">
        <f>IFERROR(__xludf.DUMMYFUNCTION("""COMPUTED_VALUE"""),"082368558151")</f>
        <v>082368558151</v>
      </c>
      <c r="AG748" s="85"/>
      <c r="AH748" s="85" t="str">
        <f>IFERROR(__xludf.DUMMYFUNCTION("""COMPUTED_VALUE"""),"zulkarnainks212@gmail.com")</f>
        <v>zulkarnainks212@gmail.com</v>
      </c>
      <c r="AI748" s="85"/>
      <c r="AJ748" s="85"/>
      <c r="AK748" s="85"/>
      <c r="AL748" s="85"/>
      <c r="AM748" s="85" t="str">
        <f>IFERROR(__xludf.DUMMYFUNCTION("""COMPUTED_VALUE"""),"KANTOR REGIONAL I MEDAN 20004")</f>
        <v>KANTOR REGIONAL I MEDAN 20004</v>
      </c>
      <c r="AN748" s="85" t="str">
        <f>IFERROR(__xludf.DUMMYFUNCTION("""COMPUTED_VALUE"""),"KC MEULABOH")</f>
        <v>KC MEULABOH</v>
      </c>
      <c r="AO748" s="85" t="str">
        <f>IFERROR(__xludf.DUMMYFUNCTION("""COMPUTED_VALUE"""),"MENYUSUL")</f>
        <v>MENYUSUL</v>
      </c>
      <c r="AP748" s="85" t="str">
        <f>IFERROR(__xludf.DUMMYFUNCTION("""COMPUTED_VALUE"""),"MENYUSUL")</f>
        <v>MENYUSUL</v>
      </c>
      <c r="AQ748" s="93"/>
      <c r="AR748" s="85"/>
      <c r="AS748" s="85"/>
      <c r="AT748" s="85" t="str">
        <f>IFERROR(__xludf.DUMMYFUNCTION("""COMPUTED_VALUE"""),"2.414922")</f>
        <v>2.414922</v>
      </c>
      <c r="AU748" s="85" t="str">
        <f>IFERROR(__xludf.DUMMYFUNCTION("""COMPUTED_VALUE"""),"96.320447")</f>
        <v>96.320447</v>
      </c>
      <c r="AV748" s="85"/>
      <c r="AW748" s="85"/>
      <c r="AX748" s="85"/>
      <c r="AY748" s="85"/>
      <c r="AZ748" s="85"/>
      <c r="BA748" s="85"/>
      <c r="BB748" s="85"/>
      <c r="BC748" s="85"/>
      <c r="BD748" s="85"/>
      <c r="BE748" s="85"/>
      <c r="BF748" s="85"/>
      <c r="BG748" s="85"/>
      <c r="BH748" s="85"/>
      <c r="BI748" s="85"/>
      <c r="BJ748" s="85"/>
      <c r="BK748" s="85"/>
      <c r="BL748" s="85"/>
      <c r="BM748" s="85"/>
      <c r="BN748" s="85"/>
      <c r="BO748" s="85"/>
      <c r="BP748" s="85"/>
      <c r="BQ748" s="85"/>
      <c r="BR748" s="85"/>
      <c r="BS748" s="85"/>
      <c r="BT748" s="85"/>
      <c r="BU748" s="85"/>
      <c r="BV748" s="85"/>
      <c r="BW748" s="85"/>
      <c r="BX748" s="85" t="str">
        <f>IFERROR(__xludf.DUMMYFUNCTION("""COMPUTED_VALUE"""),"NEWBIE")</f>
        <v>NEWBIE</v>
      </c>
      <c r="BY748" s="85"/>
      <c r="BZ748" s="85"/>
      <c r="CA748" s="85"/>
      <c r="CB748" s="85"/>
      <c r="CC748" s="85"/>
      <c r="CD748" s="85"/>
      <c r="CE748" s="85"/>
      <c r="CF748" s="85"/>
      <c r="CG748" s="85"/>
      <c r="CH748" s="85"/>
      <c r="CI748" s="85"/>
      <c r="CJ748" s="85"/>
      <c r="CK748" s="2"/>
    </row>
    <row r="749" ht="12.75" customHeight="1">
      <c r="A749" s="80">
        <f>IFERROR(__xludf.DUMMYFUNCTION("""COMPUTED_VALUE"""),745.0)</f>
        <v>745</v>
      </c>
      <c r="B749" s="80"/>
      <c r="C749" s="80"/>
      <c r="D749" s="81">
        <f>IFERROR(__xludf.DUMMYFUNCTION("""COMPUTED_VALUE"""),46008.0)</f>
        <v>46008</v>
      </c>
      <c r="E749" s="82"/>
      <c r="F749" s="80"/>
      <c r="G749" s="81">
        <f>IFERROR(__xludf.DUMMYFUNCTION("""COMPUTED_VALUE"""),46094.0)</f>
        <v>46094</v>
      </c>
      <c r="H749" s="80"/>
      <c r="I749" s="80"/>
      <c r="J749" s="80"/>
      <c r="K749" s="80"/>
      <c r="L749" s="80">
        <f>IFERROR(__xludf.DUMMYFUNCTION("""COMPUTED_VALUE"""),86.0)</f>
        <v>86</v>
      </c>
      <c r="M749" s="80" t="str">
        <f>IFERROR(__xludf.DUMMYFUNCTION("""COMPUTED_VALUE"""),"ü")</f>
        <v>ü</v>
      </c>
      <c r="N749" s="80"/>
      <c r="O749" s="80"/>
      <c r="P749" s="80" t="str">
        <f>IFERROR(__xludf.DUMMYFUNCTION("""COMPUTED_VALUE"""),"MUCSPA63319PSIND")</f>
        <v>MUCSPA63319PSIND</v>
      </c>
      <c r="Q749" s="80" t="str">
        <f>IFERROR(__xludf.DUMMYFUNCTION("""COMPUTED_VALUE"""),"MUC TOKO WENO")</f>
        <v>MUC TOKO WENO</v>
      </c>
      <c r="R749" s="80" t="str">
        <f>IFERROR(__xludf.DUMMYFUNCTION("""COMPUTED_VALUE"""),"MUC TOKO WENO")</f>
        <v>MUC TOKO WENO</v>
      </c>
      <c r="S749" s="80" t="str">
        <f>IFERROR(__xludf.DUMMYFUNCTION("""COMPUTED_VALUE"""),"SUWENO ALBINTORO")</f>
        <v>SUWENO ALBINTORO</v>
      </c>
      <c r="T749" s="80" t="str">
        <f>IFERROR(__xludf.DUMMYFUNCTION("""COMPUTED_VALUE"""),"DUSUN VI, HARAPAN JAYA, TANAH ABANG, KAB. PENUKAL ABAB LEMATANG, SUMATERA SELATAN")</f>
        <v>DUSUN VI, HARAPAN JAYA, TANAH ABANG, KAB. PENUKAL ABAB LEMATANG, SUMATERA SELATAN</v>
      </c>
      <c r="U749" s="80" t="str">
        <f>IFERROR(__xludf.DUMMYFUNCTION("""COMPUTED_VALUE"""),"Dusun 6")</f>
        <v>Dusun 6</v>
      </c>
      <c r="V749" s="80"/>
      <c r="W749" s="80" t="str">
        <f>IFERROR(__xludf.DUMMYFUNCTION("""COMPUTED_VALUE"""),"Harapan Jaya")</f>
        <v>Harapan Jaya</v>
      </c>
      <c r="X749" s="80" t="str">
        <f>IFERROR(__xludf.DUMMYFUNCTION("""COMPUTED_VALUE"""),"Tanah Abang")</f>
        <v>Tanah Abang</v>
      </c>
      <c r="Y749" s="80" t="str">
        <f>IFERROR(__xludf.DUMMYFUNCTION("""COMPUTED_VALUE"""),"Pali")</f>
        <v>Pali</v>
      </c>
      <c r="Z749" s="80" t="str">
        <f>IFERROR(__xludf.DUMMYFUNCTION("""COMPUTED_VALUE"""),"Sumatera Selatan")</f>
        <v>Sumatera Selatan</v>
      </c>
      <c r="AA749" s="80" t="str">
        <f>IFERROR(__xludf.DUMMYFUNCTION("""COMPUTED_VALUE"""),"31314")</f>
        <v>31314</v>
      </c>
      <c r="AB749" s="80" t="str">
        <f>IFERROR(__xludf.DUMMYFUNCTION("""COMPUTED_VALUE"""),"1603122806980001")</f>
        <v>1603122806980001</v>
      </c>
      <c r="AC749" s="80" t="str">
        <f>IFERROR(__xludf.DUMMYFUNCTION("""COMPUTED_VALUE"""),"1603 1228 0698 0001")</f>
        <v>1603 1228 0698 0001</v>
      </c>
      <c r="AD749" s="80" t="str">
        <f>IFERROR(__xludf.DUMMYFUNCTION("""COMPUTED_VALUE"""),"NON KORGEN")</f>
        <v>NON KORGEN</v>
      </c>
      <c r="AE749" s="80" t="str">
        <f>IFERROR(__xludf.DUMMYFUNCTION("""COMPUTED_VALUE"""),"KC PARIAMAN")</f>
        <v>KC PARIAMAN</v>
      </c>
      <c r="AF749" s="80" t="str">
        <f>IFERROR(__xludf.DUMMYFUNCTION("""COMPUTED_VALUE"""),"082306602516")</f>
        <v>082306602516</v>
      </c>
      <c r="AG749" s="80"/>
      <c r="AH749" s="80" t="str">
        <f>IFERROR(__xludf.DUMMYFUNCTION("""COMPUTED_VALUE"""),"tokoweno@gmail.com")</f>
        <v>tokoweno@gmail.com</v>
      </c>
      <c r="AI749" s="80" t="str">
        <f>IFERROR(__xludf.DUMMYFUNCTION("""COMPUTED_VALUE"""),"31265S1")</f>
        <v>31265S1</v>
      </c>
      <c r="AJ749" s="80" t="str">
        <f>IFERROR(__xludf.DUMMYFUNCTION("""COMPUTED_VALUE"""),"69b35f29f1927a093e060edb")</f>
        <v>69b35f29f1927a093e060edb</v>
      </c>
      <c r="AK749" s="80" t="str">
        <f>IFERROR(__xludf.DUMMYFUNCTION("""COMPUTED_VALUE"""),"tokoweno@gmail.com")</f>
        <v>tokoweno@gmail.com</v>
      </c>
      <c r="AL749" s="80" t="str">
        <f>IFERROR(__xludf.DUMMYFUNCTION("""COMPUTED_VALUE"""),"#Muc31265S1$")</f>
        <v>#Muc31265S1$</v>
      </c>
      <c r="AM749" s="80" t="str">
        <f>IFERROR(__xludf.DUMMYFUNCTION("""COMPUTED_VALUE"""),"KANTOR REGIONAL I MEDAN 20004")</f>
        <v>KANTOR REGIONAL I MEDAN 20004</v>
      </c>
      <c r="AN749" s="80" t="str">
        <f>IFERROR(__xludf.DUMMYFUNCTION("""COMPUTED_VALUE"""),"KC PRABUMULIH")</f>
        <v>KC PRABUMULIH</v>
      </c>
      <c r="AO749" s="80" t="str">
        <f>IFERROR(__xludf.DUMMYFUNCTION("""COMPUTED_VALUE"""),"MENYUSUL")</f>
        <v>MENYUSUL</v>
      </c>
      <c r="AP749" s="80" t="str">
        <f>IFERROR(__xludf.DUMMYFUNCTION("""COMPUTED_VALUE"""),"MENYUSUL")</f>
        <v>MENYUSUL</v>
      </c>
      <c r="AQ749" s="83"/>
      <c r="AR749" s="80"/>
      <c r="AS749" s="80"/>
      <c r="AT749" s="80" t="str">
        <f>IFERROR(__xludf.DUMMYFUNCTION("""COMPUTED_VALUE"""),"-3.278641")</f>
        <v>-3.278641</v>
      </c>
      <c r="AU749" s="80" t="str">
        <f>IFERROR(__xludf.DUMMYFUNCTION("""COMPUTED_VALUE"""),"104.146635")</f>
        <v>104.146635</v>
      </c>
      <c r="AV749" s="80"/>
      <c r="AW749" s="80"/>
      <c r="AX749" s="80"/>
      <c r="AY749" s="80"/>
      <c r="AZ749" s="80"/>
      <c r="BA749" s="80"/>
      <c r="BB749" s="80"/>
      <c r="BC749" s="80"/>
      <c r="BD749" s="80"/>
      <c r="BE749" s="80"/>
      <c r="BF749" s="80"/>
      <c r="BG749" s="80"/>
      <c r="BH749" s="80"/>
      <c r="BI749" s="80"/>
      <c r="BJ749" s="80"/>
      <c r="BK749" s="80"/>
      <c r="BL749" s="80"/>
      <c r="BM749" s="80"/>
      <c r="BN749" s="80"/>
      <c r="BO749" s="80"/>
      <c r="BP749" s="80"/>
      <c r="BQ749" s="80"/>
      <c r="BR749" s="80"/>
      <c r="BS749" s="80"/>
      <c r="BT749" s="80"/>
      <c r="BU749" s="80"/>
      <c r="BV749" s="80"/>
      <c r="BW749" s="80"/>
      <c r="BX749" s="80" t="str">
        <f>IFERROR(__xludf.DUMMYFUNCTION("""COMPUTED_VALUE"""),"NEWBIE")</f>
        <v>NEWBIE</v>
      </c>
      <c r="BY749" s="80"/>
      <c r="BZ749" s="80"/>
      <c r="CA749" s="80"/>
      <c r="CB749" s="80"/>
      <c r="CC749" s="80"/>
      <c r="CD749" s="80"/>
      <c r="CE749" s="80"/>
      <c r="CF749" s="80"/>
      <c r="CG749" s="80"/>
      <c r="CH749" s="80"/>
      <c r="CI749" s="80"/>
      <c r="CJ749" s="80"/>
      <c r="CK749" s="2"/>
    </row>
    <row r="750" ht="12.75" customHeight="1">
      <c r="A750" s="85">
        <f>IFERROR(__xludf.DUMMYFUNCTION("""COMPUTED_VALUE"""),746.0)</f>
        <v>746</v>
      </c>
      <c r="B750" s="85"/>
      <c r="C750" s="85"/>
      <c r="D750" s="86">
        <f>IFERROR(__xludf.DUMMYFUNCTION("""COMPUTED_VALUE"""),46010.0)</f>
        <v>46010</v>
      </c>
      <c r="E750" s="88"/>
      <c r="F750" s="85"/>
      <c r="G750" s="86">
        <f>IFERROR(__xludf.DUMMYFUNCTION("""COMPUTED_VALUE"""),46125.0)</f>
        <v>46125</v>
      </c>
      <c r="H750" s="85"/>
      <c r="I750" s="85"/>
      <c r="J750" s="85"/>
      <c r="K750" s="85"/>
      <c r="L750" s="85">
        <f>IFERROR(__xludf.DUMMYFUNCTION("""COMPUTED_VALUE"""),115.0)</f>
        <v>115</v>
      </c>
      <c r="M750" s="85" t="str">
        <f>IFERROR(__xludf.DUMMYFUNCTION("""COMPUTED_VALUE"""),"ü")</f>
        <v>ü</v>
      </c>
      <c r="N750" s="85"/>
      <c r="O750" s="85"/>
      <c r="P750" s="85" t="str">
        <f>IFERROR(__xludf.DUMMYFUNCTION("""COMPUTED_VALUE"""),"53BSPA09769JBEEN")</f>
        <v>53BSPA09769JBEEN</v>
      </c>
      <c r="Q750" s="85" t="str">
        <f>IFERROR(__xludf.DUMMYFUNCTION("""COMPUTED_VALUE"""),"MUC DITO CELL")</f>
        <v>MUC DITO CELL</v>
      </c>
      <c r="R750" s="85" t="str">
        <f>IFERROR(__xludf.DUMMYFUNCTION("""COMPUTED_VALUE"""),"MUC DITO CELL")</f>
        <v>MUC DITO CELL</v>
      </c>
      <c r="S750" s="85" t="str">
        <f>IFERROR(__xludf.DUMMYFUNCTION("""COMPUTED_VALUE"""),"DEBORA FEBE WILLIANI")</f>
        <v>DEBORA FEBE WILLIANI</v>
      </c>
      <c r="T750" s="85" t="str">
        <f>IFERROR(__xludf.DUMMYFUNCTION("""COMPUTED_VALUE"""),"BOGANGIN GANG 11/B/8 RT 002 RW 005, KEDURUS, KARANG PILANG, KOTA SURABAYA, JAWA TIMUR")</f>
        <v>BOGANGIN GANG 11/B/8 RT 002 RW 005, KEDURUS, KARANG PILANG, KOTA SURABAYA, JAWA TIMUR</v>
      </c>
      <c r="U750" s="85" t="str">
        <f>IFERROR(__xludf.DUMMYFUNCTION("""COMPUTED_VALUE"""),"Jl. Cendrawasih I No.25 Ngeni ")</f>
        <v>Jl. Cendrawasih I No.25 Ngeni </v>
      </c>
      <c r="V750" s="85"/>
      <c r="W750" s="85" t="str">
        <f>IFERROR(__xludf.DUMMYFUNCTION("""COMPUTED_VALUE"""),"Kepuhkiriman")</f>
        <v>Kepuhkiriman</v>
      </c>
      <c r="X750" s="85" t="str">
        <f>IFERROR(__xludf.DUMMYFUNCTION("""COMPUTED_VALUE"""),"Waru")</f>
        <v>Waru</v>
      </c>
      <c r="Y750" s="85" t="str">
        <f>IFERROR(__xludf.DUMMYFUNCTION("""COMPUTED_VALUE"""),"Kab. Sidoarjo")</f>
        <v>Kab. Sidoarjo</v>
      </c>
      <c r="Z750" s="85" t="str">
        <f>IFERROR(__xludf.DUMMYFUNCTION("""COMPUTED_VALUE"""),"Jawa Timur")</f>
        <v>Jawa Timur</v>
      </c>
      <c r="AA750" s="85" t="str">
        <f>IFERROR(__xludf.DUMMYFUNCTION("""COMPUTED_VALUE"""),"61256")</f>
        <v>61256</v>
      </c>
      <c r="AB750" s="85" t="str">
        <f>IFERROR(__xludf.DUMMYFUNCTION("""COMPUTED_VALUE"""),"3578014102860001")</f>
        <v>3578014102860001</v>
      </c>
      <c r="AC750" s="85" t="str">
        <f>IFERROR(__xludf.DUMMYFUNCTION("""COMPUTED_VALUE"""),"81.632.600.3-618.000")</f>
        <v>81.632.600.3-618.000</v>
      </c>
      <c r="AD750" s="85" t="str">
        <f>IFERROR(__xludf.DUMMYFUNCTION("""COMPUTED_VALUE"""),"CUM - EEN")</f>
        <v>CUM - EEN</v>
      </c>
      <c r="AE750" s="85" t="str">
        <f>IFERROR(__xludf.DUMMYFUNCTION("""COMPUTED_VALUE"""),"SUB EEN")</f>
        <v>SUB EEN</v>
      </c>
      <c r="AF750" s="85" t="str">
        <f>IFERROR(__xludf.DUMMYFUNCTION("""COMPUTED_VALUE"""),"081232532251")</f>
        <v>081232532251</v>
      </c>
      <c r="AG750" s="85"/>
      <c r="AH750" s="85" t="str">
        <f>IFERROR(__xludf.DUMMYFUNCTION("""COMPUTED_VALUE"""),"deborafebe@gmail.com")</f>
        <v>deborafebe@gmail.com</v>
      </c>
      <c r="AI750" s="85" t="str">
        <f>IFERROR(__xludf.DUMMYFUNCTION("""COMPUTED_VALUE"""),"61256VA")</f>
        <v>61256VA</v>
      </c>
      <c r="AJ750" s="85" t="str">
        <f>IFERROR(__xludf.DUMMYFUNCTION("""COMPUTED_VALUE"""),"69d9ee9768a3a5b9f2094d1e")</f>
        <v>69d9ee9768a3a5b9f2094d1e</v>
      </c>
      <c r="AK750" s="85" t="str">
        <f>IFERROR(__xludf.DUMMYFUNCTION("""COMPUTED_VALUE"""),"deborafebe@gmail.com")</f>
        <v>deborafebe@gmail.com</v>
      </c>
      <c r="AL750" s="85" t="str">
        <f>IFERROR(__xludf.DUMMYFUNCTION("""COMPUTED_VALUE"""),"#Muc61256VA$")</f>
        <v>#Muc61256VA$</v>
      </c>
      <c r="AM750" s="85" t="str">
        <f>IFERROR(__xludf.DUMMYFUNCTION("""COMPUTED_VALUE"""),"KANTOR REGIONAL V SURABAYA 60004")</f>
        <v>KANTOR REGIONAL V SURABAYA 60004</v>
      </c>
      <c r="AN750" s="85" t="str">
        <f>IFERROR(__xludf.DUMMYFUNCTION("""COMPUTED_VALUE"""),"KC SIDOARJO")</f>
        <v>KC SIDOARJO</v>
      </c>
      <c r="AO750" s="85" t="str">
        <f>IFERROR(__xludf.DUMMYFUNCTION("""COMPUTED_VALUE"""),"MENYUSUL")</f>
        <v>MENYUSUL</v>
      </c>
      <c r="AP750" s="85" t="str">
        <f>IFERROR(__xludf.DUMMYFUNCTION("""COMPUTED_VALUE"""),"MENYUSUL")</f>
        <v>MENYUSUL</v>
      </c>
      <c r="AQ750" s="93"/>
      <c r="AR750" s="85"/>
      <c r="AS750" s="85"/>
      <c r="AT750" s="85" t="str">
        <f>IFERROR(__xludf.DUMMYFUNCTION("""COMPUTED_VALUE"""),"-7.349675")</f>
        <v>-7.349675</v>
      </c>
      <c r="AU750" s="85" t="str">
        <f>IFERROR(__xludf.DUMMYFUNCTION("""COMPUTED_VALUE"""),"112.755688")</f>
        <v>112.755688</v>
      </c>
      <c r="AV750" s="85"/>
      <c r="AW750" s="85"/>
      <c r="AX750" s="85"/>
      <c r="AY750" s="85"/>
      <c r="AZ750" s="85"/>
      <c r="BA750" s="85"/>
      <c r="BB750" s="85"/>
      <c r="BC750" s="85"/>
      <c r="BD750" s="85"/>
      <c r="BE750" s="85"/>
      <c r="BF750" s="85"/>
      <c r="BG750" s="85"/>
      <c r="BH750" s="85"/>
      <c r="BI750" s="85"/>
      <c r="BJ750" s="85"/>
      <c r="BK750" s="85"/>
      <c r="BL750" s="85"/>
      <c r="BM750" s="85"/>
      <c r="BN750" s="85"/>
      <c r="BO750" s="85"/>
      <c r="BP750" s="85"/>
      <c r="BQ750" s="85"/>
      <c r="BR750" s="85"/>
      <c r="BS750" s="85"/>
      <c r="BT750" s="85"/>
      <c r="BU750" s="85"/>
      <c r="BV750" s="85"/>
      <c r="BW750" s="85"/>
      <c r="BX750" s="85" t="str">
        <f>IFERROR(__xludf.DUMMYFUNCTION("""COMPUTED_VALUE"""),"MULTIKURIR - WAHANA")</f>
        <v>MULTIKURIR - WAHANA</v>
      </c>
      <c r="BY750" s="85"/>
      <c r="BZ750" s="85"/>
      <c r="CA750" s="85"/>
      <c r="CB750" s="85"/>
      <c r="CC750" s="85"/>
      <c r="CD750" s="85"/>
      <c r="CE750" s="85"/>
      <c r="CF750" s="85"/>
      <c r="CG750" s="85"/>
      <c r="CH750" s="85"/>
      <c r="CI750" s="85"/>
      <c r="CJ750" s="85"/>
      <c r="CK750" s="2"/>
    </row>
    <row r="751" ht="12.75" customHeight="1">
      <c r="A751" s="80">
        <f>IFERROR(__xludf.DUMMYFUNCTION("""COMPUTED_VALUE"""),747.0)</f>
        <v>747</v>
      </c>
      <c r="B751" s="80"/>
      <c r="C751" s="80"/>
      <c r="D751" s="81">
        <f>IFERROR(__xludf.DUMMYFUNCTION("""COMPUTED_VALUE"""),46010.0)</f>
        <v>46010</v>
      </c>
      <c r="E751" s="82"/>
      <c r="F751" s="80"/>
      <c r="G751" s="81">
        <f>IFERROR(__xludf.DUMMYFUNCTION("""COMPUTED_VALUE"""),46014.0)</f>
        <v>46014</v>
      </c>
      <c r="H751" s="80"/>
      <c r="I751" s="80"/>
      <c r="J751" s="80"/>
      <c r="K751" s="80"/>
      <c r="L751" s="80">
        <f>IFERROR(__xludf.DUMMYFUNCTION("""COMPUTED_VALUE"""),4.0)</f>
        <v>4</v>
      </c>
      <c r="M751" s="80" t="str">
        <f>IFERROR(__xludf.DUMMYFUNCTION("""COMPUTED_VALUE"""),"ü")</f>
        <v>ü</v>
      </c>
      <c r="N751" s="80"/>
      <c r="O751" s="80"/>
      <c r="P751" s="80" t="str">
        <f>IFERROR(__xludf.DUMMYFUNCTION("""COMPUTED_VALUE"""),"MUCSPA63320PSIND")</f>
        <v>MUCSPA63320PSIND</v>
      </c>
      <c r="Q751" s="80" t="str">
        <f>IFERROR(__xludf.DUMMYFUNCTION("""COMPUTED_VALUE"""),"MUC WARKOP")</f>
        <v>MUC WARKOP</v>
      </c>
      <c r="R751" s="80" t="str">
        <f>IFERROR(__xludf.DUMMYFUNCTION("""COMPUTED_VALUE"""),"MUC WARKOP")</f>
        <v>MUC WARKOP</v>
      </c>
      <c r="S751" s="80" t="str">
        <f>IFERROR(__xludf.DUMMYFUNCTION("""COMPUTED_VALUE"""),"Sukamto ")</f>
        <v>Sukamto </v>
      </c>
      <c r="T751" s="80" t="str">
        <f>IFERROR(__xludf.DUMMYFUNCTION("""COMPUTED_VALUE"""),"Turiharjo 04/05 Madegondo, Grogol, Sukoharjo ")</f>
        <v>Turiharjo 04/05 Madegondo, Grogol, Sukoharjo </v>
      </c>
      <c r="U751" s="80" t="str">
        <f>IFERROR(__xludf.DUMMYFUNCTION("""COMPUTED_VALUE"""),"Terminal Tawangsari No 11")</f>
        <v>Terminal Tawangsari No 11</v>
      </c>
      <c r="V751" s="80"/>
      <c r="W751" s="80" t="str">
        <f>IFERROR(__xludf.DUMMYFUNCTION("""COMPUTED_VALUE"""),"Kateguhan ")</f>
        <v>Kateguhan </v>
      </c>
      <c r="X751" s="80" t="str">
        <f>IFERROR(__xludf.DUMMYFUNCTION("""COMPUTED_VALUE"""),"Tawangsari ")</f>
        <v>Tawangsari </v>
      </c>
      <c r="Y751" s="80" t="str">
        <f>IFERROR(__xludf.DUMMYFUNCTION("""COMPUTED_VALUE"""),"Sukoharjo ")</f>
        <v>Sukoharjo </v>
      </c>
      <c r="Z751" s="80" t="str">
        <f>IFERROR(__xludf.DUMMYFUNCTION("""COMPUTED_VALUE"""),"Jateng ")</f>
        <v>Jateng </v>
      </c>
      <c r="AA751" s="80" t="str">
        <f>IFERROR(__xludf.DUMMYFUNCTION("""COMPUTED_VALUE"""),"57561")</f>
        <v>57561</v>
      </c>
      <c r="AB751" s="80" t="str">
        <f>IFERROR(__xludf.DUMMYFUNCTION("""COMPUTED_VALUE"""),"3311092610790003")</f>
        <v>3311092610790003</v>
      </c>
      <c r="AC751" s="80" t="str">
        <f>IFERROR(__xludf.DUMMYFUNCTION("""COMPUTED_VALUE"""),"58.187.023.5-532.000")</f>
        <v>58.187.023.5-532.000</v>
      </c>
      <c r="AD751" s="80" t="str">
        <f>IFERROR(__xludf.DUMMYFUNCTION("""COMPUTED_VALUE"""),"CUM - PS - TSHI")</f>
        <v>CUM - PS - TSHI</v>
      </c>
      <c r="AE751" s="80" t="str">
        <f>IFERROR(__xludf.DUMMYFUNCTION("""COMPUTED_VALUE"""),"SUB TRI SEPTI HANDAYANI POS")</f>
        <v>SUB TRI SEPTI HANDAYANI POS</v>
      </c>
      <c r="AF751" s="80" t="str">
        <f>IFERROR(__xludf.DUMMYFUNCTION("""COMPUTED_VALUE"""),"089607800091")</f>
        <v>089607800091</v>
      </c>
      <c r="AG751" s="80"/>
      <c r="AH751" s="80" t="str">
        <f>IFERROR(__xludf.DUMMYFUNCTION("""COMPUTED_VALUE"""),"kamtokamto988@gmail.com")</f>
        <v>kamtokamto988@gmail.com</v>
      </c>
      <c r="AI751" s="80" t="str">
        <f>IFERROR(__xludf.DUMMYFUNCTION("""COMPUTED_VALUE"""),"57561S1")</f>
        <v>57561S1</v>
      </c>
      <c r="AJ751" s="80" t="str">
        <f>IFERROR(__xludf.DUMMYFUNCTION("""COMPUTED_VALUE"""),"694a4717a5ce591ca40848d9")</f>
        <v>694a4717a5ce591ca40848d9</v>
      </c>
      <c r="AK751" s="80" t="str">
        <f>IFERROR(__xludf.DUMMYFUNCTION("""COMPUTED_VALUE"""),"kamtokamto988@gmail.com")</f>
        <v>kamtokamto988@gmail.com</v>
      </c>
      <c r="AL751" s="80" t="str">
        <f>IFERROR(__xludf.DUMMYFUNCTION("""COMPUTED_VALUE"""),"#Des57561$")</f>
        <v>#Des57561$</v>
      </c>
      <c r="AM751" s="80" t="str">
        <f>IFERROR(__xludf.DUMMYFUNCTION("""COMPUTED_VALUE"""),"KANTOR REGIONAL IV SEMARANG 50004")</f>
        <v>KANTOR REGIONAL IV SEMARANG 50004</v>
      </c>
      <c r="AN751" s="80" t="str">
        <f>IFERROR(__xludf.DUMMYFUNCTION("""COMPUTED_VALUE"""),"KC SUKOHARJO")</f>
        <v>KC SUKOHARJO</v>
      </c>
      <c r="AO751" s="80" t="str">
        <f>IFERROR(__xludf.DUMMYFUNCTION("""COMPUTED_VALUE"""),"0406250025225")</f>
        <v>0406250025225</v>
      </c>
      <c r="AP751" s="80" t="str">
        <f>IFERROR(__xludf.DUMMYFUNCTION("""COMPUTED_VALUE"""),"MENYUSUL")</f>
        <v>MENYUSUL</v>
      </c>
      <c r="AQ751" s="83"/>
      <c r="AR751" s="80"/>
      <c r="AS751" s="80"/>
      <c r="AT751" s="80" t="str">
        <f>IFERROR(__xludf.DUMMYFUNCTION("""COMPUTED_VALUE"""),"-7.7350216")</f>
        <v>-7.7350216</v>
      </c>
      <c r="AU751" s="80" t="str">
        <f>IFERROR(__xludf.DUMMYFUNCTION("""COMPUTED_VALUE"""),"110.7957073")</f>
        <v>110.7957073</v>
      </c>
      <c r="AV751" s="80"/>
      <c r="AW751" s="80"/>
      <c r="AX751" s="80"/>
      <c r="AY751" s="80"/>
      <c r="AZ751" s="80"/>
      <c r="BA751" s="80"/>
      <c r="BB751" s="80"/>
      <c r="BC751" s="80"/>
      <c r="BD751" s="80"/>
      <c r="BE751" s="80"/>
      <c r="BF751" s="80"/>
      <c r="BG751" s="80"/>
      <c r="BH751" s="80"/>
      <c r="BI751" s="80"/>
      <c r="BJ751" s="80"/>
      <c r="BK751" s="80"/>
      <c r="BL751" s="80"/>
      <c r="BM751" s="80"/>
      <c r="BN751" s="80"/>
      <c r="BO751" s="80"/>
      <c r="BP751" s="80"/>
      <c r="BQ751" s="80"/>
      <c r="BR751" s="80"/>
      <c r="BS751" s="80"/>
      <c r="BT751" s="80"/>
      <c r="BU751" s="80"/>
      <c r="BV751" s="80"/>
      <c r="BW751" s="80"/>
      <c r="BX751" s="80" t="str">
        <f>IFERROR(__xludf.DUMMYFUNCTION("""COMPUTED_VALUE"""),"NEWBIE")</f>
        <v>NEWBIE</v>
      </c>
      <c r="BY751" s="80"/>
      <c r="BZ751" s="80"/>
      <c r="CA751" s="80"/>
      <c r="CB751" s="80"/>
      <c r="CC751" s="80"/>
      <c r="CD751" s="80"/>
      <c r="CE751" s="80"/>
      <c r="CF751" s="80"/>
      <c r="CG751" s="80"/>
      <c r="CH751" s="80"/>
      <c r="CI751" s="80"/>
      <c r="CJ751" s="80"/>
      <c r="CK751" s="2"/>
    </row>
    <row r="752" ht="12.75" customHeight="1">
      <c r="A752" s="85">
        <f>IFERROR(__xludf.DUMMYFUNCTION("""COMPUTED_VALUE"""),748.0)</f>
        <v>748</v>
      </c>
      <c r="B752" s="85"/>
      <c r="C752" s="85"/>
      <c r="D752" s="86">
        <f>IFERROR(__xludf.DUMMYFUNCTION("""COMPUTED_VALUE"""),46010.0)</f>
        <v>46010</v>
      </c>
      <c r="E752" s="88"/>
      <c r="F752" s="85"/>
      <c r="G752" s="86"/>
      <c r="H752" s="85"/>
      <c r="I752" s="85"/>
      <c r="J752" s="85"/>
      <c r="K752" s="85"/>
      <c r="L752" s="85"/>
      <c r="M752" s="85" t="str">
        <f>IFERROR(__xludf.DUMMYFUNCTION("""COMPUTED_VALUE"""),"ü")</f>
        <v>ü</v>
      </c>
      <c r="N752" s="85"/>
      <c r="O752" s="85"/>
      <c r="P752" s="85" t="str">
        <f>IFERROR(__xludf.DUMMYFUNCTION("""COMPUTED_VALUE"""),"MUCSPA63321PSIND")</f>
        <v>MUCSPA63321PSIND</v>
      </c>
      <c r="Q752" s="85" t="str">
        <f>IFERROR(__xludf.DUMMYFUNCTION("""COMPUTED_VALUE"""),"MUC ARTHA PUTRA MANDIRI")</f>
        <v>MUC ARTHA PUTRA MANDIRI</v>
      </c>
      <c r="R752" s="85" t="str">
        <f>IFERROR(__xludf.DUMMYFUNCTION("""COMPUTED_VALUE"""),"MUC ARTHA PUTRA MANDIRI")</f>
        <v>MUC ARTHA PUTRA MANDIRI</v>
      </c>
      <c r="S752" s="85" t="str">
        <f>IFERROR(__xludf.DUMMYFUNCTION("""COMPUTED_VALUE"""),"SYAEFURIZA")</f>
        <v>SYAEFURIZA</v>
      </c>
      <c r="T752" s="85" t="str">
        <f>IFERROR(__xludf.DUMMYFUNCTION("""COMPUTED_VALUE"""),"SOKO RT.002 RW.007, CITROSONO, GRABAG, KAB. MAGELANG")</f>
        <v>SOKO RT.002 RW.007, CITROSONO, GRABAG, KAB. MAGELANG</v>
      </c>
      <c r="U752" s="85" t="str">
        <f>IFERROR(__xludf.DUMMYFUNCTION("""COMPUTED_VALUE"""),"Jl. Terusan Sersan Bajuri No.76 Rt.01/Rw.13 Ruko B")</f>
        <v>Jl. Terusan Sersan Bajuri No.76 Rt.01/Rw.13 Ruko B</v>
      </c>
      <c r="V752" s="85"/>
      <c r="W752" s="85" t="str">
        <f>IFERROR(__xludf.DUMMYFUNCTION("""COMPUTED_VALUE"""),"Cihideung")</f>
        <v>Cihideung</v>
      </c>
      <c r="X752" s="85" t="str">
        <f>IFERROR(__xludf.DUMMYFUNCTION("""COMPUTED_VALUE"""),"Parongpong")</f>
        <v>Parongpong</v>
      </c>
      <c r="Y752" s="85" t="str">
        <f>IFERROR(__xludf.DUMMYFUNCTION("""COMPUTED_VALUE"""),"Kab.Bandung Barat")</f>
        <v>Kab.Bandung Barat</v>
      </c>
      <c r="Z752" s="85" t="str">
        <f>IFERROR(__xludf.DUMMYFUNCTION("""COMPUTED_VALUE"""),"Jawa Barat")</f>
        <v>Jawa Barat</v>
      </c>
      <c r="AA752" s="85" t="str">
        <f>IFERROR(__xludf.DUMMYFUNCTION("""COMPUTED_VALUE"""),"40559")</f>
        <v>40559</v>
      </c>
      <c r="AB752" s="85" t="str">
        <f>IFERROR(__xludf.DUMMYFUNCTION("""COMPUTED_VALUE"""),"3308181505900009")</f>
        <v>3308181505900009</v>
      </c>
      <c r="AC752" s="85" t="str">
        <f>IFERROR(__xludf.DUMMYFUNCTION("""COMPUTED_VALUE"""),"95.526.210.0-524.000")</f>
        <v>95.526.210.0-524.000</v>
      </c>
      <c r="AD752" s="85" t="str">
        <f>IFERROR(__xludf.DUMMYFUNCTION("""COMPUTED_VALUE"""),"NON KORGEN")</f>
        <v>NON KORGEN</v>
      </c>
      <c r="AE752" s="85" t="str">
        <f>IFERROR(__xludf.DUMMYFUNCTION("""COMPUTED_VALUE"""),"SUB YADI MULYADI")</f>
        <v>SUB YADI MULYADI</v>
      </c>
      <c r="AF752" s="85" t="str">
        <f>IFERROR(__xludf.DUMMYFUNCTION("""COMPUTED_VALUE"""),"081298673873")</f>
        <v>081298673873</v>
      </c>
      <c r="AG752" s="85"/>
      <c r="AH752" s="85" t="str">
        <f>IFERROR(__xludf.DUMMYFUNCTION("""COMPUTED_VALUE"""),"apmcargoexpress@gmail.com")</f>
        <v>apmcargoexpress@gmail.com</v>
      </c>
      <c r="AI752" s="85"/>
      <c r="AJ752" s="85"/>
      <c r="AK752" s="85"/>
      <c r="AL752" s="85"/>
      <c r="AM752" s="85" t="str">
        <f>IFERROR(__xludf.DUMMYFUNCTION("""COMPUTED_VALUE"""),"KANTOR REGIONAL III BANDUNG 40004")</f>
        <v>KANTOR REGIONAL III BANDUNG 40004</v>
      </c>
      <c r="AN752" s="85" t="str">
        <f>IFERROR(__xludf.DUMMYFUNCTION("""COMPUTED_VALUE"""),"KC CIMAHI ")</f>
        <v>KC CIMAHI </v>
      </c>
      <c r="AO752" s="85" t="str">
        <f>IFERROR(__xludf.DUMMYFUNCTION("""COMPUTED_VALUE"""),"MENYUSUL")</f>
        <v>MENYUSUL</v>
      </c>
      <c r="AP752" s="85" t="str">
        <f>IFERROR(__xludf.DUMMYFUNCTION("""COMPUTED_VALUE"""),"MENYUSUL")</f>
        <v>MENYUSUL</v>
      </c>
      <c r="AQ752" s="93"/>
      <c r="AR752" s="85"/>
      <c r="AS752" s="85"/>
      <c r="AT752" s="85" t="str">
        <f>IFERROR(__xludf.DUMMYFUNCTION("""COMPUTED_VALUE"""),"-6.811161")</f>
        <v>-6.811161</v>
      </c>
      <c r="AU752" s="85" t="str">
        <f>IFERROR(__xludf.DUMMYFUNCTION("""COMPUTED_VALUE"""),"107.593201")</f>
        <v>107.593201</v>
      </c>
      <c r="AV752" s="85"/>
      <c r="AW752" s="85"/>
      <c r="AX752" s="85"/>
      <c r="AY752" s="85"/>
      <c r="AZ752" s="85"/>
      <c r="BA752" s="85"/>
      <c r="BB752" s="85"/>
      <c r="BC752" s="85"/>
      <c r="BD752" s="85"/>
      <c r="BE752" s="85"/>
      <c r="BF752" s="85"/>
      <c r="BG752" s="85"/>
      <c r="BH752" s="85"/>
      <c r="BI752" s="85"/>
      <c r="BJ752" s="85"/>
      <c r="BK752" s="85"/>
      <c r="BL752" s="85"/>
      <c r="BM752" s="85"/>
      <c r="BN752" s="85"/>
      <c r="BO752" s="85"/>
      <c r="BP752" s="85"/>
      <c r="BQ752" s="85"/>
      <c r="BR752" s="85"/>
      <c r="BS752" s="85"/>
      <c r="BT752" s="85"/>
      <c r="BU752" s="85"/>
      <c r="BV752" s="85"/>
      <c r="BW752" s="85"/>
      <c r="BX752" s="85" t="str">
        <f>IFERROR(__xludf.DUMMYFUNCTION("""COMPUTED_VALUE"""),"MULTIKURIR - SPL CARGO")</f>
        <v>MULTIKURIR - SPL CARGO</v>
      </c>
      <c r="BY752" s="85"/>
      <c r="BZ752" s="85"/>
      <c r="CA752" s="85"/>
      <c r="CB752" s="85"/>
      <c r="CC752" s="85"/>
      <c r="CD752" s="85"/>
      <c r="CE752" s="85"/>
      <c r="CF752" s="85"/>
      <c r="CG752" s="85"/>
      <c r="CH752" s="85"/>
      <c r="CI752" s="85"/>
      <c r="CJ752" s="85"/>
      <c r="CK752" s="2"/>
    </row>
    <row r="753" ht="12.75" customHeight="1">
      <c r="A753" s="80">
        <f>IFERROR(__xludf.DUMMYFUNCTION("""COMPUTED_VALUE"""),749.0)</f>
        <v>749</v>
      </c>
      <c r="B753" s="80"/>
      <c r="C753" s="80"/>
      <c r="D753" s="81">
        <f>IFERROR(__xludf.DUMMYFUNCTION("""COMPUTED_VALUE"""),46013.0)</f>
        <v>46013</v>
      </c>
      <c r="E753" s="82"/>
      <c r="F753" s="80"/>
      <c r="G753" s="81">
        <f>IFERROR(__xludf.DUMMYFUNCTION("""COMPUTED_VALUE"""),46027.0)</f>
        <v>46027</v>
      </c>
      <c r="H753" s="80"/>
      <c r="I753" s="80"/>
      <c r="J753" s="80"/>
      <c r="K753" s="80"/>
      <c r="L753" s="80">
        <f>IFERROR(__xludf.DUMMYFUNCTION("""COMPUTED_VALUE"""),14.0)</f>
        <v>14</v>
      </c>
      <c r="M753" s="80" t="str">
        <f>IFERROR(__xludf.DUMMYFUNCTION("""COMPUTED_VALUE"""),"ü")</f>
        <v>ü</v>
      </c>
      <c r="N753" s="80"/>
      <c r="O753" s="80"/>
      <c r="P753" s="80" t="str">
        <f>IFERROR(__xludf.DUMMYFUNCTION("""COMPUTED_VALUE"""),"MUCSPA63322PSIND")</f>
        <v>MUCSPA63322PSIND</v>
      </c>
      <c r="Q753" s="80" t="str">
        <f>IFERROR(__xludf.DUMMYFUNCTION("""COMPUTED_VALUE"""),"MUC TEFA MPLB SMKN 2 KARAWANG")</f>
        <v>MUC TEFA MPLB SMKN 2 KARAWANG</v>
      </c>
      <c r="R753" s="80" t="str">
        <f>IFERROR(__xludf.DUMMYFUNCTION("""COMPUTED_VALUE"""),"MUC TEFA MPLB SMKN 2 KARAWANG")</f>
        <v>MUC TEFA MPLB SMKN 2 KARAWANG</v>
      </c>
      <c r="S753" s="80" t="str">
        <f>IFERROR(__xludf.DUMMYFUNCTION("""COMPUTED_VALUE"""),"NURSAIDAH")</f>
        <v>NURSAIDAH</v>
      </c>
      <c r="T753" s="80" t="str">
        <f>IFERROR(__xludf.DUMMYFUNCTION("""COMPUTED_VALUE"""),"KEPUH WARENG RT 001 RW 035 NAGASARI, KARAWANG BARAT, KAB. KARAWANG")</f>
        <v>KEPUH WARENG RT 001 RW 035 NAGASARI, KARAWANG BARAT, KAB. KARAWANG</v>
      </c>
      <c r="U753" s="80" t="str">
        <f>IFERROR(__xludf.DUMMYFUNCTION("""COMPUTED_VALUE"""),"JL. BANTEN No 5 ")</f>
        <v>JL. BANTEN No 5 </v>
      </c>
      <c r="V753" s="80"/>
      <c r="W753" s="80" t="str">
        <f>IFERROR(__xludf.DUMMYFUNCTION("""COMPUTED_VALUE"""),"karang pawitan")</f>
        <v>karang pawitan</v>
      </c>
      <c r="X753" s="80" t="str">
        <f>IFERROR(__xludf.DUMMYFUNCTION("""COMPUTED_VALUE"""),"karawang barat")</f>
        <v>karawang barat</v>
      </c>
      <c r="Y753" s="80" t="str">
        <f>IFERROR(__xludf.DUMMYFUNCTION("""COMPUTED_VALUE"""),"karawang")</f>
        <v>karawang</v>
      </c>
      <c r="Z753" s="80" t="str">
        <f>IFERROR(__xludf.DUMMYFUNCTION("""COMPUTED_VALUE"""),"jawa barat")</f>
        <v>jawa barat</v>
      </c>
      <c r="AA753" s="80" t="str">
        <f>IFERROR(__xludf.DUMMYFUNCTION("""COMPUTED_VALUE"""),"43161")</f>
        <v>43161</v>
      </c>
      <c r="AB753" s="80" t="str">
        <f>IFERROR(__xludf.DUMMYFUNCTION("""COMPUTED_VALUE"""),"3215014412700006")</f>
        <v>3215014412700006</v>
      </c>
      <c r="AC753" s="80" t="str">
        <f>IFERROR(__xludf.DUMMYFUNCTION("""COMPUTED_VALUE"""),"00.135.558.5-428.000")</f>
        <v>00.135.558.5-428.000</v>
      </c>
      <c r="AD753" s="80" t="str">
        <f>IFERROR(__xludf.DUMMYFUNCTION("""COMPUTED_VALUE"""),"CUM - PS - SITI")</f>
        <v>CUM - PS - SITI</v>
      </c>
      <c r="AE753" s="80" t="str">
        <f>IFERROR(__xludf.DUMMYFUNCTION("""COMPUTED_VALUE"""),"BU GITA KCU KARAWANG")</f>
        <v>BU GITA KCU KARAWANG</v>
      </c>
      <c r="AF753" s="80" t="str">
        <f>IFERROR(__xludf.DUMMYFUNCTION("""COMPUTED_VALUE"""),"085718396150")</f>
        <v>085718396150</v>
      </c>
      <c r="AG753" s="80"/>
      <c r="AH753" s="80" t="str">
        <f>IFERROR(__xludf.DUMMYFUNCTION("""COMPUTED_VALUE"""),"simsmkn2krw@gmail.com")</f>
        <v>simsmkn2krw@gmail.com</v>
      </c>
      <c r="AI753" s="80" t="str">
        <f>IFERROR(__xludf.DUMMYFUNCTION("""COMPUTED_VALUE"""),"41315S2")</f>
        <v>41315S2</v>
      </c>
      <c r="AJ753" s="80" t="str">
        <f>IFERROR(__xludf.DUMMYFUNCTION("""COMPUTED_VALUE"""),"695c7587391f8a6f33035275")</f>
        <v>695c7587391f8a6f33035275</v>
      </c>
      <c r="AK753" s="80" t="str">
        <f>IFERROR(__xludf.DUMMYFUNCTION("""COMPUTED_VALUE"""),"simsmkn2krw@gmail.com")</f>
        <v>simsmkn2krw@gmail.com</v>
      </c>
      <c r="AL753" s="80" t="str">
        <f>IFERROR(__xludf.DUMMYFUNCTION("""COMPUTED_VALUE"""),"#Muc41315$")</f>
        <v>#Muc41315$</v>
      </c>
      <c r="AM753" s="80" t="str">
        <f>IFERROR(__xludf.DUMMYFUNCTION("""COMPUTED_VALUE"""),"KANTOR REGIONAL III BANDUNG 40004")</f>
        <v>KANTOR REGIONAL III BANDUNG 40004</v>
      </c>
      <c r="AN753" s="80" t="str">
        <f>IFERROR(__xludf.DUMMYFUNCTION("""COMPUTED_VALUE"""),"KCU KARAWANG 41300")</f>
        <v>KCU KARAWANG 41300</v>
      </c>
      <c r="AO753" s="80" t="str">
        <f>IFERROR(__xludf.DUMMYFUNCTION("""COMPUTED_VALUE"""),"MENYUSUL")</f>
        <v>MENYUSUL</v>
      </c>
      <c r="AP753" s="80" t="str">
        <f>IFERROR(__xludf.DUMMYFUNCTION("""COMPUTED_VALUE"""),"MENYUSUL")</f>
        <v>MENYUSUL</v>
      </c>
      <c r="AQ753" s="83"/>
      <c r="AR753" s="80"/>
      <c r="AS753" s="80"/>
      <c r="AT753" s="80" t="str">
        <f>IFERROR(__xludf.DUMMYFUNCTION("""COMPUTED_VALUE"""),"-6.295495")</f>
        <v>-6.295495</v>
      </c>
      <c r="AU753" s="80" t="str">
        <f>IFERROR(__xludf.DUMMYFUNCTION("""COMPUTED_VALUE"""),"107.299399")</f>
        <v>107.299399</v>
      </c>
      <c r="AV753" s="80"/>
      <c r="AW753" s="80"/>
      <c r="AX753" s="80"/>
      <c r="AY753" s="80"/>
      <c r="AZ753" s="80"/>
      <c r="BA753" s="80"/>
      <c r="BB753" s="80"/>
      <c r="BC753" s="80"/>
      <c r="BD753" s="80"/>
      <c r="BE753" s="80"/>
      <c r="BF753" s="80"/>
      <c r="BG753" s="80"/>
      <c r="BH753" s="80"/>
      <c r="BI753" s="80"/>
      <c r="BJ753" s="80"/>
      <c r="BK753" s="80"/>
      <c r="BL753" s="80"/>
      <c r="BM753" s="80"/>
      <c r="BN753" s="80"/>
      <c r="BO753" s="80"/>
      <c r="BP753" s="80"/>
      <c r="BQ753" s="80"/>
      <c r="BR753" s="80"/>
      <c r="BS753" s="80"/>
      <c r="BT753" s="80"/>
      <c r="BU753" s="80"/>
      <c r="BV753" s="80"/>
      <c r="BW753" s="80"/>
      <c r="BX753" s="80" t="str">
        <f>IFERROR(__xludf.DUMMYFUNCTION("""COMPUTED_VALUE"""),"NEWBIE")</f>
        <v>NEWBIE</v>
      </c>
      <c r="BY753" s="80"/>
      <c r="BZ753" s="80"/>
      <c r="CA753" s="80"/>
      <c r="CB753" s="80"/>
      <c r="CC753" s="80"/>
      <c r="CD753" s="80"/>
      <c r="CE753" s="80"/>
      <c r="CF753" s="80"/>
      <c r="CG753" s="80"/>
      <c r="CH753" s="80"/>
      <c r="CI753" s="80"/>
      <c r="CJ753" s="80"/>
      <c r="CK753" s="2"/>
    </row>
    <row r="754" ht="12.75" customHeight="1">
      <c r="A754" s="85">
        <f>IFERROR(__xludf.DUMMYFUNCTION("""COMPUTED_VALUE"""),750.0)</f>
        <v>750</v>
      </c>
      <c r="B754" s="85"/>
      <c r="C754" s="85"/>
      <c r="D754" s="86">
        <f>IFERROR(__xludf.DUMMYFUNCTION("""COMPUTED_VALUE"""),46013.0)</f>
        <v>46013</v>
      </c>
      <c r="E754" s="88"/>
      <c r="F754" s="85"/>
      <c r="G754" s="86">
        <f>IFERROR(__xludf.DUMMYFUNCTION("""COMPUTED_VALUE"""),46055.0)</f>
        <v>46055</v>
      </c>
      <c r="H754" s="85"/>
      <c r="I754" s="85"/>
      <c r="J754" s="85"/>
      <c r="K754" s="85"/>
      <c r="L754" s="85">
        <f>IFERROR(__xludf.DUMMYFUNCTION("""COMPUTED_VALUE"""),42.0)</f>
        <v>42</v>
      </c>
      <c r="M754" s="85" t="str">
        <f>IFERROR(__xludf.DUMMYFUNCTION("""COMPUTED_VALUE"""),"ü")</f>
        <v>ü</v>
      </c>
      <c r="N754" s="85"/>
      <c r="O754" s="85"/>
      <c r="P754" s="85" t="str">
        <f>IFERROR(__xludf.DUMMYFUNCTION("""COMPUTED_VALUE"""),"MUCSPA63323PSIND")</f>
        <v>MUCSPA63323PSIND</v>
      </c>
      <c r="Q754" s="85" t="str">
        <f>IFERROR(__xludf.DUMMYFUNCTION("""COMPUTED_VALUE"""),"MUC LEGAL SEND POINT")</f>
        <v>MUC LEGAL SEND POINT</v>
      </c>
      <c r="R754" s="85" t="str">
        <f>IFERROR(__xludf.DUMMYFUNCTION("""COMPUTED_VALUE"""),"MUC LEGAL SEND POINT")</f>
        <v>MUC LEGAL SEND POINT</v>
      </c>
      <c r="S754" s="85" t="str">
        <f>IFERROR(__xludf.DUMMYFUNCTION("""COMPUTED_VALUE"""),"NUGROHO SURYO HADMOKO")</f>
        <v>NUGROHO SURYO HADMOKO</v>
      </c>
      <c r="T754" s="85" t="str">
        <f>IFERROR(__xludf.DUMMYFUNCTION("""COMPUTED_VALUE"""),"JL. WARU TIMUR II NO.19 RT.007 RW.001, PEDALANGAN, BANYUMANIK, KOTA SEMARANG")</f>
        <v>JL. WARU TIMUR II NO.19 RT.007 RW.001, PEDALANGAN, BANYUMANIK, KOTA SEMARANG</v>
      </c>
      <c r="U754" s="85" t="str">
        <f>IFERROR(__xludf.DUMMYFUNCTION("""COMPUTED_VALUE"""),"Jl. Pattimura No.67D")</f>
        <v>Jl. Pattimura No.67D</v>
      </c>
      <c r="V754" s="85"/>
      <c r="W754" s="85" t="str">
        <f>IFERROR(__xludf.DUMMYFUNCTION("""COMPUTED_VALUE"""),"Mlati Kidul")</f>
        <v>Mlati Kidul</v>
      </c>
      <c r="X754" s="85" t="str">
        <f>IFERROR(__xludf.DUMMYFUNCTION("""COMPUTED_VALUE"""),"Kota Kudus")</f>
        <v>Kota Kudus</v>
      </c>
      <c r="Y754" s="85" t="str">
        <f>IFERROR(__xludf.DUMMYFUNCTION("""COMPUTED_VALUE"""),"Semarang")</f>
        <v>Semarang</v>
      </c>
      <c r="Z754" s="85" t="str">
        <f>IFERROR(__xludf.DUMMYFUNCTION("""COMPUTED_VALUE"""),"Jawa Tengah ")</f>
        <v>Jawa Tengah </v>
      </c>
      <c r="AA754" s="85" t="str">
        <f>IFERROR(__xludf.DUMMYFUNCTION("""COMPUTED_VALUE"""),"59319")</f>
        <v>59319</v>
      </c>
      <c r="AB754" s="85" t="str">
        <f>IFERROR(__xludf.DUMMYFUNCTION("""COMPUTED_VALUE"""),"3374111211870006")</f>
        <v>3374111211870006</v>
      </c>
      <c r="AC754" s="85" t="str">
        <f>IFERROR(__xludf.DUMMYFUNCTION("""COMPUTED_VALUE"""),"82.324.032.0-517.000")</f>
        <v>82.324.032.0-517.000</v>
      </c>
      <c r="AD754" s="85" t="str">
        <f>IFERROR(__xludf.DUMMYFUNCTION("""COMPUTED_VALUE"""),"CUM - PS - ARGA")</f>
        <v>CUM - PS - ARGA</v>
      </c>
      <c r="AE754" s="85" t="str">
        <f>IFERROR(__xludf.DUMMYFUNCTION("""COMPUTED_VALUE"""),"SUB ARGA POS")</f>
        <v>SUB ARGA POS</v>
      </c>
      <c r="AF754" s="85" t="str">
        <f>IFERROR(__xludf.DUMMYFUNCTION("""COMPUTED_VALUE"""),"087730013187")</f>
        <v>087730013187</v>
      </c>
      <c r="AG754" s="85"/>
      <c r="AH754" s="85" t="str">
        <f>IFERROR(__xludf.DUMMYFUNCTION("""COMPUTED_VALUE"""),"nugrohosh15@gmail.com")</f>
        <v>nugrohosh15@gmail.com</v>
      </c>
      <c r="AI754" s="85" t="str">
        <f>IFERROR(__xludf.DUMMYFUNCTION("""COMPUTED_VALUE"""),"59319S5")</f>
        <v>59319S5</v>
      </c>
      <c r="AJ754" s="85" t="str">
        <f>IFERROR(__xludf.DUMMYFUNCTION("""COMPUTED_VALUE"""),"697bf877457f20ad2e0f8060")</f>
        <v>697bf877457f20ad2e0f8060</v>
      </c>
      <c r="AK754" s="85" t="str">
        <f>IFERROR(__xludf.DUMMYFUNCTION("""COMPUTED_VALUE"""),"nugrohosh87@gmail.com")</f>
        <v>nugrohosh87@gmail.com</v>
      </c>
      <c r="AL754" s="85" t="str">
        <f>IFERROR(__xludf.DUMMYFUNCTION("""COMPUTED_VALUE"""),"#Muc59319S5$")</f>
        <v>#Muc59319S5$</v>
      </c>
      <c r="AM754" s="85" t="str">
        <f>IFERROR(__xludf.DUMMYFUNCTION("""COMPUTED_VALUE"""),"KANTOR REGIONAL IV SEMARANG 50004")</f>
        <v>KANTOR REGIONAL IV SEMARANG 50004</v>
      </c>
      <c r="AN754" s="85" t="str">
        <f>IFERROR(__xludf.DUMMYFUNCTION("""COMPUTED_VALUE"""),"KC KUDUS")</f>
        <v>KC KUDUS</v>
      </c>
      <c r="AO754" s="85" t="str">
        <f>IFERROR(__xludf.DUMMYFUNCTION("""COMPUTED_VALUE"""),"MENYUSUL")</f>
        <v>MENYUSUL</v>
      </c>
      <c r="AP754" s="85" t="str">
        <f>IFERROR(__xludf.DUMMYFUNCTION("""COMPUTED_VALUE"""),"MENYUSUL")</f>
        <v>MENYUSUL</v>
      </c>
      <c r="AQ754" s="93"/>
      <c r="AR754" s="85"/>
      <c r="AS754" s="85"/>
      <c r="AT754" s="85" t="str">
        <f>IFERROR(__xludf.DUMMYFUNCTION("""COMPUTED_VALUE"""),"-6.813674")</f>
        <v>-6.813674</v>
      </c>
      <c r="AU754" s="85" t="str">
        <f>IFERROR(__xludf.DUMMYFUNCTION("""COMPUTED_VALUE"""),"110.853377")</f>
        <v>110.853377</v>
      </c>
      <c r="AV754" s="85"/>
      <c r="AW754" s="85"/>
      <c r="AX754" s="85"/>
      <c r="AY754" s="85"/>
      <c r="AZ754" s="85"/>
      <c r="BA754" s="85"/>
      <c r="BB754" s="85"/>
      <c r="BC754" s="85"/>
      <c r="BD754" s="85"/>
      <c r="BE754" s="85"/>
      <c r="BF754" s="85"/>
      <c r="BG754" s="85"/>
      <c r="BH754" s="85"/>
      <c r="BI754" s="85"/>
      <c r="BJ754" s="85"/>
      <c r="BK754" s="85"/>
      <c r="BL754" s="85"/>
      <c r="BM754" s="85"/>
      <c r="BN754" s="85"/>
      <c r="BO754" s="85"/>
      <c r="BP754" s="85"/>
      <c r="BQ754" s="85"/>
      <c r="BR754" s="85"/>
      <c r="BS754" s="85"/>
      <c r="BT754" s="85"/>
      <c r="BU754" s="85"/>
      <c r="BV754" s="85"/>
      <c r="BW754" s="85"/>
      <c r="BX754" s="85" t="str">
        <f>IFERROR(__xludf.DUMMYFUNCTION("""COMPUTED_VALUE"""),"NEWBIE")</f>
        <v>NEWBIE</v>
      </c>
      <c r="BY754" s="85"/>
      <c r="BZ754" s="85"/>
      <c r="CA754" s="85"/>
      <c r="CB754" s="85"/>
      <c r="CC754" s="85"/>
      <c r="CD754" s="85"/>
      <c r="CE754" s="85"/>
      <c r="CF754" s="85"/>
      <c r="CG754" s="85"/>
      <c r="CH754" s="85"/>
      <c r="CI754" s="85"/>
      <c r="CJ754" s="85"/>
      <c r="CK754" s="2"/>
    </row>
    <row r="755" ht="12.75" customHeight="1">
      <c r="A755" s="80">
        <f>IFERROR(__xludf.DUMMYFUNCTION("""COMPUTED_VALUE"""),751.0)</f>
        <v>751</v>
      </c>
      <c r="B755" s="80"/>
      <c r="C755" s="80"/>
      <c r="D755" s="81">
        <f>IFERROR(__xludf.DUMMYFUNCTION("""COMPUTED_VALUE"""),46013.0)</f>
        <v>46013</v>
      </c>
      <c r="E755" s="82"/>
      <c r="F755" s="80"/>
      <c r="G755" s="81">
        <f>IFERROR(__xludf.DUMMYFUNCTION("""COMPUTED_VALUE"""),46027.0)</f>
        <v>46027</v>
      </c>
      <c r="H755" s="80"/>
      <c r="I755" s="80"/>
      <c r="J755" s="80"/>
      <c r="K755" s="80"/>
      <c r="L755" s="80">
        <f>IFERROR(__xludf.DUMMYFUNCTION("""COMPUTED_VALUE"""),14.0)</f>
        <v>14</v>
      </c>
      <c r="M755" s="80" t="str">
        <f>IFERROR(__xludf.DUMMYFUNCTION("""COMPUTED_VALUE"""),"ü")</f>
        <v>ü</v>
      </c>
      <c r="N755" s="80"/>
      <c r="O755" s="80"/>
      <c r="P755" s="80" t="str">
        <f>IFERROR(__xludf.DUMMYFUNCTION("""COMPUTED_VALUE"""),"MUCSPA63324PSIND")</f>
        <v>MUCSPA63324PSIND</v>
      </c>
      <c r="Q755" s="80" t="str">
        <f>IFERROR(__xludf.DUMMYFUNCTION("""COMPUTED_VALUE"""),"MUC NASFA EXPRESS")</f>
        <v>MUC NASFA EXPRESS</v>
      </c>
      <c r="R755" s="80" t="str">
        <f>IFERROR(__xludf.DUMMYFUNCTION("""COMPUTED_VALUE"""),"MUC NASFA EXPRESS")</f>
        <v>MUC NASFA EXPRESS</v>
      </c>
      <c r="S755" s="80" t="str">
        <f>IFERROR(__xludf.DUMMYFUNCTION("""COMPUTED_VALUE"""),"ANAS FATIHURRAHMAN ")</f>
        <v>ANAS FATIHURRAHMAN </v>
      </c>
      <c r="T755" s="80" t="str">
        <f>IFERROR(__xludf.DUMMYFUNCTION("""COMPUTED_VALUE"""),"WIRASNA RT 06 RW 01 KEC PURBALINGGA KAB PURBALINGGA ")</f>
        <v>WIRASNA RT 06 RW 01 KEC PURBALINGGA KAB PURBALINGGA </v>
      </c>
      <c r="U755" s="80" t="str">
        <f>IFERROR(__xludf.DUMMYFUNCTION("""COMPUTED_VALUE"""),"JLN SERSAN SAYUN RT 01 RW 01 ")</f>
        <v>JLN SERSAN SAYUN RT 01 RW 01 </v>
      </c>
      <c r="V755" s="80"/>
      <c r="W755" s="80" t="str">
        <f>IFERROR(__xludf.DUMMYFUNCTION("""COMPUTED_VALUE"""),"KARANGMALANG ")</f>
        <v>KARANGMALANG </v>
      </c>
      <c r="X755" s="80" t="str">
        <f>IFERROR(__xludf.DUMMYFUNCTION("""COMPUTED_VALUE"""),"BOBOTSARI")</f>
        <v>BOBOTSARI</v>
      </c>
      <c r="Y755" s="80" t="str">
        <f>IFERROR(__xludf.DUMMYFUNCTION("""COMPUTED_VALUE"""),"PURBALINGGA ")</f>
        <v>PURBALINGGA </v>
      </c>
      <c r="Z755" s="80" t="str">
        <f>IFERROR(__xludf.DUMMYFUNCTION("""COMPUTED_VALUE"""),"JAWA TENGAH ")</f>
        <v>JAWA TENGAH </v>
      </c>
      <c r="AA755" s="80" t="str">
        <f>IFERROR(__xludf.DUMMYFUNCTION("""COMPUTED_VALUE"""),"53353")</f>
        <v>53353</v>
      </c>
      <c r="AB755" s="80" t="str">
        <f>IFERROR(__xludf.DUMMYFUNCTION("""COMPUTED_VALUE"""),"3303091212920001")</f>
        <v>3303091212920001</v>
      </c>
      <c r="AC755" s="80" t="str">
        <f>IFERROR(__xludf.DUMMYFUNCTION("""COMPUTED_VALUE"""),"85.301.755.6-529.000")</f>
        <v>85.301.755.6-529.000</v>
      </c>
      <c r="AD755" s="80" t="str">
        <f>IFERROR(__xludf.DUMMYFUNCTION("""COMPUTED_VALUE"""),"CUM - PS - RYKY")</f>
        <v>CUM - PS - RYKY</v>
      </c>
      <c r="AE755" s="80" t="str">
        <f>IFERROR(__xludf.DUMMYFUNCTION("""COMPUTED_VALUE"""),"SUB ERTHA POS")</f>
        <v>SUB ERTHA POS</v>
      </c>
      <c r="AF755" s="80" t="str">
        <f>IFERROR(__xludf.DUMMYFUNCTION("""COMPUTED_VALUE"""),"081282666873")</f>
        <v>081282666873</v>
      </c>
      <c r="AG755" s="80"/>
      <c r="AH755" s="80" t="str">
        <f>IFERROR(__xludf.DUMMYFUNCTION("""COMPUTED_VALUE"""),"hondagll105@gmail.com")</f>
        <v>hondagll105@gmail.com</v>
      </c>
      <c r="AI755" s="80" t="str">
        <f>IFERROR(__xludf.DUMMYFUNCTION("""COMPUTED_VALUE"""),"53353S3")</f>
        <v>53353S3</v>
      </c>
      <c r="AJ755" s="80" t="str">
        <f>IFERROR(__xludf.DUMMYFUNCTION("""COMPUTED_VALUE"""),"695c87c8f85ea570ad06ca8b")</f>
        <v>695c87c8f85ea570ad06ca8b</v>
      </c>
      <c r="AK755" s="80" t="str">
        <f>IFERROR(__xludf.DUMMYFUNCTION("""COMPUTED_VALUE"""),"hondagll105@gmail.com")</f>
        <v>hondagll105@gmail.com</v>
      </c>
      <c r="AL755" s="80" t="str">
        <f>IFERROR(__xludf.DUMMYFUNCTION("""COMPUTED_VALUE"""),"#Muc53353$")</f>
        <v>#Muc53353$</v>
      </c>
      <c r="AM755" s="80" t="str">
        <f>IFERROR(__xludf.DUMMYFUNCTION("""COMPUTED_VALUE"""),"KANTOR REGIONAL IV SEMARANG 50004")</f>
        <v>KANTOR REGIONAL IV SEMARANG 50004</v>
      </c>
      <c r="AN755" s="80" t="str">
        <f>IFERROR(__xludf.DUMMYFUNCTION("""COMPUTED_VALUE"""),"KC PURBALINGGA")</f>
        <v>KC PURBALINGGA</v>
      </c>
      <c r="AO755" s="80" t="str">
        <f>IFERROR(__xludf.DUMMYFUNCTION("""COMPUTED_VALUE"""),"MENYUSUL")</f>
        <v>MENYUSUL</v>
      </c>
      <c r="AP755" s="80" t="str">
        <f>IFERROR(__xludf.DUMMYFUNCTION("""COMPUTED_VALUE"""),"MENYUSUL")</f>
        <v>MENYUSUL</v>
      </c>
      <c r="AQ755" s="83"/>
      <c r="AR755" s="80"/>
      <c r="AS755" s="80"/>
      <c r="AT755" s="80" t="str">
        <f>IFERROR(__xludf.DUMMYFUNCTION("""COMPUTED_VALUE"""),"-7.304095")</f>
        <v>-7.304095</v>
      </c>
      <c r="AU755" s="80" t="str">
        <f>IFERROR(__xludf.DUMMYFUNCTION("""COMPUTED_VALUE"""),"109.384886")</f>
        <v>109.384886</v>
      </c>
      <c r="AV755" s="80"/>
      <c r="AW755" s="80"/>
      <c r="AX755" s="80"/>
      <c r="AY755" s="80"/>
      <c r="AZ755" s="80"/>
      <c r="BA755" s="80"/>
      <c r="BB755" s="80"/>
      <c r="BC755" s="80"/>
      <c r="BD755" s="80"/>
      <c r="BE755" s="80"/>
      <c r="BF755" s="80"/>
      <c r="BG755" s="80"/>
      <c r="BH755" s="80"/>
      <c r="BI755" s="80"/>
      <c r="BJ755" s="80"/>
      <c r="BK755" s="80"/>
      <c r="BL755" s="80"/>
      <c r="BM755" s="80"/>
      <c r="BN755" s="80"/>
      <c r="BO755" s="80"/>
      <c r="BP755" s="80"/>
      <c r="BQ755" s="80"/>
      <c r="BR755" s="80"/>
      <c r="BS755" s="80"/>
      <c r="BT755" s="80"/>
      <c r="BU755" s="80"/>
      <c r="BV755" s="80"/>
      <c r="BW755" s="80"/>
      <c r="BX755" s="80" t="str">
        <f>IFERROR(__xludf.DUMMYFUNCTION("""COMPUTED_VALUE"""),"NEWBIE")</f>
        <v>NEWBIE</v>
      </c>
      <c r="BY755" s="80"/>
      <c r="BZ755" s="80"/>
      <c r="CA755" s="80"/>
      <c r="CB755" s="80"/>
      <c r="CC755" s="80"/>
      <c r="CD755" s="80"/>
      <c r="CE755" s="80"/>
      <c r="CF755" s="80"/>
      <c r="CG755" s="80"/>
      <c r="CH755" s="80"/>
      <c r="CI755" s="80"/>
      <c r="CJ755" s="80"/>
      <c r="CK755" s="2"/>
    </row>
    <row r="756" ht="12.75" customHeight="1">
      <c r="A756" s="85">
        <f>IFERROR(__xludf.DUMMYFUNCTION("""COMPUTED_VALUE"""),752.0)</f>
        <v>752</v>
      </c>
      <c r="B756" s="85"/>
      <c r="C756" s="85"/>
      <c r="D756" s="86">
        <f>IFERROR(__xludf.DUMMYFUNCTION("""COMPUTED_VALUE"""),46014.0)</f>
        <v>46014</v>
      </c>
      <c r="E756" s="88"/>
      <c r="F756" s="85"/>
      <c r="G756" s="86">
        <f>IFERROR(__xludf.DUMMYFUNCTION("""COMPUTED_VALUE"""),46027.0)</f>
        <v>46027</v>
      </c>
      <c r="H756" s="85"/>
      <c r="I756" s="85"/>
      <c r="J756" s="85"/>
      <c r="K756" s="85"/>
      <c r="L756" s="85">
        <f>IFERROR(__xludf.DUMMYFUNCTION("""COMPUTED_VALUE"""),13.0)</f>
        <v>13</v>
      </c>
      <c r="M756" s="85" t="str">
        <f>IFERROR(__xludf.DUMMYFUNCTION("""COMPUTED_VALUE"""),"ü")</f>
        <v>ü</v>
      </c>
      <c r="N756" s="85"/>
      <c r="O756" s="85"/>
      <c r="P756" s="85" t="str">
        <f>IFERROR(__xludf.DUMMYFUNCTION("""COMPUTED_VALUE"""),"53BSPA09808JBEEN")</f>
        <v>53BSPA09808JBEEN</v>
      </c>
      <c r="Q756" s="85" t="str">
        <f>IFERROR(__xludf.DUMMYFUNCTION("""COMPUTED_VALUE"""),"MUC Keamanan")</f>
        <v>MUC Keamanan</v>
      </c>
      <c r="R756" s="85" t="str">
        <f>IFERROR(__xludf.DUMMYFUNCTION("""COMPUTED_VALUE"""),"MUC Keamanan")</f>
        <v>MUC Keamanan</v>
      </c>
      <c r="S756" s="85" t="str">
        <f>IFERROR(__xludf.DUMMYFUNCTION("""COMPUTED_VALUE"""),"ALEXANDER CHANDRA")</f>
        <v>ALEXANDER CHANDRA</v>
      </c>
      <c r="T756" s="85" t="str">
        <f>IFERROR(__xludf.DUMMYFUNCTION("""COMPUTED_VALUE"""),"JL KEAMANAN NO.31 RT. 006 RW.008, KEAGUNGAN, TAMAN SARI, JAKARTA BARAT")</f>
        <v>JL KEAMANAN NO.31 RT. 006 RW.008, KEAGUNGAN, TAMAN SARI, JAKARTA BARAT</v>
      </c>
      <c r="U756" s="85" t="str">
        <f>IFERROR(__xludf.DUMMYFUNCTION("""COMPUTED_VALUE"""),"Jl. Keamanan No.31")</f>
        <v>Jl. Keamanan No.31</v>
      </c>
      <c r="V756" s="85"/>
      <c r="W756" s="85" t="str">
        <f>IFERROR(__xludf.DUMMYFUNCTION("""COMPUTED_VALUE"""),"Keagungan")</f>
        <v>Keagungan</v>
      </c>
      <c r="X756" s="85" t="str">
        <f>IFERROR(__xludf.DUMMYFUNCTION("""COMPUTED_VALUE"""),"Taman Sari")</f>
        <v>Taman Sari</v>
      </c>
      <c r="Y756" s="85" t="str">
        <f>IFERROR(__xludf.DUMMYFUNCTION("""COMPUTED_VALUE"""),"Jakarta Barat")</f>
        <v>Jakarta Barat</v>
      </c>
      <c r="Z756" s="85" t="str">
        <f>IFERROR(__xludf.DUMMYFUNCTION("""COMPUTED_VALUE"""),"DKI Jakarta")</f>
        <v>DKI Jakarta</v>
      </c>
      <c r="AA756" s="85" t="str">
        <f>IFERROR(__xludf.DUMMYFUNCTION("""COMPUTED_VALUE"""),"11130")</f>
        <v>11130</v>
      </c>
      <c r="AB756" s="85" t="str">
        <f>IFERROR(__xludf.DUMMYFUNCTION("""COMPUTED_VALUE"""),"3173030307810004")</f>
        <v>3173030307810004</v>
      </c>
      <c r="AC756" s="85" t="str">
        <f>IFERROR(__xludf.DUMMYFUNCTION("""COMPUTED_VALUE"""),"80.770.509.0-037.000")</f>
        <v>80.770.509.0-037.000</v>
      </c>
      <c r="AD756" s="85" t="str">
        <f>IFERROR(__xludf.DUMMYFUNCTION("""COMPUTED_VALUE"""),"CUM - EEN")</f>
        <v>CUM - EEN</v>
      </c>
      <c r="AE756" s="85" t="str">
        <f>IFERROR(__xludf.DUMMYFUNCTION("""COMPUTED_VALUE"""),"SUB EEN")</f>
        <v>SUB EEN</v>
      </c>
      <c r="AF756" s="85" t="str">
        <f>IFERROR(__xludf.DUMMYFUNCTION("""COMPUTED_VALUE"""),"081290962626")</f>
        <v>081290962626</v>
      </c>
      <c r="AG756" s="85"/>
      <c r="AH756" s="85" t="str">
        <f>IFERROR(__xludf.DUMMYFUNCTION("""COMPUTED_VALUE"""),"bebekloncat1818@gmail.com")</f>
        <v>bebekloncat1818@gmail.com</v>
      </c>
      <c r="AI756" s="85" t="str">
        <f>IFERROR(__xludf.DUMMYFUNCTION("""COMPUTED_VALUE"""),"11130S1")</f>
        <v>11130S1</v>
      </c>
      <c r="AJ756" s="85" t="str">
        <f>IFERROR(__xludf.DUMMYFUNCTION("""COMPUTED_VALUE"""),"6958994cb0a67140350dd88d")</f>
        <v>6958994cb0a67140350dd88d</v>
      </c>
      <c r="AK756" s="85" t="str">
        <f>IFERROR(__xludf.DUMMYFUNCTION("""COMPUTED_VALUE"""),"bebekloncat1818@gmail.com")</f>
        <v>bebekloncat1818@gmail.com</v>
      </c>
      <c r="AL756" s="85" t="str">
        <f>IFERROR(__xludf.DUMMYFUNCTION("""COMPUTED_VALUE"""),"#Muc11130$")</f>
        <v>#Muc11130$</v>
      </c>
      <c r="AM756" s="85" t="str">
        <f>IFERROR(__xludf.DUMMYFUNCTION("""COMPUTED_VALUE"""),"KANTOR REGIONAL II JAKARTA 10004")</f>
        <v>KANTOR REGIONAL II JAKARTA 10004</v>
      </c>
      <c r="AN756" s="85" t="str">
        <f>IFERROR(__xludf.DUMMYFUNCTION("""COMPUTED_VALUE"""),"KCU JAKARTAOCEANIA 11000")</f>
        <v>KCU JAKARTAOCEANIA 11000</v>
      </c>
      <c r="AO756" s="85" t="str">
        <f>IFERROR(__xludf.DUMMYFUNCTION("""COMPUTED_VALUE"""),"2502220032533")</f>
        <v>2502220032533</v>
      </c>
      <c r="AP756" s="85" t="str">
        <f>IFERROR(__xludf.DUMMYFUNCTION("""COMPUTED_VALUE"""),"25022200325330002")</f>
        <v>25022200325330002</v>
      </c>
      <c r="AQ756" s="93"/>
      <c r="AR756" s="85"/>
      <c r="AS756" s="85"/>
      <c r="AT756" s="85" t="str">
        <f>IFERROR(__xludf.DUMMYFUNCTION("""COMPUTED_VALUE"""),"-6.1514374")</f>
        <v>-6.1514374</v>
      </c>
      <c r="AU756" s="85" t="str">
        <f>IFERROR(__xludf.DUMMYFUNCTION("""COMPUTED_VALUE"""),"106.8154478")</f>
        <v>106.8154478</v>
      </c>
      <c r="AV756" s="85"/>
      <c r="AW756" s="85"/>
      <c r="AX756" s="85"/>
      <c r="AY756" s="85"/>
      <c r="AZ756" s="85"/>
      <c r="BA756" s="85"/>
      <c r="BB756" s="85"/>
      <c r="BC756" s="85"/>
      <c r="BD756" s="85"/>
      <c r="BE756" s="85"/>
      <c r="BF756" s="85"/>
      <c r="BG756" s="85"/>
      <c r="BH756" s="85"/>
      <c r="BI756" s="85"/>
      <c r="BJ756" s="85"/>
      <c r="BK756" s="85"/>
      <c r="BL756" s="85"/>
      <c r="BM756" s="85"/>
      <c r="BN756" s="85"/>
      <c r="BO756" s="85"/>
      <c r="BP756" s="85"/>
      <c r="BQ756" s="85"/>
      <c r="BR756" s="85"/>
      <c r="BS756" s="85"/>
      <c r="BT756" s="85"/>
      <c r="BU756" s="85"/>
      <c r="BV756" s="85"/>
      <c r="BW756" s="85"/>
      <c r="BX756" s="85" t="str">
        <f>IFERROR(__xludf.DUMMYFUNCTION("""COMPUTED_VALUE"""),"MULTIKURIR - WAHANA")</f>
        <v>MULTIKURIR - WAHANA</v>
      </c>
      <c r="BY756" s="85"/>
      <c r="BZ756" s="85"/>
      <c r="CA756" s="85"/>
      <c r="CB756" s="85"/>
      <c r="CC756" s="85"/>
      <c r="CD756" s="85"/>
      <c r="CE756" s="85"/>
      <c r="CF756" s="85"/>
      <c r="CG756" s="85"/>
      <c r="CH756" s="85"/>
      <c r="CI756" s="85"/>
      <c r="CJ756" s="85"/>
      <c r="CK756" s="2"/>
    </row>
    <row r="757" ht="12.75" customHeight="1">
      <c r="A757" s="80">
        <f>IFERROR(__xludf.DUMMYFUNCTION("""COMPUTED_VALUE"""),753.0)</f>
        <v>753</v>
      </c>
      <c r="B757" s="80"/>
      <c r="C757" s="80"/>
      <c r="D757" s="81">
        <f>IFERROR(__xludf.DUMMYFUNCTION("""COMPUTED_VALUE"""),46015.0)</f>
        <v>46015</v>
      </c>
      <c r="E757" s="82"/>
      <c r="F757" s="80"/>
      <c r="G757" s="81"/>
      <c r="H757" s="80"/>
      <c r="I757" s="80"/>
      <c r="J757" s="80"/>
      <c r="K757" s="80"/>
      <c r="L757" s="80"/>
      <c r="M757" s="80" t="str">
        <f>IFERROR(__xludf.DUMMYFUNCTION("""COMPUTED_VALUE"""),"ü")</f>
        <v>ü</v>
      </c>
      <c r="N757" s="80"/>
      <c r="O757" s="80"/>
      <c r="P757" s="80" t="str">
        <f>IFERROR(__xludf.DUMMYFUNCTION("""COMPUTED_VALUE"""),"MUCSPA63325PSIND")</f>
        <v>MUCSPA63325PSIND</v>
      </c>
      <c r="Q757" s="80" t="str">
        <f>IFERROR(__xludf.DUMMYFUNCTION("""COMPUTED_VALUE"""),"MUC Salmawisata")</f>
        <v>MUC Salmawisata</v>
      </c>
      <c r="R757" s="80" t="str">
        <f>IFERROR(__xludf.DUMMYFUNCTION("""COMPUTED_VALUE"""),"MUC Salmawisata")</f>
        <v>MUC Salmawisata</v>
      </c>
      <c r="S757" s="80" t="str">
        <f>IFERROR(__xludf.DUMMYFUNCTION("""COMPUTED_VALUE"""),"DISWANTO")</f>
        <v>DISWANTO</v>
      </c>
      <c r="T757" s="80" t="str">
        <f>IFERROR(__xludf.DUMMYFUNCTION("""COMPUTED_VALUE"""),"KP. BABAKAN RT.003 RW.001, CIPATIK, CIHAMPELAS, KAB. BANDUNG BARAT")</f>
        <v>KP. BABAKAN RT.003 RW.001, CIPATIK, CIHAMPELAS, KAB. BANDUNG BARAT</v>
      </c>
      <c r="U757" s="80" t="str">
        <f>IFERROR(__xludf.DUMMYFUNCTION("""COMPUTED_VALUE"""),"Jl. Cihampelas - Cililin Kp. Manapa")</f>
        <v>Jl. Cihampelas - Cililin Kp. Manapa</v>
      </c>
      <c r="V757" s="80"/>
      <c r="W757" s="80" t="str">
        <f>IFERROR(__xludf.DUMMYFUNCTION("""COMPUTED_VALUE"""),"Karangtanjung")</f>
        <v>Karangtanjung</v>
      </c>
      <c r="X757" s="80" t="str">
        <f>IFERROR(__xludf.DUMMYFUNCTION("""COMPUTED_VALUE"""),"Cililin ")</f>
        <v>Cililin </v>
      </c>
      <c r="Y757" s="80" t="str">
        <f>IFERROR(__xludf.DUMMYFUNCTION("""COMPUTED_VALUE"""),"Kab. Bandung Barat")</f>
        <v>Kab. Bandung Barat</v>
      </c>
      <c r="Z757" s="80" t="str">
        <f>IFERROR(__xludf.DUMMYFUNCTION("""COMPUTED_VALUE"""),"Jawa Barat")</f>
        <v>Jawa Barat</v>
      </c>
      <c r="AA757" s="80" t="str">
        <f>IFERROR(__xludf.DUMMYFUNCTION("""COMPUTED_VALUE"""),"40567")</f>
        <v>40567</v>
      </c>
      <c r="AB757" s="80" t="str">
        <f>IFERROR(__xludf.DUMMYFUNCTION("""COMPUTED_VALUE"""),"3273051404770010")</f>
        <v>3273051404770010</v>
      </c>
      <c r="AC757" s="80" t="str">
        <f>IFERROR(__xludf.DUMMYFUNCTION("""COMPUTED_VALUE"""),"83.830.978.9-421.000")</f>
        <v>83.830.978.9-421.000</v>
      </c>
      <c r="AD757" s="80" t="str">
        <f>IFERROR(__xludf.DUMMYFUNCTION("""COMPUTED_VALUE"""),"NON KORGEN")</f>
        <v>NON KORGEN</v>
      </c>
      <c r="AE757" s="80" t="str">
        <f>IFERROR(__xludf.DUMMYFUNCTION("""COMPUTED_VALUE"""),"SUB YADI MULYADI")</f>
        <v>SUB YADI MULYADI</v>
      </c>
      <c r="AF757" s="80" t="str">
        <f>IFERROR(__xludf.DUMMYFUNCTION("""COMPUTED_VALUE"""),"083821052104")</f>
        <v>083821052104</v>
      </c>
      <c r="AG757" s="80"/>
      <c r="AH757" s="80" t="str">
        <f>IFERROR(__xludf.DUMMYFUNCTION("""COMPUTED_VALUE"""),"ending.wanto@gmail.com")</f>
        <v>ending.wanto@gmail.com</v>
      </c>
      <c r="AI757" s="80"/>
      <c r="AJ757" s="80"/>
      <c r="AK757" s="80"/>
      <c r="AL757" s="80"/>
      <c r="AM757" s="80" t="str">
        <f>IFERROR(__xludf.DUMMYFUNCTION("""COMPUTED_VALUE"""),"KANTOR REGIONAL III BANDUNG 40004")</f>
        <v>KANTOR REGIONAL III BANDUNG 40004</v>
      </c>
      <c r="AN757" s="80" t="str">
        <f>IFERROR(__xludf.DUMMYFUNCTION("""COMPUTED_VALUE"""),"KC CIMAHI ")</f>
        <v>KC CIMAHI </v>
      </c>
      <c r="AO757" s="80" t="str">
        <f>IFERROR(__xludf.DUMMYFUNCTION("""COMPUTED_VALUE"""),"MENYUSUL")</f>
        <v>MENYUSUL</v>
      </c>
      <c r="AP757" s="80" t="str">
        <f>IFERROR(__xludf.DUMMYFUNCTION("""COMPUTED_VALUE"""),"MENYUSUL")</f>
        <v>MENYUSUL</v>
      </c>
      <c r="AQ757" s="83"/>
      <c r="AR757" s="80"/>
      <c r="AS757" s="80"/>
      <c r="AT757" s="80" t="str">
        <f>IFERROR(__xludf.DUMMYFUNCTION("""COMPUTED_VALUE"""),"-6.945738")</f>
        <v>-6.945738</v>
      </c>
      <c r="AU757" s="80" t="str">
        <f>IFERROR(__xludf.DUMMYFUNCTION("""COMPUTED_VALUE"""),"107.466608")</f>
        <v>107.466608</v>
      </c>
      <c r="AV757" s="80"/>
      <c r="AW757" s="80"/>
      <c r="AX757" s="80"/>
      <c r="AY757" s="80"/>
      <c r="AZ757" s="80"/>
      <c r="BA757" s="80"/>
      <c r="BB757" s="80"/>
      <c r="BC757" s="80"/>
      <c r="BD757" s="80"/>
      <c r="BE757" s="80"/>
      <c r="BF757" s="80"/>
      <c r="BG757" s="80"/>
      <c r="BH757" s="80"/>
      <c r="BI757" s="80"/>
      <c r="BJ757" s="80"/>
      <c r="BK757" s="80"/>
      <c r="BL757" s="80"/>
      <c r="BM757" s="80"/>
      <c r="BN757" s="80"/>
      <c r="BO757" s="80"/>
      <c r="BP757" s="80"/>
      <c r="BQ757" s="80"/>
      <c r="BR757" s="80"/>
      <c r="BS757" s="80"/>
      <c r="BT757" s="80"/>
      <c r="BU757" s="80"/>
      <c r="BV757" s="80"/>
      <c r="BW757" s="80"/>
      <c r="BX757" s="80" t="str">
        <f>IFERROR(__xludf.DUMMYFUNCTION("""COMPUTED_VALUE"""),"MULTIKURIR - ID EXPRESS - NINJA - SAP - SICEPAT - JNT E - JNT C - LION PARCEL")</f>
        <v>MULTIKURIR - ID EXPRESS - NINJA - SAP - SICEPAT - JNT E - JNT C - LION PARCEL</v>
      </c>
      <c r="BY757" s="80"/>
      <c r="BZ757" s="80"/>
      <c r="CA757" s="80"/>
      <c r="CB757" s="80"/>
      <c r="CC757" s="80"/>
      <c r="CD757" s="80"/>
      <c r="CE757" s="80"/>
      <c r="CF757" s="80"/>
      <c r="CG757" s="80"/>
      <c r="CH757" s="80"/>
      <c r="CI757" s="80"/>
      <c r="CJ757" s="80"/>
      <c r="CK757" s="2"/>
    </row>
    <row r="758" ht="12.75" customHeight="1">
      <c r="A758" s="85">
        <f>IFERROR(__xludf.DUMMYFUNCTION("""COMPUTED_VALUE"""),754.0)</f>
        <v>754</v>
      </c>
      <c r="B758" s="85"/>
      <c r="C758" s="85"/>
      <c r="D758" s="86">
        <f>IFERROR(__xludf.DUMMYFUNCTION("""COMPUTED_VALUE"""),46015.0)</f>
        <v>46015</v>
      </c>
      <c r="E758" s="88"/>
      <c r="F758" s="85"/>
      <c r="G758" s="86">
        <f>IFERROR(__xludf.DUMMYFUNCTION("""COMPUTED_VALUE"""),46027.0)</f>
        <v>46027</v>
      </c>
      <c r="H758" s="85"/>
      <c r="I758" s="85"/>
      <c r="J758" s="85"/>
      <c r="K758" s="85"/>
      <c r="L758" s="85">
        <f>IFERROR(__xludf.DUMMYFUNCTION("""COMPUTED_VALUE"""),12.0)</f>
        <v>12</v>
      </c>
      <c r="M758" s="85" t="str">
        <f>IFERROR(__xludf.DUMMYFUNCTION("""COMPUTED_VALUE"""),"ü")</f>
        <v>ü</v>
      </c>
      <c r="N758" s="85"/>
      <c r="O758" s="85"/>
      <c r="P758" s="85" t="str">
        <f>IFERROR(__xludf.DUMMYFUNCTION("""COMPUTED_VALUE"""),"MUCSPA63326PSIND")</f>
        <v>MUCSPA63326PSIND</v>
      </c>
      <c r="Q758" s="85" t="str">
        <f>IFERROR(__xludf.DUMMYFUNCTION("""COMPUTED_VALUE"""),"MUC MAMA AULIA")</f>
        <v>MUC MAMA AULIA</v>
      </c>
      <c r="R758" s="85" t="str">
        <f>IFERROR(__xludf.DUMMYFUNCTION("""COMPUTED_VALUE"""),"MUC MAMA AULIA")</f>
        <v>MUC MAMA AULIA</v>
      </c>
      <c r="S758" s="85" t="str">
        <f>IFERROR(__xludf.DUMMYFUNCTION("""COMPUTED_VALUE"""),"AULIA PRIBADI ANANDA")</f>
        <v>AULIA PRIBADI ANANDA</v>
      </c>
      <c r="T758" s="85" t="str">
        <f>IFERROR(__xludf.DUMMYFUNCTION("""COMPUTED_VALUE"""),"JL. PALEM III NO.91.A BAS RT.003 RW.013, CIREBON GIRANG, TALUN, KAB. CIREBON, JAWA BARAT")</f>
        <v>JL. PALEM III NO.91.A BAS RT.003 RW.013, CIREBON GIRANG, TALUN, KAB. CIREBON, JAWA BARAT</v>
      </c>
      <c r="U758" s="85" t="str">
        <f>IFERROR(__xludf.DUMMYFUNCTION("""COMPUTED_VALUE"""),"Jalan Nyi Arumsari")</f>
        <v>Jalan Nyi Arumsari</v>
      </c>
      <c r="V758" s="85"/>
      <c r="W758" s="85" t="str">
        <f>IFERROR(__xludf.DUMMYFUNCTION("""COMPUTED_VALUE"""),"Kecomberan")</f>
        <v>Kecomberan</v>
      </c>
      <c r="X758" s="85" t="str">
        <f>IFERROR(__xludf.DUMMYFUNCTION("""COMPUTED_VALUE"""),"Talun")</f>
        <v>Talun</v>
      </c>
      <c r="Y758" s="85" t="str">
        <f>IFERROR(__xludf.DUMMYFUNCTION("""COMPUTED_VALUE"""),"Kab. Cirebon")</f>
        <v>Kab. Cirebon</v>
      </c>
      <c r="Z758" s="85" t="str">
        <f>IFERROR(__xludf.DUMMYFUNCTION("""COMPUTED_VALUE"""),"Jawa Barat")</f>
        <v>Jawa Barat</v>
      </c>
      <c r="AA758" s="85" t="str">
        <f>IFERROR(__xludf.DUMMYFUNCTION("""COMPUTED_VALUE"""),"45171")</f>
        <v>45171</v>
      </c>
      <c r="AB758" s="85" t="str">
        <f>IFERROR(__xludf.DUMMYFUNCTION("""COMPUTED_VALUE"""),"3671071509690005")</f>
        <v>3671071509690005</v>
      </c>
      <c r="AC758" s="85" t="str">
        <f>IFERROR(__xludf.DUMMYFUNCTION("""COMPUTED_VALUE"""),"68.898.994.8-412.000")</f>
        <v>68.898.994.8-412.000</v>
      </c>
      <c r="AD758" s="85" t="str">
        <f>IFERROR(__xludf.DUMMYFUNCTION("""COMPUTED_VALUE"""),"CUM - PS - DEWI")</f>
        <v>CUM - PS - DEWI</v>
      </c>
      <c r="AE758" s="85" t="str">
        <f>IFERROR(__xludf.DUMMYFUNCTION("""COMPUTED_VALUE"""),"SUB DEWI POS")</f>
        <v>SUB DEWI POS</v>
      </c>
      <c r="AF758" s="85" t="str">
        <f>IFERROR(__xludf.DUMMYFUNCTION("""COMPUTED_VALUE"""),"081216286901")</f>
        <v>081216286901</v>
      </c>
      <c r="AG758" s="85"/>
      <c r="AH758" s="85" t="str">
        <f>IFERROR(__xludf.DUMMYFUNCTION("""COMPUTED_VALUE"""),"auliaaniwati@gmail.com")</f>
        <v>auliaaniwati@gmail.com</v>
      </c>
      <c r="AI758" s="85" t="str">
        <f>IFERROR(__xludf.DUMMYFUNCTION("""COMPUTED_VALUE"""),"45671S3")</f>
        <v>45671S3</v>
      </c>
      <c r="AJ758" s="85" t="str">
        <f>IFERROR(__xludf.DUMMYFUNCTION("""COMPUTED_VALUE"""),"695cac5031b68db6fc013c35")</f>
        <v>695cac5031b68db6fc013c35</v>
      </c>
      <c r="AK758" s="85" t="str">
        <f>IFERROR(__xludf.DUMMYFUNCTION("""COMPUTED_VALUE"""),"auliaaniwati@gmail.com")</f>
        <v>auliaaniwati@gmail.com</v>
      </c>
      <c r="AL758" s="85" t="str">
        <f>IFERROR(__xludf.DUMMYFUNCTION("""COMPUTED_VALUE"""),"#Muc45671$")</f>
        <v>#Muc45671$</v>
      </c>
      <c r="AM758" s="85" t="str">
        <f>IFERROR(__xludf.DUMMYFUNCTION("""COMPUTED_VALUE"""),"KANTOR REGIONAL III BANDUNG 40004")</f>
        <v>KANTOR REGIONAL III BANDUNG 40004</v>
      </c>
      <c r="AN758" s="85" t="str">
        <f>IFERROR(__xludf.DUMMYFUNCTION("""COMPUTED_VALUE"""),"KCU CIREBON 45100")</f>
        <v>KCU CIREBON 45100</v>
      </c>
      <c r="AO758" s="85" t="str">
        <f>IFERROR(__xludf.DUMMYFUNCTION("""COMPUTED_VALUE"""),"2502220032533")</f>
        <v>2502220032533</v>
      </c>
      <c r="AP758" s="85" t="str">
        <f>IFERROR(__xludf.DUMMYFUNCTION("""COMPUTED_VALUE"""),"25022200325330002")</f>
        <v>25022200325330002</v>
      </c>
      <c r="AQ758" s="93"/>
      <c r="AR758" s="85"/>
      <c r="AS758" s="85"/>
      <c r="AT758" s="85" t="str">
        <f>IFERROR(__xludf.DUMMYFUNCTION("""COMPUTED_VALUE"""),"-6.7550190")</f>
        <v>-6.7550190</v>
      </c>
      <c r="AU758" s="85" t="str">
        <f>IFERROR(__xludf.DUMMYFUNCTION("""COMPUTED_VALUE"""),"108.5133190")</f>
        <v>108.5133190</v>
      </c>
      <c r="AV758" s="85"/>
      <c r="AW758" s="85"/>
      <c r="AX758" s="85"/>
      <c r="AY758" s="85"/>
      <c r="AZ758" s="85"/>
      <c r="BA758" s="85"/>
      <c r="BB758" s="85"/>
      <c r="BC758" s="85"/>
      <c r="BD758" s="85"/>
      <c r="BE758" s="85"/>
      <c r="BF758" s="85"/>
      <c r="BG758" s="85"/>
      <c r="BH758" s="85"/>
      <c r="BI758" s="85"/>
      <c r="BJ758" s="85"/>
      <c r="BK758" s="85"/>
      <c r="BL758" s="85"/>
      <c r="BM758" s="85"/>
      <c r="BN758" s="85"/>
      <c r="BO758" s="85"/>
      <c r="BP758" s="85"/>
      <c r="BQ758" s="85"/>
      <c r="BR758" s="85"/>
      <c r="BS758" s="85"/>
      <c r="BT758" s="85"/>
      <c r="BU758" s="85"/>
      <c r="BV758" s="85"/>
      <c r="BW758" s="85"/>
      <c r="BX758" s="85" t="str">
        <f>IFERROR(__xludf.DUMMYFUNCTION("""COMPUTED_VALUE"""),"POS")</f>
        <v>POS</v>
      </c>
      <c r="BY758" s="85"/>
      <c r="BZ758" s="85"/>
      <c r="CA758" s="85"/>
      <c r="CB758" s="85"/>
      <c r="CC758" s="85"/>
      <c r="CD758" s="85"/>
      <c r="CE758" s="85"/>
      <c r="CF758" s="85"/>
      <c r="CG758" s="85"/>
      <c r="CH758" s="85"/>
      <c r="CI758" s="85"/>
      <c r="CJ758" s="85"/>
      <c r="CK758" s="2"/>
    </row>
    <row r="759" ht="12.75" customHeight="1">
      <c r="A759" s="80">
        <f>IFERROR(__xludf.DUMMYFUNCTION("""COMPUTED_VALUE"""),755.0)</f>
        <v>755</v>
      </c>
      <c r="B759" s="80"/>
      <c r="C759" s="80"/>
      <c r="D759" s="81">
        <f>IFERROR(__xludf.DUMMYFUNCTION("""COMPUTED_VALUE"""),46015.0)</f>
        <v>46015</v>
      </c>
      <c r="E759" s="82"/>
      <c r="F759" s="80"/>
      <c r="G759" s="81">
        <f>IFERROR(__xludf.DUMMYFUNCTION("""COMPUTED_VALUE"""),46035.0)</f>
        <v>46035</v>
      </c>
      <c r="H759" s="80"/>
      <c r="I759" s="80"/>
      <c r="J759" s="80"/>
      <c r="K759" s="80"/>
      <c r="L759" s="80">
        <f>IFERROR(__xludf.DUMMYFUNCTION("""COMPUTED_VALUE"""),20.0)</f>
        <v>20</v>
      </c>
      <c r="M759" s="80" t="str">
        <f>IFERROR(__xludf.DUMMYFUNCTION("""COMPUTED_VALUE"""),"ü")</f>
        <v>ü</v>
      </c>
      <c r="N759" s="80"/>
      <c r="O759" s="80"/>
      <c r="P759" s="80" t="str">
        <f>IFERROR(__xludf.DUMMYFUNCTION("""COMPUTED_VALUE"""),"MUCSPA63327PSIND")</f>
        <v>MUCSPA63327PSIND</v>
      </c>
      <c r="Q759" s="80" t="str">
        <f>IFERROR(__xludf.DUMMYFUNCTION("""COMPUTED_VALUE"""),"MUC DJOGJA GROUP")</f>
        <v>MUC DJOGJA GROUP</v>
      </c>
      <c r="R759" s="80" t="str">
        <f>IFERROR(__xludf.DUMMYFUNCTION("""COMPUTED_VALUE"""),"MUC DJOGJA GROUP")</f>
        <v>MUC DJOGJA GROUP</v>
      </c>
      <c r="S759" s="80" t="str">
        <f>IFERROR(__xludf.DUMMYFUNCTION("""COMPUTED_VALUE"""),"AKHMAD SABIQ")</f>
        <v>AKHMAD SABIQ</v>
      </c>
      <c r="T759" s="80" t="str">
        <f>IFERROR(__xludf.DUMMYFUNCTION("""COMPUTED_VALUE"""),"PECABEAN RT.005 RW.003 PECABEAN, PANGKAH, KAB. TEGAL, JAWA TENGAH")</f>
        <v>PECABEAN RT.005 RW.003 PECABEAN, PANGKAH, KAB. TEGAL, JAWA TENGAH</v>
      </c>
      <c r="U759" s="80" t="str">
        <f>IFERROR(__xludf.DUMMYFUNCTION("""COMPUTED_VALUE"""),"Jl. Raya Banjaran-Balamoa Jl. Raya Pecabean No.km 3, RT.05/RW.03 Ganjahan")</f>
        <v>Jl. Raya Banjaran-Balamoa Jl. Raya Pecabean No.km 3, RT.05/RW.03 Ganjahan</v>
      </c>
      <c r="V759" s="80"/>
      <c r="W759" s="80" t="str">
        <f>IFERROR(__xludf.DUMMYFUNCTION("""COMPUTED_VALUE"""),"Pecabean")</f>
        <v>Pecabean</v>
      </c>
      <c r="X759" s="80" t="str">
        <f>IFERROR(__xludf.DUMMYFUNCTION("""COMPUTED_VALUE"""),"Pangkah")</f>
        <v>Pangkah</v>
      </c>
      <c r="Y759" s="80" t="str">
        <f>IFERROR(__xludf.DUMMYFUNCTION("""COMPUTED_VALUE"""),"Kabupaten Tegal")</f>
        <v>Kabupaten Tegal</v>
      </c>
      <c r="Z759" s="80" t="str">
        <f>IFERROR(__xludf.DUMMYFUNCTION("""COMPUTED_VALUE"""),"Jawa Tengah")</f>
        <v>Jawa Tengah</v>
      </c>
      <c r="AA759" s="80" t="str">
        <f>IFERROR(__xludf.DUMMYFUNCTION("""COMPUTED_VALUE"""),"52471")</f>
        <v>52471</v>
      </c>
      <c r="AB759" s="80" t="str">
        <f>IFERROR(__xludf.DUMMYFUNCTION("""COMPUTED_VALUE"""),"3328092906860001")</f>
        <v>3328092906860001</v>
      </c>
      <c r="AC759" s="80" t="str">
        <f>IFERROR(__xludf.DUMMYFUNCTION("""COMPUTED_VALUE"""),"67.108.385.5-501.000")</f>
        <v>67.108.385.5-501.000</v>
      </c>
      <c r="AD759" s="80" t="str">
        <f>IFERROR(__xludf.DUMMYFUNCTION("""COMPUTED_VALUE"""),"CUM - PS - SYF")</f>
        <v>CUM - PS - SYF</v>
      </c>
      <c r="AE759" s="80" t="str">
        <f>IFERROR(__xludf.DUMMYFUNCTION("""COMPUTED_VALUE"""),"SUB SYAIFULLOH POS")</f>
        <v>SUB SYAIFULLOH POS</v>
      </c>
      <c r="AF759" s="80" t="str">
        <f>IFERROR(__xludf.DUMMYFUNCTION("""COMPUTED_VALUE"""),"081918145933")</f>
        <v>081918145933</v>
      </c>
      <c r="AG759" s="80"/>
      <c r="AH759" s="80" t="str">
        <f>IFERROR(__xludf.DUMMYFUNCTION("""COMPUTED_VALUE"""),"akhmadsabiq@gmail.com")</f>
        <v>akhmadsabiq@gmail.com</v>
      </c>
      <c r="AI759" s="80" t="str">
        <f>IFERROR(__xludf.DUMMYFUNCTION("""COMPUTED_VALUE"""),"52471S6")</f>
        <v>52471S6</v>
      </c>
      <c r="AJ759" s="80" t="str">
        <f>IFERROR(__xludf.DUMMYFUNCTION("""COMPUTED_VALUE"""),"6965b4f3101e99466e0fd6b7")</f>
        <v>6965b4f3101e99466e0fd6b7</v>
      </c>
      <c r="AK759" s="80" t="str">
        <f>IFERROR(__xludf.DUMMYFUNCTION("""COMPUTED_VALUE"""),"akhmadsabiq@gmail.com")</f>
        <v>akhmadsabiq@gmail.com</v>
      </c>
      <c r="AL759" s="80" t="str">
        <f>IFERROR(__xludf.DUMMYFUNCTION("""COMPUTED_VALUE"""),"#Muc52471S6$")</f>
        <v>#Muc52471S6$</v>
      </c>
      <c r="AM759" s="80" t="str">
        <f>IFERROR(__xludf.DUMMYFUNCTION("""COMPUTED_VALUE"""),"KANTOR REGIONAL IV SEMARANG 50004")</f>
        <v>KANTOR REGIONAL IV SEMARANG 50004</v>
      </c>
      <c r="AN759" s="80" t="str">
        <f>IFERROR(__xludf.DUMMYFUNCTION("""COMPUTED_VALUE"""),"KC TEGAL 52100")</f>
        <v>KC TEGAL 52100</v>
      </c>
      <c r="AO759" s="80" t="str">
        <f>IFERROR(__xludf.DUMMYFUNCTION("""COMPUTED_VALUE"""),"MENYUSUL")</f>
        <v>MENYUSUL</v>
      </c>
      <c r="AP759" s="80" t="str">
        <f>IFERROR(__xludf.DUMMYFUNCTION("""COMPUTED_VALUE"""),"MENYUSUL")</f>
        <v>MENYUSUL</v>
      </c>
      <c r="AQ759" s="83"/>
      <c r="AR759" s="80"/>
      <c r="AS759" s="80"/>
      <c r="AT759" s="80" t="str">
        <f>IFERROR(__xludf.DUMMYFUNCTION("""COMPUTED_VALUE"""),"-6.944033")</f>
        <v>-6.944033</v>
      </c>
      <c r="AU759" s="80" t="str">
        <f>IFERROR(__xludf.DUMMYFUNCTION("""COMPUTED_VALUE"""),"109.153984")</f>
        <v>109.153984</v>
      </c>
      <c r="AV759" s="80"/>
      <c r="AW759" s="80"/>
      <c r="AX759" s="80"/>
      <c r="AY759" s="80"/>
      <c r="AZ759" s="80"/>
      <c r="BA759" s="80"/>
      <c r="BB759" s="80"/>
      <c r="BC759" s="80"/>
      <c r="BD759" s="80"/>
      <c r="BE759" s="80"/>
      <c r="BF759" s="80"/>
      <c r="BG759" s="80"/>
      <c r="BH759" s="80"/>
      <c r="BI759" s="80"/>
      <c r="BJ759" s="80"/>
      <c r="BK759" s="80"/>
      <c r="BL759" s="80"/>
      <c r="BM759" s="80"/>
      <c r="BN759" s="80"/>
      <c r="BO759" s="80"/>
      <c r="BP759" s="80"/>
      <c r="BQ759" s="80"/>
      <c r="BR759" s="80"/>
      <c r="BS759" s="80"/>
      <c r="BT759" s="80"/>
      <c r="BU759" s="80"/>
      <c r="BV759" s="80"/>
      <c r="BW759" s="80"/>
      <c r="BX759" s="80" t="str">
        <f>IFERROR(__xludf.DUMMYFUNCTION("""COMPUTED_VALUE"""),"MULTIKURIR - JNT EXPRESS")</f>
        <v>MULTIKURIR - JNT EXPRESS</v>
      </c>
      <c r="BY759" s="80"/>
      <c r="BZ759" s="80"/>
      <c r="CA759" s="80"/>
      <c r="CB759" s="80"/>
      <c r="CC759" s="80"/>
      <c r="CD759" s="80"/>
      <c r="CE759" s="80"/>
      <c r="CF759" s="80"/>
      <c r="CG759" s="80"/>
      <c r="CH759" s="80"/>
      <c r="CI759" s="80"/>
      <c r="CJ759" s="80"/>
      <c r="CK759" s="2"/>
    </row>
    <row r="760" ht="12.75" customHeight="1">
      <c r="A760" s="85">
        <f>IFERROR(__xludf.DUMMYFUNCTION("""COMPUTED_VALUE"""),756.0)</f>
        <v>756</v>
      </c>
      <c r="B760" s="85"/>
      <c r="C760" s="85"/>
      <c r="D760" s="86">
        <f>IFERROR(__xludf.DUMMYFUNCTION("""COMPUTED_VALUE"""),46020.0)</f>
        <v>46020</v>
      </c>
      <c r="E760" s="88"/>
      <c r="F760" s="85"/>
      <c r="G760" s="86">
        <f>IFERROR(__xludf.DUMMYFUNCTION("""COMPUTED_VALUE"""),46028.0)</f>
        <v>46028</v>
      </c>
      <c r="H760" s="85"/>
      <c r="I760" s="85"/>
      <c r="J760" s="85"/>
      <c r="K760" s="85"/>
      <c r="L760" s="85">
        <f>IFERROR(__xludf.DUMMYFUNCTION("""COMPUTED_VALUE"""),8.0)</f>
        <v>8</v>
      </c>
      <c r="M760" s="85" t="str">
        <f>IFERROR(__xludf.DUMMYFUNCTION("""COMPUTED_VALUE"""),"ü")</f>
        <v>ü</v>
      </c>
      <c r="N760" s="85"/>
      <c r="O760" s="85"/>
      <c r="P760" s="85" t="str">
        <f>IFERROR(__xludf.DUMMYFUNCTION("""COMPUTED_VALUE"""),"MUCSPA63328PSIND")</f>
        <v>MUCSPA63328PSIND</v>
      </c>
      <c r="Q760" s="85" t="str">
        <f>IFERROR(__xludf.DUMMYFUNCTION("""COMPUTED_VALUE"""),"MUC KP UTAN")</f>
        <v>MUC KP UTAN</v>
      </c>
      <c r="R760" s="85" t="str">
        <f>IFERROR(__xludf.DUMMYFUNCTION("""COMPUTED_VALUE"""),"MUC KP UTAN")</f>
        <v>MUC KP UTAN</v>
      </c>
      <c r="S760" s="85" t="str">
        <f>IFERROR(__xludf.DUMMYFUNCTION("""COMPUTED_VALUE"""),"RINI DAMAYANTI DAULAY")</f>
        <v>RINI DAMAYANTI DAULAY</v>
      </c>
      <c r="T760" s="85" t="str">
        <f>IFERROR(__xludf.DUMMYFUNCTION("""COMPUTED_VALUE"""),"JL BULAK III NO.26B RT.001 RW.002, CEMPAKA PUTIH, CIPUTAT TIMUR, KOTA TANGERANG SELATAN")</f>
        <v>JL BULAK III NO.26B RT.001 RW.002, CEMPAKA PUTIH, CIPUTAT TIMUR, KOTA TANGERANG SELATAN</v>
      </c>
      <c r="U760" s="85" t="str">
        <f>IFERROR(__xludf.DUMMYFUNCTION("""COMPUTED_VALUE"""),"Wr Supratman No.4a Rt.01/06")</f>
        <v>Wr Supratman No.4a Rt.01/06</v>
      </c>
      <c r="V760" s="85"/>
      <c r="W760" s="85" t="str">
        <f>IFERROR(__xludf.DUMMYFUNCTION("""COMPUTED_VALUE"""),"Cempaka Putih ")</f>
        <v>Cempaka Putih </v>
      </c>
      <c r="X760" s="85" t="str">
        <f>IFERROR(__xludf.DUMMYFUNCTION("""COMPUTED_VALUE"""),"Ciputat Timur")</f>
        <v>Ciputat Timur</v>
      </c>
      <c r="Y760" s="85" t="str">
        <f>IFERROR(__xludf.DUMMYFUNCTION("""COMPUTED_VALUE"""),"Tangerang Selatan")</f>
        <v>Tangerang Selatan</v>
      </c>
      <c r="Z760" s="85" t="str">
        <f>IFERROR(__xludf.DUMMYFUNCTION("""COMPUTED_VALUE"""),"Banten")</f>
        <v>Banten</v>
      </c>
      <c r="AA760" s="85" t="str">
        <f>IFERROR(__xludf.DUMMYFUNCTION("""COMPUTED_VALUE"""),"15412")</f>
        <v>15412</v>
      </c>
      <c r="AB760" s="85" t="str">
        <f>IFERROR(__xludf.DUMMYFUNCTION("""COMPUTED_VALUE"""),"1213085707980006")</f>
        <v>1213085707980006</v>
      </c>
      <c r="AC760" s="85" t="str">
        <f>IFERROR(__xludf.DUMMYFUNCTION("""COMPUTED_VALUE"""),"1213 0857 0798 0006")</f>
        <v>1213 0857 0798 0006</v>
      </c>
      <c r="AD760" s="85" t="str">
        <f>IFERROR(__xludf.DUMMYFUNCTION("""COMPUTED_VALUE"""),"PAK HUSNI TANGSEL")</f>
        <v>PAK HUSNI TANGSEL</v>
      </c>
      <c r="AE760" s="85" t="str">
        <f>IFERROR(__xludf.DUMMYFUNCTION("""COMPUTED_VALUE"""),"PAK HUSNI TANGSEL")</f>
        <v>PAK HUSNI TANGSEL</v>
      </c>
      <c r="AF760" s="85" t="str">
        <f>IFERROR(__xludf.DUMMYFUNCTION("""COMPUTED_VALUE"""),"082277512161")</f>
        <v>082277512161</v>
      </c>
      <c r="AG760" s="85"/>
      <c r="AH760" s="85" t="str">
        <f>IFERROR(__xludf.DUMMYFUNCTION("""COMPUTED_VALUE"""),"rinidamayanti740@gmail.com")</f>
        <v>rinidamayanti740@gmail.com</v>
      </c>
      <c r="AI760" s="85" t="str">
        <f>IFERROR(__xludf.DUMMYFUNCTION("""COMPUTED_VALUE"""),"15441S5")</f>
        <v>15441S5</v>
      </c>
      <c r="AJ760" s="85" t="str">
        <f>IFERROR(__xludf.DUMMYFUNCTION("""COMPUTED_VALUE"""),"695cbda4e6d9ba842008bb31")</f>
        <v>695cbda4e6d9ba842008bb31</v>
      </c>
      <c r="AK760" s="85" t="str">
        <f>IFERROR(__xludf.DUMMYFUNCTION("""COMPUTED_VALUE"""),"rinidamayanti740@gmail.com")</f>
        <v>rinidamayanti740@gmail.com</v>
      </c>
      <c r="AL760" s="85" t="str">
        <f>IFERROR(__xludf.DUMMYFUNCTION("""COMPUTED_VALUE"""),"#Muc15441$")</f>
        <v>#Muc15441$</v>
      </c>
      <c r="AM760" s="85" t="str">
        <f>IFERROR(__xludf.DUMMYFUNCTION("""COMPUTED_VALUE"""),"KANTOR REGIONAL II JAKARTA 10004")</f>
        <v>KANTOR REGIONAL II JAKARTA 10004</v>
      </c>
      <c r="AN760" s="85" t="str">
        <f>IFERROR(__xludf.DUMMYFUNCTION("""COMPUTED_VALUE"""),"KC TANGERANG SELATAN")</f>
        <v>KC TANGERANG SELATAN</v>
      </c>
      <c r="AO760" s="85" t="str">
        <f>IFERROR(__xludf.DUMMYFUNCTION("""COMPUTED_VALUE"""),"MENYUSUL")</f>
        <v>MENYUSUL</v>
      </c>
      <c r="AP760" s="85" t="str">
        <f>IFERROR(__xludf.DUMMYFUNCTION("""COMPUTED_VALUE"""),"MENYUSUL")</f>
        <v>MENYUSUL</v>
      </c>
      <c r="AQ760" s="93"/>
      <c r="AR760" s="85"/>
      <c r="AS760" s="85"/>
      <c r="AT760" s="85" t="str">
        <f>IFERROR(__xludf.DUMMYFUNCTION("""COMPUTED_VALUE"""),"-6.296832")</f>
        <v>-6.296832</v>
      </c>
      <c r="AU760" s="85" t="str">
        <f>IFERROR(__xludf.DUMMYFUNCTION("""COMPUTED_VALUE"""),"106.747994")</f>
        <v>106.747994</v>
      </c>
      <c r="AV760" s="85"/>
      <c r="AW760" s="85"/>
      <c r="AX760" s="85"/>
      <c r="AY760" s="85"/>
      <c r="AZ760" s="85"/>
      <c r="BA760" s="85"/>
      <c r="BB760" s="85"/>
      <c r="BC760" s="85"/>
      <c r="BD760" s="85"/>
      <c r="BE760" s="85"/>
      <c r="BF760" s="85"/>
      <c r="BG760" s="85"/>
      <c r="BH760" s="85"/>
      <c r="BI760" s="85"/>
      <c r="BJ760" s="85"/>
      <c r="BK760" s="85"/>
      <c r="BL760" s="85"/>
      <c r="BM760" s="85"/>
      <c r="BN760" s="85"/>
      <c r="BO760" s="85"/>
      <c r="BP760" s="85"/>
      <c r="BQ760" s="85"/>
      <c r="BR760" s="85"/>
      <c r="BS760" s="85"/>
      <c r="BT760" s="85"/>
      <c r="BU760" s="85"/>
      <c r="BV760" s="85"/>
      <c r="BW760" s="85"/>
      <c r="BX760" s="85" t="str">
        <f>IFERROR(__xludf.DUMMYFUNCTION("""COMPUTED_VALUE"""),"NEWBIE")</f>
        <v>NEWBIE</v>
      </c>
      <c r="BY760" s="85"/>
      <c r="BZ760" s="85"/>
      <c r="CA760" s="85"/>
      <c r="CB760" s="85"/>
      <c r="CC760" s="85"/>
      <c r="CD760" s="85"/>
      <c r="CE760" s="85"/>
      <c r="CF760" s="85"/>
      <c r="CG760" s="85"/>
      <c r="CH760" s="85"/>
      <c r="CI760" s="85"/>
      <c r="CJ760" s="85"/>
      <c r="CK760" s="2"/>
    </row>
    <row r="761" ht="12.75" customHeight="1">
      <c r="A761" s="80">
        <f>IFERROR(__xludf.DUMMYFUNCTION("""COMPUTED_VALUE"""),757.0)</f>
        <v>757</v>
      </c>
      <c r="B761" s="80"/>
      <c r="C761" s="80"/>
      <c r="D761" s="81">
        <f>IFERROR(__xludf.DUMMYFUNCTION("""COMPUTED_VALUE"""),46020.0)</f>
        <v>46020</v>
      </c>
      <c r="E761" s="82"/>
      <c r="F761" s="80"/>
      <c r="G761" s="81"/>
      <c r="H761" s="80"/>
      <c r="I761" s="80"/>
      <c r="J761" s="80"/>
      <c r="K761" s="80"/>
      <c r="L761" s="80"/>
      <c r="M761" s="80" t="str">
        <f>IFERROR(__xludf.DUMMYFUNCTION("""COMPUTED_VALUE"""),"ü")</f>
        <v>ü</v>
      </c>
      <c r="N761" s="80"/>
      <c r="O761" s="80"/>
      <c r="P761" s="80" t="str">
        <f>IFERROR(__xludf.DUMMYFUNCTION("""COMPUTED_VALUE"""),"MUCSPA63329PSIND")</f>
        <v>MUCSPA63329PSIND</v>
      </c>
      <c r="Q761" s="80" t="str">
        <f>IFERROR(__xludf.DUMMYFUNCTION("""COMPUTED_VALUE"""),"MUC RINI25")</f>
        <v>MUC RINI25</v>
      </c>
      <c r="R761" s="80" t="str">
        <f>IFERROR(__xludf.DUMMYFUNCTION("""COMPUTED_VALUE"""),"MUC RINI25")</f>
        <v>MUC RINI25</v>
      </c>
      <c r="S761" s="80" t="str">
        <f>IFERROR(__xludf.DUMMYFUNCTION("""COMPUTED_VALUE"""),"DEDE ALAM")</f>
        <v>DEDE ALAM</v>
      </c>
      <c r="T761" s="80" t="str">
        <f>IFERROR(__xludf.DUMMYFUNCTION("""COMPUTED_VALUE"""),"JL PAMIKUL IV RT 06 RW 06 Tegal gundil, Kota Bogor Utara, Kota Bogor")</f>
        <v>JL PAMIKUL IV RT 06 RW 06 Tegal gundil, Kota Bogor Utara, Kota Bogor</v>
      </c>
      <c r="U761" s="80" t="str">
        <f>IFERROR(__xludf.DUMMYFUNCTION("""COMPUTED_VALUE"""),"jl DR Semeru RT 01 RW 02")</f>
        <v>jl DR Semeru RT 01 RW 02</v>
      </c>
      <c r="V761" s="80"/>
      <c r="W761" s="80" t="str">
        <f>IFERROR(__xludf.DUMMYFUNCTION("""COMPUTED_VALUE"""),"CILENDEK BARAT")</f>
        <v>CILENDEK BARAT</v>
      </c>
      <c r="X761" s="80" t="str">
        <f>IFERROR(__xludf.DUMMYFUNCTION("""COMPUTED_VALUE"""),"BOGOR BARAT")</f>
        <v>BOGOR BARAT</v>
      </c>
      <c r="Y761" s="80" t="str">
        <f>IFERROR(__xludf.DUMMYFUNCTION("""COMPUTED_VALUE"""),"KOTA BOGOR")</f>
        <v>KOTA BOGOR</v>
      </c>
      <c r="Z761" s="80" t="str">
        <f>IFERROR(__xludf.DUMMYFUNCTION("""COMPUTED_VALUE"""),"JAWABARAT")</f>
        <v>JAWABARAT</v>
      </c>
      <c r="AA761" s="80" t="str">
        <f>IFERROR(__xludf.DUMMYFUNCTION("""COMPUTED_VALUE"""),"16112")</f>
        <v>16112</v>
      </c>
      <c r="AB761" s="80" t="str">
        <f>IFERROR(__xludf.DUMMYFUNCTION("""COMPUTED_VALUE"""),"3271052711950007")</f>
        <v>3271052711950007</v>
      </c>
      <c r="AC761" s="80" t="str">
        <f>IFERROR(__xludf.DUMMYFUNCTION("""COMPUTED_VALUE"""),"65.286.882.9-404.000")</f>
        <v>65.286.882.9-404.000</v>
      </c>
      <c r="AD761" s="80" t="str">
        <f>IFERROR(__xludf.DUMMYFUNCTION("""COMPUTED_VALUE"""),"CUM - PS - DERI")</f>
        <v>CUM - PS - DERI</v>
      </c>
      <c r="AE761" s="80" t="str">
        <f>IFERROR(__xludf.DUMMYFUNCTION("""COMPUTED_VALUE"""),"SUB DERIANA POS")</f>
        <v>SUB DERIANA POS</v>
      </c>
      <c r="AF761" s="80" t="str">
        <f>IFERROR(__xludf.DUMMYFUNCTION("""COMPUTED_VALUE"""),"087871638321")</f>
        <v>087871638321</v>
      </c>
      <c r="AG761" s="80"/>
      <c r="AH761" s="80" t="str">
        <f>IFERROR(__xludf.DUMMYFUNCTION("""COMPUTED_VALUE"""),"lasiafasyifa123@gmail.com")</f>
        <v>lasiafasyifa123@gmail.com</v>
      </c>
      <c r="AI761" s="80"/>
      <c r="AJ761" s="80"/>
      <c r="AK761" s="80"/>
      <c r="AL761" s="80"/>
      <c r="AM761" s="80" t="str">
        <f>IFERROR(__xludf.DUMMYFUNCTION("""COMPUTED_VALUE"""),"KANTOR REGIONAL II JAKARTA 10004")</f>
        <v>KANTOR REGIONAL II JAKARTA 10004</v>
      </c>
      <c r="AN761" s="80" t="str">
        <f>IFERROR(__xludf.DUMMYFUNCTION("""COMPUTED_VALUE"""),"KCU BOGOR 16000")</f>
        <v>KCU BOGOR 16000</v>
      </c>
      <c r="AO761" s="80" t="str">
        <f>IFERROR(__xludf.DUMMYFUNCTION("""COMPUTED_VALUE"""),"MENYUSUL")</f>
        <v>MENYUSUL</v>
      </c>
      <c r="AP761" s="80" t="str">
        <f>IFERROR(__xludf.DUMMYFUNCTION("""COMPUTED_VALUE"""),"MENYUSUL")</f>
        <v>MENYUSUL</v>
      </c>
      <c r="AQ761" s="83"/>
      <c r="AR761" s="80"/>
      <c r="AS761" s="80"/>
      <c r="AT761" s="80" t="str">
        <f>IFERROR(__xludf.DUMMYFUNCTION("""COMPUTED_VALUE"""),"-6.576687")</f>
        <v>-6.576687</v>
      </c>
      <c r="AU761" s="80" t="str">
        <f>IFERROR(__xludf.DUMMYFUNCTION("""COMPUTED_VALUE"""),"106.772206")</f>
        <v>106.772206</v>
      </c>
      <c r="AV761" s="80"/>
      <c r="AW761" s="80"/>
      <c r="AX761" s="80"/>
      <c r="AY761" s="80"/>
      <c r="AZ761" s="80"/>
      <c r="BA761" s="80"/>
      <c r="BB761" s="80"/>
      <c r="BC761" s="80"/>
      <c r="BD761" s="80"/>
      <c r="BE761" s="80"/>
      <c r="BF761" s="80"/>
      <c r="BG761" s="80"/>
      <c r="BH761" s="80"/>
      <c r="BI761" s="80"/>
      <c r="BJ761" s="80"/>
      <c r="BK761" s="80"/>
      <c r="BL761" s="80"/>
      <c r="BM761" s="80"/>
      <c r="BN761" s="80"/>
      <c r="BO761" s="80"/>
      <c r="BP761" s="80"/>
      <c r="BQ761" s="80"/>
      <c r="BR761" s="80"/>
      <c r="BS761" s="80"/>
      <c r="BT761" s="80"/>
      <c r="BU761" s="80"/>
      <c r="BV761" s="80"/>
      <c r="BW761" s="80"/>
      <c r="BX761" s="80" t="str">
        <f>IFERROR(__xludf.DUMMYFUNCTION("""COMPUTED_VALUE"""),"NEWBIE")</f>
        <v>NEWBIE</v>
      </c>
      <c r="BY761" s="80"/>
      <c r="BZ761" s="80"/>
      <c r="CA761" s="80"/>
      <c r="CB761" s="80"/>
      <c r="CC761" s="80"/>
      <c r="CD761" s="80"/>
      <c r="CE761" s="80"/>
      <c r="CF761" s="80"/>
      <c r="CG761" s="80"/>
      <c r="CH761" s="80"/>
      <c r="CI761" s="80"/>
      <c r="CJ761" s="80"/>
      <c r="CK761" s="2"/>
    </row>
    <row r="762" ht="12.75" customHeight="1">
      <c r="A762" s="85">
        <f>IFERROR(__xludf.DUMMYFUNCTION("""COMPUTED_VALUE"""),758.0)</f>
        <v>758</v>
      </c>
      <c r="B762" s="85"/>
      <c r="C762" s="85"/>
      <c r="D762" s="86">
        <f>IFERROR(__xludf.DUMMYFUNCTION("""COMPUTED_VALUE"""),46020.0)</f>
        <v>46020</v>
      </c>
      <c r="E762" s="88"/>
      <c r="F762" s="85"/>
      <c r="G762" s="86"/>
      <c r="H762" s="85"/>
      <c r="I762" s="85"/>
      <c r="J762" s="85"/>
      <c r="K762" s="85"/>
      <c r="L762" s="85"/>
      <c r="M762" s="85" t="str">
        <f>IFERROR(__xludf.DUMMYFUNCTION("""COMPUTED_VALUE"""),"ü")</f>
        <v>ü</v>
      </c>
      <c r="N762" s="85"/>
      <c r="O762" s="85"/>
      <c r="P762" s="85" t="str">
        <f>IFERROR(__xludf.DUMMYFUNCTION("""COMPUTED_VALUE"""),"53BSPA09565JBEEN")</f>
        <v>53BSPA09565JBEEN</v>
      </c>
      <c r="Q762" s="85" t="str">
        <f>IFERROR(__xludf.DUMMYFUNCTION("""COMPUTED_VALUE"""),"MUC KAK ROS")</f>
        <v>MUC KAK ROS</v>
      </c>
      <c r="R762" s="85" t="str">
        <f>IFERROR(__xludf.DUMMYFUNCTION("""COMPUTED_VALUE"""),"MUC KAK ROS")</f>
        <v>MUC KAK ROS</v>
      </c>
      <c r="S762" s="85" t="str">
        <f>IFERROR(__xludf.DUMMYFUNCTION("""COMPUTED_VALUE"""),"ROSIYANTI")</f>
        <v>ROSIYANTI</v>
      </c>
      <c r="T762" s="85" t="str">
        <f>IFERROR(__xludf.DUMMYFUNCTION("""COMPUTED_VALUE"""),"GONGGANG RT.016 RW.003, GONGGANG, PONCOL, KAB. MAGETAN, JAWA TIMUR")</f>
        <v>GONGGANG RT.016 RW.003, GONGGANG, PONCOL, KAB. MAGETAN, JAWA TIMUR</v>
      </c>
      <c r="U762" s="85" t="str">
        <f>IFERROR(__xludf.DUMMYFUNCTION("""COMPUTED_VALUE"""),"Griyan Chandra Resident Blok B8 ")</f>
        <v>Griyan Chandra Resident Blok B8 </v>
      </c>
      <c r="V762" s="85"/>
      <c r="W762" s="85" t="str">
        <f>IFERROR(__xludf.DUMMYFUNCTION("""COMPUTED_VALUE"""),"Nanggerang")</f>
        <v>Nanggerang</v>
      </c>
      <c r="X762" s="85" t="str">
        <f>IFERROR(__xludf.DUMMYFUNCTION("""COMPUTED_VALUE"""),"Tajurhalang")</f>
        <v>Tajurhalang</v>
      </c>
      <c r="Y762" s="85" t="str">
        <f>IFERROR(__xludf.DUMMYFUNCTION("""COMPUTED_VALUE"""),"Kab. Bogor")</f>
        <v>Kab. Bogor</v>
      </c>
      <c r="Z762" s="85" t="str">
        <f>IFERROR(__xludf.DUMMYFUNCTION("""COMPUTED_VALUE"""),"Jawa Barat")</f>
        <v>Jawa Barat</v>
      </c>
      <c r="AA762" s="85" t="str">
        <f>IFERROR(__xludf.DUMMYFUNCTION("""COMPUTED_VALUE"""),"16320")</f>
        <v>16320</v>
      </c>
      <c r="AB762" s="85" t="str">
        <f>IFERROR(__xludf.DUMMYFUNCTION("""COMPUTED_VALUE"""),"3520015011930003")</f>
        <v>3520015011930003</v>
      </c>
      <c r="AC762" s="85" t="str">
        <f>IFERROR(__xludf.DUMMYFUNCTION("""COMPUTED_VALUE"""),"98.535.861.3-646.000")</f>
        <v>98.535.861.3-646.000</v>
      </c>
      <c r="AD762" s="85" t="str">
        <f>IFERROR(__xludf.DUMMYFUNCTION("""COMPUTED_VALUE"""),"CUM - EEN")</f>
        <v>CUM - EEN</v>
      </c>
      <c r="AE762" s="85" t="str">
        <f>IFERROR(__xludf.DUMMYFUNCTION("""COMPUTED_VALUE"""),"SUB EEN")</f>
        <v>SUB EEN</v>
      </c>
      <c r="AF762" s="85" t="str">
        <f>IFERROR(__xludf.DUMMYFUNCTION("""COMPUTED_VALUE"""),"087858472362")</f>
        <v>087858472362</v>
      </c>
      <c r="AG762" s="85"/>
      <c r="AH762" s="85" t="str">
        <f>IFERROR(__xludf.DUMMYFUNCTION("""COMPUTED_VALUE"""),"rossy_azzahra@yahoo.com")</f>
        <v>rossy_azzahra@yahoo.com</v>
      </c>
      <c r="AI762" s="85"/>
      <c r="AJ762" s="85"/>
      <c r="AK762" s="85"/>
      <c r="AL762" s="85"/>
      <c r="AM762" s="85" t="str">
        <f>IFERROR(__xludf.DUMMYFUNCTION("""COMPUTED_VALUE"""),"KANTOR REGIONAL II JAKARTA 10004")</f>
        <v>KANTOR REGIONAL II JAKARTA 10004</v>
      </c>
      <c r="AN762" s="85" t="str">
        <f>IFERROR(__xludf.DUMMYFUNCTION("""COMPUTED_VALUE"""),"KCU BOGOR 16000")</f>
        <v>KCU BOGOR 16000</v>
      </c>
      <c r="AO762" s="85" t="str">
        <f>IFERROR(__xludf.DUMMYFUNCTION("""COMPUTED_VALUE"""),"MENYUSUL")</f>
        <v>MENYUSUL</v>
      </c>
      <c r="AP762" s="85" t="str">
        <f>IFERROR(__xludf.DUMMYFUNCTION("""COMPUTED_VALUE"""),"MENYUSUL")</f>
        <v>MENYUSUL</v>
      </c>
      <c r="AQ762" s="93"/>
      <c r="AR762" s="85"/>
      <c r="AS762" s="85"/>
      <c r="AT762" s="85" t="str">
        <f>IFERROR(__xludf.DUMMYFUNCTION("""COMPUTED_VALUE"""),"-6.455491")</f>
        <v>-6.455491</v>
      </c>
      <c r="AU762" s="85" t="str">
        <f>IFERROR(__xludf.DUMMYFUNCTION("""COMPUTED_VALUE"""),"106.781331")</f>
        <v>106.781331</v>
      </c>
      <c r="AV762" s="85"/>
      <c r="AW762" s="85"/>
      <c r="AX762" s="85"/>
      <c r="AY762" s="85"/>
      <c r="AZ762" s="85"/>
      <c r="BA762" s="85"/>
      <c r="BB762" s="85"/>
      <c r="BC762" s="85"/>
      <c r="BD762" s="85"/>
      <c r="BE762" s="85"/>
      <c r="BF762" s="85"/>
      <c r="BG762" s="85"/>
      <c r="BH762" s="85"/>
      <c r="BI762" s="85"/>
      <c r="BJ762" s="85"/>
      <c r="BK762" s="85"/>
      <c r="BL762" s="85"/>
      <c r="BM762" s="85"/>
      <c r="BN762" s="85"/>
      <c r="BO762" s="85"/>
      <c r="BP762" s="85"/>
      <c r="BQ762" s="85"/>
      <c r="BR762" s="85"/>
      <c r="BS762" s="85"/>
      <c r="BT762" s="85"/>
      <c r="BU762" s="85"/>
      <c r="BV762" s="85"/>
      <c r="BW762" s="85"/>
      <c r="BX762" s="85" t="str">
        <f>IFERROR(__xludf.DUMMYFUNCTION("""COMPUTED_VALUE"""),"NEWBIE")</f>
        <v>NEWBIE</v>
      </c>
      <c r="BY762" s="85"/>
      <c r="BZ762" s="85"/>
      <c r="CA762" s="85"/>
      <c r="CB762" s="85"/>
      <c r="CC762" s="85"/>
      <c r="CD762" s="85"/>
      <c r="CE762" s="85"/>
      <c r="CF762" s="85"/>
      <c r="CG762" s="85"/>
      <c r="CH762" s="85"/>
      <c r="CI762" s="85"/>
      <c r="CJ762" s="85"/>
      <c r="CK762" s="2"/>
    </row>
    <row r="763" ht="12.75" customHeight="1">
      <c r="A763" s="80">
        <f>IFERROR(__xludf.DUMMYFUNCTION("""COMPUTED_VALUE"""),759.0)</f>
        <v>759</v>
      </c>
      <c r="B763" s="80"/>
      <c r="C763" s="80"/>
      <c r="D763" s="81">
        <f>IFERROR(__xludf.DUMMYFUNCTION("""COMPUTED_VALUE"""),46021.0)</f>
        <v>46021</v>
      </c>
      <c r="E763" s="82"/>
      <c r="F763" s="80"/>
      <c r="G763" s="81">
        <f>IFERROR(__xludf.DUMMYFUNCTION("""COMPUTED_VALUE"""),46034.0)</f>
        <v>46034</v>
      </c>
      <c r="H763" s="80"/>
      <c r="I763" s="80"/>
      <c r="J763" s="80"/>
      <c r="K763" s="80"/>
      <c r="L763" s="80">
        <f>IFERROR(__xludf.DUMMYFUNCTION("""COMPUTED_VALUE"""),13.0)</f>
        <v>13</v>
      </c>
      <c r="M763" s="80" t="str">
        <f>IFERROR(__xludf.DUMMYFUNCTION("""COMPUTED_VALUE"""),"ü")</f>
        <v>ü</v>
      </c>
      <c r="N763" s="80"/>
      <c r="O763" s="80"/>
      <c r="P763" s="80" t="str">
        <f>IFERROR(__xludf.DUMMYFUNCTION("""COMPUTED_VALUE"""),"MUCSPA63330PSIND")</f>
        <v>MUCSPA63330PSIND</v>
      </c>
      <c r="Q763" s="80" t="str">
        <f>IFERROR(__xludf.DUMMYFUNCTION("""COMPUTED_VALUE"""),"MUC BASOKA")</f>
        <v>MUC BASOKA</v>
      </c>
      <c r="R763" s="80" t="str">
        <f>IFERROR(__xludf.DUMMYFUNCTION("""COMPUTED_VALUE"""),"MUC BASOKA")</f>
        <v>MUC BASOKA</v>
      </c>
      <c r="S763" s="80" t="str">
        <f>IFERROR(__xludf.DUMMYFUNCTION("""COMPUTED_VALUE"""),"Rini Nopianti")</f>
        <v>Rini Nopianti</v>
      </c>
      <c r="T763" s="80" t="str">
        <f>IFERROR(__xludf.DUMMYFUNCTION("""COMPUTED_VALUE"""),"JL MANGGA BESAR 4 L NO 58 RT.002 RW.003, TAMAN SARI, TAMAN SARI, JAKARTA BARAT DKI JAKARTA")</f>
        <v>JL MANGGA BESAR 4 L NO 58 RT.002 RW.003, TAMAN SARI, TAMAN SARI, JAKARTA BARAT DKI JAKARTA</v>
      </c>
      <c r="U763" s="80" t="str">
        <f>IFERROR(__xludf.DUMMYFUNCTION("""COMPUTED_VALUE"""),"Jl. Samaun Bakrie No.1 Depan Kantor Desa Balai Kurai Taji")</f>
        <v>Jl. Samaun Bakrie No.1 Depan Kantor Desa Balai Kurai Taji</v>
      </c>
      <c r="V763" s="80"/>
      <c r="W763" s="80" t="str">
        <f>IFERROR(__xludf.DUMMYFUNCTION("""COMPUTED_VALUE"""),"Balai Kurai Taiji")</f>
        <v>Balai Kurai Taiji</v>
      </c>
      <c r="X763" s="80" t="str">
        <f>IFERROR(__xludf.DUMMYFUNCTION("""COMPUTED_VALUE"""),"Pariaman Selatan")</f>
        <v>Pariaman Selatan</v>
      </c>
      <c r="Y763" s="80" t="str">
        <f>IFERROR(__xludf.DUMMYFUNCTION("""COMPUTED_VALUE"""),"Pariaman")</f>
        <v>Pariaman</v>
      </c>
      <c r="Z763" s="80" t="str">
        <f>IFERROR(__xludf.DUMMYFUNCTION("""COMPUTED_VALUE"""),"Sumatera Barat")</f>
        <v>Sumatera Barat</v>
      </c>
      <c r="AA763" s="80" t="str">
        <f>IFERROR(__xludf.DUMMYFUNCTION("""COMPUTED_VALUE"""),"25531")</f>
        <v>25531</v>
      </c>
      <c r="AB763" s="80" t="str">
        <f>IFERROR(__xludf.DUMMYFUNCTION("""COMPUTED_VALUE"""),"2102046211710004")</f>
        <v>2102046211710004</v>
      </c>
      <c r="AC763" s="80" t="str">
        <f>IFERROR(__xludf.DUMMYFUNCTION("""COMPUTED_VALUE"""),"48.765.893.2-223.000")</f>
        <v>48.765.893.2-223.000</v>
      </c>
      <c r="AD763" s="80" t="str">
        <f>IFERROR(__xludf.DUMMYFUNCTION("""COMPUTED_VALUE"""),"NON KORGEN")</f>
        <v>NON KORGEN</v>
      </c>
      <c r="AE763" s="80" t="str">
        <f>IFERROR(__xludf.DUMMYFUNCTION("""COMPUTED_VALUE"""),"BU DEWI KC PARIAMAN")</f>
        <v>BU DEWI KC PARIAMAN</v>
      </c>
      <c r="AF763" s="80" t="str">
        <f>IFERROR(__xludf.DUMMYFUNCTION("""COMPUTED_VALUE"""),"081364695636")</f>
        <v>081364695636</v>
      </c>
      <c r="AG763" s="80"/>
      <c r="AH763" s="80" t="str">
        <f>IFERROR(__xludf.DUMMYFUNCTION("""COMPUTED_VALUE"""),"rininopianti2272@gmail.com")</f>
        <v>rininopianti2272@gmail.com</v>
      </c>
      <c r="AI763" s="80" t="str">
        <f>IFERROR(__xludf.DUMMYFUNCTION("""COMPUTED_VALUE"""),"25531S2")</f>
        <v>25531S2</v>
      </c>
      <c r="AJ763" s="80" t="str">
        <f>IFERROR(__xludf.DUMMYFUNCTION("""COMPUTED_VALUE"""),"6961b606087f95b1690b2ed1")</f>
        <v>6961b606087f95b1690b2ed1</v>
      </c>
      <c r="AK763" s="80" t="str">
        <f>IFERROR(__xludf.DUMMYFUNCTION("""COMPUTED_VALUE"""),"rininopianti2272@gmail.com")</f>
        <v>rininopianti2272@gmail.com</v>
      </c>
      <c r="AL763" s="80" t="str">
        <f>IFERROR(__xludf.DUMMYFUNCTION("""COMPUTED_VALUE"""),"#Muc25531S2$")</f>
        <v>#Muc25531S2$</v>
      </c>
      <c r="AM763" s="80" t="str">
        <f>IFERROR(__xludf.DUMMYFUNCTION("""COMPUTED_VALUE"""),"KANTOR REGIONAL I MEDAN 20004")</f>
        <v>KANTOR REGIONAL I MEDAN 20004</v>
      </c>
      <c r="AN763" s="80" t="str">
        <f>IFERROR(__xludf.DUMMYFUNCTION("""COMPUTED_VALUE"""),"KC PARIAMAN")</f>
        <v>KC PARIAMAN</v>
      </c>
      <c r="AO763" s="80" t="str">
        <f>IFERROR(__xludf.DUMMYFUNCTION("""COMPUTED_VALUE"""),"MENYUSUL")</f>
        <v>MENYUSUL</v>
      </c>
      <c r="AP763" s="80" t="str">
        <f>IFERROR(__xludf.DUMMYFUNCTION("""COMPUTED_VALUE"""),"MENYUSUL")</f>
        <v>MENYUSUL</v>
      </c>
      <c r="AQ763" s="83"/>
      <c r="AR763" s="80"/>
      <c r="AS763" s="80"/>
      <c r="AT763" s="80" t="str">
        <f>IFERROR(__xludf.DUMMYFUNCTION("""COMPUTED_VALUE"""),"-0.630722")</f>
        <v>-0.630722</v>
      </c>
      <c r="AU763" s="80" t="str">
        <f>IFERROR(__xludf.DUMMYFUNCTION("""COMPUTED_VALUE"""),"100.170699")</f>
        <v>100.170699</v>
      </c>
      <c r="AV763" s="80"/>
      <c r="AW763" s="80"/>
      <c r="AX763" s="80"/>
      <c r="AY763" s="80"/>
      <c r="AZ763" s="80"/>
      <c r="BA763" s="80"/>
      <c r="BB763" s="80"/>
      <c r="BC763" s="80"/>
      <c r="BD763" s="80"/>
      <c r="BE763" s="80"/>
      <c r="BF763" s="80"/>
      <c r="BG763" s="80"/>
      <c r="BH763" s="80"/>
      <c r="BI763" s="80"/>
      <c r="BJ763" s="80"/>
      <c r="BK763" s="80"/>
      <c r="BL763" s="80"/>
      <c r="BM763" s="80"/>
      <c r="BN763" s="80"/>
      <c r="BO763" s="80"/>
      <c r="BP763" s="80"/>
      <c r="BQ763" s="80"/>
      <c r="BR763" s="80"/>
      <c r="BS763" s="80"/>
      <c r="BT763" s="80"/>
      <c r="BU763" s="80"/>
      <c r="BV763" s="80"/>
      <c r="BW763" s="80"/>
      <c r="BX763" s="80" t="str">
        <f>IFERROR(__xludf.DUMMYFUNCTION("""COMPUTED_VALUE"""),"NEWBIE")</f>
        <v>NEWBIE</v>
      </c>
      <c r="BY763" s="80"/>
      <c r="BZ763" s="80"/>
      <c r="CA763" s="80"/>
      <c r="CB763" s="80"/>
      <c r="CC763" s="80"/>
      <c r="CD763" s="80"/>
      <c r="CE763" s="80"/>
      <c r="CF763" s="80"/>
      <c r="CG763" s="80"/>
      <c r="CH763" s="80"/>
      <c r="CI763" s="80"/>
      <c r="CJ763" s="80"/>
      <c r="CK763" s="2"/>
    </row>
    <row r="764" ht="12.75" customHeight="1">
      <c r="A764" s="85">
        <f>IFERROR(__xludf.DUMMYFUNCTION("""COMPUTED_VALUE"""),760.0)</f>
        <v>760</v>
      </c>
      <c r="B764" s="85"/>
      <c r="C764" s="85"/>
      <c r="D764" s="86">
        <f>IFERROR(__xludf.DUMMYFUNCTION("""COMPUTED_VALUE"""),46022.0)</f>
        <v>46022</v>
      </c>
      <c r="E764" s="88"/>
      <c r="F764" s="85"/>
      <c r="G764" s="86">
        <f>IFERROR(__xludf.DUMMYFUNCTION("""COMPUTED_VALUE"""),46029.0)</f>
        <v>46029</v>
      </c>
      <c r="H764" s="85"/>
      <c r="I764" s="85"/>
      <c r="J764" s="85"/>
      <c r="K764" s="85"/>
      <c r="L764" s="85">
        <f>IFERROR(__xludf.DUMMYFUNCTION("""COMPUTED_VALUE"""),7.0)</f>
        <v>7</v>
      </c>
      <c r="M764" s="85" t="str">
        <f>IFERROR(__xludf.DUMMYFUNCTION("""COMPUTED_VALUE"""),"ü")</f>
        <v>ü</v>
      </c>
      <c r="N764" s="85"/>
      <c r="O764" s="85"/>
      <c r="P764" s="85" t="str">
        <f>IFERROR(__xludf.DUMMYFUNCTION("""COMPUTED_VALUE"""),"MUCSPA63331PSIND")</f>
        <v>MUCSPA63331PSIND</v>
      </c>
      <c r="Q764" s="85" t="str">
        <f>IFERROR(__xludf.DUMMYFUNCTION("""COMPUTED_VALUE"""),"MUC Juraganmurah99")</f>
        <v>MUC Juraganmurah99</v>
      </c>
      <c r="R764" s="85" t="str">
        <f>IFERROR(__xludf.DUMMYFUNCTION("""COMPUTED_VALUE"""),"MUC Juraganmurah99")</f>
        <v>MUC Juraganmurah99</v>
      </c>
      <c r="S764" s="85" t="str">
        <f>IFERROR(__xludf.DUMMYFUNCTION("""COMPUTED_VALUE"""),"MUHAMMAD DIAN HIKMAWAN")</f>
        <v>MUHAMMAD DIAN HIKMAWAN</v>
      </c>
      <c r="T764" s="85" t="str">
        <f>IFERROR(__xludf.DUMMYFUNCTION("""COMPUTED_VALUE"""),"LANGENSARI BARU NO.43.A RT.006 RW.004, PEKIRINGAN, KESAMBI, KOTA CIREBON")</f>
        <v>LANGENSARI BARU NO.43.A RT.006 RW.004, PEKIRINGAN, KESAMBI, KOTA CIREBON</v>
      </c>
      <c r="U764" s="85" t="str">
        <f>IFERROR(__xludf.DUMMYFUNCTION("""COMPUTED_VALUE"""),"Jl. Syekh Ahmad Pangeran Panji No.27")</f>
        <v>Jl. Syekh Ahmad Pangeran Panji No.27</v>
      </c>
      <c r="V764" s="85"/>
      <c r="W764" s="85" t="str">
        <f>IFERROR(__xludf.DUMMYFUNCTION("""COMPUTED_VALUE"""),"Kalikoa")</f>
        <v>Kalikoa</v>
      </c>
      <c r="X764" s="85" t="str">
        <f>IFERROR(__xludf.DUMMYFUNCTION("""COMPUTED_VALUE"""),"Kedawung")</f>
        <v>Kedawung</v>
      </c>
      <c r="Y764" s="85" t="str">
        <f>IFERROR(__xludf.DUMMYFUNCTION("""COMPUTED_VALUE"""),"Kabupaten Cirebon")</f>
        <v>Kabupaten Cirebon</v>
      </c>
      <c r="Z764" s="85" t="str">
        <f>IFERROR(__xludf.DUMMYFUNCTION("""COMPUTED_VALUE"""),"Jawa Barat")</f>
        <v>Jawa Barat</v>
      </c>
      <c r="AA764" s="85" t="str">
        <f>IFERROR(__xludf.DUMMYFUNCTION("""COMPUTED_VALUE"""),"45153")</f>
        <v>45153</v>
      </c>
      <c r="AB764" s="85" t="str">
        <f>IFERROR(__xludf.DUMMYFUNCTION("""COMPUTED_VALUE"""),"3274051806950003")</f>
        <v>3274051806950003</v>
      </c>
      <c r="AC764" s="85" t="str">
        <f>IFERROR(__xludf.DUMMYFUNCTION("""COMPUTED_VALUE"""),"41.842.519.7-426.000")</f>
        <v>41.842.519.7-426.000</v>
      </c>
      <c r="AD764" s="85" t="str">
        <f>IFERROR(__xludf.DUMMYFUNCTION("""COMPUTED_VALUE"""),"NON KORGEN")</f>
        <v>NON KORGEN</v>
      </c>
      <c r="AE764" s="85" t="str">
        <f>IFERROR(__xludf.DUMMYFUNCTION("""COMPUTED_VALUE"""),"PAK SUKIRMAN")</f>
        <v>PAK SUKIRMAN</v>
      </c>
      <c r="AF764" s="85" t="str">
        <f>IFERROR(__xludf.DUMMYFUNCTION("""COMPUTED_VALUE"""),"085295592789")</f>
        <v>085295592789</v>
      </c>
      <c r="AG764" s="85"/>
      <c r="AH764" s="85" t="str">
        <f>IFERROR(__xludf.DUMMYFUNCTION("""COMPUTED_VALUE"""),"Pagemediadian@gmail.com")</f>
        <v>Pagemediadian@gmail.com</v>
      </c>
      <c r="AI764" s="85" t="str">
        <f>IFERROR(__xludf.DUMMYFUNCTION("""COMPUTED_VALUE"""),"45653S2")</f>
        <v>45653S2</v>
      </c>
      <c r="AJ764" s="85" t="str">
        <f>IFERROR(__xludf.DUMMYFUNCTION("""COMPUTED_VALUE"""),"695dd1e4e82c1d4711042ed8")</f>
        <v>695dd1e4e82c1d4711042ed8</v>
      </c>
      <c r="AK764" s="85" t="str">
        <f>IFERROR(__xludf.DUMMYFUNCTION("""COMPUTED_VALUE"""),"pagemediadian@gmail.com ")</f>
        <v>pagemediadian@gmail.com </v>
      </c>
      <c r="AL764" s="85" t="str">
        <f>IFERROR(__xludf.DUMMYFUNCTION("""COMPUTED_VALUE"""),"#Muc45653S2$")</f>
        <v>#Muc45653S2$</v>
      </c>
      <c r="AM764" s="85" t="str">
        <f>IFERROR(__xludf.DUMMYFUNCTION("""COMPUTED_VALUE"""),"KANTOR REGIONAL III BANDUNG 40004")</f>
        <v>KANTOR REGIONAL III BANDUNG 40004</v>
      </c>
      <c r="AN764" s="85" t="str">
        <f>IFERROR(__xludf.DUMMYFUNCTION("""COMPUTED_VALUE"""),"KCU CIREBON 45100")</f>
        <v>KCU CIREBON 45100</v>
      </c>
      <c r="AO764" s="85" t="str">
        <f>IFERROR(__xludf.DUMMYFUNCTION("""COMPUTED_VALUE"""),"MENYUSUL")</f>
        <v>MENYUSUL</v>
      </c>
      <c r="AP764" s="85" t="str">
        <f>IFERROR(__xludf.DUMMYFUNCTION("""COMPUTED_VALUE"""),"MENYUSUL")</f>
        <v>MENYUSUL</v>
      </c>
      <c r="AQ764" s="93"/>
      <c r="AR764" s="85"/>
      <c r="AS764" s="85"/>
      <c r="AT764" s="85" t="str">
        <f>IFERROR(__xludf.DUMMYFUNCTION("""COMPUTED_VALUE"""),"-6.7303739")</f>
        <v>-6.7303739</v>
      </c>
      <c r="AU764" s="85" t="str">
        <f>IFERROR(__xludf.DUMMYFUNCTION("""COMPUTED_VALUE"""),"108.5251212")</f>
        <v>108.5251212</v>
      </c>
      <c r="AV764" s="85"/>
      <c r="AW764" s="85"/>
      <c r="AX764" s="85"/>
      <c r="AY764" s="85"/>
      <c r="AZ764" s="85"/>
      <c r="BA764" s="85"/>
      <c r="BB764" s="85"/>
      <c r="BC764" s="85"/>
      <c r="BD764" s="85"/>
      <c r="BE764" s="85"/>
      <c r="BF764" s="85"/>
      <c r="BG764" s="85"/>
      <c r="BH764" s="85"/>
      <c r="BI764" s="85"/>
      <c r="BJ764" s="85"/>
      <c r="BK764" s="85"/>
      <c r="BL764" s="85"/>
      <c r="BM764" s="85"/>
      <c r="BN764" s="85"/>
      <c r="BO764" s="85"/>
      <c r="BP764" s="85"/>
      <c r="BQ764" s="85"/>
      <c r="BR764" s="85"/>
      <c r="BS764" s="85"/>
      <c r="BT764" s="85"/>
      <c r="BU764" s="85"/>
      <c r="BV764" s="85"/>
      <c r="BW764" s="85"/>
      <c r="BX764" s="85" t="str">
        <f>IFERROR(__xludf.DUMMYFUNCTION("""COMPUTED_VALUE"""),"NEWBIE")</f>
        <v>NEWBIE</v>
      </c>
      <c r="BY764" s="85"/>
      <c r="BZ764" s="85"/>
      <c r="CA764" s="85"/>
      <c r="CB764" s="85"/>
      <c r="CC764" s="85"/>
      <c r="CD764" s="85"/>
      <c r="CE764" s="85"/>
      <c r="CF764" s="85"/>
      <c r="CG764" s="85"/>
      <c r="CH764" s="85"/>
      <c r="CI764" s="85"/>
      <c r="CJ764" s="85"/>
      <c r="CK764" s="2"/>
    </row>
    <row r="765" ht="12.75" customHeight="1">
      <c r="A765" s="80">
        <f>IFERROR(__xludf.DUMMYFUNCTION("""COMPUTED_VALUE"""),761.0)</f>
        <v>761</v>
      </c>
      <c r="B765" s="80"/>
      <c r="C765" s="80"/>
      <c r="D765" s="81">
        <f>IFERROR(__xludf.DUMMYFUNCTION("""COMPUTED_VALUE"""),46024.0)</f>
        <v>46024</v>
      </c>
      <c r="E765" s="82"/>
      <c r="F765" s="80"/>
      <c r="G765" s="81"/>
      <c r="H765" s="80"/>
      <c r="I765" s="80"/>
      <c r="J765" s="80"/>
      <c r="K765" s="80"/>
      <c r="L765" s="80"/>
      <c r="M765" s="80" t="str">
        <f>IFERROR(__xludf.DUMMYFUNCTION("""COMPUTED_VALUE"""),"ü")</f>
        <v>ü</v>
      </c>
      <c r="N765" s="80"/>
      <c r="O765" s="80"/>
      <c r="P765" s="80" t="str">
        <f>IFERROR(__xludf.DUMMYFUNCTION("""COMPUTED_VALUE"""),"MUCSPA63332PSIND")</f>
        <v>MUCSPA63332PSIND</v>
      </c>
      <c r="Q765" s="80" t="str">
        <f>IFERROR(__xludf.DUMMYFUNCTION("""COMPUTED_VALUE"""),"MUC RATU")</f>
        <v>MUC RATU</v>
      </c>
      <c r="R765" s="80" t="str">
        <f>IFERROR(__xludf.DUMMYFUNCTION("""COMPUTED_VALUE"""),"MUC RATU")</f>
        <v>MUC RATU</v>
      </c>
      <c r="S765" s="80" t="str">
        <f>IFERROR(__xludf.DUMMYFUNCTION("""COMPUTED_VALUE"""),"DEBY VEROMIKA")</f>
        <v>DEBY VEROMIKA</v>
      </c>
      <c r="T765" s="80" t="str">
        <f>IFERROR(__xludf.DUMMYFUNCTION("""COMPUTED_VALUE"""),"KAV BULAK SENTUL NO 69 RT.010 RW.022, HARAPAN JAYA, BEKASI UTARA, KOTA BEKASI")</f>
        <v>KAV BULAK SENTUL NO 69 RT.010 RW.022, HARAPAN JAYA, BEKASI UTARA, KOTA BEKASI</v>
      </c>
      <c r="U765" s="80" t="str">
        <f>IFERROR(__xludf.DUMMYFUNCTION("""COMPUTED_VALUE"""),"Jl. Raya Seroja, RT.003/RW.028")</f>
        <v>Jl. Raya Seroja, RT.003/RW.028</v>
      </c>
      <c r="V765" s="80"/>
      <c r="W765" s="80" t="str">
        <f>IFERROR(__xludf.DUMMYFUNCTION("""COMPUTED_VALUE"""),"Harapan Jaya")</f>
        <v>Harapan Jaya</v>
      </c>
      <c r="X765" s="80" t="str">
        <f>IFERROR(__xludf.DUMMYFUNCTION("""COMPUTED_VALUE"""),"Bekasi Utara")</f>
        <v>Bekasi Utara</v>
      </c>
      <c r="Y765" s="80" t="str">
        <f>IFERROR(__xludf.DUMMYFUNCTION("""COMPUTED_VALUE"""),"Kota Bekasi")</f>
        <v>Kota Bekasi</v>
      </c>
      <c r="Z765" s="80" t="str">
        <f>IFERROR(__xludf.DUMMYFUNCTION("""COMPUTED_VALUE"""),"Jawa Barat ")</f>
        <v>Jawa Barat </v>
      </c>
      <c r="AA765" s="80" t="str">
        <f>IFERROR(__xludf.DUMMYFUNCTION("""COMPUTED_VALUE"""),"17124")</f>
        <v>17124</v>
      </c>
      <c r="AB765" s="80" t="str">
        <f>IFERROR(__xludf.DUMMYFUNCTION("""COMPUTED_VALUE"""),"3275035302860018")</f>
        <v>3275035302860018</v>
      </c>
      <c r="AC765" s="80" t="str">
        <f>IFERROR(__xludf.DUMMYFUNCTION("""COMPUTED_VALUE"""),"31.817.479.4-407.000")</f>
        <v>31.817.479.4-407.000</v>
      </c>
      <c r="AD765" s="80" t="str">
        <f>IFERROR(__xludf.DUMMYFUNCTION("""COMPUTED_VALUE"""),"CUM - PS - NITA")</f>
        <v>CUM - PS - NITA</v>
      </c>
      <c r="AE765" s="80" t="str">
        <f>IFERROR(__xludf.DUMMYFUNCTION("""COMPUTED_VALUE"""),"SUB NITA POS")</f>
        <v>SUB NITA POS</v>
      </c>
      <c r="AF765" s="80" t="str">
        <f>IFERROR(__xludf.DUMMYFUNCTION("""COMPUTED_VALUE"""),"081382350009")</f>
        <v>081382350009</v>
      </c>
      <c r="AG765" s="80"/>
      <c r="AH765" s="80" t="str">
        <f>IFERROR(__xludf.DUMMYFUNCTION("""COMPUTED_VALUE"""),"farrelariqa1326@gmail.com")</f>
        <v>farrelariqa1326@gmail.com</v>
      </c>
      <c r="AI765" s="80"/>
      <c r="AJ765" s="80"/>
      <c r="AK765" s="80"/>
      <c r="AL765" s="80"/>
      <c r="AM765" s="80" t="str">
        <f>IFERROR(__xludf.DUMMYFUNCTION("""COMPUTED_VALUE"""),"KANTOR REGIONAL II JAKARTA 10004")</f>
        <v>KANTOR REGIONAL II JAKARTA 10004</v>
      </c>
      <c r="AN765" s="80" t="str">
        <f>IFERROR(__xludf.DUMMYFUNCTION("""COMPUTED_VALUE"""),"KCU BEKASI 17000")</f>
        <v>KCU BEKASI 17000</v>
      </c>
      <c r="AO765" s="80" t="str">
        <f>IFERROR(__xludf.DUMMYFUNCTION("""COMPUTED_VALUE"""),"MENYUSUL")</f>
        <v>MENYUSUL</v>
      </c>
      <c r="AP765" s="80" t="str">
        <f>IFERROR(__xludf.DUMMYFUNCTION("""COMPUTED_VALUE"""),"MENYUSUL")</f>
        <v>MENYUSUL</v>
      </c>
      <c r="AQ765" s="83"/>
      <c r="AR765" s="80"/>
      <c r="AS765" s="80"/>
      <c r="AT765" s="80" t="str">
        <f>IFERROR(__xludf.DUMMYFUNCTION("""COMPUTED_VALUE"""),"-6.202936")</f>
        <v>-6.202936</v>
      </c>
      <c r="AU765" s="80" t="str">
        <f>IFERROR(__xludf.DUMMYFUNCTION("""COMPUTED_VALUE"""),"106.988966")</f>
        <v>106.988966</v>
      </c>
      <c r="AV765" s="80"/>
      <c r="AW765" s="80"/>
      <c r="AX765" s="80"/>
      <c r="AY765" s="80"/>
      <c r="AZ765" s="80"/>
      <c r="BA765" s="80"/>
      <c r="BB765" s="80"/>
      <c r="BC765" s="80"/>
      <c r="BD765" s="80"/>
      <c r="BE765" s="80"/>
      <c r="BF765" s="80"/>
      <c r="BG765" s="80"/>
      <c r="BH765" s="80"/>
      <c r="BI765" s="80"/>
      <c r="BJ765" s="80"/>
      <c r="BK765" s="80"/>
      <c r="BL765" s="80"/>
      <c r="BM765" s="80"/>
      <c r="BN765" s="80"/>
      <c r="BO765" s="80"/>
      <c r="BP765" s="80"/>
      <c r="BQ765" s="80"/>
      <c r="BR765" s="80"/>
      <c r="BS765" s="80"/>
      <c r="BT765" s="80"/>
      <c r="BU765" s="80"/>
      <c r="BV765" s="80"/>
      <c r="BW765" s="80"/>
      <c r="BX765" s="80" t="str">
        <f>IFERROR(__xludf.DUMMYFUNCTION("""COMPUTED_VALUE"""),"MULTIKURIR - LION PARCEL")</f>
        <v>MULTIKURIR - LION PARCEL</v>
      </c>
      <c r="BY765" s="80"/>
      <c r="BZ765" s="80"/>
      <c r="CA765" s="80"/>
      <c r="CB765" s="80"/>
      <c r="CC765" s="80"/>
      <c r="CD765" s="80"/>
      <c r="CE765" s="80"/>
      <c r="CF765" s="80"/>
      <c r="CG765" s="80"/>
      <c r="CH765" s="80"/>
      <c r="CI765" s="80"/>
      <c r="CJ765" s="80"/>
      <c r="CK765" s="2"/>
    </row>
    <row r="766" ht="12.75" customHeight="1">
      <c r="A766" s="85">
        <f>IFERROR(__xludf.DUMMYFUNCTION("""COMPUTED_VALUE"""),762.0)</f>
        <v>762</v>
      </c>
      <c r="B766" s="85"/>
      <c r="C766" s="85"/>
      <c r="D766" s="86">
        <f>IFERROR(__xludf.DUMMYFUNCTION("""COMPUTED_VALUE"""),46027.0)</f>
        <v>46027</v>
      </c>
      <c r="E766" s="88"/>
      <c r="F766" s="85"/>
      <c r="G766" s="86">
        <f>IFERROR(__xludf.DUMMYFUNCTION("""COMPUTED_VALUE"""),46034.0)</f>
        <v>46034</v>
      </c>
      <c r="H766" s="85"/>
      <c r="I766" s="85"/>
      <c r="J766" s="85"/>
      <c r="K766" s="85"/>
      <c r="L766" s="85">
        <f>IFERROR(__xludf.DUMMYFUNCTION("""COMPUTED_VALUE"""),7.0)</f>
        <v>7</v>
      </c>
      <c r="M766" s="85" t="str">
        <f>IFERROR(__xludf.DUMMYFUNCTION("""COMPUTED_VALUE"""),"ü")</f>
        <v>ü</v>
      </c>
      <c r="N766" s="85"/>
      <c r="O766" s="85"/>
      <c r="P766" s="85" t="str">
        <f>IFERROR(__xludf.DUMMYFUNCTION("""COMPUTED_VALUE"""),"52BSPA07550JTGKR")</f>
        <v>52BSPA07550JTGKR</v>
      </c>
      <c r="Q766" s="85" t="str">
        <f>IFERROR(__xludf.DUMMYFUNCTION("""COMPUTED_VALUE"""),"MUC KARYA PRAJASA ")</f>
        <v>MUC KARYA PRAJASA </v>
      </c>
      <c r="R766" s="85" t="str">
        <f>IFERROR(__xludf.DUMMYFUNCTION("""COMPUTED_VALUE"""),"MUC KARYA PRAJASA ")</f>
        <v>MUC KARYA PRAJASA </v>
      </c>
      <c r="S766" s="85" t="str">
        <f>IFERROR(__xludf.DUMMYFUNCTION("""COMPUTED_VALUE"""),"KRISNA DWI SATRIO ")</f>
        <v>KRISNA DWI SATRIO </v>
      </c>
      <c r="T766" s="85" t="str">
        <f>IFERROR(__xludf.DUMMYFUNCTION("""COMPUTED_VALUE"""),"Jl MERAPI KROYA CILACAP ")</f>
        <v>Jl MERAPI KROYA CILACAP </v>
      </c>
      <c r="U766" s="85" t="str">
        <f>IFERROR(__xludf.DUMMYFUNCTION("""COMPUTED_VALUE"""),"Jl YOS SUDARSO KROYA CILACAP")</f>
        <v>Jl YOS SUDARSO KROYA CILACAP</v>
      </c>
      <c r="V766" s="85"/>
      <c r="W766" s="85" t="str">
        <f>IFERROR(__xludf.DUMMYFUNCTION("""COMPUTED_VALUE"""),"KROYA")</f>
        <v>KROYA</v>
      </c>
      <c r="X766" s="85" t="str">
        <f>IFERROR(__xludf.DUMMYFUNCTION("""COMPUTED_VALUE"""),"KROYA")</f>
        <v>KROYA</v>
      </c>
      <c r="Y766" s="85" t="str">
        <f>IFERROR(__xludf.DUMMYFUNCTION("""COMPUTED_VALUE"""),"CILACAP ")</f>
        <v>CILACAP </v>
      </c>
      <c r="Z766" s="85" t="str">
        <f>IFERROR(__xludf.DUMMYFUNCTION("""COMPUTED_VALUE"""),"JAWA TENGAH ")</f>
        <v>JAWA TENGAH </v>
      </c>
      <c r="AA766" s="85" t="str">
        <f>IFERROR(__xludf.DUMMYFUNCTION("""COMPUTED_VALUE"""),"53282")</f>
        <v>53282</v>
      </c>
      <c r="AB766" s="85" t="str">
        <f>IFERROR(__xludf.DUMMYFUNCTION("""COMPUTED_VALUE"""),"3301061302050001")</f>
        <v>3301061302050001</v>
      </c>
      <c r="AC766" s="85" t="str">
        <f>IFERROR(__xludf.DUMMYFUNCTION("""COMPUTED_VALUE"""),"3301 0613 0205 0001")</f>
        <v>3301 0613 0205 0001</v>
      </c>
      <c r="AD766" s="85" t="str">
        <f>IFERROR(__xludf.DUMMYFUNCTION("""COMPUTED_VALUE"""),"CUM - KRS")</f>
        <v>CUM - KRS</v>
      </c>
      <c r="AE766" s="85" t="str">
        <f>IFERROR(__xludf.DUMMYFUNCTION("""COMPUTED_VALUE"""),"SUB KARSINI")</f>
        <v>SUB KARSINI</v>
      </c>
      <c r="AF766" s="85" t="str">
        <f>IFERROR(__xludf.DUMMYFUNCTION("""COMPUTED_VALUE"""),"089517133553")</f>
        <v>089517133553</v>
      </c>
      <c r="AG766" s="85"/>
      <c r="AH766" s="85" t="str">
        <f>IFERROR(__xludf.DUMMYFUNCTION("""COMPUTED_VALUE"""),"cvkaryaprajasa@gmail.com")</f>
        <v>cvkaryaprajasa@gmail.com</v>
      </c>
      <c r="AI766" s="85" t="str">
        <f>IFERROR(__xludf.DUMMYFUNCTION("""COMPUTED_VALUE"""),"53282S3")</f>
        <v>53282S3</v>
      </c>
      <c r="AJ766" s="85" t="str">
        <f>IFERROR(__xludf.DUMMYFUNCTION("""COMPUTED_VALUE"""),"6961c9c61ffbd730ce05a2ee")</f>
        <v>6961c9c61ffbd730ce05a2ee</v>
      </c>
      <c r="AK766" s="85" t="str">
        <f>IFERROR(__xludf.DUMMYFUNCTION("""COMPUTED_VALUE"""),"cvkaryaprajasa@gmail.com")</f>
        <v>cvkaryaprajasa@gmail.com</v>
      </c>
      <c r="AL766" s="85" t="str">
        <f>IFERROR(__xludf.DUMMYFUNCTION("""COMPUTED_VALUE"""),"#Muc53282S3$")</f>
        <v>#Muc53282S3$</v>
      </c>
      <c r="AM766" s="85" t="str">
        <f>IFERROR(__xludf.DUMMYFUNCTION("""COMPUTED_VALUE"""),"KANTOR REGIONAL IV SEMARANG 50004")</f>
        <v>KANTOR REGIONAL IV SEMARANG 50004</v>
      </c>
      <c r="AN766" s="85" t="str">
        <f>IFERROR(__xludf.DUMMYFUNCTION("""COMPUTED_VALUE"""),"KC CILACAP ")</f>
        <v>KC CILACAP </v>
      </c>
      <c r="AO766" s="85" t="str">
        <f>IFERROR(__xludf.DUMMYFUNCTION("""COMPUTED_VALUE"""),"MENYUSUL")</f>
        <v>MENYUSUL</v>
      </c>
      <c r="AP766" s="85" t="str">
        <f>IFERROR(__xludf.DUMMYFUNCTION("""COMPUTED_VALUE"""),"MENYUSUL")</f>
        <v>MENYUSUL</v>
      </c>
      <c r="AQ766" s="93"/>
      <c r="AR766" s="85"/>
      <c r="AS766" s="85"/>
      <c r="AT766" s="85" t="str">
        <f>IFERROR(__xludf.DUMMYFUNCTION("""COMPUTED_VALUE"""),"-7.6352653")</f>
        <v>-7.6352653</v>
      </c>
      <c r="AU766" s="85" t="str">
        <f>IFERROR(__xludf.DUMMYFUNCTION("""COMPUTED_VALUE"""),"109.2488886")</f>
        <v>109.2488886</v>
      </c>
      <c r="AV766" s="85"/>
      <c r="AW766" s="85"/>
      <c r="AX766" s="85"/>
      <c r="AY766" s="85"/>
      <c r="AZ766" s="85"/>
      <c r="BA766" s="85"/>
      <c r="BB766" s="85"/>
      <c r="BC766" s="85"/>
      <c r="BD766" s="85"/>
      <c r="BE766" s="85"/>
      <c r="BF766" s="85"/>
      <c r="BG766" s="85"/>
      <c r="BH766" s="85"/>
      <c r="BI766" s="85"/>
      <c r="BJ766" s="85"/>
      <c r="BK766" s="85"/>
      <c r="BL766" s="85"/>
      <c r="BM766" s="85"/>
      <c r="BN766" s="85"/>
      <c r="BO766" s="85"/>
      <c r="BP766" s="85"/>
      <c r="BQ766" s="85"/>
      <c r="BR766" s="85"/>
      <c r="BS766" s="85"/>
      <c r="BT766" s="85"/>
      <c r="BU766" s="85"/>
      <c r="BV766" s="85"/>
      <c r="BW766" s="85"/>
      <c r="BX766" s="85" t="str">
        <f>IFERROR(__xludf.DUMMYFUNCTION("""COMPUTED_VALUE"""),"NEWBIE")</f>
        <v>NEWBIE</v>
      </c>
      <c r="BY766" s="85"/>
      <c r="BZ766" s="85"/>
      <c r="CA766" s="85"/>
      <c r="CB766" s="85"/>
      <c r="CC766" s="85"/>
      <c r="CD766" s="85"/>
      <c r="CE766" s="85"/>
      <c r="CF766" s="85"/>
      <c r="CG766" s="85"/>
      <c r="CH766" s="85"/>
      <c r="CI766" s="85"/>
      <c r="CJ766" s="85"/>
      <c r="CK766" s="2"/>
    </row>
    <row r="767" ht="12.75" customHeight="1">
      <c r="A767" s="80">
        <f>IFERROR(__xludf.DUMMYFUNCTION("""COMPUTED_VALUE"""),763.0)</f>
        <v>763</v>
      </c>
      <c r="B767" s="80"/>
      <c r="C767" s="80"/>
      <c r="D767" s="81">
        <f>IFERROR(__xludf.DUMMYFUNCTION("""COMPUTED_VALUE"""),46027.0)</f>
        <v>46027</v>
      </c>
      <c r="E767" s="82"/>
      <c r="F767" s="80"/>
      <c r="G767" s="81">
        <f>IFERROR(__xludf.DUMMYFUNCTION("""COMPUTED_VALUE"""),46063.0)</f>
        <v>46063</v>
      </c>
      <c r="H767" s="80"/>
      <c r="I767" s="80"/>
      <c r="J767" s="80"/>
      <c r="K767" s="80"/>
      <c r="L767" s="80">
        <f>IFERROR(__xludf.DUMMYFUNCTION("""COMPUTED_VALUE"""),36.0)</f>
        <v>36</v>
      </c>
      <c r="M767" s="80" t="str">
        <f>IFERROR(__xludf.DUMMYFUNCTION("""COMPUTED_VALUE"""),"ü")</f>
        <v>ü</v>
      </c>
      <c r="N767" s="80"/>
      <c r="O767" s="80"/>
      <c r="P767" s="80" t="str">
        <f>IFERROR(__xludf.DUMMYFUNCTION("""COMPUTED_VALUE"""),"53BSPA09809JBEEN")</f>
        <v>53BSPA09809JBEEN</v>
      </c>
      <c r="Q767" s="80" t="str">
        <f>IFERROR(__xludf.DUMMYFUNCTION("""COMPUTED_VALUE"""),"MUC SAHING")</f>
        <v>MUC SAHING</v>
      </c>
      <c r="R767" s="80" t="str">
        <f>IFERROR(__xludf.DUMMYFUNCTION("""COMPUTED_VALUE"""),"MUC SAHING")</f>
        <v>MUC SAHING</v>
      </c>
      <c r="S767" s="80" t="str">
        <f>IFERROR(__xludf.DUMMYFUNCTION("""COMPUTED_VALUE"""),"FIRMAN PAMUNGKAS")</f>
        <v>FIRMAN PAMUNGKAS</v>
      </c>
      <c r="T767" s="80" t="str">
        <f>IFERROR(__xludf.DUMMYFUNCTION("""COMPUTED_VALUE"""),"DAWUKAN, RT.013 RW.006, BULAN, WONOSARIM KAB. KLATEN JAWA TENGAH")</f>
        <v>DAWUKAN, RT.013 RW.006, BULAN, WONOSARIM KAB. KLATEN JAWA TENGAH</v>
      </c>
      <c r="U767" s="80" t="str">
        <f>IFERROR(__xludf.DUMMYFUNCTION("""COMPUTED_VALUE"""),"Jl. Raya Delanggu - Juwiring, Dusun I")</f>
        <v>Jl. Raya Delanggu - Juwiring, Dusun I</v>
      </c>
      <c r="V767" s="80"/>
      <c r="W767" s="80" t="str">
        <f>IFERROR(__xludf.DUMMYFUNCTION("""COMPUTED_VALUE"""),"Bulan")</f>
        <v>Bulan</v>
      </c>
      <c r="X767" s="80" t="str">
        <f>IFERROR(__xludf.DUMMYFUNCTION("""COMPUTED_VALUE"""),"Wonosari")</f>
        <v>Wonosari</v>
      </c>
      <c r="Y767" s="80" t="str">
        <f>IFERROR(__xludf.DUMMYFUNCTION("""COMPUTED_VALUE"""),"Kabupaten Klaten")</f>
        <v>Kabupaten Klaten</v>
      </c>
      <c r="Z767" s="80" t="str">
        <f>IFERROR(__xludf.DUMMYFUNCTION("""COMPUTED_VALUE"""),"Jawa Tengah  ")</f>
        <v>Jawa Tengah  </v>
      </c>
      <c r="AA767" s="80" t="str">
        <f>IFERROR(__xludf.DUMMYFUNCTION("""COMPUTED_VALUE"""),"57473")</f>
        <v>57473</v>
      </c>
      <c r="AB767" s="80" t="str">
        <f>IFERROR(__xludf.DUMMYFUNCTION("""COMPUTED_VALUE"""),"3310151302990001")</f>
        <v>3310151302990001</v>
      </c>
      <c r="AC767" s="80" t="str">
        <f>IFERROR(__xludf.DUMMYFUNCTION("""COMPUTED_VALUE"""),"3310151302990001")</f>
        <v>3310151302990001</v>
      </c>
      <c r="AD767" s="80" t="str">
        <f>IFERROR(__xludf.DUMMYFUNCTION("""COMPUTED_VALUE"""),"CUM - EEN")</f>
        <v>CUM - EEN</v>
      </c>
      <c r="AE767" s="80" t="str">
        <f>IFERROR(__xludf.DUMMYFUNCTION("""COMPUTED_VALUE"""),"SUB EEN")</f>
        <v>SUB EEN</v>
      </c>
      <c r="AF767" s="80" t="str">
        <f>IFERROR(__xludf.DUMMYFUNCTION("""COMPUTED_VALUE"""),"085701203060")</f>
        <v>085701203060</v>
      </c>
      <c r="AG767" s="80"/>
      <c r="AH767" s="80" t="str">
        <f>IFERROR(__xludf.DUMMYFUNCTION("""COMPUTED_VALUE"""),"firman.pamungkas1@gmail.com")</f>
        <v>firman.pamungkas1@gmail.com</v>
      </c>
      <c r="AI767" s="80" t="str">
        <f>IFERROR(__xludf.DUMMYFUNCTION("""COMPUTED_VALUE"""),"57473S2")</f>
        <v>57473S2</v>
      </c>
      <c r="AJ767" s="80" t="str">
        <f>IFERROR(__xludf.DUMMYFUNCTION("""COMPUTED_VALUE"""),"698beedd9879826b530ad562")</f>
        <v>698beedd9879826b530ad562</v>
      </c>
      <c r="AK767" s="80" t="str">
        <f>IFERROR(__xludf.DUMMYFUNCTION("""COMPUTED_VALUE"""),"firmanp135cc@gmail.com")</f>
        <v>firmanp135cc@gmail.com</v>
      </c>
      <c r="AL767" s="80" t="str">
        <f>IFERROR(__xludf.DUMMYFUNCTION("""COMPUTED_VALUE"""),"#Muc57473S2%")</f>
        <v>#Muc57473S2%</v>
      </c>
      <c r="AM767" s="80" t="str">
        <f>IFERROR(__xludf.DUMMYFUNCTION("""COMPUTED_VALUE"""),"KANTOR REGIONAL IV SEMARANG 50004")</f>
        <v>KANTOR REGIONAL IV SEMARANG 50004</v>
      </c>
      <c r="AN767" s="80" t="str">
        <f>IFERROR(__xludf.DUMMYFUNCTION("""COMPUTED_VALUE"""),"KC KLATEN 57400")</f>
        <v>KC KLATEN 57400</v>
      </c>
      <c r="AO767" s="80" t="str">
        <f>IFERROR(__xludf.DUMMYFUNCTION("""COMPUTED_VALUE"""),"MENYUSUL")</f>
        <v>MENYUSUL</v>
      </c>
      <c r="AP767" s="80" t="str">
        <f>IFERROR(__xludf.DUMMYFUNCTION("""COMPUTED_VALUE"""),"MENYUSUL")</f>
        <v>MENYUSUL</v>
      </c>
      <c r="AQ767" s="83"/>
      <c r="AR767" s="80"/>
      <c r="AS767" s="80"/>
      <c r="AT767" s="80" t="str">
        <f>IFERROR(__xludf.DUMMYFUNCTION("""COMPUTED_VALUE"""),"-7.6329341")</f>
        <v>-7.6329341</v>
      </c>
      <c r="AU767" s="80" t="str">
        <f>IFERROR(__xludf.DUMMYFUNCTION("""COMPUTED_VALUE"""),"110.7187645")</f>
        <v>110.7187645</v>
      </c>
      <c r="AV767" s="80"/>
      <c r="AW767" s="80"/>
      <c r="AX767" s="80"/>
      <c r="AY767" s="80"/>
      <c r="AZ767" s="80"/>
      <c r="BA767" s="80"/>
      <c r="BB767" s="80"/>
      <c r="BC767" s="80"/>
      <c r="BD767" s="80"/>
      <c r="BE767" s="80"/>
      <c r="BF767" s="80"/>
      <c r="BG767" s="80"/>
      <c r="BH767" s="80"/>
      <c r="BI767" s="80"/>
      <c r="BJ767" s="80"/>
      <c r="BK767" s="80"/>
      <c r="BL767" s="80"/>
      <c r="BM767" s="80"/>
      <c r="BN767" s="80"/>
      <c r="BO767" s="80"/>
      <c r="BP767" s="80"/>
      <c r="BQ767" s="80"/>
      <c r="BR767" s="80"/>
      <c r="BS767" s="80"/>
      <c r="BT767" s="80"/>
      <c r="BU767" s="80"/>
      <c r="BV767" s="80"/>
      <c r="BW767" s="80"/>
      <c r="BX767" s="80" t="str">
        <f>IFERROR(__xludf.DUMMYFUNCTION("""COMPUTED_VALUE"""),"MULTIKURIR - JNT CARGO - JNT EXPRESS")</f>
        <v>MULTIKURIR - JNT CARGO - JNT EXPRESS</v>
      </c>
      <c r="BY767" s="80"/>
      <c r="BZ767" s="80"/>
      <c r="CA767" s="80"/>
      <c r="CB767" s="80"/>
      <c r="CC767" s="80"/>
      <c r="CD767" s="80"/>
      <c r="CE767" s="80"/>
      <c r="CF767" s="80"/>
      <c r="CG767" s="80"/>
      <c r="CH767" s="80"/>
      <c r="CI767" s="80"/>
      <c r="CJ767" s="80"/>
      <c r="CK767" s="2"/>
    </row>
    <row r="768" ht="12.75" customHeight="1">
      <c r="A768" s="85">
        <f>IFERROR(__xludf.DUMMYFUNCTION("""COMPUTED_VALUE"""),764.0)</f>
        <v>764</v>
      </c>
      <c r="B768" s="85"/>
      <c r="C768" s="85"/>
      <c r="D768" s="86">
        <f>IFERROR(__xludf.DUMMYFUNCTION("""COMPUTED_VALUE"""),46027.0)</f>
        <v>46027</v>
      </c>
      <c r="E768" s="88"/>
      <c r="F768" s="85"/>
      <c r="G768" s="86">
        <f>IFERROR(__xludf.DUMMYFUNCTION("""COMPUTED_VALUE"""),46092.0)</f>
        <v>46092</v>
      </c>
      <c r="H768" s="85"/>
      <c r="I768" s="85"/>
      <c r="J768" s="85"/>
      <c r="K768" s="85"/>
      <c r="L768" s="85">
        <f>IFERROR(__xludf.DUMMYFUNCTION("""COMPUTED_VALUE"""),65.0)</f>
        <v>65</v>
      </c>
      <c r="M768" s="85" t="str">
        <f>IFERROR(__xludf.DUMMYFUNCTION("""COMPUTED_VALUE"""),"ü")</f>
        <v>ü</v>
      </c>
      <c r="N768" s="85"/>
      <c r="O768" s="85"/>
      <c r="P768" s="85" t="str">
        <f>IFERROR(__xludf.DUMMYFUNCTION("""COMPUTED_VALUE"""),"MUCSPA63333PSIND")</f>
        <v>MUCSPA63333PSIND</v>
      </c>
      <c r="Q768" s="85" t="str">
        <f>IFERROR(__xludf.DUMMYFUNCTION("""COMPUTED_VALUE"""),"MUC MIKHA PERKASA")</f>
        <v>MUC MIKHA PERKASA</v>
      </c>
      <c r="R768" s="85" t="str">
        <f>IFERROR(__xludf.DUMMYFUNCTION("""COMPUTED_VALUE"""),"MUC MIKHA PERKASA")</f>
        <v>MUC MIKHA PERKASA</v>
      </c>
      <c r="S768" s="85" t="str">
        <f>IFERROR(__xludf.DUMMYFUNCTION("""COMPUTED_VALUE"""),"ASMAWAR SAMOSIR")</f>
        <v>ASMAWAR SAMOSIR</v>
      </c>
      <c r="T768" s="85" t="str">
        <f>IFERROR(__xludf.DUMMYFUNCTION("""COMPUTED_VALUE"""),"JL. SADUM NO.27 RT.001 RW.005, BANE, SIANTAR UTARA, KOTA PEMATANG SIANTAR, SUMATERA UTARA")</f>
        <v>JL. SADUM NO.27 RT.001 RW.005, BANE, SIANTAR UTARA, KOTA PEMATANG SIANTAR, SUMATERA UTARA</v>
      </c>
      <c r="U768" s="85" t="str">
        <f>IFERROR(__xludf.DUMMYFUNCTION("""COMPUTED_VALUE"""),"Jl. Kartini")</f>
        <v>Jl. Kartini</v>
      </c>
      <c r="V768" s="85"/>
      <c r="W768" s="85" t="str">
        <f>IFERROR(__xludf.DUMMYFUNCTION("""COMPUTED_VALUE"""),"Sei Mangkei")</f>
        <v>Sei Mangkei</v>
      </c>
      <c r="X768" s="85" t="str">
        <f>IFERROR(__xludf.DUMMYFUNCTION("""COMPUTED_VALUE"""),"Bosar Maligas")</f>
        <v>Bosar Maligas</v>
      </c>
      <c r="Y768" s="85" t="str">
        <f>IFERROR(__xludf.DUMMYFUNCTION("""COMPUTED_VALUE"""),"Kabupaten Simalungun")</f>
        <v>Kabupaten Simalungun</v>
      </c>
      <c r="Z768" s="85" t="str">
        <f>IFERROR(__xludf.DUMMYFUNCTION("""COMPUTED_VALUE"""),"Sumatera Utara")</f>
        <v>Sumatera Utara</v>
      </c>
      <c r="AA768" s="85" t="str">
        <f>IFERROR(__xludf.DUMMYFUNCTION("""COMPUTED_VALUE"""),"21184")</f>
        <v>21184</v>
      </c>
      <c r="AB768" s="85" t="str">
        <f>IFERROR(__xludf.DUMMYFUNCTION("""COMPUTED_VALUE"""),"1272034912780006")</f>
        <v>1272034912780006</v>
      </c>
      <c r="AC768" s="85" t="str">
        <f>IFERROR(__xludf.DUMMYFUNCTION("""COMPUTED_VALUE"""),"1272034912780006")</f>
        <v>1272034912780006</v>
      </c>
      <c r="AD768" s="85" t="str">
        <f>IFERROR(__xludf.DUMMYFUNCTION("""COMPUTED_VALUE"""),"NON KORGEN")</f>
        <v>NON KORGEN</v>
      </c>
      <c r="AE768" s="85" t="str">
        <f>IFERROR(__xludf.DUMMYFUNCTION("""COMPUTED_VALUE"""),"PAK DODDY")</f>
        <v>PAK DODDY</v>
      </c>
      <c r="AF768" s="85" t="str">
        <f>IFERROR(__xludf.DUMMYFUNCTION("""COMPUTED_VALUE"""),"081370808900")</f>
        <v>081370808900</v>
      </c>
      <c r="AG768" s="85"/>
      <c r="AH768" s="85" t="str">
        <f>IFERROR(__xludf.DUMMYFUNCTION("""COMPUTED_VALUE"""),"mawarsamosir.orc33@gmail.com")</f>
        <v>mawarsamosir.orc33@gmail.com</v>
      </c>
      <c r="AI768" s="85" t="str">
        <f>IFERROR(__xludf.DUMMYFUNCTION("""COMPUTED_VALUE"""),"21183S4")</f>
        <v>21183S4</v>
      </c>
      <c r="AJ768" s="85" t="str">
        <f>IFERROR(__xludf.DUMMYFUNCTION("""COMPUTED_VALUE"""),"69b10fdae71317ea0b003fb7")</f>
        <v>69b10fdae71317ea0b003fb7</v>
      </c>
      <c r="AK768" s="85" t="str">
        <f>IFERROR(__xludf.DUMMYFUNCTION("""COMPUTED_VALUE"""),"mawarsamosir.orc33@gmail.com")</f>
        <v>mawarsamosir.orc33@gmail.com</v>
      </c>
      <c r="AL768" s="85" t="str">
        <f>IFERROR(__xludf.DUMMYFUNCTION("""COMPUTED_VALUE"""),"#Muc21183S4$")</f>
        <v>#Muc21183S4$</v>
      </c>
      <c r="AM768" s="85" t="str">
        <f>IFERROR(__xludf.DUMMYFUNCTION("""COMPUTED_VALUE"""),"KANTOR REGIONAL I MEDAN 20004")</f>
        <v>KANTOR REGIONAL I MEDAN 20004</v>
      </c>
      <c r="AN768" s="85" t="str">
        <f>IFERROR(__xludf.DUMMYFUNCTION("""COMPUTED_VALUE"""),"KC PEMATANGSIANTAR")</f>
        <v>KC PEMATANGSIANTAR</v>
      </c>
      <c r="AO768" s="85" t="str">
        <f>IFERROR(__xludf.DUMMYFUNCTION("""COMPUTED_VALUE"""),"MENYUSUL")</f>
        <v>MENYUSUL</v>
      </c>
      <c r="AP768" s="85" t="str">
        <f>IFERROR(__xludf.DUMMYFUNCTION("""COMPUTED_VALUE"""),"MENYUSUL")</f>
        <v>MENYUSUL</v>
      </c>
      <c r="AQ768" s="93"/>
      <c r="AR768" s="85"/>
      <c r="AS768" s="85"/>
      <c r="AT768" s="85" t="str">
        <f>IFERROR(__xludf.DUMMYFUNCTION("""COMPUTED_VALUE"""),"3.1605691")</f>
        <v>3.1605691</v>
      </c>
      <c r="AU768" s="85" t="str">
        <f>IFERROR(__xludf.DUMMYFUNCTION("""COMPUTED_VALUE"""),"99.330955")</f>
        <v>99.330955</v>
      </c>
      <c r="AV768" s="85"/>
      <c r="AW768" s="85"/>
      <c r="AX768" s="85"/>
      <c r="AY768" s="85"/>
      <c r="AZ768" s="85"/>
      <c r="BA768" s="85"/>
      <c r="BB768" s="85"/>
      <c r="BC768" s="85"/>
      <c r="BD768" s="85"/>
      <c r="BE768" s="85"/>
      <c r="BF768" s="85"/>
      <c r="BG768" s="85"/>
      <c r="BH768" s="85"/>
      <c r="BI768" s="85"/>
      <c r="BJ768" s="85"/>
      <c r="BK768" s="85"/>
      <c r="BL768" s="85"/>
      <c r="BM768" s="85"/>
      <c r="BN768" s="85"/>
      <c r="BO768" s="85"/>
      <c r="BP768" s="85"/>
      <c r="BQ768" s="85"/>
      <c r="BR768" s="85"/>
      <c r="BS768" s="85"/>
      <c r="BT768" s="85"/>
      <c r="BU768" s="85"/>
      <c r="BV768" s="85"/>
      <c r="BW768" s="85"/>
      <c r="BX768" s="85" t="str">
        <f>IFERROR(__xludf.DUMMYFUNCTION("""COMPUTED_VALUE"""),"NEWBIE")</f>
        <v>NEWBIE</v>
      </c>
      <c r="BY768" s="85"/>
      <c r="BZ768" s="85"/>
      <c r="CA768" s="85"/>
      <c r="CB768" s="85"/>
      <c r="CC768" s="85"/>
      <c r="CD768" s="85"/>
      <c r="CE768" s="85"/>
      <c r="CF768" s="85"/>
      <c r="CG768" s="85"/>
      <c r="CH768" s="85"/>
      <c r="CI768" s="85"/>
      <c r="CJ768" s="85"/>
      <c r="CK768" s="2"/>
    </row>
    <row r="769" ht="12.75" customHeight="1">
      <c r="A769" s="80">
        <f>IFERROR(__xludf.DUMMYFUNCTION("""COMPUTED_VALUE"""),765.0)</f>
        <v>765</v>
      </c>
      <c r="B769" s="80"/>
      <c r="C769" s="80"/>
      <c r="D769" s="81">
        <f>IFERROR(__xludf.DUMMYFUNCTION("""COMPUTED_VALUE"""),46028.0)</f>
        <v>46028</v>
      </c>
      <c r="E769" s="82"/>
      <c r="F769" s="80"/>
      <c r="G769" s="81"/>
      <c r="H769" s="80"/>
      <c r="I769" s="80"/>
      <c r="J769" s="80"/>
      <c r="K769" s="80"/>
      <c r="L769" s="80"/>
      <c r="M769" s="80" t="str">
        <f>IFERROR(__xludf.DUMMYFUNCTION("""COMPUTED_VALUE"""),"ü")</f>
        <v>ü</v>
      </c>
      <c r="N769" s="80"/>
      <c r="O769" s="80"/>
      <c r="P769" s="80" t="str">
        <f>IFERROR(__xludf.DUMMYFUNCTION("""COMPUTED_VALUE"""),"MUCSPA63334PSIND")</f>
        <v>MUCSPA63334PSIND</v>
      </c>
      <c r="Q769" s="80" t="str">
        <f>IFERROR(__xludf.DUMMYFUNCTION("""COMPUTED_VALUE"""),"MUC SINAR PONSEL")</f>
        <v>MUC SINAR PONSEL</v>
      </c>
      <c r="R769" s="80" t="str">
        <f>IFERROR(__xludf.DUMMYFUNCTION("""COMPUTED_VALUE"""),"MUC SINAR PONSEL")</f>
        <v>MUC SINAR PONSEL</v>
      </c>
      <c r="S769" s="80" t="str">
        <f>IFERROR(__xludf.DUMMYFUNCTION("""COMPUTED_VALUE"""),"WILIANTO")</f>
        <v>WILIANTO</v>
      </c>
      <c r="T769" s="80" t="str">
        <f>IFERROR(__xludf.DUMMYFUNCTION("""COMPUTED_VALUE"""),"JL. PANGLIMA MINAL RT.002 RW.003, AIR PUTIH, BENGKALIS, KAB. BENGKALIS, PROV RIAU")</f>
        <v>JL. PANGLIMA MINAL RT.002 RW.003, AIR PUTIH, BENGKALIS, KAB. BENGKALIS, PROV RIAU</v>
      </c>
      <c r="U769" s="80" t="str">
        <f>IFERROR(__xludf.DUMMYFUNCTION("""COMPUTED_VALUE"""),"Jl. Panglima Minal")</f>
        <v>Jl. Panglima Minal</v>
      </c>
      <c r="V769" s="80"/>
      <c r="W769" s="80" t="str">
        <f>IFERROR(__xludf.DUMMYFUNCTION("""COMPUTED_VALUE"""),"Air Putih")</f>
        <v>Air Putih</v>
      </c>
      <c r="X769" s="80" t="str">
        <f>IFERROR(__xludf.DUMMYFUNCTION("""COMPUTED_VALUE"""),"Bengkalis")</f>
        <v>Bengkalis</v>
      </c>
      <c r="Y769" s="80" t="str">
        <f>IFERROR(__xludf.DUMMYFUNCTION("""COMPUTED_VALUE"""),"Kabupaten Bengkalis")</f>
        <v>Kabupaten Bengkalis</v>
      </c>
      <c r="Z769" s="80" t="str">
        <f>IFERROR(__xludf.DUMMYFUNCTION("""COMPUTED_VALUE"""),"Riau")</f>
        <v>Riau</v>
      </c>
      <c r="AA769" s="80" t="str">
        <f>IFERROR(__xludf.DUMMYFUNCTION("""COMPUTED_VALUE"""),"28712")</f>
        <v>28712</v>
      </c>
      <c r="AB769" s="80" t="str">
        <f>IFERROR(__xludf.DUMMYFUNCTION("""COMPUTED_VALUE"""),"1403010308940002")</f>
        <v>1403010308940002</v>
      </c>
      <c r="AC769" s="80" t="str">
        <f>IFERROR(__xludf.DUMMYFUNCTION("""COMPUTED_VALUE"""),"39.965.823.6-219.000")</f>
        <v>39.965.823.6-219.000</v>
      </c>
      <c r="AD769" s="80" t="str">
        <f>IFERROR(__xludf.DUMMYFUNCTION("""COMPUTED_VALUE"""),"CUM - PS - FTR")</f>
        <v>CUM - PS - FTR</v>
      </c>
      <c r="AE769" s="80" t="str">
        <f>IFERROR(__xludf.DUMMYFUNCTION("""COMPUTED_VALUE"""),"BU RANI KC DUMAI")</f>
        <v>BU RANI KC DUMAI</v>
      </c>
      <c r="AF769" s="80" t="str">
        <f>IFERROR(__xludf.DUMMYFUNCTION("""COMPUTED_VALUE"""),"085366006660")</f>
        <v>085366006660</v>
      </c>
      <c r="AG769" s="80"/>
      <c r="AH769" s="80" t="str">
        <f>IFERROR(__xludf.DUMMYFUNCTION("""COMPUTED_VALUE"""),"Willyhuang5656@gmail.com")</f>
        <v>Willyhuang5656@gmail.com</v>
      </c>
      <c r="AI769" s="80"/>
      <c r="AJ769" s="80"/>
      <c r="AK769" s="80"/>
      <c r="AL769" s="80"/>
      <c r="AM769" s="80" t="str">
        <f>IFERROR(__xludf.DUMMYFUNCTION("""COMPUTED_VALUE"""),"KANTOR REGIONAL I MEDAN 20004")</f>
        <v>KANTOR REGIONAL I MEDAN 20004</v>
      </c>
      <c r="AN769" s="80" t="str">
        <f>IFERROR(__xludf.DUMMYFUNCTION("""COMPUTED_VALUE"""),"KC DUMAI")</f>
        <v>KC DUMAI</v>
      </c>
      <c r="AO769" s="80" t="str">
        <f>IFERROR(__xludf.DUMMYFUNCTION("""COMPUTED_VALUE"""),"MENYUSUL")</f>
        <v>MENYUSUL</v>
      </c>
      <c r="AP769" s="80" t="str">
        <f>IFERROR(__xludf.DUMMYFUNCTION("""COMPUTED_VALUE"""),"MENYUSUL")</f>
        <v>MENYUSUL</v>
      </c>
      <c r="AQ769" s="83"/>
      <c r="AR769" s="80"/>
      <c r="AS769" s="80"/>
      <c r="AT769" s="80" t="str">
        <f>IFERROR(__xludf.DUMMYFUNCTION("""COMPUTED_VALUE"""),"1.4571126")</f>
        <v>1.4571126</v>
      </c>
      <c r="AU769" s="80" t="str">
        <f>IFERROR(__xludf.DUMMYFUNCTION("""COMPUTED_VALUE"""),"102.1398217")</f>
        <v>102.1398217</v>
      </c>
      <c r="AV769" s="80"/>
      <c r="AW769" s="80"/>
      <c r="AX769" s="80"/>
      <c r="AY769" s="80"/>
      <c r="AZ769" s="80"/>
      <c r="BA769" s="80"/>
      <c r="BB769" s="80"/>
      <c r="BC769" s="80"/>
      <c r="BD769" s="80"/>
      <c r="BE769" s="80"/>
      <c r="BF769" s="80"/>
      <c r="BG769" s="80"/>
      <c r="BH769" s="80"/>
      <c r="BI769" s="80"/>
      <c r="BJ769" s="80"/>
      <c r="BK769" s="80"/>
      <c r="BL769" s="80"/>
      <c r="BM769" s="80"/>
      <c r="BN769" s="80"/>
      <c r="BO769" s="80"/>
      <c r="BP769" s="80"/>
      <c r="BQ769" s="80"/>
      <c r="BR769" s="80"/>
      <c r="BS769" s="80"/>
      <c r="BT769" s="80"/>
      <c r="BU769" s="80"/>
      <c r="BV769" s="80"/>
      <c r="BW769" s="80"/>
      <c r="BX769" s="80" t="str">
        <f>IFERROR(__xludf.DUMMYFUNCTION("""COMPUTED_VALUE"""),"NEWBIE")</f>
        <v>NEWBIE</v>
      </c>
      <c r="BY769" s="80"/>
      <c r="BZ769" s="80"/>
      <c r="CA769" s="80"/>
      <c r="CB769" s="80"/>
      <c r="CC769" s="80"/>
      <c r="CD769" s="80"/>
      <c r="CE769" s="80"/>
      <c r="CF769" s="80"/>
      <c r="CG769" s="80"/>
      <c r="CH769" s="80"/>
      <c r="CI769" s="80"/>
      <c r="CJ769" s="80"/>
      <c r="CK769" s="2"/>
    </row>
    <row r="770" ht="12.75" customHeight="1">
      <c r="A770" s="85">
        <f>IFERROR(__xludf.DUMMYFUNCTION("""COMPUTED_VALUE"""),766.0)</f>
        <v>766</v>
      </c>
      <c r="B770" s="85"/>
      <c r="C770" s="85"/>
      <c r="D770" s="86">
        <f>IFERROR(__xludf.DUMMYFUNCTION("""COMPUTED_VALUE"""),46029.0)</f>
        <v>46029</v>
      </c>
      <c r="E770" s="88"/>
      <c r="F770" s="85"/>
      <c r="G770" s="86">
        <f>IFERROR(__xludf.DUMMYFUNCTION("""COMPUTED_VALUE"""),46055.0)</f>
        <v>46055</v>
      </c>
      <c r="H770" s="85"/>
      <c r="I770" s="85"/>
      <c r="J770" s="85"/>
      <c r="K770" s="85"/>
      <c r="L770" s="85">
        <f>IFERROR(__xludf.DUMMYFUNCTION("""COMPUTED_VALUE"""),26.0)</f>
        <v>26</v>
      </c>
      <c r="M770" s="85" t="str">
        <f>IFERROR(__xludf.DUMMYFUNCTION("""COMPUTED_VALUE"""),"ü")</f>
        <v>ü</v>
      </c>
      <c r="N770" s="85"/>
      <c r="O770" s="85"/>
      <c r="P770" s="85" t="str">
        <f>IFERROR(__xludf.DUMMYFUNCTION("""COMPUTED_VALUE"""),"MUCSPA63335PSIND")</f>
        <v>MUCSPA63335PSIND</v>
      </c>
      <c r="Q770" s="85" t="str">
        <f>IFERROR(__xludf.DUMMYFUNCTION("""COMPUTED_VALUE"""),"MUC PRC Cengkareng")</f>
        <v>MUC PRC Cengkareng</v>
      </c>
      <c r="R770" s="85" t="str">
        <f>IFERROR(__xludf.DUMMYFUNCTION("""COMPUTED_VALUE"""),"MUC PRC Cengkareng")</f>
        <v>MUC PRC Cengkareng</v>
      </c>
      <c r="S770" s="85" t="str">
        <f>IFERROR(__xludf.DUMMYFUNCTION("""COMPUTED_VALUE"""),"ROMI AULIA")</f>
        <v>ROMI AULIA</v>
      </c>
      <c r="T770" s="85" t="str">
        <f>IFERROR(__xludf.DUMMYFUNCTION("""COMPUTED_VALUE"""),"KP. TANAH TINGGI, RT.007 RW.006, SEMANAN, KALI DERES, JAKARTA BARAT")</f>
        <v>KP. TANAH TINGGI, RT.007 RW.006, SEMANAN, KALI DERES, JAKARTA BARAT</v>
      </c>
      <c r="U770" s="85" t="str">
        <f>IFERROR(__xludf.DUMMYFUNCTION("""COMPUTED_VALUE"""),"Pasar PRC Taman palem Cengkareng Timur")</f>
        <v>Pasar PRC Taman palem Cengkareng Timur</v>
      </c>
      <c r="V770" s="85"/>
      <c r="W770" s="85" t="str">
        <f>IFERROR(__xludf.DUMMYFUNCTION("""COMPUTED_VALUE"""),"Cengkareng Timur")</f>
        <v>Cengkareng Timur</v>
      </c>
      <c r="X770" s="85" t="str">
        <f>IFERROR(__xludf.DUMMYFUNCTION("""COMPUTED_VALUE"""),"Cengkareng ")</f>
        <v>Cengkareng </v>
      </c>
      <c r="Y770" s="85" t="str">
        <f>IFERROR(__xludf.DUMMYFUNCTION("""COMPUTED_VALUE"""),"Jakarta Barat")</f>
        <v>Jakarta Barat</v>
      </c>
      <c r="Z770" s="85" t="str">
        <f>IFERROR(__xludf.DUMMYFUNCTION("""COMPUTED_VALUE"""),"DKI Jakarta")</f>
        <v>DKI Jakarta</v>
      </c>
      <c r="AA770" s="85" t="str">
        <f>IFERROR(__xludf.DUMMYFUNCTION("""COMPUTED_VALUE"""),"11730")</f>
        <v>11730</v>
      </c>
      <c r="AB770" s="85" t="str">
        <f>IFERROR(__xludf.DUMMYFUNCTION("""COMPUTED_VALUE"""),"3173063105010009")</f>
        <v>3173063105010009</v>
      </c>
      <c r="AC770" s="85" t="str">
        <f>IFERROR(__xludf.DUMMYFUNCTION("""COMPUTED_VALUE"""),"62.545.857.5-085.000")</f>
        <v>62.545.857.5-085.000</v>
      </c>
      <c r="AD770" s="85" t="str">
        <f>IFERROR(__xludf.DUMMYFUNCTION("""COMPUTED_VALUE"""),"CUM - PS - SUSU")</f>
        <v>CUM - PS - SUSU</v>
      </c>
      <c r="AE770" s="85" t="str">
        <f>IFERROR(__xludf.DUMMYFUNCTION("""COMPUTED_VALUE"""),"SUB SUGENG POS")</f>
        <v>SUB SUGENG POS</v>
      </c>
      <c r="AF770" s="85" t="str">
        <f>IFERROR(__xludf.DUMMYFUNCTION("""COMPUTED_VALUE"""),"081381675854")</f>
        <v>081381675854</v>
      </c>
      <c r="AG770" s="85"/>
      <c r="AH770" s="85" t="str">
        <f>IFERROR(__xludf.DUMMYFUNCTION("""COMPUTED_VALUE"""),"romiaulia780@gmail.com")</f>
        <v>romiaulia780@gmail.com</v>
      </c>
      <c r="AI770" s="85" t="str">
        <f>IFERROR(__xludf.DUMMYFUNCTION("""COMPUTED_VALUE"""),"11730SC")</f>
        <v>11730SC</v>
      </c>
      <c r="AJ770" s="85" t="str">
        <f>IFERROR(__xludf.DUMMYFUNCTION("""COMPUTED_VALUE"""),"697b02855131eec6660df3db")</f>
        <v>697b02855131eec6660df3db</v>
      </c>
      <c r="AK770" s="85" t="str">
        <f>IFERROR(__xludf.DUMMYFUNCTION("""COMPUTED_VALUE"""),"romiaulia780@gmail.com")</f>
        <v>romiaulia780@gmail.com</v>
      </c>
      <c r="AL770" s="85" t="str">
        <f>IFERROR(__xludf.DUMMYFUNCTION("""COMPUTED_VALUE"""),"#Muc11730SC$")</f>
        <v>#Muc11730SC$</v>
      </c>
      <c r="AM770" s="85" t="str">
        <f>IFERROR(__xludf.DUMMYFUNCTION("""COMPUTED_VALUE"""),"KANTOR REGIONAL II JAKARTA 10004")</f>
        <v>KANTOR REGIONAL II JAKARTA 10004</v>
      </c>
      <c r="AN770" s="85" t="str">
        <f>IFERROR(__xludf.DUMMYFUNCTION("""COMPUTED_VALUE"""),"KCU JAKARTAOCEANIA 11000")</f>
        <v>KCU JAKARTAOCEANIA 11000</v>
      </c>
      <c r="AO770" s="85" t="str">
        <f>IFERROR(__xludf.DUMMYFUNCTION("""COMPUTED_VALUE"""),"MENYUSUL")</f>
        <v>MENYUSUL</v>
      </c>
      <c r="AP770" s="85" t="str">
        <f>IFERROR(__xludf.DUMMYFUNCTION("""COMPUTED_VALUE"""),"MENYUSUL")</f>
        <v>MENYUSUL</v>
      </c>
      <c r="AQ770" s="93"/>
      <c r="AR770" s="85"/>
      <c r="AS770" s="85"/>
      <c r="AT770" s="85" t="str">
        <f>IFERROR(__xludf.DUMMYFUNCTION("""COMPUTED_VALUE"""),"-6.136910")</f>
        <v>-6.136910</v>
      </c>
      <c r="AU770" s="85" t="str">
        <f>IFERROR(__xludf.DUMMYFUNCTION("""COMPUTED_VALUE"""),"106.736282")</f>
        <v>106.736282</v>
      </c>
      <c r="AV770" s="85"/>
      <c r="AW770" s="85"/>
      <c r="AX770" s="85"/>
      <c r="AY770" s="85"/>
      <c r="AZ770" s="85"/>
      <c r="BA770" s="85"/>
      <c r="BB770" s="85"/>
      <c r="BC770" s="85"/>
      <c r="BD770" s="85"/>
      <c r="BE770" s="85"/>
      <c r="BF770" s="85"/>
      <c r="BG770" s="85"/>
      <c r="BH770" s="85"/>
      <c r="BI770" s="85"/>
      <c r="BJ770" s="85"/>
      <c r="BK770" s="85"/>
      <c r="BL770" s="85"/>
      <c r="BM770" s="85"/>
      <c r="BN770" s="85"/>
      <c r="BO770" s="85"/>
      <c r="BP770" s="85"/>
      <c r="BQ770" s="85"/>
      <c r="BR770" s="85"/>
      <c r="BS770" s="85"/>
      <c r="BT770" s="85"/>
      <c r="BU770" s="85"/>
      <c r="BV770" s="85"/>
      <c r="BW770" s="85"/>
      <c r="BX770" s="85" t="str">
        <f>IFERROR(__xludf.DUMMYFUNCTION("""COMPUTED_VALUE"""),"POS")</f>
        <v>POS</v>
      </c>
      <c r="BY770" s="85"/>
      <c r="BZ770" s="85"/>
      <c r="CA770" s="85"/>
      <c r="CB770" s="85"/>
      <c r="CC770" s="85"/>
      <c r="CD770" s="85"/>
      <c r="CE770" s="85"/>
      <c r="CF770" s="85"/>
      <c r="CG770" s="85"/>
      <c r="CH770" s="85"/>
      <c r="CI770" s="85"/>
      <c r="CJ770" s="85"/>
      <c r="CK770" s="2"/>
    </row>
    <row r="771" ht="12.75" customHeight="1">
      <c r="A771" s="80">
        <f>IFERROR(__xludf.DUMMYFUNCTION("""COMPUTED_VALUE"""),767.0)</f>
        <v>767</v>
      </c>
      <c r="B771" s="80"/>
      <c r="C771" s="80"/>
      <c r="D771" s="81">
        <f>IFERROR(__xludf.DUMMYFUNCTION("""COMPUTED_VALUE"""),46029.0)</f>
        <v>46029</v>
      </c>
      <c r="E771" s="82"/>
      <c r="F771" s="80"/>
      <c r="G771" s="81">
        <f>IFERROR(__xludf.DUMMYFUNCTION("""COMPUTED_VALUE"""),46035.0)</f>
        <v>46035</v>
      </c>
      <c r="H771" s="80"/>
      <c r="I771" s="80"/>
      <c r="J771" s="80"/>
      <c r="K771" s="80"/>
      <c r="L771" s="80">
        <f>IFERROR(__xludf.DUMMYFUNCTION("""COMPUTED_VALUE"""),6.0)</f>
        <v>6</v>
      </c>
      <c r="M771" s="80"/>
      <c r="N771" s="80" t="str">
        <f>IFERROR(__xludf.DUMMYFUNCTION("""COMPUTED_VALUE"""),"ü")</f>
        <v>ü</v>
      </c>
      <c r="O771" s="80"/>
      <c r="P771" s="80" t="str">
        <f>IFERROR(__xludf.DUMMYFUNCTION("""COMPUTED_VALUE"""),"MLO5500062CUMPOS")</f>
        <v>MLO5500062CUMPOS</v>
      </c>
      <c r="Q771" s="80" t="str">
        <f>IFERROR(__xludf.DUMMYFUNCTION("""COMPUTED_VALUE"""),"MUC CEMERLANG GROUP")</f>
        <v>MUC CEMERLANG GROUP</v>
      </c>
      <c r="R771" s="80" t="str">
        <f>IFERROR(__xludf.DUMMYFUNCTION("""COMPUTED_VALUE"""),"MUC CEMERLANG GROUP")</f>
        <v>MUC CEMERLANG GROUP</v>
      </c>
      <c r="S771" s="80" t="str">
        <f>IFERROR(__xludf.DUMMYFUNCTION("""COMPUTED_VALUE"""),"KAMALUDDIN RAFIF")</f>
        <v>KAMALUDDIN RAFIF</v>
      </c>
      <c r="T771" s="80" t="str">
        <f>IFERROR(__xludf.DUMMYFUNCTION("""COMPUTED_VALUE"""),"DUSUN PAHING, RT.005 RW.002")</f>
        <v>DUSUN PAHING, RT.005 RW.002</v>
      </c>
      <c r="U771" s="80" t="str">
        <f>IFERROR(__xludf.DUMMYFUNCTION("""COMPUTED_VALUE"""),"Perum Alam Asri Jln Gunung Kelud Blok C34 ")</f>
        <v>Perum Alam Asri Jln Gunung Kelud Blok C34 </v>
      </c>
      <c r="V771" s="80"/>
      <c r="W771" s="80" t="str">
        <f>IFERROR(__xludf.DUMMYFUNCTION("""COMPUTED_VALUE"""),"Ciawigebang")</f>
        <v>Ciawigebang</v>
      </c>
      <c r="X771" s="80" t="str">
        <f>IFERROR(__xludf.DUMMYFUNCTION("""COMPUTED_VALUE"""),"Ciawigebang")</f>
        <v>Ciawigebang</v>
      </c>
      <c r="Y771" s="80" t="str">
        <f>IFERROR(__xludf.DUMMYFUNCTION("""COMPUTED_VALUE"""),"Kuningan ")</f>
        <v>Kuningan </v>
      </c>
      <c r="Z771" s="80" t="str">
        <f>IFERROR(__xludf.DUMMYFUNCTION("""COMPUTED_VALUE"""),"Jawa Barat")</f>
        <v>Jawa Barat</v>
      </c>
      <c r="AA771" s="80" t="str">
        <f>IFERROR(__xludf.DUMMYFUNCTION("""COMPUTED_VALUE"""),"45591")</f>
        <v>45591</v>
      </c>
      <c r="AB771" s="80" t="str">
        <f>IFERROR(__xludf.DUMMYFUNCTION("""COMPUTED_VALUE"""),"3208100601000008")</f>
        <v>3208100601000008</v>
      </c>
      <c r="AC771" s="80" t="str">
        <f>IFERROR(__xludf.DUMMYFUNCTION("""COMPUTED_VALUE"""),"90.797.886.0-438.000")</f>
        <v>90.797.886.0-438.000</v>
      </c>
      <c r="AD771" s="80" t="str">
        <f>IFERROR(__xludf.DUMMYFUNCTION("""COMPUTED_VALUE"""),"NON KORGEN")</f>
        <v>NON KORGEN</v>
      </c>
      <c r="AE771" s="80" t="str">
        <f>IFERROR(__xludf.DUMMYFUNCTION("""COMPUTED_VALUE"""),"SUB ANO WASNO")</f>
        <v>SUB ANO WASNO</v>
      </c>
      <c r="AF771" s="80" t="str">
        <f>IFERROR(__xludf.DUMMYFUNCTION("""COMPUTED_VALUE"""),"085398906361")</f>
        <v>085398906361</v>
      </c>
      <c r="AG771" s="80"/>
      <c r="AH771" s="80" t="str">
        <f>IFERROR(__xludf.DUMMYFUNCTION("""COMPUTED_VALUE"""),"kamalsquad43@gmail.com")</f>
        <v>kamalsquad43@gmail.com</v>
      </c>
      <c r="AI771" s="80" t="str">
        <f>IFERROR(__xludf.DUMMYFUNCTION("""COMPUTED_VALUE"""),"45591S1")</f>
        <v>45591S1</v>
      </c>
      <c r="AJ771" s="80" t="str">
        <f>IFERROR(__xludf.DUMMYFUNCTION("""COMPUTED_VALUE"""),"6965ede2aa5b52501a01f46b")</f>
        <v>6965ede2aa5b52501a01f46b</v>
      </c>
      <c r="AK771" s="80" t="str">
        <f>IFERROR(__xludf.DUMMYFUNCTION("""COMPUTED_VALUE"""),"kamalsquad43@gmail.com")</f>
        <v>kamalsquad43@gmail.com</v>
      </c>
      <c r="AL771" s="80" t="str">
        <f>IFERROR(__xludf.DUMMYFUNCTION("""COMPUTED_VALUE"""),"#Muc45591S1$")</f>
        <v>#Muc45591S1$</v>
      </c>
      <c r="AM771" s="80" t="str">
        <f>IFERROR(__xludf.DUMMYFUNCTION("""COMPUTED_VALUE"""),"KANTOR REGIONAL III BANDUNG 40004")</f>
        <v>KANTOR REGIONAL III BANDUNG 40004</v>
      </c>
      <c r="AN771" s="80" t="str">
        <f>IFERROR(__xludf.DUMMYFUNCTION("""COMPUTED_VALUE"""),"KC KUNINGAN")</f>
        <v>KC KUNINGAN</v>
      </c>
      <c r="AO771" s="80" t="str">
        <f>IFERROR(__xludf.DUMMYFUNCTION("""COMPUTED_VALUE"""),"MENYUSUL")</f>
        <v>MENYUSUL</v>
      </c>
      <c r="AP771" s="80" t="str">
        <f>IFERROR(__xludf.DUMMYFUNCTION("""COMPUTED_VALUE"""),"MENYUSUL")</f>
        <v>MENYUSUL</v>
      </c>
      <c r="AQ771" s="83"/>
      <c r="AR771" s="80"/>
      <c r="AS771" s="80"/>
      <c r="AT771" s="80" t="str">
        <f>IFERROR(__xludf.DUMMYFUNCTION("""COMPUTED_VALUE"""),"-6.976476")</f>
        <v>-6.976476</v>
      </c>
      <c r="AU771" s="80" t="str">
        <f>IFERROR(__xludf.DUMMYFUNCTION("""COMPUTED_VALUE"""),"108.587664")</f>
        <v>108.587664</v>
      </c>
      <c r="AV771" s="80"/>
      <c r="AW771" s="80"/>
      <c r="AX771" s="80"/>
      <c r="AY771" s="80"/>
      <c r="AZ771" s="80"/>
      <c r="BA771" s="80"/>
      <c r="BB771" s="80"/>
      <c r="BC771" s="80"/>
      <c r="BD771" s="80"/>
      <c r="BE771" s="80"/>
      <c r="BF771" s="80"/>
      <c r="BG771" s="80"/>
      <c r="BH771" s="80"/>
      <c r="BI771" s="80"/>
      <c r="BJ771" s="80"/>
      <c r="BK771" s="80"/>
      <c r="BL771" s="80"/>
      <c r="BM771" s="80"/>
      <c r="BN771" s="80"/>
      <c r="BO771" s="80"/>
      <c r="BP771" s="80"/>
      <c r="BQ771" s="80"/>
      <c r="BR771" s="80"/>
      <c r="BS771" s="80"/>
      <c r="BT771" s="80"/>
      <c r="BU771" s="80"/>
      <c r="BV771" s="80"/>
      <c r="BW771" s="80"/>
      <c r="BX771" s="80" t="str">
        <f>IFERROR(__xludf.DUMMYFUNCTION("""COMPUTED_VALUE"""),"SELLER")</f>
        <v>SELLER</v>
      </c>
      <c r="BY771" s="80"/>
      <c r="BZ771" s="80"/>
      <c r="CA771" s="80"/>
      <c r="CB771" s="80"/>
      <c r="CC771" s="80"/>
      <c r="CD771" s="80"/>
      <c r="CE771" s="80"/>
      <c r="CF771" s="80"/>
      <c r="CG771" s="80"/>
      <c r="CH771" s="80"/>
      <c r="CI771" s="80"/>
      <c r="CJ771" s="80"/>
      <c r="CK771" s="2"/>
    </row>
    <row r="772" ht="12.75" customHeight="1">
      <c r="A772" s="85">
        <f>IFERROR(__xludf.DUMMYFUNCTION("""COMPUTED_VALUE"""),768.0)</f>
        <v>768</v>
      </c>
      <c r="B772" s="85"/>
      <c r="C772" s="85"/>
      <c r="D772" s="86">
        <f>IFERROR(__xludf.DUMMYFUNCTION("""COMPUTED_VALUE"""),46029.0)</f>
        <v>46029</v>
      </c>
      <c r="E772" s="88"/>
      <c r="F772" s="85"/>
      <c r="G772" s="86">
        <f>IFERROR(__xludf.DUMMYFUNCTION("""COMPUTED_VALUE"""),46035.0)</f>
        <v>46035</v>
      </c>
      <c r="H772" s="85"/>
      <c r="I772" s="85"/>
      <c r="J772" s="85"/>
      <c r="K772" s="85"/>
      <c r="L772" s="85">
        <f>IFERROR(__xludf.DUMMYFUNCTION("""COMPUTED_VALUE"""),6.0)</f>
        <v>6</v>
      </c>
      <c r="M772" s="85"/>
      <c r="N772" s="85" t="str">
        <f>IFERROR(__xludf.DUMMYFUNCTION("""COMPUTED_VALUE"""),"ü")</f>
        <v>ü</v>
      </c>
      <c r="O772" s="85"/>
      <c r="P772" s="85" t="str">
        <f>IFERROR(__xludf.DUMMYFUNCTION("""COMPUTED_VALUE"""),"MLO5500061CUMPOS")</f>
        <v>MLO5500061CUMPOS</v>
      </c>
      <c r="Q772" s="85" t="str">
        <f>IFERROR(__xludf.DUMMYFUNCTION("""COMPUTED_VALUE"""),"[L] Kalisha Store")</f>
        <v>[L] Kalisha Store</v>
      </c>
      <c r="R772" s="85" t="str">
        <f>IFERROR(__xludf.DUMMYFUNCTION("""COMPUTED_VALUE"""),"MUC KALISHA STORE")</f>
        <v>MUC KALISHA STORE</v>
      </c>
      <c r="S772" s="85"/>
      <c r="T772" s="85"/>
      <c r="U772" s="85"/>
      <c r="V772" s="85"/>
      <c r="W772" s="85"/>
      <c r="X772" s="85"/>
      <c r="Y772" s="85"/>
      <c r="Z772" s="85"/>
      <c r="AA772" s="85"/>
      <c r="AB772" s="85"/>
      <c r="AC772" s="85"/>
      <c r="AD772" s="85" t="str">
        <f>IFERROR(__xludf.DUMMYFUNCTION("""COMPUTED_VALUE"""),"-")</f>
        <v>-</v>
      </c>
      <c r="AE772" s="85"/>
      <c r="AF772" s="85"/>
      <c r="AG772" s="85"/>
      <c r="AH772" s="85"/>
      <c r="AI772" s="85" t="str">
        <f>IFERROR(__xludf.DUMMYFUNCTION("""COMPUTED_VALUE"""),"45514S4")</f>
        <v>45514S4</v>
      </c>
      <c r="AJ772" s="85" t="str">
        <f>IFERROR(__xludf.DUMMYFUNCTION("""COMPUTED_VALUE"""),"6965e7b452104ddf7800de27")</f>
        <v>6965e7b452104ddf7800de27</v>
      </c>
      <c r="AK772" s="85" t="str">
        <f>IFERROR(__xludf.DUMMYFUNCTION("""COMPUTED_VALUE"""),"iyanalviaan@gmail.com")</f>
        <v>iyanalviaan@gmail.com</v>
      </c>
      <c r="AL772" s="85" t="str">
        <f>IFERROR(__xludf.DUMMYFUNCTION("""COMPUTED_VALUE"""),"#Muc45514S4$")</f>
        <v>#Muc45514S4$</v>
      </c>
      <c r="AM772" s="85" t="str">
        <f>IFERROR(__xludf.DUMMYFUNCTION("""COMPUTED_VALUE"""),"KANTOR REGIONAL III BANDUNG 40004")</f>
        <v>KANTOR REGIONAL III BANDUNG 40004</v>
      </c>
      <c r="AN772" s="85" t="str">
        <f>IFERROR(__xludf.DUMMYFUNCTION("""COMPUTED_VALUE"""),"KC KUNINGAN")</f>
        <v>KC KUNINGAN</v>
      </c>
      <c r="AO772" s="85"/>
      <c r="AP772" s="85"/>
      <c r="AQ772" s="93"/>
      <c r="AR772" s="85"/>
      <c r="AS772" s="85"/>
      <c r="AT772" s="85"/>
      <c r="AU772" s="85"/>
      <c r="AV772" s="85"/>
      <c r="AW772" s="85"/>
      <c r="AX772" s="85"/>
      <c r="AY772" s="85"/>
      <c r="AZ772" s="85"/>
      <c r="BA772" s="85"/>
      <c r="BB772" s="85"/>
      <c r="BC772" s="85"/>
      <c r="BD772" s="85"/>
      <c r="BE772" s="85"/>
      <c r="BF772" s="85"/>
      <c r="BG772" s="85"/>
      <c r="BH772" s="85"/>
      <c r="BI772" s="85"/>
      <c r="BJ772" s="85"/>
      <c r="BK772" s="85"/>
      <c r="BL772" s="85"/>
      <c r="BM772" s="85"/>
      <c r="BN772" s="85"/>
      <c r="BO772" s="85"/>
      <c r="BP772" s="85"/>
      <c r="BQ772" s="85"/>
      <c r="BR772" s="85"/>
      <c r="BS772" s="85"/>
      <c r="BT772" s="85"/>
      <c r="BU772" s="85"/>
      <c r="BV772" s="85"/>
      <c r="BW772" s="85"/>
      <c r="BX772" s="85"/>
      <c r="BY772" s="85"/>
      <c r="BZ772" s="85"/>
      <c r="CA772" s="85"/>
      <c r="CB772" s="85"/>
      <c r="CC772" s="85"/>
      <c r="CD772" s="85"/>
      <c r="CE772" s="85"/>
      <c r="CF772" s="85"/>
      <c r="CG772" s="85"/>
      <c r="CH772" s="85"/>
      <c r="CI772" s="85"/>
      <c r="CJ772" s="85"/>
      <c r="CK772" s="2"/>
    </row>
    <row r="773" ht="12.75" customHeight="1">
      <c r="A773" s="80">
        <f>IFERROR(__xludf.DUMMYFUNCTION("""COMPUTED_VALUE"""),769.0)</f>
        <v>769</v>
      </c>
      <c r="B773" s="80"/>
      <c r="C773" s="80"/>
      <c r="D773" s="81">
        <f>IFERROR(__xludf.DUMMYFUNCTION("""COMPUTED_VALUE"""),46030.0)</f>
        <v>46030</v>
      </c>
      <c r="E773" s="82"/>
      <c r="F773" s="80"/>
      <c r="G773" s="81">
        <f>IFERROR(__xludf.DUMMYFUNCTION("""COMPUTED_VALUE"""),46048.0)</f>
        <v>46048</v>
      </c>
      <c r="H773" s="80"/>
      <c r="I773" s="80"/>
      <c r="J773" s="80"/>
      <c r="K773" s="80"/>
      <c r="L773" s="80">
        <f>IFERROR(__xludf.DUMMYFUNCTION("""COMPUTED_VALUE"""),18.0)</f>
        <v>18</v>
      </c>
      <c r="M773" s="80" t="str">
        <f>IFERROR(__xludf.DUMMYFUNCTION("""COMPUTED_VALUE"""),"ü")</f>
        <v>ü</v>
      </c>
      <c r="N773" s="80"/>
      <c r="O773" s="80"/>
      <c r="P773" s="80" t="str">
        <f>IFERROR(__xludf.DUMMYFUNCTION("""COMPUTED_VALUE"""),"MUCSPA63336PSIND")</f>
        <v>MUCSPA63336PSIND</v>
      </c>
      <c r="Q773" s="80" t="str">
        <f>IFERROR(__xludf.DUMMYFUNCTION("""COMPUTED_VALUE"""),"MUC JIPANGAN")</f>
        <v>MUC JIPANGAN</v>
      </c>
      <c r="R773" s="80" t="str">
        <f>IFERROR(__xludf.DUMMYFUNCTION("""COMPUTED_VALUE"""),"MUC JIPANGAN")</f>
        <v>MUC JIPANGAN</v>
      </c>
      <c r="S773" s="80" t="str">
        <f>IFERROR(__xludf.DUMMYFUNCTION("""COMPUTED_VALUE"""),"MEY DIANA WATI")</f>
        <v>MEY DIANA WATI</v>
      </c>
      <c r="T773" s="80" t="str">
        <f>IFERROR(__xludf.DUMMYFUNCTION("""COMPUTED_VALUE"""),"JIPANGAN RT 001 RW 000 BANGUNJIWO KASIHAN BANTUL")</f>
        <v>JIPANGAN RT 001 RW 000 BANGUNJIWO KASIHAN BANTUL</v>
      </c>
      <c r="U773" s="80" t="str">
        <f>IFERROR(__xludf.DUMMYFUNCTION("""COMPUTED_VALUE"""),"JIPANGAN RT 001 RW 000")</f>
        <v>JIPANGAN RT 001 RW 000</v>
      </c>
      <c r="V773" s="80"/>
      <c r="W773" s="80" t="str">
        <f>IFERROR(__xludf.DUMMYFUNCTION("""COMPUTED_VALUE"""),"BANGUNJIWO")</f>
        <v>BANGUNJIWO</v>
      </c>
      <c r="X773" s="80" t="str">
        <f>IFERROR(__xludf.DUMMYFUNCTION("""COMPUTED_VALUE"""),"KASIHAN")</f>
        <v>KASIHAN</v>
      </c>
      <c r="Y773" s="80" t="str">
        <f>IFERROR(__xludf.DUMMYFUNCTION("""COMPUTED_VALUE"""),"KAB. BANTUL ")</f>
        <v>KAB. BANTUL </v>
      </c>
      <c r="Z773" s="80" t="str">
        <f>IFERROR(__xludf.DUMMYFUNCTION("""COMPUTED_VALUE"""),"YOGYAKARTA")</f>
        <v>YOGYAKARTA</v>
      </c>
      <c r="AA773" s="80" t="str">
        <f>IFERROR(__xludf.DUMMYFUNCTION("""COMPUTED_VALUE"""),"55184")</f>
        <v>55184</v>
      </c>
      <c r="AB773" s="80" t="str">
        <f>IFERROR(__xludf.DUMMYFUNCTION("""COMPUTED_VALUE"""),"3402066105950001")</f>
        <v>3402066105950001</v>
      </c>
      <c r="AC773" s="80" t="str">
        <f>IFERROR(__xludf.DUMMYFUNCTION("""COMPUTED_VALUE"""),"13.884.475.8.543.000")</f>
        <v>13.884.475.8.543.000</v>
      </c>
      <c r="AD773" s="80" t="str">
        <f>IFERROR(__xludf.DUMMYFUNCTION("""COMPUTED_VALUE"""),"NON KORGEN")</f>
        <v>NON KORGEN</v>
      </c>
      <c r="AE773" s="80" t="str">
        <f>IFERROR(__xludf.DUMMYFUNCTION("""COMPUTED_VALUE"""),"BU IIS KC BANTUL")</f>
        <v>BU IIS KC BANTUL</v>
      </c>
      <c r="AF773" s="80" t="str">
        <f>IFERROR(__xludf.DUMMYFUNCTION("""COMPUTED_VALUE"""),"089636456633")</f>
        <v>089636456633</v>
      </c>
      <c r="AG773" s="80"/>
      <c r="AH773" s="80" t="str">
        <f>IFERROR(__xludf.DUMMYFUNCTION("""COMPUTED_VALUE"""),"meydianawati121@gmail.com")</f>
        <v>meydianawati121@gmail.com</v>
      </c>
      <c r="AI773" s="80" t="str">
        <f>IFERROR(__xludf.DUMMYFUNCTION("""COMPUTED_VALUE"""),"55751S4")</f>
        <v>55751S4</v>
      </c>
      <c r="AJ773" s="80" t="str">
        <f>IFERROR(__xludf.DUMMYFUNCTION("""COMPUTED_VALUE"""),"6971933e70f169c6af04deea")</f>
        <v>6971933e70f169c6af04deea</v>
      </c>
      <c r="AK773" s="80" t="str">
        <f>IFERROR(__xludf.DUMMYFUNCTION("""COMPUTED_VALUE"""),"meydianawati121@gmail.com")</f>
        <v>meydianawati121@gmail.com</v>
      </c>
      <c r="AL773" s="80" t="str">
        <f>IFERROR(__xludf.DUMMYFUNCTION("""COMPUTED_VALUE"""),"#Muc55751S4$")</f>
        <v>#Muc55751S4$</v>
      </c>
      <c r="AM773" s="80" t="str">
        <f>IFERROR(__xludf.DUMMYFUNCTION("""COMPUTED_VALUE"""),"KANTOR REGIONAL IV SEMARANG 50004")</f>
        <v>KANTOR REGIONAL IV SEMARANG 50004</v>
      </c>
      <c r="AN773" s="80" t="str">
        <f>IFERROR(__xludf.DUMMYFUNCTION("""COMPUTED_VALUE"""),"KC BANTUL 55700")</f>
        <v>KC BANTUL 55700</v>
      </c>
      <c r="AO773" s="80" t="str">
        <f>IFERROR(__xludf.DUMMYFUNCTION("""COMPUTED_VALUE"""),"MENYUSUL")</f>
        <v>MENYUSUL</v>
      </c>
      <c r="AP773" s="80" t="str">
        <f>IFERROR(__xludf.DUMMYFUNCTION("""COMPUTED_VALUE"""),"MENYUSUL")</f>
        <v>MENYUSUL</v>
      </c>
      <c r="AQ773" s="83"/>
      <c r="AR773" s="80"/>
      <c r="AS773" s="80"/>
      <c r="AT773" s="80" t="str">
        <f>IFERROR(__xludf.DUMMYFUNCTION("""COMPUTED_VALUE"""),"-7.8532198")</f>
        <v>-7.8532198</v>
      </c>
      <c r="AU773" s="80" t="str">
        <f>IFERROR(__xludf.DUMMYFUNCTION("""COMPUTED_VALUE"""),"110.3207858")</f>
        <v>110.3207858</v>
      </c>
      <c r="AV773" s="80"/>
      <c r="AW773" s="80"/>
      <c r="AX773" s="80"/>
      <c r="AY773" s="80"/>
      <c r="AZ773" s="80"/>
      <c r="BA773" s="80"/>
      <c r="BB773" s="80"/>
      <c r="BC773" s="80"/>
      <c r="BD773" s="80"/>
      <c r="BE773" s="80"/>
      <c r="BF773" s="80"/>
      <c r="BG773" s="80"/>
      <c r="BH773" s="80"/>
      <c r="BI773" s="80"/>
      <c r="BJ773" s="80"/>
      <c r="BK773" s="80"/>
      <c r="BL773" s="80"/>
      <c r="BM773" s="80"/>
      <c r="BN773" s="80"/>
      <c r="BO773" s="80"/>
      <c r="BP773" s="80"/>
      <c r="BQ773" s="80"/>
      <c r="BR773" s="80"/>
      <c r="BS773" s="80"/>
      <c r="BT773" s="80"/>
      <c r="BU773" s="80"/>
      <c r="BV773" s="80"/>
      <c r="BW773" s="80"/>
      <c r="BX773" s="80" t="str">
        <f>IFERROR(__xludf.DUMMYFUNCTION("""COMPUTED_VALUE"""),"POS")</f>
        <v>POS</v>
      </c>
      <c r="BY773" s="80"/>
      <c r="BZ773" s="80"/>
      <c r="CA773" s="80"/>
      <c r="CB773" s="80"/>
      <c r="CC773" s="80"/>
      <c r="CD773" s="80"/>
      <c r="CE773" s="80"/>
      <c r="CF773" s="80"/>
      <c r="CG773" s="80"/>
      <c r="CH773" s="80"/>
      <c r="CI773" s="80"/>
      <c r="CJ773" s="80"/>
      <c r="CK773" s="2"/>
    </row>
    <row r="774" ht="12.75" customHeight="1">
      <c r="A774" s="85">
        <f>IFERROR(__xludf.DUMMYFUNCTION("""COMPUTED_VALUE"""),770.0)</f>
        <v>770</v>
      </c>
      <c r="B774" s="85"/>
      <c r="C774" s="85"/>
      <c r="D774" s="86">
        <f>IFERROR(__xludf.DUMMYFUNCTION("""COMPUTED_VALUE"""),46030.0)</f>
        <v>46030</v>
      </c>
      <c r="E774" s="88"/>
      <c r="F774" s="85"/>
      <c r="G774" s="86">
        <f>IFERROR(__xludf.DUMMYFUNCTION("""COMPUTED_VALUE"""),46035.0)</f>
        <v>46035</v>
      </c>
      <c r="H774" s="85"/>
      <c r="I774" s="85"/>
      <c r="J774" s="85"/>
      <c r="K774" s="85"/>
      <c r="L774" s="85">
        <f>IFERROR(__xludf.DUMMYFUNCTION("""COMPUTED_VALUE"""),5.0)</f>
        <v>5</v>
      </c>
      <c r="M774" s="85"/>
      <c r="N774" s="85" t="str">
        <f>IFERROR(__xludf.DUMMYFUNCTION("""COMPUTED_VALUE"""),"ü")</f>
        <v>ü</v>
      </c>
      <c r="O774" s="85"/>
      <c r="P774" s="85" t="str">
        <f>IFERROR(__xludf.DUMMYFUNCTION("""COMPUTED_VALUE"""),"MLO5500063CUMPOS")</f>
        <v>MLO5500063CUMPOS</v>
      </c>
      <c r="Q774" s="85" t="str">
        <f>IFERROR(__xludf.DUMMYFUNCTION("""COMPUTED_VALUE"""),"MUC VELVET STORE")</f>
        <v>MUC VELVET STORE</v>
      </c>
      <c r="R774" s="85" t="str">
        <f>IFERROR(__xludf.DUMMYFUNCTION("""COMPUTED_VALUE"""),"MUC VELVET STORE")</f>
        <v>MUC VELVET STORE</v>
      </c>
      <c r="S774" s="85" t="str">
        <f>IFERROR(__xludf.DUMMYFUNCTION("""COMPUTED_VALUE"""),"HERDIANA")</f>
        <v>HERDIANA</v>
      </c>
      <c r="T774" s="85" t="str">
        <f>IFERROR(__xludf.DUMMYFUNCTION("""COMPUTED_VALUE"""),"DUSUN KLIWON, RT007 RW003, KALIAREN, CILIMUS, KAB. KUNINGAN")</f>
        <v>DUSUN KLIWON, RT007 RW003, KALIAREN, CILIMUS, KAB. KUNINGAN</v>
      </c>
      <c r="U774" s="85" t="str">
        <f>IFERROR(__xludf.DUMMYFUNCTION("""COMPUTED_VALUE"""),"BTN Caracas Permai/dusun pon b RT/RW  023/006")</f>
        <v>BTN Caracas Permai/dusun pon b RT/RW  023/006</v>
      </c>
      <c r="V774" s="85"/>
      <c r="W774" s="85" t="str">
        <f>IFERROR(__xludf.DUMMYFUNCTION("""COMPUTED_VALUE"""),"Caracas")</f>
        <v>Caracas</v>
      </c>
      <c r="X774" s="85" t="str">
        <f>IFERROR(__xludf.DUMMYFUNCTION("""COMPUTED_VALUE"""),"Cilimus")</f>
        <v>Cilimus</v>
      </c>
      <c r="Y774" s="85" t="str">
        <f>IFERROR(__xludf.DUMMYFUNCTION("""COMPUTED_VALUE"""),"Kab. Kuningan")</f>
        <v>Kab. Kuningan</v>
      </c>
      <c r="Z774" s="85" t="str">
        <f>IFERROR(__xludf.DUMMYFUNCTION("""COMPUTED_VALUE"""),"Jawa Barat")</f>
        <v>Jawa Barat</v>
      </c>
      <c r="AA774" s="85" t="str">
        <f>IFERROR(__xludf.DUMMYFUNCTION("""COMPUTED_VALUE"""),"45556")</f>
        <v>45556</v>
      </c>
      <c r="AB774" s="85" t="str">
        <f>IFERROR(__xludf.DUMMYFUNCTION("""COMPUTED_VALUE"""),"3200131905970003")</f>
        <v>3200131905970003</v>
      </c>
      <c r="AC774" s="85" t="str">
        <f>IFERROR(__xludf.DUMMYFUNCTION("""COMPUTED_VALUE"""),"41.371.390.0-438.000")</f>
        <v>41.371.390.0-438.000</v>
      </c>
      <c r="AD774" s="85" t="str">
        <f>IFERROR(__xludf.DUMMYFUNCTION("""COMPUTED_VALUE"""),"NON KORGEN")</f>
        <v>NON KORGEN</v>
      </c>
      <c r="AE774" s="85" t="str">
        <f>IFERROR(__xludf.DUMMYFUNCTION("""COMPUTED_VALUE"""),"SUB ANO WASNO")</f>
        <v>SUB ANO WASNO</v>
      </c>
      <c r="AF774" s="85" t="str">
        <f>IFERROR(__xludf.DUMMYFUNCTION("""COMPUTED_VALUE"""),"087862324178")</f>
        <v>087862324178</v>
      </c>
      <c r="AG774" s="85"/>
      <c r="AH774" s="85" t="str">
        <f>IFERROR(__xludf.DUMMYFUNCTION("""COMPUTED_VALUE"""),"herdianabae@gmail.com")</f>
        <v>herdianabae@gmail.com</v>
      </c>
      <c r="AI774" s="85" t="str">
        <f>IFERROR(__xludf.DUMMYFUNCTION("""COMPUTED_VALUE"""),"45556S8")</f>
        <v>45556S8</v>
      </c>
      <c r="AJ774" s="85" t="str">
        <f>IFERROR(__xludf.DUMMYFUNCTION("""COMPUTED_VALUE"""),"6965fa5ae096722d6a0e73cf")</f>
        <v>6965fa5ae096722d6a0e73cf</v>
      </c>
      <c r="AK774" s="85" t="str">
        <f>IFERROR(__xludf.DUMMYFUNCTION("""COMPUTED_VALUE"""),"herdianabae@gmail.com")</f>
        <v>herdianabae@gmail.com</v>
      </c>
      <c r="AL774" s="85" t="str">
        <f>IFERROR(__xludf.DUMMYFUNCTION("""COMPUTED_VALUE"""),"#Muc45556S8$")</f>
        <v>#Muc45556S8$</v>
      </c>
      <c r="AM774" s="85" t="str">
        <f>IFERROR(__xludf.DUMMYFUNCTION("""COMPUTED_VALUE"""),"KANTOR REGIONAL III BANDUNG 40004")</f>
        <v>KANTOR REGIONAL III BANDUNG 40004</v>
      </c>
      <c r="AN774" s="85" t="str">
        <f>IFERROR(__xludf.DUMMYFUNCTION("""COMPUTED_VALUE"""),"KC KUNINGAN")</f>
        <v>KC KUNINGAN</v>
      </c>
      <c r="AO774" s="85" t="str">
        <f>IFERROR(__xludf.DUMMYFUNCTION("""COMPUTED_VALUE"""),"MENYUSUL")</f>
        <v>MENYUSUL</v>
      </c>
      <c r="AP774" s="85" t="str">
        <f>IFERROR(__xludf.DUMMYFUNCTION("""COMPUTED_VALUE"""),"MENYUSUL")</f>
        <v>MENYUSUL</v>
      </c>
      <c r="AQ774" s="93"/>
      <c r="AR774" s="85"/>
      <c r="AS774" s="85"/>
      <c r="AT774" s="85" t="str">
        <f>IFERROR(__xludf.DUMMYFUNCTION("""COMPUTED_VALUE"""),"-6.858415")</f>
        <v>-6.858415</v>
      </c>
      <c r="AU774" s="85" t="str">
        <f>IFERROR(__xludf.DUMMYFUNCTION("""COMPUTED_VALUE"""),"108.506847")</f>
        <v>108.506847</v>
      </c>
      <c r="AV774" s="85"/>
      <c r="AW774" s="85"/>
      <c r="AX774" s="85"/>
      <c r="AY774" s="85"/>
      <c r="AZ774" s="85"/>
      <c r="BA774" s="85"/>
      <c r="BB774" s="85"/>
      <c r="BC774" s="85"/>
      <c r="BD774" s="85"/>
      <c r="BE774" s="85"/>
      <c r="BF774" s="85"/>
      <c r="BG774" s="85"/>
      <c r="BH774" s="85"/>
      <c r="BI774" s="85"/>
      <c r="BJ774" s="85"/>
      <c r="BK774" s="85"/>
      <c r="BL774" s="85"/>
      <c r="BM774" s="85"/>
      <c r="BN774" s="85"/>
      <c r="BO774" s="85"/>
      <c r="BP774" s="85"/>
      <c r="BQ774" s="85"/>
      <c r="BR774" s="85"/>
      <c r="BS774" s="85"/>
      <c r="BT774" s="85"/>
      <c r="BU774" s="85"/>
      <c r="BV774" s="85"/>
      <c r="BW774" s="85"/>
      <c r="BX774" s="85" t="str">
        <f>IFERROR(__xludf.DUMMYFUNCTION("""COMPUTED_VALUE"""),"SELLER")</f>
        <v>SELLER</v>
      </c>
      <c r="BY774" s="85"/>
      <c r="BZ774" s="85"/>
      <c r="CA774" s="85"/>
      <c r="CB774" s="85"/>
      <c r="CC774" s="85"/>
      <c r="CD774" s="85"/>
      <c r="CE774" s="85"/>
      <c r="CF774" s="85"/>
      <c r="CG774" s="85"/>
      <c r="CH774" s="85"/>
      <c r="CI774" s="85"/>
      <c r="CJ774" s="85"/>
      <c r="CK774" s="2"/>
    </row>
    <row r="775" ht="12.75" customHeight="1">
      <c r="A775" s="80">
        <f>IFERROR(__xludf.DUMMYFUNCTION("""COMPUTED_VALUE"""),771.0)</f>
        <v>771</v>
      </c>
      <c r="B775" s="80"/>
      <c r="C775" s="80"/>
      <c r="D775" s="81">
        <f>IFERROR(__xludf.DUMMYFUNCTION("""COMPUTED_VALUE"""),46030.0)</f>
        <v>46030</v>
      </c>
      <c r="E775" s="82"/>
      <c r="F775" s="80"/>
      <c r="G775" s="81">
        <f>IFERROR(__xludf.DUMMYFUNCTION("""COMPUTED_VALUE"""),46043.0)</f>
        <v>46043</v>
      </c>
      <c r="H775" s="80"/>
      <c r="I775" s="80"/>
      <c r="J775" s="80"/>
      <c r="K775" s="80"/>
      <c r="L775" s="80">
        <f>IFERROR(__xludf.DUMMYFUNCTION("""COMPUTED_VALUE"""),13.0)</f>
        <v>13</v>
      </c>
      <c r="M775" s="80" t="str">
        <f>IFERROR(__xludf.DUMMYFUNCTION("""COMPUTED_VALUE"""),"ü")</f>
        <v>ü</v>
      </c>
      <c r="N775" s="80"/>
      <c r="O775" s="80"/>
      <c r="P775" s="80" t="str">
        <f>IFERROR(__xludf.DUMMYFUNCTION("""COMPUTED_VALUE"""),"53BSPA09562JBKTK")</f>
        <v>53BSPA09562JBKTK</v>
      </c>
      <c r="Q775" s="80" t="str">
        <f>IFERROR(__xludf.DUMMYFUNCTION("""COMPUTED_VALUE"""),"MUC GLOBAL UNGGUL ABADI")</f>
        <v>MUC GLOBAL UNGGUL ABADI</v>
      </c>
      <c r="R775" s="80" t="str">
        <f>IFERROR(__xludf.DUMMYFUNCTION("""COMPUTED_VALUE"""),"MUC GLOBAL UNGGUL ABADI")</f>
        <v>MUC GLOBAL UNGGUL ABADI</v>
      </c>
      <c r="S775" s="80" t="str">
        <f>IFERROR(__xludf.DUMMYFUNCTION("""COMPUTED_VALUE"""),"Rangga Pandita")</f>
        <v>Rangga Pandita</v>
      </c>
      <c r="T775" s="80" t="str">
        <f>IFERROR(__xludf.DUMMYFUNCTION("""COMPUTED_VALUE"""),"Sindangsari 1 Mekarsari 1 /13")</f>
        <v>Sindangsari 1 Mekarsari 1 /13</v>
      </c>
      <c r="U775" s="80" t="str">
        <f>IFERROR(__xludf.DUMMYFUNCTION("""COMPUTED_VALUE"""),"Jl. Pasir impun Atas, Cikadut Kec. Cimenyan No. 51 Rt 03/09 Cimenyan Kab. Bandung Jawa Barat 40197")</f>
        <v>Jl. Pasir impun Atas, Cikadut Kec. Cimenyan No. 51 Rt 03/09 Cimenyan Kab. Bandung Jawa Barat 40197</v>
      </c>
      <c r="V775" s="80"/>
      <c r="W775" s="80" t="str">
        <f>IFERROR(__xludf.DUMMYFUNCTION("""COMPUTED_VALUE"""),"Cikadut")</f>
        <v>Cikadut</v>
      </c>
      <c r="X775" s="80" t="str">
        <f>IFERROR(__xludf.DUMMYFUNCTION("""COMPUTED_VALUE"""),"Cimenyan")</f>
        <v>Cimenyan</v>
      </c>
      <c r="Y775" s="80" t="str">
        <f>IFERROR(__xludf.DUMMYFUNCTION("""COMPUTED_VALUE"""),"Kab. Bandung")</f>
        <v>Kab. Bandung</v>
      </c>
      <c r="Z775" s="80" t="str">
        <f>IFERROR(__xludf.DUMMYFUNCTION("""COMPUTED_VALUE"""),"Jawa Barat")</f>
        <v>Jawa Barat</v>
      </c>
      <c r="AA775" s="80" t="str">
        <f>IFERROR(__xludf.DUMMYFUNCTION("""COMPUTED_VALUE"""),"40197")</f>
        <v>40197</v>
      </c>
      <c r="AB775" s="80" t="str">
        <f>IFERROR(__xludf.DUMMYFUNCTION("""COMPUTED_VALUE"""),"3273200902850003")</f>
        <v>3273200902850003</v>
      </c>
      <c r="AC775" s="80" t="str">
        <f>IFERROR(__xludf.DUMMYFUNCTION("""COMPUTED_VALUE"""),"82.896.046.8-429.000")</f>
        <v>82.896.046.8-429.000</v>
      </c>
      <c r="AD775" s="80" t="str">
        <f>IFERROR(__xludf.DUMMYFUNCTION("""COMPUTED_VALUE"""),"CUM - KTK")</f>
        <v>CUM - KTK</v>
      </c>
      <c r="AE775" s="80" t="str">
        <f>IFERROR(__xludf.DUMMYFUNCTION("""COMPUTED_VALUE"""),"SUB KARTIKA")</f>
        <v>SUB KARTIKA</v>
      </c>
      <c r="AF775" s="80" t="str">
        <f>IFERROR(__xludf.DUMMYFUNCTION("""COMPUTED_VALUE"""),"082120558936")</f>
        <v>082120558936</v>
      </c>
      <c r="AG775" s="80"/>
      <c r="AH775" s="80" t="str">
        <f>IFERROR(__xludf.DUMMYFUNCTION("""COMPUTED_VALUE"""),"nonongina23@gmail.com")</f>
        <v>nonongina23@gmail.com</v>
      </c>
      <c r="AI775" s="80" t="str">
        <f>IFERROR(__xludf.DUMMYFUNCTION("""COMPUTED_VALUE"""),"40399S4")</f>
        <v>40399S4</v>
      </c>
      <c r="AJ775" s="80" t="str">
        <f>IFERROR(__xludf.DUMMYFUNCTION("""COMPUTED_VALUE"""),"69670a6cf2178d605e00a17b")</f>
        <v>69670a6cf2178d605e00a17b</v>
      </c>
      <c r="AK775" s="80" t="str">
        <f>IFERROR(__xludf.DUMMYFUNCTION("""COMPUTED_VALUE"""),"nonongina23@gmail.com")</f>
        <v>nonongina23@gmail.com</v>
      </c>
      <c r="AL775" s="80" t="str">
        <f>IFERROR(__xludf.DUMMYFUNCTION("""COMPUTED_VALUE"""),"@Muc40399S4$%")</f>
        <v>@Muc40399S4$%</v>
      </c>
      <c r="AM775" s="80" t="str">
        <f>IFERROR(__xludf.DUMMYFUNCTION("""COMPUTED_VALUE"""),"KANTOR REGIONAL III BANDUNG 40004")</f>
        <v>KANTOR REGIONAL III BANDUNG 40004</v>
      </c>
      <c r="AN775" s="80" t="str">
        <f>IFERROR(__xludf.DUMMYFUNCTION("""COMPUTED_VALUE"""),"KCU BANDUNG 40000")</f>
        <v>KCU BANDUNG 40000</v>
      </c>
      <c r="AO775" s="80" t="str">
        <f>IFERROR(__xludf.DUMMYFUNCTION("""COMPUTED_VALUE"""),"MENYUSUL")</f>
        <v>MENYUSUL</v>
      </c>
      <c r="AP775" s="80" t="str">
        <f>IFERROR(__xludf.DUMMYFUNCTION("""COMPUTED_VALUE"""),"MENYUSUL")</f>
        <v>MENYUSUL</v>
      </c>
      <c r="AQ775" s="83"/>
      <c r="AR775" s="80"/>
      <c r="AS775" s="80"/>
      <c r="AT775" s="80" t="str">
        <f>IFERROR(__xludf.DUMMYFUNCTION("""COMPUTED_VALUE"""),"-6.883437")</f>
        <v>-6.883437</v>
      </c>
      <c r="AU775" s="80" t="str">
        <f>IFERROR(__xludf.DUMMYFUNCTION("""COMPUTED_VALUE"""),"107.681507")</f>
        <v>107.681507</v>
      </c>
      <c r="AV775" s="80"/>
      <c r="AW775" s="80"/>
      <c r="AX775" s="80"/>
      <c r="AY775" s="80"/>
      <c r="AZ775" s="80"/>
      <c r="BA775" s="80"/>
      <c r="BB775" s="80"/>
      <c r="BC775" s="80"/>
      <c r="BD775" s="80"/>
      <c r="BE775" s="80"/>
      <c r="BF775" s="80"/>
      <c r="BG775" s="80"/>
      <c r="BH775" s="80"/>
      <c r="BI775" s="80"/>
      <c r="BJ775" s="80"/>
      <c r="BK775" s="80"/>
      <c r="BL775" s="80"/>
      <c r="BM775" s="80"/>
      <c r="BN775" s="80"/>
      <c r="BO775" s="80"/>
      <c r="BP775" s="80"/>
      <c r="BQ775" s="80"/>
      <c r="BR775" s="80"/>
      <c r="BS775" s="80"/>
      <c r="BT775" s="80"/>
      <c r="BU775" s="80"/>
      <c r="BV775" s="80"/>
      <c r="BW775" s="80"/>
      <c r="BX775" s="80" t="str">
        <f>IFERROR(__xludf.DUMMYFUNCTION("""COMPUTED_VALUE"""),"NEWBIE")</f>
        <v>NEWBIE</v>
      </c>
      <c r="BY775" s="80"/>
      <c r="BZ775" s="80"/>
      <c r="CA775" s="80"/>
      <c r="CB775" s="80"/>
      <c r="CC775" s="80"/>
      <c r="CD775" s="80"/>
      <c r="CE775" s="80"/>
      <c r="CF775" s="80"/>
      <c r="CG775" s="80"/>
      <c r="CH775" s="80"/>
      <c r="CI775" s="80"/>
      <c r="CJ775" s="80"/>
      <c r="CK775" s="2"/>
    </row>
    <row r="776" ht="12.75" customHeight="1">
      <c r="A776" s="85">
        <f>IFERROR(__xludf.DUMMYFUNCTION("""COMPUTED_VALUE"""),772.0)</f>
        <v>772</v>
      </c>
      <c r="B776" s="85"/>
      <c r="C776" s="85"/>
      <c r="D776" s="86">
        <f>IFERROR(__xludf.DUMMYFUNCTION("""COMPUTED_VALUE"""),46030.0)</f>
        <v>46030</v>
      </c>
      <c r="E776" s="88"/>
      <c r="F776" s="85"/>
      <c r="G776" s="86">
        <f>IFERROR(__xludf.DUMMYFUNCTION("""COMPUTED_VALUE"""),46042.0)</f>
        <v>46042</v>
      </c>
      <c r="H776" s="85"/>
      <c r="I776" s="85"/>
      <c r="J776" s="85"/>
      <c r="K776" s="85"/>
      <c r="L776" s="85">
        <f>IFERROR(__xludf.DUMMYFUNCTION("""COMPUTED_VALUE"""),12.0)</f>
        <v>12</v>
      </c>
      <c r="M776" s="85" t="str">
        <f>IFERROR(__xludf.DUMMYFUNCTION("""COMPUTED_VALUE"""),"ü")</f>
        <v>ü</v>
      </c>
      <c r="N776" s="85"/>
      <c r="O776" s="85"/>
      <c r="P776" s="85" t="str">
        <f>IFERROR(__xludf.DUMMYFUNCTION("""COMPUTED_VALUE"""),"MUCSPA63337PSIND")</f>
        <v>MUCSPA63337PSIND</v>
      </c>
      <c r="Q776" s="85" t="str">
        <f>IFERROR(__xludf.DUMMYFUNCTION("""COMPUTED_VALUE"""),"MUC Batununggal Indah 379")</f>
        <v>MUC Batununggal Indah 379</v>
      </c>
      <c r="R776" s="85" t="str">
        <f>IFERROR(__xludf.DUMMYFUNCTION("""COMPUTED_VALUE"""),"MUC Batununggal Indah 379")</f>
        <v>MUC Batununggal Indah 379</v>
      </c>
      <c r="S776" s="85" t="str">
        <f>IFERROR(__xludf.DUMMYFUNCTION("""COMPUTED_VALUE"""),"Boaz Mahargono ")</f>
        <v>Boaz Mahargono </v>
      </c>
      <c r="T776" s="85" t="str">
        <f>IFERROR(__xludf.DUMMYFUNCTION("""COMPUTED_VALUE"""),"Jl. Batununggal Elok No.9, Mengger, Kec. Bandung Kidul, Kota Bandung, Jawa Barat 40267")</f>
        <v>Jl. Batununggal Elok No.9, Mengger, Kec. Bandung Kidul, Kota Bandung, Jawa Barat 40267</v>
      </c>
      <c r="U776" s="85" t="str">
        <f>IFERROR(__xludf.DUMMYFUNCTION("""COMPUTED_VALUE"""),"Jl. Batununggal Indah Raya ruko No.379, Batununggal, Kec. Bandung Kidul, Kota Bandung, Jawa Barat 40266")</f>
        <v>Jl. Batununggal Indah Raya ruko No.379, Batununggal, Kec. Bandung Kidul, Kota Bandung, Jawa Barat 40266</v>
      </c>
      <c r="V776" s="85"/>
      <c r="W776" s="85" t="str">
        <f>IFERROR(__xludf.DUMMYFUNCTION("""COMPUTED_VALUE"""),"Batununggal")</f>
        <v>Batununggal</v>
      </c>
      <c r="X776" s="85" t="str">
        <f>IFERROR(__xludf.DUMMYFUNCTION("""COMPUTED_VALUE"""),"Bandung Kidul")</f>
        <v>Bandung Kidul</v>
      </c>
      <c r="Y776" s="85" t="str">
        <f>IFERROR(__xludf.DUMMYFUNCTION("""COMPUTED_VALUE"""),"Bandung")</f>
        <v>Bandung</v>
      </c>
      <c r="Z776" s="85" t="str">
        <f>IFERROR(__xludf.DUMMYFUNCTION("""COMPUTED_VALUE"""),"Jawa Barat")</f>
        <v>Jawa Barat</v>
      </c>
      <c r="AA776" s="85" t="str">
        <f>IFERROR(__xludf.DUMMYFUNCTION("""COMPUTED_VALUE"""),"40266")</f>
        <v>40266</v>
      </c>
      <c r="AB776" s="85" t="str">
        <f>IFERROR(__xludf.DUMMYFUNCTION("""COMPUTED_VALUE"""),"3273171604760001")</f>
        <v>3273171604760001</v>
      </c>
      <c r="AC776" s="85" t="str">
        <f>IFERROR(__xludf.DUMMYFUNCTION("""COMPUTED_VALUE"""),"0054860424422000 ")</f>
        <v>0054860424422000 </v>
      </c>
      <c r="AD776" s="85" t="str">
        <f>IFERROR(__xludf.DUMMYFUNCTION("""COMPUTED_VALUE"""),"CUM - PS - RRI")</f>
        <v>CUM - PS - RRI</v>
      </c>
      <c r="AE776" s="85" t="str">
        <f>IFERROR(__xludf.DUMMYFUNCTION("""COMPUTED_VALUE"""),"SUB RIRIN POS")</f>
        <v>SUB RIRIN POS</v>
      </c>
      <c r="AF776" s="85" t="str">
        <f>IFERROR(__xludf.DUMMYFUNCTION("""COMPUTED_VALUE"""),"085199234920")</f>
        <v>085199234920</v>
      </c>
      <c r="AG776" s="85"/>
      <c r="AH776" s="85" t="str">
        <f>IFERROR(__xludf.DUMMYFUNCTION("""COMPUTED_VALUE"""),"cvblessindomajuabadi@gmail.com")</f>
        <v>cvblessindomajuabadi@gmail.com</v>
      </c>
      <c r="AI776" s="85" t="str">
        <f>IFERROR(__xludf.DUMMYFUNCTION("""COMPUTED_VALUE"""),"40266S3")</f>
        <v>40266S3</v>
      </c>
      <c r="AJ776" s="85" t="str">
        <f>IFERROR(__xludf.DUMMYFUNCTION("""COMPUTED_VALUE"""),"6968a351c0894709310b5f55")</f>
        <v>6968a351c0894709310b5f55</v>
      </c>
      <c r="AK776" s="85" t="str">
        <f>IFERROR(__xludf.DUMMYFUNCTION("""COMPUTED_VALUE"""),"cvblessindomajuabadi")</f>
        <v>cvblessindomajuabadi</v>
      </c>
      <c r="AL776" s="85" t="str">
        <f>IFERROR(__xludf.DUMMYFUNCTION("""COMPUTED_VALUE"""),"#Muc40266S3$")</f>
        <v>#Muc40266S3$</v>
      </c>
      <c r="AM776" s="85" t="str">
        <f>IFERROR(__xludf.DUMMYFUNCTION("""COMPUTED_VALUE"""),"KANTOR REGIONAL III BANDUNG 40004")</f>
        <v>KANTOR REGIONAL III BANDUNG 40004</v>
      </c>
      <c r="AN776" s="85" t="str">
        <f>IFERROR(__xludf.DUMMYFUNCTION("""COMPUTED_VALUE"""),"KCU BANDUNG 40000")</f>
        <v>KCU BANDUNG 40000</v>
      </c>
      <c r="AO776" s="85" t="str">
        <f>IFERROR(__xludf.DUMMYFUNCTION("""COMPUTED_VALUE"""),"MENYUSUL")</f>
        <v>MENYUSUL</v>
      </c>
      <c r="AP776" s="85" t="str">
        <f>IFERROR(__xludf.DUMMYFUNCTION("""COMPUTED_VALUE"""),"MENYUSUL")</f>
        <v>MENYUSUL</v>
      </c>
      <c r="AQ776" s="93"/>
      <c r="AR776" s="85"/>
      <c r="AS776" s="85"/>
      <c r="AT776" s="85" t="str">
        <f>IFERROR(__xludf.DUMMYFUNCTION("""COMPUTED_VALUE"""),"-6.955210335060855")</f>
        <v>-6.955210335060855</v>
      </c>
      <c r="AU776" s="85" t="str">
        <f>IFERROR(__xludf.DUMMYFUNCTION("""COMPUTED_VALUE"""),"107.63492332360529")</f>
        <v>107.63492332360529</v>
      </c>
      <c r="AV776" s="85"/>
      <c r="AW776" s="85"/>
      <c r="AX776" s="85"/>
      <c r="AY776" s="85"/>
      <c r="AZ776" s="85"/>
      <c r="BA776" s="85"/>
      <c r="BB776" s="85"/>
      <c r="BC776" s="85"/>
      <c r="BD776" s="85"/>
      <c r="BE776" s="85"/>
      <c r="BF776" s="85"/>
      <c r="BG776" s="85"/>
      <c r="BH776" s="85"/>
      <c r="BI776" s="85"/>
      <c r="BJ776" s="85"/>
      <c r="BK776" s="85"/>
      <c r="BL776" s="85"/>
      <c r="BM776" s="85"/>
      <c r="BN776" s="85"/>
      <c r="BO776" s="85"/>
      <c r="BP776" s="85"/>
      <c r="BQ776" s="85"/>
      <c r="BR776" s="85"/>
      <c r="BS776" s="85"/>
      <c r="BT776" s="85"/>
      <c r="BU776" s="85"/>
      <c r="BV776" s="85"/>
      <c r="BW776" s="85"/>
      <c r="BX776" s="85" t="str">
        <f>IFERROR(__xludf.DUMMYFUNCTION("""COMPUTED_VALUE"""),"MULTIKURIR - WAHANA")</f>
        <v>MULTIKURIR - WAHANA</v>
      </c>
      <c r="BY776" s="85"/>
      <c r="BZ776" s="85"/>
      <c r="CA776" s="85"/>
      <c r="CB776" s="85"/>
      <c r="CC776" s="85"/>
      <c r="CD776" s="85"/>
      <c r="CE776" s="85"/>
      <c r="CF776" s="85"/>
      <c r="CG776" s="85"/>
      <c r="CH776" s="85"/>
      <c r="CI776" s="85"/>
      <c r="CJ776" s="85"/>
      <c r="CK776" s="2"/>
    </row>
    <row r="777" ht="12.75" customHeight="1">
      <c r="A777" s="80">
        <f>IFERROR(__xludf.DUMMYFUNCTION("""COMPUTED_VALUE"""),773.0)</f>
        <v>773</v>
      </c>
      <c r="B777" s="80"/>
      <c r="C777" s="80"/>
      <c r="D777" s="81">
        <f>IFERROR(__xludf.DUMMYFUNCTION("""COMPUTED_VALUE"""),46031.0)</f>
        <v>46031</v>
      </c>
      <c r="E777" s="82"/>
      <c r="F777" s="80"/>
      <c r="G777" s="81">
        <f>IFERROR(__xludf.DUMMYFUNCTION("""COMPUTED_VALUE"""),46055.0)</f>
        <v>46055</v>
      </c>
      <c r="H777" s="80"/>
      <c r="I777" s="80"/>
      <c r="J777" s="80"/>
      <c r="K777" s="80"/>
      <c r="L777" s="80">
        <f>IFERROR(__xludf.DUMMYFUNCTION("""COMPUTED_VALUE"""),24.0)</f>
        <v>24</v>
      </c>
      <c r="M777" s="80"/>
      <c r="N777" s="80" t="str">
        <f>IFERROR(__xludf.DUMMYFUNCTION("""COMPUTED_VALUE"""),"ü")</f>
        <v>ü</v>
      </c>
      <c r="O777" s="80"/>
      <c r="P777" s="80" t="str">
        <f>IFERROR(__xludf.DUMMYFUNCTION("""COMPUTED_VALUE"""),"MLO5500064CUMPOS")</f>
        <v>MLO5500064CUMPOS</v>
      </c>
      <c r="Q777" s="80" t="str">
        <f>IFERROR(__xludf.DUMMYFUNCTION("""COMPUTED_VALUE"""),"MUC META STORE")</f>
        <v>MUC META STORE</v>
      </c>
      <c r="R777" s="80" t="str">
        <f>IFERROR(__xludf.DUMMYFUNCTION("""COMPUTED_VALUE"""),"MUC META STORE")</f>
        <v>MUC META STORE</v>
      </c>
      <c r="S777" s="80" t="str">
        <f>IFERROR(__xludf.DUMMYFUNCTION("""COMPUTED_VALUE"""),"BAMBANG HERY INDARNO")</f>
        <v>BAMBANG HERY INDARNO</v>
      </c>
      <c r="T777" s="80" t="str">
        <f>IFERROR(__xludf.DUMMYFUNCTION("""COMPUTED_VALUE"""),"BLOK KP BARU RT 1 / RW 3 , DESA SERANG , KEC KLANGENAN")</f>
        <v>BLOK KP BARU RT 1 / RW 3 , DESA SERANG , KEC KLANGENAN</v>
      </c>
      <c r="U777" s="80" t="str">
        <f>IFERROR(__xludf.DUMMYFUNCTION("""COMPUTED_VALUE"""),"Kontrakan Pak Haji Waluyo,Blok kampung Baru RT 01 / 03 Desa serang..Kecamatan Klangenan ( Sebelah BJB / Koramil ke selatan )")</f>
        <v>Kontrakan Pak Haji Waluyo,Blok kampung Baru RT 01 / 03 Desa serang..Kecamatan Klangenan ( Sebelah BJB / Koramil ke selatan )</v>
      </c>
      <c r="V777" s="80"/>
      <c r="W777" s="80" t="str">
        <f>IFERROR(__xludf.DUMMYFUNCTION("""COMPUTED_VALUE"""),"SERANG")</f>
        <v>SERANG</v>
      </c>
      <c r="X777" s="80" t="str">
        <f>IFERROR(__xludf.DUMMYFUNCTION("""COMPUTED_VALUE"""),"KLANGENAN")</f>
        <v>KLANGENAN</v>
      </c>
      <c r="Y777" s="80" t="str">
        <f>IFERROR(__xludf.DUMMYFUNCTION("""COMPUTED_VALUE"""),"CIREBON")</f>
        <v>CIREBON</v>
      </c>
      <c r="Z777" s="80" t="str">
        <f>IFERROR(__xludf.DUMMYFUNCTION("""COMPUTED_VALUE"""),"JAWA BARAT")</f>
        <v>JAWA BARAT</v>
      </c>
      <c r="AA777" s="80" t="str">
        <f>IFERROR(__xludf.DUMMYFUNCTION("""COMPUTED_VALUE"""),"45157")</f>
        <v>45157</v>
      </c>
      <c r="AB777" s="80" t="str">
        <f>IFERROR(__xludf.DUMMYFUNCTION("""COMPUTED_VALUE"""),"3209232812740001")</f>
        <v>3209232812740001</v>
      </c>
      <c r="AC777" s="80" t="str">
        <f>IFERROR(__xludf.DUMMYFUNCTION("""COMPUTED_VALUE"""),"3209232812740001")</f>
        <v>3209232812740001</v>
      </c>
      <c r="AD777" s="80" t="str">
        <f>IFERROR(__xludf.DUMMYFUNCTION("""COMPUTED_VALUE"""),"SUB ANO WASNO")</f>
        <v>SUB ANO WASNO</v>
      </c>
      <c r="AE777" s="80" t="str">
        <f>IFERROR(__xludf.DUMMYFUNCTION("""COMPUTED_VALUE"""),"SUB ANO WASNO")</f>
        <v>SUB ANO WASNO</v>
      </c>
      <c r="AF777" s="80" t="str">
        <f>IFERROR(__xludf.DUMMYFUNCTION("""COMPUTED_VALUE"""),"085939721443")</f>
        <v>085939721443</v>
      </c>
      <c r="AG777" s="80"/>
      <c r="AH777" s="80" t="str">
        <f>IFERROR(__xludf.DUMMYFUNCTION("""COMPUTED_VALUE"""),"waranata62012@gmail.com")</f>
        <v>waranata62012@gmail.com</v>
      </c>
      <c r="AI777" s="80" t="str">
        <f>IFERROR(__xludf.DUMMYFUNCTION("""COMPUTED_VALUE"""),"45656S1")</f>
        <v>45656S1</v>
      </c>
      <c r="AJ777" s="80" t="str">
        <f>IFERROR(__xludf.DUMMYFUNCTION("""COMPUTED_VALUE"""),"6979d75fd29faa028d0acbde")</f>
        <v>6979d75fd29faa028d0acbde</v>
      </c>
      <c r="AK777" s="80" t="str">
        <f>IFERROR(__xludf.DUMMYFUNCTION("""COMPUTED_VALUE"""),"waranata62012@gmail.com")</f>
        <v>waranata62012@gmail.com</v>
      </c>
      <c r="AL777" s="80" t="str">
        <f>IFERROR(__xludf.DUMMYFUNCTION("""COMPUTED_VALUE"""),"#Muc45656S1$ ")</f>
        <v>#Muc45656S1$ </v>
      </c>
      <c r="AM777" s="80" t="str">
        <f>IFERROR(__xludf.DUMMYFUNCTION("""COMPUTED_VALUE"""),"KANTOR REGIONAL III BANDUNG 40004")</f>
        <v>KANTOR REGIONAL III BANDUNG 40004</v>
      </c>
      <c r="AN777" s="80" t="str">
        <f>IFERROR(__xludf.DUMMYFUNCTION("""COMPUTED_VALUE"""),"KCU CIREBON 45100")</f>
        <v>KCU CIREBON 45100</v>
      </c>
      <c r="AO777" s="80" t="str">
        <f>IFERROR(__xludf.DUMMYFUNCTION("""COMPUTED_VALUE"""),"MENYUSUL")</f>
        <v>MENYUSUL</v>
      </c>
      <c r="AP777" s="80" t="str">
        <f>IFERROR(__xludf.DUMMYFUNCTION("""COMPUTED_VALUE"""),"MENYUSUL")</f>
        <v>MENYUSUL</v>
      </c>
      <c r="AQ777" s="83"/>
      <c r="AR777" s="80"/>
      <c r="AS777" s="80"/>
      <c r="AT777" s="80" t="str">
        <f>IFERROR(__xludf.DUMMYFUNCTION("""COMPUTED_VALUE"""),"-6.711703 ")</f>
        <v>-6.711703 </v>
      </c>
      <c r="AU777" s="80" t="str">
        <f>IFERROR(__xludf.DUMMYFUNCTION("""COMPUTED_VALUE"""),"108.439365")</f>
        <v>108.439365</v>
      </c>
      <c r="AV777" s="80"/>
      <c r="AW777" s="80"/>
      <c r="AX777" s="80"/>
      <c r="AY777" s="80"/>
      <c r="AZ777" s="80"/>
      <c r="BA777" s="80"/>
      <c r="BB777" s="80"/>
      <c r="BC777" s="80"/>
      <c r="BD777" s="80"/>
      <c r="BE777" s="80"/>
      <c r="BF777" s="80"/>
      <c r="BG777" s="80"/>
      <c r="BH777" s="80"/>
      <c r="BI777" s="80"/>
      <c r="BJ777" s="80"/>
      <c r="BK777" s="80"/>
      <c r="BL777" s="80"/>
      <c r="BM777" s="80"/>
      <c r="BN777" s="80"/>
      <c r="BO777" s="80"/>
      <c r="BP777" s="80"/>
      <c r="BQ777" s="80"/>
      <c r="BR777" s="80"/>
      <c r="BS777" s="80"/>
      <c r="BT777" s="80"/>
      <c r="BU777" s="80"/>
      <c r="BV777" s="80"/>
      <c r="BW777" s="80"/>
      <c r="BX777" s="80" t="str">
        <f>IFERROR(__xludf.DUMMYFUNCTION("""COMPUTED_VALUE"""),"SELLER")</f>
        <v>SELLER</v>
      </c>
      <c r="BY777" s="80"/>
      <c r="BZ777" s="80"/>
      <c r="CA777" s="80"/>
      <c r="CB777" s="80"/>
      <c r="CC777" s="80"/>
      <c r="CD777" s="80"/>
      <c r="CE777" s="80"/>
      <c r="CF777" s="80"/>
      <c r="CG777" s="80"/>
      <c r="CH777" s="80"/>
      <c r="CI777" s="80"/>
      <c r="CJ777" s="80"/>
      <c r="CK777" s="2"/>
    </row>
    <row r="778" ht="12.75" customHeight="1">
      <c r="A778" s="85">
        <f>IFERROR(__xludf.DUMMYFUNCTION("""COMPUTED_VALUE"""),774.0)</f>
        <v>774</v>
      </c>
      <c r="B778" s="85"/>
      <c r="C778" s="85"/>
      <c r="D778" s="86">
        <f>IFERROR(__xludf.DUMMYFUNCTION("""COMPUTED_VALUE"""),46031.0)</f>
        <v>46031</v>
      </c>
      <c r="E778" s="88"/>
      <c r="F778" s="85"/>
      <c r="G778" s="86">
        <f>IFERROR(__xludf.DUMMYFUNCTION("""COMPUTED_VALUE"""),46048.0)</f>
        <v>46048</v>
      </c>
      <c r="H778" s="85"/>
      <c r="I778" s="85"/>
      <c r="J778" s="85"/>
      <c r="K778" s="85"/>
      <c r="L778" s="85">
        <f>IFERROR(__xludf.DUMMYFUNCTION("""COMPUTED_VALUE"""),17.0)</f>
        <v>17</v>
      </c>
      <c r="M778" s="85"/>
      <c r="N778" s="85" t="str">
        <f>IFERROR(__xludf.DUMMYFUNCTION("""COMPUTED_VALUE"""),"ü")</f>
        <v>ü</v>
      </c>
      <c r="O778" s="85"/>
      <c r="P778" s="85" t="str">
        <f>IFERROR(__xludf.DUMMYFUNCTION("""COMPUTED_VALUE"""),"MLO5500065CUMPOS")</f>
        <v>MLO5500065CUMPOS</v>
      </c>
      <c r="Q778" s="85" t="str">
        <f>IFERROR(__xludf.DUMMYFUNCTION("""COMPUTED_VALUE"""),"MUC Matte ID ")</f>
        <v>MUC Matte ID </v>
      </c>
      <c r="R778" s="85" t="str">
        <f>IFERROR(__xludf.DUMMYFUNCTION("""COMPUTED_VALUE"""),"MUC Matte ID ")</f>
        <v>MUC Matte ID </v>
      </c>
      <c r="S778" s="85" t="str">
        <f>IFERROR(__xludf.DUMMYFUNCTION("""COMPUTED_VALUE"""),"Muhamad jaelani")</f>
        <v>Muhamad jaelani</v>
      </c>
      <c r="T778" s="85" t="str">
        <f>IFERROR(__xludf.DUMMYFUNCTION("""COMPUTED_VALUE"""),"dusun karangdawa RT 03 RW 01 desa setupatok kec. Mundu")</f>
        <v>dusun karangdawa RT 03 RW 01 desa setupatok kec. Mundu</v>
      </c>
      <c r="U778" s="85" t="str">
        <f>IFERROR(__xludf.DUMMYFUNCTION("""COMPUTED_VALUE"""),"Dusun Karangdawa RT 03 RW 01 ")</f>
        <v>Dusun Karangdawa RT 03 RW 01 </v>
      </c>
      <c r="V778" s="85"/>
      <c r="W778" s="85" t="str">
        <f>IFERROR(__xludf.DUMMYFUNCTION("""COMPUTED_VALUE"""),"Setupatok")</f>
        <v>Setupatok</v>
      </c>
      <c r="X778" s="85" t="str">
        <f>IFERROR(__xludf.DUMMYFUNCTION("""COMPUTED_VALUE"""),"Mundu ")</f>
        <v>Mundu </v>
      </c>
      <c r="Y778" s="85" t="str">
        <f>IFERROR(__xludf.DUMMYFUNCTION("""COMPUTED_VALUE"""),"Cirebon")</f>
        <v>Cirebon</v>
      </c>
      <c r="Z778" s="85" t="str">
        <f>IFERROR(__xludf.DUMMYFUNCTION("""COMPUTED_VALUE"""),"Jawa Barat")</f>
        <v>Jawa Barat</v>
      </c>
      <c r="AA778" s="85" t="str">
        <f>IFERROR(__xludf.DUMMYFUNCTION("""COMPUTED_VALUE"""),"45173")</f>
        <v>45173</v>
      </c>
      <c r="AB778" s="85" t="str">
        <f>IFERROR(__xludf.DUMMYFUNCTION("""COMPUTED_VALUE"""),"3209121206010011")</f>
        <v>3209121206010011</v>
      </c>
      <c r="AC778" s="85" t="str">
        <f>IFERROR(__xludf.DUMMYFUNCTION("""COMPUTED_VALUE"""),"62.899.119.2-455.000")</f>
        <v>62.899.119.2-455.000</v>
      </c>
      <c r="AD778" s="85" t="str">
        <f>IFERROR(__xludf.DUMMYFUNCTION("""COMPUTED_VALUE"""),"SUB ANO WASNO")</f>
        <v>SUB ANO WASNO</v>
      </c>
      <c r="AE778" s="85" t="str">
        <f>IFERROR(__xludf.DUMMYFUNCTION("""COMPUTED_VALUE"""),"SUB ANO WASNO")</f>
        <v>SUB ANO WASNO</v>
      </c>
      <c r="AF778" s="85" t="str">
        <f>IFERROR(__xludf.DUMMYFUNCTION("""COMPUTED_VALUE"""),"0882001266326 ")</f>
        <v>0882001266326 </v>
      </c>
      <c r="AG778" s="85"/>
      <c r="AH778" s="85" t="str">
        <f>IFERROR(__xludf.DUMMYFUNCTION("""COMPUTED_VALUE"""),"zzaelaniiiiii@gmail.com")</f>
        <v>zzaelaniiiiii@gmail.com</v>
      </c>
      <c r="AI778" s="85" t="str">
        <f>IFERROR(__xludf.DUMMYFUNCTION("""COMPUTED_VALUE"""),"45673S5")</f>
        <v>45673S5</v>
      </c>
      <c r="AJ778" s="85" t="str">
        <f>IFERROR(__xludf.DUMMYFUNCTION("""COMPUTED_VALUE"""),"6975b973f0aaecfa4a0d982a")</f>
        <v>6975b973f0aaecfa4a0d982a</v>
      </c>
      <c r="AK778" s="85" t="str">
        <f>IFERROR(__xludf.DUMMYFUNCTION("""COMPUTED_VALUE"""),"zzaelaniiiiii@gmail.com")</f>
        <v>zzaelaniiiiii@gmail.com</v>
      </c>
      <c r="AL778" s="85" t="str">
        <f>IFERROR(__xludf.DUMMYFUNCTION("""COMPUTED_VALUE"""),"#Muc45673S5#")</f>
        <v>#Muc45673S5#</v>
      </c>
      <c r="AM778" s="85" t="str">
        <f>IFERROR(__xludf.DUMMYFUNCTION("""COMPUTED_VALUE"""),"KANTOR REGIONAL III BANDUNG 40004")</f>
        <v>KANTOR REGIONAL III BANDUNG 40004</v>
      </c>
      <c r="AN778" s="85" t="str">
        <f>IFERROR(__xludf.DUMMYFUNCTION("""COMPUTED_VALUE"""),"KCU CIREBON 45100")</f>
        <v>KCU CIREBON 45100</v>
      </c>
      <c r="AO778" s="85" t="str">
        <f>IFERROR(__xludf.DUMMYFUNCTION("""COMPUTED_VALUE"""),"MENYUSUL")</f>
        <v>MENYUSUL</v>
      </c>
      <c r="AP778" s="85" t="str">
        <f>IFERROR(__xludf.DUMMYFUNCTION("""COMPUTED_VALUE"""),"MENYUSUL")</f>
        <v>MENYUSUL</v>
      </c>
      <c r="AQ778" s="93"/>
      <c r="AR778" s="85"/>
      <c r="AS778" s="85"/>
      <c r="AT778" s="85" t="str">
        <f>IFERROR(__xludf.DUMMYFUNCTION("""COMPUTED_VALUE"""),"-6.777341")</f>
        <v>-6.777341</v>
      </c>
      <c r="AU778" s="85" t="str">
        <f>IFERROR(__xludf.DUMMYFUNCTION("""COMPUTED_VALUE"""),"108.558429")</f>
        <v>108.558429</v>
      </c>
      <c r="AV778" s="85"/>
      <c r="AW778" s="85"/>
      <c r="AX778" s="85"/>
      <c r="AY778" s="85"/>
      <c r="AZ778" s="85"/>
      <c r="BA778" s="85"/>
      <c r="BB778" s="85"/>
      <c r="BC778" s="85"/>
      <c r="BD778" s="85"/>
      <c r="BE778" s="85"/>
      <c r="BF778" s="85"/>
      <c r="BG778" s="85"/>
      <c r="BH778" s="85"/>
      <c r="BI778" s="85"/>
      <c r="BJ778" s="85"/>
      <c r="BK778" s="85"/>
      <c r="BL778" s="85"/>
      <c r="BM778" s="85"/>
      <c r="BN778" s="85"/>
      <c r="BO778" s="85"/>
      <c r="BP778" s="85"/>
      <c r="BQ778" s="85"/>
      <c r="BR778" s="85"/>
      <c r="BS778" s="85"/>
      <c r="BT778" s="85"/>
      <c r="BU778" s="85"/>
      <c r="BV778" s="85"/>
      <c r="BW778" s="85"/>
      <c r="BX778" s="85" t="str">
        <f>IFERROR(__xludf.DUMMYFUNCTION("""COMPUTED_VALUE"""),"SELLER")</f>
        <v>SELLER</v>
      </c>
      <c r="BY778" s="85"/>
      <c r="BZ778" s="85"/>
      <c r="CA778" s="85"/>
      <c r="CB778" s="85"/>
      <c r="CC778" s="85"/>
      <c r="CD778" s="85"/>
      <c r="CE778" s="85"/>
      <c r="CF778" s="85"/>
      <c r="CG778" s="85"/>
      <c r="CH778" s="85"/>
      <c r="CI778" s="85"/>
      <c r="CJ778" s="85"/>
      <c r="CK778" s="2"/>
    </row>
    <row r="779" ht="12.75" customHeight="1">
      <c r="A779" s="80">
        <f>IFERROR(__xludf.DUMMYFUNCTION("""COMPUTED_VALUE"""),775.0)</f>
        <v>775</v>
      </c>
      <c r="B779" s="80"/>
      <c r="C779" s="80"/>
      <c r="D779" s="81">
        <f>IFERROR(__xludf.DUMMYFUNCTION("""COMPUTED_VALUE"""),46031.0)</f>
        <v>46031</v>
      </c>
      <c r="E779" s="82"/>
      <c r="F779" s="80"/>
      <c r="G779" s="81">
        <f>IFERROR(__xludf.DUMMYFUNCTION("""COMPUTED_VALUE"""),46050.0)</f>
        <v>46050</v>
      </c>
      <c r="H779" s="80"/>
      <c r="I779" s="80"/>
      <c r="J779" s="80"/>
      <c r="K779" s="80"/>
      <c r="L779" s="80">
        <f>IFERROR(__xludf.DUMMYFUNCTION("""COMPUTED_VALUE"""),19.0)</f>
        <v>19</v>
      </c>
      <c r="M779" s="80"/>
      <c r="N779" s="80" t="str">
        <f>IFERROR(__xludf.DUMMYFUNCTION("""COMPUTED_VALUE"""),"ü")</f>
        <v>ü</v>
      </c>
      <c r="O779" s="80"/>
      <c r="P779" s="80" t="str">
        <f>IFERROR(__xludf.DUMMYFUNCTION("""COMPUTED_VALUE"""),"MLO5500066CUMPOS")</f>
        <v>MLO5500066CUMPOS</v>
      </c>
      <c r="Q779" s="80" t="str">
        <f>IFERROR(__xludf.DUMMYFUNCTION("""COMPUTED_VALUE"""),"MUC NARASA STORE OFFICIAL")</f>
        <v>MUC NARASA STORE OFFICIAL</v>
      </c>
      <c r="R779" s="80" t="str">
        <f>IFERROR(__xludf.DUMMYFUNCTION("""COMPUTED_VALUE"""),"MUC NARASA STORE OFFICIAL")</f>
        <v>MUC NARASA STORE OFFICIAL</v>
      </c>
      <c r="S779" s="80" t="str">
        <f>IFERROR(__xludf.DUMMYFUNCTION("""COMPUTED_VALUE"""),"SATRIA SANTOSO")</f>
        <v>SATRIA SANTOSO</v>
      </c>
      <c r="T779" s="80" t="str">
        <f>IFERROR(__xludf.DUMMYFUNCTION("""COMPUTED_VALUE"""),"KARANG BARU RT.005 RW.003, SUNYARAGI, KESAMBI, KOTA CIREBON")</f>
        <v>KARANG BARU RT.005 RW.003, SUNYARAGI, KESAMBI, KOTA CIREBON</v>
      </c>
      <c r="U779" s="80" t="str">
        <f>IFERROR(__xludf.DUMMYFUNCTION("""COMPUTED_VALUE"""),"DESA SICALUNG GG SILEMPUYANG")</f>
        <v>DESA SICALUNG GG SILEMPUYANG</v>
      </c>
      <c r="V779" s="80"/>
      <c r="W779" s="80" t="str">
        <f>IFERROR(__xludf.DUMMYFUNCTION("""COMPUTED_VALUE"""),"Karya Mulya")</f>
        <v>Karya Mulya</v>
      </c>
      <c r="X779" s="80" t="str">
        <f>IFERROR(__xludf.DUMMYFUNCTION("""COMPUTED_VALUE"""),"Kesambi")</f>
        <v>Kesambi</v>
      </c>
      <c r="Y779" s="80" t="str">
        <f>IFERROR(__xludf.DUMMYFUNCTION("""COMPUTED_VALUE"""),"Cirebon ")</f>
        <v>Cirebon </v>
      </c>
      <c r="Z779" s="80" t="str">
        <f>IFERROR(__xludf.DUMMYFUNCTION("""COMPUTED_VALUE"""),"Jawa Barat ")</f>
        <v>Jawa Barat </v>
      </c>
      <c r="AA779" s="80" t="str">
        <f>IFERROR(__xludf.DUMMYFUNCTION("""COMPUTED_VALUE"""),"45100")</f>
        <v>45100</v>
      </c>
      <c r="AB779" s="80" t="str">
        <f>IFERROR(__xludf.DUMMYFUNCTION("""COMPUTED_VALUE"""),"3274051602060001")</f>
        <v>3274051602060001</v>
      </c>
      <c r="AC779" s="80" t="str">
        <f>IFERROR(__xludf.DUMMYFUNCTION("""COMPUTED_VALUE"""),"3274051602060001")</f>
        <v>3274051602060001</v>
      </c>
      <c r="AD779" s="80" t="str">
        <f>IFERROR(__xludf.DUMMYFUNCTION("""COMPUTED_VALUE"""),"SUB ANO WASNO")</f>
        <v>SUB ANO WASNO</v>
      </c>
      <c r="AE779" s="80" t="str">
        <f>IFERROR(__xludf.DUMMYFUNCTION("""COMPUTED_VALUE"""),"SUB ANO WASNO")</f>
        <v>SUB ANO WASNO</v>
      </c>
      <c r="AF779" s="80" t="str">
        <f>IFERROR(__xludf.DUMMYFUNCTION("""COMPUTED_VALUE"""),"087791140637")</f>
        <v>087791140637</v>
      </c>
      <c r="AG779" s="80"/>
      <c r="AH779" s="80" t="str">
        <f>IFERROR(__xludf.DUMMYFUNCTION("""COMPUTED_VALUE"""),"satriasantoso16@gmail.com")</f>
        <v>satriasantoso16@gmail.com</v>
      </c>
      <c r="AI779" s="80" t="str">
        <f>IFERROR(__xludf.DUMMYFUNCTION("""COMPUTED_VALUE"""),"45135S3")</f>
        <v>45135S3</v>
      </c>
      <c r="AJ779" s="80" t="str">
        <f>IFERROR(__xludf.DUMMYFUNCTION("""COMPUTED_VALUE"""),"6979c20b3ccf250220000cdb")</f>
        <v>6979c20b3ccf250220000cdb</v>
      </c>
      <c r="AK779" s="80" t="str">
        <f>IFERROR(__xludf.DUMMYFUNCTION("""COMPUTED_VALUE"""),"satriasantoso16@gmail.com")</f>
        <v>satriasantoso16@gmail.com</v>
      </c>
      <c r="AL779" s="80" t="str">
        <f>IFERROR(__xludf.DUMMYFUNCTION("""COMPUTED_VALUE"""),"#Muc45135S3$")</f>
        <v>#Muc45135S3$</v>
      </c>
      <c r="AM779" s="80" t="str">
        <f>IFERROR(__xludf.DUMMYFUNCTION("""COMPUTED_VALUE"""),"KANTOR REGIONAL III BANDUNG 40004")</f>
        <v>KANTOR REGIONAL III BANDUNG 40004</v>
      </c>
      <c r="AN779" s="80" t="str">
        <f>IFERROR(__xludf.DUMMYFUNCTION("""COMPUTED_VALUE"""),"KCU CIREBON 45100")</f>
        <v>KCU CIREBON 45100</v>
      </c>
      <c r="AO779" s="80" t="str">
        <f>IFERROR(__xludf.DUMMYFUNCTION("""COMPUTED_VALUE"""),"MENYUSUL")</f>
        <v>MENYUSUL</v>
      </c>
      <c r="AP779" s="80" t="str">
        <f>IFERROR(__xludf.DUMMYFUNCTION("""COMPUTED_VALUE"""),"MENYUSUL")</f>
        <v>MENYUSUL</v>
      </c>
      <c r="AQ779" s="83"/>
      <c r="AR779" s="80"/>
      <c r="AS779" s="80"/>
      <c r="AT779" s="80" t="str">
        <f>IFERROR(__xludf.DUMMYFUNCTION("""COMPUTED_VALUE"""),"-6.741167")</f>
        <v>-6.741167</v>
      </c>
      <c r="AU779" s="80" t="str">
        <f>IFERROR(__xludf.DUMMYFUNCTION("""COMPUTED_VALUE"""),"108.538338")</f>
        <v>108.538338</v>
      </c>
      <c r="AV779" s="80"/>
      <c r="AW779" s="80"/>
      <c r="AX779" s="80"/>
      <c r="AY779" s="80"/>
      <c r="AZ779" s="80"/>
      <c r="BA779" s="80"/>
      <c r="BB779" s="80"/>
      <c r="BC779" s="80"/>
      <c r="BD779" s="80"/>
      <c r="BE779" s="80"/>
      <c r="BF779" s="80"/>
      <c r="BG779" s="80"/>
      <c r="BH779" s="80"/>
      <c r="BI779" s="80"/>
      <c r="BJ779" s="80"/>
      <c r="BK779" s="80"/>
      <c r="BL779" s="80"/>
      <c r="BM779" s="80"/>
      <c r="BN779" s="80"/>
      <c r="BO779" s="80"/>
      <c r="BP779" s="80"/>
      <c r="BQ779" s="80"/>
      <c r="BR779" s="80"/>
      <c r="BS779" s="80"/>
      <c r="BT779" s="80"/>
      <c r="BU779" s="80"/>
      <c r="BV779" s="80"/>
      <c r="BW779" s="80"/>
      <c r="BX779" s="80" t="str">
        <f>IFERROR(__xludf.DUMMYFUNCTION("""COMPUTED_VALUE"""),"SELLER")</f>
        <v>SELLER</v>
      </c>
      <c r="BY779" s="80"/>
      <c r="BZ779" s="80"/>
      <c r="CA779" s="80"/>
      <c r="CB779" s="80"/>
      <c r="CC779" s="80"/>
      <c r="CD779" s="80"/>
      <c r="CE779" s="80"/>
      <c r="CF779" s="80"/>
      <c r="CG779" s="80"/>
      <c r="CH779" s="80"/>
      <c r="CI779" s="80"/>
      <c r="CJ779" s="80"/>
      <c r="CK779" s="2"/>
    </row>
    <row r="780" ht="12.75" customHeight="1">
      <c r="A780" s="85">
        <f>IFERROR(__xludf.DUMMYFUNCTION("""COMPUTED_VALUE"""),776.0)</f>
        <v>776</v>
      </c>
      <c r="B780" s="85"/>
      <c r="C780" s="85"/>
      <c r="D780" s="86">
        <f>IFERROR(__xludf.DUMMYFUNCTION("""COMPUTED_VALUE"""),46031.0)</f>
        <v>46031</v>
      </c>
      <c r="E780" s="88"/>
      <c r="F780" s="85"/>
      <c r="G780" s="86">
        <f>IFERROR(__xludf.DUMMYFUNCTION("""COMPUTED_VALUE"""),46042.0)</f>
        <v>46042</v>
      </c>
      <c r="H780" s="85"/>
      <c r="I780" s="85"/>
      <c r="J780" s="85"/>
      <c r="K780" s="85"/>
      <c r="L780" s="85">
        <f>IFERROR(__xludf.DUMMYFUNCTION("""COMPUTED_VALUE"""),11.0)</f>
        <v>11</v>
      </c>
      <c r="M780" s="85"/>
      <c r="N780" s="85" t="str">
        <f>IFERROR(__xludf.DUMMYFUNCTION("""COMPUTED_VALUE"""),"ü")</f>
        <v>ü</v>
      </c>
      <c r="O780" s="85"/>
      <c r="P780" s="85" t="str">
        <f>IFERROR(__xludf.DUMMYFUNCTION("""COMPUTED_VALUE"""),"MLO5500067CUMPOS")</f>
        <v>MLO5500067CUMPOS</v>
      </c>
      <c r="Q780" s="85" t="str">
        <f>IFERROR(__xludf.DUMMYFUNCTION("""COMPUTED_VALUE"""),"MUC Morena official")</f>
        <v>MUC Morena official</v>
      </c>
      <c r="R780" s="85" t="str">
        <f>IFERROR(__xludf.DUMMYFUNCTION("""COMPUTED_VALUE"""),"MUC Morena official")</f>
        <v>MUC Morena official</v>
      </c>
      <c r="S780" s="85" t="str">
        <f>IFERROR(__xludf.DUMMYFUNCTION("""COMPUTED_VALUE"""),"Fahmi ismail")</f>
        <v>Fahmi ismail</v>
      </c>
      <c r="T780" s="85" t="str">
        <f>IFERROR(__xludf.DUMMYFUNCTION("""COMPUTED_VALUE"""),"Kp.citalio rt 04 rw 06 desa jambudipa kecamatan cisarua")</f>
        <v>Kp.citalio rt 04 rw 06 desa jambudipa kecamatan cisarua</v>
      </c>
      <c r="U780" s="85" t="str">
        <f>IFERROR(__xludf.DUMMYFUNCTION("""COMPUTED_VALUE"""),"Jln.terusan jamika gg.abadi VI rt 05 rw 06")</f>
        <v>Jln.terusan jamika gg.abadi VI rt 05 rw 06</v>
      </c>
      <c r="V780" s="85"/>
      <c r="W780" s="85" t="str">
        <f>IFERROR(__xludf.DUMMYFUNCTION("""COMPUTED_VALUE"""),"Babakan tarogong")</f>
        <v>Babakan tarogong</v>
      </c>
      <c r="X780" s="85" t="str">
        <f>IFERROR(__xludf.DUMMYFUNCTION("""COMPUTED_VALUE"""),"Bojongloa kaler")</f>
        <v>Bojongloa kaler</v>
      </c>
      <c r="Y780" s="85" t="str">
        <f>IFERROR(__xludf.DUMMYFUNCTION("""COMPUTED_VALUE"""),"Bandung")</f>
        <v>Bandung</v>
      </c>
      <c r="Z780" s="85" t="str">
        <f>IFERROR(__xludf.DUMMYFUNCTION("""COMPUTED_VALUE"""),"JAWA BARAT")</f>
        <v>JAWA BARAT</v>
      </c>
      <c r="AA780" s="85" t="str">
        <f>IFERROR(__xludf.DUMMYFUNCTION("""COMPUTED_VALUE"""),"40232")</f>
        <v>40232</v>
      </c>
      <c r="AB780" s="85" t="str">
        <f>IFERROR(__xludf.DUMMYFUNCTION("""COMPUTED_VALUE"""),"3273041602970004")</f>
        <v>3273041602970004</v>
      </c>
      <c r="AC780" s="85" t="str">
        <f>IFERROR(__xludf.DUMMYFUNCTION("""COMPUTED_VALUE"""),"3273041602970004")</f>
        <v>3273041602970004</v>
      </c>
      <c r="AD780" s="85" t="str">
        <f>IFERROR(__xludf.DUMMYFUNCTION("""COMPUTED_VALUE"""),"SUB ANO WASNO")</f>
        <v>SUB ANO WASNO</v>
      </c>
      <c r="AE780" s="85" t="str">
        <f>IFERROR(__xludf.DUMMYFUNCTION("""COMPUTED_VALUE"""),"SUB ANO WASNO")</f>
        <v>SUB ANO WASNO</v>
      </c>
      <c r="AF780" s="85" t="str">
        <f>IFERROR(__xludf.DUMMYFUNCTION("""COMPUTED_VALUE"""),"085172114664")</f>
        <v>085172114664</v>
      </c>
      <c r="AG780" s="85"/>
      <c r="AH780" s="85" t="str">
        <f>IFERROR(__xludf.DUMMYFUNCTION("""COMPUTED_VALUE"""),"Fahmitmr204@gmail.com")</f>
        <v>Fahmitmr204@gmail.com</v>
      </c>
      <c r="AI780" s="85" t="str">
        <f>IFERROR(__xludf.DUMMYFUNCTION("""COMPUTED_VALUE"""),"40232S1")</f>
        <v>40232S1</v>
      </c>
      <c r="AJ780" s="85" t="str">
        <f>IFERROR(__xludf.DUMMYFUNCTION("""COMPUTED_VALUE"""),"696eee5f3d7d3e7a290a5af1")</f>
        <v>696eee5f3d7d3e7a290a5af1</v>
      </c>
      <c r="AK780" s="85" t="str">
        <f>IFERROR(__xludf.DUMMYFUNCTION("""COMPUTED_VALUE"""),"fahmitmr204@gmail.com")</f>
        <v>fahmitmr204@gmail.com</v>
      </c>
      <c r="AL780" s="85" t="str">
        <f>IFERROR(__xludf.DUMMYFUNCTION("""COMPUTED_VALUE"""),"#Muc40232S1$")</f>
        <v>#Muc40232S1$</v>
      </c>
      <c r="AM780" s="85" t="str">
        <f>IFERROR(__xludf.DUMMYFUNCTION("""COMPUTED_VALUE"""),"KANTOR REGIONAL III BANDUNG 40004")</f>
        <v>KANTOR REGIONAL III BANDUNG 40004</v>
      </c>
      <c r="AN780" s="85" t="str">
        <f>IFERROR(__xludf.DUMMYFUNCTION("""COMPUTED_VALUE"""),"KCU BANDUNG 40000")</f>
        <v>KCU BANDUNG 40000</v>
      </c>
      <c r="AO780" s="85" t="str">
        <f>IFERROR(__xludf.DUMMYFUNCTION("""COMPUTED_VALUE"""),"MENYUSUL")</f>
        <v>MENYUSUL</v>
      </c>
      <c r="AP780" s="85" t="str">
        <f>IFERROR(__xludf.DUMMYFUNCTION("""COMPUTED_VALUE"""),"MENYUSUL")</f>
        <v>MENYUSUL</v>
      </c>
      <c r="AQ780" s="93"/>
      <c r="AR780" s="85"/>
      <c r="AS780" s="85"/>
      <c r="AT780" s="85" t="str">
        <f>IFERROR(__xludf.DUMMYFUNCTION("""COMPUTED_VALUE"""),"-6.925151")</f>
        <v>-6.925151</v>
      </c>
      <c r="AU780" s="85" t="str">
        <f>IFERROR(__xludf.DUMMYFUNCTION("""COMPUTED_VALUE"""),"107.586172")</f>
        <v>107.586172</v>
      </c>
      <c r="AV780" s="85"/>
      <c r="AW780" s="85"/>
      <c r="AX780" s="85"/>
      <c r="AY780" s="85"/>
      <c r="AZ780" s="85"/>
      <c r="BA780" s="85"/>
      <c r="BB780" s="85"/>
      <c r="BC780" s="85"/>
      <c r="BD780" s="85"/>
      <c r="BE780" s="85"/>
      <c r="BF780" s="85"/>
      <c r="BG780" s="85"/>
      <c r="BH780" s="85"/>
      <c r="BI780" s="85"/>
      <c r="BJ780" s="85"/>
      <c r="BK780" s="85"/>
      <c r="BL780" s="85"/>
      <c r="BM780" s="85"/>
      <c r="BN780" s="85"/>
      <c r="BO780" s="85"/>
      <c r="BP780" s="85"/>
      <c r="BQ780" s="85"/>
      <c r="BR780" s="85"/>
      <c r="BS780" s="85"/>
      <c r="BT780" s="85"/>
      <c r="BU780" s="85"/>
      <c r="BV780" s="85"/>
      <c r="BW780" s="85"/>
      <c r="BX780" s="85" t="str">
        <f>IFERROR(__xludf.DUMMYFUNCTION("""COMPUTED_VALUE"""),"SELLER")</f>
        <v>SELLER</v>
      </c>
      <c r="BY780" s="85"/>
      <c r="BZ780" s="85"/>
      <c r="CA780" s="85"/>
      <c r="CB780" s="85"/>
      <c r="CC780" s="85"/>
      <c r="CD780" s="85"/>
      <c r="CE780" s="85"/>
      <c r="CF780" s="85"/>
      <c r="CG780" s="85"/>
      <c r="CH780" s="85"/>
      <c r="CI780" s="85"/>
      <c r="CJ780" s="85"/>
      <c r="CK780" s="2"/>
    </row>
    <row r="781" ht="12.75" customHeight="1">
      <c r="A781" s="80">
        <f>IFERROR(__xludf.DUMMYFUNCTION("""COMPUTED_VALUE"""),777.0)</f>
        <v>777</v>
      </c>
      <c r="B781" s="80"/>
      <c r="C781" s="80"/>
      <c r="D781" s="81">
        <f>IFERROR(__xludf.DUMMYFUNCTION("""COMPUTED_VALUE"""),46031.0)</f>
        <v>46031</v>
      </c>
      <c r="E781" s="82"/>
      <c r="F781" s="80"/>
      <c r="G781" s="81"/>
      <c r="H781" s="80"/>
      <c r="I781" s="80"/>
      <c r="J781" s="80"/>
      <c r="K781" s="80"/>
      <c r="L781" s="80"/>
      <c r="M781" s="80" t="str">
        <f>IFERROR(__xludf.DUMMYFUNCTION("""COMPUTED_VALUE"""),"ü")</f>
        <v>ü</v>
      </c>
      <c r="N781" s="80"/>
      <c r="O781" s="80"/>
      <c r="P781" s="80" t="str">
        <f>IFERROR(__xludf.DUMMYFUNCTION("""COMPUTED_VALUE"""),"MUCSPA63338PSIND")</f>
        <v>MUCSPA63338PSIND</v>
      </c>
      <c r="Q781" s="80" t="str">
        <f>IFERROR(__xludf.DUMMYFUNCTION("""COMPUTED_VALUE"""),"MUC GRIYA AGUNG")</f>
        <v>MUC GRIYA AGUNG</v>
      </c>
      <c r="R781" s="80" t="str">
        <f>IFERROR(__xludf.DUMMYFUNCTION("""COMPUTED_VALUE"""),"MUC GRIYA AGUNG")</f>
        <v>MUC GRIYA AGUNG</v>
      </c>
      <c r="S781" s="80" t="str">
        <f>IFERROR(__xludf.DUMMYFUNCTION("""COMPUTED_VALUE"""),"WINARTO KURNIA ")</f>
        <v>WINARTO KURNIA </v>
      </c>
      <c r="T781" s="80" t="str">
        <f>IFERROR(__xludf.DUMMYFUNCTION("""COMPUTED_VALUE"""),"GRIYA AGUNG BLOK N.3 NO.51 RT.002 RW.020, SUNTER AGUNG, TANJUNG PRIOK, JAKARTA UTARA")</f>
        <v>GRIYA AGUNG BLOK N.3 NO.51 RT.002 RW.020, SUNTER AGUNG, TANJUNG PRIOK, JAKARTA UTARA</v>
      </c>
      <c r="U781" s="80" t="str">
        <f>IFERROR(__xludf.DUMMYFUNCTION("""COMPUTED_VALUE"""),"Jl. Boulevard Gading Raya Blok AA No.25")</f>
        <v>Jl. Boulevard Gading Raya Blok AA No.25</v>
      </c>
      <c r="V781" s="80"/>
      <c r="W781" s="80" t="str">
        <f>IFERROR(__xludf.DUMMYFUNCTION("""COMPUTED_VALUE"""),"Kelapa Gading Barat")</f>
        <v>Kelapa Gading Barat</v>
      </c>
      <c r="X781" s="80" t="str">
        <f>IFERROR(__xludf.DUMMYFUNCTION("""COMPUTED_VALUE"""),"Kelapa Gading")</f>
        <v>Kelapa Gading</v>
      </c>
      <c r="Y781" s="80" t="str">
        <f>IFERROR(__xludf.DUMMYFUNCTION("""COMPUTED_VALUE"""),"Jakarta Utara")</f>
        <v>Jakarta Utara</v>
      </c>
      <c r="Z781" s="80" t="str">
        <f>IFERROR(__xludf.DUMMYFUNCTION("""COMPUTED_VALUE"""),"DKI Jakarta")</f>
        <v>DKI Jakarta</v>
      </c>
      <c r="AA781" s="80" t="str">
        <f>IFERROR(__xludf.DUMMYFUNCTION("""COMPUTED_VALUE"""),"14240")</f>
        <v>14240</v>
      </c>
      <c r="AB781" s="80" t="str">
        <f>IFERROR(__xludf.DUMMYFUNCTION("""COMPUTED_VALUE"""),"3172021109630004")</f>
        <v>3172021109630004</v>
      </c>
      <c r="AC781" s="80" t="str">
        <f>IFERROR(__xludf.DUMMYFUNCTION("""COMPUTED_VALUE"""),"01.841.234.6-048.000")</f>
        <v>01.841.234.6-048.000</v>
      </c>
      <c r="AD781" s="80" t="str">
        <f>IFERROR(__xludf.DUMMYFUNCTION("""COMPUTED_VALUE"""),"CUM - PS - ARKT")</f>
        <v>CUM - PS - ARKT</v>
      </c>
      <c r="AE781" s="80" t="str">
        <f>IFERROR(__xludf.DUMMYFUNCTION("""COMPUTED_VALUE"""),"SUB ARIS POS")</f>
        <v>SUB ARIS POS</v>
      </c>
      <c r="AF781" s="80" t="str">
        <f>IFERROR(__xludf.DUMMYFUNCTION("""COMPUTED_VALUE"""),"0817788787")</f>
        <v>0817788787</v>
      </c>
      <c r="AG781" s="80"/>
      <c r="AH781" s="80" t="str">
        <f>IFERROR(__xludf.DUMMYFUNCTION("""COMPUTED_VALUE"""),"megabuanakurnia@gmail.com")</f>
        <v>megabuanakurnia@gmail.com</v>
      </c>
      <c r="AI781" s="80"/>
      <c r="AJ781" s="80"/>
      <c r="AK781" s="80"/>
      <c r="AL781" s="80"/>
      <c r="AM781" s="80" t="str">
        <f>IFERROR(__xludf.DUMMYFUNCTION("""COMPUTED_VALUE"""),"KANTOR REGIONAL II JAKARTA 10004")</f>
        <v>KANTOR REGIONAL II JAKARTA 10004</v>
      </c>
      <c r="AN781" s="80" t="str">
        <f>IFERROR(__xludf.DUMMYFUNCTION("""COMPUTED_VALUE"""),"KCU JAKARTAPREMIER 13000")</f>
        <v>KCU JAKARTAPREMIER 13000</v>
      </c>
      <c r="AO781" s="80" t="str">
        <f>IFERROR(__xludf.DUMMYFUNCTION("""COMPUTED_VALUE"""),"0249001910172")</f>
        <v>0249001910172</v>
      </c>
      <c r="AP781" s="80" t="str">
        <f>IFERROR(__xludf.DUMMYFUNCTION("""COMPUTED_VALUE"""),"02490019101720001")</f>
        <v>02490019101720001</v>
      </c>
      <c r="AQ781" s="83"/>
      <c r="AR781" s="80"/>
      <c r="AS781" s="80"/>
      <c r="AT781" s="80" t="str">
        <f>IFERROR(__xludf.DUMMYFUNCTION("""COMPUTED_VALUE"""),"-6.144914")</f>
        <v>-6.144914</v>
      </c>
      <c r="AU781" s="80" t="str">
        <f>IFERROR(__xludf.DUMMYFUNCTION("""COMPUTED_VALUE"""),"106.909972")</f>
        <v>106.909972</v>
      </c>
      <c r="AV781" s="80"/>
      <c r="AW781" s="80"/>
      <c r="AX781" s="80"/>
      <c r="AY781" s="80"/>
      <c r="AZ781" s="80"/>
      <c r="BA781" s="80"/>
      <c r="BB781" s="80"/>
      <c r="BC781" s="80"/>
      <c r="BD781" s="80"/>
      <c r="BE781" s="80"/>
      <c r="BF781" s="80"/>
      <c r="BG781" s="80"/>
      <c r="BH781" s="80"/>
      <c r="BI781" s="80"/>
      <c r="BJ781" s="80"/>
      <c r="BK781" s="80"/>
      <c r="BL781" s="80"/>
      <c r="BM781" s="80"/>
      <c r="BN781" s="80"/>
      <c r="BO781" s="80"/>
      <c r="BP781" s="80"/>
      <c r="BQ781" s="80"/>
      <c r="BR781" s="80"/>
      <c r="BS781" s="80"/>
      <c r="BT781" s="80"/>
      <c r="BU781" s="80"/>
      <c r="BV781" s="80"/>
      <c r="BW781" s="80"/>
      <c r="BX781" s="80" t="str">
        <f>IFERROR(__xludf.DUMMYFUNCTION("""COMPUTED_VALUE"""),"MULTIKURIR - LION PARCEL - SAP")</f>
        <v>MULTIKURIR - LION PARCEL - SAP</v>
      </c>
      <c r="BY781" s="80"/>
      <c r="BZ781" s="80"/>
      <c r="CA781" s="80"/>
      <c r="CB781" s="80"/>
      <c r="CC781" s="80"/>
      <c r="CD781" s="80"/>
      <c r="CE781" s="80"/>
      <c r="CF781" s="80"/>
      <c r="CG781" s="80"/>
      <c r="CH781" s="80"/>
      <c r="CI781" s="80"/>
      <c r="CJ781" s="80"/>
      <c r="CK781" s="2"/>
    </row>
    <row r="782" ht="12.75" customHeight="1">
      <c r="A782" s="85">
        <f>IFERROR(__xludf.DUMMYFUNCTION("""COMPUTED_VALUE"""),778.0)</f>
        <v>778</v>
      </c>
      <c r="B782" s="85"/>
      <c r="C782" s="85"/>
      <c r="D782" s="86">
        <f>IFERROR(__xludf.DUMMYFUNCTION("""COMPUTED_VALUE"""),46034.0)</f>
        <v>46034</v>
      </c>
      <c r="E782" s="88"/>
      <c r="F782" s="85"/>
      <c r="G782" s="86">
        <f>IFERROR(__xludf.DUMMYFUNCTION("""COMPUTED_VALUE"""),46048.0)</f>
        <v>46048</v>
      </c>
      <c r="H782" s="85"/>
      <c r="I782" s="85"/>
      <c r="J782" s="85"/>
      <c r="K782" s="85"/>
      <c r="L782" s="85">
        <f>IFERROR(__xludf.DUMMYFUNCTION("""COMPUTED_VALUE"""),14.0)</f>
        <v>14</v>
      </c>
      <c r="M782" s="85"/>
      <c r="N782" s="85" t="str">
        <f>IFERROR(__xludf.DUMMYFUNCTION("""COMPUTED_VALUE"""),"ü")</f>
        <v>ü</v>
      </c>
      <c r="O782" s="85"/>
      <c r="P782" s="85" t="str">
        <f>IFERROR(__xludf.DUMMYFUNCTION("""COMPUTED_VALUE"""),"MLO5500068CUMPOS")</f>
        <v>MLO5500068CUMPOS</v>
      </c>
      <c r="Q782" s="85" t="str">
        <f>IFERROR(__xludf.DUMMYFUNCTION("""COMPUTED_VALUE"""),"MUC MIGUEL STORE")</f>
        <v>MUC MIGUEL STORE</v>
      </c>
      <c r="R782" s="85" t="str">
        <f>IFERROR(__xludf.DUMMYFUNCTION("""COMPUTED_VALUE"""),"MUC MIGUEL STORE")</f>
        <v>MUC MIGUEL STORE</v>
      </c>
      <c r="S782" s="85" t="str">
        <f>IFERROR(__xludf.DUMMYFUNCTION("""COMPUTED_VALUE"""),"ANDREAS NOVRIYANTO SURYANATA")</f>
        <v>ANDREAS NOVRIYANTO SURYANATA</v>
      </c>
      <c r="T782" s="85" t="str">
        <f>IFERROR(__xludf.DUMMYFUNCTION("""COMPUTED_VALUE"""),"PERUM GRIYA PALM ASRI I BLOK E NO.2 RT.005 RW.004, KEMANTREN, SUMBER, KAB. CIREBON")</f>
        <v>PERUM GRIYA PALM ASRI I BLOK E NO.2 RT.005 RW.004, KEMANTREN, SUMBER, KAB. CIREBON</v>
      </c>
      <c r="U782" s="85" t="str">
        <f>IFERROR(__xludf.DUMMYFUNCTION("""COMPUTED_VALUE"""),"Jl. Raya Otista No.112 Jamblang - Cirebon")</f>
        <v>Jl. Raya Otista No.112 Jamblang - Cirebon</v>
      </c>
      <c r="V782" s="85"/>
      <c r="W782" s="85" t="str">
        <f>IFERROR(__xludf.DUMMYFUNCTION("""COMPUTED_VALUE"""),"JAMBLANG")</f>
        <v>JAMBLANG</v>
      </c>
      <c r="X782" s="85" t="str">
        <f>IFERROR(__xludf.DUMMYFUNCTION("""COMPUTED_VALUE"""),"JAMBLANG")</f>
        <v>JAMBLANG</v>
      </c>
      <c r="Y782" s="85" t="str">
        <f>IFERROR(__xludf.DUMMYFUNCTION("""COMPUTED_VALUE"""),"CIREBON")</f>
        <v>CIREBON</v>
      </c>
      <c r="Z782" s="85" t="str">
        <f>IFERROR(__xludf.DUMMYFUNCTION("""COMPUTED_VALUE"""),"JAWA BARAT")</f>
        <v>JAWA BARAT</v>
      </c>
      <c r="AA782" s="85" t="str">
        <f>IFERROR(__xludf.DUMMYFUNCTION("""COMPUTED_VALUE"""),"45156")</f>
        <v>45156</v>
      </c>
      <c r="AB782" s="85" t="str">
        <f>IFERROR(__xludf.DUMMYFUNCTION("""COMPUTED_VALUE"""),"3209400811900002")</f>
        <v>3209400811900002</v>
      </c>
      <c r="AC782" s="85" t="str">
        <f>IFERROR(__xludf.DUMMYFUNCTION("""COMPUTED_VALUE"""),"79.161.928.1-426.000")</f>
        <v>79.161.928.1-426.000</v>
      </c>
      <c r="AD782" s="85" t="str">
        <f>IFERROR(__xludf.DUMMYFUNCTION("""COMPUTED_VALUE"""),"CUM - PS - ANO")</f>
        <v>CUM - PS - ANO</v>
      </c>
      <c r="AE782" s="85" t="str">
        <f>IFERROR(__xludf.DUMMYFUNCTION("""COMPUTED_VALUE"""),"SUB ANO WASNO")</f>
        <v>SUB ANO WASNO</v>
      </c>
      <c r="AF782" s="85" t="str">
        <f>IFERROR(__xludf.DUMMYFUNCTION("""COMPUTED_VALUE"""),"087848027874")</f>
        <v>087848027874</v>
      </c>
      <c r="AG782" s="85"/>
      <c r="AH782" s="85" t="str">
        <f>IFERROR(__xludf.DUMMYFUNCTION("""COMPUTED_VALUE"""),"andrefirezza90@gmail.com")</f>
        <v>andrefirezza90@gmail.com</v>
      </c>
      <c r="AI782" s="85" t="str">
        <f>IFERROR(__xludf.DUMMYFUNCTION("""COMPUTED_VALUE"""),"45657S2")</f>
        <v>45657S2</v>
      </c>
      <c r="AJ782" s="85" t="str">
        <f>IFERROR(__xludf.DUMMYFUNCTION("""COMPUTED_VALUE"""),"6975c4340f19bd847301321b")</f>
        <v>6975c4340f19bd847301321b</v>
      </c>
      <c r="AK782" s="85" t="str">
        <f>IFERROR(__xludf.DUMMYFUNCTION("""COMPUTED_VALUE"""),"andrefirezza90@gmail.com")</f>
        <v>andrefirezza90@gmail.com</v>
      </c>
      <c r="AL782" s="85" t="str">
        <f>IFERROR(__xludf.DUMMYFUNCTION("""COMPUTED_VALUE"""),"#Muc45657S2$")</f>
        <v>#Muc45657S2$</v>
      </c>
      <c r="AM782" s="85" t="str">
        <f>IFERROR(__xludf.DUMMYFUNCTION("""COMPUTED_VALUE"""),"KANTOR REGIONAL III BANDUNG 40004")</f>
        <v>KANTOR REGIONAL III BANDUNG 40004</v>
      </c>
      <c r="AN782" s="85" t="str">
        <f>IFERROR(__xludf.DUMMYFUNCTION("""COMPUTED_VALUE"""),"KCU CIREBON 45100")</f>
        <v>KCU CIREBON 45100</v>
      </c>
      <c r="AO782" s="85" t="str">
        <f>IFERROR(__xludf.DUMMYFUNCTION("""COMPUTED_VALUE"""),"MENYUSUL")</f>
        <v>MENYUSUL</v>
      </c>
      <c r="AP782" s="85" t="str">
        <f>IFERROR(__xludf.DUMMYFUNCTION("""COMPUTED_VALUE"""),"MENYUSUL")</f>
        <v>MENYUSUL</v>
      </c>
      <c r="AQ782" s="93"/>
      <c r="AR782" s="85"/>
      <c r="AS782" s="85"/>
      <c r="AT782" s="85" t="str">
        <f>IFERROR(__xludf.DUMMYFUNCTION("""COMPUTED_VALUE"""),"-6.7075346")</f>
        <v>-6.7075346</v>
      </c>
      <c r="AU782" s="85" t="str">
        <f>IFERROR(__xludf.DUMMYFUNCTION("""COMPUTED_VALUE"""),"108.4481907")</f>
        <v>108.4481907</v>
      </c>
      <c r="AV782" s="85"/>
      <c r="AW782" s="85"/>
      <c r="AX782" s="85"/>
      <c r="AY782" s="85"/>
      <c r="AZ782" s="85"/>
      <c r="BA782" s="85"/>
      <c r="BB782" s="85"/>
      <c r="BC782" s="85"/>
      <c r="BD782" s="85"/>
      <c r="BE782" s="85"/>
      <c r="BF782" s="85"/>
      <c r="BG782" s="85"/>
      <c r="BH782" s="85"/>
      <c r="BI782" s="85"/>
      <c r="BJ782" s="85"/>
      <c r="BK782" s="85"/>
      <c r="BL782" s="85"/>
      <c r="BM782" s="85"/>
      <c r="BN782" s="85"/>
      <c r="BO782" s="85"/>
      <c r="BP782" s="85"/>
      <c r="BQ782" s="85"/>
      <c r="BR782" s="85"/>
      <c r="BS782" s="85"/>
      <c r="BT782" s="85"/>
      <c r="BU782" s="85"/>
      <c r="BV782" s="85"/>
      <c r="BW782" s="85"/>
      <c r="BX782" s="85" t="str">
        <f>IFERROR(__xludf.DUMMYFUNCTION("""COMPUTED_VALUE"""),"SELLER")</f>
        <v>SELLER</v>
      </c>
      <c r="BY782" s="85"/>
      <c r="BZ782" s="85"/>
      <c r="CA782" s="85"/>
      <c r="CB782" s="85"/>
      <c r="CC782" s="85"/>
      <c r="CD782" s="85"/>
      <c r="CE782" s="85"/>
      <c r="CF782" s="85"/>
      <c r="CG782" s="85"/>
      <c r="CH782" s="85"/>
      <c r="CI782" s="85"/>
      <c r="CJ782" s="85"/>
      <c r="CK782" s="2"/>
    </row>
    <row r="783" ht="12.75" customHeight="1">
      <c r="A783" s="80">
        <f>IFERROR(__xludf.DUMMYFUNCTION("""COMPUTED_VALUE"""),779.0)</f>
        <v>779</v>
      </c>
      <c r="B783" s="80"/>
      <c r="C783" s="80"/>
      <c r="D783" s="81">
        <f>IFERROR(__xludf.DUMMYFUNCTION("""COMPUTED_VALUE"""),46035.0)</f>
        <v>46035</v>
      </c>
      <c r="E783" s="82"/>
      <c r="F783" s="80"/>
      <c r="G783" s="81">
        <f>IFERROR(__xludf.DUMMYFUNCTION("""COMPUTED_VALUE"""),46091.0)</f>
        <v>46091</v>
      </c>
      <c r="H783" s="80"/>
      <c r="I783" s="80"/>
      <c r="J783" s="80"/>
      <c r="K783" s="80"/>
      <c r="L783" s="80">
        <f>IFERROR(__xludf.DUMMYFUNCTION("""COMPUTED_VALUE"""),56.0)</f>
        <v>56</v>
      </c>
      <c r="M783" s="80" t="str">
        <f>IFERROR(__xludf.DUMMYFUNCTION("""COMPUTED_VALUE"""),"ü")</f>
        <v>ü</v>
      </c>
      <c r="N783" s="80"/>
      <c r="O783" s="80"/>
      <c r="P783" s="80" t="str">
        <f>IFERROR(__xludf.DUMMYFUNCTION("""COMPUTED_VALUE"""),"MUCSPA63339PSIND")</f>
        <v>MUCSPA63339PSIND</v>
      </c>
      <c r="Q783" s="80" t="str">
        <f>IFERROR(__xludf.DUMMYFUNCTION("""COMPUTED_VALUE"""),"MUC ARROHMAH")</f>
        <v>MUC ARROHMAH</v>
      </c>
      <c r="R783" s="80" t="str">
        <f>IFERROR(__xludf.DUMMYFUNCTION("""COMPUTED_VALUE"""),"MUC ARROHMAH")</f>
        <v>MUC ARROHMAH</v>
      </c>
      <c r="S783" s="80" t="str">
        <f>IFERROR(__xludf.DUMMYFUNCTION("""COMPUTED_VALUE"""),"SATRIA ROMADHON")</f>
        <v>SATRIA ROMADHON</v>
      </c>
      <c r="T783" s="80" t="str">
        <f>IFERROR(__xludf.DUMMYFUNCTION("""COMPUTED_VALUE"""),"MARGORJEO RT.046 TW.018, MENOREH, SALAMAN, KAB. MAGELANG")</f>
        <v>MARGORJEO RT.046 TW.018, MENOREH, SALAMAN, KAB. MAGELANG</v>
      </c>
      <c r="U783" s="80" t="str">
        <f>IFERROR(__xludf.DUMMYFUNCTION("""COMPUTED_VALUE"""),"Toko Ar-rohmah, jalan Magelang-Purworejo KM 16")</f>
        <v>Toko Ar-rohmah, jalan Magelang-Purworejo KM 16</v>
      </c>
      <c r="V783" s="80"/>
      <c r="W783" s="80" t="str">
        <f>IFERROR(__xludf.DUMMYFUNCTION("""COMPUTED_VALUE"""),"Salaman")</f>
        <v>Salaman</v>
      </c>
      <c r="X783" s="80" t="str">
        <f>IFERROR(__xludf.DUMMYFUNCTION("""COMPUTED_VALUE"""),"Salaman")</f>
        <v>Salaman</v>
      </c>
      <c r="Y783" s="80" t="str">
        <f>IFERROR(__xludf.DUMMYFUNCTION("""COMPUTED_VALUE"""),"Kab. Magelang")</f>
        <v>Kab. Magelang</v>
      </c>
      <c r="Z783" s="80" t="str">
        <f>IFERROR(__xludf.DUMMYFUNCTION("""COMPUTED_VALUE"""),"Jawa Tengah")</f>
        <v>Jawa Tengah</v>
      </c>
      <c r="AA783" s="80" t="str">
        <f>IFERROR(__xludf.DUMMYFUNCTION("""COMPUTED_VALUE"""),"56162")</f>
        <v>56162</v>
      </c>
      <c r="AB783" s="80" t="str">
        <f>IFERROR(__xludf.DUMMYFUNCTION("""COMPUTED_VALUE"""),"3308012004890001")</f>
        <v>3308012004890001</v>
      </c>
      <c r="AC783" s="80" t="str">
        <f>IFERROR(__xludf.DUMMYFUNCTION("""COMPUTED_VALUE"""),"85.13.276.4-524.000")</f>
        <v>85.13.276.4-524.000</v>
      </c>
      <c r="AD783" s="80" t="str">
        <f>IFERROR(__xludf.DUMMYFUNCTION("""COMPUTED_VALUE"""),"CUM - PS - AMIA")</f>
        <v>CUM - PS - AMIA</v>
      </c>
      <c r="AE783" s="80" t="str">
        <f>IFERROR(__xludf.DUMMYFUNCTION("""COMPUTED_VALUE"""),"SUB AMILDA POS")</f>
        <v>SUB AMILDA POS</v>
      </c>
      <c r="AF783" s="80" t="str">
        <f>IFERROR(__xludf.DUMMYFUNCTION("""COMPUTED_VALUE"""),"085747081330")</f>
        <v>085747081330</v>
      </c>
      <c r="AG783" s="80"/>
      <c r="AH783" s="80" t="str">
        <f>IFERROR(__xludf.DUMMYFUNCTION("""COMPUTED_VALUE"""),"mandirislmn@gmail.com ")</f>
        <v>mandirislmn@gmail.com </v>
      </c>
      <c r="AI783" s="80" t="str">
        <f>IFERROR(__xludf.DUMMYFUNCTION("""COMPUTED_VALUE"""),"56562S8")</f>
        <v>56562S8</v>
      </c>
      <c r="AJ783" s="80" t="str">
        <f>IFERROR(__xludf.DUMMYFUNCTION("""COMPUTED_VALUE"""),"699c476e08cf43437e099498")</f>
        <v>699c476e08cf43437e099498</v>
      </c>
      <c r="AK783" s="80" t="str">
        <f>IFERROR(__xludf.DUMMYFUNCTION("""COMPUTED_VALUE"""),"mandirislmn@gmail.com")</f>
        <v>mandirislmn@gmail.com</v>
      </c>
      <c r="AL783" s="80" t="str">
        <f>IFERROR(__xludf.DUMMYFUNCTION("""COMPUTED_VALUE"""),"#MUC56562$")</f>
        <v>#MUC56562$</v>
      </c>
      <c r="AM783" s="80" t="str">
        <f>IFERROR(__xludf.DUMMYFUNCTION("""COMPUTED_VALUE"""),"KANTOR REGIONAL IV SEMARANG 50004")</f>
        <v>KANTOR REGIONAL IV SEMARANG 50004</v>
      </c>
      <c r="AN783" s="80" t="str">
        <f>IFERROR(__xludf.DUMMYFUNCTION("""COMPUTED_VALUE"""),"KC MAGELANG 56100")</f>
        <v>KC MAGELANG 56100</v>
      </c>
      <c r="AO783" s="80" t="str">
        <f>IFERROR(__xludf.DUMMYFUNCTION("""COMPUTED_VALUE"""),"MENYUSUL")</f>
        <v>MENYUSUL</v>
      </c>
      <c r="AP783" s="80" t="str">
        <f>IFERROR(__xludf.DUMMYFUNCTION("""COMPUTED_VALUE"""),"MENYUSUL")</f>
        <v>MENYUSUL</v>
      </c>
      <c r="AQ783" s="83"/>
      <c r="AR783" s="80"/>
      <c r="AS783" s="80"/>
      <c r="AT783" s="80" t="str">
        <f>IFERROR(__xludf.DUMMYFUNCTION("""COMPUTED_VALUE"""),"-7.580920")</f>
        <v>-7.580920</v>
      </c>
      <c r="AU783" s="80" t="str">
        <f>IFERROR(__xludf.DUMMYFUNCTION("""COMPUTED_VALUE"""),"110.133465")</f>
        <v>110.133465</v>
      </c>
      <c r="AV783" s="80"/>
      <c r="AW783" s="80"/>
      <c r="AX783" s="80"/>
      <c r="AY783" s="80"/>
      <c r="AZ783" s="80"/>
      <c r="BA783" s="80"/>
      <c r="BB783" s="80"/>
      <c r="BC783" s="80"/>
      <c r="BD783" s="80"/>
      <c r="BE783" s="80"/>
      <c r="BF783" s="80"/>
      <c r="BG783" s="80"/>
      <c r="BH783" s="80"/>
      <c r="BI783" s="80"/>
      <c r="BJ783" s="80"/>
      <c r="BK783" s="80"/>
      <c r="BL783" s="80"/>
      <c r="BM783" s="80"/>
      <c r="BN783" s="80"/>
      <c r="BO783" s="80"/>
      <c r="BP783" s="80"/>
      <c r="BQ783" s="80"/>
      <c r="BR783" s="80"/>
      <c r="BS783" s="80"/>
      <c r="BT783" s="80"/>
      <c r="BU783" s="80"/>
      <c r="BV783" s="80"/>
      <c r="BW783" s="80"/>
      <c r="BX783" s="80" t="str">
        <f>IFERROR(__xludf.DUMMYFUNCTION("""COMPUTED_VALUE"""),"MULTIKURIR - JNT EXPRESS - JNT CARGO - ID EXPRESS - WAHANA")</f>
        <v>MULTIKURIR - JNT EXPRESS - JNT CARGO - ID EXPRESS - WAHANA</v>
      </c>
      <c r="BY783" s="80"/>
      <c r="BZ783" s="80"/>
      <c r="CA783" s="80"/>
      <c r="CB783" s="80"/>
      <c r="CC783" s="80"/>
      <c r="CD783" s="80"/>
      <c r="CE783" s="80"/>
      <c r="CF783" s="80"/>
      <c r="CG783" s="80"/>
      <c r="CH783" s="80"/>
      <c r="CI783" s="80"/>
      <c r="CJ783" s="80"/>
      <c r="CK783" s="2"/>
    </row>
    <row r="784" ht="12.75" customHeight="1">
      <c r="A784" s="85">
        <f>IFERROR(__xludf.DUMMYFUNCTION("""COMPUTED_VALUE"""),780.0)</f>
        <v>780</v>
      </c>
      <c r="B784" s="85"/>
      <c r="C784" s="85"/>
      <c r="D784" s="86">
        <f>IFERROR(__xludf.DUMMYFUNCTION("""COMPUTED_VALUE"""),46035.0)</f>
        <v>46035</v>
      </c>
      <c r="E784" s="88"/>
      <c r="F784" s="85"/>
      <c r="G784" s="86"/>
      <c r="H784" s="85"/>
      <c r="I784" s="85"/>
      <c r="J784" s="85"/>
      <c r="K784" s="85"/>
      <c r="L784" s="85"/>
      <c r="M784" s="85" t="str">
        <f>IFERROR(__xludf.DUMMYFUNCTION("""COMPUTED_VALUE"""),"ü")</f>
        <v>ü</v>
      </c>
      <c r="N784" s="85"/>
      <c r="O784" s="85"/>
      <c r="P784" s="85" t="str">
        <f>IFERROR(__xludf.DUMMYFUNCTION("""COMPUTED_VALUE"""),"MUCSPA63340PSIND")</f>
        <v>MUCSPA63340PSIND</v>
      </c>
      <c r="Q784" s="85" t="str">
        <f>IFERROR(__xludf.DUMMYFUNCTION("""COMPUTED_VALUE"""),"MUC MBO ")</f>
        <v>MUC MBO </v>
      </c>
      <c r="R784" s="85" t="str">
        <f>IFERROR(__xludf.DUMMYFUNCTION("""COMPUTED_VALUE"""),"MUC MBO ")</f>
        <v>MUC MBO </v>
      </c>
      <c r="S784" s="85" t="str">
        <f>IFERROR(__xludf.DUMMYFUNCTION("""COMPUTED_VALUE"""),"Fitriadi")</f>
        <v>Fitriadi</v>
      </c>
      <c r="T784" s="85" t="str">
        <f>IFERROR(__xludf.DUMMYFUNCTION("""COMPUTED_VALUE"""),"Jl. Singgahmata LR PK NO 28 Sukaramai, baiturrahman Banda Aceh ")</f>
        <v>Jl. Singgahmata LR PK NO 28 Sukaramai, baiturrahman Banda Aceh </v>
      </c>
      <c r="U784" s="85" t="str">
        <f>IFERROR(__xludf.DUMMYFUNCTION("""COMPUTED_VALUE"""),"JL Gajah Mada Sp Rundeng ")</f>
        <v>JL Gajah Mada Sp Rundeng </v>
      </c>
      <c r="V784" s="85"/>
      <c r="W784" s="85" t="str">
        <f>IFERROR(__xludf.DUMMYFUNCTION("""COMPUTED_VALUE"""),"Drien Rampak ")</f>
        <v>Drien Rampak </v>
      </c>
      <c r="X784" s="85" t="str">
        <f>IFERROR(__xludf.DUMMYFUNCTION("""COMPUTED_VALUE"""),"Johan Pahlawan")</f>
        <v>Johan Pahlawan</v>
      </c>
      <c r="Y784" s="85" t="str">
        <f>IFERROR(__xludf.DUMMYFUNCTION("""COMPUTED_VALUE"""),"Aceh Barat")</f>
        <v>Aceh Barat</v>
      </c>
      <c r="Z784" s="85" t="str">
        <f>IFERROR(__xludf.DUMMYFUNCTION("""COMPUTED_VALUE"""),"Aceh")</f>
        <v>Aceh</v>
      </c>
      <c r="AA784" s="85" t="str">
        <f>IFERROR(__xludf.DUMMYFUNCTION("""COMPUTED_VALUE"""),"23612")</f>
        <v>23612</v>
      </c>
      <c r="AB784" s="85" t="str">
        <f>IFERROR(__xludf.DUMMYFUNCTION("""COMPUTED_VALUE"""),"1171010805910002")</f>
        <v>1171010805910002</v>
      </c>
      <c r="AC784" s="85" t="str">
        <f>IFERROR(__xludf.DUMMYFUNCTION("""COMPUTED_VALUE"""),"16.897.508.4.101.000")</f>
        <v>16.897.508.4.101.000</v>
      </c>
      <c r="AD784" s="85" t="str">
        <f>IFERROR(__xludf.DUMMYFUNCTION("""COMPUTED_VALUE"""),"CUM - PS - NONKORGEN")</f>
        <v>CUM - PS - NONKORGEN</v>
      </c>
      <c r="AE784" s="85" t="str">
        <f>IFERROR(__xludf.DUMMYFUNCTION("""COMPUTED_VALUE"""),"BU NOVI KC BANDA ACEH")</f>
        <v>BU NOVI KC BANDA ACEH</v>
      </c>
      <c r="AF784" s="85" t="str">
        <f>IFERROR(__xludf.DUMMYFUNCTION("""COMPUTED_VALUE"""),"08170236002")</f>
        <v>08170236002</v>
      </c>
      <c r="AG784" s="85"/>
      <c r="AH784" s="85" t="str">
        <f>IFERROR(__xludf.DUMMYFUNCTION("""COMPUTED_VALUE"""),"posindmeulaboh@gmail.com")</f>
        <v>posindmeulaboh@gmail.com</v>
      </c>
      <c r="AI784" s="85"/>
      <c r="AJ784" s="85"/>
      <c r="AK784" s="85"/>
      <c r="AL784" s="85"/>
      <c r="AM784" s="85" t="str">
        <f>IFERROR(__xludf.DUMMYFUNCTION("""COMPUTED_VALUE"""),"KANTOR REGIONAL I MEDAN 20004")</f>
        <v>KANTOR REGIONAL I MEDAN 20004</v>
      </c>
      <c r="AN784" s="85" t="str">
        <f>IFERROR(__xludf.DUMMYFUNCTION("""COMPUTED_VALUE"""),"KC MEULABOH")</f>
        <v>KC MEULABOH</v>
      </c>
      <c r="AO784" s="85" t="str">
        <f>IFERROR(__xludf.DUMMYFUNCTION("""COMPUTED_VALUE"""),"2906220023802")</f>
        <v>2906220023802</v>
      </c>
      <c r="AP784" s="85" t="str">
        <f>IFERROR(__xludf.DUMMYFUNCTION("""COMPUTED_VALUE"""),"26082501111050002")</f>
        <v>26082501111050002</v>
      </c>
      <c r="AQ784" s="93"/>
      <c r="AR784" s="85"/>
      <c r="AS784" s="85"/>
      <c r="AT784" s="85" t="str">
        <f>IFERROR(__xludf.DUMMYFUNCTION("""COMPUTED_VALUE"""),"4.15152605660241 ")</f>
        <v>4.15152605660241 </v>
      </c>
      <c r="AU784" s="85" t="str">
        <f>IFERROR(__xludf.DUMMYFUNCTION("""COMPUTED_VALUE"""),"96.13317861119673")</f>
        <v>96.13317861119673</v>
      </c>
      <c r="AV784" s="85"/>
      <c r="AW784" s="85"/>
      <c r="AX784" s="85"/>
      <c r="AY784" s="85"/>
      <c r="AZ784" s="85"/>
      <c r="BA784" s="85"/>
      <c r="BB784" s="85"/>
      <c r="BC784" s="85"/>
      <c r="BD784" s="85"/>
      <c r="BE784" s="85"/>
      <c r="BF784" s="85"/>
      <c r="BG784" s="85"/>
      <c r="BH784" s="85"/>
      <c r="BI784" s="85"/>
      <c r="BJ784" s="85"/>
      <c r="BK784" s="85"/>
      <c r="BL784" s="85"/>
      <c r="BM784" s="85"/>
      <c r="BN784" s="85"/>
      <c r="BO784" s="85"/>
      <c r="BP784" s="85"/>
      <c r="BQ784" s="85"/>
      <c r="BR784" s="85"/>
      <c r="BS784" s="85"/>
      <c r="BT784" s="85"/>
      <c r="BU784" s="85"/>
      <c r="BV784" s="85"/>
      <c r="BW784" s="85"/>
      <c r="BX784" s="85" t="str">
        <f>IFERROR(__xludf.DUMMYFUNCTION("""COMPUTED_VALUE"""),"POS")</f>
        <v>POS</v>
      </c>
      <c r="BY784" s="85"/>
      <c r="BZ784" s="85"/>
      <c r="CA784" s="85"/>
      <c r="CB784" s="85"/>
      <c r="CC784" s="85"/>
      <c r="CD784" s="85"/>
      <c r="CE784" s="85"/>
      <c r="CF784" s="85"/>
      <c r="CG784" s="85"/>
      <c r="CH784" s="85"/>
      <c r="CI784" s="85"/>
      <c r="CJ784" s="85"/>
      <c r="CK784" s="2"/>
    </row>
    <row r="785" ht="12.75" customHeight="1">
      <c r="A785" s="80">
        <f>IFERROR(__xludf.DUMMYFUNCTION("""COMPUTED_VALUE"""),781.0)</f>
        <v>781</v>
      </c>
      <c r="B785" s="80"/>
      <c r="C785" s="80"/>
      <c r="D785" s="81">
        <f>IFERROR(__xludf.DUMMYFUNCTION("""COMPUTED_VALUE"""),46036.0)</f>
        <v>46036</v>
      </c>
      <c r="E785" s="82"/>
      <c r="F785" s="80"/>
      <c r="G785" s="81">
        <f>IFERROR(__xludf.DUMMYFUNCTION("""COMPUTED_VALUE"""),46080.0)</f>
        <v>46080</v>
      </c>
      <c r="H785" s="80"/>
      <c r="I785" s="80"/>
      <c r="J785" s="80"/>
      <c r="K785" s="80"/>
      <c r="L785" s="80">
        <f>IFERROR(__xludf.DUMMYFUNCTION("""COMPUTED_VALUE"""),44.0)</f>
        <v>44</v>
      </c>
      <c r="M785" s="80" t="str">
        <f>IFERROR(__xludf.DUMMYFUNCTION("""COMPUTED_VALUE"""),"ü")</f>
        <v>ü</v>
      </c>
      <c r="N785" s="80"/>
      <c r="O785" s="80"/>
      <c r="P785" s="80" t="str">
        <f>IFERROR(__xludf.DUMMYFUNCTION("""COMPUTED_VALUE"""),"MUCSPA63341PSIND")</f>
        <v>MUCSPA63341PSIND</v>
      </c>
      <c r="Q785" s="80" t="str">
        <f>IFERROR(__xludf.DUMMYFUNCTION("""COMPUTED_VALUE"""),"MUC Chilla Ciherang")</f>
        <v>MUC Chilla Ciherang</v>
      </c>
      <c r="R785" s="80" t="str">
        <f>IFERROR(__xludf.DUMMYFUNCTION("""COMPUTED_VALUE"""),"MUC Chilla Ciherang")</f>
        <v>MUC Chilla Ciherang</v>
      </c>
      <c r="S785" s="80" t="str">
        <f>IFERROR(__xludf.DUMMYFUNCTION("""COMPUTED_VALUE"""),"Mayang Indah Pertiwi")</f>
        <v>Mayang Indah Pertiwi</v>
      </c>
      <c r="T785" s="80" t="str">
        <f>IFERROR(__xludf.DUMMYFUNCTION("""COMPUTED_VALUE"""),"JL. ARTZIMAR II NO.65 RT.001 RW.001, TEGAL GUNDIL, KOTA BOGOR UTARA, KOTA BOGOR")</f>
        <v>JL. ARTZIMAR II NO.65 RT.001 RW.001, TEGAL GUNDIL, KOTA BOGOR UTARA, KOTA BOGOR</v>
      </c>
      <c r="U785" s="80" t="str">
        <f>IFERROR(__xludf.DUMMYFUNCTION("""COMPUTED_VALUE"""),"Kp.Ciherang Cutak Rt03/05 Ciapus-Ciomas")</f>
        <v>Kp.Ciherang Cutak Rt03/05 Ciapus-Ciomas</v>
      </c>
      <c r="V785" s="80"/>
      <c r="W785" s="80" t="str">
        <f>IFERROR(__xludf.DUMMYFUNCTION("""COMPUTED_VALUE"""),"Ciapus")</f>
        <v>Ciapus</v>
      </c>
      <c r="X785" s="80" t="str">
        <f>IFERROR(__xludf.DUMMYFUNCTION("""COMPUTED_VALUE"""),"Ciomas")</f>
        <v>Ciomas</v>
      </c>
      <c r="Y785" s="80" t="str">
        <f>IFERROR(__xludf.DUMMYFUNCTION("""COMPUTED_VALUE"""),"Kab Bogor")</f>
        <v>Kab Bogor</v>
      </c>
      <c r="Z785" s="80" t="str">
        <f>IFERROR(__xludf.DUMMYFUNCTION("""COMPUTED_VALUE"""),"Jawa Barat")</f>
        <v>Jawa Barat</v>
      </c>
      <c r="AA785" s="80" t="str">
        <f>IFERROR(__xludf.DUMMYFUNCTION("""COMPUTED_VALUE"""),"16610")</f>
        <v>16610</v>
      </c>
      <c r="AB785" s="80" t="str">
        <f>IFERROR(__xludf.DUMMYFUNCTION("""COMPUTED_VALUE"""),"3271054412900004")</f>
        <v>3271054412900004</v>
      </c>
      <c r="AC785" s="80" t="str">
        <f>IFERROR(__xludf.DUMMYFUNCTION("""COMPUTED_VALUE"""),"98.201.333.6-404.000")</f>
        <v>98.201.333.6-404.000</v>
      </c>
      <c r="AD785" s="80" t="str">
        <f>IFERROR(__xludf.DUMMYFUNCTION("""COMPUTED_VALUE"""),"CUM - PS - ASEPN")</f>
        <v>CUM - PS - ASEPN</v>
      </c>
      <c r="AE785" s="80" t="str">
        <f>IFERROR(__xludf.DUMMYFUNCTION("""COMPUTED_VALUE"""),"PAK ASEP KCU BOGOR")</f>
        <v>PAK ASEP KCU BOGOR</v>
      </c>
      <c r="AF785" s="80" t="str">
        <f>IFERROR(__xludf.DUMMYFUNCTION("""COMPUTED_VALUE"""),"085158741558")</f>
        <v>085158741558</v>
      </c>
      <c r="AG785" s="80"/>
      <c r="AH785" s="80" t="str">
        <f>IFERROR(__xludf.DUMMYFUNCTION("""COMPUTED_VALUE"""),"mayangindah0412@gmail.com")</f>
        <v>mayangindah0412@gmail.com</v>
      </c>
      <c r="AI785" s="80" t="str">
        <f>IFERROR(__xludf.DUMMYFUNCTION("""COMPUTED_VALUE"""),"16614S2")</f>
        <v>16614S2</v>
      </c>
      <c r="AJ785" s="80" t="str">
        <f>IFERROR(__xludf.DUMMYFUNCTION("""COMPUTED_VALUE"""),"69a0ec36dae3792a61077e55")</f>
        <v>69a0ec36dae3792a61077e55</v>
      </c>
      <c r="AK785" s="80" t="str">
        <f>IFERROR(__xludf.DUMMYFUNCTION("""COMPUTED_VALUE"""),"mayangindah0412@gmail.com")</f>
        <v>mayangindah0412@gmail.com</v>
      </c>
      <c r="AL785" s="80" t="str">
        <f>IFERROR(__xludf.DUMMYFUNCTION("""COMPUTED_VALUE"""),"!Muc16614S2%")</f>
        <v>!Muc16614S2%</v>
      </c>
      <c r="AM785" s="80" t="str">
        <f>IFERROR(__xludf.DUMMYFUNCTION("""COMPUTED_VALUE"""),"KANTOR REGIONAL II JAKARTA 10004")</f>
        <v>KANTOR REGIONAL II JAKARTA 10004</v>
      </c>
      <c r="AN785" s="80" t="str">
        <f>IFERROR(__xludf.DUMMYFUNCTION("""COMPUTED_VALUE"""),"KCU BOGOR 16000")</f>
        <v>KCU BOGOR 16000</v>
      </c>
      <c r="AO785" s="80" t="str">
        <f>IFERROR(__xludf.DUMMYFUNCTION("""COMPUTED_VALUE"""),"MENYUSUL")</f>
        <v>MENYUSUL</v>
      </c>
      <c r="AP785" s="80" t="str">
        <f>IFERROR(__xludf.DUMMYFUNCTION("""COMPUTED_VALUE"""),"MENYUSUL")</f>
        <v>MENYUSUL</v>
      </c>
      <c r="AQ785" s="83"/>
      <c r="AR785" s="80"/>
      <c r="AS785" s="80"/>
      <c r="AT785" s="80" t="str">
        <f>IFERROR(__xludf.DUMMYFUNCTION("""COMPUTED_VALUE"""),"-6.597115")</f>
        <v>-6.597115</v>
      </c>
      <c r="AU785" s="80" t="str">
        <f>IFERROR(__xludf.DUMMYFUNCTION("""COMPUTED_VALUE"""),"106.744978")</f>
        <v>106.744978</v>
      </c>
      <c r="AV785" s="80"/>
      <c r="AW785" s="80"/>
      <c r="AX785" s="80"/>
      <c r="AY785" s="80"/>
      <c r="AZ785" s="80"/>
      <c r="BA785" s="80"/>
      <c r="BB785" s="80"/>
      <c r="BC785" s="80"/>
      <c r="BD785" s="80"/>
      <c r="BE785" s="80"/>
      <c r="BF785" s="80"/>
      <c r="BG785" s="80"/>
      <c r="BH785" s="80"/>
      <c r="BI785" s="80"/>
      <c r="BJ785" s="80"/>
      <c r="BK785" s="80"/>
      <c r="BL785" s="80"/>
      <c r="BM785" s="80"/>
      <c r="BN785" s="80"/>
      <c r="BO785" s="80"/>
      <c r="BP785" s="80"/>
      <c r="BQ785" s="80"/>
      <c r="BR785" s="80"/>
      <c r="BS785" s="80"/>
      <c r="BT785" s="80"/>
      <c r="BU785" s="80"/>
      <c r="BV785" s="80"/>
      <c r="BW785" s="80"/>
      <c r="BX785" s="80" t="str">
        <f>IFERROR(__xludf.DUMMYFUNCTION("""COMPUTED_VALUE"""),"NEWBIE")</f>
        <v>NEWBIE</v>
      </c>
      <c r="BY785" s="80"/>
      <c r="BZ785" s="80"/>
      <c r="CA785" s="80"/>
      <c r="CB785" s="80"/>
      <c r="CC785" s="80"/>
      <c r="CD785" s="80"/>
      <c r="CE785" s="80"/>
      <c r="CF785" s="80"/>
      <c r="CG785" s="80"/>
      <c r="CH785" s="80"/>
      <c r="CI785" s="80"/>
      <c r="CJ785" s="80"/>
      <c r="CK785" s="2"/>
    </row>
    <row r="786" ht="12.75" customHeight="1">
      <c r="A786" s="85">
        <f>IFERROR(__xludf.DUMMYFUNCTION("""COMPUTED_VALUE"""),782.0)</f>
        <v>782</v>
      </c>
      <c r="B786" s="85"/>
      <c r="C786" s="85"/>
      <c r="D786" s="86">
        <f>IFERROR(__xludf.DUMMYFUNCTION("""COMPUTED_VALUE"""),46036.0)</f>
        <v>46036</v>
      </c>
      <c r="E786" s="88"/>
      <c r="F786" s="85"/>
      <c r="G786" s="86">
        <f>IFERROR(__xludf.DUMMYFUNCTION("""COMPUTED_VALUE"""),46048.0)</f>
        <v>46048</v>
      </c>
      <c r="H786" s="85"/>
      <c r="I786" s="85"/>
      <c r="J786" s="85"/>
      <c r="K786" s="85"/>
      <c r="L786" s="85">
        <f>IFERROR(__xludf.DUMMYFUNCTION("""COMPUTED_VALUE"""),12.0)</f>
        <v>12</v>
      </c>
      <c r="M786" s="85" t="str">
        <f>IFERROR(__xludf.DUMMYFUNCTION("""COMPUTED_VALUE"""),"ü")</f>
        <v>ü</v>
      </c>
      <c r="N786" s="85"/>
      <c r="O786" s="85"/>
      <c r="P786" s="85" t="str">
        <f>IFERROR(__xludf.DUMMYFUNCTION("""COMPUTED_VALUE"""),"MUCSPA63342PSIND")</f>
        <v>MUCSPA63342PSIND</v>
      </c>
      <c r="Q786" s="85" t="str">
        <f>IFERROR(__xludf.DUMMYFUNCTION("""COMPUTED_VALUE"""),"MUC Pucangan Kartasura")</f>
        <v>MUC Pucangan Kartasura</v>
      </c>
      <c r="R786" s="85" t="str">
        <f>IFERROR(__xludf.DUMMYFUNCTION("""COMPUTED_VALUE"""),"MUC Pucangan Kartasura")</f>
        <v>MUC Pucangan Kartasura</v>
      </c>
      <c r="S786" s="85" t="str">
        <f>IFERROR(__xludf.DUMMYFUNCTION("""COMPUTED_VALUE"""),"Sri Isma Yuniawati")</f>
        <v>Sri Isma Yuniawati</v>
      </c>
      <c r="T786" s="85" t="str">
        <f>IFERROR(__xludf.DUMMYFUNCTION("""COMPUTED_VALUE"""),"PUCANGAN RT.002 RW.001, PUCANGAN, KARTASURA, KAB. SUKOHARJO, JAWA TENGAH")</f>
        <v>PUCANGAN RT.002 RW.001, PUCANGAN, KARTASURA, KAB. SUKOHARJO, JAWA TENGAH</v>
      </c>
      <c r="U786" s="85" t="str">
        <f>IFERROR(__xludf.DUMMYFUNCTION("""COMPUTED_VALUE"""),"Jl Tunggorono no 29 Ds Pucangan RT/RW 002/001")</f>
        <v>Jl Tunggorono no 29 Ds Pucangan RT/RW 002/001</v>
      </c>
      <c r="V786" s="85"/>
      <c r="W786" s="85" t="str">
        <f>IFERROR(__xludf.DUMMYFUNCTION("""COMPUTED_VALUE"""),"Pucangan")</f>
        <v>Pucangan</v>
      </c>
      <c r="X786" s="85" t="str">
        <f>IFERROR(__xludf.DUMMYFUNCTION("""COMPUTED_VALUE"""),"Kartasura")</f>
        <v>Kartasura</v>
      </c>
      <c r="Y786" s="85" t="str">
        <f>IFERROR(__xludf.DUMMYFUNCTION("""COMPUTED_VALUE"""),"Sukoharjo")</f>
        <v>Sukoharjo</v>
      </c>
      <c r="Z786" s="85" t="str">
        <f>IFERROR(__xludf.DUMMYFUNCTION("""COMPUTED_VALUE"""),"Jateng")</f>
        <v>Jateng</v>
      </c>
      <c r="AA786" s="85" t="str">
        <f>IFERROR(__xludf.DUMMYFUNCTION("""COMPUTED_VALUE"""),"57168")</f>
        <v>57168</v>
      </c>
      <c r="AB786" s="85" t="str">
        <f>IFERROR(__xludf.DUMMYFUNCTION("""COMPUTED_VALUE"""),"3311126706760003")</f>
        <v>3311126706760003</v>
      </c>
      <c r="AC786" s="85" t="str">
        <f>IFERROR(__xludf.DUMMYFUNCTION("""COMPUTED_VALUE"""),"57.388.370.9.532.000")</f>
        <v>57.388.370.9.532.000</v>
      </c>
      <c r="AD786" s="85" t="str">
        <f>IFERROR(__xludf.DUMMYFUNCTION("""COMPUTED_VALUE"""),"CUM - PS - RFSI")</f>
        <v>CUM - PS - RFSI</v>
      </c>
      <c r="AE786" s="85" t="str">
        <f>IFERROR(__xludf.DUMMYFUNCTION("""COMPUTED_VALUE"""),"SUB RIZKI POS")</f>
        <v>SUB RIZKI POS</v>
      </c>
      <c r="AF786" s="85" t="str">
        <f>IFERROR(__xludf.DUMMYFUNCTION("""COMPUTED_VALUE"""),"085186068709")</f>
        <v>085186068709</v>
      </c>
      <c r="AG786" s="85"/>
      <c r="AH786" s="85" t="str">
        <f>IFERROR(__xludf.DUMMYFUNCTION("""COMPUTED_VALUE"""),"isma.yuniawati@gmail.com")</f>
        <v>isma.yuniawati@gmail.com</v>
      </c>
      <c r="AI786" s="85" t="str">
        <f>IFERROR(__xludf.DUMMYFUNCTION("""COMPUTED_VALUE"""),"57558SE")</f>
        <v>57558SE</v>
      </c>
      <c r="AJ786" s="85" t="str">
        <f>IFERROR(__xludf.DUMMYFUNCTION("""COMPUTED_VALUE"""),"6975ccdd5bc53497a006ad92")</f>
        <v>6975ccdd5bc53497a006ad92</v>
      </c>
      <c r="AK786" s="85" t="str">
        <f>IFERROR(__xludf.DUMMYFUNCTION("""COMPUTED_VALUE"""),"isma.yuniawati@gmail.com ")</f>
        <v>isma.yuniawati@gmail.com </v>
      </c>
      <c r="AL786" s="85" t="str">
        <f>IFERROR(__xludf.DUMMYFUNCTION("""COMPUTED_VALUE"""),"#Muc57558SE$")</f>
        <v>#Muc57558SE$</v>
      </c>
      <c r="AM786" s="85" t="str">
        <f>IFERROR(__xludf.DUMMYFUNCTION("""COMPUTED_VALUE"""),"KANTOR REGIONAL IV SEMARANG 50004")</f>
        <v>KANTOR REGIONAL IV SEMARANG 50004</v>
      </c>
      <c r="AN786" s="85" t="str">
        <f>IFERROR(__xludf.DUMMYFUNCTION("""COMPUTED_VALUE"""),"KCU SOLO 57100")</f>
        <v>KCU SOLO 57100</v>
      </c>
      <c r="AO786" s="85" t="str">
        <f>IFERROR(__xludf.DUMMYFUNCTION("""COMPUTED_VALUE"""),"MENYUSUL")</f>
        <v>MENYUSUL</v>
      </c>
      <c r="AP786" s="85" t="str">
        <f>IFERROR(__xludf.DUMMYFUNCTION("""COMPUTED_VALUE"""),"MENYUSUL")</f>
        <v>MENYUSUL</v>
      </c>
      <c r="AQ786" s="93"/>
      <c r="AR786" s="85"/>
      <c r="AS786" s="85"/>
      <c r="AT786" s="85" t="str">
        <f>IFERROR(__xludf.DUMMYFUNCTION("""COMPUTED_VALUE"""),"-7.5556095")</f>
        <v>-7.5556095</v>
      </c>
      <c r="AU786" s="85" t="str">
        <f>IFERROR(__xludf.DUMMYFUNCTION("""COMPUTED_VALUE"""),"110.7364953")</f>
        <v>110.7364953</v>
      </c>
      <c r="AV786" s="85"/>
      <c r="AW786" s="85"/>
      <c r="AX786" s="85"/>
      <c r="AY786" s="85"/>
      <c r="AZ786" s="85"/>
      <c r="BA786" s="85"/>
      <c r="BB786" s="85"/>
      <c r="BC786" s="85"/>
      <c r="BD786" s="85"/>
      <c r="BE786" s="85"/>
      <c r="BF786" s="85"/>
      <c r="BG786" s="85"/>
      <c r="BH786" s="85"/>
      <c r="BI786" s="85"/>
      <c r="BJ786" s="85"/>
      <c r="BK786" s="85"/>
      <c r="BL786" s="85"/>
      <c r="BM786" s="85"/>
      <c r="BN786" s="85"/>
      <c r="BO786" s="85"/>
      <c r="BP786" s="85"/>
      <c r="BQ786" s="85"/>
      <c r="BR786" s="85"/>
      <c r="BS786" s="85"/>
      <c r="BT786" s="85"/>
      <c r="BU786" s="85"/>
      <c r="BV786" s="85"/>
      <c r="BW786" s="85"/>
      <c r="BX786" s="85" t="str">
        <f>IFERROR(__xludf.DUMMYFUNCTION("""COMPUTED_VALUE"""),"NEWBIE")</f>
        <v>NEWBIE</v>
      </c>
      <c r="BY786" s="85"/>
      <c r="BZ786" s="85"/>
      <c r="CA786" s="85"/>
      <c r="CB786" s="85"/>
      <c r="CC786" s="85"/>
      <c r="CD786" s="85"/>
      <c r="CE786" s="85"/>
      <c r="CF786" s="85"/>
      <c r="CG786" s="85"/>
      <c r="CH786" s="85"/>
      <c r="CI786" s="85"/>
      <c r="CJ786" s="85"/>
      <c r="CK786" s="2"/>
    </row>
    <row r="787" ht="12.75" customHeight="1">
      <c r="A787" s="80">
        <f>IFERROR(__xludf.DUMMYFUNCTION("""COMPUTED_VALUE"""),783.0)</f>
        <v>783</v>
      </c>
      <c r="B787" s="80"/>
      <c r="C787" s="80"/>
      <c r="D787" s="81">
        <f>IFERROR(__xludf.DUMMYFUNCTION("""COMPUTED_VALUE"""),46036.0)</f>
        <v>46036</v>
      </c>
      <c r="E787" s="82"/>
      <c r="F787" s="80"/>
      <c r="G787" s="81"/>
      <c r="H787" s="80"/>
      <c r="I787" s="80"/>
      <c r="J787" s="80"/>
      <c r="K787" s="80"/>
      <c r="L787" s="80"/>
      <c r="M787" s="80" t="str">
        <f>IFERROR(__xludf.DUMMYFUNCTION("""COMPUTED_VALUE"""),"ü")</f>
        <v>ü</v>
      </c>
      <c r="N787" s="80"/>
      <c r="O787" s="80"/>
      <c r="P787" s="80" t="str">
        <f>IFERROR(__xludf.DUMMYFUNCTION("""COMPUTED_VALUE"""),"MUCSPA63343PSIND")</f>
        <v>MUCSPA63343PSIND</v>
      </c>
      <c r="Q787" s="80" t="str">
        <f>IFERROR(__xludf.DUMMYFUNCTION("""COMPUTED_VALUE"""),"MUC GAMA 108")</f>
        <v>MUC GAMA 108</v>
      </c>
      <c r="R787" s="80" t="str">
        <f>IFERROR(__xludf.DUMMYFUNCTION("""COMPUTED_VALUE"""),"MUC GAMA 108")</f>
        <v>MUC GAMA 108</v>
      </c>
      <c r="S787" s="80" t="str">
        <f>IFERROR(__xludf.DUMMYFUNCTION("""COMPUTED_VALUE"""),"DESSY RENSYANA DEWI")</f>
        <v>DESSY RENSYANA DEWI</v>
      </c>
      <c r="T787" s="80" t="str">
        <f>IFERROR(__xludf.DUMMYFUNCTION("""COMPUTED_VALUE"""),"JL GAJAHMADA 108 RT 4/01 MANGUHARJO MADIUN")</f>
        <v>JL GAJAHMADA 108 RT 4/01 MANGUHARJO MADIUN</v>
      </c>
      <c r="U787" s="80" t="str">
        <f>IFERROR(__xludf.DUMMYFUNCTION("""COMPUTED_VALUE"""),"JL GAJAHMADA 108 RT 4/01 MANGUHARJO ")</f>
        <v>JL GAJAHMADA 108 RT 4/01 MANGUHARJO </v>
      </c>
      <c r="V787" s="80"/>
      <c r="W787" s="80" t="str">
        <f>IFERROR(__xludf.DUMMYFUNCTION("""COMPUTED_VALUE"""),"MANGUHARJO")</f>
        <v>MANGUHARJO</v>
      </c>
      <c r="X787" s="80" t="str">
        <f>IFERROR(__xludf.DUMMYFUNCTION("""COMPUTED_VALUE"""),"MANGUHARJO")</f>
        <v>MANGUHARJO</v>
      </c>
      <c r="Y787" s="80" t="str">
        <f>IFERROR(__xludf.DUMMYFUNCTION("""COMPUTED_VALUE"""),"MADIUN")</f>
        <v>MADIUN</v>
      </c>
      <c r="Z787" s="80" t="str">
        <f>IFERROR(__xludf.DUMMYFUNCTION("""COMPUTED_VALUE"""),"JAWA TIMUR")</f>
        <v>JAWA TIMUR</v>
      </c>
      <c r="AA787" s="80" t="str">
        <f>IFERROR(__xludf.DUMMYFUNCTION("""COMPUTED_VALUE"""),"63127")</f>
        <v>63127</v>
      </c>
      <c r="AB787" s="80" t="str">
        <f>IFERROR(__xludf.DUMMYFUNCTION("""COMPUTED_VALUE"""),"3577026012910002")</f>
        <v>3577026012910002</v>
      </c>
      <c r="AC787" s="80" t="str">
        <f>IFERROR(__xludf.DUMMYFUNCTION("""COMPUTED_VALUE"""),"70.094.061.2-621.000")</f>
        <v>70.094.061.2-621.000</v>
      </c>
      <c r="AD787" s="80" t="str">
        <f>IFERROR(__xludf.DUMMYFUNCTION("""COMPUTED_VALUE"""),"CUM - PS - ARISL")</f>
        <v>CUM - PS - ARISL</v>
      </c>
      <c r="AE787" s="80" t="str">
        <f>IFERROR(__xludf.DUMMYFUNCTION("""COMPUTED_VALUE"""),"SUB ARIS LUQMAN POS")</f>
        <v>SUB ARIS LUQMAN POS</v>
      </c>
      <c r="AF787" s="80" t="str">
        <f>IFERROR(__xludf.DUMMYFUNCTION("""COMPUTED_VALUE"""),"082233106160")</f>
        <v>082233106160</v>
      </c>
      <c r="AG787" s="80"/>
      <c r="AH787" s="80" t="str">
        <f>IFERROR(__xludf.DUMMYFUNCTION("""COMPUTED_VALUE"""),"rensyanadessy@gmail.com")</f>
        <v>rensyanadessy@gmail.com</v>
      </c>
      <c r="AI787" s="80"/>
      <c r="AJ787" s="80"/>
      <c r="AK787" s="80"/>
      <c r="AL787" s="80"/>
      <c r="AM787" s="80" t="str">
        <f>IFERROR(__xludf.DUMMYFUNCTION("""COMPUTED_VALUE"""),"KANTOR REGIONAL V SURABAYA 60004")</f>
        <v>KANTOR REGIONAL V SURABAYA 60004</v>
      </c>
      <c r="AN787" s="80" t="str">
        <f>IFERROR(__xludf.DUMMYFUNCTION("""COMPUTED_VALUE"""),"KC MADIUN")</f>
        <v>KC MADIUN</v>
      </c>
      <c r="AO787" s="80" t="str">
        <f>IFERROR(__xludf.DUMMYFUNCTION("""COMPUTED_VALUE"""),"MENYUSUL")</f>
        <v>MENYUSUL</v>
      </c>
      <c r="AP787" s="80" t="str">
        <f>IFERROR(__xludf.DUMMYFUNCTION("""COMPUTED_VALUE"""),"MENYUSUL")</f>
        <v>MENYUSUL</v>
      </c>
      <c r="AQ787" s="83"/>
      <c r="AR787" s="80"/>
      <c r="AS787" s="80"/>
      <c r="AT787" s="80" t="str">
        <f>IFERROR(__xludf.DUMMYFUNCTION("""COMPUTED_VALUE"""),"-7.626174")</f>
        <v>-7.626174</v>
      </c>
      <c r="AU787" s="80" t="str">
        <f>IFERROR(__xludf.DUMMYFUNCTION("""COMPUTED_VALUE"""),"111.512402")</f>
        <v>111.512402</v>
      </c>
      <c r="AV787" s="80"/>
      <c r="AW787" s="80"/>
      <c r="AX787" s="80"/>
      <c r="AY787" s="80"/>
      <c r="AZ787" s="80"/>
      <c r="BA787" s="80"/>
      <c r="BB787" s="80"/>
      <c r="BC787" s="80"/>
      <c r="BD787" s="80"/>
      <c r="BE787" s="80"/>
      <c r="BF787" s="80"/>
      <c r="BG787" s="80"/>
      <c r="BH787" s="80"/>
      <c r="BI787" s="80"/>
      <c r="BJ787" s="80"/>
      <c r="BK787" s="80"/>
      <c r="BL787" s="80"/>
      <c r="BM787" s="80"/>
      <c r="BN787" s="80"/>
      <c r="BO787" s="80"/>
      <c r="BP787" s="80"/>
      <c r="BQ787" s="80"/>
      <c r="BR787" s="80"/>
      <c r="BS787" s="80"/>
      <c r="BT787" s="80"/>
      <c r="BU787" s="80"/>
      <c r="BV787" s="80"/>
      <c r="BW787" s="80"/>
      <c r="BX787" s="80" t="str">
        <f>IFERROR(__xludf.DUMMYFUNCTION("""COMPUTED_VALUE"""),"NEWBIE")</f>
        <v>NEWBIE</v>
      </c>
      <c r="BY787" s="80"/>
      <c r="BZ787" s="80"/>
      <c r="CA787" s="80"/>
      <c r="CB787" s="80"/>
      <c r="CC787" s="80"/>
      <c r="CD787" s="80"/>
      <c r="CE787" s="80"/>
      <c r="CF787" s="80"/>
      <c r="CG787" s="80"/>
      <c r="CH787" s="80"/>
      <c r="CI787" s="80"/>
      <c r="CJ787" s="80"/>
      <c r="CK787" s="2"/>
    </row>
    <row r="788" ht="12.75" customHeight="1">
      <c r="A788" s="85">
        <f>IFERROR(__xludf.DUMMYFUNCTION("""COMPUTED_VALUE"""),784.0)</f>
        <v>784</v>
      </c>
      <c r="B788" s="85"/>
      <c r="C788" s="85"/>
      <c r="D788" s="86">
        <f>IFERROR(__xludf.DUMMYFUNCTION("""COMPUTED_VALUE"""),46037.0)</f>
        <v>46037</v>
      </c>
      <c r="E788" s="88"/>
      <c r="F788" s="85"/>
      <c r="G788" s="86">
        <f>IFERROR(__xludf.DUMMYFUNCTION("""COMPUTED_VALUE"""),46055.0)</f>
        <v>46055</v>
      </c>
      <c r="H788" s="85"/>
      <c r="I788" s="85"/>
      <c r="J788" s="85"/>
      <c r="K788" s="85"/>
      <c r="L788" s="85">
        <f>IFERROR(__xludf.DUMMYFUNCTION("""COMPUTED_VALUE"""),18.0)</f>
        <v>18</v>
      </c>
      <c r="M788" s="85" t="str">
        <f>IFERROR(__xludf.DUMMYFUNCTION("""COMPUTED_VALUE"""),"ü")</f>
        <v>ü</v>
      </c>
      <c r="N788" s="85"/>
      <c r="O788" s="85"/>
      <c r="P788" s="85" t="str">
        <f>IFERROR(__xludf.DUMMYFUNCTION("""COMPUTED_VALUE"""),"MUCSPA63344PSIND")</f>
        <v>MUCSPA63344PSIND</v>
      </c>
      <c r="Q788" s="85" t="str">
        <f>IFERROR(__xludf.DUMMYFUNCTION("""COMPUTED_VALUE"""),"MUC HanXpress ID")</f>
        <v>MUC HanXpress ID</v>
      </c>
      <c r="R788" s="85" t="str">
        <f>IFERROR(__xludf.DUMMYFUNCTION("""COMPUTED_VALUE"""),"MUC HanXpress ID")</f>
        <v>MUC HanXpress ID</v>
      </c>
      <c r="S788" s="85" t="str">
        <f>IFERROR(__xludf.DUMMYFUNCTION("""COMPUTED_VALUE"""),"TAUFIK CHOIRUL HUDA")</f>
        <v>TAUFIK CHOIRUL HUDA</v>
      </c>
      <c r="T788" s="85" t="str">
        <f>IFERROR(__xludf.DUMMYFUNCTION("""COMPUTED_VALUE"""),"BEDOYO RT.003 RW.008, PERENG, MOJOGEDANG, KAB. KARANGANYAR")</f>
        <v>BEDOYO RT.003 RW.008, PERENG, MOJOGEDANG, KAB. KARANGANYAR</v>
      </c>
      <c r="U788" s="85" t="str">
        <f>IFERROR(__xludf.DUMMYFUNCTION("""COMPUTED_VALUE"""),"BEDOYO RT.003 RW.008")</f>
        <v>BEDOYO RT.003 RW.008</v>
      </c>
      <c r="V788" s="85"/>
      <c r="W788" s="85" t="str">
        <f>IFERROR(__xludf.DUMMYFUNCTION("""COMPUTED_VALUE"""),"Pereng")</f>
        <v>Pereng</v>
      </c>
      <c r="X788" s="85" t="str">
        <f>IFERROR(__xludf.DUMMYFUNCTION("""COMPUTED_VALUE"""),"Mojogedang")</f>
        <v>Mojogedang</v>
      </c>
      <c r="Y788" s="85" t="str">
        <f>IFERROR(__xludf.DUMMYFUNCTION("""COMPUTED_VALUE"""),"Karanganyar")</f>
        <v>Karanganyar</v>
      </c>
      <c r="Z788" s="85" t="str">
        <f>IFERROR(__xludf.DUMMYFUNCTION("""COMPUTED_VALUE"""),"Jawa Tengah")</f>
        <v>Jawa Tengah</v>
      </c>
      <c r="AA788" s="85" t="str">
        <f>IFERROR(__xludf.DUMMYFUNCTION("""COMPUTED_VALUE"""),"57752")</f>
        <v>57752</v>
      </c>
      <c r="AB788" s="85" t="str">
        <f>IFERROR(__xludf.DUMMYFUNCTION("""COMPUTED_VALUE"""),"3313152810940002")</f>
        <v>3313152810940002</v>
      </c>
      <c r="AC788" s="85" t="str">
        <f>IFERROR(__xludf.DUMMYFUNCTION("""COMPUTED_VALUE"""),"3313152810940002")</f>
        <v>3313152810940002</v>
      </c>
      <c r="AD788" s="85" t="str">
        <f>IFERROR(__xludf.DUMMYFUNCTION("""COMPUTED_VALUE"""),"CUM - PS - RTW")</f>
        <v>CUM - PS - RTW</v>
      </c>
      <c r="AE788" s="85" t="str">
        <f>IFERROR(__xludf.DUMMYFUNCTION("""COMPUTED_VALUE"""),"SUB RUSTINA POS")</f>
        <v>SUB RUSTINA POS</v>
      </c>
      <c r="AF788" s="85" t="str">
        <f>IFERROR(__xludf.DUMMYFUNCTION("""COMPUTED_VALUE"""),"081319599903")</f>
        <v>081319599903</v>
      </c>
      <c r="AG788" s="85"/>
      <c r="AH788" s="85" t="str">
        <f>IFERROR(__xludf.DUMMYFUNCTION("""COMPUTED_VALUE"""),"leekirun2@gmail.com")</f>
        <v>leekirun2@gmail.com</v>
      </c>
      <c r="AI788" s="85" t="str">
        <f>IFERROR(__xludf.DUMMYFUNCTION("""COMPUTED_VALUE"""),"57752S2")</f>
        <v>57752S2</v>
      </c>
      <c r="AJ788" s="85" t="str">
        <f>IFERROR(__xludf.DUMMYFUNCTION("""COMPUTED_VALUE"""),"697bf29cd69cb2dbc40e9422")</f>
        <v>697bf29cd69cb2dbc40e9422</v>
      </c>
      <c r="AK788" s="85" t="str">
        <f>IFERROR(__xludf.DUMMYFUNCTION("""COMPUTED_VALUE"""),"leekirun2@gmail.com")</f>
        <v>leekirun2@gmail.com</v>
      </c>
      <c r="AL788" s="85" t="str">
        <f>IFERROR(__xludf.DUMMYFUNCTION("""COMPUTED_VALUE"""),"#Muc57752S2$")</f>
        <v>#Muc57752S2$</v>
      </c>
      <c r="AM788" s="85" t="str">
        <f>IFERROR(__xludf.DUMMYFUNCTION("""COMPUTED_VALUE"""),"KANTOR REGIONAL IV SEMARANG 50004")</f>
        <v>KANTOR REGIONAL IV SEMARANG 50004</v>
      </c>
      <c r="AN788" s="85" t="str">
        <f>IFERROR(__xludf.DUMMYFUNCTION("""COMPUTED_VALUE"""),"KC KARANGANYAR")</f>
        <v>KC KARANGANYAR</v>
      </c>
      <c r="AO788" s="85" t="str">
        <f>IFERROR(__xludf.DUMMYFUNCTION("""COMPUTED_VALUE"""),"MENYUSUL")</f>
        <v>MENYUSUL</v>
      </c>
      <c r="AP788" s="85" t="str">
        <f>IFERROR(__xludf.DUMMYFUNCTION("""COMPUTED_VALUE"""),"MENYUSUL")</f>
        <v>MENYUSUL</v>
      </c>
      <c r="AQ788" s="93"/>
      <c r="AR788" s="85"/>
      <c r="AS788" s="85"/>
      <c r="AT788" s="85" t="str">
        <f>IFERROR(__xludf.DUMMYFUNCTION("""COMPUTED_VALUE"""),"-7.5391097")</f>
        <v>-7.5391097</v>
      </c>
      <c r="AU788" s="85" t="str">
        <f>IFERROR(__xludf.DUMMYFUNCTION("""COMPUTED_VALUE"""),"111.0161614")</f>
        <v>111.0161614</v>
      </c>
      <c r="AV788" s="85"/>
      <c r="AW788" s="85"/>
      <c r="AX788" s="85"/>
      <c r="AY788" s="85"/>
      <c r="AZ788" s="85"/>
      <c r="BA788" s="85"/>
      <c r="BB788" s="85"/>
      <c r="BC788" s="85"/>
      <c r="BD788" s="85"/>
      <c r="BE788" s="85"/>
      <c r="BF788" s="85"/>
      <c r="BG788" s="85"/>
      <c r="BH788" s="85"/>
      <c r="BI788" s="85"/>
      <c r="BJ788" s="85"/>
      <c r="BK788" s="85"/>
      <c r="BL788" s="85"/>
      <c r="BM788" s="85"/>
      <c r="BN788" s="85"/>
      <c r="BO788" s="85"/>
      <c r="BP788" s="85"/>
      <c r="BQ788" s="85"/>
      <c r="BR788" s="85"/>
      <c r="BS788" s="85"/>
      <c r="BT788" s="85"/>
      <c r="BU788" s="85"/>
      <c r="BV788" s="85"/>
      <c r="BW788" s="85"/>
      <c r="BX788" s="85" t="str">
        <f>IFERROR(__xludf.DUMMYFUNCTION("""COMPUTED_VALUE"""),"NEWBIE")</f>
        <v>NEWBIE</v>
      </c>
      <c r="BY788" s="85"/>
      <c r="BZ788" s="85"/>
      <c r="CA788" s="85"/>
      <c r="CB788" s="85"/>
      <c r="CC788" s="85"/>
      <c r="CD788" s="85"/>
      <c r="CE788" s="85"/>
      <c r="CF788" s="85"/>
      <c r="CG788" s="85"/>
      <c r="CH788" s="85"/>
      <c r="CI788" s="85"/>
      <c r="CJ788" s="85"/>
      <c r="CK788" s="2"/>
    </row>
    <row r="789" ht="12.75" customHeight="1">
      <c r="A789" s="80">
        <f>IFERROR(__xludf.DUMMYFUNCTION("""COMPUTED_VALUE"""),785.0)</f>
        <v>785</v>
      </c>
      <c r="B789" s="80"/>
      <c r="C789" s="80"/>
      <c r="D789" s="81">
        <f>IFERROR(__xludf.DUMMYFUNCTION("""COMPUTED_VALUE"""),46042.0)</f>
        <v>46042</v>
      </c>
      <c r="E789" s="82"/>
      <c r="F789" s="80"/>
      <c r="G789" s="81"/>
      <c r="H789" s="80"/>
      <c r="I789" s="80"/>
      <c r="J789" s="80"/>
      <c r="K789" s="80"/>
      <c r="L789" s="80"/>
      <c r="M789" s="80" t="str">
        <f>IFERROR(__xludf.DUMMYFUNCTION("""COMPUTED_VALUE"""),"ü")</f>
        <v>ü</v>
      </c>
      <c r="N789" s="80"/>
      <c r="O789" s="80"/>
      <c r="P789" s="80" t="str">
        <f>IFERROR(__xludf.DUMMYFUNCTION("""COMPUTED_VALUE"""),"53BSPA09812JBEEN")</f>
        <v>53BSPA09812JBEEN</v>
      </c>
      <c r="Q789" s="80" t="str">
        <f>IFERROR(__xludf.DUMMYFUNCTION("""COMPUTED_VALUE"""),"MUC KEMBANGAN")</f>
        <v>MUC KEMBANGAN</v>
      </c>
      <c r="R789" s="80" t="str">
        <f>IFERROR(__xludf.DUMMYFUNCTION("""COMPUTED_VALUE"""),"MUC KEMBANGAN")</f>
        <v>MUC KEMBANGAN</v>
      </c>
      <c r="S789" s="80" t="str">
        <f>IFERROR(__xludf.DUMMYFUNCTION("""COMPUTED_VALUE"""),"LUKMAN NUR HAKIM")</f>
        <v>LUKMAN NUR HAKIM</v>
      </c>
      <c r="T789" s="80" t="str">
        <f>IFERROR(__xludf.DUMMYFUNCTION("""COMPUTED_VALUE"""),"JL. MESJID AL ITTIHAD NO.10 RT.006 RW.006, KELAPA DUA, KEBON JERUK, JAKARTA BARAT")</f>
        <v>JL. MESJID AL ITTIHAD NO.10 RT.006 RW.006, KELAPA DUA, KEBON JERUK, JAKARTA BARAT</v>
      </c>
      <c r="U789" s="80" t="str">
        <f>IFERROR(__xludf.DUMMYFUNCTION("""COMPUTED_VALUE"""),"Jl. Puri Kembangan No.79 RT02, RT.1/RW.2")</f>
        <v>Jl. Puri Kembangan No.79 RT02, RT.1/RW.2</v>
      </c>
      <c r="V789" s="80"/>
      <c r="W789" s="80" t="str">
        <f>IFERROR(__xludf.DUMMYFUNCTION("""COMPUTED_VALUE"""),"Kembangan Selatan")</f>
        <v>Kembangan Selatan</v>
      </c>
      <c r="X789" s="80" t="str">
        <f>IFERROR(__xludf.DUMMYFUNCTION("""COMPUTED_VALUE"""),"Kembangan")</f>
        <v>Kembangan</v>
      </c>
      <c r="Y789" s="80" t="str">
        <f>IFERROR(__xludf.DUMMYFUNCTION("""COMPUTED_VALUE"""),"Jakarta Barat")</f>
        <v>Jakarta Barat</v>
      </c>
      <c r="Z789" s="80" t="str">
        <f>IFERROR(__xludf.DUMMYFUNCTION("""COMPUTED_VALUE"""),"DKI Jakarta ")</f>
        <v>DKI Jakarta </v>
      </c>
      <c r="AA789" s="80" t="str">
        <f>IFERROR(__xludf.DUMMYFUNCTION("""COMPUTED_VALUE"""),"11610")</f>
        <v>11610</v>
      </c>
      <c r="AB789" s="80" t="str">
        <f>IFERROR(__xludf.DUMMYFUNCTION("""COMPUTED_VALUE"""),"3173051001870009")</f>
        <v>3173051001870009</v>
      </c>
      <c r="AC789" s="80" t="str">
        <f>IFERROR(__xludf.DUMMYFUNCTION("""COMPUTED_VALUE"""),"59.027.755.4-035.000")</f>
        <v>59.027.755.4-035.000</v>
      </c>
      <c r="AD789" s="80" t="str">
        <f>IFERROR(__xludf.DUMMYFUNCTION("""COMPUTED_VALUE"""),"CUM - EEN")</f>
        <v>CUM - EEN</v>
      </c>
      <c r="AE789" s="80" t="str">
        <f>IFERROR(__xludf.DUMMYFUNCTION("""COMPUTED_VALUE"""),"SUB EEN")</f>
        <v>SUB EEN</v>
      </c>
      <c r="AF789" s="80" t="str">
        <f>IFERROR(__xludf.DUMMYFUNCTION("""COMPUTED_VALUE"""),"08998771787")</f>
        <v>08998771787</v>
      </c>
      <c r="AG789" s="80"/>
      <c r="AH789" s="80" t="str">
        <f>IFERROR(__xludf.DUMMYFUNCTION("""COMPUTED_VALUE"""),"lukman03189@gmail.com")</f>
        <v>lukman03189@gmail.com</v>
      </c>
      <c r="AI789" s="80"/>
      <c r="AJ789" s="80"/>
      <c r="AK789" s="80"/>
      <c r="AL789" s="80"/>
      <c r="AM789" s="80" t="str">
        <f>IFERROR(__xludf.DUMMYFUNCTION("""COMPUTED_VALUE"""),"KANTOR REGIONAL II JAKARTA 10004")</f>
        <v>KANTOR REGIONAL II JAKARTA 10004</v>
      </c>
      <c r="AN789" s="80" t="str">
        <f>IFERROR(__xludf.DUMMYFUNCTION("""COMPUTED_VALUE"""),"KCU JAKARTAOCEANIA 11000")</f>
        <v>KCU JAKARTAOCEANIA 11000</v>
      </c>
      <c r="AO789" s="80" t="str">
        <f>IFERROR(__xludf.DUMMYFUNCTION("""COMPUTED_VALUE"""),"MENYUSUL")</f>
        <v>MENYUSUL</v>
      </c>
      <c r="AP789" s="80" t="str">
        <f>IFERROR(__xludf.DUMMYFUNCTION("""COMPUTED_VALUE"""),"MENYUSUL")</f>
        <v>MENYUSUL</v>
      </c>
      <c r="AQ789" s="83"/>
      <c r="AR789" s="80"/>
      <c r="AS789" s="80"/>
      <c r="AT789" s="80" t="str">
        <f>IFERROR(__xludf.DUMMYFUNCTION("""COMPUTED_VALUE"""),"-6.1817843")</f>
        <v>-6.1817843</v>
      </c>
      <c r="AU789" s="80" t="str">
        <f>IFERROR(__xludf.DUMMYFUNCTION("""COMPUTED_VALUE"""),"106.7512257")</f>
        <v>106.7512257</v>
      </c>
      <c r="AV789" s="80"/>
      <c r="AW789" s="80"/>
      <c r="AX789" s="80"/>
      <c r="AY789" s="80"/>
      <c r="AZ789" s="80"/>
      <c r="BA789" s="80"/>
      <c r="BB789" s="80"/>
      <c r="BC789" s="80"/>
      <c r="BD789" s="80"/>
      <c r="BE789" s="80"/>
      <c r="BF789" s="80"/>
      <c r="BG789" s="80"/>
      <c r="BH789" s="80"/>
      <c r="BI789" s="80"/>
      <c r="BJ789" s="80"/>
      <c r="BK789" s="80"/>
      <c r="BL789" s="80"/>
      <c r="BM789" s="80"/>
      <c r="BN789" s="80"/>
      <c r="BO789" s="80"/>
      <c r="BP789" s="80"/>
      <c r="BQ789" s="80"/>
      <c r="BR789" s="80"/>
      <c r="BS789" s="80"/>
      <c r="BT789" s="80"/>
      <c r="BU789" s="80"/>
      <c r="BV789" s="80"/>
      <c r="BW789" s="80"/>
      <c r="BX789" s="80" t="str">
        <f>IFERROR(__xludf.DUMMYFUNCTION("""COMPUTED_VALUE"""),"MULTIKURIR - JNT EXPRESS")</f>
        <v>MULTIKURIR - JNT EXPRESS</v>
      </c>
      <c r="BY789" s="80"/>
      <c r="BZ789" s="80"/>
      <c r="CA789" s="80"/>
      <c r="CB789" s="80"/>
      <c r="CC789" s="80"/>
      <c r="CD789" s="80"/>
      <c r="CE789" s="80"/>
      <c r="CF789" s="80"/>
      <c r="CG789" s="80"/>
      <c r="CH789" s="80"/>
      <c r="CI789" s="80"/>
      <c r="CJ789" s="80"/>
      <c r="CK789" s="2"/>
    </row>
    <row r="790" ht="12.75" customHeight="1">
      <c r="A790" s="85">
        <f>IFERROR(__xludf.DUMMYFUNCTION("""COMPUTED_VALUE"""),786.0)</f>
        <v>786</v>
      </c>
      <c r="B790" s="85"/>
      <c r="C790" s="85"/>
      <c r="D790" s="86">
        <f>IFERROR(__xludf.DUMMYFUNCTION("""COMPUTED_VALUE"""),46042.0)</f>
        <v>46042</v>
      </c>
      <c r="E790" s="88"/>
      <c r="F790" s="85"/>
      <c r="G790" s="86">
        <f>IFERROR(__xludf.DUMMYFUNCTION("""COMPUTED_VALUE"""),46071.0)</f>
        <v>46071</v>
      </c>
      <c r="H790" s="85"/>
      <c r="I790" s="85"/>
      <c r="J790" s="85"/>
      <c r="K790" s="85"/>
      <c r="L790" s="85">
        <f>IFERROR(__xludf.DUMMYFUNCTION("""COMPUTED_VALUE"""),29.0)</f>
        <v>29</v>
      </c>
      <c r="M790" s="85" t="str">
        <f>IFERROR(__xludf.DUMMYFUNCTION("""COMPUTED_VALUE"""),"ü")</f>
        <v>ü</v>
      </c>
      <c r="N790" s="85"/>
      <c r="O790" s="85"/>
      <c r="P790" s="85" t="str">
        <f>IFERROR(__xludf.DUMMYFUNCTION("""COMPUTED_VALUE"""),"MUCSPA63345PSIND")</f>
        <v>MUCSPA63345PSIND</v>
      </c>
      <c r="Q790" s="85" t="str">
        <f>IFERROR(__xludf.DUMMYFUNCTION("""COMPUTED_VALUE"""),"MUC CAHAYA ROBBANI")</f>
        <v>MUC CAHAYA ROBBANI</v>
      </c>
      <c r="R790" s="85" t="str">
        <f>IFERROR(__xludf.DUMMYFUNCTION("""COMPUTED_VALUE"""),"MUC CAHAYA ROBBANI")</f>
        <v>MUC CAHAYA ROBBANI</v>
      </c>
      <c r="S790" s="85" t="str">
        <f>IFERROR(__xludf.DUMMYFUNCTION("""COMPUTED_VALUE"""),"M. ANDI HASPIN")</f>
        <v>M. ANDI HASPIN</v>
      </c>
      <c r="T790" s="85" t="str">
        <f>IFERROR(__xludf.DUMMYFUNCTION("""COMPUTED_VALUE"""),"Bekasi Timur Regensi 5 RT 09/09 I17 1b. Sumur Batu. Bantar Gebang ")</f>
        <v>Bekasi Timur Regensi 5 RT 09/09 I17 1b. Sumur Batu. Bantar Gebang </v>
      </c>
      <c r="U790" s="85" t="str">
        <f>IFERROR(__xludf.DUMMYFUNCTION("""COMPUTED_VALUE"""),"Jl. Cinyosok Burangkeng - Setu")</f>
        <v>Jl. Cinyosok Burangkeng - Setu</v>
      </c>
      <c r="V790" s="85"/>
      <c r="W790" s="85" t="str">
        <f>IFERROR(__xludf.DUMMYFUNCTION("""COMPUTED_VALUE"""),"Burangkeng")</f>
        <v>Burangkeng</v>
      </c>
      <c r="X790" s="85" t="str">
        <f>IFERROR(__xludf.DUMMYFUNCTION("""COMPUTED_VALUE"""),"Setu")</f>
        <v>Setu</v>
      </c>
      <c r="Y790" s="85" t="str">
        <f>IFERROR(__xludf.DUMMYFUNCTION("""COMPUTED_VALUE"""),"Kab. Bekasi")</f>
        <v>Kab. Bekasi</v>
      </c>
      <c r="Z790" s="85" t="str">
        <f>IFERROR(__xludf.DUMMYFUNCTION("""COMPUTED_VALUE"""),"Jawa Barat")</f>
        <v>Jawa Barat</v>
      </c>
      <c r="AA790" s="85" t="str">
        <f>IFERROR(__xludf.DUMMYFUNCTION("""COMPUTED_VALUE"""),"17320")</f>
        <v>17320</v>
      </c>
      <c r="AB790" s="85" t="str">
        <f>IFERROR(__xludf.DUMMYFUNCTION("""COMPUTED_VALUE"""),"3175032710800017")</f>
        <v>3175032710800017</v>
      </c>
      <c r="AC790" s="85" t="str">
        <f>IFERROR(__xludf.DUMMYFUNCTION("""COMPUTED_VALUE"""),"58.419.333.8-002.000")</f>
        <v>58.419.333.8-002.000</v>
      </c>
      <c r="AD790" s="85" t="str">
        <f>IFERROR(__xludf.DUMMYFUNCTION("""COMPUTED_VALUE"""),"CUM - PS - AYS")</f>
        <v>CUM - PS - AYS</v>
      </c>
      <c r="AE790" s="85" t="str">
        <f>IFERROR(__xludf.DUMMYFUNCTION("""COMPUTED_VALUE"""),"SUB YUNUS POS")</f>
        <v>SUB YUNUS POS</v>
      </c>
      <c r="AF790" s="85" t="str">
        <f>IFERROR(__xludf.DUMMYFUNCTION("""COMPUTED_VALUE"""),"085711617987")</f>
        <v>085711617987</v>
      </c>
      <c r="AG790" s="85"/>
      <c r="AH790" s="85" t="str">
        <f>IFERROR(__xludf.DUMMYFUNCTION("""COMPUTED_VALUE"""),"cvcahayarobbani@gmail.com")</f>
        <v>cvcahayarobbani@gmail.com</v>
      </c>
      <c r="AI790" s="85" t="str">
        <f>IFERROR(__xludf.DUMMYFUNCTION("""COMPUTED_VALUE"""),"17323S3")</f>
        <v>17323S3</v>
      </c>
      <c r="AJ790" s="85" t="str">
        <f>IFERROR(__xludf.DUMMYFUNCTION("""COMPUTED_VALUE"""),"6993dbb65afe4772640aaea6")</f>
        <v>6993dbb65afe4772640aaea6</v>
      </c>
      <c r="AK790" s="85" t="str">
        <f>IFERROR(__xludf.DUMMYFUNCTION("""COMPUTED_VALUE"""),"cvcahayarobbani@gmail.com")</f>
        <v>cvcahayarobbani@gmail.com</v>
      </c>
      <c r="AL790" s="85" t="str">
        <f>IFERROR(__xludf.DUMMYFUNCTION("""COMPUTED_VALUE"""),"#Muc17323S3$")</f>
        <v>#Muc17323S3$</v>
      </c>
      <c r="AM790" s="85" t="str">
        <f>IFERROR(__xludf.DUMMYFUNCTION("""COMPUTED_VALUE"""),"KANTOR REGIONAL II JAKARTA 10004")</f>
        <v>KANTOR REGIONAL II JAKARTA 10004</v>
      </c>
      <c r="AN790" s="85" t="str">
        <f>IFERROR(__xludf.DUMMYFUNCTION("""COMPUTED_VALUE"""),"KC CIKARANG 17500")</f>
        <v>KC CIKARANG 17500</v>
      </c>
      <c r="AO790" s="85" t="str">
        <f>IFERROR(__xludf.DUMMYFUNCTION("""COMPUTED_VALUE"""),"MENYUSUL")</f>
        <v>MENYUSUL</v>
      </c>
      <c r="AP790" s="85" t="str">
        <f>IFERROR(__xludf.DUMMYFUNCTION("""COMPUTED_VALUE"""),"MENYUSUL")</f>
        <v>MENYUSUL</v>
      </c>
      <c r="AQ790" s="93"/>
      <c r="AR790" s="85"/>
      <c r="AS790" s="85"/>
      <c r="AT790" s="85" t="str">
        <f>IFERROR(__xludf.DUMMYFUNCTION("""COMPUTED_VALUE"""),"-6.336644")</f>
        <v>-6.336644</v>
      </c>
      <c r="AU790" s="85" t="str">
        <f>IFERROR(__xludf.DUMMYFUNCTION("""COMPUTED_VALUE"""),"107.026477")</f>
        <v>107.026477</v>
      </c>
      <c r="AV790" s="85"/>
      <c r="AW790" s="85"/>
      <c r="AX790" s="85"/>
      <c r="AY790" s="85"/>
      <c r="AZ790" s="85"/>
      <c r="BA790" s="85"/>
      <c r="BB790" s="85"/>
      <c r="BC790" s="85"/>
      <c r="BD790" s="85"/>
      <c r="BE790" s="85"/>
      <c r="BF790" s="85"/>
      <c r="BG790" s="85"/>
      <c r="BH790" s="85"/>
      <c r="BI790" s="85"/>
      <c r="BJ790" s="85"/>
      <c r="BK790" s="85"/>
      <c r="BL790" s="85"/>
      <c r="BM790" s="85"/>
      <c r="BN790" s="85"/>
      <c r="BO790" s="85"/>
      <c r="BP790" s="85"/>
      <c r="BQ790" s="85"/>
      <c r="BR790" s="85"/>
      <c r="BS790" s="85"/>
      <c r="BT790" s="85"/>
      <c r="BU790" s="85"/>
      <c r="BV790" s="85"/>
      <c r="BW790" s="85"/>
      <c r="BX790" s="85" t="str">
        <f>IFERROR(__xludf.DUMMYFUNCTION("""COMPUTED_VALUE"""),"NEWBIE")</f>
        <v>NEWBIE</v>
      </c>
      <c r="BY790" s="85"/>
      <c r="BZ790" s="85"/>
      <c r="CA790" s="85"/>
      <c r="CB790" s="85"/>
      <c r="CC790" s="85"/>
      <c r="CD790" s="85"/>
      <c r="CE790" s="85"/>
      <c r="CF790" s="85"/>
      <c r="CG790" s="85"/>
      <c r="CH790" s="85"/>
      <c r="CI790" s="85"/>
      <c r="CJ790" s="85"/>
      <c r="CK790" s="2"/>
    </row>
    <row r="791" ht="12.75" customHeight="1">
      <c r="A791" s="80">
        <f>IFERROR(__xludf.DUMMYFUNCTION("""COMPUTED_VALUE"""),787.0)</f>
        <v>787</v>
      </c>
      <c r="B791" s="80"/>
      <c r="C791" s="80"/>
      <c r="D791" s="81">
        <f>IFERROR(__xludf.DUMMYFUNCTION("""COMPUTED_VALUE"""),46042.0)</f>
        <v>46042</v>
      </c>
      <c r="E791" s="82"/>
      <c r="F791" s="80"/>
      <c r="G791" s="81">
        <f>IFERROR(__xludf.DUMMYFUNCTION("""COMPUTED_VALUE"""),46055.0)</f>
        <v>46055</v>
      </c>
      <c r="H791" s="80"/>
      <c r="I791" s="80"/>
      <c r="J791" s="80"/>
      <c r="K791" s="80"/>
      <c r="L791" s="80">
        <f>IFERROR(__xludf.DUMMYFUNCTION("""COMPUTED_VALUE"""),13.0)</f>
        <v>13</v>
      </c>
      <c r="M791" s="80" t="str">
        <f>IFERROR(__xludf.DUMMYFUNCTION("""COMPUTED_VALUE"""),"ü")</f>
        <v>ü</v>
      </c>
      <c r="N791" s="80"/>
      <c r="O791" s="80"/>
      <c r="P791" s="80" t="str">
        <f>IFERROR(__xludf.DUMMYFUNCTION("""COMPUTED_VALUE"""),"MUCSPA63346PSIND")</f>
        <v>MUCSPA63346PSIND</v>
      </c>
      <c r="Q791" s="80" t="str">
        <f>IFERROR(__xludf.DUMMYFUNCTION("""COMPUTED_VALUE"""),"MUC Raja Express 01")</f>
        <v>MUC Raja Express 01</v>
      </c>
      <c r="R791" s="80" t="str">
        <f>IFERROR(__xludf.DUMMYFUNCTION("""COMPUTED_VALUE"""),"MUC Raja Express 01")</f>
        <v>MUC Raja Express 01</v>
      </c>
      <c r="S791" s="80" t="str">
        <f>IFERROR(__xludf.DUMMYFUNCTION("""COMPUTED_VALUE"""),"FIRDAUS PURBA")</f>
        <v>FIRDAUS PURBA</v>
      </c>
      <c r="T791" s="80" t="str">
        <f>IFERROR(__xludf.DUMMYFUNCTION("""COMPUTED_VALUE"""),"JL. BUDI KEMENANGAN NO 35/33 LK 21, PULO BRAYAN KOTA, MEDAN BARAT, KOTA MEDAN, SUMATERA UTARA")</f>
        <v>JL. BUDI KEMENANGAN NO 35/33 LK 21, PULO BRAYAN KOTA, MEDAN BARAT, KOTA MEDAN, SUMATERA UTARA</v>
      </c>
      <c r="U791" s="80" t="str">
        <f>IFERROR(__xludf.DUMMYFUNCTION("""COMPUTED_VALUE"""),"Jl. Perhubungan No. 12 ABC lau Dendang")</f>
        <v>Jl. Perhubungan No. 12 ABC lau Dendang</v>
      </c>
      <c r="V791" s="80"/>
      <c r="W791" s="80" t="str">
        <f>IFERROR(__xludf.DUMMYFUNCTION("""COMPUTED_VALUE"""),"Laut Dendang")</f>
        <v>Laut Dendang</v>
      </c>
      <c r="X791" s="80" t="str">
        <f>IFERROR(__xludf.DUMMYFUNCTION("""COMPUTED_VALUE"""),"Percut Sei Tuan")</f>
        <v>Percut Sei Tuan</v>
      </c>
      <c r="Y791" s="80" t="str">
        <f>IFERROR(__xludf.DUMMYFUNCTION("""COMPUTED_VALUE"""),"Kab. Deli Serdang")</f>
        <v>Kab. Deli Serdang</v>
      </c>
      <c r="Z791" s="80" t="str">
        <f>IFERROR(__xludf.DUMMYFUNCTION("""COMPUTED_VALUE"""),"Sumatera Utara")</f>
        <v>Sumatera Utara</v>
      </c>
      <c r="AA791" s="80" t="str">
        <f>IFERROR(__xludf.DUMMYFUNCTION("""COMPUTED_VALUE"""),"20371")</f>
        <v>20371</v>
      </c>
      <c r="AB791" s="80" t="str">
        <f>IFERROR(__xludf.DUMMYFUNCTION("""COMPUTED_VALUE"""),"1271060402740008")</f>
        <v>1271060402740008</v>
      </c>
      <c r="AC791" s="80" t="str">
        <f>IFERROR(__xludf.DUMMYFUNCTION("""COMPUTED_VALUE"""),"75.274.458.1-111.000")</f>
        <v>75.274.458.1-111.000</v>
      </c>
      <c r="AD791" s="80" t="str">
        <f>IFERROR(__xludf.DUMMYFUNCTION("""COMPUTED_VALUE"""),"NON KORGEN")</f>
        <v>NON KORGEN</v>
      </c>
      <c r="AE791" s="80" t="str">
        <f>IFERROR(__xludf.DUMMYFUNCTION("""COMPUTED_VALUE"""),"PAK FERI KCU MEDAN")</f>
        <v>PAK FERI KCU MEDAN</v>
      </c>
      <c r="AF791" s="80" t="str">
        <f>IFERROR(__xludf.DUMMYFUNCTION("""COMPUTED_VALUE"""),"081223531484")</f>
        <v>081223531484</v>
      </c>
      <c r="AG791" s="80"/>
      <c r="AH791" s="80" t="str">
        <f>IFERROR(__xludf.DUMMYFUNCTION("""COMPUTED_VALUE"""),"firdauspurba1974@gmail.com")</f>
        <v>firdauspurba1974@gmail.com</v>
      </c>
      <c r="AI791" s="80" t="str">
        <f>IFERROR(__xludf.DUMMYFUNCTION("""COMPUTED_VALUE"""),"20371S7")</f>
        <v>20371S7</v>
      </c>
      <c r="AJ791" s="80" t="str">
        <f>IFERROR(__xludf.DUMMYFUNCTION("""COMPUTED_VALUE"""),"697dcda574a0097229034b36")</f>
        <v>697dcda574a0097229034b36</v>
      </c>
      <c r="AK791" s="80" t="str">
        <f>IFERROR(__xludf.DUMMYFUNCTION("""COMPUTED_VALUE"""),"firdauspurba1974@gmail.com")</f>
        <v>firdauspurba1974@gmail.com</v>
      </c>
      <c r="AL791" s="80" t="str">
        <f>IFERROR(__xludf.DUMMYFUNCTION("""COMPUTED_VALUE"""),"#Muc20371S7$")</f>
        <v>#Muc20371S7$</v>
      </c>
      <c r="AM791" s="80" t="str">
        <f>IFERROR(__xludf.DUMMYFUNCTION("""COMPUTED_VALUE"""),"KANTOR REGIONAL I MEDAN 20004")</f>
        <v>KANTOR REGIONAL I MEDAN 20004</v>
      </c>
      <c r="AN791" s="80" t="str">
        <f>IFERROR(__xludf.DUMMYFUNCTION("""COMPUTED_VALUE"""),"KCU MEDAN")</f>
        <v>KCU MEDAN</v>
      </c>
      <c r="AO791" s="80" t="str">
        <f>IFERROR(__xludf.DUMMYFUNCTION("""COMPUTED_VALUE"""),"1510250030791")</f>
        <v>1510250030791</v>
      </c>
      <c r="AP791" s="80" t="str">
        <f>IFERROR(__xludf.DUMMYFUNCTION("""COMPUTED_VALUE"""),"15102500307910002")</f>
        <v>15102500307910002</v>
      </c>
      <c r="AQ791" s="83"/>
      <c r="AR791" s="80"/>
      <c r="AS791" s="80"/>
      <c r="AT791" s="80" t="str">
        <f>IFERROR(__xludf.DUMMYFUNCTION("""COMPUTED_VALUE"""),"3.621074")</f>
        <v>3.621074</v>
      </c>
      <c r="AU791" s="80" t="str">
        <f>IFERROR(__xludf.DUMMYFUNCTION("""COMPUTED_VALUE"""),"98.729089")</f>
        <v>98.729089</v>
      </c>
      <c r="AV791" s="80"/>
      <c r="AW791" s="80"/>
      <c r="AX791" s="80"/>
      <c r="AY791" s="80"/>
      <c r="AZ791" s="80"/>
      <c r="BA791" s="80"/>
      <c r="BB791" s="80"/>
      <c r="BC791" s="80"/>
      <c r="BD791" s="80"/>
      <c r="BE791" s="80"/>
      <c r="BF791" s="80"/>
      <c r="BG791" s="80"/>
      <c r="BH791" s="80"/>
      <c r="BI791" s="80"/>
      <c r="BJ791" s="80"/>
      <c r="BK791" s="80"/>
      <c r="BL791" s="80"/>
      <c r="BM791" s="80"/>
      <c r="BN791" s="80"/>
      <c r="BO791" s="80"/>
      <c r="BP791" s="80"/>
      <c r="BQ791" s="80"/>
      <c r="BR791" s="80"/>
      <c r="BS791" s="80"/>
      <c r="BT791" s="80"/>
      <c r="BU791" s="80"/>
      <c r="BV791" s="80"/>
      <c r="BW791" s="80"/>
      <c r="BX791" s="80" t="str">
        <f>IFERROR(__xludf.DUMMYFUNCTION("""COMPUTED_VALUE"""),"NEWBIE")</f>
        <v>NEWBIE</v>
      </c>
      <c r="BY791" s="80"/>
      <c r="BZ791" s="80"/>
      <c r="CA791" s="80"/>
      <c r="CB791" s="80"/>
      <c r="CC791" s="80"/>
      <c r="CD791" s="80"/>
      <c r="CE791" s="80"/>
      <c r="CF791" s="80"/>
      <c r="CG791" s="80"/>
      <c r="CH791" s="80"/>
      <c r="CI791" s="80"/>
      <c r="CJ791" s="80"/>
      <c r="CK791" s="2"/>
    </row>
    <row r="792" ht="12.75" customHeight="1">
      <c r="A792" s="85">
        <f>IFERROR(__xludf.DUMMYFUNCTION("""COMPUTED_VALUE"""),788.0)</f>
        <v>788</v>
      </c>
      <c r="B792" s="85"/>
      <c r="C792" s="85"/>
      <c r="D792" s="86">
        <f>IFERROR(__xludf.DUMMYFUNCTION("""COMPUTED_VALUE"""),46042.0)</f>
        <v>46042</v>
      </c>
      <c r="E792" s="88"/>
      <c r="F792" s="85"/>
      <c r="G792" s="86"/>
      <c r="H792" s="85"/>
      <c r="I792" s="85"/>
      <c r="J792" s="85"/>
      <c r="K792" s="85"/>
      <c r="L792" s="85"/>
      <c r="M792" s="85" t="str">
        <f>IFERROR(__xludf.DUMMYFUNCTION("""COMPUTED_VALUE"""),"ü")</f>
        <v>ü</v>
      </c>
      <c r="N792" s="85"/>
      <c r="O792" s="85"/>
      <c r="P792" s="85" t="str">
        <f>IFERROR(__xludf.DUMMYFUNCTION("""COMPUTED_VALUE"""),"MUCSPA63347PSIND")</f>
        <v>MUCSPA63347PSIND</v>
      </c>
      <c r="Q792" s="85" t="str">
        <f>IFERROR(__xludf.DUMMYFUNCTION("""COMPUTED_VALUE"""),"MUC Toko Muhtarom")</f>
        <v>MUC Toko Muhtarom</v>
      </c>
      <c r="R792" s="85" t="str">
        <f>IFERROR(__xludf.DUMMYFUNCTION("""COMPUTED_VALUE"""),"MUC Toko Muhtarom")</f>
        <v>MUC Toko Muhtarom</v>
      </c>
      <c r="S792" s="85" t="str">
        <f>IFERROR(__xludf.DUMMYFUNCTION("""COMPUTED_VALUE"""),"MUHTAROM ")</f>
        <v>MUHTAROM </v>
      </c>
      <c r="T792" s="85" t="str">
        <f>IFERROR(__xludf.DUMMYFUNCTION("""COMPUTED_VALUE"""),"LINGKUNGAN SANTREN RT 2 RW 3 KEL. KAPAS SUKOMORO")</f>
        <v>LINGKUNGAN SANTREN RT 2 RW 3 KEL. KAPAS SUKOMORO</v>
      </c>
      <c r="U792" s="85" t="str">
        <f>IFERROR(__xludf.DUMMYFUNCTION("""COMPUTED_VALUE"""),"LINGK. SANTREN RT 2 RW 3")</f>
        <v>LINGK. SANTREN RT 2 RW 3</v>
      </c>
      <c r="V792" s="85"/>
      <c r="W792" s="85" t="str">
        <f>IFERROR(__xludf.DUMMYFUNCTION("""COMPUTED_VALUE"""),"KAPAS")</f>
        <v>KAPAS</v>
      </c>
      <c r="X792" s="85" t="str">
        <f>IFERROR(__xludf.DUMMYFUNCTION("""COMPUTED_VALUE"""),"SUKOMORO")</f>
        <v>SUKOMORO</v>
      </c>
      <c r="Y792" s="85" t="str">
        <f>IFERROR(__xludf.DUMMYFUNCTION("""COMPUTED_VALUE"""),"KAB. NGANJUK")</f>
        <v>KAB. NGANJUK</v>
      </c>
      <c r="Z792" s="85" t="str">
        <f>IFERROR(__xludf.DUMMYFUNCTION("""COMPUTED_VALUE"""),"JAWA TIMUR")</f>
        <v>JAWA TIMUR</v>
      </c>
      <c r="AA792" s="85" t="str">
        <f>IFERROR(__xludf.DUMMYFUNCTION("""COMPUTED_VALUE"""),"64481")</f>
        <v>64481</v>
      </c>
      <c r="AB792" s="85" t="str">
        <f>IFERROR(__xludf.DUMMYFUNCTION("""COMPUTED_VALUE"""),"3507181507750006")</f>
        <v>3507181507750006</v>
      </c>
      <c r="AC792" s="85" t="str">
        <f>IFERROR(__xludf.DUMMYFUNCTION("""COMPUTED_VALUE"""),"34.316.821.7-657.000")</f>
        <v>34.316.821.7-657.000</v>
      </c>
      <c r="AD792" s="85" t="str">
        <f>IFERROR(__xludf.DUMMYFUNCTION("""COMPUTED_VALUE"""),"CUM - PS - STA")</f>
        <v>CUM - PS - STA</v>
      </c>
      <c r="AE792" s="85" t="str">
        <f>IFERROR(__xludf.DUMMYFUNCTION("""COMPUTED_VALUE"""),"SUB DEDI NGANJUK")</f>
        <v>SUB DEDI NGANJUK</v>
      </c>
      <c r="AF792" s="85" t="str">
        <f>IFERROR(__xludf.DUMMYFUNCTION("""COMPUTED_VALUE"""),"081330248123")</f>
        <v>081330248123</v>
      </c>
      <c r="AG792" s="85"/>
      <c r="AH792" s="85" t="str">
        <f>IFERROR(__xludf.DUMMYFUNCTION("""COMPUTED_VALUE"""),"muhtaromtarom473@gmail.com")</f>
        <v>muhtaromtarom473@gmail.com</v>
      </c>
      <c r="AI792" s="85"/>
      <c r="AJ792" s="85"/>
      <c r="AK792" s="85"/>
      <c r="AL792" s="85"/>
      <c r="AM792" s="85" t="str">
        <f>IFERROR(__xludf.DUMMYFUNCTION("""COMPUTED_VALUE"""),"KANTOR REGIONAL V SURABAYA 60004")</f>
        <v>KANTOR REGIONAL V SURABAYA 60004</v>
      </c>
      <c r="AN792" s="85" t="str">
        <f>IFERROR(__xludf.DUMMYFUNCTION("""COMPUTED_VALUE"""),"KC NGANJUK")</f>
        <v>KC NGANJUK</v>
      </c>
      <c r="AO792" s="85" t="str">
        <f>IFERROR(__xludf.DUMMYFUNCTION("""COMPUTED_VALUE"""),"MENYUSUL")</f>
        <v>MENYUSUL</v>
      </c>
      <c r="AP792" s="85" t="str">
        <f>IFERROR(__xludf.DUMMYFUNCTION("""COMPUTED_VALUE"""),"MENYUSUL")</f>
        <v>MENYUSUL</v>
      </c>
      <c r="AQ792" s="93"/>
      <c r="AR792" s="85"/>
      <c r="AS792" s="85"/>
      <c r="AT792" s="85" t="str">
        <f>IFERROR(__xludf.DUMMYFUNCTION("""COMPUTED_VALUE"""),"-7.609218")</f>
        <v>-7.609218</v>
      </c>
      <c r="AU792" s="85" t="str">
        <f>IFERROR(__xludf.DUMMYFUNCTION("""COMPUTED_VALUE"""),"111.935020")</f>
        <v>111.935020</v>
      </c>
      <c r="AV792" s="85"/>
      <c r="AW792" s="85"/>
      <c r="AX792" s="85"/>
      <c r="AY792" s="85"/>
      <c r="AZ792" s="85"/>
      <c r="BA792" s="85"/>
      <c r="BB792" s="85"/>
      <c r="BC792" s="85"/>
      <c r="BD792" s="85"/>
      <c r="BE792" s="85"/>
      <c r="BF792" s="85"/>
      <c r="BG792" s="85"/>
      <c r="BH792" s="85"/>
      <c r="BI792" s="85"/>
      <c r="BJ792" s="85"/>
      <c r="BK792" s="85"/>
      <c r="BL792" s="85"/>
      <c r="BM792" s="85"/>
      <c r="BN792" s="85"/>
      <c r="BO792" s="85"/>
      <c r="BP792" s="85"/>
      <c r="BQ792" s="85"/>
      <c r="BR792" s="85"/>
      <c r="BS792" s="85"/>
      <c r="BT792" s="85"/>
      <c r="BU792" s="85"/>
      <c r="BV792" s="85"/>
      <c r="BW792" s="85"/>
      <c r="BX792" s="85" t="str">
        <f>IFERROR(__xludf.DUMMYFUNCTION("""COMPUTED_VALUE"""),"NEWBIE")</f>
        <v>NEWBIE</v>
      </c>
      <c r="BY792" s="85"/>
      <c r="BZ792" s="85"/>
      <c r="CA792" s="85"/>
      <c r="CB792" s="85"/>
      <c r="CC792" s="85"/>
      <c r="CD792" s="85"/>
      <c r="CE792" s="85"/>
      <c r="CF792" s="85"/>
      <c r="CG792" s="85"/>
      <c r="CH792" s="85"/>
      <c r="CI792" s="85"/>
      <c r="CJ792" s="85"/>
      <c r="CK792" s="2"/>
    </row>
    <row r="793" ht="12.75" customHeight="1">
      <c r="A793" s="80">
        <f>IFERROR(__xludf.DUMMYFUNCTION("""COMPUTED_VALUE"""),789.0)</f>
        <v>789</v>
      </c>
      <c r="B793" s="80"/>
      <c r="C793" s="80"/>
      <c r="D793" s="81">
        <f>IFERROR(__xludf.DUMMYFUNCTION("""COMPUTED_VALUE"""),46043.0)</f>
        <v>46043</v>
      </c>
      <c r="E793" s="82"/>
      <c r="F793" s="80"/>
      <c r="G793" s="81">
        <f>IFERROR(__xludf.DUMMYFUNCTION("""COMPUTED_VALUE"""),46071.0)</f>
        <v>46071</v>
      </c>
      <c r="H793" s="80"/>
      <c r="I793" s="80"/>
      <c r="J793" s="80"/>
      <c r="K793" s="80"/>
      <c r="L793" s="80">
        <f>IFERROR(__xludf.DUMMYFUNCTION("""COMPUTED_VALUE"""),28.0)</f>
        <v>28</v>
      </c>
      <c r="M793" s="80" t="str">
        <f>IFERROR(__xludf.DUMMYFUNCTION("""COMPUTED_VALUE"""),"ü")</f>
        <v>ü</v>
      </c>
      <c r="N793" s="80"/>
      <c r="O793" s="80"/>
      <c r="P793" s="80" t="str">
        <f>IFERROR(__xludf.DUMMYFUNCTION("""COMPUTED_VALUE"""),"MUCSPA63348PSIND")</f>
        <v>MUCSPA63348PSIND</v>
      </c>
      <c r="Q793" s="80" t="str">
        <f>IFERROR(__xludf.DUMMYFUNCTION("""COMPUTED_VALUE"""),"MUC SGC")</f>
        <v>MUC SGC</v>
      </c>
      <c r="R793" s="80" t="str">
        <f>IFERROR(__xludf.DUMMYFUNCTION("""COMPUTED_VALUE"""),"MUC SGC")</f>
        <v>MUC SGC</v>
      </c>
      <c r="S793" s="80" t="str">
        <f>IFERROR(__xludf.DUMMYFUNCTION("""COMPUTED_VALUE"""),"ASEP YUDI MULYYADI DRS")</f>
        <v>ASEP YUDI MULYYADI DRS</v>
      </c>
      <c r="T793" s="80" t="str">
        <f>IFERROR(__xludf.DUMMYFUNCTION("""COMPUTED_VALUE"""),"Taman Aster  A1 no 56 Rt 09/06, Telaga Asih-Cikarang Barat, Kab. Bekasi")</f>
        <v>Taman Aster  A1 no 56 Rt 09/06, Telaga Asih-Cikarang Barat, Kab. Bekasi</v>
      </c>
      <c r="U793" s="80" t="str">
        <f>IFERROR(__xludf.DUMMYFUNCTION("""COMPUTED_VALUE"""),"SGC, Jln RE Martadinata, lt UG Biru no 102 ")</f>
        <v>SGC, Jln RE Martadinata, lt UG Biru no 102 </v>
      </c>
      <c r="V793" s="80"/>
      <c r="W793" s="80" t="str">
        <f>IFERROR(__xludf.DUMMYFUNCTION("""COMPUTED_VALUE"""),"Cikarang kota")</f>
        <v>Cikarang kota</v>
      </c>
      <c r="X793" s="80" t="str">
        <f>IFERROR(__xludf.DUMMYFUNCTION("""COMPUTED_VALUE"""),"Cikarang Utara")</f>
        <v>Cikarang Utara</v>
      </c>
      <c r="Y793" s="80" t="str">
        <f>IFERROR(__xludf.DUMMYFUNCTION("""COMPUTED_VALUE"""),"Bekasi")</f>
        <v>Bekasi</v>
      </c>
      <c r="Z793" s="80" t="str">
        <f>IFERROR(__xludf.DUMMYFUNCTION("""COMPUTED_VALUE"""),"Jawa Barat")</f>
        <v>Jawa Barat</v>
      </c>
      <c r="AA793" s="80" t="str">
        <f>IFERROR(__xludf.DUMMYFUNCTION("""COMPUTED_VALUE"""),"17530")</f>
        <v>17530</v>
      </c>
      <c r="AB793" s="80" t="str">
        <f>IFERROR(__xludf.DUMMYFUNCTION("""COMPUTED_VALUE"""),"3216082406680002")</f>
        <v>3216082406680002</v>
      </c>
      <c r="AC793" s="80" t="str">
        <f>IFERROR(__xludf.DUMMYFUNCTION("""COMPUTED_VALUE"""),"48.696.737.5-413.000")</f>
        <v>48.696.737.5-413.000</v>
      </c>
      <c r="AD793" s="80" t="str">
        <f>IFERROR(__xludf.DUMMYFUNCTION("""COMPUTED_VALUE"""),"CUM - PS - JMN")</f>
        <v>CUM - PS - JMN</v>
      </c>
      <c r="AE793" s="80" t="str">
        <f>IFERROR(__xludf.DUMMYFUNCTION("""COMPUTED_VALUE"""),"SUB JAMJAM POS")</f>
        <v>SUB JAMJAM POS</v>
      </c>
      <c r="AF793" s="80" t="str">
        <f>IFERROR(__xludf.DUMMYFUNCTION("""COMPUTED_VALUE"""),"082110141920")</f>
        <v>082110141920</v>
      </c>
      <c r="AG793" s="80"/>
      <c r="AH793" s="80" t="str">
        <f>IFERROR(__xludf.DUMMYFUNCTION("""COMPUTED_VALUE"""),"asepyudim@gmail.com")</f>
        <v>asepyudim@gmail.com</v>
      </c>
      <c r="AI793" s="80" t="str">
        <f>IFERROR(__xludf.DUMMYFUNCTION("""COMPUTED_VALUE"""),"17831S2")</f>
        <v>17831S2</v>
      </c>
      <c r="AJ793" s="80" t="str">
        <f>IFERROR(__xludf.DUMMYFUNCTION("""COMPUTED_VALUE"""),"6993d672f410d788790f54bf")</f>
        <v>6993d672f410d788790f54bf</v>
      </c>
      <c r="AK793" s="80"/>
      <c r="AL793" s="80"/>
      <c r="AM793" s="80" t="str">
        <f>IFERROR(__xludf.DUMMYFUNCTION("""COMPUTED_VALUE"""),"KANTOR REGIONAL II JAKARTA 10004")</f>
        <v>KANTOR REGIONAL II JAKARTA 10004</v>
      </c>
      <c r="AN793" s="80" t="str">
        <f>IFERROR(__xludf.DUMMYFUNCTION("""COMPUTED_VALUE"""),"KC CIKARANG 17500")</f>
        <v>KC CIKARANG 17500</v>
      </c>
      <c r="AO793" s="80" t="str">
        <f>IFERROR(__xludf.DUMMYFUNCTION("""COMPUTED_VALUE"""),"MENYUSUL")</f>
        <v>MENYUSUL</v>
      </c>
      <c r="AP793" s="80" t="str">
        <f>IFERROR(__xludf.DUMMYFUNCTION("""COMPUTED_VALUE"""),"MENYUSUL")</f>
        <v>MENYUSUL</v>
      </c>
      <c r="AQ793" s="83"/>
      <c r="AR793" s="80"/>
      <c r="AS793" s="80"/>
      <c r="AT793" s="80" t="str">
        <f>IFERROR(__xludf.DUMMYFUNCTION("""COMPUTED_VALUE"""),"-6.258717")</f>
        <v>-6.258717</v>
      </c>
      <c r="AU793" s="80" t="str">
        <f>IFERROR(__xludf.DUMMYFUNCTION("""COMPUTED_VALUE"""),"107.145874")</f>
        <v>107.145874</v>
      </c>
      <c r="AV793" s="80"/>
      <c r="AW793" s="80"/>
      <c r="AX793" s="80"/>
      <c r="AY793" s="80"/>
      <c r="AZ793" s="80"/>
      <c r="BA793" s="80"/>
      <c r="BB793" s="80"/>
      <c r="BC793" s="80"/>
      <c r="BD793" s="80"/>
      <c r="BE793" s="80"/>
      <c r="BF793" s="80"/>
      <c r="BG793" s="80"/>
      <c r="BH793" s="80"/>
      <c r="BI793" s="80"/>
      <c r="BJ793" s="80"/>
      <c r="BK793" s="80"/>
      <c r="BL793" s="80"/>
      <c r="BM793" s="80"/>
      <c r="BN793" s="80"/>
      <c r="BO793" s="80"/>
      <c r="BP793" s="80"/>
      <c r="BQ793" s="80"/>
      <c r="BR793" s="80"/>
      <c r="BS793" s="80"/>
      <c r="BT793" s="80"/>
      <c r="BU793" s="80"/>
      <c r="BV793" s="80"/>
      <c r="BW793" s="80"/>
      <c r="BX793" s="80" t="str">
        <f>IFERROR(__xludf.DUMMYFUNCTION("""COMPUTED_VALUE"""),"NEWBIE")</f>
        <v>NEWBIE</v>
      </c>
      <c r="BY793" s="80"/>
      <c r="BZ793" s="80"/>
      <c r="CA793" s="80"/>
      <c r="CB793" s="80"/>
      <c r="CC793" s="80"/>
      <c r="CD793" s="80"/>
      <c r="CE793" s="80"/>
      <c r="CF793" s="80"/>
      <c r="CG793" s="80"/>
      <c r="CH793" s="80"/>
      <c r="CI793" s="80"/>
      <c r="CJ793" s="80"/>
      <c r="CK793" s="2"/>
    </row>
    <row r="794" ht="12.75" customHeight="1">
      <c r="A794" s="85">
        <f>IFERROR(__xludf.DUMMYFUNCTION("""COMPUTED_VALUE"""),790.0)</f>
        <v>790</v>
      </c>
      <c r="B794" s="85"/>
      <c r="C794" s="85"/>
      <c r="D794" s="86">
        <f>IFERROR(__xludf.DUMMYFUNCTION("""COMPUTED_VALUE"""),46043.0)</f>
        <v>46043</v>
      </c>
      <c r="E794" s="88"/>
      <c r="F794" s="85"/>
      <c r="G794" s="86">
        <f>IFERROR(__xludf.DUMMYFUNCTION("""COMPUTED_VALUE"""),46109.0)</f>
        <v>46109</v>
      </c>
      <c r="H794" s="85"/>
      <c r="I794" s="85"/>
      <c r="J794" s="85"/>
      <c r="K794" s="85"/>
      <c r="L794" s="85">
        <f>IFERROR(__xludf.DUMMYFUNCTION("""COMPUTED_VALUE"""),66.0)</f>
        <v>66</v>
      </c>
      <c r="M794" s="85" t="str">
        <f>IFERROR(__xludf.DUMMYFUNCTION("""COMPUTED_VALUE"""),"ü")</f>
        <v>ü</v>
      </c>
      <c r="N794" s="85"/>
      <c r="O794" s="85"/>
      <c r="P794" s="85" t="str">
        <f>IFERROR(__xludf.DUMMYFUNCTION("""COMPUTED_VALUE"""),"MUCSPA63349PSIND")</f>
        <v>MUCSPA63349PSIND</v>
      </c>
      <c r="Q794" s="85" t="str">
        <f>IFERROR(__xludf.DUMMYFUNCTION("""COMPUTED_VALUE"""),"MUC Gen Zet Express")</f>
        <v>MUC Gen Zet Express</v>
      </c>
      <c r="R794" s="85" t="str">
        <f>IFERROR(__xludf.DUMMYFUNCTION("""COMPUTED_VALUE"""),"MUC Gen Zet Express")</f>
        <v>MUC Gen Zet Express</v>
      </c>
      <c r="S794" s="85" t="str">
        <f>IFERROR(__xludf.DUMMYFUNCTION("""COMPUTED_VALUE"""),"YAN FARID WAHID")</f>
        <v>YAN FARID WAHID</v>
      </c>
      <c r="T794" s="85" t="str">
        <f>IFERROR(__xludf.DUMMYFUNCTION("""COMPUTED_VALUE"""),"GOROWONG KAUM RT.001 RW.002, ADIARSA TIMUR, KARAWANG TIMUR, KAB. KARAWANG")</f>
        <v>GOROWONG KAUM RT.001 RW.002, ADIARSA TIMUR, KARAWANG TIMUR, KAB. KARAWANG</v>
      </c>
      <c r="U794" s="85" t="str">
        <f>IFERROR(__xludf.DUMMYFUNCTION("""COMPUTED_VALUE"""),"Perumahan De Keraton Blok N3 No. 4")</f>
        <v>Perumahan De Keraton Blok N3 No. 4</v>
      </c>
      <c r="V794" s="85"/>
      <c r="W794" s="85" t="str">
        <f>IFERROR(__xludf.DUMMYFUNCTION("""COMPUTED_VALUE"""),"Pancawati")</f>
        <v>Pancawati</v>
      </c>
      <c r="X794" s="85" t="str">
        <f>IFERROR(__xludf.DUMMYFUNCTION("""COMPUTED_VALUE"""),"Klari")</f>
        <v>Klari</v>
      </c>
      <c r="Y794" s="85" t="str">
        <f>IFERROR(__xludf.DUMMYFUNCTION("""COMPUTED_VALUE"""),"Karawang")</f>
        <v>Karawang</v>
      </c>
      <c r="Z794" s="85" t="str">
        <f>IFERROR(__xludf.DUMMYFUNCTION("""COMPUTED_VALUE"""),"Jawa Barat")</f>
        <v>Jawa Barat</v>
      </c>
      <c r="AA794" s="85" t="str">
        <f>IFERROR(__xludf.DUMMYFUNCTION("""COMPUTED_VALUE"""),"41371")</f>
        <v>41371</v>
      </c>
      <c r="AB794" s="85" t="str">
        <f>IFERROR(__xludf.DUMMYFUNCTION("""COMPUTED_VALUE"""),"3215262001000003")</f>
        <v>3215262001000003</v>
      </c>
      <c r="AC794" s="85" t="str">
        <f>IFERROR(__xludf.DUMMYFUNCTION("""COMPUTED_VALUE"""),"1000 0000 0589 4855")</f>
        <v>1000 0000 0589 4855</v>
      </c>
      <c r="AD794" s="85" t="str">
        <f>IFERROR(__xludf.DUMMYFUNCTION("""COMPUTED_VALUE"""),"CUM - PS - SITI")</f>
        <v>CUM - PS - SITI</v>
      </c>
      <c r="AE794" s="85" t="str">
        <f>IFERROR(__xludf.DUMMYFUNCTION("""COMPUTED_VALUE"""),"SUB SITI POS")</f>
        <v>SUB SITI POS</v>
      </c>
      <c r="AF794" s="85" t="str">
        <f>IFERROR(__xludf.DUMMYFUNCTION("""COMPUTED_VALUE"""),"089510445415")</f>
        <v>089510445415</v>
      </c>
      <c r="AG794" s="85"/>
      <c r="AH794" s="85" t="str">
        <f>IFERROR(__xludf.DUMMYFUNCTION("""COMPUTED_VALUE"""),"yanfaridwahid6@gmail.com")</f>
        <v>yanfaridwahid6@gmail.com</v>
      </c>
      <c r="AI794" s="85" t="str">
        <f>IFERROR(__xludf.DUMMYFUNCTION("""COMPUTED_VALUE"""),"41371S3")</f>
        <v>41371S3</v>
      </c>
      <c r="AJ794" s="85" t="str">
        <f>IFERROR(__xludf.DUMMYFUNCTION("""COMPUTED_VALUE"""),"69c76c19683bb6284a05e9aa")</f>
        <v>69c76c19683bb6284a05e9aa</v>
      </c>
      <c r="AK794" s="85" t="str">
        <f>IFERROR(__xludf.DUMMYFUNCTION("""COMPUTED_VALUE"""),"yanfaridwahid6@gmail.com")</f>
        <v>yanfaridwahid6@gmail.com</v>
      </c>
      <c r="AL794" s="85" t="str">
        <f>IFERROR(__xludf.DUMMYFUNCTION("""COMPUTED_VALUE"""),"#Muc41371S3$")</f>
        <v>#Muc41371S3$</v>
      </c>
      <c r="AM794" s="85" t="str">
        <f>IFERROR(__xludf.DUMMYFUNCTION("""COMPUTED_VALUE"""),"KANTOR REGIONAL III BANDUNG 40004")</f>
        <v>KANTOR REGIONAL III BANDUNG 40004</v>
      </c>
      <c r="AN794" s="85" t="str">
        <f>IFERROR(__xludf.DUMMYFUNCTION("""COMPUTED_VALUE"""),"KCU KARAWANG 41300")</f>
        <v>KCU KARAWANG 41300</v>
      </c>
      <c r="AO794" s="85" t="str">
        <f>IFERROR(__xludf.DUMMYFUNCTION("""COMPUTED_VALUE"""),"MENYUSUL")</f>
        <v>MENYUSUL</v>
      </c>
      <c r="AP794" s="85" t="str">
        <f>IFERROR(__xludf.DUMMYFUNCTION("""COMPUTED_VALUE"""),"MENYUSUL")</f>
        <v>MENYUSUL</v>
      </c>
      <c r="AQ794" s="93"/>
      <c r="AR794" s="85"/>
      <c r="AS794" s="85"/>
      <c r="AT794" s="85" t="str">
        <f>IFERROR(__xludf.DUMMYFUNCTION("""COMPUTED_VALUE"""),"-6.358195")</f>
        <v>-6.358195</v>
      </c>
      <c r="AU794" s="85" t="str">
        <f>IFERROR(__xludf.DUMMYFUNCTION("""COMPUTED_VALUE"""),"107.385002")</f>
        <v>107.385002</v>
      </c>
      <c r="AV794" s="85"/>
      <c r="AW794" s="85"/>
      <c r="AX794" s="85"/>
      <c r="AY794" s="85"/>
      <c r="AZ794" s="85"/>
      <c r="BA794" s="85"/>
      <c r="BB794" s="85"/>
      <c r="BC794" s="85"/>
      <c r="BD794" s="85"/>
      <c r="BE794" s="85"/>
      <c r="BF794" s="85"/>
      <c r="BG794" s="85"/>
      <c r="BH794" s="85"/>
      <c r="BI794" s="85"/>
      <c r="BJ794" s="85"/>
      <c r="BK794" s="85"/>
      <c r="BL794" s="85"/>
      <c r="BM794" s="85"/>
      <c r="BN794" s="85"/>
      <c r="BO794" s="85"/>
      <c r="BP794" s="85"/>
      <c r="BQ794" s="85"/>
      <c r="BR794" s="85"/>
      <c r="BS794" s="85"/>
      <c r="BT794" s="85"/>
      <c r="BU794" s="85"/>
      <c r="BV794" s="85"/>
      <c r="BW794" s="85"/>
      <c r="BX794" s="85" t="str">
        <f>IFERROR(__xludf.DUMMYFUNCTION("""COMPUTED_VALUE"""),"NEWBIE")</f>
        <v>NEWBIE</v>
      </c>
      <c r="BY794" s="85"/>
      <c r="BZ794" s="85"/>
      <c r="CA794" s="85"/>
      <c r="CB794" s="85"/>
      <c r="CC794" s="85"/>
      <c r="CD794" s="85"/>
      <c r="CE794" s="85"/>
      <c r="CF794" s="85"/>
      <c r="CG794" s="85"/>
      <c r="CH794" s="85"/>
      <c r="CI794" s="85"/>
      <c r="CJ794" s="85"/>
      <c r="CK794" s="2"/>
    </row>
    <row r="795" ht="12.75" customHeight="1">
      <c r="A795" s="80">
        <f>IFERROR(__xludf.DUMMYFUNCTION("""COMPUTED_VALUE"""),791.0)</f>
        <v>791</v>
      </c>
      <c r="B795" s="80"/>
      <c r="C795" s="80"/>
      <c r="D795" s="81">
        <f>IFERROR(__xludf.DUMMYFUNCTION("""COMPUTED_VALUE"""),46043.0)</f>
        <v>46043</v>
      </c>
      <c r="E795" s="82"/>
      <c r="F795" s="80"/>
      <c r="G795" s="81">
        <f>IFERROR(__xludf.DUMMYFUNCTION("""COMPUTED_VALUE"""),46062.0)</f>
        <v>46062</v>
      </c>
      <c r="H795" s="80"/>
      <c r="I795" s="80"/>
      <c r="J795" s="80"/>
      <c r="K795" s="80"/>
      <c r="L795" s="80">
        <f>IFERROR(__xludf.DUMMYFUNCTION("""COMPUTED_VALUE"""),19.0)</f>
        <v>19</v>
      </c>
      <c r="M795" s="80" t="str">
        <f>IFERROR(__xludf.DUMMYFUNCTION("""COMPUTED_VALUE"""),"ü")</f>
        <v>ü</v>
      </c>
      <c r="N795" s="80"/>
      <c r="O795" s="80"/>
      <c r="P795" s="80" t="str">
        <f>IFERROR(__xludf.DUMMYFUNCTION("""COMPUTED_VALUE"""),"MUCSPA63350PSIND")</f>
        <v>MUCSPA63350PSIND</v>
      </c>
      <c r="Q795" s="80" t="str">
        <f>IFERROR(__xludf.DUMMYFUNCTION("""COMPUTED_VALUE"""),"MUC AQIL CELL")</f>
        <v>MUC AQIL CELL</v>
      </c>
      <c r="R795" s="80" t="str">
        <f>IFERROR(__xludf.DUMMYFUNCTION("""COMPUTED_VALUE"""),"MUC AQIL CELL")</f>
        <v>MUC AQIL CELL</v>
      </c>
      <c r="S795" s="80" t="str">
        <f>IFERROR(__xludf.DUMMYFUNCTION("""COMPUTED_VALUE"""),"M. YANI")</f>
        <v>M. YANI</v>
      </c>
      <c r="T795" s="80" t="str">
        <f>IFERROR(__xludf.DUMMYFUNCTION("""COMPUTED_VALUE"""),"DSN. MOUN MANCANG, SIGLENG, TRUMON, KAB. ACEH SELATAN, PROV ACEH")</f>
        <v>DSN. MOUN MANCANG, SIGLENG, TRUMON, KAB. ACEH SELATAN, PROV ACEH</v>
      </c>
      <c r="U795" s="80" t="str">
        <f>IFERROR(__xludf.DUMMYFUNCTION("""COMPUTED_VALUE"""),"DSN. MOUN MANCANG")</f>
        <v>DSN. MOUN MANCANG</v>
      </c>
      <c r="V795" s="80"/>
      <c r="W795" s="80" t="str">
        <f>IFERROR(__xludf.DUMMYFUNCTION("""COMPUTED_VALUE"""),"Sigleng")</f>
        <v>Sigleng</v>
      </c>
      <c r="X795" s="80" t="str">
        <f>IFERROR(__xludf.DUMMYFUNCTION("""COMPUTED_VALUE"""),"Trumon")</f>
        <v>Trumon</v>
      </c>
      <c r="Y795" s="80" t="str">
        <f>IFERROR(__xludf.DUMMYFUNCTION("""COMPUTED_VALUE"""),"Kab. Aceh Selatan")</f>
        <v>Kab. Aceh Selatan</v>
      </c>
      <c r="Z795" s="80" t="str">
        <f>IFERROR(__xludf.DUMMYFUNCTION("""COMPUTED_VALUE"""),"Aceh ")</f>
        <v>Aceh </v>
      </c>
      <c r="AA795" s="80" t="str">
        <f>IFERROR(__xludf.DUMMYFUNCTION("""COMPUTED_VALUE"""),"23774")</f>
        <v>23774</v>
      </c>
      <c r="AB795" s="80" t="str">
        <f>IFERROR(__xludf.DUMMYFUNCTION("""COMPUTED_VALUE"""),"1101091207950001")</f>
        <v>1101091207950001</v>
      </c>
      <c r="AC795" s="80" t="str">
        <f>IFERROR(__xludf.DUMMYFUNCTION("""COMPUTED_VALUE"""),"62.171.652.1-106.000")</f>
        <v>62.171.652.1-106.000</v>
      </c>
      <c r="AD795" s="80" t="str">
        <f>IFERROR(__xludf.DUMMYFUNCTION("""COMPUTED_VALUE"""),"CUM - PS - RIFI")</f>
        <v>CUM - PS - RIFI</v>
      </c>
      <c r="AE795" s="80" t="str">
        <f>IFERROR(__xludf.DUMMYFUNCTION("""COMPUTED_VALUE"""),"SUB RINA POS")</f>
        <v>SUB RINA POS</v>
      </c>
      <c r="AF795" s="80" t="str">
        <f>IFERROR(__xludf.DUMMYFUNCTION("""COMPUTED_VALUE"""),"082237972727")</f>
        <v>082237972727</v>
      </c>
      <c r="AG795" s="80"/>
      <c r="AH795" s="80" t="str">
        <f>IFERROR(__xludf.DUMMYFUNCTION("""COMPUTED_VALUE"""),"myaniacsel@gmail.com")</f>
        <v>myaniacsel@gmail.com</v>
      </c>
      <c r="AI795" s="80" t="str">
        <f>IFERROR(__xludf.DUMMYFUNCTION("""COMPUTED_VALUE"""),"23774S1")</f>
        <v>23774S1</v>
      </c>
      <c r="AJ795" s="80" t="str">
        <f>IFERROR(__xludf.DUMMYFUNCTION("""COMPUTED_VALUE"""),"69883e731f9f3ab9fb00f22a")</f>
        <v>69883e731f9f3ab9fb00f22a</v>
      </c>
      <c r="AK795" s="80" t="str">
        <f>IFERROR(__xludf.DUMMYFUNCTION("""COMPUTED_VALUE"""),"myaniacsel@gmail.com")</f>
        <v>myaniacsel@gmail.com</v>
      </c>
      <c r="AL795" s="80" t="str">
        <f>IFERROR(__xludf.DUMMYFUNCTION("""COMPUTED_VALUE"""),"#Muc23774S1$*")</f>
        <v>#Muc23774S1$*</v>
      </c>
      <c r="AM795" s="80" t="str">
        <f>IFERROR(__xludf.DUMMYFUNCTION("""COMPUTED_VALUE"""),"KANTOR REGIONAL I MEDAN 20004")</f>
        <v>KANTOR REGIONAL I MEDAN 20004</v>
      </c>
      <c r="AN795" s="80" t="str">
        <f>IFERROR(__xludf.DUMMYFUNCTION("""COMPUTED_VALUE"""),"KC TAPAKTUAN")</f>
        <v>KC TAPAKTUAN</v>
      </c>
      <c r="AO795" s="80" t="str">
        <f>IFERROR(__xludf.DUMMYFUNCTION("""COMPUTED_VALUE"""),"MENYUSUL")</f>
        <v>MENYUSUL</v>
      </c>
      <c r="AP795" s="80" t="str">
        <f>IFERROR(__xludf.DUMMYFUNCTION("""COMPUTED_VALUE"""),"MENYUSUL")</f>
        <v>MENYUSUL</v>
      </c>
      <c r="AQ795" s="83"/>
      <c r="AR795" s="80"/>
      <c r="AS795" s="80"/>
      <c r="AT795" s="80" t="str">
        <f>IFERROR(__xludf.DUMMYFUNCTION("""COMPUTED_VALUE"""),"2.8593162")</f>
        <v>2.8593162</v>
      </c>
      <c r="AU795" s="80" t="str">
        <f>IFERROR(__xludf.DUMMYFUNCTION("""COMPUTED_VALUE"""),"97.6289666")</f>
        <v>97.6289666</v>
      </c>
      <c r="AV795" s="80"/>
      <c r="AW795" s="80"/>
      <c r="AX795" s="80"/>
      <c r="AY795" s="80"/>
      <c r="AZ795" s="80"/>
      <c r="BA795" s="80"/>
      <c r="BB795" s="80"/>
      <c r="BC795" s="80"/>
      <c r="BD795" s="80"/>
      <c r="BE795" s="80"/>
      <c r="BF795" s="80"/>
      <c r="BG795" s="80"/>
      <c r="BH795" s="80"/>
      <c r="BI795" s="80"/>
      <c r="BJ795" s="80"/>
      <c r="BK795" s="80"/>
      <c r="BL795" s="80"/>
      <c r="BM795" s="80"/>
      <c r="BN795" s="80"/>
      <c r="BO795" s="80"/>
      <c r="BP795" s="80"/>
      <c r="BQ795" s="80"/>
      <c r="BR795" s="80"/>
      <c r="BS795" s="80"/>
      <c r="BT795" s="80"/>
      <c r="BU795" s="80"/>
      <c r="BV795" s="80"/>
      <c r="BW795" s="80"/>
      <c r="BX795" s="80" t="str">
        <f>IFERROR(__xludf.DUMMYFUNCTION("""COMPUTED_VALUE"""),"NEWBIE")</f>
        <v>NEWBIE</v>
      </c>
      <c r="BY795" s="80"/>
      <c r="BZ795" s="80"/>
      <c r="CA795" s="80"/>
      <c r="CB795" s="80"/>
      <c r="CC795" s="80"/>
      <c r="CD795" s="80"/>
      <c r="CE795" s="80"/>
      <c r="CF795" s="80"/>
      <c r="CG795" s="80"/>
      <c r="CH795" s="80"/>
      <c r="CI795" s="80"/>
      <c r="CJ795" s="80"/>
      <c r="CK795" s="2"/>
    </row>
    <row r="796" ht="12.75" customHeight="1">
      <c r="A796" s="85">
        <f>IFERROR(__xludf.DUMMYFUNCTION("""COMPUTED_VALUE"""),792.0)</f>
        <v>792</v>
      </c>
      <c r="B796" s="85"/>
      <c r="C796" s="85"/>
      <c r="D796" s="86">
        <f>IFERROR(__xludf.DUMMYFUNCTION("""COMPUTED_VALUE"""),46043.0)</f>
        <v>46043</v>
      </c>
      <c r="E796" s="88"/>
      <c r="F796" s="85"/>
      <c r="G796" s="86">
        <f>IFERROR(__xludf.DUMMYFUNCTION("""COMPUTED_VALUE"""),46066.0)</f>
        <v>46066</v>
      </c>
      <c r="H796" s="85"/>
      <c r="I796" s="85"/>
      <c r="J796" s="85"/>
      <c r="K796" s="85"/>
      <c r="L796" s="85">
        <f>IFERROR(__xludf.DUMMYFUNCTION("""COMPUTED_VALUE"""),23.0)</f>
        <v>23</v>
      </c>
      <c r="M796" s="85"/>
      <c r="N796" s="85" t="str">
        <f>IFERROR(__xludf.DUMMYFUNCTION("""COMPUTED_VALUE"""),"ü")</f>
        <v>ü</v>
      </c>
      <c r="O796" s="85"/>
      <c r="P796" s="85" t="str">
        <f>IFERROR(__xludf.DUMMYFUNCTION("""COMPUTED_VALUE"""),"MLO5500069CUMPOS")</f>
        <v>MLO5500069CUMPOS</v>
      </c>
      <c r="Q796" s="85" t="str">
        <f>IFERROR(__xludf.DUMMYFUNCTION("""COMPUTED_VALUE"""),"MUC Nurlaela Olshop ")</f>
        <v>MUC Nurlaela Olshop </v>
      </c>
      <c r="R796" s="85" t="str">
        <f>IFERROR(__xludf.DUMMYFUNCTION("""COMPUTED_VALUE"""),"MUC Nurlaela Olshop ")</f>
        <v>MUC Nurlaela Olshop </v>
      </c>
      <c r="S796" s="85" t="str">
        <f>IFERROR(__xludf.DUMMYFUNCTION("""COMPUTED_VALUE"""),"Supriadi")</f>
        <v>Supriadi</v>
      </c>
      <c r="T796" s="85" t="str">
        <f>IFERROR(__xludf.DUMMYFUNCTION("""COMPUTED_VALUE"""),"Dusun 02 No.79 Rt.003 Rw.003 Kel.Kubangdeleg Kec.Karangwareng")</f>
        <v>Dusun 02 No.79 Rt.003 Rw.003 Kel.Kubangdeleg Kec.Karangwareng</v>
      </c>
      <c r="U796" s="85" t="str">
        <f>IFERROR(__xludf.DUMMYFUNCTION("""COMPUTED_VALUE"""),"Jl.Karang Anyar - Karangwareng No.122")</f>
        <v>Jl.Karang Anyar - Karangwareng No.122</v>
      </c>
      <c r="V796" s="85"/>
      <c r="W796" s="85" t="str">
        <f>IFERROR(__xludf.DUMMYFUNCTION("""COMPUTED_VALUE"""),"Karangwangi")</f>
        <v>Karangwangi</v>
      </c>
      <c r="X796" s="85" t="str">
        <f>IFERROR(__xludf.DUMMYFUNCTION("""COMPUTED_VALUE"""),"Karangwareng ")</f>
        <v>Karangwareng </v>
      </c>
      <c r="Y796" s="85" t="str">
        <f>IFERROR(__xludf.DUMMYFUNCTION("""COMPUTED_VALUE"""),"Kab.Cirebon")</f>
        <v>Kab.Cirebon</v>
      </c>
      <c r="Z796" s="85" t="str">
        <f>IFERROR(__xludf.DUMMYFUNCTION("""COMPUTED_VALUE"""),"Jawa Barat")</f>
        <v>Jawa Barat</v>
      </c>
      <c r="AA796" s="85" t="str">
        <f>IFERROR(__xludf.DUMMYFUNCTION("""COMPUTED_VALUE"""),"45186")</f>
        <v>45186</v>
      </c>
      <c r="AB796" s="85" t="str">
        <f>IFERROR(__xludf.DUMMYFUNCTION("""COMPUTED_VALUE"""),"3171010402830001")</f>
        <v>3171010402830001</v>
      </c>
      <c r="AC796" s="85" t="str">
        <f>IFERROR(__xludf.DUMMYFUNCTION("""COMPUTED_VALUE"""),"69.215.841.3-074.000")</f>
        <v>69.215.841.3-074.000</v>
      </c>
      <c r="AD796" s="85" t="str">
        <f>IFERROR(__xludf.DUMMYFUNCTION("""COMPUTED_VALUE"""),"NON KORGEN")</f>
        <v>NON KORGEN</v>
      </c>
      <c r="AE796" s="85" t="str">
        <f>IFERROR(__xludf.DUMMYFUNCTION("""COMPUTED_VALUE"""),"BU LIA KCP SINDANG LAUT")</f>
        <v>BU LIA KCP SINDANG LAUT</v>
      </c>
      <c r="AF796" s="85" t="str">
        <f>IFERROR(__xludf.DUMMYFUNCTION("""COMPUTED_VALUE"""),"081218934530")</f>
        <v>081218934530</v>
      </c>
      <c r="AG796" s="85"/>
      <c r="AH796" s="85" t="str">
        <f>IFERROR(__xludf.DUMMYFUNCTION("""COMPUTED_VALUE"""),"supriadiempi73@gmail.com")</f>
        <v>supriadiempi73@gmail.com</v>
      </c>
      <c r="AI796" s="85" t="str">
        <f>IFERROR(__xludf.DUMMYFUNCTION("""COMPUTED_VALUE"""),"45695S2")</f>
        <v>45695S2</v>
      </c>
      <c r="AJ796" s="85" t="str">
        <f>IFERROR(__xludf.DUMMYFUNCTION("""COMPUTED_VALUE"""),"698af6149fbaebc91c09f22a")</f>
        <v>698af6149fbaebc91c09f22a</v>
      </c>
      <c r="AK796" s="85" t="str">
        <f>IFERROR(__xludf.DUMMYFUNCTION("""COMPUTED_VALUE"""),"supriadiempi73@gmail.com")</f>
        <v>supriadiempi73@gmail.com</v>
      </c>
      <c r="AL796" s="85" t="str">
        <f>IFERROR(__xludf.DUMMYFUNCTION("""COMPUTED_VALUE"""),"#Muc45695S2&amp;")</f>
        <v>#Muc45695S2&amp;</v>
      </c>
      <c r="AM796" s="85" t="str">
        <f>IFERROR(__xludf.DUMMYFUNCTION("""COMPUTED_VALUE"""),"KANTOR REGIONAL III BANDUNG 40004")</f>
        <v>KANTOR REGIONAL III BANDUNG 40004</v>
      </c>
      <c r="AN796" s="85" t="str">
        <f>IFERROR(__xludf.DUMMYFUNCTION("""COMPUTED_VALUE"""),"KCU CIREBON 45100")</f>
        <v>KCU CIREBON 45100</v>
      </c>
      <c r="AO796" s="85" t="str">
        <f>IFERROR(__xludf.DUMMYFUNCTION("""COMPUTED_VALUE"""),"2702250001343 ")</f>
        <v>2702250001343 </v>
      </c>
      <c r="AP796" s="85" t="str">
        <f>IFERROR(__xludf.DUMMYFUNCTION("""COMPUTED_VALUE"""),"MENYUSUL")</f>
        <v>MENYUSUL</v>
      </c>
      <c r="AQ796" s="93"/>
      <c r="AR796" s="85"/>
      <c r="AS796" s="85"/>
      <c r="AT796" s="85" t="str">
        <f>IFERROR(__xludf.DUMMYFUNCTION("""COMPUTED_VALUE"""),"-6.837139")</f>
        <v>-6.837139</v>
      </c>
      <c r="AU796" s="85" t="str">
        <f>IFERROR(__xludf.DUMMYFUNCTION("""COMPUTED_VALUE"""),"108.620748")</f>
        <v>108.620748</v>
      </c>
      <c r="AV796" s="85"/>
      <c r="AW796" s="85"/>
      <c r="AX796" s="85"/>
      <c r="AY796" s="85"/>
      <c r="AZ796" s="85"/>
      <c r="BA796" s="85"/>
      <c r="BB796" s="85"/>
      <c r="BC796" s="85"/>
      <c r="BD796" s="85"/>
      <c r="BE796" s="85"/>
      <c r="BF796" s="85"/>
      <c r="BG796" s="85"/>
      <c r="BH796" s="85"/>
      <c r="BI796" s="85"/>
      <c r="BJ796" s="85"/>
      <c r="BK796" s="85"/>
      <c r="BL796" s="85"/>
      <c r="BM796" s="85"/>
      <c r="BN796" s="85"/>
      <c r="BO796" s="85"/>
      <c r="BP796" s="85"/>
      <c r="BQ796" s="85"/>
      <c r="BR796" s="85"/>
      <c r="BS796" s="85"/>
      <c r="BT796" s="85"/>
      <c r="BU796" s="85"/>
      <c r="BV796" s="85"/>
      <c r="BW796" s="85"/>
      <c r="BX796" s="85" t="str">
        <f>IFERROR(__xludf.DUMMYFUNCTION("""COMPUTED_VALUE"""),"SELLER")</f>
        <v>SELLER</v>
      </c>
      <c r="BY796" s="85"/>
      <c r="BZ796" s="85"/>
      <c r="CA796" s="85"/>
      <c r="CB796" s="85"/>
      <c r="CC796" s="85"/>
      <c r="CD796" s="85"/>
      <c r="CE796" s="85"/>
      <c r="CF796" s="85"/>
      <c r="CG796" s="85"/>
      <c r="CH796" s="85"/>
      <c r="CI796" s="85"/>
      <c r="CJ796" s="85"/>
      <c r="CK796" s="2"/>
    </row>
    <row r="797" ht="12.75" customHeight="1">
      <c r="A797" s="80">
        <f>IFERROR(__xludf.DUMMYFUNCTION("""COMPUTED_VALUE"""),793.0)</f>
        <v>793</v>
      </c>
      <c r="B797" s="80"/>
      <c r="C797" s="80"/>
      <c r="D797" s="81">
        <f>IFERROR(__xludf.DUMMYFUNCTION("""COMPUTED_VALUE"""),46044.0)</f>
        <v>46044</v>
      </c>
      <c r="E797" s="82"/>
      <c r="F797" s="80"/>
      <c r="G797" s="81">
        <f>IFERROR(__xludf.DUMMYFUNCTION("""COMPUTED_VALUE"""),46062.0)</f>
        <v>46062</v>
      </c>
      <c r="H797" s="80"/>
      <c r="I797" s="80"/>
      <c r="J797" s="80"/>
      <c r="K797" s="80"/>
      <c r="L797" s="80">
        <f>IFERROR(__xludf.DUMMYFUNCTION("""COMPUTED_VALUE"""),18.0)</f>
        <v>18</v>
      </c>
      <c r="M797" s="80"/>
      <c r="N797" s="80" t="str">
        <f>IFERROR(__xludf.DUMMYFUNCTION("""COMPUTED_VALUE"""),"ü")</f>
        <v>ü</v>
      </c>
      <c r="O797" s="80"/>
      <c r="P797" s="80" t="str">
        <f>IFERROR(__xludf.DUMMYFUNCTION("""COMPUTED_VALUE"""),"MUCSPA63351PSIND")</f>
        <v>MUCSPA63351PSIND</v>
      </c>
      <c r="Q797" s="80" t="str">
        <f>IFERROR(__xludf.DUMMYFUNCTION("""COMPUTED_VALUE"""),"MUC INDOTEX")</f>
        <v>MUC INDOTEX</v>
      </c>
      <c r="R797" s="80" t="str">
        <f>IFERROR(__xludf.DUMMYFUNCTION("""COMPUTED_VALUE"""),"MUC INDOTEX")</f>
        <v>MUC INDOTEX</v>
      </c>
      <c r="S797" s="80" t="str">
        <f>IFERROR(__xludf.DUMMYFUNCTION("""COMPUTED_VALUE"""),"AKUB SAPUTRA")</f>
        <v>AKUB SAPUTRA</v>
      </c>
      <c r="T797" s="80" t="str">
        <f>IFERROR(__xludf.DUMMYFUNCTION("""COMPUTED_VALUE"""),"GRAND PKJ BLOK D4 NO. 17 RT 3 RW 11")</f>
        <v>GRAND PKJ BLOK D4 NO. 17 RT 3 RW 11</v>
      </c>
      <c r="U797" s="80" t="str">
        <f>IFERROR(__xludf.DUMMYFUNCTION("""COMPUTED_VALUE"""),"GRAND PKJ BLOK D4 NO. 17 RT 3 RW 11")</f>
        <v>GRAND PKJ BLOK D4 NO. 17 RT 3 RW 11</v>
      </c>
      <c r="V797" s="80"/>
      <c r="W797" s="80" t="str">
        <f>IFERROR(__xludf.DUMMYFUNCTION("""COMPUTED_VALUE"""),"RANCAMANYAR")</f>
        <v>RANCAMANYAR</v>
      </c>
      <c r="X797" s="80" t="str">
        <f>IFERROR(__xludf.DUMMYFUNCTION("""COMPUTED_VALUE"""),"BALEENDAH")</f>
        <v>BALEENDAH</v>
      </c>
      <c r="Y797" s="80" t="str">
        <f>IFERROR(__xludf.DUMMYFUNCTION("""COMPUTED_VALUE"""),"KAB. BANDUNG")</f>
        <v>KAB. BANDUNG</v>
      </c>
      <c r="Z797" s="80" t="str">
        <f>IFERROR(__xludf.DUMMYFUNCTION("""COMPUTED_VALUE"""),"JAWA BARAT")</f>
        <v>JAWA BARAT</v>
      </c>
      <c r="AA797" s="80" t="str">
        <f>IFERROR(__xludf.DUMMYFUNCTION("""COMPUTED_VALUE"""),"40375")</f>
        <v>40375</v>
      </c>
      <c r="AB797" s="80" t="str">
        <f>IFERROR(__xludf.DUMMYFUNCTION("""COMPUTED_VALUE"""),"3204081002760006")</f>
        <v>3204081002760006</v>
      </c>
      <c r="AC797" s="80" t="str">
        <f>IFERROR(__xludf.DUMMYFUNCTION("""COMPUTED_VALUE"""),"356626266444000")</f>
        <v>356626266444000</v>
      </c>
      <c r="AD797" s="80" t="str">
        <f>IFERROR(__xludf.DUMMYFUNCTION("""COMPUTED_VALUE"""),"PAK MIFTAH KC SOREANG")</f>
        <v>PAK MIFTAH KC SOREANG</v>
      </c>
      <c r="AE797" s="80" t="str">
        <f>IFERROR(__xludf.DUMMYFUNCTION("""COMPUTED_VALUE"""),"PAK MIFTAH KC SOREANG")</f>
        <v>PAK MIFTAH KC SOREANG</v>
      </c>
      <c r="AF797" s="80" t="str">
        <f>IFERROR(__xludf.DUMMYFUNCTION("""COMPUTED_VALUE"""),"083120410474")</f>
        <v>083120410474</v>
      </c>
      <c r="AG797" s="80"/>
      <c r="AH797" s="80" t="str">
        <f>IFERROR(__xludf.DUMMYFUNCTION("""COMPUTED_VALUE"""),"indotextile12@gmail.com")</f>
        <v>indotextile12@gmail.com</v>
      </c>
      <c r="AI797" s="80" t="str">
        <f>IFERROR(__xludf.DUMMYFUNCTION("""COMPUTED_VALUE"""),"40375SC")</f>
        <v>40375SC</v>
      </c>
      <c r="AJ797" s="80" t="str">
        <f>IFERROR(__xludf.DUMMYFUNCTION("""COMPUTED_VALUE"""),"69880716b485171eee0f52cd")</f>
        <v>69880716b485171eee0f52cd</v>
      </c>
      <c r="AK797" s="80" t="str">
        <f>IFERROR(__xludf.DUMMYFUNCTION("""COMPUTED_VALUE"""),"akubsaputra12@gmail.com  ")</f>
        <v>akubsaputra12@gmail.com  </v>
      </c>
      <c r="AL797" s="80" t="str">
        <f>IFERROR(__xludf.DUMMYFUNCTION("""COMPUTED_VALUE"""),"#Muc40375SC@")</f>
        <v>#Muc40375SC@</v>
      </c>
      <c r="AM797" s="80" t="str">
        <f>IFERROR(__xludf.DUMMYFUNCTION("""COMPUTED_VALUE"""),"KANTOR REGIONAL III BANDUNG 40004")</f>
        <v>KANTOR REGIONAL III BANDUNG 40004</v>
      </c>
      <c r="AN797" s="80" t="str">
        <f>IFERROR(__xludf.DUMMYFUNCTION("""COMPUTED_VALUE"""),"KC SOREANG 40900")</f>
        <v>KC SOREANG 40900</v>
      </c>
      <c r="AO797" s="80" t="str">
        <f>IFERROR(__xludf.DUMMYFUNCTION("""COMPUTED_VALUE"""),"0803240310931")</f>
        <v>0803240310931</v>
      </c>
      <c r="AP797" s="80" t="str">
        <f>IFERROR(__xludf.DUMMYFUNCTION("""COMPUTED_VALUE"""),"08032403109310001")</f>
        <v>08032403109310001</v>
      </c>
      <c r="AQ797" s="83"/>
      <c r="AR797" s="80"/>
      <c r="AS797" s="80"/>
      <c r="AT797" s="80" t="str">
        <f>IFERROR(__xludf.DUMMYFUNCTION("""COMPUTED_VALUE"""),"-7.0002437")</f>
        <v>-7.0002437</v>
      </c>
      <c r="AU797" s="80" t="str">
        <f>IFERROR(__xludf.DUMMYFUNCTION("""COMPUTED_VALUE"""),"107.5975012")</f>
        <v>107.5975012</v>
      </c>
      <c r="AV797" s="80"/>
      <c r="AW797" s="80"/>
      <c r="AX797" s="80"/>
      <c r="AY797" s="80"/>
      <c r="AZ797" s="80"/>
      <c r="BA797" s="80"/>
      <c r="BB797" s="80"/>
      <c r="BC797" s="80"/>
      <c r="BD797" s="80"/>
      <c r="BE797" s="80"/>
      <c r="BF797" s="80"/>
      <c r="BG797" s="80"/>
      <c r="BH797" s="80"/>
      <c r="BI797" s="80"/>
      <c r="BJ797" s="80"/>
      <c r="BK797" s="80"/>
      <c r="BL797" s="80"/>
      <c r="BM797" s="80"/>
      <c r="BN797" s="80"/>
      <c r="BO797" s="80"/>
      <c r="BP797" s="80"/>
      <c r="BQ797" s="80"/>
      <c r="BR797" s="80"/>
      <c r="BS797" s="80"/>
      <c r="BT797" s="80"/>
      <c r="BU797" s="80"/>
      <c r="BV797" s="80"/>
      <c r="BW797" s="80"/>
      <c r="BX797" s="80" t="str">
        <f>IFERROR(__xludf.DUMMYFUNCTION("""COMPUTED_VALUE"""),"MULTIKURIR - WAHANA")</f>
        <v>MULTIKURIR - WAHANA</v>
      </c>
      <c r="BY797" s="80"/>
      <c r="BZ797" s="80"/>
      <c r="CA797" s="80"/>
      <c r="CB797" s="80"/>
      <c r="CC797" s="80"/>
      <c r="CD797" s="80"/>
      <c r="CE797" s="80"/>
      <c r="CF797" s="80"/>
      <c r="CG797" s="80"/>
      <c r="CH797" s="80"/>
      <c r="CI797" s="80"/>
      <c r="CJ797" s="80"/>
      <c r="CK797" s="2"/>
    </row>
    <row r="798" ht="12.75" customHeight="1">
      <c r="A798" s="85">
        <f>IFERROR(__xludf.DUMMYFUNCTION("""COMPUTED_VALUE"""),794.0)</f>
        <v>794</v>
      </c>
      <c r="B798" s="85"/>
      <c r="C798" s="85"/>
      <c r="D798" s="86">
        <f>IFERROR(__xludf.DUMMYFUNCTION("""COMPUTED_VALUE"""),46044.0)</f>
        <v>46044</v>
      </c>
      <c r="E798" s="88"/>
      <c r="F798" s="85"/>
      <c r="G798" s="86">
        <f>IFERROR(__xludf.DUMMYFUNCTION("""COMPUTED_VALUE"""),46080.0)</f>
        <v>46080</v>
      </c>
      <c r="H798" s="85"/>
      <c r="I798" s="85"/>
      <c r="J798" s="85"/>
      <c r="K798" s="85"/>
      <c r="L798" s="85">
        <f>IFERROR(__xludf.DUMMYFUNCTION("""COMPUTED_VALUE"""),36.0)</f>
        <v>36</v>
      </c>
      <c r="M798" s="85"/>
      <c r="N798" s="85" t="str">
        <f>IFERROR(__xludf.DUMMYFUNCTION("""COMPUTED_VALUE"""),"ü")</f>
        <v>ü</v>
      </c>
      <c r="O798" s="85"/>
      <c r="P798" s="85" t="str">
        <f>IFERROR(__xludf.DUMMYFUNCTION("""COMPUTED_VALUE"""),"MUCSPA63352PSIND")</f>
        <v>MUCSPA63352PSIND</v>
      </c>
      <c r="Q798" s="85" t="str">
        <f>IFERROR(__xludf.DUMMYFUNCTION("""COMPUTED_VALUE"""),"MUC NUJU VIRAL")</f>
        <v>MUC NUJU VIRAL</v>
      </c>
      <c r="R798" s="85" t="str">
        <f>IFERROR(__xludf.DUMMYFUNCTION("""COMPUTED_VALUE"""),"MUC NUJU VIRAL")</f>
        <v>MUC NUJU VIRAL</v>
      </c>
      <c r="S798" s="85" t="str">
        <f>IFERROR(__xludf.DUMMYFUNCTION("""COMPUTED_VALUE"""),"ZIMMY SLAMET")</f>
        <v>ZIMMY SLAMET</v>
      </c>
      <c r="T798" s="85" t="str">
        <f>IFERROR(__xludf.DUMMYFUNCTION("""COMPUTED_VALUE"""),"PERUM AL BALAD RT 2 RW 22")</f>
        <v>PERUM AL BALAD RT 2 RW 22</v>
      </c>
      <c r="U798" s="85" t="str">
        <f>IFERROR(__xludf.DUMMYFUNCTION("""COMPUTED_VALUE"""),"JL. TAMANJAYA")</f>
        <v>JL. TAMANJAYA</v>
      </c>
      <c r="V798" s="85"/>
      <c r="W798" s="85" t="str">
        <f>IFERROR(__xludf.DUMMYFUNCTION("""COMPUTED_VALUE"""),"TAMANJAYA")</f>
        <v>TAMANJAYA</v>
      </c>
      <c r="X798" s="85" t="str">
        <f>IFERROR(__xludf.DUMMYFUNCTION("""COMPUTED_VALUE"""),"TAMANSARI")</f>
        <v>TAMANSARI</v>
      </c>
      <c r="Y798" s="85" t="str">
        <f>IFERROR(__xludf.DUMMYFUNCTION("""COMPUTED_VALUE"""),"TASIKMALAYA")</f>
        <v>TASIKMALAYA</v>
      </c>
      <c r="Z798" s="85" t="str">
        <f>IFERROR(__xludf.DUMMYFUNCTION("""COMPUTED_VALUE"""),"JAWA BARAT")</f>
        <v>JAWA BARAT</v>
      </c>
      <c r="AA798" s="85" t="str">
        <f>IFERROR(__xludf.DUMMYFUNCTION("""COMPUTED_VALUE"""),"46147")</f>
        <v>46147</v>
      </c>
      <c r="AB798" s="85" t="str">
        <f>IFERROR(__xludf.DUMMYFUNCTION("""COMPUTED_VALUE"""),"3278052211880003")</f>
        <v>3278052211880003</v>
      </c>
      <c r="AC798" s="85" t="str">
        <f>IFERROR(__xludf.DUMMYFUNCTION("""COMPUTED_VALUE"""),"3278 0522 1188 0003")</f>
        <v>3278 0522 1188 0003</v>
      </c>
      <c r="AD798" s="85" t="str">
        <f>IFERROR(__xludf.DUMMYFUNCTION("""COMPUTED_VALUE"""),"CUM - PS - IKF")</f>
        <v>CUM - PS - IKF</v>
      </c>
      <c r="AE798" s="85" t="str">
        <f>IFERROR(__xludf.DUMMYFUNCTION("""COMPUTED_VALUE"""),"SUB IKHFAN POS")</f>
        <v>SUB IKHFAN POS</v>
      </c>
      <c r="AF798" s="85" t="str">
        <f>IFERROR(__xludf.DUMMYFUNCTION("""COMPUTED_VALUE"""),"085333602005")</f>
        <v>085333602005</v>
      </c>
      <c r="AG798" s="85"/>
      <c r="AH798" s="85" t="str">
        <f>IFERROR(__xludf.DUMMYFUNCTION("""COMPUTED_VALUE"""),"zimmyslamet@gmail.com")</f>
        <v>zimmyslamet@gmail.com</v>
      </c>
      <c r="AI798" s="85" t="str">
        <f>IFERROR(__xludf.DUMMYFUNCTION("""COMPUTED_VALUE"""),"46147S1")</f>
        <v>46147S1</v>
      </c>
      <c r="AJ798" s="85" t="str">
        <f>IFERROR(__xludf.DUMMYFUNCTION("""COMPUTED_VALUE"""),"69a146088541bd07600d83b6")</f>
        <v>69a146088541bd07600d83b6</v>
      </c>
      <c r="AK798" s="85"/>
      <c r="AL798" s="85"/>
      <c r="AM798" s="85" t="str">
        <f>IFERROR(__xludf.DUMMYFUNCTION("""COMPUTED_VALUE"""),"KANTOR REGIONAL III BANDUNG 40004")</f>
        <v>KANTOR REGIONAL III BANDUNG 40004</v>
      </c>
      <c r="AN798" s="85" t="str">
        <f>IFERROR(__xludf.DUMMYFUNCTION("""COMPUTED_VALUE"""),"KC TASIKMALAYA")</f>
        <v>KC TASIKMALAYA</v>
      </c>
      <c r="AO798" s="85" t="str">
        <f>IFERROR(__xludf.DUMMYFUNCTION("""COMPUTED_VALUE"""),"0227010000488")</f>
        <v>0227010000488</v>
      </c>
      <c r="AP798" s="85" t="str">
        <f>IFERROR(__xludf.DUMMYFUNCTION("""COMPUTED_VALUE"""),"MENYUSUL")</f>
        <v>MENYUSUL</v>
      </c>
      <c r="AQ798" s="93"/>
      <c r="AR798" s="85"/>
      <c r="AS798" s="85"/>
      <c r="AT798" s="85" t="str">
        <f>IFERROR(__xludf.DUMMYFUNCTION("""COMPUTED_VALUE"""),"-7.385100")</f>
        <v>-7.385100</v>
      </c>
      <c r="AU798" s="85" t="str">
        <f>IFERROR(__xludf.DUMMYFUNCTION("""COMPUTED_VALUE"""),"108.240199")</f>
        <v>108.240199</v>
      </c>
      <c r="AV798" s="85"/>
      <c r="AW798" s="85"/>
      <c r="AX798" s="85"/>
      <c r="AY798" s="85"/>
      <c r="AZ798" s="85"/>
      <c r="BA798" s="85"/>
      <c r="BB798" s="85"/>
      <c r="BC798" s="85"/>
      <c r="BD798" s="85"/>
      <c r="BE798" s="85"/>
      <c r="BF798" s="85"/>
      <c r="BG798" s="85"/>
      <c r="BH798" s="85"/>
      <c r="BI798" s="85"/>
      <c r="BJ798" s="85"/>
      <c r="BK798" s="85"/>
      <c r="BL798" s="85"/>
      <c r="BM798" s="85"/>
      <c r="BN798" s="85"/>
      <c r="BO798" s="85"/>
      <c r="BP798" s="85"/>
      <c r="BQ798" s="85"/>
      <c r="BR798" s="85"/>
      <c r="BS798" s="85"/>
      <c r="BT798" s="85"/>
      <c r="BU798" s="85"/>
      <c r="BV798" s="85"/>
      <c r="BW798" s="85"/>
      <c r="BX798" s="85" t="str">
        <f>IFERROR(__xludf.DUMMYFUNCTION("""COMPUTED_VALUE"""),"NEWBIE")</f>
        <v>NEWBIE</v>
      </c>
      <c r="BY798" s="85"/>
      <c r="BZ798" s="85"/>
      <c r="CA798" s="85"/>
      <c r="CB798" s="85"/>
      <c r="CC798" s="85"/>
      <c r="CD798" s="85"/>
      <c r="CE798" s="85"/>
      <c r="CF798" s="85"/>
      <c r="CG798" s="85"/>
      <c r="CH798" s="85"/>
      <c r="CI798" s="85"/>
      <c r="CJ798" s="85"/>
      <c r="CK798" s="2"/>
    </row>
    <row r="799" ht="12.75" customHeight="1">
      <c r="A799" s="80">
        <f>IFERROR(__xludf.DUMMYFUNCTION("""COMPUTED_VALUE"""),795.0)</f>
        <v>795</v>
      </c>
      <c r="B799" s="80"/>
      <c r="C799" s="80"/>
      <c r="D799" s="81">
        <f>IFERROR(__xludf.DUMMYFUNCTION("""COMPUTED_VALUE"""),46044.0)</f>
        <v>46044</v>
      </c>
      <c r="E799" s="82"/>
      <c r="F799" s="80"/>
      <c r="G799" s="81">
        <f>IFERROR(__xludf.DUMMYFUNCTION("""COMPUTED_VALUE"""),46080.0)</f>
        <v>46080</v>
      </c>
      <c r="H799" s="80"/>
      <c r="I799" s="80"/>
      <c r="J799" s="80"/>
      <c r="K799" s="80"/>
      <c r="L799" s="80">
        <f>IFERROR(__xludf.DUMMYFUNCTION("""COMPUTED_VALUE"""),36.0)</f>
        <v>36</v>
      </c>
      <c r="M799" s="80" t="str">
        <f>IFERROR(__xludf.DUMMYFUNCTION("""COMPUTED_VALUE"""),"ü")</f>
        <v>ü</v>
      </c>
      <c r="N799" s="80"/>
      <c r="O799" s="80"/>
      <c r="P799" s="80" t="str">
        <f>IFERROR(__xludf.DUMMYFUNCTION("""COMPUTED_VALUE"""),"52BSPA07553JTGKR")</f>
        <v>52BSPA07553JTGKR</v>
      </c>
      <c r="Q799" s="80" t="str">
        <f>IFERROR(__xludf.DUMMYFUNCTION("""COMPUTED_VALUE"""),"MUC Akhazna")</f>
        <v>MUC Akhazna</v>
      </c>
      <c r="R799" s="80" t="str">
        <f>IFERROR(__xludf.DUMMYFUNCTION("""COMPUTED_VALUE"""),"MUC Akhazna")</f>
        <v>MUC Akhazna</v>
      </c>
      <c r="S799" s="80" t="str">
        <f>IFERROR(__xludf.DUMMYFUNCTION("""COMPUTED_VALUE"""),"Haryadi SE. Ak")</f>
        <v>Haryadi SE. Ak</v>
      </c>
      <c r="T799" s="80" t="str">
        <f>IFERROR(__xludf.DUMMYFUNCTION("""COMPUTED_VALUE"""),"JL. LAWU NO. 29 A RT.006 RW.005, SIDANEGARA, CILACAP TENGAH, CILACAP")</f>
        <v>JL. LAWU NO. 29 A RT.006 RW.005, SIDANEGARA, CILACAP TENGAH, CILACAP</v>
      </c>
      <c r="U799" s="80" t="str">
        <f>IFERROR(__xludf.DUMMYFUNCTION("""COMPUTED_VALUE"""),"Perumahan BKD Blok 40 No 266 ")</f>
        <v>Perumahan BKD Blok 40 No 266 </v>
      </c>
      <c r="V799" s="80"/>
      <c r="W799" s="80" t="str">
        <f>IFERROR(__xludf.DUMMYFUNCTION("""COMPUTED_VALUE"""),"Kebon Manis")</f>
        <v>Kebon Manis</v>
      </c>
      <c r="X799" s="80" t="str">
        <f>IFERROR(__xludf.DUMMYFUNCTION("""COMPUTED_VALUE"""),"Cilacap Tengah")</f>
        <v>Cilacap Tengah</v>
      </c>
      <c r="Y799" s="80" t="str">
        <f>IFERROR(__xludf.DUMMYFUNCTION("""COMPUTED_VALUE"""),"Cilacap")</f>
        <v>Cilacap</v>
      </c>
      <c r="Z799" s="80" t="str">
        <f>IFERROR(__xludf.DUMMYFUNCTION("""COMPUTED_VALUE"""),"Jawa Tengah ")</f>
        <v>Jawa Tengah </v>
      </c>
      <c r="AA799" s="80" t="str">
        <f>IFERROR(__xludf.DUMMYFUNCTION("""COMPUTED_VALUE"""),"53231")</f>
        <v>53231</v>
      </c>
      <c r="AB799" s="80" t="str">
        <f>IFERROR(__xludf.DUMMYFUNCTION("""COMPUTED_VALUE"""),"3214121101790001")</f>
        <v>3214121101790001</v>
      </c>
      <c r="AC799" s="80" t="str">
        <f>IFERROR(__xludf.DUMMYFUNCTION("""COMPUTED_VALUE"""),"39.537.7161-522.000")</f>
        <v>39.537.7161-522.000</v>
      </c>
      <c r="AD799" s="80" t="str">
        <f>IFERROR(__xludf.DUMMYFUNCTION("""COMPUTED_VALUE"""),"CUM - KRS")</f>
        <v>CUM - KRS</v>
      </c>
      <c r="AE799" s="80" t="str">
        <f>IFERROR(__xludf.DUMMYFUNCTION("""COMPUTED_VALUE"""),"SUB KARSINI")</f>
        <v>SUB KARSINI</v>
      </c>
      <c r="AF799" s="80" t="str">
        <f>IFERROR(__xludf.DUMMYFUNCTION("""COMPUTED_VALUE"""),"085697033491")</f>
        <v>085697033491</v>
      </c>
      <c r="AG799" s="80"/>
      <c r="AH799" s="80" t="str">
        <f>IFERROR(__xludf.DUMMYFUNCTION("""COMPUTED_VALUE"""),"haryadifile@gmail.com")</f>
        <v>haryadifile@gmail.com</v>
      </c>
      <c r="AI799" s="80" t="str">
        <f>IFERROR(__xludf.DUMMYFUNCTION("""COMPUTED_VALUE"""),"53235S3")</f>
        <v>53235S3</v>
      </c>
      <c r="AJ799" s="80" t="str">
        <f>IFERROR(__xludf.DUMMYFUNCTION("""COMPUTED_VALUE"""),"6991299827d2fdbfb706985a")</f>
        <v>6991299827d2fdbfb706985a</v>
      </c>
      <c r="AK799" s="80" t="str">
        <f>IFERROR(__xludf.DUMMYFUNCTION("""COMPUTED_VALUE"""),"haryadifile@gmail.com ")</f>
        <v>haryadifile@gmail.com </v>
      </c>
      <c r="AL799" s="80" t="str">
        <f>IFERROR(__xludf.DUMMYFUNCTION("""COMPUTED_VALUE"""),"!Muc53235S3*")</f>
        <v>!Muc53235S3*</v>
      </c>
      <c r="AM799" s="80" t="str">
        <f>IFERROR(__xludf.DUMMYFUNCTION("""COMPUTED_VALUE"""),"KANTOR REGIONAL IV SEMARANG 50004")</f>
        <v>KANTOR REGIONAL IV SEMARANG 50004</v>
      </c>
      <c r="AN799" s="80" t="str">
        <f>IFERROR(__xludf.DUMMYFUNCTION("""COMPUTED_VALUE"""),"KC CILACAP ")</f>
        <v>KC CILACAP </v>
      </c>
      <c r="AO799" s="80" t="str">
        <f>IFERROR(__xludf.DUMMYFUNCTION("""COMPUTED_VALUE"""),"1007230168481")</f>
        <v>1007230168481</v>
      </c>
      <c r="AP799" s="80"/>
      <c r="AQ799" s="83"/>
      <c r="AR799" s="80"/>
      <c r="AS799" s="80"/>
      <c r="AT799" s="80" t="str">
        <f>IFERROR(__xludf.DUMMYFUNCTION("""COMPUTED_VALUE"""),"-7.691059")</f>
        <v>-7.691059</v>
      </c>
      <c r="AU799" s="80" t="str">
        <f>IFERROR(__xludf.DUMMYFUNCTION("""COMPUTED_VALUE"""),"109.029045")</f>
        <v>109.029045</v>
      </c>
      <c r="AV799" s="80"/>
      <c r="AW799" s="80"/>
      <c r="AX799" s="80"/>
      <c r="AY799" s="80"/>
      <c r="AZ799" s="80"/>
      <c r="BA799" s="80"/>
      <c r="BB799" s="80"/>
      <c r="BC799" s="80"/>
      <c r="BD799" s="80"/>
      <c r="BE799" s="80"/>
      <c r="BF799" s="80"/>
      <c r="BG799" s="80"/>
      <c r="BH799" s="80"/>
      <c r="BI799" s="80"/>
      <c r="BJ799" s="80"/>
      <c r="BK799" s="80"/>
      <c r="BL799" s="80"/>
      <c r="BM799" s="80"/>
      <c r="BN799" s="80"/>
      <c r="BO799" s="80"/>
      <c r="BP799" s="80"/>
      <c r="BQ799" s="80"/>
      <c r="BR799" s="80"/>
      <c r="BS799" s="80"/>
      <c r="BT799" s="80"/>
      <c r="BU799" s="80"/>
      <c r="BV799" s="80"/>
      <c r="BW799" s="80"/>
      <c r="BX799" s="80" t="str">
        <f>IFERROR(__xludf.DUMMYFUNCTION("""COMPUTED_VALUE"""),"NEWBIE")</f>
        <v>NEWBIE</v>
      </c>
      <c r="BY799" s="80"/>
      <c r="BZ799" s="80"/>
      <c r="CA799" s="80"/>
      <c r="CB799" s="80"/>
      <c r="CC799" s="80"/>
      <c r="CD799" s="80"/>
      <c r="CE799" s="80"/>
      <c r="CF799" s="80"/>
      <c r="CG799" s="80"/>
      <c r="CH799" s="80"/>
      <c r="CI799" s="80"/>
      <c r="CJ799" s="80"/>
      <c r="CK799" s="2"/>
    </row>
    <row r="800" ht="12.75" customHeight="1">
      <c r="A800" s="85">
        <f>IFERROR(__xludf.DUMMYFUNCTION("""COMPUTED_VALUE"""),796.0)</f>
        <v>796</v>
      </c>
      <c r="B800" s="85"/>
      <c r="C800" s="85"/>
      <c r="D800" s="86">
        <f>IFERROR(__xludf.DUMMYFUNCTION("""COMPUTED_VALUE"""),46044.0)</f>
        <v>46044</v>
      </c>
      <c r="E800" s="88"/>
      <c r="F800" s="85"/>
      <c r="G800" s="86">
        <f>IFERROR(__xludf.DUMMYFUNCTION("""COMPUTED_VALUE"""),46058.0)</f>
        <v>46058</v>
      </c>
      <c r="H800" s="85"/>
      <c r="I800" s="85"/>
      <c r="J800" s="85"/>
      <c r="K800" s="85"/>
      <c r="L800" s="85">
        <f>IFERROR(__xludf.DUMMYFUNCTION("""COMPUTED_VALUE"""),14.0)</f>
        <v>14</v>
      </c>
      <c r="M800" s="85" t="str">
        <f>IFERROR(__xludf.DUMMYFUNCTION("""COMPUTED_VALUE"""),"ü")</f>
        <v>ü</v>
      </c>
      <c r="N800" s="85"/>
      <c r="O800" s="85"/>
      <c r="P800" s="85" t="str">
        <f>IFERROR(__xludf.DUMMYFUNCTION("""COMPUTED_VALUE"""),"53BSPA09813JBEEN")</f>
        <v>53BSPA09813JBEEN</v>
      </c>
      <c r="Q800" s="85" t="str">
        <f>IFERROR(__xludf.DUMMYFUNCTION("""COMPUTED_VALUE"""),"MUC Fidelya Shop")</f>
        <v>MUC Fidelya Shop</v>
      </c>
      <c r="R800" s="85" t="str">
        <f>IFERROR(__xludf.DUMMYFUNCTION("""COMPUTED_VALUE"""),"MUC Fidelya Shop")</f>
        <v>MUC Fidelya Shop</v>
      </c>
      <c r="S800" s="85" t="str">
        <f>IFERROR(__xludf.DUMMYFUNCTION("""COMPUTED_VALUE"""),"FRISKA AMELIA ANDRIYANI")</f>
        <v>FRISKA AMELIA ANDRIYANI</v>
      </c>
      <c r="T800" s="85" t="str">
        <f>IFERROR(__xludf.DUMMYFUNCTION("""COMPUTED_VALUE"""),"JL. MACEM GANG TANGKIL 2 NO.3 A RT001 RW005, PADURENAN, MUSTIKAJAYA, KOTA BEKASI")</f>
        <v>JL. MACEM GANG TANGKIL 2 NO.3 A RT001 RW005, PADURENAN, MUSTIKAJAYA, KOTA BEKASI</v>
      </c>
      <c r="U800" s="85" t="str">
        <f>IFERROR(__xludf.DUMMYFUNCTION("""COMPUTED_VALUE"""),"Jl. Kp. Cibitung gang tangkil 2 no 2 rt 1 rw 5")</f>
        <v>Jl. Kp. Cibitung gang tangkil 2 no 2 rt 1 rw 5</v>
      </c>
      <c r="V800" s="85"/>
      <c r="W800" s="85" t="str">
        <f>IFERROR(__xludf.DUMMYFUNCTION("""COMPUTED_VALUE"""),"Padurenan")</f>
        <v>Padurenan</v>
      </c>
      <c r="X800" s="85" t="str">
        <f>IFERROR(__xludf.DUMMYFUNCTION("""COMPUTED_VALUE"""),"Mustika Jaya")</f>
        <v>Mustika Jaya</v>
      </c>
      <c r="Y800" s="85" t="str">
        <f>IFERROR(__xludf.DUMMYFUNCTION("""COMPUTED_VALUE"""),"Bekasi")</f>
        <v>Bekasi</v>
      </c>
      <c r="Z800" s="85" t="str">
        <f>IFERROR(__xludf.DUMMYFUNCTION("""COMPUTED_VALUE"""),"Jawa Barat")</f>
        <v>Jawa Barat</v>
      </c>
      <c r="AA800" s="85" t="str">
        <f>IFERROR(__xludf.DUMMYFUNCTION("""COMPUTED_VALUE"""),"17156")</f>
        <v>17156</v>
      </c>
      <c r="AB800" s="85" t="str">
        <f>IFERROR(__xludf.DUMMYFUNCTION("""COMPUTED_VALUE"""),"3275045204940022")</f>
        <v>3275045204940022</v>
      </c>
      <c r="AC800" s="85" t="str">
        <f>IFERROR(__xludf.DUMMYFUNCTION("""COMPUTED_VALUE"""),"74.954.892.1-432.000")</f>
        <v>74.954.892.1-432.000</v>
      </c>
      <c r="AD800" s="85" t="str">
        <f>IFERROR(__xludf.DUMMYFUNCTION("""COMPUTED_VALUE"""),"CUM - EEN")</f>
        <v>CUM - EEN</v>
      </c>
      <c r="AE800" s="85" t="str">
        <f>IFERROR(__xludf.DUMMYFUNCTION("""COMPUTED_VALUE"""),"SUB EEN")</f>
        <v>SUB EEN</v>
      </c>
      <c r="AF800" s="85" t="str">
        <f>IFERROR(__xludf.DUMMYFUNCTION("""COMPUTED_VALUE"""),"081282115160")</f>
        <v>081282115160</v>
      </c>
      <c r="AG800" s="85"/>
      <c r="AH800" s="85" t="str">
        <f>IFERROR(__xludf.DUMMYFUNCTION("""COMPUTED_VALUE"""),"fidelyaashop@gmail.com ")</f>
        <v>fidelyaashop@gmail.com </v>
      </c>
      <c r="AI800" s="85" t="str">
        <f>IFERROR(__xludf.DUMMYFUNCTION("""COMPUTED_VALUE"""),"17166S3")</f>
        <v>17166S3</v>
      </c>
      <c r="AJ800" s="85" t="str">
        <f>IFERROR(__xludf.DUMMYFUNCTION("""COMPUTED_VALUE"""),"69847be29f6806dbd50e39b6")</f>
        <v>69847be29f6806dbd50e39b6</v>
      </c>
      <c r="AK800" s="85" t="str">
        <f>IFERROR(__xludf.DUMMYFUNCTION("""COMPUTED_VALUE"""),"fidelyaashop@gmail.com")</f>
        <v>fidelyaashop@gmail.com</v>
      </c>
      <c r="AL800" s="85" t="str">
        <f>IFERROR(__xludf.DUMMYFUNCTION("""COMPUTED_VALUE"""),"#Muc17166S3%")</f>
        <v>#Muc17166S3%</v>
      </c>
      <c r="AM800" s="85" t="str">
        <f>IFERROR(__xludf.DUMMYFUNCTION("""COMPUTED_VALUE"""),"KANTOR REGIONAL II JAKARTA 10004")</f>
        <v>KANTOR REGIONAL II JAKARTA 10004</v>
      </c>
      <c r="AN800" s="85" t="str">
        <f>IFERROR(__xludf.DUMMYFUNCTION("""COMPUTED_VALUE"""),"KCU BEKASI 17000")</f>
        <v>KCU BEKASI 17000</v>
      </c>
      <c r="AO800" s="85" t="str">
        <f>IFERROR(__xludf.DUMMYFUNCTION("""COMPUTED_VALUE"""),"MENYUSUL")</f>
        <v>MENYUSUL</v>
      </c>
      <c r="AP800" s="85" t="str">
        <f>IFERROR(__xludf.DUMMYFUNCTION("""COMPUTED_VALUE"""),"MENYUSUL")</f>
        <v>MENYUSUL</v>
      </c>
      <c r="AQ800" s="93"/>
      <c r="AR800" s="85"/>
      <c r="AS800" s="85"/>
      <c r="AT800" s="85" t="str">
        <f>IFERROR(__xludf.DUMMYFUNCTION("""COMPUTED_VALUE"""),"-6.3234553")</f>
        <v>-6.3234553</v>
      </c>
      <c r="AU800" s="85" t="str">
        <f>IFERROR(__xludf.DUMMYFUNCTION("""COMPUTED_VALUE"""),"107.0027877")</f>
        <v>107.0027877</v>
      </c>
      <c r="AV800" s="85"/>
      <c r="AW800" s="85"/>
      <c r="AX800" s="85"/>
      <c r="AY800" s="85"/>
      <c r="AZ800" s="85"/>
      <c r="BA800" s="85"/>
      <c r="BB800" s="85"/>
      <c r="BC800" s="85"/>
      <c r="BD800" s="85"/>
      <c r="BE800" s="85"/>
      <c r="BF800" s="85"/>
      <c r="BG800" s="85"/>
      <c r="BH800" s="85"/>
      <c r="BI800" s="85"/>
      <c r="BJ800" s="85"/>
      <c r="BK800" s="85"/>
      <c r="BL800" s="85"/>
      <c r="BM800" s="85"/>
      <c r="BN800" s="85"/>
      <c r="BO800" s="85"/>
      <c r="BP800" s="85"/>
      <c r="BQ800" s="85"/>
      <c r="BR800" s="85"/>
      <c r="BS800" s="85"/>
      <c r="BT800" s="85"/>
      <c r="BU800" s="85"/>
      <c r="BV800" s="85"/>
      <c r="BW800" s="85"/>
      <c r="BX800" s="85" t="str">
        <f>IFERROR(__xludf.DUMMYFUNCTION("""COMPUTED_VALUE"""),"NEWBIE")</f>
        <v>NEWBIE</v>
      </c>
      <c r="BY800" s="85"/>
      <c r="BZ800" s="85"/>
      <c r="CA800" s="85"/>
      <c r="CB800" s="85"/>
      <c r="CC800" s="85"/>
      <c r="CD800" s="85"/>
      <c r="CE800" s="85"/>
      <c r="CF800" s="85"/>
      <c r="CG800" s="85"/>
      <c r="CH800" s="85"/>
      <c r="CI800" s="85"/>
      <c r="CJ800" s="85"/>
      <c r="CK800" s="2"/>
    </row>
    <row r="801" ht="12.75" customHeight="1">
      <c r="A801" s="80">
        <f>IFERROR(__xludf.DUMMYFUNCTION("""COMPUTED_VALUE"""),797.0)</f>
        <v>797</v>
      </c>
      <c r="B801" s="80"/>
      <c r="C801" s="80"/>
      <c r="D801" s="81">
        <f>IFERROR(__xludf.DUMMYFUNCTION("""COMPUTED_VALUE"""),46044.0)</f>
        <v>46044</v>
      </c>
      <c r="E801" s="82"/>
      <c r="F801" s="80"/>
      <c r="G801" s="81">
        <f>IFERROR(__xludf.DUMMYFUNCTION("""COMPUTED_VALUE"""),46063.0)</f>
        <v>46063</v>
      </c>
      <c r="H801" s="80"/>
      <c r="I801" s="80"/>
      <c r="J801" s="80"/>
      <c r="K801" s="80"/>
      <c r="L801" s="80">
        <f>IFERROR(__xludf.DUMMYFUNCTION("""COMPUTED_VALUE"""),19.0)</f>
        <v>19</v>
      </c>
      <c r="M801" s="80" t="str">
        <f>IFERROR(__xludf.DUMMYFUNCTION("""COMPUTED_VALUE"""),"ü")</f>
        <v>ü</v>
      </c>
      <c r="N801" s="80"/>
      <c r="O801" s="80"/>
      <c r="P801" s="80" t="str">
        <f>IFERROR(__xludf.DUMMYFUNCTION("""COMPUTED_VALUE"""),"MUCSPA63353PSIND")</f>
        <v>MUCSPA63353PSIND</v>
      </c>
      <c r="Q801" s="80" t="str">
        <f>IFERROR(__xludf.DUMMYFUNCTION("""COMPUTED_VALUE"""),"MUC Explorein")</f>
        <v>MUC Explorein</v>
      </c>
      <c r="R801" s="80" t="str">
        <f>IFERROR(__xludf.DUMMYFUNCTION("""COMPUTED_VALUE"""),"MUC Explorein")</f>
        <v>MUC Explorein</v>
      </c>
      <c r="S801" s="80" t="str">
        <f>IFERROR(__xludf.DUMMYFUNCTION("""COMPUTED_VALUE"""),"REIHAN NURWULAN")</f>
        <v>REIHAN NURWULAN</v>
      </c>
      <c r="T801" s="80" t="str">
        <f>IFERROR(__xludf.DUMMYFUNCTION("""COMPUTED_VALUE"""),"PERUM GRAND PERMATA BLOK G/3 RT007 RW006, MUSTIKA JAYA, MUSTIKA JAYA, KOTA BEKASI")</f>
        <v>PERUM GRAND PERMATA BLOK G/3 RT007 RW006, MUSTIKA JAYA, MUSTIKA JAYA, KOTA BEKASI</v>
      </c>
      <c r="U801" s="80" t="str">
        <f>IFERROR(__xludf.DUMMYFUNCTION("""COMPUTED_VALUE"""),"Perumahan puri permata Laguna Jl.D.Lindu No.27 Blok B, RT.003/RW.021")</f>
        <v>Perumahan puri permata Laguna Jl.D.Lindu No.27 Blok B, RT.003/RW.021</v>
      </c>
      <c r="V801" s="80"/>
      <c r="W801" s="80" t="str">
        <f>IFERROR(__xludf.DUMMYFUNCTION("""COMPUTED_VALUE"""),"Mekarsari")</f>
        <v>Mekarsari</v>
      </c>
      <c r="X801" s="80" t="str">
        <f>IFERROR(__xludf.DUMMYFUNCTION("""COMPUTED_VALUE"""),"Cimanggis")</f>
        <v>Cimanggis</v>
      </c>
      <c r="Y801" s="80" t="str">
        <f>IFERROR(__xludf.DUMMYFUNCTION("""COMPUTED_VALUE"""),"Depok")</f>
        <v>Depok</v>
      </c>
      <c r="Z801" s="80" t="str">
        <f>IFERROR(__xludf.DUMMYFUNCTION("""COMPUTED_VALUE"""),"Jawa Barat")</f>
        <v>Jawa Barat</v>
      </c>
      <c r="AA801" s="80" t="str">
        <f>IFERROR(__xludf.DUMMYFUNCTION("""COMPUTED_VALUE"""),"16452")</f>
        <v>16452</v>
      </c>
      <c r="AB801" s="80" t="str">
        <f>IFERROR(__xludf.DUMMYFUNCTION("""COMPUTED_VALUE"""),"3174036412990001")</f>
        <v>3174036412990001</v>
      </c>
      <c r="AC801" s="80" t="str">
        <f>IFERROR(__xludf.DUMMYFUNCTION("""COMPUTED_VALUE"""),"92.911.628.3-014.000")</f>
        <v>92.911.628.3-014.000</v>
      </c>
      <c r="AD801" s="80" t="str">
        <f>IFERROR(__xludf.DUMMYFUNCTION("""COMPUTED_VALUE"""),"CUM - PS - HPR")</f>
        <v>CUM - PS - HPR</v>
      </c>
      <c r="AE801" s="80" t="str">
        <f>IFERROR(__xludf.DUMMYFUNCTION("""COMPUTED_VALUE"""),"SUB HADI POS")</f>
        <v>SUB HADI POS</v>
      </c>
      <c r="AF801" s="80" t="str">
        <f>IFERROR(__xludf.DUMMYFUNCTION("""COMPUTED_VALUE"""),"08118470078")</f>
        <v>08118470078</v>
      </c>
      <c r="AG801" s="80"/>
      <c r="AH801" s="80" t="str">
        <f>IFERROR(__xludf.DUMMYFUNCTION("""COMPUTED_VALUE"""),"exploreinofc@gmail.com")</f>
        <v>exploreinofc@gmail.com</v>
      </c>
      <c r="AI801" s="80" t="str">
        <f>IFERROR(__xludf.DUMMYFUNCTION("""COMPUTED_VALUE"""),"16452S3")</f>
        <v>16452S3</v>
      </c>
      <c r="AJ801" s="80" t="str">
        <f>IFERROR(__xludf.DUMMYFUNCTION("""COMPUTED_VALUE"""),"698adad54aa440569e046f96")</f>
        <v>698adad54aa440569e046f96</v>
      </c>
      <c r="AK801" s="80" t="str">
        <f>IFERROR(__xludf.DUMMYFUNCTION("""COMPUTED_VALUE"""),"exploreinofc@gmail.com")</f>
        <v>exploreinofc@gmail.com</v>
      </c>
      <c r="AL801" s="80" t="str">
        <f>IFERROR(__xludf.DUMMYFUNCTION("""COMPUTED_VALUE"""),"#Muc16452S3&amp;")</f>
        <v>#Muc16452S3&amp;</v>
      </c>
      <c r="AM801" s="80" t="str">
        <f>IFERROR(__xludf.DUMMYFUNCTION("""COMPUTED_VALUE"""),"KANTOR REGIONAL II JAKARTA 10004")</f>
        <v>KANTOR REGIONAL II JAKARTA 10004</v>
      </c>
      <c r="AN801" s="80" t="str">
        <f>IFERROR(__xludf.DUMMYFUNCTION("""COMPUTED_VALUE"""),"KC DEPOK 16400")</f>
        <v>KC DEPOK 16400</v>
      </c>
      <c r="AO801" s="80" t="str">
        <f>IFERROR(__xludf.DUMMYFUNCTION("""COMPUTED_VALUE"""),"MENYUSUL")</f>
        <v>MENYUSUL</v>
      </c>
      <c r="AP801" s="80" t="str">
        <f>IFERROR(__xludf.DUMMYFUNCTION("""COMPUTED_VALUE"""),"MENYUSUL")</f>
        <v>MENYUSUL</v>
      </c>
      <c r="AQ801" s="83"/>
      <c r="AR801" s="80"/>
      <c r="AS801" s="80"/>
      <c r="AT801" s="80" t="str">
        <f>IFERROR(__xludf.DUMMYFUNCTION("""COMPUTED_VALUE"""),"-6.367446")</f>
        <v>-6.367446</v>
      </c>
      <c r="AU801" s="80" t="str">
        <f>IFERROR(__xludf.DUMMYFUNCTION("""COMPUTED_VALUE"""),"106.865875")</f>
        <v>106.865875</v>
      </c>
      <c r="AV801" s="80"/>
      <c r="AW801" s="80"/>
      <c r="AX801" s="80"/>
      <c r="AY801" s="80"/>
      <c r="AZ801" s="80"/>
      <c r="BA801" s="80"/>
      <c r="BB801" s="80"/>
      <c r="BC801" s="80"/>
      <c r="BD801" s="80"/>
      <c r="BE801" s="80"/>
      <c r="BF801" s="80"/>
      <c r="BG801" s="80"/>
      <c r="BH801" s="80"/>
      <c r="BI801" s="80"/>
      <c r="BJ801" s="80"/>
      <c r="BK801" s="80"/>
      <c r="BL801" s="80"/>
      <c r="BM801" s="80"/>
      <c r="BN801" s="80"/>
      <c r="BO801" s="80"/>
      <c r="BP801" s="80"/>
      <c r="BQ801" s="80"/>
      <c r="BR801" s="80"/>
      <c r="BS801" s="80"/>
      <c r="BT801" s="80"/>
      <c r="BU801" s="80"/>
      <c r="BV801" s="80"/>
      <c r="BW801" s="80"/>
      <c r="BX801" s="80" t="str">
        <f>IFERROR(__xludf.DUMMYFUNCTION("""COMPUTED_VALUE"""),"NEWBIE")</f>
        <v>NEWBIE</v>
      </c>
      <c r="BY801" s="80"/>
      <c r="BZ801" s="80"/>
      <c r="CA801" s="80"/>
      <c r="CB801" s="80"/>
      <c r="CC801" s="80"/>
      <c r="CD801" s="80"/>
      <c r="CE801" s="80"/>
      <c r="CF801" s="80"/>
      <c r="CG801" s="80"/>
      <c r="CH801" s="80"/>
      <c r="CI801" s="80"/>
      <c r="CJ801" s="80"/>
      <c r="CK801" s="2"/>
    </row>
    <row r="802" ht="12.75" customHeight="1">
      <c r="A802" s="85">
        <f>IFERROR(__xludf.DUMMYFUNCTION("""COMPUTED_VALUE"""),798.0)</f>
        <v>798</v>
      </c>
      <c r="B802" s="85"/>
      <c r="C802" s="85"/>
      <c r="D802" s="86">
        <f>IFERROR(__xludf.DUMMYFUNCTION("""COMPUTED_VALUE"""),46045.0)</f>
        <v>46045</v>
      </c>
      <c r="E802" s="88"/>
      <c r="F802" s="85"/>
      <c r="G802" s="86">
        <f>IFERROR(__xludf.DUMMYFUNCTION("""COMPUTED_VALUE"""),46139.0)</f>
        <v>46139</v>
      </c>
      <c r="H802" s="85"/>
      <c r="I802" s="85"/>
      <c r="J802" s="85"/>
      <c r="K802" s="85"/>
      <c r="L802" s="85">
        <f>IFERROR(__xludf.DUMMYFUNCTION("""COMPUTED_VALUE"""),94.0)</f>
        <v>94</v>
      </c>
      <c r="M802" s="85" t="str">
        <f>IFERROR(__xludf.DUMMYFUNCTION("""COMPUTED_VALUE"""),"ü")</f>
        <v>ü</v>
      </c>
      <c r="N802" s="85"/>
      <c r="O802" s="85"/>
      <c r="P802" s="85" t="str">
        <f>IFERROR(__xludf.DUMMYFUNCTION("""COMPUTED_VALUE"""),"MUCSPA63354PSIND")</f>
        <v>MUCSPA63354PSIND</v>
      </c>
      <c r="Q802" s="85" t="str">
        <f>IFERROR(__xludf.DUMMYFUNCTION("""COMPUTED_VALUE"""),"MUC Sumber Laut Bumi Sejahtera")</f>
        <v>MUC Sumber Laut Bumi Sejahtera</v>
      </c>
      <c r="R802" s="85" t="str">
        <f>IFERROR(__xludf.DUMMYFUNCTION("""COMPUTED_VALUE"""),"MUC Sumber Laut Bumi Sejahtera")</f>
        <v>MUC Sumber Laut Bumi Sejahtera</v>
      </c>
      <c r="S802" s="85" t="str">
        <f>IFERROR(__xludf.DUMMYFUNCTION("""COMPUTED_VALUE"""),"Sutrisno")</f>
        <v>Sutrisno</v>
      </c>
      <c r="T802" s="85" t="str">
        <f>IFERROR(__xludf.DUMMYFUNCTION("""COMPUTED_VALUE"""),"Dusun 01 blok tajug, RT 002 RW 001 Desa Citemu kec. Mundu kab. Cirebon")</f>
        <v>Dusun 01 blok tajug, RT 002 RW 001 Desa Citemu kec. Mundu kab. Cirebon</v>
      </c>
      <c r="U802" s="85" t="str">
        <f>IFERROR(__xludf.DUMMYFUNCTION("""COMPUTED_VALUE"""),"Perumahan Taman Cherry Blok P Nomor 1 RT002 RW009")</f>
        <v>Perumahan Taman Cherry Blok P Nomor 1 RT002 RW009</v>
      </c>
      <c r="V802" s="85"/>
      <c r="W802" s="85" t="str">
        <f>IFERROR(__xludf.DUMMYFUNCTION("""COMPUTED_VALUE"""),"Mundupesisir")</f>
        <v>Mundupesisir</v>
      </c>
      <c r="X802" s="85" t="str">
        <f>IFERROR(__xludf.DUMMYFUNCTION("""COMPUTED_VALUE"""),"Mundu")</f>
        <v>Mundu</v>
      </c>
      <c r="Y802" s="85" t="str">
        <f>IFERROR(__xludf.DUMMYFUNCTION("""COMPUTED_VALUE"""),"Kab. Cirebon")</f>
        <v>Kab. Cirebon</v>
      </c>
      <c r="Z802" s="85" t="str">
        <f>IFERROR(__xludf.DUMMYFUNCTION("""COMPUTED_VALUE"""),"Jawa Barat")</f>
        <v>Jawa Barat</v>
      </c>
      <c r="AA802" s="85" t="str">
        <f>IFERROR(__xludf.DUMMYFUNCTION("""COMPUTED_VALUE"""),"45173")</f>
        <v>45173</v>
      </c>
      <c r="AB802" s="85" t="str">
        <f>IFERROR(__xludf.DUMMYFUNCTION("""COMPUTED_VALUE"""),"3209120808950009")</f>
        <v>3209120808950009</v>
      </c>
      <c r="AC802" s="85" t="str">
        <f>IFERROR(__xludf.DUMMYFUNCTION("""COMPUTED_VALUE"""),"85.751.120.8-426.000")</f>
        <v>85.751.120.8-426.000</v>
      </c>
      <c r="AD802" s="85" t="str">
        <f>IFERROR(__xludf.DUMMYFUNCTION("""COMPUTED_VALUE"""),"CUM - PS - JHR")</f>
        <v>CUM - PS - JHR</v>
      </c>
      <c r="AE802" s="85" t="str">
        <f>IFERROR(__xludf.DUMMYFUNCTION("""COMPUTED_VALUE"""),"SUB JOHAN POS")</f>
        <v>SUB JOHAN POS</v>
      </c>
      <c r="AF802" s="85" t="str">
        <f>IFERROR(__xludf.DUMMYFUNCTION("""COMPUTED_VALUE"""),"08882068578")</f>
        <v>08882068578</v>
      </c>
      <c r="AG802" s="85"/>
      <c r="AH802" s="85" t="str">
        <f>IFERROR(__xludf.DUMMYFUNCTION("""COMPUTED_VALUE"""),"sumberlautbumisejahtera@gmail.com")</f>
        <v>sumberlautbumisejahtera@gmail.com</v>
      </c>
      <c r="AI802" s="85" t="str">
        <f>IFERROR(__xludf.DUMMYFUNCTION("""COMPUTED_VALUE"""),"45673S6")</f>
        <v>45673S6</v>
      </c>
      <c r="AJ802" s="85" t="str">
        <f>IFERROR(__xludf.DUMMYFUNCTION("""COMPUTED_VALUE"""),"698ff4322f3461daac015c20")</f>
        <v>698ff4322f3461daac015c20</v>
      </c>
      <c r="AK802" s="85" t="str">
        <f>IFERROR(__xludf.DUMMYFUNCTION("""COMPUTED_VALUE"""),"sumberlautbumisejahtera@gmail.com")</f>
        <v>sumberlautbumisejahtera@gmail.com</v>
      </c>
      <c r="AL802" s="85" t="str">
        <f>IFERROR(__xludf.DUMMYFUNCTION("""COMPUTED_VALUE"""),"#Muc45673S6$")</f>
        <v>#Muc45673S6$</v>
      </c>
      <c r="AM802" s="85" t="str">
        <f>IFERROR(__xludf.DUMMYFUNCTION("""COMPUTED_VALUE"""),"KANTOR REGIONAL III BANDUNG 40004")</f>
        <v>KANTOR REGIONAL III BANDUNG 40004</v>
      </c>
      <c r="AN802" s="85" t="str">
        <f>IFERROR(__xludf.DUMMYFUNCTION("""COMPUTED_VALUE"""),"KCU CIREBON 45100")</f>
        <v>KCU CIREBON 45100</v>
      </c>
      <c r="AO802" s="85" t="str">
        <f>IFERROR(__xludf.DUMMYFUNCTION("""COMPUTED_VALUE"""),"2108210010484")</f>
        <v>2108210010484</v>
      </c>
      <c r="AP802" s="85" t="str">
        <f>IFERROR(__xludf.DUMMYFUNCTION("""COMPUTED_VALUE"""),"MENYUSUL")</f>
        <v>MENYUSUL</v>
      </c>
      <c r="AQ802" s="93"/>
      <c r="AR802" s="85"/>
      <c r="AS802" s="85"/>
      <c r="AT802" s="85" t="str">
        <f>IFERROR(__xludf.DUMMYFUNCTION("""COMPUTED_VALUE"""),"-6.7631868")</f>
        <v>-6.7631868</v>
      </c>
      <c r="AU802" s="85" t="str">
        <f>IFERROR(__xludf.DUMMYFUNCTION("""COMPUTED_VALUE"""),"108.5921948")</f>
        <v>108.5921948</v>
      </c>
      <c r="AV802" s="85"/>
      <c r="AW802" s="85"/>
      <c r="AX802" s="85"/>
      <c r="AY802" s="85"/>
      <c r="AZ802" s="85"/>
      <c r="BA802" s="85"/>
      <c r="BB802" s="85"/>
      <c r="BC802" s="85"/>
      <c r="BD802" s="85"/>
      <c r="BE802" s="85"/>
      <c r="BF802" s="85"/>
      <c r="BG802" s="85"/>
      <c r="BH802" s="85"/>
      <c r="BI802" s="85"/>
      <c r="BJ802" s="85"/>
      <c r="BK802" s="85"/>
      <c r="BL802" s="85"/>
      <c r="BM802" s="85"/>
      <c r="BN802" s="85"/>
      <c r="BO802" s="85"/>
      <c r="BP802" s="85"/>
      <c r="BQ802" s="85"/>
      <c r="BR802" s="85"/>
      <c r="BS802" s="85"/>
      <c r="BT802" s="85"/>
      <c r="BU802" s="85"/>
      <c r="BV802" s="85"/>
      <c r="BW802" s="85"/>
      <c r="BX802" s="85" t="str">
        <f>IFERROR(__xludf.DUMMYFUNCTION("""COMPUTED_VALUE"""),"NEWBIE")</f>
        <v>NEWBIE</v>
      </c>
      <c r="BY802" s="85"/>
      <c r="BZ802" s="85"/>
      <c r="CA802" s="85"/>
      <c r="CB802" s="85"/>
      <c r="CC802" s="85"/>
      <c r="CD802" s="85"/>
      <c r="CE802" s="85"/>
      <c r="CF802" s="85"/>
      <c r="CG802" s="85"/>
      <c r="CH802" s="85"/>
      <c r="CI802" s="85"/>
      <c r="CJ802" s="85"/>
      <c r="CK802" s="2"/>
    </row>
    <row r="803" ht="12.75" customHeight="1">
      <c r="A803" s="80">
        <f>IFERROR(__xludf.DUMMYFUNCTION("""COMPUTED_VALUE"""),799.0)</f>
        <v>799</v>
      </c>
      <c r="B803" s="80"/>
      <c r="C803" s="80"/>
      <c r="D803" s="81">
        <f>IFERROR(__xludf.DUMMYFUNCTION("""COMPUTED_VALUE"""),46045.0)</f>
        <v>46045</v>
      </c>
      <c r="E803" s="82"/>
      <c r="F803" s="80"/>
      <c r="G803" s="81"/>
      <c r="H803" s="80"/>
      <c r="I803" s="80"/>
      <c r="J803" s="80"/>
      <c r="K803" s="80"/>
      <c r="L803" s="80"/>
      <c r="M803" s="80" t="str">
        <f>IFERROR(__xludf.DUMMYFUNCTION("""COMPUTED_VALUE"""),"ü")</f>
        <v>ü</v>
      </c>
      <c r="N803" s="80"/>
      <c r="O803" s="80"/>
      <c r="P803" s="80" t="str">
        <f>IFERROR(__xludf.DUMMYFUNCTION("""COMPUTED_VALUE"""),"MUCSPA63355PSIND")</f>
        <v>MUCSPA63355PSIND</v>
      </c>
      <c r="Q803" s="80" t="str">
        <f>IFERROR(__xludf.DUMMYFUNCTION("""COMPUTED_VALUE"""),"MUC FERINALDI")</f>
        <v>MUC FERINALDI</v>
      </c>
      <c r="R803" s="80" t="str">
        <f>IFERROR(__xludf.DUMMYFUNCTION("""COMPUTED_VALUE"""),"MUC FERINALDI")</f>
        <v>MUC FERINALDI</v>
      </c>
      <c r="S803" s="80" t="str">
        <f>IFERROR(__xludf.DUMMYFUNCTION("""COMPUTED_VALUE"""),"FERINALDI")</f>
        <v>FERINALDI</v>
      </c>
      <c r="T803" s="80" t="str">
        <f>IFERROR(__xludf.DUMMYFUNCTION("""COMPUTED_VALUE"""),"JL. HAJI NAFI, MNS MESJID, MUARA DUA, KOTA LHOKSEUMAWE, KOTA LHOKSEUMAWE")</f>
        <v>JL. HAJI NAFI, MNS MESJID, MUARA DUA, KOTA LHOKSEUMAWE, KOTA LHOKSEUMAWE</v>
      </c>
      <c r="U803" s="80" t="str">
        <f>IFERROR(__xludf.DUMMYFUNCTION("""COMPUTED_VALUE"""),"Jl. Medan - Banda aceh, Samping Polres Lhokseumawe")</f>
        <v>Jl. Medan - Banda aceh, Samping Polres Lhokseumawe</v>
      </c>
      <c r="V803" s="80"/>
      <c r="W803" s="80" t="str">
        <f>IFERROR(__xludf.DUMMYFUNCTION("""COMPUTED_VALUE"""),"Mns Panggoi")</f>
        <v>Mns Panggoi</v>
      </c>
      <c r="X803" s="80" t="str">
        <f>IFERROR(__xludf.DUMMYFUNCTION("""COMPUTED_VALUE"""),"Muara Dua")</f>
        <v>Muara Dua</v>
      </c>
      <c r="Y803" s="80" t="str">
        <f>IFERROR(__xludf.DUMMYFUNCTION("""COMPUTED_VALUE"""),"Kota Lhokseumawe")</f>
        <v>Kota Lhokseumawe</v>
      </c>
      <c r="Z803" s="80" t="str">
        <f>IFERROR(__xludf.DUMMYFUNCTION("""COMPUTED_VALUE"""),"Aceh")</f>
        <v>Aceh</v>
      </c>
      <c r="AA803" s="80" t="str">
        <f>IFERROR(__xludf.DUMMYFUNCTION("""COMPUTED_VALUE"""),"24374")</f>
        <v>24374</v>
      </c>
      <c r="AB803" s="80" t="str">
        <f>IFERROR(__xludf.DUMMYFUNCTION("""COMPUTED_VALUE"""),"1173012402830002")</f>
        <v>1173012402830002</v>
      </c>
      <c r="AC803" s="80" t="str">
        <f>IFERROR(__xludf.DUMMYFUNCTION("""COMPUTED_VALUE"""),"12.065.976.8-102.000")</f>
        <v>12.065.976.8-102.000</v>
      </c>
      <c r="AD803" s="80" t="str">
        <f>IFERROR(__xludf.DUMMYFUNCTION("""COMPUTED_VALUE"""),"CUM - PS - FAJR")</f>
        <v>CUM - PS - FAJR</v>
      </c>
      <c r="AE803" s="80" t="str">
        <f>IFERROR(__xludf.DUMMYFUNCTION("""COMPUTED_VALUE"""),"SUB FAJAR POS")</f>
        <v>SUB FAJAR POS</v>
      </c>
      <c r="AF803" s="80" t="str">
        <f>IFERROR(__xludf.DUMMYFUNCTION("""COMPUTED_VALUE"""),"085250515516")</f>
        <v>085250515516</v>
      </c>
      <c r="AG803" s="80"/>
      <c r="AH803" s="80" t="str">
        <f>IFERROR(__xludf.DUMMYFUNCTION("""COMPUTED_VALUE"""),"ferinaldi.fn20@gmail.com")</f>
        <v>ferinaldi.fn20@gmail.com</v>
      </c>
      <c r="AI803" s="80"/>
      <c r="AJ803" s="80"/>
      <c r="AK803" s="80"/>
      <c r="AL803" s="80"/>
      <c r="AM803" s="80" t="str">
        <f>IFERROR(__xludf.DUMMYFUNCTION("""COMPUTED_VALUE"""),"KANTOR REGIONAL I MEDAN 20004")</f>
        <v>KANTOR REGIONAL I MEDAN 20004</v>
      </c>
      <c r="AN803" s="80" t="str">
        <f>IFERROR(__xludf.DUMMYFUNCTION("""COMPUTED_VALUE"""),"KC LHOKSEUMAWE")</f>
        <v>KC LHOKSEUMAWE</v>
      </c>
      <c r="AO803" s="80" t="str">
        <f>IFERROR(__xludf.DUMMYFUNCTION("""COMPUTED_VALUE"""),"MENYUSUL")</f>
        <v>MENYUSUL</v>
      </c>
      <c r="AP803" s="80" t="str">
        <f>IFERROR(__xludf.DUMMYFUNCTION("""COMPUTED_VALUE"""),"MENYUSUL")</f>
        <v>MENYUSUL</v>
      </c>
      <c r="AQ803" s="83"/>
      <c r="AR803" s="80"/>
      <c r="AS803" s="80"/>
      <c r="AT803" s="80" t="str">
        <f>IFERROR(__xludf.DUMMYFUNCTION("""COMPUTED_VALUE"""),"5.1807883")</f>
        <v>5.1807883</v>
      </c>
      <c r="AU803" s="80" t="str">
        <f>IFERROR(__xludf.DUMMYFUNCTION("""COMPUTED_VALUE"""),"97.1218019")</f>
        <v>97.1218019</v>
      </c>
      <c r="AV803" s="80"/>
      <c r="AW803" s="80"/>
      <c r="AX803" s="80"/>
      <c r="AY803" s="80"/>
      <c r="AZ803" s="80"/>
      <c r="BA803" s="80"/>
      <c r="BB803" s="80"/>
      <c r="BC803" s="80"/>
      <c r="BD803" s="80"/>
      <c r="BE803" s="80"/>
      <c r="BF803" s="80"/>
      <c r="BG803" s="80"/>
      <c r="BH803" s="80"/>
      <c r="BI803" s="80"/>
      <c r="BJ803" s="80"/>
      <c r="BK803" s="80"/>
      <c r="BL803" s="80"/>
      <c r="BM803" s="80"/>
      <c r="BN803" s="80"/>
      <c r="BO803" s="80"/>
      <c r="BP803" s="80"/>
      <c r="BQ803" s="80"/>
      <c r="BR803" s="80"/>
      <c r="BS803" s="80"/>
      <c r="BT803" s="80"/>
      <c r="BU803" s="80"/>
      <c r="BV803" s="80"/>
      <c r="BW803" s="80"/>
      <c r="BX803" s="80" t="str">
        <f>IFERROR(__xludf.DUMMYFUNCTION("""COMPUTED_VALUE"""),"NEWBIE")</f>
        <v>NEWBIE</v>
      </c>
      <c r="BY803" s="80"/>
      <c r="BZ803" s="80"/>
      <c r="CA803" s="80"/>
      <c r="CB803" s="80"/>
      <c r="CC803" s="80"/>
      <c r="CD803" s="80"/>
      <c r="CE803" s="80"/>
      <c r="CF803" s="80"/>
      <c r="CG803" s="80"/>
      <c r="CH803" s="80"/>
      <c r="CI803" s="80"/>
      <c r="CJ803" s="80"/>
      <c r="CK803" s="2"/>
    </row>
    <row r="804" ht="12.75" customHeight="1">
      <c r="A804" s="85">
        <f>IFERROR(__xludf.DUMMYFUNCTION("""COMPUTED_VALUE"""),800.0)</f>
        <v>800</v>
      </c>
      <c r="B804" s="85"/>
      <c r="C804" s="85"/>
      <c r="D804" s="86">
        <f>IFERROR(__xludf.DUMMYFUNCTION("""COMPUTED_VALUE"""),46045.0)</f>
        <v>46045</v>
      </c>
      <c r="E804" s="88"/>
      <c r="F804" s="85"/>
      <c r="G804" s="86">
        <f>IFERROR(__xludf.DUMMYFUNCTION("""COMPUTED_VALUE"""),46058.0)</f>
        <v>46058</v>
      </c>
      <c r="H804" s="85"/>
      <c r="I804" s="85"/>
      <c r="J804" s="85"/>
      <c r="K804" s="85"/>
      <c r="L804" s="85">
        <f>IFERROR(__xludf.DUMMYFUNCTION("""COMPUTED_VALUE"""),13.0)</f>
        <v>13</v>
      </c>
      <c r="M804" s="85" t="str">
        <f>IFERROR(__xludf.DUMMYFUNCTION("""COMPUTED_VALUE"""),"ü")</f>
        <v>ü</v>
      </c>
      <c r="N804" s="85"/>
      <c r="O804" s="85"/>
      <c r="P804" s="85" t="str">
        <f>IFERROR(__xludf.DUMMYFUNCTION("""COMPUTED_VALUE"""),"53BSPA09814JBEEN")</f>
        <v>53BSPA09814JBEEN</v>
      </c>
      <c r="Q804" s="85" t="str">
        <f>IFERROR(__xludf.DUMMYFUNCTION("""COMPUTED_VALUE"""),"MUC Dahlia Raya")</f>
        <v>MUC Dahlia Raya</v>
      </c>
      <c r="R804" s="85" t="str">
        <f>IFERROR(__xludf.DUMMYFUNCTION("""COMPUTED_VALUE"""),"MUC Dahlia Raya")</f>
        <v>MUC Dahlia Raya</v>
      </c>
      <c r="S804" s="85" t="str">
        <f>IFERROR(__xludf.DUMMYFUNCTION("""COMPUTED_VALUE"""),"LEONARDO DONGAN SIBARANI")</f>
        <v>LEONARDO DONGAN SIBARANI</v>
      </c>
      <c r="T804" s="85" t="str">
        <f>IFERROR(__xludf.DUMMYFUNCTION("""COMPUTED_VALUE"""),"JL. KAYURINGIN JAYA KAV 7 NO.1 PERUM KAYURINGIN TIMUR RT.002 RW.024, KAYURINGINJAYA, BEKASI SELATAN, KOTA BEKASI")</f>
        <v>JL. KAYURINGIN JAYA KAV 7 NO.1 PERUM KAYURINGIN TIMUR RT.002 RW.024, KAYURINGINJAYA, BEKASI SELATAN, KOTA BEKASI</v>
      </c>
      <c r="U804" s="85" t="str">
        <f>IFERROR(__xludf.DUMMYFUNCTION("""COMPUTED_VALUE"""),"Jl.Dahlia Raya No.50")</f>
        <v>Jl.Dahlia Raya No.50</v>
      </c>
      <c r="V804" s="85"/>
      <c r="W804" s="85" t="str">
        <f>IFERROR(__xludf.DUMMYFUNCTION("""COMPUTED_VALUE"""),"Jakasampurna")</f>
        <v>Jakasampurna</v>
      </c>
      <c r="X804" s="85" t="str">
        <f>IFERROR(__xludf.DUMMYFUNCTION("""COMPUTED_VALUE"""),"Bekasi Barat")</f>
        <v>Bekasi Barat</v>
      </c>
      <c r="Y804" s="85" t="str">
        <f>IFERROR(__xludf.DUMMYFUNCTION("""COMPUTED_VALUE"""),"Kota Bekasi")</f>
        <v>Kota Bekasi</v>
      </c>
      <c r="Z804" s="85" t="str">
        <f>IFERROR(__xludf.DUMMYFUNCTION("""COMPUTED_VALUE"""),"Jawa Barat")</f>
        <v>Jawa Barat</v>
      </c>
      <c r="AA804" s="85" t="str">
        <f>IFERROR(__xludf.DUMMYFUNCTION("""COMPUTED_VALUE"""),"19565")</f>
        <v>19565</v>
      </c>
      <c r="AB804" s="85" t="str">
        <f>IFERROR(__xludf.DUMMYFUNCTION("""COMPUTED_VALUE"""),"1271040709810006")</f>
        <v>1271040709810006</v>
      </c>
      <c r="AC804" s="85" t="str">
        <f>IFERROR(__xludf.DUMMYFUNCTION("""COMPUTED_VALUE"""),"67.697.079.3-423.000")</f>
        <v>67.697.079.3-423.000</v>
      </c>
      <c r="AD804" s="85" t="str">
        <f>IFERROR(__xludf.DUMMYFUNCTION("""COMPUTED_VALUE"""),"CUM - EEN")</f>
        <v>CUM - EEN</v>
      </c>
      <c r="AE804" s="85" t="str">
        <f>IFERROR(__xludf.DUMMYFUNCTION("""COMPUTED_VALUE"""),"SUB EEN")</f>
        <v>SUB EEN</v>
      </c>
      <c r="AF804" s="85" t="str">
        <f>IFERROR(__xludf.DUMMYFUNCTION("""COMPUTED_VALUE"""),"087888875170")</f>
        <v>087888875170</v>
      </c>
      <c r="AG804" s="85"/>
      <c r="AH804" s="85" t="str">
        <f>IFERROR(__xludf.DUMMYFUNCTION("""COMPUTED_VALUE"""),"leonard.d.sibarani@gmail.com")</f>
        <v>leonard.d.sibarani@gmail.com</v>
      </c>
      <c r="AI804" s="85" t="str">
        <f>IFERROR(__xludf.DUMMYFUNCTION("""COMPUTED_VALUE"""),"17137S2")</f>
        <v>17137S2</v>
      </c>
      <c r="AJ804" s="85" t="str">
        <f>IFERROR(__xludf.DUMMYFUNCTION("""COMPUTED_VALUE"""),"6984981cc25e01f004015832")</f>
        <v>6984981cc25e01f004015832</v>
      </c>
      <c r="AK804" s="85" t="str">
        <f>IFERROR(__xludf.DUMMYFUNCTION("""COMPUTED_VALUE"""),"leonard.d.sibarani@gmail.com")</f>
        <v>leonard.d.sibarani@gmail.com</v>
      </c>
      <c r="AL804" s="85" t="str">
        <f>IFERROR(__xludf.DUMMYFUNCTION("""COMPUTED_VALUE"""),"#Muc17137S2%")</f>
        <v>#Muc17137S2%</v>
      </c>
      <c r="AM804" s="85" t="str">
        <f>IFERROR(__xludf.DUMMYFUNCTION("""COMPUTED_VALUE"""),"KANTOR REGIONAL II JAKARTA 10004")</f>
        <v>KANTOR REGIONAL II JAKARTA 10004</v>
      </c>
      <c r="AN804" s="85" t="str">
        <f>IFERROR(__xludf.DUMMYFUNCTION("""COMPUTED_VALUE"""),"KCU BEKASI 17000")</f>
        <v>KCU BEKASI 17000</v>
      </c>
      <c r="AO804" s="85" t="str">
        <f>IFERROR(__xludf.DUMMYFUNCTION("""COMPUTED_VALUE"""),"MENYUSUL")</f>
        <v>MENYUSUL</v>
      </c>
      <c r="AP804" s="85" t="str">
        <f>IFERROR(__xludf.DUMMYFUNCTION("""COMPUTED_VALUE"""),"MENYUSUL")</f>
        <v>MENYUSUL</v>
      </c>
      <c r="AQ804" s="93"/>
      <c r="AR804" s="85"/>
      <c r="AS804" s="85"/>
      <c r="AT804" s="85" t="str">
        <f>IFERROR(__xludf.DUMMYFUNCTION("""COMPUTED_VALUE"""),"-6.2343686")</f>
        <v>-6.2343686</v>
      </c>
      <c r="AU804" s="85" t="str">
        <f>IFERROR(__xludf.DUMMYFUNCTION("""COMPUTED_VALUE"""),"106.9781965")</f>
        <v>106.9781965</v>
      </c>
      <c r="AV804" s="85"/>
      <c r="AW804" s="85"/>
      <c r="AX804" s="85"/>
      <c r="AY804" s="85"/>
      <c r="AZ804" s="85"/>
      <c r="BA804" s="85"/>
      <c r="BB804" s="85"/>
      <c r="BC804" s="85"/>
      <c r="BD804" s="85"/>
      <c r="BE804" s="85"/>
      <c r="BF804" s="85"/>
      <c r="BG804" s="85"/>
      <c r="BH804" s="85"/>
      <c r="BI804" s="85"/>
      <c r="BJ804" s="85"/>
      <c r="BK804" s="85"/>
      <c r="BL804" s="85"/>
      <c r="BM804" s="85"/>
      <c r="BN804" s="85"/>
      <c r="BO804" s="85"/>
      <c r="BP804" s="85"/>
      <c r="BQ804" s="85"/>
      <c r="BR804" s="85"/>
      <c r="BS804" s="85"/>
      <c r="BT804" s="85"/>
      <c r="BU804" s="85"/>
      <c r="BV804" s="85"/>
      <c r="BW804" s="85"/>
      <c r="BX804" s="85" t="str">
        <f>IFERROR(__xludf.DUMMYFUNCTION("""COMPUTED_VALUE"""),"MULTIKURIR - WAHANA - LION PARCEL")</f>
        <v>MULTIKURIR - WAHANA - LION PARCEL</v>
      </c>
      <c r="BY804" s="85"/>
      <c r="BZ804" s="85"/>
      <c r="CA804" s="85"/>
      <c r="CB804" s="85"/>
      <c r="CC804" s="85"/>
      <c r="CD804" s="85"/>
      <c r="CE804" s="85"/>
      <c r="CF804" s="85"/>
      <c r="CG804" s="85"/>
      <c r="CH804" s="85"/>
      <c r="CI804" s="85"/>
      <c r="CJ804" s="85"/>
      <c r="CK804" s="2"/>
    </row>
    <row r="805" ht="12.75" customHeight="1">
      <c r="A805" s="80">
        <f>IFERROR(__xludf.DUMMYFUNCTION("""COMPUTED_VALUE"""),801.0)</f>
        <v>801</v>
      </c>
      <c r="B805" s="80"/>
      <c r="C805" s="80"/>
      <c r="D805" s="81">
        <f>IFERROR(__xludf.DUMMYFUNCTION("""COMPUTED_VALUE"""),46049.0)</f>
        <v>46049</v>
      </c>
      <c r="E805" s="82"/>
      <c r="F805" s="80"/>
      <c r="G805" s="81">
        <f>IFERROR(__xludf.DUMMYFUNCTION("""COMPUTED_VALUE"""),46076.0)</f>
        <v>46076</v>
      </c>
      <c r="H805" s="80"/>
      <c r="I805" s="80"/>
      <c r="J805" s="80"/>
      <c r="K805" s="80"/>
      <c r="L805" s="80">
        <f>IFERROR(__xludf.DUMMYFUNCTION("""COMPUTED_VALUE"""),27.0)</f>
        <v>27</v>
      </c>
      <c r="M805" s="80" t="str">
        <f>IFERROR(__xludf.DUMMYFUNCTION("""COMPUTED_VALUE"""),"ü")</f>
        <v>ü</v>
      </c>
      <c r="N805" s="80"/>
      <c r="O805" s="80"/>
      <c r="P805" s="80" t="str">
        <f>IFERROR(__xludf.DUMMYFUNCTION("""COMPUTED_VALUE"""),"53BSPA09767JBEEN")</f>
        <v>53BSPA09767JBEEN</v>
      </c>
      <c r="Q805" s="80" t="str">
        <f>IFERROR(__xludf.DUMMYFUNCTION("""COMPUTED_VALUE"""),"MUC Laila Collection")</f>
        <v>MUC Laila Collection</v>
      </c>
      <c r="R805" s="80" t="str">
        <f>IFERROR(__xludf.DUMMYFUNCTION("""COMPUTED_VALUE"""),"MUC Laila Collection")</f>
        <v>MUC Laila Collection</v>
      </c>
      <c r="S805" s="80" t="str">
        <f>IFERROR(__xludf.DUMMYFUNCTION("""COMPUTED_VALUE"""),"MIFTAH")</f>
        <v>MIFTAH</v>
      </c>
      <c r="T805" s="80" t="str">
        <f>IFERROR(__xludf.DUMMYFUNCTION("""COMPUTED_VALUE"""),"PERUM BUMI KEPANG PERMAI BLOK B NO.53, RT.002 RW.006, SINGAJAYA, JONGGOL, KAB. BOGOR JAWA BARAT")</f>
        <v>PERUM BUMI KEPANG PERMAI BLOK B NO.53, RT.002 RW.006, SINGAJAYA, JONGGOL, KAB. BOGOR JAWA BARAT</v>
      </c>
      <c r="U805" s="80" t="str">
        <f>IFERROR(__xludf.DUMMYFUNCTION("""COMPUTED_VALUE"""),"PERUM BUMI KEPANG PERMAI BLOK B NO.53, RT.002 RW.006")</f>
        <v>PERUM BUMI KEPANG PERMAI BLOK B NO.53, RT.002 RW.006</v>
      </c>
      <c r="V805" s="80"/>
      <c r="W805" s="80" t="str">
        <f>IFERROR(__xludf.DUMMYFUNCTION("""COMPUTED_VALUE"""),"SINGAJAYA")</f>
        <v>SINGAJAYA</v>
      </c>
      <c r="X805" s="80" t="str">
        <f>IFERROR(__xludf.DUMMYFUNCTION("""COMPUTED_VALUE"""),"JONGGOL")</f>
        <v>JONGGOL</v>
      </c>
      <c r="Y805" s="80" t="str">
        <f>IFERROR(__xludf.DUMMYFUNCTION("""COMPUTED_VALUE"""),"KAB. BOGOR ")</f>
        <v>KAB. BOGOR </v>
      </c>
      <c r="Z805" s="80" t="str">
        <f>IFERROR(__xludf.DUMMYFUNCTION("""COMPUTED_VALUE"""),"JAWA BARAT")</f>
        <v>JAWA BARAT</v>
      </c>
      <c r="AA805" s="80" t="str">
        <f>IFERROR(__xludf.DUMMYFUNCTION("""COMPUTED_VALUE"""),"16830")</f>
        <v>16830</v>
      </c>
      <c r="AB805" s="80" t="str">
        <f>IFERROR(__xludf.DUMMYFUNCTION("""COMPUTED_VALUE"""),"3202220707910002")</f>
        <v>3202220707910002</v>
      </c>
      <c r="AC805" s="80" t="str">
        <f>IFERROR(__xludf.DUMMYFUNCTION("""COMPUTED_VALUE"""),"83.405.481.9-405.000")</f>
        <v>83.405.481.9-405.000</v>
      </c>
      <c r="AD805" s="80" t="str">
        <f>IFERROR(__xludf.DUMMYFUNCTION("""COMPUTED_VALUE"""),"CUM - EEN")</f>
        <v>CUM - EEN</v>
      </c>
      <c r="AE805" s="80" t="str">
        <f>IFERROR(__xludf.DUMMYFUNCTION("""COMPUTED_VALUE"""),"SUB EEN")</f>
        <v>SUB EEN</v>
      </c>
      <c r="AF805" s="80" t="str">
        <f>IFERROR(__xludf.DUMMYFUNCTION("""COMPUTED_VALUE"""),"085717876364")</f>
        <v>085717876364</v>
      </c>
      <c r="AG805" s="80"/>
      <c r="AH805" s="80" t="str">
        <f>IFERROR(__xludf.DUMMYFUNCTION("""COMPUTED_VALUE"""),"mift1705@gmail.com ")</f>
        <v>mift1705@gmail.com </v>
      </c>
      <c r="AI805" s="80" t="str">
        <f>IFERROR(__xludf.DUMMYFUNCTION("""COMPUTED_VALUE"""),"16834S2")</f>
        <v>16834S2</v>
      </c>
      <c r="AJ805" s="80" t="str">
        <f>IFERROR(__xludf.DUMMYFUNCTION("""COMPUTED_VALUE"""),"69993c481abc2597110796af")</f>
        <v>69993c481abc2597110796af</v>
      </c>
      <c r="AK805" s="80" t="str">
        <f>IFERROR(__xludf.DUMMYFUNCTION("""COMPUTED_VALUE"""),"mift1705@gmail.com ")</f>
        <v>mift1705@gmail.com </v>
      </c>
      <c r="AL805" s="80" t="str">
        <f>IFERROR(__xludf.DUMMYFUNCTION("""COMPUTED_VALUE"""),"#Muc16834S2%")</f>
        <v>#Muc16834S2%</v>
      </c>
      <c r="AM805" s="80" t="str">
        <f>IFERROR(__xludf.DUMMYFUNCTION("""COMPUTED_VALUE"""),"KANTOR REGIONAL II JAKARTA 10004")</f>
        <v>KANTOR REGIONAL II JAKARTA 10004</v>
      </c>
      <c r="AN805" s="80" t="str">
        <f>IFERROR(__xludf.DUMMYFUNCTION("""COMPUTED_VALUE"""),"KC CIBINONG")</f>
        <v>KC CIBINONG</v>
      </c>
      <c r="AO805" s="80" t="str">
        <f>IFERROR(__xludf.DUMMYFUNCTION("""COMPUTED_VALUE"""),"MENYUSUL")</f>
        <v>MENYUSUL</v>
      </c>
      <c r="AP805" s="80" t="str">
        <f>IFERROR(__xludf.DUMMYFUNCTION("""COMPUTED_VALUE"""),"MENYUSUL")</f>
        <v>MENYUSUL</v>
      </c>
      <c r="AQ805" s="83"/>
      <c r="AR805" s="80"/>
      <c r="AS805" s="80"/>
      <c r="AT805" s="80" t="str">
        <f>IFERROR(__xludf.DUMMYFUNCTION("""COMPUTED_VALUE"""),"-6.4904345")</f>
        <v>-6.4904345</v>
      </c>
      <c r="AU805" s="80" t="str">
        <f>IFERROR(__xludf.DUMMYFUNCTION("""COMPUTED_VALUE"""),"107.0395812")</f>
        <v>107.0395812</v>
      </c>
      <c r="AV805" s="80"/>
      <c r="AW805" s="80"/>
      <c r="AX805" s="80"/>
      <c r="AY805" s="80"/>
      <c r="AZ805" s="80"/>
      <c r="BA805" s="80"/>
      <c r="BB805" s="80"/>
      <c r="BC805" s="80"/>
      <c r="BD805" s="80"/>
      <c r="BE805" s="80"/>
      <c r="BF805" s="80"/>
      <c r="BG805" s="80"/>
      <c r="BH805" s="80"/>
      <c r="BI805" s="80"/>
      <c r="BJ805" s="80"/>
      <c r="BK805" s="80"/>
      <c r="BL805" s="80"/>
      <c r="BM805" s="80"/>
      <c r="BN805" s="80"/>
      <c r="BO805" s="80"/>
      <c r="BP805" s="80"/>
      <c r="BQ805" s="80"/>
      <c r="BR805" s="80"/>
      <c r="BS805" s="80"/>
      <c r="BT805" s="80"/>
      <c r="BU805" s="80"/>
      <c r="BV805" s="80"/>
      <c r="BW805" s="80"/>
      <c r="BX805" s="80" t="str">
        <f>IFERROR(__xludf.DUMMYFUNCTION("""COMPUTED_VALUE"""),"NEWBIE")</f>
        <v>NEWBIE</v>
      </c>
      <c r="BY805" s="80"/>
      <c r="BZ805" s="80"/>
      <c r="CA805" s="80"/>
      <c r="CB805" s="80"/>
      <c r="CC805" s="80"/>
      <c r="CD805" s="80"/>
      <c r="CE805" s="80"/>
      <c r="CF805" s="80"/>
      <c r="CG805" s="80"/>
      <c r="CH805" s="80"/>
      <c r="CI805" s="80"/>
      <c r="CJ805" s="80"/>
      <c r="CK805" s="2"/>
    </row>
    <row r="806" ht="12.75" customHeight="1">
      <c r="A806" s="85">
        <f>IFERROR(__xludf.DUMMYFUNCTION("""COMPUTED_VALUE"""),802.0)</f>
        <v>802</v>
      </c>
      <c r="B806" s="85"/>
      <c r="C806" s="85"/>
      <c r="D806" s="86">
        <f>IFERROR(__xludf.DUMMYFUNCTION("""COMPUTED_VALUE"""),46050.0)</f>
        <v>46050</v>
      </c>
      <c r="E806" s="88"/>
      <c r="F806" s="85"/>
      <c r="G806" s="86">
        <f>IFERROR(__xludf.DUMMYFUNCTION("""COMPUTED_VALUE"""),46055.0)</f>
        <v>46055</v>
      </c>
      <c r="H806" s="85"/>
      <c r="I806" s="85"/>
      <c r="J806" s="85"/>
      <c r="K806" s="85"/>
      <c r="L806" s="85">
        <f>IFERROR(__xludf.DUMMYFUNCTION("""COMPUTED_VALUE"""),5.0)</f>
        <v>5</v>
      </c>
      <c r="M806" s="85" t="str">
        <f>IFERROR(__xludf.DUMMYFUNCTION("""COMPUTED_VALUE"""),"ü")</f>
        <v>ü</v>
      </c>
      <c r="N806" s="85"/>
      <c r="O806" s="85"/>
      <c r="P806" s="85" t="str">
        <f>IFERROR(__xludf.DUMMYFUNCTION("""COMPUTED_VALUE"""),"MUCSPA63356PSIND")</f>
        <v>MUCSPA63356PSIND</v>
      </c>
      <c r="Q806" s="85" t="str">
        <f>IFERROR(__xludf.DUMMYFUNCTION("""COMPUTED_VALUE"""),"MUC Keprabon")</f>
        <v>MUC Keprabon</v>
      </c>
      <c r="R806" s="85" t="str">
        <f>IFERROR(__xludf.DUMMYFUNCTION("""COMPUTED_VALUE"""),"MUC Keprabon")</f>
        <v>MUC Keprabon</v>
      </c>
      <c r="S806" s="85" t="str">
        <f>IFERROR(__xludf.DUMMYFUNCTION("""COMPUTED_VALUE"""),"Cindy Rahmawati")</f>
        <v>Cindy Rahmawati</v>
      </c>
      <c r="T806" s="85" t="str">
        <f>IFERROR(__xludf.DUMMYFUNCTION("""COMPUTED_VALUE"""),"Bedoyo Rt 04 Rw 08 Pereng Mojogedang Karanganyar")</f>
        <v>Bedoyo Rt 04 Rw 08 Pereng Mojogedang Karanganyar</v>
      </c>
      <c r="U806" s="85" t="str">
        <f>IFERROR(__xludf.DUMMYFUNCTION("""COMPUTED_VALUE"""),"Karangpandan")</f>
        <v>Karangpandan</v>
      </c>
      <c r="V806" s="85"/>
      <c r="W806" s="85" t="str">
        <f>IFERROR(__xludf.DUMMYFUNCTION("""COMPUTED_VALUE"""),"Karangpandan")</f>
        <v>Karangpandan</v>
      </c>
      <c r="X806" s="85" t="str">
        <f>IFERROR(__xludf.DUMMYFUNCTION("""COMPUTED_VALUE"""),"Karangpandan")</f>
        <v>Karangpandan</v>
      </c>
      <c r="Y806" s="85" t="str">
        <f>IFERROR(__xludf.DUMMYFUNCTION("""COMPUTED_VALUE"""),"Karanganyar")</f>
        <v>Karanganyar</v>
      </c>
      <c r="Z806" s="85" t="str">
        <f>IFERROR(__xludf.DUMMYFUNCTION("""COMPUTED_VALUE"""),"Jawa Tengah")</f>
        <v>Jawa Tengah</v>
      </c>
      <c r="AA806" s="85" t="str">
        <f>IFERROR(__xludf.DUMMYFUNCTION("""COMPUTED_VALUE"""),"57791")</f>
        <v>57791</v>
      </c>
      <c r="AB806" s="85" t="str">
        <f>IFERROR(__xludf.DUMMYFUNCTION("""COMPUTED_VALUE"""),"3674065709010013")</f>
        <v>3674065709010013</v>
      </c>
      <c r="AC806" s="85" t="str">
        <f>IFERROR(__xludf.DUMMYFUNCTION("""COMPUTED_VALUE"""),"3674 0657 0901 0013")</f>
        <v>3674 0657 0901 0013</v>
      </c>
      <c r="AD806" s="85" t="str">
        <f>IFERROR(__xludf.DUMMYFUNCTION("""COMPUTED_VALUE"""),"CUM - PS - RTW")</f>
        <v>CUM - PS - RTW</v>
      </c>
      <c r="AE806" s="85" t="str">
        <f>IFERROR(__xludf.DUMMYFUNCTION("""COMPUTED_VALUE"""),"SUB RUSTINA POS")</f>
        <v>SUB RUSTINA POS</v>
      </c>
      <c r="AF806" s="85" t="str">
        <f>IFERROR(__xludf.DUMMYFUNCTION("""COMPUTED_VALUE"""),"081331293832")</f>
        <v>081331293832</v>
      </c>
      <c r="AG806" s="85"/>
      <c r="AH806" s="85" t="str">
        <f>IFERROR(__xludf.DUMMYFUNCTION("""COMPUTED_VALUE"""),"cndyrahmawati@gmail.com")</f>
        <v>cndyrahmawati@gmail.com</v>
      </c>
      <c r="AI806" s="85" t="str">
        <f>IFERROR(__xludf.DUMMYFUNCTION("""COMPUTED_VALUE"""),"57791S2")</f>
        <v>57791S2</v>
      </c>
      <c r="AJ806" s="85" t="str">
        <f>IFERROR(__xludf.DUMMYFUNCTION("""COMPUTED_VALUE"""),"697d78ff15428101ce0f3165")</f>
        <v>697d78ff15428101ce0f3165</v>
      </c>
      <c r="AK806" s="85" t="str">
        <f>IFERROR(__xludf.DUMMYFUNCTION("""COMPUTED_VALUE"""),"ariadfebriantodani@gmail.com")</f>
        <v>ariadfebriantodani@gmail.com</v>
      </c>
      <c r="AL806" s="85" t="str">
        <f>IFERROR(__xludf.DUMMYFUNCTION("""COMPUTED_VALUE"""),"#Muc57791S2$")</f>
        <v>#Muc57791S2$</v>
      </c>
      <c r="AM806" s="85" t="str">
        <f>IFERROR(__xludf.DUMMYFUNCTION("""COMPUTED_VALUE"""),"KANTOR REGIONAL IV SEMARANG 50004")</f>
        <v>KANTOR REGIONAL IV SEMARANG 50004</v>
      </c>
      <c r="AN806" s="85" t="str">
        <f>IFERROR(__xludf.DUMMYFUNCTION("""COMPUTED_VALUE"""),"KC KARANGANYAR")</f>
        <v>KC KARANGANYAR</v>
      </c>
      <c r="AO806" s="85" t="str">
        <f>IFERROR(__xludf.DUMMYFUNCTION("""COMPUTED_VALUE"""),"MENYUSUL")</f>
        <v>MENYUSUL</v>
      </c>
      <c r="AP806" s="85" t="str">
        <f>IFERROR(__xludf.DUMMYFUNCTION("""COMPUTED_VALUE"""),"MENYUSUL")</f>
        <v>MENYUSUL</v>
      </c>
      <c r="AQ806" s="93"/>
      <c r="AR806" s="85"/>
      <c r="AS806" s="85"/>
      <c r="AT806" s="85" t="str">
        <f>IFERROR(__xludf.DUMMYFUNCTION("""COMPUTED_VALUE"""),"-7.6160023")</f>
        <v>-7.6160023</v>
      </c>
      <c r="AU806" s="85" t="str">
        <f>IFERROR(__xludf.DUMMYFUNCTION("""COMPUTED_VALUE"""),"111.0803514")</f>
        <v>111.0803514</v>
      </c>
      <c r="AV806" s="85"/>
      <c r="AW806" s="85"/>
      <c r="AX806" s="85"/>
      <c r="AY806" s="85"/>
      <c r="AZ806" s="85"/>
      <c r="BA806" s="85"/>
      <c r="BB806" s="85"/>
      <c r="BC806" s="85"/>
      <c r="BD806" s="85"/>
      <c r="BE806" s="85"/>
      <c r="BF806" s="85"/>
      <c r="BG806" s="85"/>
      <c r="BH806" s="85"/>
      <c r="BI806" s="85"/>
      <c r="BJ806" s="85"/>
      <c r="BK806" s="85"/>
      <c r="BL806" s="85"/>
      <c r="BM806" s="85"/>
      <c r="BN806" s="85"/>
      <c r="BO806" s="85"/>
      <c r="BP806" s="85"/>
      <c r="BQ806" s="85"/>
      <c r="BR806" s="85"/>
      <c r="BS806" s="85"/>
      <c r="BT806" s="85"/>
      <c r="BU806" s="85"/>
      <c r="BV806" s="85"/>
      <c r="BW806" s="85"/>
      <c r="BX806" s="85" t="str">
        <f>IFERROR(__xludf.DUMMYFUNCTION("""COMPUTED_VALUE"""),"MULTIKURIR - INDAH CARGO")</f>
        <v>MULTIKURIR - INDAH CARGO</v>
      </c>
      <c r="BY806" s="85"/>
      <c r="BZ806" s="85"/>
      <c r="CA806" s="85"/>
      <c r="CB806" s="85"/>
      <c r="CC806" s="85"/>
      <c r="CD806" s="85"/>
      <c r="CE806" s="85"/>
      <c r="CF806" s="85"/>
      <c r="CG806" s="85"/>
      <c r="CH806" s="85"/>
      <c r="CI806" s="85"/>
      <c r="CJ806" s="85"/>
      <c r="CK806" s="2"/>
    </row>
    <row r="807" ht="12.75" customHeight="1">
      <c r="A807" s="80">
        <f>IFERROR(__xludf.DUMMYFUNCTION("""COMPUTED_VALUE"""),803.0)</f>
        <v>803</v>
      </c>
      <c r="B807" s="80"/>
      <c r="C807" s="80"/>
      <c r="D807" s="81">
        <f>IFERROR(__xludf.DUMMYFUNCTION("""COMPUTED_VALUE"""),46050.0)</f>
        <v>46050</v>
      </c>
      <c r="E807" s="82"/>
      <c r="F807" s="80"/>
      <c r="G807" s="81">
        <f>IFERROR(__xludf.DUMMYFUNCTION("""COMPUTED_VALUE"""),46080.0)</f>
        <v>46080</v>
      </c>
      <c r="H807" s="80"/>
      <c r="I807" s="80"/>
      <c r="J807" s="80"/>
      <c r="K807" s="80"/>
      <c r="L807" s="80">
        <f>IFERROR(__xludf.DUMMYFUNCTION("""COMPUTED_VALUE"""),30.0)</f>
        <v>30</v>
      </c>
      <c r="M807" s="80" t="str">
        <f>IFERROR(__xludf.DUMMYFUNCTION("""COMPUTED_VALUE"""),"ü")</f>
        <v>ü</v>
      </c>
      <c r="N807" s="80"/>
      <c r="O807" s="80"/>
      <c r="P807" s="80" t="str">
        <f>IFERROR(__xludf.DUMMYFUNCTION("""COMPUTED_VALUE"""),"MUCSPA63357PSIND")</f>
        <v>MUCSPA63357PSIND</v>
      </c>
      <c r="Q807" s="80" t="str">
        <f>IFERROR(__xludf.DUMMYFUNCTION("""COMPUTED_VALUE"""),"MUC DENS BOY")</f>
        <v>MUC DENS BOY</v>
      </c>
      <c r="R807" s="80" t="str">
        <f>IFERROR(__xludf.DUMMYFUNCTION("""COMPUTED_VALUE"""),"MUC DENS BOY")</f>
        <v>MUC DENS BOY</v>
      </c>
      <c r="S807" s="80" t="str">
        <f>IFERROR(__xludf.DUMMYFUNCTION("""COMPUTED_VALUE"""),"DENDY YOSA PERMANA")</f>
        <v>DENDY YOSA PERMANA</v>
      </c>
      <c r="T807" s="80" t="str">
        <f>IFERROR(__xludf.DUMMYFUNCTION("""COMPUTED_VALUE"""),"DUSUN PANGKALAN, JINGKANG, TANJUNGMEDAR, KAB. SUMEDANG")</f>
        <v>DUSUN PANGKALAN, JINGKANG, TANJUNGMEDAR, KAB. SUMEDANG</v>
      </c>
      <c r="U807" s="80" t="str">
        <f>IFERROR(__xludf.DUMMYFUNCTION("""COMPUTED_VALUE"""),"Dusun jingkang rt / rw 04/01")</f>
        <v>Dusun jingkang rt / rw 04/01</v>
      </c>
      <c r="V807" s="80"/>
      <c r="W807" s="80" t="str">
        <f>IFERROR(__xludf.DUMMYFUNCTION("""COMPUTED_VALUE"""),"Jingkang ")</f>
        <v>Jingkang </v>
      </c>
      <c r="X807" s="80" t="str">
        <f>IFERROR(__xludf.DUMMYFUNCTION("""COMPUTED_VALUE"""),"Tanjungmedar")</f>
        <v>Tanjungmedar</v>
      </c>
      <c r="Y807" s="80" t="str">
        <f>IFERROR(__xludf.DUMMYFUNCTION("""COMPUTED_VALUE"""),"Kab. Sumedang")</f>
        <v>Kab. Sumedang</v>
      </c>
      <c r="Z807" s="80" t="str">
        <f>IFERROR(__xludf.DUMMYFUNCTION("""COMPUTED_VALUE"""),"Jawa Barat")</f>
        <v>Jawa Barat</v>
      </c>
      <c r="AA807" s="80" t="str">
        <f>IFERROR(__xludf.DUMMYFUNCTION("""COMPUTED_VALUE"""),"45354")</f>
        <v>45354</v>
      </c>
      <c r="AB807" s="80" t="str">
        <f>IFERROR(__xludf.DUMMYFUNCTION("""COMPUTED_VALUE"""),"3277020806790008")</f>
        <v>3277020806790008</v>
      </c>
      <c r="AC807" s="80" t="str">
        <f>IFERROR(__xludf.DUMMYFUNCTION("""COMPUTED_VALUE"""),"3277020806790008")</f>
        <v>3277020806790008</v>
      </c>
      <c r="AD807" s="80" t="str">
        <f>IFERROR(__xludf.DUMMYFUNCTION("""COMPUTED_VALUE"""),"NON KORGEN")</f>
        <v>NON KORGEN</v>
      </c>
      <c r="AE807" s="80" t="str">
        <f>IFERROR(__xludf.DUMMYFUNCTION("""COMPUTED_VALUE"""),"SUB YANA KC SUMEDANG")</f>
        <v>SUB YANA KC SUMEDANG</v>
      </c>
      <c r="AF807" s="80" t="str">
        <f>IFERROR(__xludf.DUMMYFUNCTION("""COMPUTED_VALUE"""),"081388669389")</f>
        <v>081388669389</v>
      </c>
      <c r="AG807" s="80"/>
      <c r="AH807" s="80" t="str">
        <f>IFERROR(__xludf.DUMMYFUNCTION("""COMPUTED_VALUE"""),"densb83@gmail.com")</f>
        <v>densb83@gmail.com</v>
      </c>
      <c r="AI807" s="80" t="str">
        <f>IFERROR(__xludf.DUMMYFUNCTION("""COMPUTED_VALUE"""),"45355S1")</f>
        <v>45355S1</v>
      </c>
      <c r="AJ807" s="80" t="str">
        <f>IFERROR(__xludf.DUMMYFUNCTION("""COMPUTED_VALUE"""),"69a107c45b4f2212970e8b02")</f>
        <v>69a107c45b4f2212970e8b02</v>
      </c>
      <c r="AK807" s="80" t="str">
        <f>IFERROR(__xludf.DUMMYFUNCTION("""COMPUTED_VALUE"""),"densb83@gmail.com")</f>
        <v>densb83@gmail.com</v>
      </c>
      <c r="AL807" s="80" t="str">
        <f>IFERROR(__xludf.DUMMYFUNCTION("""COMPUTED_VALUE"""),"@Muc45355S1$")</f>
        <v>@Muc45355S1$</v>
      </c>
      <c r="AM807" s="80" t="str">
        <f>IFERROR(__xludf.DUMMYFUNCTION("""COMPUTED_VALUE"""),"KANTOR REGIONAL III BANDUNG 40004")</f>
        <v>KANTOR REGIONAL III BANDUNG 40004</v>
      </c>
      <c r="AN807" s="80" t="str">
        <f>IFERROR(__xludf.DUMMYFUNCTION("""COMPUTED_VALUE"""),"KC SUMEDANG")</f>
        <v>KC SUMEDANG</v>
      </c>
      <c r="AO807" s="80" t="str">
        <f>IFERROR(__xludf.DUMMYFUNCTION("""COMPUTED_VALUE"""),"MENYUSUL")</f>
        <v>MENYUSUL</v>
      </c>
      <c r="AP807" s="80" t="str">
        <f>IFERROR(__xludf.DUMMYFUNCTION("""COMPUTED_VALUE"""),"MENYUSUL")</f>
        <v>MENYUSUL</v>
      </c>
      <c r="AQ807" s="83"/>
      <c r="AR807" s="80"/>
      <c r="AS807" s="80"/>
      <c r="AT807" s="80" t="str">
        <f>IFERROR(__xludf.DUMMYFUNCTION("""COMPUTED_VALUE"""),"-6.714878")</f>
        <v>-6.714878</v>
      </c>
      <c r="AU807" s="80" t="str">
        <f>IFERROR(__xludf.DUMMYFUNCTION("""COMPUTED_VALUE"""),"107.865187")</f>
        <v>107.865187</v>
      </c>
      <c r="AV807" s="80"/>
      <c r="AW807" s="80"/>
      <c r="AX807" s="80"/>
      <c r="AY807" s="80"/>
      <c r="AZ807" s="80"/>
      <c r="BA807" s="80"/>
      <c r="BB807" s="80"/>
      <c r="BC807" s="80"/>
      <c r="BD807" s="80"/>
      <c r="BE807" s="80"/>
      <c r="BF807" s="80"/>
      <c r="BG807" s="80"/>
      <c r="BH807" s="80"/>
      <c r="BI807" s="80"/>
      <c r="BJ807" s="80"/>
      <c r="BK807" s="80"/>
      <c r="BL807" s="80"/>
      <c r="BM807" s="80"/>
      <c r="BN807" s="80"/>
      <c r="BO807" s="80"/>
      <c r="BP807" s="80"/>
      <c r="BQ807" s="80"/>
      <c r="BR807" s="80"/>
      <c r="BS807" s="80"/>
      <c r="BT807" s="80"/>
      <c r="BU807" s="80"/>
      <c r="BV807" s="80"/>
      <c r="BW807" s="80"/>
      <c r="BX807" s="80" t="str">
        <f>IFERROR(__xludf.DUMMYFUNCTION("""COMPUTED_VALUE"""),"NEWBIE")</f>
        <v>NEWBIE</v>
      </c>
      <c r="BY807" s="80"/>
      <c r="BZ807" s="80"/>
      <c r="CA807" s="80"/>
      <c r="CB807" s="80"/>
      <c r="CC807" s="80"/>
      <c r="CD807" s="80"/>
      <c r="CE807" s="80"/>
      <c r="CF807" s="80"/>
      <c r="CG807" s="80"/>
      <c r="CH807" s="80"/>
      <c r="CI807" s="80"/>
      <c r="CJ807" s="80"/>
      <c r="CK807" s="2"/>
    </row>
    <row r="808" ht="12.75" customHeight="1">
      <c r="A808" s="85">
        <f>IFERROR(__xludf.DUMMYFUNCTION("""COMPUTED_VALUE"""),804.0)</f>
        <v>804</v>
      </c>
      <c r="B808" s="85"/>
      <c r="C808" s="85"/>
      <c r="D808" s="86">
        <f>IFERROR(__xludf.DUMMYFUNCTION("""COMPUTED_VALUE"""),46050.0)</f>
        <v>46050</v>
      </c>
      <c r="E808" s="88"/>
      <c r="F808" s="85"/>
      <c r="G808" s="86">
        <f>IFERROR(__xludf.DUMMYFUNCTION("""COMPUTED_VALUE"""),46077.0)</f>
        <v>46077</v>
      </c>
      <c r="H808" s="85"/>
      <c r="I808" s="85"/>
      <c r="J808" s="85"/>
      <c r="K808" s="85"/>
      <c r="L808" s="85">
        <f>IFERROR(__xludf.DUMMYFUNCTION("""COMPUTED_VALUE"""),27.0)</f>
        <v>27</v>
      </c>
      <c r="M808" s="85" t="str">
        <f>IFERROR(__xludf.DUMMYFUNCTION("""COMPUTED_VALUE"""),"ü")</f>
        <v>ü</v>
      </c>
      <c r="N808" s="85"/>
      <c r="O808" s="85"/>
      <c r="P808" s="85" t="str">
        <f>IFERROR(__xludf.DUMMYFUNCTION("""COMPUTED_VALUE"""),"MUCSPA63358PSIND")</f>
        <v>MUCSPA63358PSIND</v>
      </c>
      <c r="Q808" s="85" t="str">
        <f>IFERROR(__xludf.DUMMYFUNCTION("""COMPUTED_VALUE"""),"MUC AWT")</f>
        <v>MUC AWT</v>
      </c>
      <c r="R808" s="85" t="str">
        <f>IFERROR(__xludf.DUMMYFUNCTION("""COMPUTED_VALUE"""),"MUC AWT")</f>
        <v>MUC AWT</v>
      </c>
      <c r="S808" s="85" t="str">
        <f>IFERROR(__xludf.DUMMYFUNCTION("""COMPUTED_VALUE"""),"AGUSWANDI TANJUNG")</f>
        <v>AGUSWANDI TANJUNG</v>
      </c>
      <c r="T808" s="85" t="str">
        <f>IFERROR(__xludf.DUMMYFUNCTION("""COMPUTED_VALUE"""),"JALAN KALI KECIL II NO 15 RT.002 RW.005, KAMPUNG PONDOK, PADANG BARAT, KOTA PADANG")</f>
        <v>JALAN KALI KECIL II NO 15 RT.002 RW.005, KAMPUNG PONDOK, PADANG BARAT, KOTA PADANG</v>
      </c>
      <c r="U808" s="85" t="str">
        <f>IFERROR(__xludf.DUMMYFUNCTION("""COMPUTED_VALUE"""),"ITC Roxy Mas Lantai 4 No. 12, Jl. KH. Hasyim Ashari No.125, RT.4/RW.8")</f>
        <v>ITC Roxy Mas Lantai 4 No. 12, Jl. KH. Hasyim Ashari No.125, RT.4/RW.8</v>
      </c>
      <c r="V808" s="85"/>
      <c r="W808" s="85" t="str">
        <f>IFERROR(__xludf.DUMMYFUNCTION("""COMPUTED_VALUE"""),"Cideng")</f>
        <v>Cideng</v>
      </c>
      <c r="X808" s="85" t="str">
        <f>IFERROR(__xludf.DUMMYFUNCTION("""COMPUTED_VALUE"""),"Grogol petamburan")</f>
        <v>Grogol petamburan</v>
      </c>
      <c r="Y808" s="85" t="str">
        <f>IFERROR(__xludf.DUMMYFUNCTION("""COMPUTED_VALUE"""),"Jakarta Pusat")</f>
        <v>Jakarta Pusat</v>
      </c>
      <c r="Z808" s="85" t="str">
        <f>IFERROR(__xludf.DUMMYFUNCTION("""COMPUTED_VALUE"""),"DKI Jakarta")</f>
        <v>DKI Jakarta</v>
      </c>
      <c r="AA808" s="85" t="str">
        <f>IFERROR(__xludf.DUMMYFUNCTION("""COMPUTED_VALUE"""),"11460")</f>
        <v>11460</v>
      </c>
      <c r="AB808" s="85" t="str">
        <f>IFERROR(__xludf.DUMMYFUNCTION("""COMPUTED_VALUE"""),"1371032108520004")</f>
        <v>1371032108520004</v>
      </c>
      <c r="AC808" s="85" t="str">
        <f>IFERROR(__xludf.DUMMYFUNCTION("""COMPUTED_VALUE"""),"08.096.491.9-201.000")</f>
        <v>08.096.491.9-201.000</v>
      </c>
      <c r="AD808" s="85" t="str">
        <f>IFERROR(__xludf.DUMMYFUNCTION("""COMPUTED_VALUE"""),"NON KORGEN")</f>
        <v>NON KORGEN</v>
      </c>
      <c r="AE808" s="85" t="str">
        <f>IFERROR(__xludf.DUMMYFUNCTION("""COMPUTED_VALUE"""),"BU OLVINE KCU CENTRUM")</f>
        <v>BU OLVINE KCU CENTRUM</v>
      </c>
      <c r="AF808" s="85" t="str">
        <f>IFERROR(__xludf.DUMMYFUNCTION("""COMPUTED_VALUE"""),"0811927334")</f>
        <v>0811927334</v>
      </c>
      <c r="AG808" s="85"/>
      <c r="AH808" s="85" t="str">
        <f>IFERROR(__xludf.DUMMYFUNCTION("""COMPUTED_VALUE"""),"agenjnesukmapuri@gmail.com")</f>
        <v>agenjnesukmapuri@gmail.com</v>
      </c>
      <c r="AI808" s="85" t="str">
        <f>IFERROR(__xludf.DUMMYFUNCTION("""COMPUTED_VALUE"""),"10150S3")</f>
        <v>10150S3</v>
      </c>
      <c r="AJ808" s="85" t="str">
        <f>IFERROR(__xludf.DUMMYFUNCTION("""COMPUTED_VALUE"""),"699d6464d72424322c089997")</f>
        <v>699d6464d72424322c089997</v>
      </c>
      <c r="AK808" s="85"/>
      <c r="AL808" s="85"/>
      <c r="AM808" s="85" t="str">
        <f>IFERROR(__xludf.DUMMYFUNCTION("""COMPUTED_VALUE"""),"KANTOR REGIONAL II JAKARTA 10004")</f>
        <v>KANTOR REGIONAL II JAKARTA 10004</v>
      </c>
      <c r="AN808" s="85" t="str">
        <f>IFERROR(__xludf.DUMMYFUNCTION("""COMPUTED_VALUE"""),"KCU JAKARTACENTRUM 10000")</f>
        <v>KCU JAKARTACENTRUM 10000</v>
      </c>
      <c r="AO808" s="85" t="str">
        <f>IFERROR(__xludf.DUMMYFUNCTION("""COMPUTED_VALUE"""),"MENYUSUL")</f>
        <v>MENYUSUL</v>
      </c>
      <c r="AP808" s="85" t="str">
        <f>IFERROR(__xludf.DUMMYFUNCTION("""COMPUTED_VALUE"""),"MENYUSUL")</f>
        <v>MENYUSUL</v>
      </c>
      <c r="AQ808" s="93"/>
      <c r="AR808" s="85"/>
      <c r="AS808" s="85"/>
      <c r="AT808" s="85" t="str">
        <f>IFERROR(__xludf.DUMMYFUNCTION("""COMPUTED_VALUE"""),"-6.1667371")</f>
        <v>-6.1667371</v>
      </c>
      <c r="AU808" s="85" t="str">
        <f>IFERROR(__xludf.DUMMYFUNCTION("""COMPUTED_VALUE"""),"106.8031161")</f>
        <v>106.8031161</v>
      </c>
      <c r="AV808" s="85"/>
      <c r="AW808" s="85"/>
      <c r="AX808" s="85"/>
      <c r="AY808" s="85"/>
      <c r="AZ808" s="85"/>
      <c r="BA808" s="85"/>
      <c r="BB808" s="85"/>
      <c r="BC808" s="85"/>
      <c r="BD808" s="85"/>
      <c r="BE808" s="85"/>
      <c r="BF808" s="85"/>
      <c r="BG808" s="85"/>
      <c r="BH808" s="85"/>
      <c r="BI808" s="85"/>
      <c r="BJ808" s="85"/>
      <c r="BK808" s="85"/>
      <c r="BL808" s="85"/>
      <c r="BM808" s="85"/>
      <c r="BN808" s="85"/>
      <c r="BO808" s="85"/>
      <c r="BP808" s="85"/>
      <c r="BQ808" s="85"/>
      <c r="BR808" s="85"/>
      <c r="BS808" s="85"/>
      <c r="BT808" s="85"/>
      <c r="BU808" s="85"/>
      <c r="BV808" s="85"/>
      <c r="BW808" s="85"/>
      <c r="BX808" s="85" t="str">
        <f>IFERROR(__xludf.DUMMYFUNCTION("""COMPUTED_VALUE"""),"MULTIKURIR - JNE")</f>
        <v>MULTIKURIR - JNE</v>
      </c>
      <c r="BY808" s="85"/>
      <c r="BZ808" s="85"/>
      <c r="CA808" s="85"/>
      <c r="CB808" s="85"/>
      <c r="CC808" s="85"/>
      <c r="CD808" s="85"/>
      <c r="CE808" s="85"/>
      <c r="CF808" s="85"/>
      <c r="CG808" s="85"/>
      <c r="CH808" s="85"/>
      <c r="CI808" s="85"/>
      <c r="CJ808" s="85"/>
      <c r="CK808" s="2"/>
    </row>
    <row r="809" ht="12.75" customHeight="1">
      <c r="A809" s="80">
        <f>IFERROR(__xludf.DUMMYFUNCTION("""COMPUTED_VALUE"""),805.0)</f>
        <v>805</v>
      </c>
      <c r="B809" s="80"/>
      <c r="C809" s="80"/>
      <c r="D809" s="81">
        <f>IFERROR(__xludf.DUMMYFUNCTION("""COMPUTED_VALUE"""),46050.0)</f>
        <v>46050</v>
      </c>
      <c r="E809" s="82"/>
      <c r="F809" s="80"/>
      <c r="G809" s="81">
        <f>IFERROR(__xludf.DUMMYFUNCTION("""COMPUTED_VALUE"""),46085.0)</f>
        <v>46085</v>
      </c>
      <c r="H809" s="80"/>
      <c r="I809" s="80"/>
      <c r="J809" s="80"/>
      <c r="K809" s="80"/>
      <c r="L809" s="80">
        <f>IFERROR(__xludf.DUMMYFUNCTION("""COMPUTED_VALUE"""),35.0)</f>
        <v>35</v>
      </c>
      <c r="M809" s="80" t="str">
        <f>IFERROR(__xludf.DUMMYFUNCTION("""COMPUTED_VALUE"""),"ü")</f>
        <v>ü</v>
      </c>
      <c r="N809" s="80"/>
      <c r="O809" s="80"/>
      <c r="P809" s="80" t="str">
        <f>IFERROR(__xludf.DUMMYFUNCTION("""COMPUTED_VALUE"""),"MUCSPA63359PSIND")</f>
        <v>MUCSPA63359PSIND</v>
      </c>
      <c r="Q809" s="80" t="str">
        <f>IFERROR(__xludf.DUMMYFUNCTION("""COMPUTED_VALUE"""),"MUC Dona Poin")</f>
        <v>MUC Dona Poin</v>
      </c>
      <c r="R809" s="80" t="str">
        <f>IFERROR(__xludf.DUMMYFUNCTION("""COMPUTED_VALUE"""),"MUC Dona Poin")</f>
        <v>MUC Dona Poin</v>
      </c>
      <c r="S809" s="80" t="str">
        <f>IFERROR(__xludf.DUMMYFUNCTION("""COMPUTED_VALUE"""),"DIDI SUBIJANTORO")</f>
        <v>DIDI SUBIJANTORO</v>
      </c>
      <c r="T809" s="80" t="str">
        <f>IFERROR(__xludf.DUMMYFUNCTION("""COMPUTED_VALUE"""),"JL. KAYU TINGGI RT.009 RW.003, CAKUNG TIMUR, CAKUNG, JAKARTA TIMUR")</f>
        <v>JL. KAYU TINGGI RT.009 RW.003, CAKUNG TIMUR, CAKUNG, JAKARTA TIMUR</v>
      </c>
      <c r="U809" s="80" t="str">
        <f>IFERROR(__xludf.DUMMYFUNCTION("""COMPUTED_VALUE"""),"Perumahan Bumisani permai Blok B7/20")</f>
        <v>Perumahan Bumisani permai Blok B7/20</v>
      </c>
      <c r="V809" s="80"/>
      <c r="W809" s="80" t="str">
        <f>IFERROR(__xludf.DUMMYFUNCTION("""COMPUTED_VALUE"""),"Setiamekar")</f>
        <v>Setiamekar</v>
      </c>
      <c r="X809" s="80" t="str">
        <f>IFERROR(__xludf.DUMMYFUNCTION("""COMPUTED_VALUE"""),"Tambun Selatan")</f>
        <v>Tambun Selatan</v>
      </c>
      <c r="Y809" s="80" t="str">
        <f>IFERROR(__xludf.DUMMYFUNCTION("""COMPUTED_VALUE"""),"Kab. Bekasi")</f>
        <v>Kab. Bekasi</v>
      </c>
      <c r="Z809" s="80" t="str">
        <f>IFERROR(__xludf.DUMMYFUNCTION("""COMPUTED_VALUE"""),"Jawa Barat")</f>
        <v>Jawa Barat</v>
      </c>
      <c r="AA809" s="80" t="str">
        <f>IFERROR(__xludf.DUMMYFUNCTION("""COMPUTED_VALUE"""),"17510")</f>
        <v>17510</v>
      </c>
      <c r="AB809" s="80" t="str">
        <f>IFERROR(__xludf.DUMMYFUNCTION("""COMPUTED_VALUE"""),"3216061110690013")</f>
        <v>3216061110690013</v>
      </c>
      <c r="AC809" s="80" t="str">
        <f>IFERROR(__xludf.DUMMYFUNCTION("""COMPUTED_VALUE"""),"45.905.662.8-435.000")</f>
        <v>45.905.662.8-435.000</v>
      </c>
      <c r="AD809" s="80" t="str">
        <f>IFERROR(__xludf.DUMMYFUNCTION("""COMPUTED_VALUE"""),"CUM - PS - AYS")</f>
        <v>CUM - PS - AYS</v>
      </c>
      <c r="AE809" s="80" t="str">
        <f>IFERROR(__xludf.DUMMYFUNCTION("""COMPUTED_VALUE"""),"SUB YUNUS POS")</f>
        <v>SUB YUNUS POS</v>
      </c>
      <c r="AF809" s="80" t="str">
        <f>IFERROR(__xludf.DUMMYFUNCTION("""COMPUTED_VALUE"""),"0811911870")</f>
        <v>0811911870</v>
      </c>
      <c r="AG809" s="80"/>
      <c r="AH809" s="80" t="str">
        <f>IFERROR(__xludf.DUMMYFUNCTION("""COMPUTED_VALUE"""),"beedjan@gmail.com")</f>
        <v>beedjan@gmail.com</v>
      </c>
      <c r="AI809" s="80" t="str">
        <f>IFERROR(__xludf.DUMMYFUNCTION("""COMPUTED_VALUE"""),"17519S2")</f>
        <v>17519S2</v>
      </c>
      <c r="AJ809" s="80" t="str">
        <f>IFERROR(__xludf.DUMMYFUNCTION("""COMPUTED_VALUE"""),"6992c6d45ca2b965cd05a6e8")</f>
        <v>6992c6d45ca2b965cd05a6e8</v>
      </c>
      <c r="AK809" s="80" t="str">
        <f>IFERROR(__xludf.DUMMYFUNCTION("""COMPUTED_VALUE"""),"beedjan@gmail.com")</f>
        <v>beedjan@gmail.com</v>
      </c>
      <c r="AL809" s="80" t="str">
        <f>IFERROR(__xludf.DUMMYFUNCTION("""COMPUTED_VALUE"""),"!Muc17519S2*")</f>
        <v>!Muc17519S2*</v>
      </c>
      <c r="AM809" s="80" t="str">
        <f>IFERROR(__xludf.DUMMYFUNCTION("""COMPUTED_VALUE"""),"KANTOR REGIONAL II JAKARTA 10004")</f>
        <v>KANTOR REGIONAL II JAKARTA 10004</v>
      </c>
      <c r="AN809" s="80" t="str">
        <f>IFERROR(__xludf.DUMMYFUNCTION("""COMPUTED_VALUE"""),"KC CIKARANG 17500")</f>
        <v>KC CIKARANG 17500</v>
      </c>
      <c r="AO809" s="80" t="str">
        <f>IFERROR(__xludf.DUMMYFUNCTION("""COMPUTED_VALUE"""),"0611230062975")</f>
        <v>0611230062975</v>
      </c>
      <c r="AP809" s="80" t="str">
        <f>IFERROR(__xludf.DUMMYFUNCTION("""COMPUTED_VALUE"""),"MENYUSUL")</f>
        <v>MENYUSUL</v>
      </c>
      <c r="AQ809" s="83"/>
      <c r="AR809" s="80"/>
      <c r="AS809" s="80"/>
      <c r="AT809" s="80" t="str">
        <f>IFERROR(__xludf.DUMMYFUNCTION("""COMPUTED_VALUE"""),"-6.243357")</f>
        <v>-6.243357</v>
      </c>
      <c r="AU809" s="80" t="str">
        <f>IFERROR(__xludf.DUMMYFUNCTION("""COMPUTED_VALUE"""),"107.049551")</f>
        <v>107.049551</v>
      </c>
      <c r="AV809" s="80"/>
      <c r="AW809" s="80"/>
      <c r="AX809" s="80"/>
      <c r="AY809" s="80"/>
      <c r="AZ809" s="80"/>
      <c r="BA809" s="80"/>
      <c r="BB809" s="80"/>
      <c r="BC809" s="80"/>
      <c r="BD809" s="80"/>
      <c r="BE809" s="80"/>
      <c r="BF809" s="80"/>
      <c r="BG809" s="80"/>
      <c r="BH809" s="80"/>
      <c r="BI809" s="80"/>
      <c r="BJ809" s="80"/>
      <c r="BK809" s="80"/>
      <c r="BL809" s="80"/>
      <c r="BM809" s="80"/>
      <c r="BN809" s="80"/>
      <c r="BO809" s="80"/>
      <c r="BP809" s="80"/>
      <c r="BQ809" s="80"/>
      <c r="BR809" s="80"/>
      <c r="BS809" s="80"/>
      <c r="BT809" s="80"/>
      <c r="BU809" s="80"/>
      <c r="BV809" s="80"/>
      <c r="BW809" s="80"/>
      <c r="BX809" s="80" t="str">
        <f>IFERROR(__xludf.DUMMYFUNCTION("""COMPUTED_VALUE"""),"NEWBIE")</f>
        <v>NEWBIE</v>
      </c>
      <c r="BY809" s="80"/>
      <c r="BZ809" s="80"/>
      <c r="CA809" s="80"/>
      <c r="CB809" s="80"/>
      <c r="CC809" s="80"/>
      <c r="CD809" s="80"/>
      <c r="CE809" s="80"/>
      <c r="CF809" s="80"/>
      <c r="CG809" s="80"/>
      <c r="CH809" s="80"/>
      <c r="CI809" s="80"/>
      <c r="CJ809" s="80"/>
      <c r="CK809" s="2"/>
    </row>
    <row r="810" ht="12.75" customHeight="1">
      <c r="A810" s="85">
        <f>IFERROR(__xludf.DUMMYFUNCTION("""COMPUTED_VALUE"""),806.0)</f>
        <v>806</v>
      </c>
      <c r="B810" s="85"/>
      <c r="C810" s="85"/>
      <c r="D810" s="86">
        <f>IFERROR(__xludf.DUMMYFUNCTION("""COMPUTED_VALUE"""),46050.0)</f>
        <v>46050</v>
      </c>
      <c r="E810" s="88"/>
      <c r="F810" s="85"/>
      <c r="G810" s="86">
        <f>IFERROR(__xludf.DUMMYFUNCTION("""COMPUTED_VALUE"""),46066.0)</f>
        <v>46066</v>
      </c>
      <c r="H810" s="85"/>
      <c r="I810" s="85"/>
      <c r="J810" s="85"/>
      <c r="K810" s="85"/>
      <c r="L810" s="85">
        <f>IFERROR(__xludf.DUMMYFUNCTION("""COMPUTED_VALUE"""),16.0)</f>
        <v>16</v>
      </c>
      <c r="M810" s="85" t="str">
        <f>IFERROR(__xludf.DUMMYFUNCTION("""COMPUTED_VALUE"""),"ü")</f>
        <v>ü</v>
      </c>
      <c r="N810" s="85"/>
      <c r="O810" s="85"/>
      <c r="P810" s="85" t="str">
        <f>IFERROR(__xludf.DUMMYFUNCTION("""COMPUTED_VALUE"""),"53BSPA09815JBEEN")</f>
        <v>53BSPA09815JBEEN</v>
      </c>
      <c r="Q810" s="85" t="str">
        <f>IFERROR(__xludf.DUMMYFUNCTION("""COMPUTED_VALUE"""),"MUC SEROJA")</f>
        <v>MUC SEROJA</v>
      </c>
      <c r="R810" s="85" t="str">
        <f>IFERROR(__xludf.DUMMYFUNCTION("""COMPUTED_VALUE"""),"MUC SEROJA")</f>
        <v>MUC SEROJA</v>
      </c>
      <c r="S810" s="85" t="str">
        <f>IFERROR(__xludf.DUMMYFUNCTION("""COMPUTED_VALUE"""),"AYUP")</f>
        <v>AYUP</v>
      </c>
      <c r="T810" s="85" t="str">
        <f>IFERROR(__xludf.DUMMYFUNCTION("""COMPUTED_VALUE"""),"KP PULO KECIL NO.4 RT.001 RW.023, KAYURINGIN JAYA, BEKASI SELATAN, KOTA BEKASI")</f>
        <v>KP PULO KECIL NO.4 RT.001 RW.023, KAYURINGIN JAYA, BEKASI SELATAN, KOTA BEKASI</v>
      </c>
      <c r="U810" s="85" t="str">
        <f>IFERROR(__xludf.DUMMYFUNCTION("""COMPUTED_VALUE"""),"Jl. Raya Seroja No.33")</f>
        <v>Jl. Raya Seroja No.33</v>
      </c>
      <c r="V810" s="85"/>
      <c r="W810" s="85" t="str">
        <f>IFERROR(__xludf.DUMMYFUNCTION("""COMPUTED_VALUE"""),"Harapan Jaya")</f>
        <v>Harapan Jaya</v>
      </c>
      <c r="X810" s="85" t="str">
        <f>IFERROR(__xludf.DUMMYFUNCTION("""COMPUTED_VALUE"""),"Bekasi Utara")</f>
        <v>Bekasi Utara</v>
      </c>
      <c r="Y810" s="85" t="str">
        <f>IFERROR(__xludf.DUMMYFUNCTION("""COMPUTED_VALUE"""),"Bekasi")</f>
        <v>Bekasi</v>
      </c>
      <c r="Z810" s="85" t="str">
        <f>IFERROR(__xludf.DUMMYFUNCTION("""COMPUTED_VALUE"""),"Jawa Barat ")</f>
        <v>Jawa Barat </v>
      </c>
      <c r="AA810" s="85" t="str">
        <f>IFERROR(__xludf.DUMMYFUNCTION("""COMPUTED_VALUE"""),"17124")</f>
        <v>17124</v>
      </c>
      <c r="AB810" s="85" t="str">
        <f>IFERROR(__xludf.DUMMYFUNCTION("""COMPUTED_VALUE"""),"3275031404870025")</f>
        <v>3275031404870025</v>
      </c>
      <c r="AC810" s="85" t="str">
        <f>IFERROR(__xludf.DUMMYFUNCTION("""COMPUTED_VALUE"""),"70.767.334.9-407.000")</f>
        <v>70.767.334.9-407.000</v>
      </c>
      <c r="AD810" s="85" t="str">
        <f>IFERROR(__xludf.DUMMYFUNCTION("""COMPUTED_VALUE"""),"CUM - EEN")</f>
        <v>CUM - EEN</v>
      </c>
      <c r="AE810" s="85" t="str">
        <f>IFERROR(__xludf.DUMMYFUNCTION("""COMPUTED_VALUE"""),"SUB EEN")</f>
        <v>SUB EEN</v>
      </c>
      <c r="AF810" s="85" t="str">
        <f>IFERROR(__xludf.DUMMYFUNCTION("""COMPUTED_VALUE"""),"085715790304")</f>
        <v>085715790304</v>
      </c>
      <c r="AG810" s="85"/>
      <c r="AH810" s="85" t="str">
        <f>IFERROR(__xludf.DUMMYFUNCTION("""COMPUTED_VALUE"""),"antkomputerbekasi@gmail.com")</f>
        <v>antkomputerbekasi@gmail.com</v>
      </c>
      <c r="AI810" s="85" t="str">
        <f>IFERROR(__xludf.DUMMYFUNCTION("""COMPUTED_VALUE"""),"17124S1")</f>
        <v>17124S1</v>
      </c>
      <c r="AJ810" s="85" t="str">
        <f>IFERROR(__xludf.DUMMYFUNCTION("""COMPUTED_VALUE"""),"698e9118bdae6f7c700a47d3")</f>
        <v>698e9118bdae6f7c700a47d3</v>
      </c>
      <c r="AK810" s="85" t="str">
        <f>IFERROR(__xludf.DUMMYFUNCTION("""COMPUTED_VALUE"""),"antkomputerbekasi@gmail.com")</f>
        <v>antkomputerbekasi@gmail.com</v>
      </c>
      <c r="AL810" s="85" t="str">
        <f>IFERROR(__xludf.DUMMYFUNCTION("""COMPUTED_VALUE"""),"#Muc17124S1%")</f>
        <v>#Muc17124S1%</v>
      </c>
      <c r="AM810" s="85" t="str">
        <f>IFERROR(__xludf.DUMMYFUNCTION("""COMPUTED_VALUE"""),"KANTOR REGIONAL II JAKARTA 10004")</f>
        <v>KANTOR REGIONAL II JAKARTA 10004</v>
      </c>
      <c r="AN810" s="85" t="str">
        <f>IFERROR(__xludf.DUMMYFUNCTION("""COMPUTED_VALUE"""),"KCU BEKASI 17000")</f>
        <v>KCU BEKASI 17000</v>
      </c>
      <c r="AO810" s="85" t="str">
        <f>IFERROR(__xludf.DUMMYFUNCTION("""COMPUTED_VALUE"""),"1212230018592")</f>
        <v>1212230018592</v>
      </c>
      <c r="AP810" s="85" t="str">
        <f>IFERROR(__xludf.DUMMYFUNCTION("""COMPUTED_VALUE"""),"MENYUSUL")</f>
        <v>MENYUSUL</v>
      </c>
      <c r="AQ810" s="93"/>
      <c r="AR810" s="85"/>
      <c r="AS810" s="85"/>
      <c r="AT810" s="85" t="str">
        <f>IFERROR(__xludf.DUMMYFUNCTION("""COMPUTED_VALUE"""),"-6.2008589")</f>
        <v>-6.2008589</v>
      </c>
      <c r="AU810" s="85" t="str">
        <f>IFERROR(__xludf.DUMMYFUNCTION("""COMPUTED_VALUE"""),"106.9877411")</f>
        <v>106.9877411</v>
      </c>
      <c r="AV810" s="85"/>
      <c r="AW810" s="85"/>
      <c r="AX810" s="85"/>
      <c r="AY810" s="85"/>
      <c r="AZ810" s="85"/>
      <c r="BA810" s="85"/>
      <c r="BB810" s="85"/>
      <c r="BC810" s="85"/>
      <c r="BD810" s="85"/>
      <c r="BE810" s="85"/>
      <c r="BF810" s="85"/>
      <c r="BG810" s="85"/>
      <c r="BH810" s="85"/>
      <c r="BI810" s="85"/>
      <c r="BJ810" s="85"/>
      <c r="BK810" s="85"/>
      <c r="BL810" s="85"/>
      <c r="BM810" s="85"/>
      <c r="BN810" s="85"/>
      <c r="BO810" s="85"/>
      <c r="BP810" s="85"/>
      <c r="BQ810" s="85"/>
      <c r="BR810" s="85"/>
      <c r="BS810" s="85"/>
      <c r="BT810" s="85"/>
      <c r="BU810" s="85"/>
      <c r="BV810" s="85"/>
      <c r="BW810" s="85"/>
      <c r="BX810" s="85" t="str">
        <f>IFERROR(__xludf.DUMMYFUNCTION("""COMPUTED_VALUE"""),"MULTIKURIR -  JNT CARGO - LION PARCEL")</f>
        <v>MULTIKURIR -  JNT CARGO - LION PARCEL</v>
      </c>
      <c r="BY810" s="85"/>
      <c r="BZ810" s="85"/>
      <c r="CA810" s="85"/>
      <c r="CB810" s="85"/>
      <c r="CC810" s="85"/>
      <c r="CD810" s="85"/>
      <c r="CE810" s="85"/>
      <c r="CF810" s="85"/>
      <c r="CG810" s="85"/>
      <c r="CH810" s="85"/>
      <c r="CI810" s="85"/>
      <c r="CJ810" s="85"/>
      <c r="CK810" s="2"/>
    </row>
    <row r="811" ht="12.75" customHeight="1">
      <c r="A811" s="80">
        <f>IFERROR(__xludf.DUMMYFUNCTION("""COMPUTED_VALUE"""),807.0)</f>
        <v>807</v>
      </c>
      <c r="B811" s="80"/>
      <c r="C811" s="80"/>
      <c r="D811" s="81">
        <f>IFERROR(__xludf.DUMMYFUNCTION("""COMPUTED_VALUE"""),46050.0)</f>
        <v>46050</v>
      </c>
      <c r="E811" s="82"/>
      <c r="F811" s="80"/>
      <c r="G811" s="81">
        <f>IFERROR(__xludf.DUMMYFUNCTION("""COMPUTED_VALUE"""),46071.0)</f>
        <v>46071</v>
      </c>
      <c r="H811" s="80"/>
      <c r="I811" s="80"/>
      <c r="J811" s="80"/>
      <c r="K811" s="80"/>
      <c r="L811" s="80">
        <f>IFERROR(__xludf.DUMMYFUNCTION("""COMPUTED_VALUE"""),21.0)</f>
        <v>21</v>
      </c>
      <c r="M811" s="80" t="str">
        <f>IFERROR(__xludf.DUMMYFUNCTION("""COMPUTED_VALUE"""),"ü")</f>
        <v>ü</v>
      </c>
      <c r="N811" s="80"/>
      <c r="O811" s="80"/>
      <c r="P811" s="80" t="str">
        <f>IFERROR(__xludf.DUMMYFUNCTION("""COMPUTED_VALUE"""),"MUCSPA63360PSIND")</f>
        <v>MUCSPA63360PSIND</v>
      </c>
      <c r="Q811" s="80" t="str">
        <f>IFERROR(__xludf.DUMMYFUNCTION("""COMPUTED_VALUE"""),"MUC RANTAI PASOK")</f>
        <v>MUC RANTAI PASOK</v>
      </c>
      <c r="R811" s="80" t="str">
        <f>IFERROR(__xludf.DUMMYFUNCTION("""COMPUTED_VALUE"""),"MUC RANTAI PASOK")</f>
        <v>MUC RANTAI PASOK</v>
      </c>
      <c r="S811" s="80" t="str">
        <f>IFERROR(__xludf.DUMMYFUNCTION("""COMPUTED_VALUE"""),"NUR IMAN")</f>
        <v>NUR IMAN</v>
      </c>
      <c r="T811" s="80" t="str">
        <f>IFERROR(__xludf.DUMMYFUNCTION("""COMPUTED_VALUE"""),"JLN PULO CEMPAKA III RT.006 RW.016, GROGOL UTARA, KEBAYORAN LAMA, JAKARTA SELATAN")</f>
        <v>JLN PULO CEMPAKA III RT.006 RW.016, GROGOL UTARA, KEBAYORAN LAMA, JAKARTA SELATAN</v>
      </c>
      <c r="U811" s="80" t="str">
        <f>IFERROR(__xludf.DUMMYFUNCTION("""COMPUTED_VALUE"""),"Jl. Bintara Jaya Jl. Raya Kp. Setu No.39, RT.14/RW.02")</f>
        <v>Jl. Bintara Jaya Jl. Raya Kp. Setu No.39, RT.14/RW.02</v>
      </c>
      <c r="V811" s="80"/>
      <c r="W811" s="80" t="str">
        <f>IFERROR(__xludf.DUMMYFUNCTION("""COMPUTED_VALUE"""),"Bintara Jaya")</f>
        <v>Bintara Jaya</v>
      </c>
      <c r="X811" s="80" t="str">
        <f>IFERROR(__xludf.DUMMYFUNCTION("""COMPUTED_VALUE"""),"Bekasi Barat")</f>
        <v>Bekasi Barat</v>
      </c>
      <c r="Y811" s="80" t="str">
        <f>IFERROR(__xludf.DUMMYFUNCTION("""COMPUTED_VALUE"""),"Bekasi")</f>
        <v>Bekasi</v>
      </c>
      <c r="Z811" s="80" t="str">
        <f>IFERROR(__xludf.DUMMYFUNCTION("""COMPUTED_VALUE"""),"Jawa Barat ")</f>
        <v>Jawa Barat </v>
      </c>
      <c r="AA811" s="80" t="str">
        <f>IFERROR(__xludf.DUMMYFUNCTION("""COMPUTED_VALUE"""),"17136")</f>
        <v>17136</v>
      </c>
      <c r="AB811" s="80" t="str">
        <f>IFERROR(__xludf.DUMMYFUNCTION("""COMPUTED_VALUE"""),"3174050111790011")</f>
        <v>3174050111790011</v>
      </c>
      <c r="AC811" s="80" t="str">
        <f>IFERROR(__xludf.DUMMYFUNCTION("""COMPUTED_VALUE"""),"79.315.776.9-013.000")</f>
        <v>79.315.776.9-013.000</v>
      </c>
      <c r="AD811" s="80" t="str">
        <f>IFERROR(__xludf.DUMMYFUNCTION("""COMPUTED_VALUE"""),"PAK YOGI KCU BEKASI")</f>
        <v>PAK YOGI KCU BEKASI</v>
      </c>
      <c r="AE811" s="80" t="str">
        <f>IFERROR(__xludf.DUMMYFUNCTION("""COMPUTED_VALUE"""),"SUB YOGI POS")</f>
        <v>SUB YOGI POS</v>
      </c>
      <c r="AF811" s="80" t="str">
        <f>IFERROR(__xludf.DUMMYFUNCTION("""COMPUTED_VALUE"""),"087855119197")</f>
        <v>087855119197</v>
      </c>
      <c r="AG811" s="80"/>
      <c r="AH811" s="80" t="str">
        <f>IFERROR(__xludf.DUMMYFUNCTION("""COMPUTED_VALUE"""),"ranpas13176@gmail.com")</f>
        <v>ranpas13176@gmail.com</v>
      </c>
      <c r="AI811" s="80" t="str">
        <f>IFERROR(__xludf.DUMMYFUNCTION("""COMPUTED_VALUE"""),"17136S2")</f>
        <v>17136S2</v>
      </c>
      <c r="AJ811" s="80" t="str">
        <f>IFERROR(__xludf.DUMMYFUNCTION("""COMPUTED_VALUE"""),"69953d08defd2129b9034a13")</f>
        <v>69953d08defd2129b9034a13</v>
      </c>
      <c r="AK811" s="80" t="str">
        <f>IFERROR(__xludf.DUMMYFUNCTION("""COMPUTED_VALUE"""),"ranpas13176@gmail.com")</f>
        <v>ranpas13176@gmail.com</v>
      </c>
      <c r="AL811" s="80" t="str">
        <f>IFERROR(__xludf.DUMMYFUNCTION("""COMPUTED_VALUE"""),"#Muc17136S2$")</f>
        <v>#Muc17136S2$</v>
      </c>
      <c r="AM811" s="80" t="str">
        <f>IFERROR(__xludf.DUMMYFUNCTION("""COMPUTED_VALUE"""),"KANTOR REGIONAL II JAKARTA 10004")</f>
        <v>KANTOR REGIONAL II JAKARTA 10004</v>
      </c>
      <c r="AN811" s="80" t="str">
        <f>IFERROR(__xludf.DUMMYFUNCTION("""COMPUTED_VALUE"""),"KCU BEKASI 17000")</f>
        <v>KCU BEKASI 17000</v>
      </c>
      <c r="AO811" s="80" t="str">
        <f>IFERROR(__xludf.DUMMYFUNCTION("""COMPUTED_VALUE"""),"MENYUSUL")</f>
        <v>MENYUSUL</v>
      </c>
      <c r="AP811" s="80" t="str">
        <f>IFERROR(__xludf.DUMMYFUNCTION("""COMPUTED_VALUE"""),"MENYUSUL")</f>
        <v>MENYUSUL</v>
      </c>
      <c r="AQ811" s="83"/>
      <c r="AR811" s="80"/>
      <c r="AS811" s="80"/>
      <c r="AT811" s="80" t="str">
        <f>IFERROR(__xludf.DUMMYFUNCTION("""COMPUTED_VALUE"""),"-6.239712")</f>
        <v>-6.239712</v>
      </c>
      <c r="AU811" s="80" t="str">
        <f>IFERROR(__xludf.DUMMYFUNCTION("""COMPUTED_VALUE"""),"106.9562044")</f>
        <v>106.9562044</v>
      </c>
      <c r="AV811" s="80"/>
      <c r="AW811" s="80"/>
      <c r="AX811" s="80"/>
      <c r="AY811" s="80"/>
      <c r="AZ811" s="80"/>
      <c r="BA811" s="80"/>
      <c r="BB811" s="80"/>
      <c r="BC811" s="80"/>
      <c r="BD811" s="80"/>
      <c r="BE811" s="80"/>
      <c r="BF811" s="80"/>
      <c r="BG811" s="80"/>
      <c r="BH811" s="80"/>
      <c r="BI811" s="80"/>
      <c r="BJ811" s="80"/>
      <c r="BK811" s="80"/>
      <c r="BL811" s="80"/>
      <c r="BM811" s="80"/>
      <c r="BN811" s="80"/>
      <c r="BO811" s="80"/>
      <c r="BP811" s="80"/>
      <c r="BQ811" s="80"/>
      <c r="BR811" s="80"/>
      <c r="BS811" s="80"/>
      <c r="BT811" s="80"/>
      <c r="BU811" s="80"/>
      <c r="BV811" s="80"/>
      <c r="BW811" s="80"/>
      <c r="BX811" s="80" t="str">
        <f>IFERROR(__xludf.DUMMYFUNCTION("""COMPUTED_VALUE"""),"MULTIKURIR - JNT - ID XPRES - ANTER AJA - LION PARCEL")</f>
        <v>MULTIKURIR - JNT - ID XPRES - ANTER AJA - LION PARCEL</v>
      </c>
      <c r="BY811" s="80"/>
      <c r="BZ811" s="80"/>
      <c r="CA811" s="80"/>
      <c r="CB811" s="80"/>
      <c r="CC811" s="80"/>
      <c r="CD811" s="80"/>
      <c r="CE811" s="80"/>
      <c r="CF811" s="80"/>
      <c r="CG811" s="80"/>
      <c r="CH811" s="80"/>
      <c r="CI811" s="80"/>
      <c r="CJ811" s="80"/>
      <c r="CK811" s="2"/>
    </row>
    <row r="812" ht="12.75" customHeight="1">
      <c r="A812" s="85">
        <f>IFERROR(__xludf.DUMMYFUNCTION("""COMPUTED_VALUE"""),808.0)</f>
        <v>808</v>
      </c>
      <c r="B812" s="85"/>
      <c r="C812" s="85"/>
      <c r="D812" s="86">
        <f>IFERROR(__xludf.DUMMYFUNCTION("""COMPUTED_VALUE"""),46050.0)</f>
        <v>46050</v>
      </c>
      <c r="E812" s="88"/>
      <c r="F812" s="85"/>
      <c r="G812" s="86">
        <f>IFERROR(__xludf.DUMMYFUNCTION("""COMPUTED_VALUE"""),46080.0)</f>
        <v>46080</v>
      </c>
      <c r="H812" s="85"/>
      <c r="I812" s="85"/>
      <c r="J812" s="85"/>
      <c r="K812" s="85"/>
      <c r="L812" s="85">
        <f>IFERROR(__xludf.DUMMYFUNCTION("""COMPUTED_VALUE"""),30.0)</f>
        <v>30</v>
      </c>
      <c r="M812" s="85" t="str">
        <f>IFERROR(__xludf.DUMMYFUNCTION("""COMPUTED_VALUE"""),"ü")</f>
        <v>ü</v>
      </c>
      <c r="N812" s="85"/>
      <c r="O812" s="85"/>
      <c r="P812" s="85" t="str">
        <f>IFERROR(__xludf.DUMMYFUNCTION("""COMPUTED_VALUE"""),"MUCSPA63361PSIND")</f>
        <v>MUCSPA63361PSIND</v>
      </c>
      <c r="Q812" s="85" t="str">
        <f>IFERROR(__xludf.DUMMYFUNCTION("""COMPUTED_VALUE"""),"MUC WARUNG THOYYIBAH")</f>
        <v>MUC WARUNG THOYYIBAH</v>
      </c>
      <c r="R812" s="85" t="str">
        <f>IFERROR(__xludf.DUMMYFUNCTION("""COMPUTED_VALUE"""),"MUC WARUNG THOYYIBAH")</f>
        <v>MUC WARUNG THOYYIBAH</v>
      </c>
      <c r="S812" s="85" t="str">
        <f>IFERROR(__xludf.DUMMYFUNCTION("""COMPUTED_VALUE"""),"DRS. ARIFUDDIN ")</f>
        <v>DRS. ARIFUDDIN </v>
      </c>
      <c r="T812" s="85" t="str">
        <f>IFERROR(__xludf.DUMMYFUNCTION("""COMPUTED_VALUE"""),"JL. LAPAWAWOI KARAENG SIGERI ")</f>
        <v>JL. LAPAWAWOI KARAENG SIGERI </v>
      </c>
      <c r="U812" s="85" t="str">
        <f>IFERROR(__xludf.DUMMYFUNCTION("""COMPUTED_VALUE"""),"JL. LAPAWAWOI KARAENG SIGERI ")</f>
        <v>JL. LAPAWAWOI KARAENG SIGERI </v>
      </c>
      <c r="V812" s="85"/>
      <c r="W812" s="85" t="str">
        <f>IFERROR(__xludf.DUMMYFUNCTION("""COMPUTED_VALUE"""),"MACEGE")</f>
        <v>MACEGE</v>
      </c>
      <c r="X812" s="85" t="str">
        <f>IFERROR(__xludf.DUMMYFUNCTION("""COMPUTED_VALUE"""),"TANETE RIATTANG BARAT ")</f>
        <v>TANETE RIATTANG BARAT </v>
      </c>
      <c r="Y812" s="85" t="str">
        <f>IFERROR(__xludf.DUMMYFUNCTION("""COMPUTED_VALUE"""),"KAB. BONE ")</f>
        <v>KAB. BONE </v>
      </c>
      <c r="Z812" s="85" t="str">
        <f>IFERROR(__xludf.DUMMYFUNCTION("""COMPUTED_VALUE"""),"SULAWESI SELATAN ")</f>
        <v>SULAWESI SELATAN </v>
      </c>
      <c r="AA812" s="85" t="str">
        <f>IFERROR(__xludf.DUMMYFUNCTION("""COMPUTED_VALUE"""),"92732")</f>
        <v>92732</v>
      </c>
      <c r="AB812" s="85" t="str">
        <f>IFERROR(__xludf.DUMMYFUNCTION("""COMPUTED_VALUE"""),"7308223112680023")</f>
        <v>7308223112680023</v>
      </c>
      <c r="AC812" s="85" t="str">
        <f>IFERROR(__xludf.DUMMYFUNCTION("""COMPUTED_VALUE"""),"47.203.584.9-808.000")</f>
        <v>47.203.584.9-808.000</v>
      </c>
      <c r="AD812" s="85" t="str">
        <f>IFERROR(__xludf.DUMMYFUNCTION("""COMPUTED_VALUE"""),"PAK YUDI")</f>
        <v>PAK YUDI</v>
      </c>
      <c r="AE812" s="85" t="str">
        <f>IFERROR(__xludf.DUMMYFUNCTION("""COMPUTED_VALUE"""),"PAK YUDI KC WATAMPONE")</f>
        <v>PAK YUDI KC WATAMPONE</v>
      </c>
      <c r="AF812" s="85" t="str">
        <f>IFERROR(__xludf.DUMMYFUNCTION("""COMPUTED_VALUE"""),"085342432029")</f>
        <v>085342432029</v>
      </c>
      <c r="AG812" s="85"/>
      <c r="AH812" s="85" t="str">
        <f>IFERROR(__xludf.DUMMYFUNCTION("""COMPUTED_VALUE"""),"izzahzil658@gmail.com")</f>
        <v>izzahzil658@gmail.com</v>
      </c>
      <c r="AI812" s="85" t="str">
        <f>IFERROR(__xludf.DUMMYFUNCTION("""COMPUTED_VALUE"""),"92732S1")</f>
        <v>92732S1</v>
      </c>
      <c r="AJ812" s="85" t="str">
        <f>IFERROR(__xludf.DUMMYFUNCTION("""COMPUTED_VALUE"""),"69a0e4bf21b31267810fdb25")</f>
        <v>69a0e4bf21b31267810fdb25</v>
      </c>
      <c r="AK812" s="85" t="str">
        <f>IFERROR(__xludf.DUMMYFUNCTION("""COMPUTED_VALUE"""),"izzahzil658@gmail.com")</f>
        <v>izzahzil658@gmail.com</v>
      </c>
      <c r="AL812" s="85" t="str">
        <f>IFERROR(__xludf.DUMMYFUNCTION("""COMPUTED_VALUE"""),"!Muc92732S1%")</f>
        <v>!Muc92732S1%</v>
      </c>
      <c r="AM812" s="85" t="str">
        <f>IFERROR(__xludf.DUMMYFUNCTION("""COMPUTED_VALUE"""),"KANTOR REGIONAL VI MAKASAR 90004")</f>
        <v>KANTOR REGIONAL VI MAKASAR 90004</v>
      </c>
      <c r="AN812" s="85" t="str">
        <f>IFERROR(__xludf.DUMMYFUNCTION("""COMPUTED_VALUE"""),"KC WATAMPONE")</f>
        <v>KC WATAMPONE</v>
      </c>
      <c r="AO812" s="85" t="str">
        <f>IFERROR(__xludf.DUMMYFUNCTION("""COMPUTED_VALUE"""),"MENYUSUL")</f>
        <v>MENYUSUL</v>
      </c>
      <c r="AP812" s="85" t="str">
        <f>IFERROR(__xludf.DUMMYFUNCTION("""COMPUTED_VALUE"""),"MENYUSUL")</f>
        <v>MENYUSUL</v>
      </c>
      <c r="AQ812" s="93"/>
      <c r="AR812" s="85"/>
      <c r="AS812" s="85"/>
      <c r="AT812" s="85" t="str">
        <f>IFERROR(__xludf.DUMMYFUNCTION("""COMPUTED_VALUE"""),"-4.5528934")</f>
        <v>-4.5528934</v>
      </c>
      <c r="AU812" s="85" t="str">
        <f>IFERROR(__xludf.DUMMYFUNCTION("""COMPUTED_VALUE"""),"120.3179435")</f>
        <v>120.3179435</v>
      </c>
      <c r="AV812" s="85"/>
      <c r="AW812" s="85"/>
      <c r="AX812" s="85"/>
      <c r="AY812" s="85"/>
      <c r="AZ812" s="85"/>
      <c r="BA812" s="85"/>
      <c r="BB812" s="85"/>
      <c r="BC812" s="85"/>
      <c r="BD812" s="85"/>
      <c r="BE812" s="85"/>
      <c r="BF812" s="85"/>
      <c r="BG812" s="85"/>
      <c r="BH812" s="85"/>
      <c r="BI812" s="85"/>
      <c r="BJ812" s="85"/>
      <c r="BK812" s="85"/>
      <c r="BL812" s="85"/>
      <c r="BM812" s="85"/>
      <c r="BN812" s="85"/>
      <c r="BO812" s="85"/>
      <c r="BP812" s="85"/>
      <c r="BQ812" s="85"/>
      <c r="BR812" s="85"/>
      <c r="BS812" s="85"/>
      <c r="BT812" s="85"/>
      <c r="BU812" s="85"/>
      <c r="BV812" s="85"/>
      <c r="BW812" s="85"/>
      <c r="BX812" s="85" t="str">
        <f>IFERROR(__xludf.DUMMYFUNCTION("""COMPUTED_VALUE"""),"NEWBIE")</f>
        <v>NEWBIE</v>
      </c>
      <c r="BY812" s="85"/>
      <c r="BZ812" s="85"/>
      <c r="CA812" s="85"/>
      <c r="CB812" s="85"/>
      <c r="CC812" s="85"/>
      <c r="CD812" s="85"/>
      <c r="CE812" s="85"/>
      <c r="CF812" s="85"/>
      <c r="CG812" s="85"/>
      <c r="CH812" s="85"/>
      <c r="CI812" s="85"/>
      <c r="CJ812" s="85"/>
      <c r="CK812" s="2"/>
    </row>
    <row r="813" ht="12.75" customHeight="1">
      <c r="A813" s="80">
        <f>IFERROR(__xludf.DUMMYFUNCTION("""COMPUTED_VALUE"""),809.0)</f>
        <v>809</v>
      </c>
      <c r="B813" s="80"/>
      <c r="C813" s="80"/>
      <c r="D813" s="81">
        <f>IFERROR(__xludf.DUMMYFUNCTION("""COMPUTED_VALUE"""),46052.0)</f>
        <v>46052</v>
      </c>
      <c r="E813" s="82"/>
      <c r="F813" s="80"/>
      <c r="G813" s="81">
        <f>IFERROR(__xludf.DUMMYFUNCTION("""COMPUTED_VALUE"""),46071.0)</f>
        <v>46071</v>
      </c>
      <c r="H813" s="80"/>
      <c r="I813" s="80"/>
      <c r="J813" s="80"/>
      <c r="K813" s="80"/>
      <c r="L813" s="80">
        <f>IFERROR(__xludf.DUMMYFUNCTION("""COMPUTED_VALUE"""),19.0)</f>
        <v>19</v>
      </c>
      <c r="M813" s="80" t="str">
        <f>IFERROR(__xludf.DUMMYFUNCTION("""COMPUTED_VALUE"""),"ü")</f>
        <v>ü</v>
      </c>
      <c r="N813" s="80"/>
      <c r="O813" s="80"/>
      <c r="P813" s="80" t="str">
        <f>IFERROR(__xludf.DUMMYFUNCTION("""COMPUTED_VALUE"""),"MUCSPA63362PSIND")</f>
        <v>MUCSPA63362PSIND</v>
      </c>
      <c r="Q813" s="80" t="str">
        <f>IFERROR(__xludf.DUMMYFUNCTION("""COMPUTED_VALUE"""),"MUC WTC M2")</f>
        <v>MUC WTC M2</v>
      </c>
      <c r="R813" s="80" t="str">
        <f>IFERROR(__xludf.DUMMYFUNCTION("""COMPUTED_VALUE"""),"MUC WTC M2")</f>
        <v>MUC WTC M2</v>
      </c>
      <c r="S813" s="80" t="str">
        <f>IFERROR(__xludf.DUMMYFUNCTION("""COMPUTED_VALUE"""),"Delvy Gunawan Tanzil")</f>
        <v>Delvy Gunawan Tanzil</v>
      </c>
      <c r="T813" s="80" t="str">
        <f>IFERROR(__xludf.DUMMYFUNCTION("""COMPUTED_VALUE"""),"Jl. Pemutaran Raya No. 55, Wijaya kusuma, Jakarta Barat")</f>
        <v>Jl. Pemutaran Raya No. 55, Wijaya kusuma, Jakarta Barat</v>
      </c>
      <c r="U813" s="80" t="str">
        <f>IFERROR(__xludf.DUMMYFUNCTION("""COMPUTED_VALUE"""),"WTC Mangga Dua Lantai G Blok C No. 86")</f>
        <v>WTC Mangga Dua Lantai G Blok C No. 86</v>
      </c>
      <c r="V813" s="80"/>
      <c r="W813" s="80" t="str">
        <f>IFERROR(__xludf.DUMMYFUNCTION("""COMPUTED_VALUE"""),"Ancol")</f>
        <v>Ancol</v>
      </c>
      <c r="X813" s="80" t="str">
        <f>IFERROR(__xludf.DUMMYFUNCTION("""COMPUTED_VALUE"""),"Pademangan")</f>
        <v>Pademangan</v>
      </c>
      <c r="Y813" s="80" t="str">
        <f>IFERROR(__xludf.DUMMYFUNCTION("""COMPUTED_VALUE"""),"Jakarta Utara")</f>
        <v>Jakarta Utara</v>
      </c>
      <c r="Z813" s="80" t="str">
        <f>IFERROR(__xludf.DUMMYFUNCTION("""COMPUTED_VALUE"""),"DKI Jakarta")</f>
        <v>DKI Jakarta</v>
      </c>
      <c r="AA813" s="80" t="str">
        <f>IFERROR(__xludf.DUMMYFUNCTION("""COMPUTED_VALUE"""),"14430")</f>
        <v>14430</v>
      </c>
      <c r="AB813" s="80" t="str">
        <f>IFERROR(__xludf.DUMMYFUNCTION("""COMPUTED_VALUE"""),"3173020102850007")</f>
        <v>3173020102850007</v>
      </c>
      <c r="AC813" s="80" t="str">
        <f>IFERROR(__xludf.DUMMYFUNCTION("""COMPUTED_VALUE"""),"59.483.896.3-036.000")</f>
        <v>59.483.896.3-036.000</v>
      </c>
      <c r="AD813" s="80" t="str">
        <f>IFERROR(__xludf.DUMMYFUNCTION("""COMPUTED_VALUE"""),"CUM - PS - ARKT ")</f>
        <v>CUM - PS - ARKT </v>
      </c>
      <c r="AE813" s="80" t="str">
        <f>IFERROR(__xludf.DUMMYFUNCTION("""COMPUTED_VALUE"""),"SUB ARIS POS")</f>
        <v>SUB ARIS POS</v>
      </c>
      <c r="AF813" s="80" t="str">
        <f>IFERROR(__xludf.DUMMYFUNCTION("""COMPUTED_VALUE"""),"081908486998")</f>
        <v>081908486998</v>
      </c>
      <c r="AG813" s="80"/>
      <c r="AH813" s="80" t="str">
        <f>IFERROR(__xludf.DUMMYFUNCTION("""COMPUTED_VALUE"""),"delvy_gunawan15@yahoo.com")</f>
        <v>delvy_gunawan15@yahoo.com</v>
      </c>
      <c r="AI813" s="80" t="str">
        <f>IFERROR(__xludf.DUMMYFUNCTION("""COMPUTED_VALUE"""),"14430S3")</f>
        <v>14430S3</v>
      </c>
      <c r="AJ813" s="80" t="str">
        <f>IFERROR(__xludf.DUMMYFUNCTION("""COMPUTED_VALUE"""),"699144a7773006630e0ed517")</f>
        <v>699144a7773006630e0ed517</v>
      </c>
      <c r="AK813" s="80"/>
      <c r="AL813" s="80"/>
      <c r="AM813" s="80" t="str">
        <f>IFERROR(__xludf.DUMMYFUNCTION("""COMPUTED_VALUE"""),"KANTOR REGIONAL II JAKARTA 10004")</f>
        <v>KANTOR REGIONAL II JAKARTA 10004</v>
      </c>
      <c r="AN813" s="80" t="str">
        <f>IFERROR(__xludf.DUMMYFUNCTION("""COMPUTED_VALUE"""),"KCU JAKARTAPREMIER 13000")</f>
        <v>KCU JAKARTAPREMIER 13000</v>
      </c>
      <c r="AO813" s="80" t="str">
        <f>IFERROR(__xludf.DUMMYFUNCTION("""COMPUTED_VALUE"""),"3001260082807")</f>
        <v>3001260082807</v>
      </c>
      <c r="AP813" s="80" t="str">
        <f>IFERROR(__xludf.DUMMYFUNCTION("""COMPUTED_VALUE"""),"30012600828070001")</f>
        <v>30012600828070001</v>
      </c>
      <c r="AQ813" s="83"/>
      <c r="AR813" s="80"/>
      <c r="AS813" s="80"/>
      <c r="AT813" s="80" t="str">
        <f>IFERROR(__xludf.DUMMYFUNCTION("""COMPUTED_VALUE"""),"-6.1340193")</f>
        <v>-6.1340193</v>
      </c>
      <c r="AU813" s="80" t="str">
        <f>IFERROR(__xludf.DUMMYFUNCTION("""COMPUTED_VALUE"""),"106.8308492")</f>
        <v>106.8308492</v>
      </c>
      <c r="AV813" s="80"/>
      <c r="AW813" s="80"/>
      <c r="AX813" s="80"/>
      <c r="AY813" s="80"/>
      <c r="AZ813" s="80"/>
      <c r="BA813" s="80"/>
      <c r="BB813" s="80"/>
      <c r="BC813" s="80"/>
      <c r="BD813" s="80"/>
      <c r="BE813" s="80"/>
      <c r="BF813" s="80"/>
      <c r="BG813" s="80"/>
      <c r="BH813" s="80"/>
      <c r="BI813" s="80"/>
      <c r="BJ813" s="80"/>
      <c r="BK813" s="80"/>
      <c r="BL813" s="80"/>
      <c r="BM813" s="80"/>
      <c r="BN813" s="80"/>
      <c r="BO813" s="80"/>
      <c r="BP813" s="80"/>
      <c r="BQ813" s="80"/>
      <c r="BR813" s="80"/>
      <c r="BS813" s="80"/>
      <c r="BT813" s="80"/>
      <c r="BU813" s="80"/>
      <c r="BV813" s="80"/>
      <c r="BW813" s="80"/>
      <c r="BX813" s="80" t="str">
        <f>IFERROR(__xludf.DUMMYFUNCTION("""COMPUTED_VALUE"""),"MULTIKURIR - LION PARCEL")</f>
        <v>MULTIKURIR - LION PARCEL</v>
      </c>
      <c r="BY813" s="80"/>
      <c r="BZ813" s="80"/>
      <c r="CA813" s="80"/>
      <c r="CB813" s="80"/>
      <c r="CC813" s="80"/>
      <c r="CD813" s="80"/>
      <c r="CE813" s="80"/>
      <c r="CF813" s="80"/>
      <c r="CG813" s="80"/>
      <c r="CH813" s="80"/>
      <c r="CI813" s="80"/>
      <c r="CJ813" s="80"/>
      <c r="CK813" s="2"/>
    </row>
    <row r="814" ht="12.75" customHeight="1">
      <c r="A814" s="85">
        <f>IFERROR(__xludf.DUMMYFUNCTION("""COMPUTED_VALUE"""),810.0)</f>
        <v>810</v>
      </c>
      <c r="B814" s="85"/>
      <c r="C814" s="85"/>
      <c r="D814" s="86">
        <f>IFERROR(__xludf.DUMMYFUNCTION("""COMPUTED_VALUE"""),46052.0)</f>
        <v>46052</v>
      </c>
      <c r="E814" s="88"/>
      <c r="F814" s="85"/>
      <c r="G814" s="86">
        <f>IFERROR(__xludf.DUMMYFUNCTION("""COMPUTED_VALUE"""),46122.0)</f>
        <v>46122</v>
      </c>
      <c r="H814" s="85"/>
      <c r="I814" s="85"/>
      <c r="J814" s="85"/>
      <c r="K814" s="85"/>
      <c r="L814" s="85">
        <f>IFERROR(__xludf.DUMMYFUNCTION("""COMPUTED_VALUE"""),70.0)</f>
        <v>70</v>
      </c>
      <c r="M814" s="85" t="str">
        <f>IFERROR(__xludf.DUMMYFUNCTION("""COMPUTED_VALUE"""),"ü")</f>
        <v>ü</v>
      </c>
      <c r="N814" s="85"/>
      <c r="O814" s="85"/>
      <c r="P814" s="85" t="str">
        <f>IFERROR(__xludf.DUMMYFUNCTION("""COMPUTED_VALUE"""),"MUCSPA63363PSIND")</f>
        <v>MUCSPA63363PSIND</v>
      </c>
      <c r="Q814" s="85" t="str">
        <f>IFERROR(__xludf.DUMMYFUNCTION("""COMPUTED_VALUE"""),"MUC HIKAM")</f>
        <v>MUC HIKAM</v>
      </c>
      <c r="R814" s="85" t="str">
        <f>IFERROR(__xludf.DUMMYFUNCTION("""COMPUTED_VALUE"""),"MUC HIKAM")</f>
        <v>MUC HIKAM</v>
      </c>
      <c r="S814" s="85" t="str">
        <f>IFERROR(__xludf.DUMMYFUNCTION("""COMPUTED_VALUE"""),"SHOLIKHUN NUHA")</f>
        <v>SHOLIKHUN NUHA</v>
      </c>
      <c r="T814" s="85" t="str">
        <f>IFERROR(__xludf.DUMMYFUNCTION("""COMPUTED_VALUE"""),"JETISKAPUAN RT.002 RW.004, JETISKAPUAN, JATI, KAB.KUDUS")</f>
        <v>JETISKAPUAN RT.002 RW.004, JETISKAPUAN, JATI, KAB.KUDUS</v>
      </c>
      <c r="U814" s="85" t="str">
        <f>IFERROR(__xludf.DUMMYFUNCTION("""COMPUTED_VALUE"""),"Jl. Purwodadi - Kudus, RT.02/RW.04, Ketanjung")</f>
        <v>Jl. Purwodadi - Kudus, RT.02/RW.04, Ketanjung</v>
      </c>
      <c r="V814" s="85"/>
      <c r="W814" s="85" t="str">
        <f>IFERROR(__xludf.DUMMYFUNCTION("""COMPUTED_VALUE"""),"Jetis Kapuan")</f>
        <v>Jetis Kapuan</v>
      </c>
      <c r="X814" s="85" t="str">
        <f>IFERROR(__xludf.DUMMYFUNCTION("""COMPUTED_VALUE"""),"Jati")</f>
        <v>Jati</v>
      </c>
      <c r="Y814" s="85" t="str">
        <f>IFERROR(__xludf.DUMMYFUNCTION("""COMPUTED_VALUE"""),"Kabupaten Kudus")</f>
        <v>Kabupaten Kudus</v>
      </c>
      <c r="Z814" s="85" t="str">
        <f>IFERROR(__xludf.DUMMYFUNCTION("""COMPUTED_VALUE"""),"Jawa Tengah ")</f>
        <v>Jawa Tengah </v>
      </c>
      <c r="AA814" s="85" t="str">
        <f>IFERROR(__xludf.DUMMYFUNCTION("""COMPUTED_VALUE"""),"59349")</f>
        <v>59349</v>
      </c>
      <c r="AB814" s="85" t="str">
        <f>IFERROR(__xludf.DUMMYFUNCTION("""COMPUTED_VALUE"""),"3319032210870001")</f>
        <v>3319032210870001</v>
      </c>
      <c r="AC814" s="85" t="str">
        <f>IFERROR(__xludf.DUMMYFUNCTION("""COMPUTED_VALUE"""),"93.959.032.9-506.000")</f>
        <v>93.959.032.9-506.000</v>
      </c>
      <c r="AD814" s="85" t="str">
        <f>IFERROR(__xludf.DUMMYFUNCTION("""COMPUTED_VALUE"""),"CUM - PS - ARGA")</f>
        <v>CUM - PS - ARGA</v>
      </c>
      <c r="AE814" s="85" t="str">
        <f>IFERROR(__xludf.DUMMYFUNCTION("""COMPUTED_VALUE"""),"SUB ARGA POS")</f>
        <v>SUB ARGA POS</v>
      </c>
      <c r="AF814" s="85" t="str">
        <f>IFERROR(__xludf.DUMMYFUNCTION("""COMPUTED_VALUE"""),"085727578902")</f>
        <v>085727578902</v>
      </c>
      <c r="AG814" s="85"/>
      <c r="AH814" s="85" t="str">
        <f>IFERROR(__xludf.DUMMYFUNCTION("""COMPUTED_VALUE"""),"solikunnuha08@gmail.com")</f>
        <v>solikunnuha08@gmail.com</v>
      </c>
      <c r="AI814" s="85" t="str">
        <f>IFERROR(__xludf.DUMMYFUNCTION("""COMPUTED_VALUE"""),"59349S2")</f>
        <v>59349S2</v>
      </c>
      <c r="AJ814" s="85" t="str">
        <f>IFERROR(__xludf.DUMMYFUNCTION("""COMPUTED_VALUE"""),"69d488aa6f4e65dfa00684fe")</f>
        <v>69d488aa6f4e65dfa00684fe</v>
      </c>
      <c r="AK814" s="85" t="str">
        <f>IFERROR(__xludf.DUMMYFUNCTION("""COMPUTED_VALUE"""),"solikunnuha08@gmail.com")</f>
        <v>solikunnuha08@gmail.com</v>
      </c>
      <c r="AL814" s="85" t="str">
        <f>IFERROR(__xludf.DUMMYFUNCTION("""COMPUTED_VALUE"""),"#Muc59349S2$")</f>
        <v>#Muc59349S2$</v>
      </c>
      <c r="AM814" s="85" t="str">
        <f>IFERROR(__xludf.DUMMYFUNCTION("""COMPUTED_VALUE"""),"KANTOR REGIONAL IV SEMARANG 50004")</f>
        <v>KANTOR REGIONAL IV SEMARANG 50004</v>
      </c>
      <c r="AN814" s="85" t="str">
        <f>IFERROR(__xludf.DUMMYFUNCTION("""COMPUTED_VALUE"""),"KC KUDUS")</f>
        <v>KC KUDUS</v>
      </c>
      <c r="AO814" s="85" t="str">
        <f>IFERROR(__xludf.DUMMYFUNCTION("""COMPUTED_VALUE"""),"2109210019158")</f>
        <v>2109210019158</v>
      </c>
      <c r="AP814" s="85" t="str">
        <f>IFERROR(__xludf.DUMMYFUNCTION("""COMPUTED_VALUE"""),"MENYUSUL")</f>
        <v>MENYUSUL</v>
      </c>
      <c r="AQ814" s="93"/>
      <c r="AR814" s="85"/>
      <c r="AS814" s="85"/>
      <c r="AT814" s="85" t="str">
        <f>IFERROR(__xludf.DUMMYFUNCTION("""COMPUTED_VALUE"""),"-6.852455")</f>
        <v>-6.852455</v>
      </c>
      <c r="AU814" s="85" t="str">
        <f>IFERROR(__xludf.DUMMYFUNCTION("""COMPUTED_VALUE"""),"110.8359794")</f>
        <v>110.8359794</v>
      </c>
      <c r="AV814" s="85"/>
      <c r="AW814" s="85"/>
      <c r="AX814" s="85"/>
      <c r="AY814" s="85"/>
      <c r="AZ814" s="85"/>
      <c r="BA814" s="85"/>
      <c r="BB814" s="85"/>
      <c r="BC814" s="85"/>
      <c r="BD814" s="85"/>
      <c r="BE814" s="85"/>
      <c r="BF814" s="85"/>
      <c r="BG814" s="85"/>
      <c r="BH814" s="85"/>
      <c r="BI814" s="85"/>
      <c r="BJ814" s="85"/>
      <c r="BK814" s="85"/>
      <c r="BL814" s="85"/>
      <c r="BM814" s="85"/>
      <c r="BN814" s="85"/>
      <c r="BO814" s="85"/>
      <c r="BP814" s="85"/>
      <c r="BQ814" s="85"/>
      <c r="BR814" s="85"/>
      <c r="BS814" s="85"/>
      <c r="BT814" s="85"/>
      <c r="BU814" s="85"/>
      <c r="BV814" s="85"/>
      <c r="BW814" s="85"/>
      <c r="BX814" s="85" t="str">
        <f>IFERROR(__xludf.DUMMYFUNCTION("""COMPUTED_VALUE"""),"NEWBIE")</f>
        <v>NEWBIE</v>
      </c>
      <c r="BY814" s="85"/>
      <c r="BZ814" s="85"/>
      <c r="CA814" s="85"/>
      <c r="CB814" s="85"/>
      <c r="CC814" s="85"/>
      <c r="CD814" s="85"/>
      <c r="CE814" s="85"/>
      <c r="CF814" s="85"/>
      <c r="CG814" s="85"/>
      <c r="CH814" s="85"/>
      <c r="CI814" s="85"/>
      <c r="CJ814" s="85"/>
      <c r="CK814" s="2"/>
    </row>
    <row r="815" ht="12.75" customHeight="1">
      <c r="A815" s="80">
        <f>IFERROR(__xludf.DUMMYFUNCTION("""COMPUTED_VALUE"""),811.0)</f>
        <v>811</v>
      </c>
      <c r="B815" s="80"/>
      <c r="C815" s="80"/>
      <c r="D815" s="81">
        <f>IFERROR(__xludf.DUMMYFUNCTION("""COMPUTED_VALUE"""),46055.0)</f>
        <v>46055</v>
      </c>
      <c r="E815" s="82"/>
      <c r="F815" s="80"/>
      <c r="G815" s="81">
        <f>IFERROR(__xludf.DUMMYFUNCTION("""COMPUTED_VALUE"""),46077.0)</f>
        <v>46077</v>
      </c>
      <c r="H815" s="80"/>
      <c r="I815" s="80"/>
      <c r="J815" s="80"/>
      <c r="K815" s="80"/>
      <c r="L815" s="80">
        <f>IFERROR(__xludf.DUMMYFUNCTION("""COMPUTED_VALUE"""),22.0)</f>
        <v>22</v>
      </c>
      <c r="M815" s="80" t="str">
        <f>IFERROR(__xludf.DUMMYFUNCTION("""COMPUTED_VALUE"""),"ü")</f>
        <v>ü</v>
      </c>
      <c r="N815" s="80"/>
      <c r="O815" s="80"/>
      <c r="P815" s="80" t="str">
        <f>IFERROR(__xludf.DUMMYFUNCTION("""COMPUTED_VALUE"""),"MUCSPA63364PSIND")</f>
        <v>MUCSPA63364PSIND</v>
      </c>
      <c r="Q815" s="80" t="str">
        <f>IFERROR(__xludf.DUMMYFUNCTION("""COMPUTED_VALUE"""),"MUC Brijaya")</f>
        <v>MUC Brijaya</v>
      </c>
      <c r="R815" s="80" t="str">
        <f>IFERROR(__xludf.DUMMYFUNCTION("""COMPUTED_VALUE"""),"MUC Brijaya")</f>
        <v>MUC Brijaya</v>
      </c>
      <c r="S815" s="80" t="str">
        <f>IFERROR(__xludf.DUMMYFUNCTION("""COMPUTED_VALUE"""),"Ramely yusuf ibrohim")</f>
        <v>Ramely yusuf ibrohim</v>
      </c>
      <c r="T815" s="80" t="str">
        <f>IFERROR(__xludf.DUMMYFUNCTION("""COMPUTED_VALUE"""),"CLOLO RT03 RW04 Banjarsari, Banjarsari, Kota Surakarta ")</f>
        <v>CLOLO RT03 RW04 Banjarsari, Banjarsari, Kota Surakarta </v>
      </c>
      <c r="U815" s="80" t="str">
        <f>IFERROR(__xludf.DUMMYFUNCTION("""COMPUTED_VALUE"""),"Jl Solo - Purwodadi KM12 ")</f>
        <v>Jl Solo - Purwodadi KM12 </v>
      </c>
      <c r="V815" s="80"/>
      <c r="W815" s="80" t="str">
        <f>IFERROR(__xludf.DUMMYFUNCTION("""COMPUTED_VALUE"""),"Tuban ")</f>
        <v>Tuban </v>
      </c>
      <c r="X815" s="80" t="str">
        <f>IFERROR(__xludf.DUMMYFUNCTION("""COMPUTED_VALUE"""),"Gondangrejo")</f>
        <v>Gondangrejo</v>
      </c>
      <c r="Y815" s="80" t="str">
        <f>IFERROR(__xludf.DUMMYFUNCTION("""COMPUTED_VALUE"""),"Karangnyar")</f>
        <v>Karangnyar</v>
      </c>
      <c r="Z815" s="80" t="str">
        <f>IFERROR(__xludf.DUMMYFUNCTION("""COMPUTED_VALUE"""),"Jawa Tengah")</f>
        <v>Jawa Tengah</v>
      </c>
      <c r="AA815" s="80" t="str">
        <f>IFERROR(__xludf.DUMMYFUNCTION("""COMPUTED_VALUE"""),"57773")</f>
        <v>57773</v>
      </c>
      <c r="AB815" s="80" t="str">
        <f>IFERROR(__xludf.DUMMYFUNCTION("""COMPUTED_VALUE"""),"3372052211990001")</f>
        <v>3372052211990001</v>
      </c>
      <c r="AC815" s="80" t="str">
        <f>IFERROR(__xludf.DUMMYFUNCTION("""COMPUTED_VALUE"""),"60.130.657.4-526.000")</f>
        <v>60.130.657.4-526.000</v>
      </c>
      <c r="AD815" s="80" t="str">
        <f>IFERROR(__xludf.DUMMYFUNCTION("""COMPUTED_VALUE"""),"CUM - PS - RFSI")</f>
        <v>CUM - PS - RFSI</v>
      </c>
      <c r="AE815" s="80" t="str">
        <f>IFERROR(__xludf.DUMMYFUNCTION("""COMPUTED_VALUE"""),"SUB RIZKI POS")</f>
        <v>SUB RIZKI POS</v>
      </c>
      <c r="AF815" s="80" t="str">
        <f>IFERROR(__xludf.DUMMYFUNCTION("""COMPUTED_VALUE"""),"089509709761")</f>
        <v>089509709761</v>
      </c>
      <c r="AG815" s="80"/>
      <c r="AH815" s="80" t="str">
        <f>IFERROR(__xludf.DUMMYFUNCTION("""COMPUTED_VALUE"""),"yusuframely@gmail.com")</f>
        <v>yusuframely@gmail.com</v>
      </c>
      <c r="AI815" s="80" t="str">
        <f>IFERROR(__xludf.DUMMYFUNCTION("""COMPUTED_VALUE"""),"57773S2")</f>
        <v>57773S2</v>
      </c>
      <c r="AJ815" s="80" t="str">
        <f>IFERROR(__xludf.DUMMYFUNCTION("""COMPUTED_VALUE"""),"698c081deab82ad21a00da00")</f>
        <v>698c081deab82ad21a00da00</v>
      </c>
      <c r="AK815" s="80"/>
      <c r="AL815" s="80"/>
      <c r="AM815" s="80" t="str">
        <f>IFERROR(__xludf.DUMMYFUNCTION("""COMPUTED_VALUE"""),"KANTOR REGIONAL IV SEMARANG 50004")</f>
        <v>KANTOR REGIONAL IV SEMARANG 50004</v>
      </c>
      <c r="AN815" s="80" t="str">
        <f>IFERROR(__xludf.DUMMYFUNCTION("""COMPUTED_VALUE"""),"KCU SOLO 57100")</f>
        <v>KCU SOLO 57100</v>
      </c>
      <c r="AO815" s="80" t="str">
        <f>IFERROR(__xludf.DUMMYFUNCTION("""COMPUTED_VALUE"""),"MENYUSUL")</f>
        <v>MENYUSUL</v>
      </c>
      <c r="AP815" s="80" t="str">
        <f>IFERROR(__xludf.DUMMYFUNCTION("""COMPUTED_VALUE"""),"MENYUSUL")</f>
        <v>MENYUSUL</v>
      </c>
      <c r="AQ815" s="83"/>
      <c r="AR815" s="80"/>
      <c r="AS815" s="80"/>
      <c r="AT815" s="80" t="str">
        <f>IFERROR(__xludf.DUMMYFUNCTION("""COMPUTED_VALUE"""),"-7.466616")</f>
        <v>-7.466616</v>
      </c>
      <c r="AU815" s="80" t="str">
        <f>IFERROR(__xludf.DUMMYFUNCTION("""COMPUTED_VALUE"""),"110.806193")</f>
        <v>110.806193</v>
      </c>
      <c r="AV815" s="80"/>
      <c r="AW815" s="80"/>
      <c r="AX815" s="80"/>
      <c r="AY815" s="80"/>
      <c r="AZ815" s="80"/>
      <c r="BA815" s="80"/>
      <c r="BB815" s="80"/>
      <c r="BC815" s="80"/>
      <c r="BD815" s="80"/>
      <c r="BE815" s="80"/>
      <c r="BF815" s="80"/>
      <c r="BG815" s="80"/>
      <c r="BH815" s="80"/>
      <c r="BI815" s="80"/>
      <c r="BJ815" s="80"/>
      <c r="BK815" s="80"/>
      <c r="BL815" s="80"/>
      <c r="BM815" s="80"/>
      <c r="BN815" s="80"/>
      <c r="BO815" s="80"/>
      <c r="BP815" s="80"/>
      <c r="BQ815" s="80"/>
      <c r="BR815" s="80"/>
      <c r="BS815" s="80"/>
      <c r="BT815" s="80"/>
      <c r="BU815" s="80"/>
      <c r="BV815" s="80"/>
      <c r="BW815" s="80"/>
      <c r="BX815" s="80" t="str">
        <f>IFERROR(__xludf.DUMMYFUNCTION("""COMPUTED_VALUE"""),"NEWBIE")</f>
        <v>NEWBIE</v>
      </c>
      <c r="BY815" s="80"/>
      <c r="BZ815" s="80"/>
      <c r="CA815" s="80"/>
      <c r="CB815" s="80"/>
      <c r="CC815" s="80"/>
      <c r="CD815" s="80"/>
      <c r="CE815" s="80"/>
      <c r="CF815" s="80"/>
      <c r="CG815" s="80"/>
      <c r="CH815" s="80"/>
      <c r="CI815" s="80"/>
      <c r="CJ815" s="80"/>
      <c r="CK815" s="2"/>
    </row>
    <row r="816" ht="12.75" customHeight="1">
      <c r="A816" s="85">
        <f>IFERROR(__xludf.DUMMYFUNCTION("""COMPUTED_VALUE"""),812.0)</f>
        <v>812</v>
      </c>
      <c r="B816" s="85"/>
      <c r="C816" s="85"/>
      <c r="D816" s="86">
        <f>IFERROR(__xludf.DUMMYFUNCTION("""COMPUTED_VALUE"""),46056.0)</f>
        <v>46056</v>
      </c>
      <c r="E816" s="88"/>
      <c r="F816" s="85"/>
      <c r="G816" s="86">
        <f>IFERROR(__xludf.DUMMYFUNCTION("""COMPUTED_VALUE"""),46073.0)</f>
        <v>46073</v>
      </c>
      <c r="H816" s="85"/>
      <c r="I816" s="85"/>
      <c r="J816" s="85"/>
      <c r="K816" s="85"/>
      <c r="L816" s="85">
        <f>IFERROR(__xludf.DUMMYFUNCTION("""COMPUTED_VALUE"""),17.0)</f>
        <v>17</v>
      </c>
      <c r="M816" s="85" t="str">
        <f>IFERROR(__xludf.DUMMYFUNCTION("""COMPUTED_VALUE"""),"ü")</f>
        <v>ü</v>
      </c>
      <c r="N816" s="85"/>
      <c r="O816" s="85"/>
      <c r="P816" s="85" t="str">
        <f>IFERROR(__xludf.DUMMYFUNCTION("""COMPUTED_VALUE"""),"52BSPA07798JTAMT")</f>
        <v>52BSPA07798JTAMT</v>
      </c>
      <c r="Q816" s="85" t="str">
        <f>IFERROR(__xludf.DUMMYFUNCTION("""COMPUTED_VALUE"""),"MUC PAKET DEMAK")</f>
        <v>MUC PAKET DEMAK</v>
      </c>
      <c r="R816" s="85" t="str">
        <f>IFERROR(__xludf.DUMMYFUNCTION("""COMPUTED_VALUE"""),"MUC PAKET DEMAK")</f>
        <v>MUC PAKET DEMAK</v>
      </c>
      <c r="S816" s="85" t="str">
        <f>IFERROR(__xludf.DUMMYFUNCTION("""COMPUTED_VALUE"""),"BASTIAN AMANULLAH")</f>
        <v>BASTIAN AMANULLAH</v>
      </c>
      <c r="T816" s="85" t="str">
        <f>IFERROR(__xludf.DUMMYFUNCTION("""COMPUTED_VALUE"""),"STASIUN RT.009 RW.002, BINTORO, DEMAK, KAB. DEMAK")</f>
        <v>STASIUN RT.009 RW.002, BINTORO, DEMAK, KAB. DEMAK</v>
      </c>
      <c r="U816" s="85" t="str">
        <f>IFERROR(__xludf.DUMMYFUNCTION("""COMPUTED_VALUE"""),"Kios Terminal Bintoro Demak")</f>
        <v>Kios Terminal Bintoro Demak</v>
      </c>
      <c r="V816" s="85"/>
      <c r="W816" s="85" t="str">
        <f>IFERROR(__xludf.DUMMYFUNCTION("""COMPUTED_VALUE"""),"Bintoro")</f>
        <v>Bintoro</v>
      </c>
      <c r="X816" s="85" t="str">
        <f>IFERROR(__xludf.DUMMYFUNCTION("""COMPUTED_VALUE"""),"Demak")</f>
        <v>Demak</v>
      </c>
      <c r="Y816" s="85" t="str">
        <f>IFERROR(__xludf.DUMMYFUNCTION("""COMPUTED_VALUE"""),"Kab. Demak")</f>
        <v>Kab. Demak</v>
      </c>
      <c r="Z816" s="85" t="str">
        <f>IFERROR(__xludf.DUMMYFUNCTION("""COMPUTED_VALUE"""),"Jawa Tengah")</f>
        <v>Jawa Tengah</v>
      </c>
      <c r="AA816" s="85" t="str">
        <f>IFERROR(__xludf.DUMMYFUNCTION("""COMPUTED_VALUE"""),"59511")</f>
        <v>59511</v>
      </c>
      <c r="AB816" s="85" t="str">
        <f>IFERROR(__xludf.DUMMYFUNCTION("""COMPUTED_VALUE"""),"3321111903910002")</f>
        <v>3321111903910002</v>
      </c>
      <c r="AC816" s="85" t="str">
        <f>IFERROR(__xludf.DUMMYFUNCTION("""COMPUTED_VALUE"""),"71.362.744.6-515.000")</f>
        <v>71.362.744.6-515.000</v>
      </c>
      <c r="AD816" s="85" t="str">
        <f>IFERROR(__xludf.DUMMYFUNCTION("""COMPUTED_VALUE"""),"CUM - AMT")</f>
        <v>CUM - AMT</v>
      </c>
      <c r="AE816" s="85" t="str">
        <f>IFERROR(__xludf.DUMMYFUNCTION("""COMPUTED_VALUE"""),"SUB AMINARTI")</f>
        <v>SUB AMINARTI</v>
      </c>
      <c r="AF816" s="85" t="str">
        <f>IFERROR(__xludf.DUMMYFUNCTION("""COMPUTED_VALUE"""),"089648228788")</f>
        <v>089648228788</v>
      </c>
      <c r="AG816" s="85"/>
      <c r="AH816" s="85" t="str">
        <f>IFERROR(__xludf.DUMMYFUNCTION("""COMPUTED_VALUE"""),"Agenpaketdemak@gmail.com")</f>
        <v>Agenpaketdemak@gmail.com</v>
      </c>
      <c r="AI816" s="85" t="str">
        <f>IFERROR(__xludf.DUMMYFUNCTION("""COMPUTED_VALUE"""),"59511S4")</f>
        <v>59511S4</v>
      </c>
      <c r="AJ816" s="85" t="str">
        <f>IFERROR(__xludf.DUMMYFUNCTION("""COMPUTED_VALUE"""),"6997b392134972b753023089")</f>
        <v>6997b392134972b753023089</v>
      </c>
      <c r="AK816" s="85" t="str">
        <f>IFERROR(__xludf.DUMMYFUNCTION("""COMPUTED_VALUE"""),"agenpaketdemak@gmail.com")</f>
        <v>agenpaketdemak@gmail.com</v>
      </c>
      <c r="AL816" s="85" t="str">
        <f>IFERROR(__xludf.DUMMYFUNCTION("""COMPUTED_VALUE"""),"#Muc59511S4$")</f>
        <v>#Muc59511S4$</v>
      </c>
      <c r="AM816" s="85" t="str">
        <f>IFERROR(__xludf.DUMMYFUNCTION("""COMPUTED_VALUE"""),"KANTOR REGIONAL IV SEMARANG 50004")</f>
        <v>KANTOR REGIONAL IV SEMARANG 50004</v>
      </c>
      <c r="AN816" s="85" t="str">
        <f>IFERROR(__xludf.DUMMYFUNCTION("""COMPUTED_VALUE"""),"KC DEMAK")</f>
        <v>KC DEMAK</v>
      </c>
      <c r="AO816" s="85" t="str">
        <f>IFERROR(__xludf.DUMMYFUNCTION("""COMPUTED_VALUE"""),"1912240103134")</f>
        <v>1912240103134</v>
      </c>
      <c r="AP816" s="85" t="str">
        <f>IFERROR(__xludf.DUMMYFUNCTION("""COMPUTED_VALUE"""),"19122401031340001")</f>
        <v>19122401031340001</v>
      </c>
      <c r="AQ816" s="93"/>
      <c r="AR816" s="85"/>
      <c r="AS816" s="85"/>
      <c r="AT816" s="85" t="str">
        <f>IFERROR(__xludf.DUMMYFUNCTION("""COMPUTED_VALUE"""),"-6.8990637")</f>
        <v>-6.8990637</v>
      </c>
      <c r="AU816" s="85" t="str">
        <f>IFERROR(__xludf.DUMMYFUNCTION("""COMPUTED_VALUE"""),"110.6356305")</f>
        <v>110.6356305</v>
      </c>
      <c r="AV816" s="85"/>
      <c r="AW816" s="85"/>
      <c r="AX816" s="85"/>
      <c r="AY816" s="85"/>
      <c r="AZ816" s="85"/>
      <c r="BA816" s="85"/>
      <c r="BB816" s="85"/>
      <c r="BC816" s="85"/>
      <c r="BD816" s="85"/>
      <c r="BE816" s="85"/>
      <c r="BF816" s="85"/>
      <c r="BG816" s="85"/>
      <c r="BH816" s="85"/>
      <c r="BI816" s="85"/>
      <c r="BJ816" s="85"/>
      <c r="BK816" s="85"/>
      <c r="BL816" s="85"/>
      <c r="BM816" s="85"/>
      <c r="BN816" s="85"/>
      <c r="BO816" s="85"/>
      <c r="BP816" s="85"/>
      <c r="BQ816" s="85"/>
      <c r="BR816" s="85"/>
      <c r="BS816" s="85"/>
      <c r="BT816" s="85"/>
      <c r="BU816" s="85"/>
      <c r="BV816" s="85"/>
      <c r="BW816" s="85"/>
      <c r="BX816" s="85" t="str">
        <f>IFERROR(__xludf.DUMMYFUNCTION("""COMPUTED_VALUE"""),"MULTIKURIR - LION PARCEL - JNT")</f>
        <v>MULTIKURIR - LION PARCEL - JNT</v>
      </c>
      <c r="BY816" s="85"/>
      <c r="BZ816" s="85"/>
      <c r="CA816" s="85"/>
      <c r="CB816" s="85"/>
      <c r="CC816" s="85"/>
      <c r="CD816" s="85"/>
      <c r="CE816" s="85"/>
      <c r="CF816" s="85"/>
      <c r="CG816" s="85"/>
      <c r="CH816" s="85"/>
      <c r="CI816" s="85"/>
      <c r="CJ816" s="85"/>
      <c r="CK816" s="2"/>
    </row>
    <row r="817" ht="12.75" customHeight="1">
      <c r="A817" s="80">
        <f>IFERROR(__xludf.DUMMYFUNCTION("""COMPUTED_VALUE"""),813.0)</f>
        <v>813</v>
      </c>
      <c r="B817" s="80"/>
      <c r="C817" s="80"/>
      <c r="D817" s="81">
        <f>IFERROR(__xludf.DUMMYFUNCTION("""COMPUTED_VALUE"""),46056.0)</f>
        <v>46056</v>
      </c>
      <c r="E817" s="82"/>
      <c r="F817" s="80"/>
      <c r="G817" s="81">
        <f>IFERROR(__xludf.DUMMYFUNCTION("""COMPUTED_VALUE"""),46091.0)</f>
        <v>46091</v>
      </c>
      <c r="H817" s="80"/>
      <c r="I817" s="80"/>
      <c r="J817" s="80"/>
      <c r="K817" s="80"/>
      <c r="L817" s="80">
        <f>IFERROR(__xludf.DUMMYFUNCTION("""COMPUTED_VALUE"""),35.0)</f>
        <v>35</v>
      </c>
      <c r="M817" s="80" t="str">
        <f>IFERROR(__xludf.DUMMYFUNCTION("""COMPUTED_VALUE"""),"ü")</f>
        <v>ü</v>
      </c>
      <c r="N817" s="80"/>
      <c r="O817" s="80"/>
      <c r="P817" s="80" t="str">
        <f>IFERROR(__xludf.DUMMYFUNCTION("""COMPUTED_VALUE"""),"MUCSPA63365PSIND")</f>
        <v>MUCSPA63365PSIND</v>
      </c>
      <c r="Q817" s="80" t="str">
        <f>IFERROR(__xludf.DUMMYFUNCTION("""COMPUTED_VALUE"""),"MUC GIBRAN")</f>
        <v>MUC GIBRAN</v>
      </c>
      <c r="R817" s="80" t="str">
        <f>IFERROR(__xludf.DUMMYFUNCTION("""COMPUTED_VALUE"""),"MUC GIBRAN")</f>
        <v>MUC GIBRAN</v>
      </c>
      <c r="S817" s="80" t="str">
        <f>IFERROR(__xludf.DUMMYFUNCTION("""COMPUTED_VALUE"""),"HENDRI")</f>
        <v>HENDRI</v>
      </c>
      <c r="T817" s="80" t="str">
        <f>IFERROR(__xludf.DUMMYFUNCTION("""COMPUTED_VALUE"""),"DUSUN VIII, PURUN, PENUKAL, KAB. PENUKAL ABAB LEMATANG ILIR, SUMATERA SELATAN")</f>
        <v>DUSUN VIII, PURUN, PENUKAL, KAB. PENUKAL ABAB LEMATANG ILIR, SUMATERA SELATAN</v>
      </c>
      <c r="U817" s="80" t="str">
        <f>IFERROR(__xludf.DUMMYFUNCTION("""COMPUTED_VALUE"""),"jalan lintas Sekayu Dusun VIII ")</f>
        <v>jalan lintas Sekayu Dusun VIII </v>
      </c>
      <c r="V817" s="80"/>
      <c r="W817" s="80" t="str">
        <f>IFERROR(__xludf.DUMMYFUNCTION("""COMPUTED_VALUE"""),"Purun")</f>
        <v>Purun</v>
      </c>
      <c r="X817" s="80" t="str">
        <f>IFERROR(__xludf.DUMMYFUNCTION("""COMPUTED_VALUE"""),"Penukal")</f>
        <v>Penukal</v>
      </c>
      <c r="Y817" s="80" t="str">
        <f>IFERROR(__xludf.DUMMYFUNCTION("""COMPUTED_VALUE"""),"Kab. Penukal abab Lematang Ilir")</f>
        <v>Kab. Penukal abab Lematang Ilir</v>
      </c>
      <c r="Z817" s="80" t="str">
        <f>IFERROR(__xludf.DUMMYFUNCTION("""COMPUTED_VALUE"""),"Sumatera Selatan")</f>
        <v>Sumatera Selatan</v>
      </c>
      <c r="AA817" s="80" t="str">
        <f>IFERROR(__xludf.DUMMYFUNCTION("""COMPUTED_VALUE"""),"31214")</f>
        <v>31214</v>
      </c>
      <c r="AB817" s="80" t="str">
        <f>IFERROR(__xludf.DUMMYFUNCTION("""COMPUTED_VALUE"""),"1610040706930003")</f>
        <v>1610040706930003</v>
      </c>
      <c r="AC817" s="80" t="str">
        <f>IFERROR(__xludf.DUMMYFUNCTION("""COMPUTED_VALUE"""),"98.112.622.0-312.000")</f>
        <v>98.112.622.0-312.000</v>
      </c>
      <c r="AD817" s="80" t="str">
        <f>IFERROR(__xludf.DUMMYFUNCTION("""COMPUTED_VALUE"""),"CUM - PS - DIAN")</f>
        <v>CUM - PS - DIAN</v>
      </c>
      <c r="AE817" s="80" t="str">
        <f>IFERROR(__xludf.DUMMYFUNCTION("""COMPUTED_VALUE"""),"PAK YUNUS SUKRI KC PRABUMULIH")</f>
        <v>PAK YUNUS SUKRI KC PRABUMULIH</v>
      </c>
      <c r="AF817" s="80" t="str">
        <f>IFERROR(__xludf.DUMMYFUNCTION("""COMPUTED_VALUE"""),"082180790230")</f>
        <v>082180790230</v>
      </c>
      <c r="AG817" s="80"/>
      <c r="AH817" s="80" t="str">
        <f>IFERROR(__xludf.DUMMYFUNCTION("""COMPUTED_VALUE"""),"bsnku178@gmail.com")</f>
        <v>bsnku178@gmail.com</v>
      </c>
      <c r="AI817" s="80" t="str">
        <f>IFERROR(__xludf.DUMMYFUNCTION("""COMPUTED_VALUE"""),"31263S1")</f>
        <v>31263S1</v>
      </c>
      <c r="AJ817" s="80" t="str">
        <f>IFERROR(__xludf.DUMMYFUNCTION("""COMPUTED_VALUE"""),"69af8783982e923f920831c0")</f>
        <v>69af8783982e923f920831c0</v>
      </c>
      <c r="AK817" s="80" t="str">
        <f>IFERROR(__xludf.DUMMYFUNCTION("""COMPUTED_VALUE"""),"bsnku178@gmail.com")</f>
        <v>bsnku178@gmail.com</v>
      </c>
      <c r="AL817" s="80" t="str">
        <f>IFERROR(__xludf.DUMMYFUNCTION("""COMPUTED_VALUE"""),"#Muc31263S1%")</f>
        <v>#Muc31263S1%</v>
      </c>
      <c r="AM817" s="80" t="str">
        <f>IFERROR(__xludf.DUMMYFUNCTION("""COMPUTED_VALUE"""),"KANTOR REGIONAL I MEDAN 20004")</f>
        <v>KANTOR REGIONAL I MEDAN 20004</v>
      </c>
      <c r="AN817" s="80" t="str">
        <f>IFERROR(__xludf.DUMMYFUNCTION("""COMPUTED_VALUE"""),"KC PRABUMULIH")</f>
        <v>KC PRABUMULIH</v>
      </c>
      <c r="AO817" s="80" t="str">
        <f>IFERROR(__xludf.DUMMYFUNCTION("""COMPUTED_VALUE"""),"MENYUSUL")</f>
        <v>MENYUSUL</v>
      </c>
      <c r="AP817" s="80" t="str">
        <f>IFERROR(__xludf.DUMMYFUNCTION("""COMPUTED_VALUE"""),"MENYUSUL")</f>
        <v>MENYUSUL</v>
      </c>
      <c r="AQ817" s="83"/>
      <c r="AR817" s="80"/>
      <c r="AS817" s="80"/>
      <c r="AT817" s="80" t="str">
        <f>IFERROR(__xludf.DUMMYFUNCTION("""COMPUTED_VALUE"""),"-3.2507724")</f>
        <v>-3.2507724</v>
      </c>
      <c r="AU817" s="80" t="str">
        <f>IFERROR(__xludf.DUMMYFUNCTION("""COMPUTED_VALUE"""),"104.0587253")</f>
        <v>104.0587253</v>
      </c>
      <c r="AV817" s="80"/>
      <c r="AW817" s="80"/>
      <c r="AX817" s="80"/>
      <c r="AY817" s="80"/>
      <c r="AZ817" s="80"/>
      <c r="BA817" s="80"/>
      <c r="BB817" s="80"/>
      <c r="BC817" s="80"/>
      <c r="BD817" s="80"/>
      <c r="BE817" s="80"/>
      <c r="BF817" s="80"/>
      <c r="BG817" s="80"/>
      <c r="BH817" s="80"/>
      <c r="BI817" s="80"/>
      <c r="BJ817" s="80"/>
      <c r="BK817" s="80"/>
      <c r="BL817" s="80"/>
      <c r="BM817" s="80"/>
      <c r="BN817" s="80"/>
      <c r="BO817" s="80"/>
      <c r="BP817" s="80"/>
      <c r="BQ817" s="80"/>
      <c r="BR817" s="80"/>
      <c r="BS817" s="80"/>
      <c r="BT817" s="80"/>
      <c r="BU817" s="80"/>
      <c r="BV817" s="80"/>
      <c r="BW817" s="80"/>
      <c r="BX817" s="80" t="str">
        <f>IFERROR(__xludf.DUMMYFUNCTION("""COMPUTED_VALUE"""),"NEWBIE")</f>
        <v>NEWBIE</v>
      </c>
      <c r="BY817" s="80"/>
      <c r="BZ817" s="80"/>
      <c r="CA817" s="80"/>
      <c r="CB817" s="80"/>
      <c r="CC817" s="80"/>
      <c r="CD817" s="80"/>
      <c r="CE817" s="80"/>
      <c r="CF817" s="80"/>
      <c r="CG817" s="80"/>
      <c r="CH817" s="80"/>
      <c r="CI817" s="80"/>
      <c r="CJ817" s="80"/>
      <c r="CK817" s="2"/>
    </row>
    <row r="818" ht="12.75" customHeight="1">
      <c r="A818" s="85">
        <f>IFERROR(__xludf.DUMMYFUNCTION("""COMPUTED_VALUE"""),814.0)</f>
        <v>814</v>
      </c>
      <c r="B818" s="85"/>
      <c r="C818" s="85"/>
      <c r="D818" s="86">
        <f>IFERROR(__xludf.DUMMYFUNCTION("""COMPUTED_VALUE"""),46056.0)</f>
        <v>46056</v>
      </c>
      <c r="E818" s="88"/>
      <c r="F818" s="85"/>
      <c r="G818" s="86">
        <f>IFERROR(__xludf.DUMMYFUNCTION("""COMPUTED_VALUE"""),46073.0)</f>
        <v>46073</v>
      </c>
      <c r="H818" s="85"/>
      <c r="I818" s="85"/>
      <c r="J818" s="85"/>
      <c r="K818" s="85"/>
      <c r="L818" s="85">
        <f>IFERROR(__xludf.DUMMYFUNCTION("""COMPUTED_VALUE"""),17.0)</f>
        <v>17</v>
      </c>
      <c r="M818" s="85" t="str">
        <f>IFERROR(__xludf.DUMMYFUNCTION("""COMPUTED_VALUE"""),"ü")</f>
        <v>ü</v>
      </c>
      <c r="N818" s="85"/>
      <c r="O818" s="85"/>
      <c r="P818" s="85" t="str">
        <f>IFERROR(__xludf.DUMMYFUNCTION("""COMPUTED_VALUE"""),"MUCSPA63366PSIND")</f>
        <v>MUCSPA63366PSIND</v>
      </c>
      <c r="Q818" s="85" t="str">
        <f>IFERROR(__xludf.DUMMYFUNCTION("""COMPUTED_VALUE"""),"MUC SOLUSI PAKET")</f>
        <v>MUC SOLUSI PAKET</v>
      </c>
      <c r="R818" s="85" t="str">
        <f>IFERROR(__xludf.DUMMYFUNCTION("""COMPUTED_VALUE"""),"MUC SOLUSI PAKET")</f>
        <v>MUC SOLUSI PAKET</v>
      </c>
      <c r="S818" s="85" t="str">
        <f>IFERROR(__xludf.DUMMYFUNCTION("""COMPUTED_VALUE"""),"Eka Aditia")</f>
        <v>Eka Aditia</v>
      </c>
      <c r="T818" s="85" t="str">
        <f>IFERROR(__xludf.DUMMYFUNCTION("""COMPUTED_VALUE"""),"Griya Buaran Indah C53, Kradenan, Pekalongan.")</f>
        <v>Griya Buaran Indah C53, Kradenan, Pekalongan.</v>
      </c>
      <c r="U818" s="85" t="str">
        <f>IFERROR(__xludf.DUMMYFUNCTION("""COMPUTED_VALUE"""),"Jln. Hos Cokroaminoto no.324, Kuripan Lor, Yosorejo RT02 RW05.")</f>
        <v>Jln. Hos Cokroaminoto no.324, Kuripan Lor, Yosorejo RT02 RW05.</v>
      </c>
      <c r="V818" s="85"/>
      <c r="W818" s="85" t="str">
        <f>IFERROR(__xludf.DUMMYFUNCTION("""COMPUTED_VALUE"""),"Kuripan Lor")</f>
        <v>Kuripan Lor</v>
      </c>
      <c r="X818" s="85" t="str">
        <f>IFERROR(__xludf.DUMMYFUNCTION("""COMPUTED_VALUE"""),"Pekalongan Selatan ")</f>
        <v>Pekalongan Selatan </v>
      </c>
      <c r="Y818" s="85" t="str">
        <f>IFERROR(__xludf.DUMMYFUNCTION("""COMPUTED_VALUE"""),"Pekalongan")</f>
        <v>Pekalongan</v>
      </c>
      <c r="Z818" s="85" t="str">
        <f>IFERROR(__xludf.DUMMYFUNCTION("""COMPUTED_VALUE"""),"Jawa Tengah")</f>
        <v>Jawa Tengah</v>
      </c>
      <c r="AA818" s="85" t="str">
        <f>IFERROR(__xludf.DUMMYFUNCTION("""COMPUTED_VALUE"""),"51136")</f>
        <v>51136</v>
      </c>
      <c r="AB818" s="85" t="str">
        <f>IFERROR(__xludf.DUMMYFUNCTION("""COMPUTED_VALUE"""),"3375032806870004")</f>
        <v>3375032806870004</v>
      </c>
      <c r="AC818" s="85" t="str">
        <f>IFERROR(__xludf.DUMMYFUNCTION("""COMPUTED_VALUE"""),"57.376.934.6-502.000")</f>
        <v>57.376.934.6-502.000</v>
      </c>
      <c r="AD818" s="85" t="str">
        <f>IFERROR(__xludf.DUMMYFUNCTION("""COMPUTED_VALUE"""),"NON KORGEN")</f>
        <v>NON KORGEN</v>
      </c>
      <c r="AE818" s="85" t="str">
        <f>IFERROR(__xludf.DUMMYFUNCTION("""COMPUTED_VALUE"""),"BU RISKA KCU PEKALONGAN")</f>
        <v>BU RISKA KCU PEKALONGAN</v>
      </c>
      <c r="AF818" s="85" t="str">
        <f>IFERROR(__xludf.DUMMYFUNCTION("""COMPUTED_VALUE"""),"085642872721")</f>
        <v>085642872721</v>
      </c>
      <c r="AG818" s="85"/>
      <c r="AH818" s="85" t="str">
        <f>IFERROR(__xludf.DUMMYFUNCTION("""COMPUTED_VALUE"""),"fortuneaditia@yahoo.co.id ")</f>
        <v>fortuneaditia@yahoo.co.id </v>
      </c>
      <c r="AI818" s="85" t="str">
        <f>IFERROR(__xludf.DUMMYFUNCTION("""COMPUTED_VALUE"""),"51136S1")</f>
        <v>51136S1</v>
      </c>
      <c r="AJ818" s="85" t="str">
        <f>IFERROR(__xludf.DUMMYFUNCTION("""COMPUTED_VALUE"""),"6997aac358b91d87bc02c507")</f>
        <v>6997aac358b91d87bc02c507</v>
      </c>
      <c r="AK818" s="85" t="str">
        <f>IFERROR(__xludf.DUMMYFUNCTION("""COMPUTED_VALUE"""),"fortuneaditia@yahoo.co.id")</f>
        <v>fortuneaditia@yahoo.co.id</v>
      </c>
      <c r="AL818" s="85" t="str">
        <f>IFERROR(__xludf.DUMMYFUNCTION("""COMPUTED_VALUE"""),"#Muc51136S1$")</f>
        <v>#Muc51136S1$</v>
      </c>
      <c r="AM818" s="85" t="str">
        <f>IFERROR(__xludf.DUMMYFUNCTION("""COMPUTED_VALUE"""),"KANTOR REGIONAL IV SEMARANG 50004")</f>
        <v>KANTOR REGIONAL IV SEMARANG 50004</v>
      </c>
      <c r="AN818" s="85" t="str">
        <f>IFERROR(__xludf.DUMMYFUNCTION("""COMPUTED_VALUE"""),"KCU PEKALONGAN")</f>
        <v>KCU PEKALONGAN</v>
      </c>
      <c r="AO818" s="85" t="str">
        <f>IFERROR(__xludf.DUMMYFUNCTION("""COMPUTED_VALUE"""),"MENYUSUL")</f>
        <v>MENYUSUL</v>
      </c>
      <c r="AP818" s="85" t="str">
        <f>IFERROR(__xludf.DUMMYFUNCTION("""COMPUTED_VALUE"""),"MENYUSUL")</f>
        <v>MENYUSUL</v>
      </c>
      <c r="AQ818" s="93"/>
      <c r="AR818" s="85"/>
      <c r="AS818" s="85"/>
      <c r="AT818" s="85" t="str">
        <f>IFERROR(__xludf.DUMMYFUNCTION("""COMPUTED_VALUE"""),"-6.919227")</f>
        <v>-6.919227</v>
      </c>
      <c r="AU818" s="85" t="str">
        <f>IFERROR(__xludf.DUMMYFUNCTION("""COMPUTED_VALUE"""),"109.676195")</f>
        <v>109.676195</v>
      </c>
      <c r="AV818" s="85"/>
      <c r="AW818" s="85"/>
      <c r="AX818" s="85"/>
      <c r="AY818" s="85"/>
      <c r="AZ818" s="85"/>
      <c r="BA818" s="85"/>
      <c r="BB818" s="85"/>
      <c r="BC818" s="85"/>
      <c r="BD818" s="85"/>
      <c r="BE818" s="85"/>
      <c r="BF818" s="85"/>
      <c r="BG818" s="85"/>
      <c r="BH818" s="85"/>
      <c r="BI818" s="85"/>
      <c r="BJ818" s="85"/>
      <c r="BK818" s="85"/>
      <c r="BL818" s="85"/>
      <c r="BM818" s="85"/>
      <c r="BN818" s="85"/>
      <c r="BO818" s="85"/>
      <c r="BP818" s="85"/>
      <c r="BQ818" s="85"/>
      <c r="BR818" s="85"/>
      <c r="BS818" s="85"/>
      <c r="BT818" s="85"/>
      <c r="BU818" s="85"/>
      <c r="BV818" s="85"/>
      <c r="BW818" s="85"/>
      <c r="BX818" s="85" t="str">
        <f>IFERROR(__xludf.DUMMYFUNCTION("""COMPUTED_VALUE"""),"MULTIKURIR - JNE - LION PARCEL")</f>
        <v>MULTIKURIR - JNE - LION PARCEL</v>
      </c>
      <c r="BY818" s="85"/>
      <c r="BZ818" s="85"/>
      <c r="CA818" s="85"/>
      <c r="CB818" s="85"/>
      <c r="CC818" s="85"/>
      <c r="CD818" s="85"/>
      <c r="CE818" s="85"/>
      <c r="CF818" s="85"/>
      <c r="CG818" s="85"/>
      <c r="CH818" s="85"/>
      <c r="CI818" s="85"/>
      <c r="CJ818" s="85"/>
      <c r="CK818" s="2"/>
    </row>
    <row r="819" ht="12.75" customHeight="1">
      <c r="A819" s="80">
        <f>IFERROR(__xludf.DUMMYFUNCTION("""COMPUTED_VALUE"""),815.0)</f>
        <v>815</v>
      </c>
      <c r="B819" s="80"/>
      <c r="C819" s="80"/>
      <c r="D819" s="81">
        <f>IFERROR(__xludf.DUMMYFUNCTION("""COMPUTED_VALUE"""),46056.0)</f>
        <v>46056</v>
      </c>
      <c r="E819" s="82"/>
      <c r="F819" s="80"/>
      <c r="G819" s="81">
        <f>IFERROR(__xludf.DUMMYFUNCTION("""COMPUTED_VALUE"""),46080.0)</f>
        <v>46080</v>
      </c>
      <c r="H819" s="80"/>
      <c r="I819" s="80"/>
      <c r="J819" s="80"/>
      <c r="K819" s="80"/>
      <c r="L819" s="80">
        <f>IFERROR(__xludf.DUMMYFUNCTION("""COMPUTED_VALUE"""),24.0)</f>
        <v>24</v>
      </c>
      <c r="M819" s="80" t="str">
        <f>IFERROR(__xludf.DUMMYFUNCTION("""COMPUTED_VALUE"""),"ü")</f>
        <v>ü</v>
      </c>
      <c r="N819" s="80"/>
      <c r="O819" s="80"/>
      <c r="P819" s="80" t="str">
        <f>IFERROR(__xludf.DUMMYFUNCTION("""COMPUTED_VALUE"""),"MUCSPA63367PSIND")</f>
        <v>MUCSPA63367PSIND</v>
      </c>
      <c r="Q819" s="80" t="str">
        <f>IFERROR(__xludf.DUMMYFUNCTION("""COMPUTED_VALUE"""),"MUC GRIYA HIJAU")</f>
        <v>MUC GRIYA HIJAU</v>
      </c>
      <c r="R819" s="80" t="str">
        <f>IFERROR(__xludf.DUMMYFUNCTION("""COMPUTED_VALUE"""),"MUC GRIYA HIJAU")</f>
        <v>MUC GRIYA HIJAU</v>
      </c>
      <c r="S819" s="80" t="str">
        <f>IFERROR(__xludf.DUMMYFUNCTION("""COMPUTED_VALUE"""),"MELATI MUKSIN")</f>
        <v>MELATI MUKSIN</v>
      </c>
      <c r="T819" s="80" t="str">
        <f>IFERROR(__xludf.DUMMYFUNCTION("""COMPUTED_VALUE"""),"JL. D. RAYA NO.12 KR. ANYAR RT.012 RW.005 ")</f>
        <v>JL. D. RAYA NO.12 KR. ANYAR RT.012 RW.005 </v>
      </c>
      <c r="U819" s="80" t="str">
        <f>IFERROR(__xludf.DUMMYFUNCTION("""COMPUTED_VALUE"""),"Jl. Griya Hijau No.69")</f>
        <v>Jl. Griya Hijau No.69</v>
      </c>
      <c r="V819" s="80"/>
      <c r="W819" s="80" t="str">
        <f>IFERROR(__xludf.DUMMYFUNCTION("""COMPUTED_VALUE"""),"Pakualam")</f>
        <v>Pakualam</v>
      </c>
      <c r="X819" s="80" t="str">
        <f>IFERROR(__xludf.DUMMYFUNCTION("""COMPUTED_VALUE"""),"Serpong Utara")</f>
        <v>Serpong Utara</v>
      </c>
      <c r="Y819" s="80" t="str">
        <f>IFERROR(__xludf.DUMMYFUNCTION("""COMPUTED_VALUE"""),"Tangerang Selatan")</f>
        <v>Tangerang Selatan</v>
      </c>
      <c r="Z819" s="80" t="str">
        <f>IFERROR(__xludf.DUMMYFUNCTION("""COMPUTED_VALUE"""),"Banten ")</f>
        <v>Banten </v>
      </c>
      <c r="AA819" s="80" t="str">
        <f>IFERROR(__xludf.DUMMYFUNCTION("""COMPUTED_VALUE"""),"15320")</f>
        <v>15320</v>
      </c>
      <c r="AB819" s="80" t="str">
        <f>IFERROR(__xludf.DUMMYFUNCTION("""COMPUTED_VALUE"""),"3171025110700001")</f>
        <v>3171025110700001</v>
      </c>
      <c r="AC819" s="80" t="str">
        <f>IFERROR(__xludf.DUMMYFUNCTION("""COMPUTED_VALUE"""),"3171 0251 1070 0001")</f>
        <v>3171 0251 1070 0001</v>
      </c>
      <c r="AD819" s="80" t="str">
        <f>IFERROR(__xludf.DUMMYFUNCTION("""COMPUTED_VALUE"""),"PAK HUSNI TANGSEL")</f>
        <v>PAK HUSNI TANGSEL</v>
      </c>
      <c r="AE819" s="80" t="str">
        <f>IFERROR(__xludf.DUMMYFUNCTION("""COMPUTED_VALUE"""),"PAK HUSNI TANGSEL")</f>
        <v>PAK HUSNI TANGSEL</v>
      </c>
      <c r="AF819" s="80" t="str">
        <f>IFERROR(__xludf.DUMMYFUNCTION("""COMPUTED_VALUE"""),"085691417932")</f>
        <v>085691417932</v>
      </c>
      <c r="AG819" s="80"/>
      <c r="AH819" s="80" t="str">
        <f>IFERROR(__xludf.DUMMYFUNCTION("""COMPUTED_VALUE"""),"kantorposgriyahijau@gmail.com")</f>
        <v>kantorposgriyahijau@gmail.com</v>
      </c>
      <c r="AI819" s="80" t="str">
        <f>IFERROR(__xludf.DUMMYFUNCTION("""COMPUTED_VALUE"""),"15335S2")</f>
        <v>15335S2</v>
      </c>
      <c r="AJ819" s="80" t="str">
        <f>IFERROR(__xludf.DUMMYFUNCTION("""COMPUTED_VALUE"""),"69913380ac0a69ff1e07398c")</f>
        <v>69913380ac0a69ff1e07398c</v>
      </c>
      <c r="AK819" s="80" t="str">
        <f>IFERROR(__xludf.DUMMYFUNCTION("""COMPUTED_VALUE"""),"kantorposgriyahijau@gmail.com ")</f>
        <v>kantorposgriyahijau@gmail.com </v>
      </c>
      <c r="AL819" s="80" t="str">
        <f>IFERROR(__xludf.DUMMYFUNCTION("""COMPUTED_VALUE"""),"!Muc15335S2%*")</f>
        <v>!Muc15335S2%*</v>
      </c>
      <c r="AM819" s="80" t="str">
        <f>IFERROR(__xludf.DUMMYFUNCTION("""COMPUTED_VALUE"""),"KANTOR REGIONAL II JAKARTA 10004")</f>
        <v>KANTOR REGIONAL II JAKARTA 10004</v>
      </c>
      <c r="AN819" s="80" t="str">
        <f>IFERROR(__xludf.DUMMYFUNCTION("""COMPUTED_VALUE"""),"KC TANGERANG SELATAN")</f>
        <v>KC TANGERANG SELATAN</v>
      </c>
      <c r="AO819" s="80" t="str">
        <f>IFERROR(__xludf.DUMMYFUNCTION("""COMPUTED_VALUE"""),"MENYUSUL")</f>
        <v>MENYUSUL</v>
      </c>
      <c r="AP819" s="80" t="str">
        <f>IFERROR(__xludf.DUMMYFUNCTION("""COMPUTED_VALUE"""),"MENYUSUL")</f>
        <v>MENYUSUL</v>
      </c>
      <c r="AQ819" s="83"/>
      <c r="AR819" s="80"/>
      <c r="AS819" s="80"/>
      <c r="AT819" s="80" t="str">
        <f>IFERROR(__xludf.DUMMYFUNCTION("""COMPUTED_VALUE"""),"-6.2349793")</f>
        <v>-6.2349793</v>
      </c>
      <c r="AU819" s="80" t="str">
        <f>IFERROR(__xludf.DUMMYFUNCTION("""COMPUTED_VALUE"""),"106.6654478")</f>
        <v>106.6654478</v>
      </c>
      <c r="AV819" s="80"/>
      <c r="AW819" s="80"/>
      <c r="AX819" s="80"/>
      <c r="AY819" s="80"/>
      <c r="AZ819" s="80"/>
      <c r="BA819" s="80"/>
      <c r="BB819" s="80"/>
      <c r="BC819" s="80"/>
      <c r="BD819" s="80"/>
      <c r="BE819" s="80"/>
      <c r="BF819" s="80"/>
      <c r="BG819" s="80"/>
      <c r="BH819" s="80"/>
      <c r="BI819" s="80"/>
      <c r="BJ819" s="80"/>
      <c r="BK819" s="80"/>
      <c r="BL819" s="80"/>
      <c r="BM819" s="80"/>
      <c r="BN819" s="80"/>
      <c r="BO819" s="80"/>
      <c r="BP819" s="80"/>
      <c r="BQ819" s="80"/>
      <c r="BR819" s="80"/>
      <c r="BS819" s="80"/>
      <c r="BT819" s="80"/>
      <c r="BU819" s="80"/>
      <c r="BV819" s="80"/>
      <c r="BW819" s="80"/>
      <c r="BX819" s="80" t="str">
        <f>IFERROR(__xludf.DUMMYFUNCTION("""COMPUTED_VALUE"""),"MULTIKURIR - JNT")</f>
        <v>MULTIKURIR - JNT</v>
      </c>
      <c r="BY819" s="80"/>
      <c r="BZ819" s="80"/>
      <c r="CA819" s="80"/>
      <c r="CB819" s="80"/>
      <c r="CC819" s="80"/>
      <c r="CD819" s="80"/>
      <c r="CE819" s="80"/>
      <c r="CF819" s="80"/>
      <c r="CG819" s="80"/>
      <c r="CH819" s="80"/>
      <c r="CI819" s="80"/>
      <c r="CJ819" s="80"/>
      <c r="CK819" s="2"/>
    </row>
    <row r="820" ht="12.75" customHeight="1">
      <c r="A820" s="85">
        <f>IFERROR(__xludf.DUMMYFUNCTION("""COMPUTED_VALUE"""),816.0)</f>
        <v>816</v>
      </c>
      <c r="B820" s="85"/>
      <c r="C820" s="85"/>
      <c r="D820" s="86">
        <f>IFERROR(__xludf.DUMMYFUNCTION("""COMPUTED_VALUE"""),46058.0)</f>
        <v>46058</v>
      </c>
      <c r="E820" s="88"/>
      <c r="F820" s="85"/>
      <c r="G820" s="86">
        <f>IFERROR(__xludf.DUMMYFUNCTION("""COMPUTED_VALUE"""),46076.0)</f>
        <v>46076</v>
      </c>
      <c r="H820" s="85"/>
      <c r="I820" s="85"/>
      <c r="J820" s="85"/>
      <c r="K820" s="85"/>
      <c r="L820" s="85">
        <f>IFERROR(__xludf.DUMMYFUNCTION("""COMPUTED_VALUE"""),18.0)</f>
        <v>18</v>
      </c>
      <c r="M820" s="85" t="str">
        <f>IFERROR(__xludf.DUMMYFUNCTION("""COMPUTED_VALUE"""),"ü")</f>
        <v>ü</v>
      </c>
      <c r="N820" s="85"/>
      <c r="O820" s="85"/>
      <c r="P820" s="85" t="str">
        <f>IFERROR(__xludf.DUMMYFUNCTION("""COMPUTED_VALUE"""),"MUCSPA63368PSIND")</f>
        <v>MUCSPA63368PSIND</v>
      </c>
      <c r="Q820" s="85" t="str">
        <f>IFERROR(__xludf.DUMMYFUNCTION("""COMPUTED_VALUE"""),"MUC Toko Rida")</f>
        <v>MUC Toko Rida</v>
      </c>
      <c r="R820" s="85" t="str">
        <f>IFERROR(__xludf.DUMMYFUNCTION("""COMPUTED_VALUE"""),"MUC Toko Rida")</f>
        <v>MUC Toko Rida</v>
      </c>
      <c r="S820" s="85" t="str">
        <f>IFERROR(__xludf.DUMMYFUNCTION("""COMPUTED_VALUE"""),"Asep")</f>
        <v>Asep</v>
      </c>
      <c r="T820" s="85" t="str">
        <f>IFERROR(__xludf.DUMMYFUNCTION("""COMPUTED_VALUE"""),"Kp. Pekopen Barat Rt.001/004, Kel. Lambang Jaya, Tambun Selatan")</f>
        <v>Kp. Pekopen Barat Rt.001/004, Kel. Lambang Jaya, Tambun Selatan</v>
      </c>
      <c r="U820" s="85" t="str">
        <f>IFERROR(__xludf.DUMMYFUNCTION("""COMPUTED_VALUE"""),"Kp. Pekopen Barat Rt.001/004")</f>
        <v>Kp. Pekopen Barat Rt.001/004</v>
      </c>
      <c r="V820" s="85"/>
      <c r="W820" s="85" t="str">
        <f>IFERROR(__xludf.DUMMYFUNCTION("""COMPUTED_VALUE"""),"Lambang Jaya")</f>
        <v>Lambang Jaya</v>
      </c>
      <c r="X820" s="85" t="str">
        <f>IFERROR(__xludf.DUMMYFUNCTION("""COMPUTED_VALUE"""),"Tambun Selatan")</f>
        <v>Tambun Selatan</v>
      </c>
      <c r="Y820" s="85" t="str">
        <f>IFERROR(__xludf.DUMMYFUNCTION("""COMPUTED_VALUE"""),"Bekasi")</f>
        <v>Bekasi</v>
      </c>
      <c r="Z820" s="85" t="str">
        <f>IFERROR(__xludf.DUMMYFUNCTION("""COMPUTED_VALUE"""),"Jawa Barat")</f>
        <v>Jawa Barat</v>
      </c>
      <c r="AA820" s="85" t="str">
        <f>IFERROR(__xludf.DUMMYFUNCTION("""COMPUTED_VALUE"""),"17510")</f>
        <v>17510</v>
      </c>
      <c r="AB820" s="85" t="str">
        <f>IFERROR(__xludf.DUMMYFUNCTION("""COMPUTED_VALUE"""),"3216060512820013")</f>
        <v>3216060512820013</v>
      </c>
      <c r="AC820" s="85" t="str">
        <f>IFERROR(__xludf.DUMMYFUNCTION("""COMPUTED_VALUE"""),"576543599435000")</f>
        <v>576543599435000</v>
      </c>
      <c r="AD820" s="85" t="str">
        <f>IFERROR(__xludf.DUMMYFUNCTION("""COMPUTED_VALUE"""),"PAK RENDRA KC CIKARANG")</f>
        <v>PAK RENDRA KC CIKARANG</v>
      </c>
      <c r="AE820" s="85" t="str">
        <f>IFERROR(__xludf.DUMMYFUNCTION("""COMPUTED_VALUE"""),"PAK RENDRA KC CIKARANG")</f>
        <v>PAK RENDRA KC CIKARANG</v>
      </c>
      <c r="AF820" s="85" t="str">
        <f>IFERROR(__xludf.DUMMYFUNCTION("""COMPUTED_VALUE"""),"082125729587")</f>
        <v>082125729587</v>
      </c>
      <c r="AG820" s="85"/>
      <c r="AH820" s="85" t="str">
        <f>IFERROR(__xludf.DUMMYFUNCTION("""COMPUTED_VALUE"""),"srizayyan0102@gmail.com")</f>
        <v>srizayyan0102@gmail.com</v>
      </c>
      <c r="AI820" s="85" t="str">
        <f>IFERROR(__xludf.DUMMYFUNCTION("""COMPUTED_VALUE"""),"17514S3")</f>
        <v>17514S3</v>
      </c>
      <c r="AJ820" s="85" t="str">
        <f>IFERROR(__xludf.DUMMYFUNCTION("""COMPUTED_VALUE"""),"699922bb85cc91934504e741")</f>
        <v>699922bb85cc91934504e741</v>
      </c>
      <c r="AK820" s="85" t="str">
        <f>IFERROR(__xludf.DUMMYFUNCTION("""COMPUTED_VALUE"""),"srizayyan0102@gmail.com")</f>
        <v>srizayyan0102@gmail.com</v>
      </c>
      <c r="AL820" s="85" t="str">
        <f>IFERROR(__xludf.DUMMYFUNCTION("""COMPUTED_VALUE"""),"#Muc17514S3%")</f>
        <v>#Muc17514S3%</v>
      </c>
      <c r="AM820" s="85" t="str">
        <f>IFERROR(__xludf.DUMMYFUNCTION("""COMPUTED_VALUE"""),"KANTOR REGIONAL IV SEMARANG 50004")</f>
        <v>KANTOR REGIONAL IV SEMARANG 50004</v>
      </c>
      <c r="AN820" s="85" t="str">
        <f>IFERROR(__xludf.DUMMYFUNCTION("""COMPUTED_VALUE"""),"KC CIKARANG 17500")</f>
        <v>KC CIKARANG 17500</v>
      </c>
      <c r="AO820" s="85" t="str">
        <f>IFERROR(__xludf.DUMMYFUNCTION("""COMPUTED_VALUE"""),"MENYUSUL")</f>
        <v>MENYUSUL</v>
      </c>
      <c r="AP820" s="85" t="str">
        <f>IFERROR(__xludf.DUMMYFUNCTION("""COMPUTED_VALUE"""),"MENYUSUL")</f>
        <v>MENYUSUL</v>
      </c>
      <c r="AQ820" s="93"/>
      <c r="AR820" s="85"/>
      <c r="AS820" s="85"/>
      <c r="AT820" s="85" t="str">
        <f>IFERROR(__xludf.DUMMYFUNCTION("""COMPUTED_VALUE"""),"-6.284888")</f>
        <v>-6.284888</v>
      </c>
      <c r="AU820" s="85" t="str">
        <f>IFERROR(__xludf.DUMMYFUNCTION("""COMPUTED_VALUE"""),"107.050547")</f>
        <v>107.050547</v>
      </c>
      <c r="AV820" s="85"/>
      <c r="AW820" s="85"/>
      <c r="AX820" s="85"/>
      <c r="AY820" s="85"/>
      <c r="AZ820" s="85"/>
      <c r="BA820" s="85"/>
      <c r="BB820" s="85"/>
      <c r="BC820" s="85"/>
      <c r="BD820" s="85"/>
      <c r="BE820" s="85"/>
      <c r="BF820" s="85"/>
      <c r="BG820" s="85"/>
      <c r="BH820" s="85"/>
      <c r="BI820" s="85"/>
      <c r="BJ820" s="85"/>
      <c r="BK820" s="85"/>
      <c r="BL820" s="85"/>
      <c r="BM820" s="85"/>
      <c r="BN820" s="85"/>
      <c r="BO820" s="85"/>
      <c r="BP820" s="85"/>
      <c r="BQ820" s="85"/>
      <c r="BR820" s="85"/>
      <c r="BS820" s="85"/>
      <c r="BT820" s="85"/>
      <c r="BU820" s="85"/>
      <c r="BV820" s="85"/>
      <c r="BW820" s="85"/>
      <c r="BX820" s="85" t="str">
        <f>IFERROR(__xludf.DUMMYFUNCTION("""COMPUTED_VALUE"""),"NEWBIE")</f>
        <v>NEWBIE</v>
      </c>
      <c r="BY820" s="85"/>
      <c r="BZ820" s="85"/>
      <c r="CA820" s="85"/>
      <c r="CB820" s="85"/>
      <c r="CC820" s="85"/>
      <c r="CD820" s="85"/>
      <c r="CE820" s="85"/>
      <c r="CF820" s="85"/>
      <c r="CG820" s="85"/>
      <c r="CH820" s="85"/>
      <c r="CI820" s="85"/>
      <c r="CJ820" s="85"/>
      <c r="CK820" s="2"/>
    </row>
    <row r="821" ht="12.75" customHeight="1">
      <c r="A821" s="80">
        <f>IFERROR(__xludf.DUMMYFUNCTION("""COMPUTED_VALUE"""),817.0)</f>
        <v>817</v>
      </c>
      <c r="B821" s="80"/>
      <c r="C821" s="80"/>
      <c r="D821" s="81">
        <f>IFERROR(__xludf.DUMMYFUNCTION("""COMPUTED_VALUE"""),46028.0)</f>
        <v>46028</v>
      </c>
      <c r="E821" s="82"/>
      <c r="F821" s="80"/>
      <c r="G821" s="81">
        <f>IFERROR(__xludf.DUMMYFUNCTION("""COMPUTED_VALUE"""),46087.0)</f>
        <v>46087</v>
      </c>
      <c r="H821" s="80"/>
      <c r="I821" s="80"/>
      <c r="J821" s="80"/>
      <c r="K821" s="80"/>
      <c r="L821" s="80">
        <f>IFERROR(__xludf.DUMMYFUNCTION("""COMPUTED_VALUE"""),59.0)</f>
        <v>59</v>
      </c>
      <c r="M821" s="80" t="str">
        <f>IFERROR(__xludf.DUMMYFUNCTION("""COMPUTED_VALUE"""),"ü")</f>
        <v>ü</v>
      </c>
      <c r="N821" s="80"/>
      <c r="O821" s="80"/>
      <c r="P821" s="80" t="str">
        <f>IFERROR(__xludf.DUMMYFUNCTION("""COMPUTED_VALUE"""),"MUCSPA63369PSIND")</f>
        <v>MUCSPA63369PSIND</v>
      </c>
      <c r="Q821" s="80" t="str">
        <f>IFERROR(__xludf.DUMMYFUNCTION("""COMPUTED_VALUE"""),"MUC ACHMADKURNIA 1991")</f>
        <v>MUC ACHMADKURNIA 1991</v>
      </c>
      <c r="R821" s="80" t="str">
        <f>IFERROR(__xludf.DUMMYFUNCTION("""COMPUTED_VALUE"""),"MUC ACHMADKURNIA 1991")</f>
        <v>MUC ACHMADKURNIA 1991</v>
      </c>
      <c r="S821" s="80" t="str">
        <f>IFERROR(__xludf.DUMMYFUNCTION("""COMPUTED_VALUE"""),"ACHMAD KURNIA")</f>
        <v>ACHMAD KURNIA</v>
      </c>
      <c r="T821" s="80" t="str">
        <f>IFERROR(__xludf.DUMMYFUNCTION("""COMPUTED_VALUE"""),"KOMPLEK GEOASRI BLOK A 49A")</f>
        <v>KOMPLEK GEOASRI BLOK A 49A</v>
      </c>
      <c r="U821" s="80" t="str">
        <f>IFERROR(__xludf.DUMMYFUNCTION("""COMPUTED_VALUE"""),"KOMPLEK GEOASRI BLOK A 49A RT 2 RW 1")</f>
        <v>KOMPLEK GEOASRI BLOK A 49A RT 2 RW 1</v>
      </c>
      <c r="V821" s="80"/>
      <c r="W821" s="80" t="str">
        <f>IFERROR(__xludf.DUMMYFUNCTION("""COMPUTED_VALUE"""),"SINDANGLAYA")</f>
        <v>SINDANGLAYA</v>
      </c>
      <c r="X821" s="80" t="str">
        <f>IFERROR(__xludf.DUMMYFUNCTION("""COMPUTED_VALUE"""),"CIMENYAN")</f>
        <v>CIMENYAN</v>
      </c>
      <c r="Y821" s="80" t="str">
        <f>IFERROR(__xludf.DUMMYFUNCTION("""COMPUTED_VALUE"""),"KAB. BANDUNG")</f>
        <v>KAB. BANDUNG</v>
      </c>
      <c r="Z821" s="80" t="str">
        <f>IFERROR(__xludf.DUMMYFUNCTION("""COMPUTED_VALUE"""),"JAWA BARAT")</f>
        <v>JAWA BARAT</v>
      </c>
      <c r="AA821" s="80" t="str">
        <f>IFERROR(__xludf.DUMMYFUNCTION("""COMPUTED_VALUE"""),"40195")</f>
        <v>40195</v>
      </c>
      <c r="AB821" s="80" t="str">
        <f>IFERROR(__xludf.DUMMYFUNCTION("""COMPUTED_VALUE"""),"320461412910003")</f>
        <v>320461412910003</v>
      </c>
      <c r="AC821" s="80" t="str">
        <f>IFERROR(__xludf.DUMMYFUNCTION("""COMPUTED_VALUE"""),"32.040.614.1-291.0003")</f>
        <v>32.040.614.1-291.0003</v>
      </c>
      <c r="AD821" s="80" t="str">
        <f>IFERROR(__xludf.DUMMYFUNCTION("""COMPUTED_VALUE"""),"PAK ZAIN KC UJB")</f>
        <v>PAK ZAIN KC UJB</v>
      </c>
      <c r="AE821" s="80" t="str">
        <f>IFERROR(__xludf.DUMMYFUNCTION("""COMPUTED_VALUE"""),"PAK ZAIN KC UJB")</f>
        <v>PAK ZAIN KC UJB</v>
      </c>
      <c r="AF821" s="80" t="str">
        <f>IFERROR(__xludf.DUMMYFUNCTION("""COMPUTED_VALUE"""),"08996158413")</f>
        <v>08996158413</v>
      </c>
      <c r="AG821" s="80"/>
      <c r="AH821" s="80" t="str">
        <f>IFERROR(__xludf.DUMMYFUNCTION("""COMPUTED_VALUE"""),"achmadkurnia1991@gmail.com")</f>
        <v>achmadkurnia1991@gmail.com</v>
      </c>
      <c r="AI821" s="80" t="str">
        <f>IFERROR(__xludf.DUMMYFUNCTION("""COMPUTED_VALUE"""),"40399S5")</f>
        <v>40399S5</v>
      </c>
      <c r="AJ821" s="80" t="str">
        <f>IFERROR(__xludf.DUMMYFUNCTION("""COMPUTED_VALUE"""),"69a8fd1f7501561c7503b0b6")</f>
        <v>69a8fd1f7501561c7503b0b6</v>
      </c>
      <c r="AK821" s="80" t="str">
        <f>IFERROR(__xludf.DUMMYFUNCTION("""COMPUTED_VALUE"""),"achmadkurnia1991@gmail.com")</f>
        <v>achmadkurnia1991@gmail.com</v>
      </c>
      <c r="AL821" s="80" t="str">
        <f>IFERROR(__xludf.DUMMYFUNCTION("""COMPUTED_VALUE"""),"#Muc40399S5$")</f>
        <v>#Muc40399S5$</v>
      </c>
      <c r="AM821" s="80" t="str">
        <f>IFERROR(__xludf.DUMMYFUNCTION("""COMPUTED_VALUE"""),"KANTOR REGIONAL III BANDUNG 40004")</f>
        <v>KANTOR REGIONAL III BANDUNG 40004</v>
      </c>
      <c r="AN821" s="80" t="str">
        <f>IFERROR(__xludf.DUMMYFUNCTION("""COMPUTED_VALUE"""),"KC UJUNGBERUNG ")</f>
        <v>KC UJUNGBERUNG </v>
      </c>
      <c r="AO821" s="80" t="str">
        <f>IFERROR(__xludf.DUMMYFUNCTION("""COMPUTED_VALUE"""),"2801260277036")</f>
        <v>2801260277036</v>
      </c>
      <c r="AP821" s="80" t="str">
        <f>IFERROR(__xludf.DUMMYFUNCTION("""COMPUTED_VALUE"""),"MENYUSUL")</f>
        <v>MENYUSUL</v>
      </c>
      <c r="AQ821" s="83"/>
      <c r="AR821" s="80"/>
      <c r="AS821" s="80"/>
      <c r="AT821" s="80" t="str">
        <f>IFERROR(__xludf.DUMMYFUNCTION("""COMPUTED_VALUE"""),"-6.8941506")</f>
        <v>-6.8941506</v>
      </c>
      <c r="AU821" s="80" t="str">
        <f>IFERROR(__xludf.DUMMYFUNCTION("""COMPUTED_VALUE"""),"107.6856444")</f>
        <v>107.6856444</v>
      </c>
      <c r="AV821" s="80"/>
      <c r="AW821" s="80"/>
      <c r="AX821" s="80"/>
      <c r="AY821" s="80"/>
      <c r="AZ821" s="80"/>
      <c r="BA821" s="80"/>
      <c r="BB821" s="80"/>
      <c r="BC821" s="80"/>
      <c r="BD821" s="80"/>
      <c r="BE821" s="80"/>
      <c r="BF821" s="80"/>
      <c r="BG821" s="80"/>
      <c r="BH821" s="80"/>
      <c r="BI821" s="80"/>
      <c r="BJ821" s="80"/>
      <c r="BK821" s="80"/>
      <c r="BL821" s="80"/>
      <c r="BM821" s="80"/>
      <c r="BN821" s="80"/>
      <c r="BO821" s="80"/>
      <c r="BP821" s="80"/>
      <c r="BQ821" s="80"/>
      <c r="BR821" s="80"/>
      <c r="BS821" s="80"/>
      <c r="BT821" s="80"/>
      <c r="BU821" s="80"/>
      <c r="BV821" s="80"/>
      <c r="BW821" s="80"/>
      <c r="BX821" s="80" t="str">
        <f>IFERROR(__xludf.DUMMYFUNCTION("""COMPUTED_VALUE"""),"NEWBIE")</f>
        <v>NEWBIE</v>
      </c>
      <c r="BY821" s="80"/>
      <c r="BZ821" s="80"/>
      <c r="CA821" s="80"/>
      <c r="CB821" s="80"/>
      <c r="CC821" s="80"/>
      <c r="CD821" s="80"/>
      <c r="CE821" s="80"/>
      <c r="CF821" s="80"/>
      <c r="CG821" s="80"/>
      <c r="CH821" s="80"/>
      <c r="CI821" s="80"/>
      <c r="CJ821" s="80"/>
      <c r="CK821" s="2"/>
    </row>
    <row r="822" ht="12.75" customHeight="1">
      <c r="A822" s="85">
        <f>IFERROR(__xludf.DUMMYFUNCTION("""COMPUTED_VALUE"""),818.0)</f>
        <v>818</v>
      </c>
      <c r="B822" s="85"/>
      <c r="C822" s="85"/>
      <c r="D822" s="86">
        <f>IFERROR(__xludf.DUMMYFUNCTION("""COMPUTED_VALUE"""),46062.0)</f>
        <v>46062</v>
      </c>
      <c r="E822" s="88"/>
      <c r="F822" s="85"/>
      <c r="G822" s="86"/>
      <c r="H822" s="85"/>
      <c r="I822" s="85"/>
      <c r="J822" s="85"/>
      <c r="K822" s="85"/>
      <c r="L822" s="85"/>
      <c r="M822" s="85"/>
      <c r="N822" s="85" t="str">
        <f>IFERROR(__xludf.DUMMYFUNCTION("""COMPUTED_VALUE"""),"ü")</f>
        <v>ü</v>
      </c>
      <c r="O822" s="85"/>
      <c r="P822" s="85" t="str">
        <f>IFERROR(__xludf.DUMMYFUNCTION("""COMPUTED_VALUE"""),"MLO5500070CUMPOS")</f>
        <v>MLO5500070CUMPOS</v>
      </c>
      <c r="Q822" s="85" t="str">
        <f>IFERROR(__xludf.DUMMYFUNCTION("""COMPUTED_VALUE"""),"[L] MUC AMORE STORE")</f>
        <v>[L] MUC AMORE STORE</v>
      </c>
      <c r="R822" s="85" t="str">
        <f>IFERROR(__xludf.DUMMYFUNCTION("""COMPUTED_VALUE"""),"[L] MUC AMORE STORE")</f>
        <v>[L] MUC AMORE STORE</v>
      </c>
      <c r="S822" s="85" t="str">
        <f>IFERROR(__xludf.DUMMYFUNCTION("""COMPUTED_VALUE"""),"DEDEH KURNIASIH")</f>
        <v>DEDEH KURNIASIH</v>
      </c>
      <c r="T822" s="85" t="str">
        <f>IFERROR(__xludf.DUMMYFUNCTION("""COMPUTED_VALUE"""),"DUSUN KARANG DAWA, RT.003 RW.001 SETUPATOK, MUNDU, KAB. CIREBON")</f>
        <v>DUSUN KARANG DAWA, RT.003 RW.001 SETUPATOK, MUNDU, KAB. CIREBON</v>
      </c>
      <c r="U822" s="85" t="str">
        <f>IFERROR(__xludf.DUMMYFUNCTION("""COMPUTED_VALUE"""),"Jl. Siliwangi No.128-92")</f>
        <v>Jl. Siliwangi No.128-92</v>
      </c>
      <c r="V822" s="85"/>
      <c r="W822" s="85" t="str">
        <f>IFERROR(__xludf.DUMMYFUNCTION("""COMPUTED_VALUE"""),"Cijoho")</f>
        <v>Cijoho</v>
      </c>
      <c r="X822" s="85" t="str">
        <f>IFERROR(__xludf.DUMMYFUNCTION("""COMPUTED_VALUE"""),"Kuningan")</f>
        <v>Kuningan</v>
      </c>
      <c r="Y822" s="85" t="str">
        <f>IFERROR(__xludf.DUMMYFUNCTION("""COMPUTED_VALUE"""),"Kabupaten Kuningan")</f>
        <v>Kabupaten Kuningan</v>
      </c>
      <c r="Z822" s="85" t="str">
        <f>IFERROR(__xludf.DUMMYFUNCTION("""COMPUTED_VALUE"""),"Jawa Barat")</f>
        <v>Jawa Barat</v>
      </c>
      <c r="AA822" s="85" t="str">
        <f>IFERROR(__xludf.DUMMYFUNCTION("""COMPUTED_VALUE"""),"45513")</f>
        <v>45513</v>
      </c>
      <c r="AB822" s="85" t="str">
        <f>IFERROR(__xludf.DUMMYFUNCTION("""COMPUTED_VALUE"""),"3208106712030002")</f>
        <v>3208106712030002</v>
      </c>
      <c r="AC822" s="85" t="str">
        <f>IFERROR(__xludf.DUMMYFUNCTION("""COMPUTED_VALUE"""),"3208 1067 1203 0002")</f>
        <v>3208 1067 1203 0002</v>
      </c>
      <c r="AD822" s="85" t="str">
        <f>IFERROR(__xludf.DUMMYFUNCTION("""COMPUTED_VALUE"""),"CUM - PS - ANO")</f>
        <v>CUM - PS - ANO</v>
      </c>
      <c r="AE822" s="85" t="str">
        <f>IFERROR(__xludf.DUMMYFUNCTION("""COMPUTED_VALUE"""),"SUB ANO WASNO")</f>
        <v>SUB ANO WASNO</v>
      </c>
      <c r="AF822" s="85" t="str">
        <f>IFERROR(__xludf.DUMMYFUNCTION("""COMPUTED_VALUE"""),"0882001576500")</f>
        <v>0882001576500</v>
      </c>
      <c r="AG822" s="85"/>
      <c r="AH822" s="85" t="str">
        <f>IFERROR(__xludf.DUMMYFUNCTION("""COMPUTED_VALUE"""),"dedehhh2712@gmail.com")</f>
        <v>dedehhh2712@gmail.com</v>
      </c>
      <c r="AI822" s="85"/>
      <c r="AJ822" s="85"/>
      <c r="AK822" s="85"/>
      <c r="AL822" s="85"/>
      <c r="AM822" s="85" t="str">
        <f>IFERROR(__xludf.DUMMYFUNCTION("""COMPUTED_VALUE"""),"KANTOR REGIONAL III BANDUNG 40004")</f>
        <v>KANTOR REGIONAL III BANDUNG 40004</v>
      </c>
      <c r="AN822" s="85" t="str">
        <f>IFERROR(__xludf.DUMMYFUNCTION("""COMPUTED_VALUE"""),"KC KUNINGAN")</f>
        <v>KC KUNINGAN</v>
      </c>
      <c r="AO822" s="85" t="str">
        <f>IFERROR(__xludf.DUMMYFUNCTION("""COMPUTED_VALUE"""),"MENYUSUL")</f>
        <v>MENYUSUL</v>
      </c>
      <c r="AP822" s="85" t="str">
        <f>IFERROR(__xludf.DUMMYFUNCTION("""COMPUTED_VALUE"""),"MENYUSUL")</f>
        <v>MENYUSUL</v>
      </c>
      <c r="AQ822" s="93"/>
      <c r="AR822" s="85"/>
      <c r="AS822" s="85"/>
      <c r="AT822" s="85"/>
      <c r="AU822" s="85"/>
      <c r="AV822" s="85"/>
      <c r="AW822" s="85"/>
      <c r="AX822" s="85"/>
      <c r="AY822" s="85"/>
      <c r="AZ822" s="85"/>
      <c r="BA822" s="85"/>
      <c r="BB822" s="85"/>
      <c r="BC822" s="85"/>
      <c r="BD822" s="85"/>
      <c r="BE822" s="85"/>
      <c r="BF822" s="85"/>
      <c r="BG822" s="85"/>
      <c r="BH822" s="85"/>
      <c r="BI822" s="85"/>
      <c r="BJ822" s="85"/>
      <c r="BK822" s="85"/>
      <c r="BL822" s="85"/>
      <c r="BM822" s="85"/>
      <c r="BN822" s="85"/>
      <c r="BO822" s="85"/>
      <c r="BP822" s="85"/>
      <c r="BQ822" s="85"/>
      <c r="BR822" s="85"/>
      <c r="BS822" s="85"/>
      <c r="BT822" s="85"/>
      <c r="BU822" s="85"/>
      <c r="BV822" s="85"/>
      <c r="BW822" s="85"/>
      <c r="BX822" s="85" t="str">
        <f>IFERROR(__xludf.DUMMYFUNCTION("""COMPUTED_VALUE"""),"SELLER LOCK REKENING")</f>
        <v>SELLER LOCK REKENING</v>
      </c>
      <c r="BY822" s="85"/>
      <c r="BZ822" s="85"/>
      <c r="CA822" s="85"/>
      <c r="CB822" s="85"/>
      <c r="CC822" s="85"/>
      <c r="CD822" s="85"/>
      <c r="CE822" s="85"/>
      <c r="CF822" s="85"/>
      <c r="CG822" s="85"/>
      <c r="CH822" s="85"/>
      <c r="CI822" s="85"/>
      <c r="CJ822" s="85"/>
      <c r="CK822" s="2"/>
    </row>
    <row r="823" ht="12.75" customHeight="1">
      <c r="A823" s="80">
        <f>IFERROR(__xludf.DUMMYFUNCTION("""COMPUTED_VALUE"""),819.0)</f>
        <v>819</v>
      </c>
      <c r="B823" s="80"/>
      <c r="C823" s="80"/>
      <c r="D823" s="81">
        <f>IFERROR(__xludf.DUMMYFUNCTION("""COMPUTED_VALUE"""),46062.0)</f>
        <v>46062</v>
      </c>
      <c r="E823" s="82"/>
      <c r="F823" s="80"/>
      <c r="G823" s="81"/>
      <c r="H823" s="80"/>
      <c r="I823" s="80"/>
      <c r="J823" s="80"/>
      <c r="K823" s="80"/>
      <c r="L823" s="80"/>
      <c r="M823" s="80"/>
      <c r="N823" s="80" t="str">
        <f>IFERROR(__xludf.DUMMYFUNCTION("""COMPUTED_VALUE"""),"ü")</f>
        <v>ü</v>
      </c>
      <c r="O823" s="80"/>
      <c r="P823" s="80" t="str">
        <f>IFERROR(__xludf.DUMMYFUNCTION("""COMPUTED_VALUE"""),"MLO5500071CUMPOS ")</f>
        <v>MLO5500071CUMPOS </v>
      </c>
      <c r="Q823" s="80" t="str">
        <f>IFERROR(__xludf.DUMMYFUNCTION("""COMPUTED_VALUE"""),"[L] MUC BERDIKARI ID")</f>
        <v>[L] MUC BERDIKARI ID</v>
      </c>
      <c r="R823" s="80" t="str">
        <f>IFERROR(__xludf.DUMMYFUNCTION("""COMPUTED_VALUE"""),"[L] MUC BERDIKARI ID")</f>
        <v>[L] MUC BERDIKARI ID</v>
      </c>
      <c r="S823" s="80" t="str">
        <f>IFERROR(__xludf.DUMMYFUNCTION("""COMPUTED_VALUE"""),"CAESAR REYHANDAVIN")</f>
        <v>CAESAR REYHANDAVIN</v>
      </c>
      <c r="T823" s="80" t="str">
        <f>IFERROR(__xludf.DUMMYFUNCTION("""COMPUTED_VALUE"""),"JL. DR CIPTO MK GG. DELIMA RT.006 RW.003, KESAMBI, KESAMBI, KOTA CIREBON")</f>
        <v>JL. DR CIPTO MK GG. DELIMA RT.006 RW.003, KESAMBI, KESAMBI, KOTA CIREBON</v>
      </c>
      <c r="U823" s="80" t="str">
        <f>IFERROR(__xludf.DUMMYFUNCTION("""COMPUTED_VALUE"""),"Jl. Wijaya No.17")</f>
        <v>Jl. Wijaya No.17</v>
      </c>
      <c r="V823" s="80"/>
      <c r="W823" s="80" t="str">
        <f>IFERROR(__xludf.DUMMYFUNCTION("""COMPUTED_VALUE"""),"Purwawinangun")</f>
        <v>Purwawinangun</v>
      </c>
      <c r="X823" s="80" t="str">
        <f>IFERROR(__xludf.DUMMYFUNCTION("""COMPUTED_VALUE"""),"Kuningan")</f>
        <v>Kuningan</v>
      </c>
      <c r="Y823" s="80" t="str">
        <f>IFERROR(__xludf.DUMMYFUNCTION("""COMPUTED_VALUE"""),"Kabupaten Kuningan")</f>
        <v>Kabupaten Kuningan</v>
      </c>
      <c r="Z823" s="80" t="str">
        <f>IFERROR(__xludf.DUMMYFUNCTION("""COMPUTED_VALUE"""),"Jawa Barat")</f>
        <v>Jawa Barat</v>
      </c>
      <c r="AA823" s="80" t="str">
        <f>IFERROR(__xludf.DUMMYFUNCTION("""COMPUTED_VALUE"""),"45512")</f>
        <v>45512</v>
      </c>
      <c r="AB823" s="80" t="str">
        <f>IFERROR(__xludf.DUMMYFUNCTION("""COMPUTED_VALUE"""),"3671011908950002")</f>
        <v>3671011908950002</v>
      </c>
      <c r="AC823" s="80" t="str">
        <f>IFERROR(__xludf.DUMMYFUNCTION("""COMPUTED_VALUE"""),"83.278.996.2-061.000")</f>
        <v>83.278.996.2-061.000</v>
      </c>
      <c r="AD823" s="80" t="str">
        <f>IFERROR(__xludf.DUMMYFUNCTION("""COMPUTED_VALUE"""),"CUM - PS - ANO")</f>
        <v>CUM - PS - ANO</v>
      </c>
      <c r="AE823" s="80" t="str">
        <f>IFERROR(__xludf.DUMMYFUNCTION("""COMPUTED_VALUE"""),"SUB ANO WASNO")</f>
        <v>SUB ANO WASNO</v>
      </c>
      <c r="AF823" s="80" t="str">
        <f>IFERROR(__xludf.DUMMYFUNCTION("""COMPUTED_VALUE"""),"087860058341")</f>
        <v>087860058341</v>
      </c>
      <c r="AG823" s="80"/>
      <c r="AH823" s="80" t="str">
        <f>IFERROR(__xludf.DUMMYFUNCTION("""COMPUTED_VALUE"""),"berdikari9595@gmail.com")</f>
        <v>berdikari9595@gmail.com</v>
      </c>
      <c r="AI823" s="80"/>
      <c r="AJ823" s="80"/>
      <c r="AK823" s="80"/>
      <c r="AL823" s="80"/>
      <c r="AM823" s="80" t="str">
        <f>IFERROR(__xludf.DUMMYFUNCTION("""COMPUTED_VALUE"""),"KANTOR REGIONAL III BANDUNG 40004")</f>
        <v>KANTOR REGIONAL III BANDUNG 40004</v>
      </c>
      <c r="AN823" s="80" t="str">
        <f>IFERROR(__xludf.DUMMYFUNCTION("""COMPUTED_VALUE"""),"KC KUNINGAN")</f>
        <v>KC KUNINGAN</v>
      </c>
      <c r="AO823" s="80" t="str">
        <f>IFERROR(__xludf.DUMMYFUNCTION("""COMPUTED_VALUE"""),"MENYUSUL")</f>
        <v>MENYUSUL</v>
      </c>
      <c r="AP823" s="80" t="str">
        <f>IFERROR(__xludf.DUMMYFUNCTION("""COMPUTED_VALUE"""),"MENYUSUL")</f>
        <v>MENYUSUL</v>
      </c>
      <c r="AQ823" s="83"/>
      <c r="AR823" s="80"/>
      <c r="AS823" s="80"/>
      <c r="AT823" s="80" t="str">
        <f>IFERROR(__xludf.DUMMYFUNCTION("""COMPUTED_VALUE"""),"-6.973651")</f>
        <v>-6.973651</v>
      </c>
      <c r="AU823" s="80" t="str">
        <f>IFERROR(__xludf.DUMMYFUNCTION("""COMPUTED_VALUE"""),"108.486537")</f>
        <v>108.486537</v>
      </c>
      <c r="AV823" s="80"/>
      <c r="AW823" s="80"/>
      <c r="AX823" s="80"/>
      <c r="AY823" s="80"/>
      <c r="AZ823" s="80"/>
      <c r="BA823" s="80"/>
      <c r="BB823" s="80"/>
      <c r="BC823" s="80"/>
      <c r="BD823" s="80"/>
      <c r="BE823" s="80"/>
      <c r="BF823" s="80"/>
      <c r="BG823" s="80"/>
      <c r="BH823" s="80"/>
      <c r="BI823" s="80"/>
      <c r="BJ823" s="80"/>
      <c r="BK823" s="80"/>
      <c r="BL823" s="80"/>
      <c r="BM823" s="80"/>
      <c r="BN823" s="80"/>
      <c r="BO823" s="80"/>
      <c r="BP823" s="80"/>
      <c r="BQ823" s="80"/>
      <c r="BR823" s="80"/>
      <c r="BS823" s="80"/>
      <c r="BT823" s="80"/>
      <c r="BU823" s="80"/>
      <c r="BV823" s="80"/>
      <c r="BW823" s="80"/>
      <c r="BX823" s="80" t="str">
        <f>IFERROR(__xludf.DUMMYFUNCTION("""COMPUTED_VALUE"""),"SELLER LOCK REKENING")</f>
        <v>SELLER LOCK REKENING</v>
      </c>
      <c r="BY823" s="80"/>
      <c r="BZ823" s="80"/>
      <c r="CA823" s="80"/>
      <c r="CB823" s="80"/>
      <c r="CC823" s="80"/>
      <c r="CD823" s="80"/>
      <c r="CE823" s="80"/>
      <c r="CF823" s="80"/>
      <c r="CG823" s="80"/>
      <c r="CH823" s="80"/>
      <c r="CI823" s="80"/>
      <c r="CJ823" s="80"/>
      <c r="CK823" s="2"/>
    </row>
    <row r="824" ht="12.75" customHeight="1">
      <c r="A824" s="85">
        <f>IFERROR(__xludf.DUMMYFUNCTION("""COMPUTED_VALUE"""),820.0)</f>
        <v>820</v>
      </c>
      <c r="B824" s="85"/>
      <c r="C824" s="85"/>
      <c r="D824" s="86">
        <f>IFERROR(__xludf.DUMMYFUNCTION("""COMPUTED_VALUE"""),46063.0)</f>
        <v>46063</v>
      </c>
      <c r="E824" s="88"/>
      <c r="F824" s="85"/>
      <c r="G824" s="86"/>
      <c r="H824" s="85"/>
      <c r="I824" s="85"/>
      <c r="J824" s="85"/>
      <c r="K824" s="85"/>
      <c r="L824" s="85"/>
      <c r="M824" s="85" t="str">
        <f>IFERROR(__xludf.DUMMYFUNCTION("""COMPUTED_VALUE"""),"ü")</f>
        <v>ü</v>
      </c>
      <c r="N824" s="85"/>
      <c r="O824" s="85"/>
      <c r="P824" s="85" t="str">
        <f>IFERROR(__xludf.DUMMYFUNCTION("""COMPUTED_VALUE"""),"MUCSPA63370PSIND")</f>
        <v>MUCSPA63370PSIND</v>
      </c>
      <c r="Q824" s="85" t="str">
        <f>IFERROR(__xludf.DUMMYFUNCTION("""COMPUTED_VALUE"""),"MUC RASYA EXPRESS")</f>
        <v>MUC RASYA EXPRESS</v>
      </c>
      <c r="R824" s="85" t="str">
        <f>IFERROR(__xludf.DUMMYFUNCTION("""COMPUTED_VALUE"""),"MUC RASYA EXPRESS")</f>
        <v>MUC RASYA EXPRESS</v>
      </c>
      <c r="S824" s="85" t="str">
        <f>IFERROR(__xludf.DUMMYFUNCTION("""COMPUTED_VALUE"""),"RINU WULAN")</f>
        <v>RINU WULAN</v>
      </c>
      <c r="T824" s="85" t="str">
        <f>IFERROR(__xludf.DUMMYFUNCTION("""COMPUTED_VALUE"""),"KP. CITAMIANG RT 3 RW 1")</f>
        <v>KP. CITAMIANG RT 3 RW 1</v>
      </c>
      <c r="U824" s="85" t="str">
        <f>IFERROR(__xludf.DUMMYFUNCTION("""COMPUTED_VALUE"""),"JL. SADANG NO. 8 RT 1 RW 11 ")</f>
        <v>JL. SADANG NO. 8 RT 1 RW 11 </v>
      </c>
      <c r="V824" s="85"/>
      <c r="W824" s="85" t="str">
        <f>IFERROR(__xludf.DUMMYFUNCTION("""COMPUTED_VALUE"""),"CINUNUK")</f>
        <v>CINUNUK</v>
      </c>
      <c r="X824" s="85" t="str">
        <f>IFERROR(__xludf.DUMMYFUNCTION("""COMPUTED_VALUE"""),"CILEUNYI")</f>
        <v>CILEUNYI</v>
      </c>
      <c r="Y824" s="85" t="str">
        <f>IFERROR(__xludf.DUMMYFUNCTION("""COMPUTED_VALUE"""),"KAB. BANDUNG")</f>
        <v>KAB. BANDUNG</v>
      </c>
      <c r="Z824" s="85" t="str">
        <f>IFERROR(__xludf.DUMMYFUNCTION("""COMPUTED_VALUE"""),"JAWA BARAT")</f>
        <v>JAWA BARAT</v>
      </c>
      <c r="AA824" s="85" t="str">
        <f>IFERROR(__xludf.DUMMYFUNCTION("""COMPUTED_VALUE"""),"40625")</f>
        <v>40625</v>
      </c>
      <c r="AB824" s="85" t="str">
        <f>IFERROR(__xludf.DUMMYFUNCTION("""COMPUTED_VALUE"""),"3203155912940003")</f>
        <v>3203155912940003</v>
      </c>
      <c r="AC824" s="85" t="str">
        <f>IFERROR(__xludf.DUMMYFUNCTION("""COMPUTED_VALUE"""),"93.930.784.9-406.000")</f>
        <v>93.930.784.9-406.000</v>
      </c>
      <c r="AD824" s="85" t="str">
        <f>IFERROR(__xludf.DUMMYFUNCTION("""COMPUTED_VALUE"""),"NON KORGEN")</f>
        <v>NON KORGEN</v>
      </c>
      <c r="AE824" s="85" t="str">
        <f>IFERROR(__xludf.DUMMYFUNCTION("""COMPUTED_VALUE"""),"PAK AKBAR KC UBER")</f>
        <v>PAK AKBAR KC UBER</v>
      </c>
      <c r="AF824" s="85" t="str">
        <f>IFERROR(__xludf.DUMMYFUNCTION("""COMPUTED_VALUE"""),"082199096239")</f>
        <v>082199096239</v>
      </c>
      <c r="AG824" s="85"/>
      <c r="AH824" s="85" t="str">
        <f>IFERROR(__xludf.DUMMYFUNCTION("""COMPUTED_VALUE"""),"rifkiyb@gmail.com")</f>
        <v>rifkiyb@gmail.com</v>
      </c>
      <c r="AI824" s="85"/>
      <c r="AJ824" s="85"/>
      <c r="AK824" s="85"/>
      <c r="AL824" s="85"/>
      <c r="AM824" s="85" t="str">
        <f>IFERROR(__xludf.DUMMYFUNCTION("""COMPUTED_VALUE"""),"KANTOR REGIONAL III BANDUNG 40004")</f>
        <v>KANTOR REGIONAL III BANDUNG 40004</v>
      </c>
      <c r="AN824" s="85" t="str">
        <f>IFERROR(__xludf.DUMMYFUNCTION("""COMPUTED_VALUE"""),"KC UJUNGBERUNG ")</f>
        <v>KC UJUNGBERUNG </v>
      </c>
      <c r="AO824" s="85" t="str">
        <f>IFERROR(__xludf.DUMMYFUNCTION("""COMPUTED_VALUE"""),"MENYUSUL")</f>
        <v>MENYUSUL</v>
      </c>
      <c r="AP824" s="85" t="str">
        <f>IFERROR(__xludf.DUMMYFUNCTION("""COMPUTED_VALUE"""),"MENYUSUL")</f>
        <v>MENYUSUL</v>
      </c>
      <c r="AQ824" s="93"/>
      <c r="AR824" s="85"/>
      <c r="AS824" s="85"/>
      <c r="AT824" s="85" t="str">
        <f>IFERROR(__xludf.DUMMYFUNCTION("""COMPUTED_VALUE"""),"-6.939639")</f>
        <v>-6.939639</v>
      </c>
      <c r="AU824" s="85" t="str">
        <f>IFERROR(__xludf.DUMMYFUNCTION("""COMPUTED_VALUE"""),"107.7277441")</f>
        <v>107.7277441</v>
      </c>
      <c r="AV824" s="85"/>
      <c r="AW824" s="85"/>
      <c r="AX824" s="85"/>
      <c r="AY824" s="85"/>
      <c r="AZ824" s="85"/>
      <c r="BA824" s="85"/>
      <c r="BB824" s="85"/>
      <c r="BC824" s="85"/>
      <c r="BD824" s="85"/>
      <c r="BE824" s="85"/>
      <c r="BF824" s="85"/>
      <c r="BG824" s="85"/>
      <c r="BH824" s="85"/>
      <c r="BI824" s="85"/>
      <c r="BJ824" s="85"/>
      <c r="BK824" s="85"/>
      <c r="BL824" s="85"/>
      <c r="BM824" s="85"/>
      <c r="BN824" s="85"/>
      <c r="BO824" s="85"/>
      <c r="BP824" s="85"/>
      <c r="BQ824" s="85"/>
      <c r="BR824" s="85"/>
      <c r="BS824" s="85"/>
      <c r="BT824" s="85"/>
      <c r="BU824" s="85"/>
      <c r="BV824" s="85"/>
      <c r="BW824" s="85"/>
      <c r="BX824" s="85" t="str">
        <f>IFERROR(__xludf.DUMMYFUNCTION("""COMPUTED_VALUE"""),"MULTIKURIR - LION PARCEL - JNE - JNT - IDEXPRESS - WAHANA")</f>
        <v>MULTIKURIR - LION PARCEL - JNE - JNT - IDEXPRESS - WAHANA</v>
      </c>
      <c r="BY824" s="85"/>
      <c r="BZ824" s="85"/>
      <c r="CA824" s="85"/>
      <c r="CB824" s="85"/>
      <c r="CC824" s="85"/>
      <c r="CD824" s="85"/>
      <c r="CE824" s="85"/>
      <c r="CF824" s="85"/>
      <c r="CG824" s="85"/>
      <c r="CH824" s="85"/>
      <c r="CI824" s="85"/>
      <c r="CJ824" s="85"/>
      <c r="CK824" s="2"/>
    </row>
    <row r="825" ht="12.75" customHeight="1">
      <c r="A825" s="80">
        <f>IFERROR(__xludf.DUMMYFUNCTION("""COMPUTED_VALUE"""),821.0)</f>
        <v>821</v>
      </c>
      <c r="B825" s="80"/>
      <c r="C825" s="80"/>
      <c r="D825" s="81">
        <f>IFERROR(__xludf.DUMMYFUNCTION("""COMPUTED_VALUE"""),46063.0)</f>
        <v>46063</v>
      </c>
      <c r="E825" s="82"/>
      <c r="F825" s="80"/>
      <c r="G825" s="81">
        <f>IFERROR(__xludf.DUMMYFUNCTION("""COMPUTED_VALUE"""),46097.0)</f>
        <v>46097</v>
      </c>
      <c r="H825" s="80"/>
      <c r="I825" s="80"/>
      <c r="J825" s="80"/>
      <c r="K825" s="80"/>
      <c r="L825" s="80">
        <f>IFERROR(__xludf.DUMMYFUNCTION("""COMPUTED_VALUE"""),34.0)</f>
        <v>34</v>
      </c>
      <c r="M825" s="80" t="str">
        <f>IFERROR(__xludf.DUMMYFUNCTION("""COMPUTED_VALUE"""),"ü")</f>
        <v>ü</v>
      </c>
      <c r="N825" s="80"/>
      <c r="O825" s="80"/>
      <c r="P825" s="80" t="str">
        <f>IFERROR(__xludf.DUMMYFUNCTION("""COMPUTED_VALUE"""),"MUCSPA63371PSIND")</f>
        <v>MUCSPA63371PSIND</v>
      </c>
      <c r="Q825" s="80" t="str">
        <f>IFERROR(__xludf.DUMMYFUNCTION("""COMPUTED_VALUE"""),"MUC TEGAL KUNIR LOR")</f>
        <v>MUC TEGAL KUNIR LOR</v>
      </c>
      <c r="R825" s="80" t="str">
        <f>IFERROR(__xludf.DUMMYFUNCTION("""COMPUTED_VALUE"""),"MUC TEGAL KUNIR LOR")</f>
        <v>MUC TEGAL KUNIR LOR</v>
      </c>
      <c r="S825" s="80" t="str">
        <f>IFERROR(__xludf.DUMMYFUNCTION("""COMPUTED_VALUE"""),"KAMSARI")</f>
        <v>KAMSARI</v>
      </c>
      <c r="T825" s="80" t="str">
        <f>IFERROR(__xludf.DUMMYFUNCTION("""COMPUTED_VALUE"""),"KP. LOR RT.019 RW.002, TEGAL KUNIR LOR, MAUK, KAB. TANGERANG")</f>
        <v>KP. LOR RT.019 RW.002, TEGAL KUNIR LOR, MAUK, KAB. TANGERANG</v>
      </c>
      <c r="U825" s="80" t="str">
        <f>IFERROR(__xludf.DUMMYFUNCTION("""COMPUTED_VALUE"""),"Kp. Masjid RT. 018/003")</f>
        <v>Kp. Masjid RT. 018/003</v>
      </c>
      <c r="V825" s="80"/>
      <c r="W825" s="80" t="str">
        <f>IFERROR(__xludf.DUMMYFUNCTION("""COMPUTED_VALUE"""),"Tegal Kunir Lor")</f>
        <v>Tegal Kunir Lor</v>
      </c>
      <c r="X825" s="80" t="str">
        <f>IFERROR(__xludf.DUMMYFUNCTION("""COMPUTED_VALUE"""),"Mauk")</f>
        <v>Mauk</v>
      </c>
      <c r="Y825" s="80" t="str">
        <f>IFERROR(__xludf.DUMMYFUNCTION("""COMPUTED_VALUE"""),"Kab. Tangerang")</f>
        <v>Kab. Tangerang</v>
      </c>
      <c r="Z825" s="80" t="str">
        <f>IFERROR(__xludf.DUMMYFUNCTION("""COMPUTED_VALUE"""),"Banten")</f>
        <v>Banten</v>
      </c>
      <c r="AA825" s="80" t="str">
        <f>IFERROR(__xludf.DUMMYFUNCTION("""COMPUTED_VALUE"""),"15330")</f>
        <v>15330</v>
      </c>
      <c r="AB825" s="80" t="str">
        <f>IFERROR(__xludf.DUMMYFUNCTION("""COMPUTED_VALUE"""),"3603082207820006")</f>
        <v>3603082207820006</v>
      </c>
      <c r="AC825" s="80" t="str">
        <f>IFERROR(__xludf.DUMMYFUNCTION("""COMPUTED_VALUE"""),"3603 0822 0782 0006")</f>
        <v>3603 0822 0782 0006</v>
      </c>
      <c r="AD825" s="80" t="str">
        <f>IFERROR(__xludf.DUMMYFUNCTION("""COMPUTED_VALUE"""),"CUM - PS - DWIH")</f>
        <v>CUM - PS - DWIH</v>
      </c>
      <c r="AE825" s="80" t="str">
        <f>IFERROR(__xludf.DUMMYFUNCTION("""COMPUTED_VALUE"""),"SUB DWI HARTANTO POS")</f>
        <v>SUB DWI HARTANTO POS</v>
      </c>
      <c r="AF825" s="80" t="str">
        <f>IFERROR(__xludf.DUMMYFUNCTION("""COMPUTED_VALUE"""),"087887575527")</f>
        <v>087887575527</v>
      </c>
      <c r="AG825" s="80"/>
      <c r="AH825" s="80" t="str">
        <f>IFERROR(__xludf.DUMMYFUNCTION("""COMPUTED_VALUE"""),"koperasimerputtkl@gmail.com")</f>
        <v>koperasimerputtkl@gmail.com</v>
      </c>
      <c r="AI825" s="80" t="str">
        <f>IFERROR(__xludf.DUMMYFUNCTION("""COMPUTED_VALUE"""),"15537S1")</f>
        <v>15537S1</v>
      </c>
      <c r="AJ825" s="80" t="str">
        <f>IFERROR(__xludf.DUMMYFUNCTION("""COMPUTED_VALUE"""),"69b7aafd49b293c3f408467e")</f>
        <v>69b7aafd49b293c3f408467e</v>
      </c>
      <c r="AK825" s="80" t="str">
        <f>IFERROR(__xludf.DUMMYFUNCTION("""COMPUTED_VALUE"""),"postegalkunir@outlook.com")</f>
        <v>postegalkunir@outlook.com</v>
      </c>
      <c r="AL825" s="80" t="str">
        <f>IFERROR(__xludf.DUMMYFUNCTION("""COMPUTED_VALUE"""),"#Muc15537S1$")</f>
        <v>#Muc15537S1$</v>
      </c>
      <c r="AM825" s="80" t="str">
        <f>IFERROR(__xludf.DUMMYFUNCTION("""COMPUTED_VALUE"""),"KANTOR REGIONAL II JAKARTA 10004")</f>
        <v>KANTOR REGIONAL II JAKARTA 10004</v>
      </c>
      <c r="AN825" s="80" t="str">
        <f>IFERROR(__xludf.DUMMYFUNCTION("""COMPUTED_VALUE"""),"KCU TANGERANG 15000")</f>
        <v>KCU TANGERANG 15000</v>
      </c>
      <c r="AO825" s="80" t="str">
        <f>IFERROR(__xludf.DUMMYFUNCTION("""COMPUTED_VALUE"""),"MENYUSUL")</f>
        <v>MENYUSUL</v>
      </c>
      <c r="AP825" s="80" t="str">
        <f>IFERROR(__xludf.DUMMYFUNCTION("""COMPUTED_VALUE"""),"MENYUSUL")</f>
        <v>MENYUSUL</v>
      </c>
      <c r="AQ825" s="83"/>
      <c r="AR825" s="80"/>
      <c r="AS825" s="80"/>
      <c r="AT825" s="80" t="str">
        <f>IFERROR(__xludf.DUMMYFUNCTION("""COMPUTED_VALUE"""),"-6.056065")</f>
        <v>-6.056065</v>
      </c>
      <c r="AU825" s="80" t="str">
        <f>IFERROR(__xludf.DUMMYFUNCTION("""COMPUTED_VALUE"""),"106.525612")</f>
        <v>106.525612</v>
      </c>
      <c r="AV825" s="80"/>
      <c r="AW825" s="80"/>
      <c r="AX825" s="80"/>
      <c r="AY825" s="80"/>
      <c r="AZ825" s="80"/>
      <c r="BA825" s="80"/>
      <c r="BB825" s="80"/>
      <c r="BC825" s="80"/>
      <c r="BD825" s="80"/>
      <c r="BE825" s="80"/>
      <c r="BF825" s="80"/>
      <c r="BG825" s="80"/>
      <c r="BH825" s="80"/>
      <c r="BI825" s="80"/>
      <c r="BJ825" s="80"/>
      <c r="BK825" s="80"/>
      <c r="BL825" s="80"/>
      <c r="BM825" s="80"/>
      <c r="BN825" s="80"/>
      <c r="BO825" s="80"/>
      <c r="BP825" s="80"/>
      <c r="BQ825" s="80"/>
      <c r="BR825" s="80"/>
      <c r="BS825" s="80"/>
      <c r="BT825" s="80"/>
      <c r="BU825" s="80"/>
      <c r="BV825" s="80"/>
      <c r="BW825" s="80"/>
      <c r="BX825" s="80" t="str">
        <f>IFERROR(__xludf.DUMMYFUNCTION("""COMPUTED_VALUE"""),"NEWBIE")</f>
        <v>NEWBIE</v>
      </c>
      <c r="BY825" s="80"/>
      <c r="BZ825" s="80"/>
      <c r="CA825" s="80"/>
      <c r="CB825" s="80"/>
      <c r="CC825" s="80"/>
      <c r="CD825" s="80"/>
      <c r="CE825" s="80"/>
      <c r="CF825" s="80"/>
      <c r="CG825" s="80"/>
      <c r="CH825" s="80"/>
      <c r="CI825" s="80"/>
      <c r="CJ825" s="80"/>
      <c r="CK825" s="2"/>
    </row>
    <row r="826" ht="12.75" customHeight="1">
      <c r="A826" s="85">
        <f>IFERROR(__xludf.DUMMYFUNCTION("""COMPUTED_VALUE"""),822.0)</f>
        <v>822</v>
      </c>
      <c r="B826" s="85"/>
      <c r="C826" s="85"/>
      <c r="D826" s="86">
        <f>IFERROR(__xludf.DUMMYFUNCTION("""COMPUTED_VALUE"""),46063.0)</f>
        <v>46063</v>
      </c>
      <c r="E826" s="88"/>
      <c r="F826" s="85"/>
      <c r="G826" s="86"/>
      <c r="H826" s="85"/>
      <c r="I826" s="85"/>
      <c r="J826" s="85"/>
      <c r="K826" s="85"/>
      <c r="L826" s="85"/>
      <c r="M826" s="85" t="str">
        <f>IFERROR(__xludf.DUMMYFUNCTION("""COMPUTED_VALUE"""),"ü")</f>
        <v>ü</v>
      </c>
      <c r="N826" s="85"/>
      <c r="O826" s="85"/>
      <c r="P826" s="85" t="str">
        <f>IFERROR(__xludf.DUMMYFUNCTION("""COMPUTED_VALUE"""),"MUCSPA63372PSIND")</f>
        <v>MUCSPA63372PSIND</v>
      </c>
      <c r="Q826" s="85" t="str">
        <f>IFERROR(__xludf.DUMMYFUNCTION("""COMPUTED_VALUE"""),"MUC FITRIA PONSEL")</f>
        <v>MUC FITRIA PONSEL</v>
      </c>
      <c r="R826" s="85" t="str">
        <f>IFERROR(__xludf.DUMMYFUNCTION("""COMPUTED_VALUE"""),"MUC FITRIA PONSEL")</f>
        <v>MUC FITRIA PONSEL</v>
      </c>
      <c r="S826" s="85" t="str">
        <f>IFERROR(__xludf.DUMMYFUNCTION("""COMPUTED_VALUE"""),"Abdurahman ")</f>
        <v>Abdurahman </v>
      </c>
      <c r="T826" s="85" t="str">
        <f>IFERROR(__xludf.DUMMYFUNCTION("""COMPUTED_VALUE"""),"Jl.Lintas Pasar Km.5 RT.15 RW.04, DANAU PULAU INDAH, KEMPAS, INDRAGIRI HILIR")</f>
        <v>Jl.Lintas Pasar Km.5 RT.15 RW.04, DANAU PULAU INDAH, KEMPAS, INDRAGIRI HILIR</v>
      </c>
      <c r="U826" s="85" t="str">
        <f>IFERROR(__xludf.DUMMYFUNCTION("""COMPUTED_VALUE"""),"Jl.lintas Pasar km.5")</f>
        <v>Jl.lintas Pasar km.5</v>
      </c>
      <c r="V826" s="85"/>
      <c r="W826" s="85" t="str">
        <f>IFERROR(__xludf.DUMMYFUNCTION("""COMPUTED_VALUE"""),"Danau Pulai Indah ")</f>
        <v>Danau Pulai Indah </v>
      </c>
      <c r="X826" s="85" t="str">
        <f>IFERROR(__xludf.DUMMYFUNCTION("""COMPUTED_VALUE"""),"Kempas")</f>
        <v>Kempas</v>
      </c>
      <c r="Y826" s="85" t="str">
        <f>IFERROR(__xludf.DUMMYFUNCTION("""COMPUTED_VALUE"""),"Indragiri Hilir ")</f>
        <v>Indragiri Hilir </v>
      </c>
      <c r="Z826" s="85" t="str">
        <f>IFERROR(__xludf.DUMMYFUNCTION("""COMPUTED_VALUE"""),"Riau ")</f>
        <v>Riau </v>
      </c>
      <c r="AA826" s="85" t="str">
        <f>IFERROR(__xludf.DUMMYFUNCTION("""COMPUTED_VALUE"""),"29261")</f>
        <v>29261</v>
      </c>
      <c r="AB826" s="85" t="str">
        <f>IFERROR(__xludf.DUMMYFUNCTION("""COMPUTED_VALUE"""),"1404190812750001")</f>
        <v>1404190812750001</v>
      </c>
      <c r="AC826" s="85" t="str">
        <f>IFERROR(__xludf.DUMMYFUNCTION("""COMPUTED_VALUE"""),"49.667.719.6-213.000")</f>
        <v>49.667.719.6-213.000</v>
      </c>
      <c r="AD826" s="85" t="str">
        <f>IFERROR(__xludf.DUMMYFUNCTION("""COMPUTED_VALUE"""),"CUM - PS - TASY")</f>
        <v>CUM - PS - TASY</v>
      </c>
      <c r="AE826" s="85" t="str">
        <f>IFERROR(__xludf.DUMMYFUNCTION("""COMPUTED_VALUE"""),"SUB TASYA POS")</f>
        <v>SUB TASYA POS</v>
      </c>
      <c r="AF826" s="85" t="str">
        <f>IFERROR(__xludf.DUMMYFUNCTION("""COMPUTED_VALUE"""),"085264860852")</f>
        <v>085264860852</v>
      </c>
      <c r="AG826" s="85"/>
      <c r="AH826" s="85" t="str">
        <f>IFERROR(__xludf.DUMMYFUNCTION("""COMPUTED_VALUE"""),"abdurahmangusdur75@gmail.com")</f>
        <v>abdurahmangusdur75@gmail.com</v>
      </c>
      <c r="AI826" s="85"/>
      <c r="AJ826" s="85"/>
      <c r="AK826" s="85"/>
      <c r="AL826" s="85"/>
      <c r="AM826" s="85" t="str">
        <f>IFERROR(__xludf.DUMMYFUNCTION("""COMPUTED_VALUE"""),"KANTOR REGIONAL I MEDAN 20004")</f>
        <v>KANTOR REGIONAL I MEDAN 20004</v>
      </c>
      <c r="AN826" s="85" t="str">
        <f>IFERROR(__xludf.DUMMYFUNCTION("""COMPUTED_VALUE"""),"KC TEMBILAHAN")</f>
        <v>KC TEMBILAHAN</v>
      </c>
      <c r="AO826" s="85" t="str">
        <f>IFERROR(__xludf.DUMMYFUNCTION("""COMPUTED_VALUE"""),"MENYUSUL")</f>
        <v>MENYUSUL</v>
      </c>
      <c r="AP826" s="85" t="str">
        <f>IFERROR(__xludf.DUMMYFUNCTION("""COMPUTED_VALUE"""),"MENYUSUL")</f>
        <v>MENYUSUL</v>
      </c>
      <c r="AQ826" s="93"/>
      <c r="AR826" s="85"/>
      <c r="AS826" s="85"/>
      <c r="AT826" s="85" t="str">
        <f>IFERROR(__xludf.DUMMYFUNCTION("""COMPUTED_VALUE"""),"-0.5419796")</f>
        <v>-0.5419796</v>
      </c>
      <c r="AU826" s="85" t="str">
        <f>IFERROR(__xludf.DUMMYFUNCTION("""COMPUTED_VALUE"""),"102.8445237")</f>
        <v>102.8445237</v>
      </c>
      <c r="AV826" s="85"/>
      <c r="AW826" s="85"/>
      <c r="AX826" s="85"/>
      <c r="AY826" s="85"/>
      <c r="AZ826" s="85"/>
      <c r="BA826" s="85"/>
      <c r="BB826" s="85"/>
      <c r="BC826" s="85"/>
      <c r="BD826" s="85"/>
      <c r="BE826" s="85"/>
      <c r="BF826" s="85"/>
      <c r="BG826" s="85"/>
      <c r="BH826" s="85"/>
      <c r="BI826" s="85"/>
      <c r="BJ826" s="85"/>
      <c r="BK826" s="85"/>
      <c r="BL826" s="85"/>
      <c r="BM826" s="85"/>
      <c r="BN826" s="85"/>
      <c r="BO826" s="85"/>
      <c r="BP826" s="85"/>
      <c r="BQ826" s="85"/>
      <c r="BR826" s="85"/>
      <c r="BS826" s="85"/>
      <c r="BT826" s="85"/>
      <c r="BU826" s="85"/>
      <c r="BV826" s="85"/>
      <c r="BW826" s="85"/>
      <c r="BX826" s="85" t="str">
        <f>IFERROR(__xludf.DUMMYFUNCTION("""COMPUTED_VALUE"""),"NEWBIE")</f>
        <v>NEWBIE</v>
      </c>
      <c r="BY826" s="85"/>
      <c r="BZ826" s="85"/>
      <c r="CA826" s="85"/>
      <c r="CB826" s="85"/>
      <c r="CC826" s="85"/>
      <c r="CD826" s="85"/>
      <c r="CE826" s="85"/>
      <c r="CF826" s="85"/>
      <c r="CG826" s="85"/>
      <c r="CH826" s="85"/>
      <c r="CI826" s="85"/>
      <c r="CJ826" s="85"/>
      <c r="CK826" s="2"/>
    </row>
    <row r="827" ht="12.75" customHeight="1">
      <c r="A827" s="80">
        <f>IFERROR(__xludf.DUMMYFUNCTION("""COMPUTED_VALUE"""),823.0)</f>
        <v>823</v>
      </c>
      <c r="B827" s="80"/>
      <c r="C827" s="80"/>
      <c r="D827" s="81">
        <f>IFERROR(__xludf.DUMMYFUNCTION("""COMPUTED_VALUE"""),46063.0)</f>
        <v>46063</v>
      </c>
      <c r="E827" s="82"/>
      <c r="F827" s="80"/>
      <c r="G827" s="81">
        <f>IFERROR(__xludf.DUMMYFUNCTION("""COMPUTED_VALUE"""),46071.0)</f>
        <v>46071</v>
      </c>
      <c r="H827" s="80"/>
      <c r="I827" s="80"/>
      <c r="J827" s="80"/>
      <c r="K827" s="80"/>
      <c r="L827" s="80">
        <f>IFERROR(__xludf.DUMMYFUNCTION("""COMPUTED_VALUE"""),8.0)</f>
        <v>8</v>
      </c>
      <c r="M827" s="80"/>
      <c r="N827" s="80" t="str">
        <f>IFERROR(__xludf.DUMMYFUNCTION("""COMPUTED_VALUE"""),"ü")</f>
        <v>ü</v>
      </c>
      <c r="O827" s="80"/>
      <c r="P827" s="80" t="str">
        <f>IFERROR(__xludf.DUMMYFUNCTION("""COMPUTED_VALUE"""),"MLO5500072CUMPOS")</f>
        <v>MLO5500072CUMPOS</v>
      </c>
      <c r="Q827" s="80" t="str">
        <f>IFERROR(__xludf.DUMMYFUNCTION("""COMPUTED_VALUE"""),"[L] MUC Savina id")</f>
        <v>[L] MUC Savina id</v>
      </c>
      <c r="R827" s="80" t="str">
        <f>IFERROR(__xludf.DUMMYFUNCTION("""COMPUTED_VALUE"""),"[L] MUC Savina id")</f>
        <v>[L] MUC Savina id</v>
      </c>
      <c r="S827" s="80" t="str">
        <f>IFERROR(__xludf.DUMMYFUNCTION("""COMPUTED_VALUE"""),"NADINE PUTRI KAUNANG")</f>
        <v>NADINE PUTRI KAUNANG</v>
      </c>
      <c r="T827" s="80" t="str">
        <f>IFERROR(__xludf.DUMMYFUNCTION("""COMPUTED_VALUE"""),"JL. DR CIPTO MK GG DELIMA RT.006 RW.003, KESAMBI, KESAMBI, KOTA CIREBON")</f>
        <v>JL. DR CIPTO MK GG DELIMA RT.006 RW.003, KESAMBI, KESAMBI, KOTA CIREBON</v>
      </c>
      <c r="U827" s="80" t="str">
        <f>IFERROR(__xludf.DUMMYFUNCTION("""COMPUTED_VALUE"""),"Jl. Ir. H. Juanda No.116")</f>
        <v>Jl. Ir. H. Juanda No.116</v>
      </c>
      <c r="V827" s="80"/>
      <c r="W827" s="80" t="str">
        <f>IFERROR(__xludf.DUMMYFUNCTION("""COMPUTED_VALUE"""),"Purwawinangun")</f>
        <v>Purwawinangun</v>
      </c>
      <c r="X827" s="80" t="str">
        <f>IFERROR(__xludf.DUMMYFUNCTION("""COMPUTED_VALUE"""),"Kuningan")</f>
        <v>Kuningan</v>
      </c>
      <c r="Y827" s="80" t="str">
        <f>IFERROR(__xludf.DUMMYFUNCTION("""COMPUTED_VALUE"""),"Kabupaten Kuningan")</f>
        <v>Kabupaten Kuningan</v>
      </c>
      <c r="Z827" s="80" t="str">
        <f>IFERROR(__xludf.DUMMYFUNCTION("""COMPUTED_VALUE"""),"Jawa Barat")</f>
        <v>Jawa Barat</v>
      </c>
      <c r="AA827" s="80" t="str">
        <f>IFERROR(__xludf.DUMMYFUNCTION("""COMPUTED_VALUE"""),"45512")</f>
        <v>45512</v>
      </c>
      <c r="AB827" s="80" t="str">
        <f>IFERROR(__xludf.DUMMYFUNCTION("""COMPUTED_VALUE"""),"3274044707070001")</f>
        <v>3274044707070001</v>
      </c>
      <c r="AC827" s="80" t="str">
        <f>IFERROR(__xludf.DUMMYFUNCTION("""COMPUTED_VALUE"""),"3274 0516 0206 0001")</f>
        <v>3274 0516 0206 0001</v>
      </c>
      <c r="AD827" s="80" t="str">
        <f>IFERROR(__xludf.DUMMYFUNCTION("""COMPUTED_VALUE"""),"CUM - PS - ANO")</f>
        <v>CUM - PS - ANO</v>
      </c>
      <c r="AE827" s="80" t="str">
        <f>IFERROR(__xludf.DUMMYFUNCTION("""COMPUTED_VALUE"""),"SUB ANO WASNO")</f>
        <v>SUB ANO WASNO</v>
      </c>
      <c r="AF827" s="80" t="str">
        <f>IFERROR(__xludf.DUMMYFUNCTION("""COMPUTED_VALUE"""),"085861272107")</f>
        <v>085861272107</v>
      </c>
      <c r="AG827" s="80"/>
      <c r="AH827" s="80" t="str">
        <f>IFERROR(__xludf.DUMMYFUNCTION("""COMPUTED_VALUE"""),"nadineputri777@gmail.com")</f>
        <v>nadineputri777@gmail.com</v>
      </c>
      <c r="AI827" s="80" t="str">
        <f>IFERROR(__xludf.DUMMYFUNCTION("""COMPUTED_VALUE"""),"45512S4")</f>
        <v>45512S4</v>
      </c>
      <c r="AJ827" s="80" t="str">
        <f>IFERROR(__xludf.DUMMYFUNCTION("""COMPUTED_VALUE"""),"6992977eaf3fa6350f095fb1")</f>
        <v>6992977eaf3fa6350f095fb1</v>
      </c>
      <c r="AK827" s="80"/>
      <c r="AL827" s="80"/>
      <c r="AM827" s="80" t="str">
        <f>IFERROR(__xludf.DUMMYFUNCTION("""COMPUTED_VALUE"""),"KANTOR REGIONAL III BANDUNG 40004")</f>
        <v>KANTOR REGIONAL III BANDUNG 40004</v>
      </c>
      <c r="AN827" s="80" t="str">
        <f>IFERROR(__xludf.DUMMYFUNCTION("""COMPUTED_VALUE"""),"KC KUNINGAN")</f>
        <v>KC KUNINGAN</v>
      </c>
      <c r="AO827" s="80" t="str">
        <f>IFERROR(__xludf.DUMMYFUNCTION("""COMPUTED_VALUE"""),"MENYUSUL")</f>
        <v>MENYUSUL</v>
      </c>
      <c r="AP827" s="80" t="str">
        <f>IFERROR(__xludf.DUMMYFUNCTION("""COMPUTED_VALUE"""),"MENYUSUL")</f>
        <v>MENYUSUL</v>
      </c>
      <c r="AQ827" s="83"/>
      <c r="AR827" s="80"/>
      <c r="AS827" s="80"/>
      <c r="AT827" s="80" t="str">
        <f>IFERROR(__xludf.DUMMYFUNCTION("""COMPUTED_VALUE"""),"-6.9737732")</f>
        <v>-6.9737732</v>
      </c>
      <c r="AU827" s="80" t="str">
        <f>IFERROR(__xludf.DUMMYFUNCTION("""COMPUTED_VALUE"""),"108.4904746")</f>
        <v>108.4904746</v>
      </c>
      <c r="AV827" s="80"/>
      <c r="AW827" s="80"/>
      <c r="AX827" s="80"/>
      <c r="AY827" s="80"/>
      <c r="AZ827" s="80"/>
      <c r="BA827" s="80"/>
      <c r="BB827" s="80"/>
      <c r="BC827" s="80"/>
      <c r="BD827" s="80"/>
      <c r="BE827" s="80"/>
      <c r="BF827" s="80"/>
      <c r="BG827" s="80"/>
      <c r="BH827" s="80"/>
      <c r="BI827" s="80"/>
      <c r="BJ827" s="80"/>
      <c r="BK827" s="80"/>
      <c r="BL827" s="80"/>
      <c r="BM827" s="80"/>
      <c r="BN827" s="80"/>
      <c r="BO827" s="80"/>
      <c r="BP827" s="80"/>
      <c r="BQ827" s="80"/>
      <c r="BR827" s="80"/>
      <c r="BS827" s="80"/>
      <c r="BT827" s="80"/>
      <c r="BU827" s="80"/>
      <c r="BV827" s="80"/>
      <c r="BW827" s="80"/>
      <c r="BX827" s="80" t="str">
        <f>IFERROR(__xludf.DUMMYFUNCTION("""COMPUTED_VALUE"""),"SELLER LOCK REKENING")</f>
        <v>SELLER LOCK REKENING</v>
      </c>
      <c r="BY827" s="80"/>
      <c r="BZ827" s="80"/>
      <c r="CA827" s="80"/>
      <c r="CB827" s="80"/>
      <c r="CC827" s="80"/>
      <c r="CD827" s="80"/>
      <c r="CE827" s="80"/>
      <c r="CF827" s="80"/>
      <c r="CG827" s="80"/>
      <c r="CH827" s="80"/>
      <c r="CI827" s="80"/>
      <c r="CJ827" s="80"/>
      <c r="CK827" s="2"/>
    </row>
    <row r="828" ht="12.75" customHeight="1">
      <c r="A828" s="85">
        <f>IFERROR(__xludf.DUMMYFUNCTION("""COMPUTED_VALUE"""),824.0)</f>
        <v>824</v>
      </c>
      <c r="B828" s="85"/>
      <c r="C828" s="85"/>
      <c r="D828" s="86">
        <f>IFERROR(__xludf.DUMMYFUNCTION("""COMPUTED_VALUE"""),46064.0)</f>
        <v>46064</v>
      </c>
      <c r="E828" s="88"/>
      <c r="F828" s="85"/>
      <c r="G828" s="86">
        <f>IFERROR(__xludf.DUMMYFUNCTION("""COMPUTED_VALUE"""),46094.0)</f>
        <v>46094</v>
      </c>
      <c r="H828" s="85"/>
      <c r="I828" s="85"/>
      <c r="J828" s="85"/>
      <c r="K828" s="85"/>
      <c r="L828" s="85">
        <f>IFERROR(__xludf.DUMMYFUNCTION("""COMPUTED_VALUE"""),30.0)</f>
        <v>30</v>
      </c>
      <c r="M828" s="85" t="str">
        <f>IFERROR(__xludf.DUMMYFUNCTION("""COMPUTED_VALUE"""),"ü")</f>
        <v>ü</v>
      </c>
      <c r="N828" s="85"/>
      <c r="O828" s="85"/>
      <c r="P828" s="85" t="str">
        <f>IFERROR(__xludf.DUMMYFUNCTION("""COMPUTED_VALUE"""),"MUCSPA63373PSIND")</f>
        <v>MUCSPA63373PSIND</v>
      </c>
      <c r="Q828" s="85" t="str">
        <f>IFERROR(__xludf.DUMMYFUNCTION("""COMPUTED_VALUE"""),"MUC ARIYA")</f>
        <v>MUC ARIYA</v>
      </c>
      <c r="R828" s="85" t="str">
        <f>IFERROR(__xludf.DUMMYFUNCTION("""COMPUTED_VALUE"""),"MUC ARIYA")</f>
        <v>MUC ARIYA</v>
      </c>
      <c r="S828" s="85" t="str">
        <f>IFERROR(__xludf.DUMMYFUNCTION("""COMPUTED_VALUE"""),"LIESTY NOER HABIBAH")</f>
        <v>LIESTY NOER HABIBAH</v>
      </c>
      <c r="T828" s="85" t="str">
        <f>IFERROR(__xludf.DUMMYFUNCTION("""COMPUTED_VALUE"""),"KRAJAN I RT.002 RW.001, WARUNGBAMBU, KARAWANG TIMUR, KAB. KARAWANG, JAWA BARAT")</f>
        <v>KRAJAN I RT.002 RW.001, WARUNGBAMBU, KARAWANG TIMUR, KAB. KARAWANG, JAWA BARAT</v>
      </c>
      <c r="U828" s="85" t="str">
        <f>IFERROR(__xludf.DUMMYFUNCTION("""COMPUTED_VALUE"""),"Jl. Wr. Bambu")</f>
        <v>Jl. Wr. Bambu</v>
      </c>
      <c r="V828" s="85"/>
      <c r="W828" s="85" t="str">
        <f>IFERROR(__xludf.DUMMYFUNCTION("""COMPUTED_VALUE"""),"Warungbambu")</f>
        <v>Warungbambu</v>
      </c>
      <c r="X828" s="85" t="str">
        <f>IFERROR(__xludf.DUMMYFUNCTION("""COMPUTED_VALUE"""),"Karawang Timur")</f>
        <v>Karawang Timur</v>
      </c>
      <c r="Y828" s="85" t="str">
        <f>IFERROR(__xludf.DUMMYFUNCTION("""COMPUTED_VALUE"""),"Kab. Karawang")</f>
        <v>Kab. Karawang</v>
      </c>
      <c r="Z828" s="85" t="str">
        <f>IFERROR(__xludf.DUMMYFUNCTION("""COMPUTED_VALUE"""),"Jawa Barat ")</f>
        <v>Jawa Barat </v>
      </c>
      <c r="AA828" s="85" t="str">
        <f>IFERROR(__xludf.DUMMYFUNCTION("""COMPUTED_VALUE"""),"41371")</f>
        <v>41371</v>
      </c>
      <c r="AB828" s="85" t="str">
        <f>IFERROR(__xludf.DUMMYFUNCTION("""COMPUTED_VALUE"""),"3215264409870005")</f>
        <v>3215264409870005</v>
      </c>
      <c r="AC828" s="85" t="str">
        <f>IFERROR(__xludf.DUMMYFUNCTION("""COMPUTED_VALUE"""),"36.168.062.2-408.000")</f>
        <v>36.168.062.2-408.000</v>
      </c>
      <c r="AD828" s="85" t="str">
        <f>IFERROR(__xludf.DUMMYFUNCTION("""COMPUTED_VALUE"""),"CUM - PS - SITI")</f>
        <v>CUM - PS - SITI</v>
      </c>
      <c r="AE828" s="85" t="str">
        <f>IFERROR(__xludf.DUMMYFUNCTION("""COMPUTED_VALUE"""),"BU GITA KCU KARAWANG")</f>
        <v>BU GITA KCU KARAWANG</v>
      </c>
      <c r="AF828" s="85" t="str">
        <f>IFERROR(__xludf.DUMMYFUNCTION("""COMPUTED_VALUE"""),"08561617777")</f>
        <v>08561617777</v>
      </c>
      <c r="AG828" s="85"/>
      <c r="AH828" s="85" t="str">
        <f>IFERROR(__xludf.DUMMYFUNCTION("""COMPUTED_VALUE"""),"posariya@outlook.com")</f>
        <v>posariya@outlook.com</v>
      </c>
      <c r="AI828" s="85" t="str">
        <f>IFERROR(__xludf.DUMMYFUNCTION("""COMPUTED_VALUE"""),"41323S1")</f>
        <v>41323S1</v>
      </c>
      <c r="AJ828" s="85" t="str">
        <f>IFERROR(__xludf.DUMMYFUNCTION("""COMPUTED_VALUE"""),"69b357d4dfaa719a2b07e489")</f>
        <v>69b357d4dfaa719a2b07e489</v>
      </c>
      <c r="AK828" s="85" t="str">
        <f>IFERROR(__xludf.DUMMYFUNCTION("""COMPUTED_VALUE"""),"posariya@outlook.com")</f>
        <v>posariya@outlook.com</v>
      </c>
      <c r="AL828" s="85" t="str">
        <f>IFERROR(__xludf.DUMMYFUNCTION("""COMPUTED_VALUE"""),"#Muc41323S1$")</f>
        <v>#Muc41323S1$</v>
      </c>
      <c r="AM828" s="85" t="str">
        <f>IFERROR(__xludf.DUMMYFUNCTION("""COMPUTED_VALUE"""),"KANTOR REGIONAL III BANDUNG 40004")</f>
        <v>KANTOR REGIONAL III BANDUNG 40004</v>
      </c>
      <c r="AN828" s="85" t="str">
        <f>IFERROR(__xludf.DUMMYFUNCTION("""COMPUTED_VALUE"""),"KCU KARAWANG 41300")</f>
        <v>KCU KARAWANG 41300</v>
      </c>
      <c r="AO828" s="85" t="str">
        <f>IFERROR(__xludf.DUMMYFUNCTION("""COMPUTED_VALUE"""),"MENYUSUL")</f>
        <v>MENYUSUL</v>
      </c>
      <c r="AP828" s="85" t="str">
        <f>IFERROR(__xludf.DUMMYFUNCTION("""COMPUTED_VALUE"""),"MENYUSUL")</f>
        <v>MENYUSUL</v>
      </c>
      <c r="AQ828" s="93"/>
      <c r="AR828" s="85"/>
      <c r="AS828" s="85"/>
      <c r="AT828" s="85" t="str">
        <f>IFERROR(__xludf.DUMMYFUNCTION("""COMPUTED_VALUE"""),"-6.3275695")</f>
        <v>-6.3275695</v>
      </c>
      <c r="AU828" s="85" t="str">
        <f>IFERROR(__xludf.DUMMYFUNCTION("""COMPUTED_VALUE"""),"107.329417")</f>
        <v>107.329417</v>
      </c>
      <c r="AV828" s="85"/>
      <c r="AW828" s="85"/>
      <c r="AX828" s="85"/>
      <c r="AY828" s="85"/>
      <c r="AZ828" s="85"/>
      <c r="BA828" s="85"/>
      <c r="BB828" s="85"/>
      <c r="BC828" s="85"/>
      <c r="BD828" s="85"/>
      <c r="BE828" s="85"/>
      <c r="BF828" s="85"/>
      <c r="BG828" s="85"/>
      <c r="BH828" s="85"/>
      <c r="BI828" s="85"/>
      <c r="BJ828" s="85"/>
      <c r="BK828" s="85"/>
      <c r="BL828" s="85"/>
      <c r="BM828" s="85"/>
      <c r="BN828" s="85"/>
      <c r="BO828" s="85"/>
      <c r="BP828" s="85"/>
      <c r="BQ828" s="85"/>
      <c r="BR828" s="85"/>
      <c r="BS828" s="85"/>
      <c r="BT828" s="85"/>
      <c r="BU828" s="85"/>
      <c r="BV828" s="85"/>
      <c r="BW828" s="85"/>
      <c r="BX828" s="85" t="str">
        <f>IFERROR(__xludf.DUMMYFUNCTION("""COMPUTED_VALUE"""),"NEWBIE")</f>
        <v>NEWBIE</v>
      </c>
      <c r="BY828" s="85"/>
      <c r="BZ828" s="85"/>
      <c r="CA828" s="85"/>
      <c r="CB828" s="85"/>
      <c r="CC828" s="85"/>
      <c r="CD828" s="85"/>
      <c r="CE828" s="85"/>
      <c r="CF828" s="85"/>
      <c r="CG828" s="85"/>
      <c r="CH828" s="85"/>
      <c r="CI828" s="85"/>
      <c r="CJ828" s="85"/>
      <c r="CK828" s="2"/>
    </row>
    <row r="829" ht="12.75" customHeight="1">
      <c r="A829" s="80">
        <f>IFERROR(__xludf.DUMMYFUNCTION("""COMPUTED_VALUE"""),825.0)</f>
        <v>825</v>
      </c>
      <c r="B829" s="80"/>
      <c r="C829" s="80"/>
      <c r="D829" s="81">
        <f>IFERROR(__xludf.DUMMYFUNCTION("""COMPUTED_VALUE"""),46064.0)</f>
        <v>46064</v>
      </c>
      <c r="E829" s="82"/>
      <c r="F829" s="80"/>
      <c r="G829" s="81">
        <f>IFERROR(__xludf.DUMMYFUNCTION("""COMPUTED_VALUE"""),46080.0)</f>
        <v>46080</v>
      </c>
      <c r="H829" s="80"/>
      <c r="I829" s="80"/>
      <c r="J829" s="80"/>
      <c r="K829" s="80"/>
      <c r="L829" s="80">
        <f>IFERROR(__xludf.DUMMYFUNCTION("""COMPUTED_VALUE"""),16.0)</f>
        <v>16</v>
      </c>
      <c r="M829" s="80" t="str">
        <f>IFERROR(__xludf.DUMMYFUNCTION("""COMPUTED_VALUE"""),"ü")</f>
        <v>ü</v>
      </c>
      <c r="N829" s="80"/>
      <c r="O829" s="80"/>
      <c r="P829" s="80" t="str">
        <f>IFERROR(__xludf.DUMMYFUNCTION("""COMPUTED_VALUE"""),"MUCSPA63374PSIND")</f>
        <v>MUCSPA63374PSIND</v>
      </c>
      <c r="Q829" s="80" t="str">
        <f>IFERROR(__xludf.DUMMYFUNCTION("""COMPUTED_VALUE"""),"MUC DHC")</f>
        <v>MUC DHC</v>
      </c>
      <c r="R829" s="80" t="str">
        <f>IFERROR(__xludf.DUMMYFUNCTION("""COMPUTED_VALUE"""),"MUC DHC")</f>
        <v>MUC DHC</v>
      </c>
      <c r="S829" s="80" t="str">
        <f>IFERROR(__xludf.DUMMYFUNCTION("""COMPUTED_VALUE"""),"MU'AMMAR MURSYID AL-MAUDUDI")</f>
        <v>MU'AMMAR MURSYID AL-MAUDUDI</v>
      </c>
      <c r="T829" s="80" t="str">
        <f>IFERROR(__xludf.DUMMYFUNCTION("""COMPUTED_VALUE"""),"PERUM MULIA RESIDENCE KAV A1, JL. MANUNGGAL 1 RT 5 RW 2")</f>
        <v>PERUM MULIA RESIDENCE KAV A1, JL. MANUNGGAL 1 RT 5 RW 2</v>
      </c>
      <c r="U829" s="80" t="str">
        <f>IFERROR(__xludf.DUMMYFUNCTION("""COMPUTED_VALUE"""),"JL. PLUPUH - SANGIRAN KM. 5DUKUH TAPRUKAN ")</f>
        <v>JL. PLUPUH - SANGIRAN KM. 5DUKUH TAPRUKAN </v>
      </c>
      <c r="V829" s="80"/>
      <c r="W829" s="80" t="str">
        <f>IFERROR(__xludf.DUMMYFUNCTION("""COMPUTED_VALUE"""),"PUNGSARI ")</f>
        <v>PUNGSARI </v>
      </c>
      <c r="X829" s="80" t="str">
        <f>IFERROR(__xludf.DUMMYFUNCTION("""COMPUTED_VALUE"""),"PLUPUH")</f>
        <v>PLUPUH</v>
      </c>
      <c r="Y829" s="80" t="str">
        <f>IFERROR(__xludf.DUMMYFUNCTION("""COMPUTED_VALUE"""),"KAB. SRAGEN ")</f>
        <v>KAB. SRAGEN </v>
      </c>
      <c r="Z829" s="80" t="str">
        <f>IFERROR(__xludf.DUMMYFUNCTION("""COMPUTED_VALUE"""),"JAWA TENGAH ")</f>
        <v>JAWA TENGAH </v>
      </c>
      <c r="AA829" s="80" t="str">
        <f>IFERROR(__xludf.DUMMYFUNCTION("""COMPUTED_VALUE"""),"57283")</f>
        <v>57283</v>
      </c>
      <c r="AB829" s="80" t="str">
        <f>IFERROR(__xludf.DUMMYFUNCTION("""COMPUTED_VALUE"""),"1608121403020001")</f>
        <v>1608121403020001</v>
      </c>
      <c r="AC829" s="80" t="str">
        <f>IFERROR(__xludf.DUMMYFUNCTION("""COMPUTED_VALUE"""),"1608 1214 0302 0001")</f>
        <v>1608 1214 0302 0001</v>
      </c>
      <c r="AD829" s="80" t="str">
        <f>IFERROR(__xludf.DUMMYFUNCTION("""COMPUTED_VALUE"""),"CUM - PS - SSL")</f>
        <v>CUM - PS - SSL</v>
      </c>
      <c r="AE829" s="80" t="str">
        <f>IFERROR(__xludf.DUMMYFUNCTION("""COMPUTED_VALUE"""),"SUB SUSILO POS")</f>
        <v>SUB SUSILO POS</v>
      </c>
      <c r="AF829" s="80" t="str">
        <f>IFERROR(__xludf.DUMMYFUNCTION("""COMPUTED_VALUE"""),"082241424483")</f>
        <v>082241424483</v>
      </c>
      <c r="AG829" s="80"/>
      <c r="AH829" s="80" t="str">
        <f>IFERROR(__xludf.DUMMYFUNCTION("""COMPUTED_VALUE"""),"muamardidi2002@gmail.com")</f>
        <v>muamardidi2002@gmail.com</v>
      </c>
      <c r="AI829" s="80" t="str">
        <f>IFERROR(__xludf.DUMMYFUNCTION("""COMPUTED_VALUE"""),"57283S1")</f>
        <v>57283S1</v>
      </c>
      <c r="AJ829" s="80" t="str">
        <f>IFERROR(__xludf.DUMMYFUNCTION("""COMPUTED_VALUE"""),"69a14e92ccb64c902e08e2c5")</f>
        <v>69a14e92ccb64c902e08e2c5</v>
      </c>
      <c r="AK829" s="80" t="str">
        <f>IFERROR(__xludf.DUMMYFUNCTION("""COMPUTED_VALUE"""),"muamardidi2002@gmail.com")</f>
        <v>muamardidi2002@gmail.com</v>
      </c>
      <c r="AL829" s="80" t="str">
        <f>IFERROR(__xludf.DUMMYFUNCTION("""COMPUTED_VALUE"""),"@Muc57283S1*")</f>
        <v>@Muc57283S1*</v>
      </c>
      <c r="AM829" s="80" t="str">
        <f>IFERROR(__xludf.DUMMYFUNCTION("""COMPUTED_VALUE"""),"KANTOR REGIONAL IV SEMARANG 50004")</f>
        <v>KANTOR REGIONAL IV SEMARANG 50004</v>
      </c>
      <c r="AN829" s="80" t="str">
        <f>IFERROR(__xludf.DUMMYFUNCTION("""COMPUTED_VALUE"""),"KC SRAGEN")</f>
        <v>KC SRAGEN</v>
      </c>
      <c r="AO829" s="80" t="str">
        <f>IFERROR(__xludf.DUMMYFUNCTION("""COMPUTED_VALUE"""),"MENYUSUL")</f>
        <v>MENYUSUL</v>
      </c>
      <c r="AP829" s="80" t="str">
        <f>IFERROR(__xludf.DUMMYFUNCTION("""COMPUTED_VALUE"""),"MENYUSUL")</f>
        <v>MENYUSUL</v>
      </c>
      <c r="AQ829" s="83"/>
      <c r="AR829" s="80"/>
      <c r="AS829" s="80"/>
      <c r="AT829" s="80" t="str">
        <f>IFERROR(__xludf.DUMMYFUNCTION("""COMPUTED_VALUE"""),"-7.4591912")</f>
        <v>-7.4591912</v>
      </c>
      <c r="AU829" s="80" t="str">
        <f>IFERROR(__xludf.DUMMYFUNCTION("""COMPUTED_VALUE"""),"110.8664011")</f>
        <v>110.8664011</v>
      </c>
      <c r="AV829" s="80"/>
      <c r="AW829" s="80"/>
      <c r="AX829" s="80"/>
      <c r="AY829" s="80"/>
      <c r="AZ829" s="80"/>
      <c r="BA829" s="80"/>
      <c r="BB829" s="80"/>
      <c r="BC829" s="80"/>
      <c r="BD829" s="80"/>
      <c r="BE829" s="80"/>
      <c r="BF829" s="80"/>
      <c r="BG829" s="80"/>
      <c r="BH829" s="80"/>
      <c r="BI829" s="80"/>
      <c r="BJ829" s="80"/>
      <c r="BK829" s="80"/>
      <c r="BL829" s="80"/>
      <c r="BM829" s="80"/>
      <c r="BN829" s="80"/>
      <c r="BO829" s="80"/>
      <c r="BP829" s="80"/>
      <c r="BQ829" s="80"/>
      <c r="BR829" s="80"/>
      <c r="BS829" s="80"/>
      <c r="BT829" s="80"/>
      <c r="BU829" s="80"/>
      <c r="BV829" s="80"/>
      <c r="BW829" s="80"/>
      <c r="BX829" s="80" t="str">
        <f>IFERROR(__xludf.DUMMYFUNCTION("""COMPUTED_VALUE"""),"NEWBIE")</f>
        <v>NEWBIE</v>
      </c>
      <c r="BY829" s="80"/>
      <c r="BZ829" s="80"/>
      <c r="CA829" s="80"/>
      <c r="CB829" s="80"/>
      <c r="CC829" s="80"/>
      <c r="CD829" s="80"/>
      <c r="CE829" s="80"/>
      <c r="CF829" s="80"/>
      <c r="CG829" s="80"/>
      <c r="CH829" s="80"/>
      <c r="CI829" s="80"/>
      <c r="CJ829" s="80"/>
      <c r="CK829" s="2"/>
    </row>
    <row r="830" ht="12.75" customHeight="1">
      <c r="A830" s="85">
        <f>IFERROR(__xludf.DUMMYFUNCTION("""COMPUTED_VALUE"""),826.0)</f>
        <v>826</v>
      </c>
      <c r="B830" s="85"/>
      <c r="C830" s="85"/>
      <c r="D830" s="86">
        <f>IFERROR(__xludf.DUMMYFUNCTION("""COMPUTED_VALUE"""),46064.0)</f>
        <v>46064</v>
      </c>
      <c r="E830" s="88"/>
      <c r="F830" s="85"/>
      <c r="G830" s="86">
        <f>IFERROR(__xludf.DUMMYFUNCTION("""COMPUTED_VALUE"""),46080.0)</f>
        <v>46080</v>
      </c>
      <c r="H830" s="85"/>
      <c r="I830" s="85"/>
      <c r="J830" s="85"/>
      <c r="K830" s="85"/>
      <c r="L830" s="85">
        <f>IFERROR(__xludf.DUMMYFUNCTION("""COMPUTED_VALUE"""),16.0)</f>
        <v>16</v>
      </c>
      <c r="M830" s="85" t="str">
        <f>IFERROR(__xludf.DUMMYFUNCTION("""COMPUTED_VALUE"""),"ü")</f>
        <v>ü</v>
      </c>
      <c r="N830" s="85"/>
      <c r="O830" s="85"/>
      <c r="P830" s="85" t="str">
        <f>IFERROR(__xludf.DUMMYFUNCTION("""COMPUTED_VALUE"""),"53BSPA09816JBEEN")</f>
        <v>53BSPA09816JBEEN</v>
      </c>
      <c r="Q830" s="85" t="str">
        <f>IFERROR(__xludf.DUMMYFUNCTION("""COMPUTED_VALUE"""),"MUC Gerai Paket 5758")</f>
        <v>MUC Gerai Paket 5758</v>
      </c>
      <c r="R830" s="85" t="str">
        <f>IFERROR(__xludf.DUMMYFUNCTION("""COMPUTED_VALUE"""),"MUC Gerai Paket 5758")</f>
        <v>MUC Gerai Paket 5758</v>
      </c>
      <c r="S830" s="85" t="str">
        <f>IFERROR(__xludf.DUMMYFUNCTION("""COMPUTED_VALUE"""),"MARULI SIANIPAR")</f>
        <v>MARULI SIANIPAR</v>
      </c>
      <c r="T830" s="85" t="str">
        <f>IFERROR(__xludf.DUMMYFUNCTION("""COMPUTED_VALUE"""),"SEROJA HOME RESIDENCE 2 BLOK C4 RT.001 RW.003, SEKARWANGI, SOREANG KAB. BANDUNG")</f>
        <v>SEROJA HOME RESIDENCE 2 BLOK C4 RT.001 RW.003, SEKARWANGI, SOREANG KAB. BANDUNG</v>
      </c>
      <c r="U830" s="85" t="str">
        <f>IFERROR(__xludf.DUMMYFUNCTION("""COMPUTED_VALUE"""),"Jl. Dulatip Jl. Belakang Pasar No.81")</f>
        <v>Jl. Dulatip Jl. Belakang Pasar No.81</v>
      </c>
      <c r="V830" s="85"/>
      <c r="W830" s="85" t="str">
        <f>IFERROR(__xludf.DUMMYFUNCTION("""COMPUTED_VALUE"""),"Kebon Jeruk")</f>
        <v>Kebon Jeruk</v>
      </c>
      <c r="X830" s="85" t="str">
        <f>IFERROR(__xludf.DUMMYFUNCTION("""COMPUTED_VALUE"""),"Andir")</f>
        <v>Andir</v>
      </c>
      <c r="Y830" s="85" t="str">
        <f>IFERROR(__xludf.DUMMYFUNCTION("""COMPUTED_VALUE"""),"Bandung")</f>
        <v>Bandung</v>
      </c>
      <c r="Z830" s="85" t="str">
        <f>IFERROR(__xludf.DUMMYFUNCTION("""COMPUTED_VALUE"""),"Jawa Barat ")</f>
        <v>Jawa Barat </v>
      </c>
      <c r="AA830" s="85" t="str">
        <f>IFERROR(__xludf.DUMMYFUNCTION("""COMPUTED_VALUE"""),"40181")</f>
        <v>40181</v>
      </c>
      <c r="AB830" s="85" t="str">
        <f>IFERROR(__xludf.DUMMYFUNCTION("""COMPUTED_VALUE"""),"3204094807900003")</f>
        <v>3204094807900003</v>
      </c>
      <c r="AC830" s="85" t="str">
        <f>IFERROR(__xludf.DUMMYFUNCTION("""COMPUTED_VALUE"""),"73.251.880.8-445.000")</f>
        <v>73.251.880.8-445.000</v>
      </c>
      <c r="AD830" s="85" t="str">
        <f>IFERROR(__xludf.DUMMYFUNCTION("""COMPUTED_VALUE"""),"CUM - EEN")</f>
        <v>CUM - EEN</v>
      </c>
      <c r="AE830" s="85" t="str">
        <f>IFERROR(__xludf.DUMMYFUNCTION("""COMPUTED_VALUE"""),"SUB EEN")</f>
        <v>SUB EEN</v>
      </c>
      <c r="AF830" s="85" t="str">
        <f>IFERROR(__xludf.DUMMYFUNCTION("""COMPUTED_VALUE"""),"081222011134")</f>
        <v>081222011134</v>
      </c>
      <c r="AG830" s="85"/>
      <c r="AH830" s="85" t="str">
        <f>IFERROR(__xludf.DUMMYFUNCTION("""COMPUTED_VALUE"""),"maruli.renson1@gmail.com")</f>
        <v>maruli.renson1@gmail.com</v>
      </c>
      <c r="AI830" s="85" t="str">
        <f>IFERROR(__xludf.DUMMYFUNCTION("""COMPUTED_VALUE"""),"40181S1")</f>
        <v>40181S1</v>
      </c>
      <c r="AJ830" s="85" t="str">
        <f>IFERROR(__xludf.DUMMYFUNCTION("""COMPUTED_VALUE"""),"69a118ffe5a0986a1b0da5b4")</f>
        <v>69a118ffe5a0986a1b0da5b4</v>
      </c>
      <c r="AK830" s="85" t="str">
        <f>IFERROR(__xludf.DUMMYFUNCTION("""COMPUTED_VALUE"""),"maruli.renson1@gmail.com")</f>
        <v>maruli.renson1@gmail.com</v>
      </c>
      <c r="AL830" s="85" t="str">
        <f>IFERROR(__xludf.DUMMYFUNCTION("""COMPUTED_VALUE"""),"!Muc40181S1%")</f>
        <v>!Muc40181S1%</v>
      </c>
      <c r="AM830" s="85" t="str">
        <f>IFERROR(__xludf.DUMMYFUNCTION("""COMPUTED_VALUE"""),"KANTOR REGIONAL III BANDUNG 40004")</f>
        <v>KANTOR REGIONAL III BANDUNG 40004</v>
      </c>
      <c r="AN830" s="85" t="str">
        <f>IFERROR(__xludf.DUMMYFUNCTION("""COMPUTED_VALUE"""),"KCU BANDUNG 40000")</f>
        <v>KCU BANDUNG 40000</v>
      </c>
      <c r="AO830" s="85" t="str">
        <f>IFERROR(__xludf.DUMMYFUNCTION("""COMPUTED_VALUE"""),"MENYUSUL")</f>
        <v>MENYUSUL</v>
      </c>
      <c r="AP830" s="85" t="str">
        <f>IFERROR(__xludf.DUMMYFUNCTION("""COMPUTED_VALUE"""),"MENYUSUL")</f>
        <v>MENYUSUL</v>
      </c>
      <c r="AQ830" s="93"/>
      <c r="AR830" s="85"/>
      <c r="AS830" s="85"/>
      <c r="AT830" s="85" t="str">
        <f>IFERROR(__xludf.DUMMYFUNCTION("""COMPUTED_VALUE"""),"-6.9172354")</f>
        <v>-6.9172354</v>
      </c>
      <c r="AU830" s="85" t="str">
        <f>IFERROR(__xludf.DUMMYFUNCTION("""COMPUTED_VALUE"""),"107.599572")</f>
        <v>107.599572</v>
      </c>
      <c r="AV830" s="85"/>
      <c r="AW830" s="85"/>
      <c r="AX830" s="85"/>
      <c r="AY830" s="85"/>
      <c r="AZ830" s="85"/>
      <c r="BA830" s="85"/>
      <c r="BB830" s="85"/>
      <c r="BC830" s="85"/>
      <c r="BD830" s="85"/>
      <c r="BE830" s="85"/>
      <c r="BF830" s="85"/>
      <c r="BG830" s="85"/>
      <c r="BH830" s="85"/>
      <c r="BI830" s="85"/>
      <c r="BJ830" s="85"/>
      <c r="BK830" s="85"/>
      <c r="BL830" s="85"/>
      <c r="BM830" s="85"/>
      <c r="BN830" s="85"/>
      <c r="BO830" s="85"/>
      <c r="BP830" s="85"/>
      <c r="BQ830" s="85"/>
      <c r="BR830" s="85"/>
      <c r="BS830" s="85"/>
      <c r="BT830" s="85"/>
      <c r="BU830" s="85"/>
      <c r="BV830" s="85"/>
      <c r="BW830" s="85"/>
      <c r="BX830" s="85" t="str">
        <f>IFERROR(__xludf.DUMMYFUNCTION("""COMPUTED_VALUE"""),"MULTIKURIR - TIKI")</f>
        <v>MULTIKURIR - TIKI</v>
      </c>
      <c r="BY830" s="85"/>
      <c r="BZ830" s="85"/>
      <c r="CA830" s="85"/>
      <c r="CB830" s="85"/>
      <c r="CC830" s="85"/>
      <c r="CD830" s="85"/>
      <c r="CE830" s="85"/>
      <c r="CF830" s="85"/>
      <c r="CG830" s="85"/>
      <c r="CH830" s="85"/>
      <c r="CI830" s="85"/>
      <c r="CJ830" s="85"/>
      <c r="CK830" s="2"/>
    </row>
    <row r="831" ht="12.75" customHeight="1">
      <c r="A831" s="80">
        <f>IFERROR(__xludf.DUMMYFUNCTION("""COMPUTED_VALUE"""),827.0)</f>
        <v>827</v>
      </c>
      <c r="B831" s="80"/>
      <c r="C831" s="80"/>
      <c r="D831" s="81">
        <f>IFERROR(__xludf.DUMMYFUNCTION("""COMPUTED_VALUE"""),46064.0)</f>
        <v>46064</v>
      </c>
      <c r="E831" s="82"/>
      <c r="F831" s="80"/>
      <c r="G831" s="81">
        <f>IFERROR(__xludf.DUMMYFUNCTION("""COMPUTED_VALUE"""),46083.0)</f>
        <v>46083</v>
      </c>
      <c r="H831" s="80"/>
      <c r="I831" s="80"/>
      <c r="J831" s="80"/>
      <c r="K831" s="80"/>
      <c r="L831" s="80">
        <f>IFERROR(__xludf.DUMMYFUNCTION("""COMPUTED_VALUE"""),19.0)</f>
        <v>19</v>
      </c>
      <c r="M831" s="80" t="str">
        <f>IFERROR(__xludf.DUMMYFUNCTION("""COMPUTED_VALUE"""),"ü")</f>
        <v>ü</v>
      </c>
      <c r="N831" s="80"/>
      <c r="O831" s="80"/>
      <c r="P831" s="80" t="str">
        <f>IFERROR(__xludf.DUMMYFUNCTION("""COMPUTED_VALUE"""),"53BSPA09889JBEEN ")</f>
        <v>53BSPA09889JBEEN </v>
      </c>
      <c r="Q831" s="80" t="str">
        <f>IFERROR(__xludf.DUMMYFUNCTION("""COMPUTED_VALUE"""),"MUC Multi Expedisi Loji")</f>
        <v>MUC Multi Expedisi Loji</v>
      </c>
      <c r="R831" s="80" t="str">
        <f>IFERROR(__xludf.DUMMYFUNCTION("""COMPUTED_VALUE"""),"MUC Multi Expedisi Loji")</f>
        <v>MUC Multi Expedisi Loji</v>
      </c>
      <c r="S831" s="80" t="str">
        <f>IFERROR(__xludf.DUMMYFUNCTION("""COMPUTED_VALUE"""),"VINA ARIVAN")</f>
        <v>VINA ARIVAN</v>
      </c>
      <c r="T831" s="80" t="str">
        <f>IFERROR(__xludf.DUMMYFUNCTION("""COMPUTED_VALUE"""),"BENDO RT.006 RW.004 WUKIRSARI, IMOGIRI, KAB. BANTUL")</f>
        <v>BENDO RT.006 RW.004 WUKIRSARI, IMOGIRI, KAB. BANTUL</v>
      </c>
      <c r="U831" s="80" t="str">
        <f>IFERROR(__xludf.DUMMYFUNCTION("""COMPUTED_VALUE"""),"jl. Sindang Barang Pengkolan No. 161")</f>
        <v>jl. Sindang Barang Pengkolan No. 161</v>
      </c>
      <c r="V831" s="80"/>
      <c r="W831" s="80" t="str">
        <f>IFERROR(__xludf.DUMMYFUNCTION("""COMPUTED_VALUE"""),"Loji")</f>
        <v>Loji</v>
      </c>
      <c r="X831" s="80" t="str">
        <f>IFERROR(__xludf.DUMMYFUNCTION("""COMPUTED_VALUE"""),"Bogor Barat")</f>
        <v>Bogor Barat</v>
      </c>
      <c r="Y831" s="80" t="str">
        <f>IFERROR(__xludf.DUMMYFUNCTION("""COMPUTED_VALUE"""),"Kota Bogor")</f>
        <v>Kota Bogor</v>
      </c>
      <c r="Z831" s="80" t="str">
        <f>IFERROR(__xludf.DUMMYFUNCTION("""COMPUTED_VALUE"""),"Jawa Barat")</f>
        <v>Jawa Barat</v>
      </c>
      <c r="AA831" s="80" t="str">
        <f>IFERROR(__xludf.DUMMYFUNCTION("""COMPUTED_VALUE"""),"16117")</f>
        <v>16117</v>
      </c>
      <c r="AB831" s="80" t="str">
        <f>IFERROR(__xludf.DUMMYFUNCTION("""COMPUTED_VALUE"""),"3402100707900001")</f>
        <v>3402100707900001</v>
      </c>
      <c r="AC831" s="80" t="str">
        <f>IFERROR(__xludf.DUMMYFUNCTION("""COMPUTED_VALUE"""),"70.745.732.1-543.000")</f>
        <v>70.745.732.1-543.000</v>
      </c>
      <c r="AD831" s="80" t="str">
        <f>IFERROR(__xludf.DUMMYFUNCTION("""COMPUTED_VALUE"""),"CUM - EEN")</f>
        <v>CUM - EEN</v>
      </c>
      <c r="AE831" s="80" t="str">
        <f>IFERROR(__xludf.DUMMYFUNCTION("""COMPUTED_VALUE"""),"SUB EEN")</f>
        <v>SUB EEN</v>
      </c>
      <c r="AF831" s="80" t="str">
        <f>IFERROR(__xludf.DUMMYFUNCTION("""COMPUTED_VALUE"""),"081387565249")</f>
        <v>081387565249</v>
      </c>
      <c r="AG831" s="80"/>
      <c r="AH831" s="80" t="str">
        <f>IFERROR(__xludf.DUMMYFUNCTION("""COMPUTED_VALUE"""),"ino.arivan79@gmail.com")</f>
        <v>ino.arivan79@gmail.com</v>
      </c>
      <c r="AI831" s="80" t="str">
        <f>IFERROR(__xludf.DUMMYFUNCTION("""COMPUTED_VALUE"""),"16117S1")</f>
        <v>16117S1</v>
      </c>
      <c r="AJ831" s="80" t="str">
        <f>IFERROR(__xludf.DUMMYFUNCTION("""COMPUTED_VALUE"""),"69a2b103d9e34f9d5d024d68")</f>
        <v>69a2b103d9e34f9d5d024d68</v>
      </c>
      <c r="AK831" s="80" t="str">
        <f>IFERROR(__xludf.DUMMYFUNCTION("""COMPUTED_VALUE"""),"ino.arivan79@gmail.com")</f>
        <v>ino.arivan79@gmail.com</v>
      </c>
      <c r="AL831" s="80" t="str">
        <f>IFERROR(__xludf.DUMMYFUNCTION("""COMPUTED_VALUE"""),"!Muc16117S1*")</f>
        <v>!Muc16117S1*</v>
      </c>
      <c r="AM831" s="80" t="str">
        <f>IFERROR(__xludf.DUMMYFUNCTION("""COMPUTED_VALUE"""),"KANTOR REGIONAL II JAKARTA 10004")</f>
        <v>KANTOR REGIONAL II JAKARTA 10004</v>
      </c>
      <c r="AN831" s="80" t="str">
        <f>IFERROR(__xludf.DUMMYFUNCTION("""COMPUTED_VALUE"""),"KCU BOGOR 16000")</f>
        <v>KCU BOGOR 16000</v>
      </c>
      <c r="AO831" s="80" t="str">
        <f>IFERROR(__xludf.DUMMYFUNCTION("""COMPUTED_VALUE"""),"MENYUSUL")</f>
        <v>MENYUSUL</v>
      </c>
      <c r="AP831" s="80" t="str">
        <f>IFERROR(__xludf.DUMMYFUNCTION("""COMPUTED_VALUE"""),"MENYUSUL")</f>
        <v>MENYUSUL</v>
      </c>
      <c r="AQ831" s="83"/>
      <c r="AR831" s="80"/>
      <c r="AS831" s="80"/>
      <c r="AT831" s="80" t="str">
        <f>IFERROR(__xludf.DUMMYFUNCTION("""COMPUTED_VALUE"""),"-6.5835142")</f>
        <v>-6.5835142</v>
      </c>
      <c r="AU831" s="80" t="str">
        <f>IFERROR(__xludf.DUMMYFUNCTION("""COMPUTED_VALUE"""),"106.7699103")</f>
        <v>106.7699103</v>
      </c>
      <c r="AV831" s="80"/>
      <c r="AW831" s="80"/>
      <c r="AX831" s="80"/>
      <c r="AY831" s="80"/>
      <c r="AZ831" s="80"/>
      <c r="BA831" s="80"/>
      <c r="BB831" s="80"/>
      <c r="BC831" s="80"/>
      <c r="BD831" s="80"/>
      <c r="BE831" s="80"/>
      <c r="BF831" s="80"/>
      <c r="BG831" s="80"/>
      <c r="BH831" s="80"/>
      <c r="BI831" s="80"/>
      <c r="BJ831" s="80"/>
      <c r="BK831" s="80"/>
      <c r="BL831" s="80"/>
      <c r="BM831" s="80"/>
      <c r="BN831" s="80"/>
      <c r="BO831" s="80"/>
      <c r="BP831" s="80"/>
      <c r="BQ831" s="80"/>
      <c r="BR831" s="80"/>
      <c r="BS831" s="80"/>
      <c r="BT831" s="80"/>
      <c r="BU831" s="80"/>
      <c r="BV831" s="80"/>
      <c r="BW831" s="80"/>
      <c r="BX831" s="80" t="str">
        <f>IFERROR(__xludf.DUMMYFUNCTION("""COMPUTED_VALUE"""),"MULTUKURIR - JNT CARGO")</f>
        <v>MULTUKURIR - JNT CARGO</v>
      </c>
      <c r="BY831" s="80"/>
      <c r="BZ831" s="80"/>
      <c r="CA831" s="80"/>
      <c r="CB831" s="80"/>
      <c r="CC831" s="80"/>
      <c r="CD831" s="80"/>
      <c r="CE831" s="80"/>
      <c r="CF831" s="80"/>
      <c r="CG831" s="80"/>
      <c r="CH831" s="80"/>
      <c r="CI831" s="80"/>
      <c r="CJ831" s="80"/>
      <c r="CK831" s="2"/>
    </row>
    <row r="832" ht="12.75" customHeight="1">
      <c r="A832" s="85">
        <f>IFERROR(__xludf.DUMMYFUNCTION("""COMPUTED_VALUE"""),828.0)</f>
        <v>828</v>
      </c>
      <c r="B832" s="85"/>
      <c r="C832" s="85"/>
      <c r="D832" s="86">
        <f>IFERROR(__xludf.DUMMYFUNCTION("""COMPUTED_VALUE"""),46064.0)</f>
        <v>46064</v>
      </c>
      <c r="E832" s="88"/>
      <c r="F832" s="85"/>
      <c r="G832" s="86">
        <f>IFERROR(__xludf.DUMMYFUNCTION("""COMPUTED_VALUE"""),46090.0)</f>
        <v>46090</v>
      </c>
      <c r="H832" s="85"/>
      <c r="I832" s="85"/>
      <c r="J832" s="85"/>
      <c r="K832" s="85"/>
      <c r="L832" s="85">
        <f>IFERROR(__xludf.DUMMYFUNCTION("""COMPUTED_VALUE"""),26.0)</f>
        <v>26</v>
      </c>
      <c r="M832" s="85" t="str">
        <f>IFERROR(__xludf.DUMMYFUNCTION("""COMPUTED_VALUE"""),"ü")</f>
        <v>ü</v>
      </c>
      <c r="N832" s="85"/>
      <c r="O832" s="85"/>
      <c r="P832" s="85" t="str">
        <f>IFERROR(__xludf.DUMMYFUNCTION("""COMPUTED_VALUE"""),"53BSPA09890JBEEN")</f>
        <v>53BSPA09890JBEEN</v>
      </c>
      <c r="Q832" s="85" t="str">
        <f>IFERROR(__xludf.DUMMYFUNCTION("""COMPUTED_VALUE"""),"MUC KEDUNGHALANG")</f>
        <v>MUC KEDUNGHALANG</v>
      </c>
      <c r="R832" s="85" t="str">
        <f>IFERROR(__xludf.DUMMYFUNCTION("""COMPUTED_VALUE"""),"MUC KEDUNGHALANG")</f>
        <v>MUC KEDUNGHALANG</v>
      </c>
      <c r="S832" s="85" t="str">
        <f>IFERROR(__xludf.DUMMYFUNCTION("""COMPUTED_VALUE"""),"SRI IRNA ANGGRAINI")</f>
        <v>SRI IRNA ANGGRAINI</v>
      </c>
      <c r="T832" s="85" t="str">
        <f>IFERROR(__xludf.DUMMYFUNCTION("""COMPUTED_VALUE"""),"VILLA BOGOR INDAH 3 BLOK AC 1 NO.6, RT.004 RW.015, KEDUNG HALANG, BOGOR UTARA, KOTA BOGOR")</f>
        <v>VILLA BOGOR INDAH 3 BLOK AC 1 NO.6, RT.004 RW.015, KEDUNG HALANG, BOGOR UTARA, KOTA BOGOR</v>
      </c>
      <c r="U832" s="85" t="str">
        <f>IFERROR(__xludf.DUMMYFUNCTION("""COMPUTED_VALUE"""),"deretan Toko Besi Sumber Baja Mandiri, Jl. Raya Pemda, RT.03/RW.02")</f>
        <v>deretan Toko Besi Sumber Baja Mandiri, Jl. Raya Pemda, RT.03/RW.02</v>
      </c>
      <c r="V832" s="85"/>
      <c r="W832" s="85" t="str">
        <f>IFERROR(__xludf.DUMMYFUNCTION("""COMPUTED_VALUE"""),"Kedunghalang")</f>
        <v>Kedunghalang</v>
      </c>
      <c r="X832" s="85" t="str">
        <f>IFERROR(__xludf.DUMMYFUNCTION("""COMPUTED_VALUE"""),"Bogor Utara")</f>
        <v>Bogor Utara</v>
      </c>
      <c r="Y832" s="85" t="str">
        <f>IFERROR(__xludf.DUMMYFUNCTION("""COMPUTED_VALUE"""),"Bogor")</f>
        <v>Bogor</v>
      </c>
      <c r="Z832" s="85" t="str">
        <f>IFERROR(__xludf.DUMMYFUNCTION("""COMPUTED_VALUE"""),"Jawa Barat")</f>
        <v>Jawa Barat</v>
      </c>
      <c r="AA832" s="85" t="str">
        <f>IFERROR(__xludf.DUMMYFUNCTION("""COMPUTED_VALUE"""),"16158")</f>
        <v>16158</v>
      </c>
      <c r="AB832" s="85" t="str">
        <f>IFERROR(__xludf.DUMMYFUNCTION("""COMPUTED_VALUE"""),"3271054703840016")</f>
        <v>3271054703840016</v>
      </c>
      <c r="AC832" s="85" t="str">
        <f>IFERROR(__xludf.DUMMYFUNCTION("""COMPUTED_VALUE"""),"3271 0547 0384 0016")</f>
        <v>3271 0547 0384 0016</v>
      </c>
      <c r="AD832" s="85" t="str">
        <f>IFERROR(__xludf.DUMMYFUNCTION("""COMPUTED_VALUE"""),"CUM - EEN")</f>
        <v>CUM - EEN</v>
      </c>
      <c r="AE832" s="85" t="str">
        <f>IFERROR(__xludf.DUMMYFUNCTION("""COMPUTED_VALUE"""),"SUB EEN")</f>
        <v>SUB EEN</v>
      </c>
      <c r="AF832" s="85" t="str">
        <f>IFERROR(__xludf.DUMMYFUNCTION("""COMPUTED_VALUE"""),"085311072324")</f>
        <v>085311072324</v>
      </c>
      <c r="AG832" s="85"/>
      <c r="AH832" s="85" t="str">
        <f>IFERROR(__xludf.DUMMYFUNCTION("""COMPUTED_VALUE"""),"lionparcel.kedunghalangbogor@gmail.com")</f>
        <v>lionparcel.kedunghalangbogor@gmail.com</v>
      </c>
      <c r="AI832" s="85" t="str">
        <f>IFERROR(__xludf.DUMMYFUNCTION("""COMPUTED_VALUE"""),"16158S1")</f>
        <v>16158S1</v>
      </c>
      <c r="AJ832" s="85" t="str">
        <f>IFERROR(__xludf.DUMMYFUNCTION("""COMPUTED_VALUE"""),"69ab94620cb2464e440ccd2d")</f>
        <v>69ab94620cb2464e440ccd2d</v>
      </c>
      <c r="AK832" s="85" t="str">
        <f>IFERROR(__xludf.DUMMYFUNCTION("""COMPUTED_VALUE"""),"lionparcel.kedunghalangbogor@gmail.com")</f>
        <v>lionparcel.kedunghalangbogor@gmail.com</v>
      </c>
      <c r="AL832" s="85" t="str">
        <f>IFERROR(__xludf.DUMMYFUNCTION("""COMPUTED_VALUE"""),"#Muc16158S1$")</f>
        <v>#Muc16158S1$</v>
      </c>
      <c r="AM832" s="85" t="str">
        <f>IFERROR(__xludf.DUMMYFUNCTION("""COMPUTED_VALUE"""),"KANTOR REGIONAL II JAKARTA 10004")</f>
        <v>KANTOR REGIONAL II JAKARTA 10004</v>
      </c>
      <c r="AN832" s="85" t="str">
        <f>IFERROR(__xludf.DUMMYFUNCTION("""COMPUTED_VALUE"""),"KCU BOGOR 16000")</f>
        <v>KCU BOGOR 16000</v>
      </c>
      <c r="AO832" s="85" t="str">
        <f>IFERROR(__xludf.DUMMYFUNCTION("""COMPUTED_VALUE"""),"1802260106543")</f>
        <v>1802260106543</v>
      </c>
      <c r="AP832" s="85" t="str">
        <f>IFERROR(__xludf.DUMMYFUNCTION("""COMPUTED_VALUE"""),"18022601065430001")</f>
        <v>18022601065430001</v>
      </c>
      <c r="AQ832" s="93"/>
      <c r="AR832" s="85"/>
      <c r="AS832" s="85"/>
      <c r="AT832" s="85" t="str">
        <f>IFERROR(__xludf.DUMMYFUNCTION("""COMPUTED_VALUE"""),"-6.5477532")</f>
        <v>-6.5477532</v>
      </c>
      <c r="AU832" s="85" t="str">
        <f>IFERROR(__xludf.DUMMYFUNCTION("""COMPUTED_VALUE"""),"106.8060644")</f>
        <v>106.8060644</v>
      </c>
      <c r="AV832" s="85"/>
      <c r="AW832" s="85"/>
      <c r="AX832" s="85"/>
      <c r="AY832" s="85"/>
      <c r="AZ832" s="85"/>
      <c r="BA832" s="85"/>
      <c r="BB832" s="85"/>
      <c r="BC832" s="85"/>
      <c r="BD832" s="85"/>
      <c r="BE832" s="85"/>
      <c r="BF832" s="85"/>
      <c r="BG832" s="85"/>
      <c r="BH832" s="85"/>
      <c r="BI832" s="85"/>
      <c r="BJ832" s="85"/>
      <c r="BK832" s="85"/>
      <c r="BL832" s="85"/>
      <c r="BM832" s="85"/>
      <c r="BN832" s="85"/>
      <c r="BO832" s="85"/>
      <c r="BP832" s="85"/>
      <c r="BQ832" s="85"/>
      <c r="BR832" s="85"/>
      <c r="BS832" s="85"/>
      <c r="BT832" s="85"/>
      <c r="BU832" s="85"/>
      <c r="BV832" s="85"/>
      <c r="BW832" s="85"/>
      <c r="BX832" s="85" t="str">
        <f>IFERROR(__xludf.DUMMYFUNCTION("""COMPUTED_VALUE"""),"MULTIKURIR - LION PARCEL")</f>
        <v>MULTIKURIR - LION PARCEL</v>
      </c>
      <c r="BY832" s="85"/>
      <c r="BZ832" s="85"/>
      <c r="CA832" s="85"/>
      <c r="CB832" s="85"/>
      <c r="CC832" s="85"/>
      <c r="CD832" s="85"/>
      <c r="CE832" s="85"/>
      <c r="CF832" s="85"/>
      <c r="CG832" s="85"/>
      <c r="CH832" s="85"/>
      <c r="CI832" s="85"/>
      <c r="CJ832" s="85"/>
      <c r="CK832" s="2"/>
    </row>
    <row r="833" ht="12.75" customHeight="1">
      <c r="A833" s="80">
        <f>IFERROR(__xludf.DUMMYFUNCTION("""COMPUTED_VALUE"""),829.0)</f>
        <v>829</v>
      </c>
      <c r="B833" s="80"/>
      <c r="C833" s="80"/>
      <c r="D833" s="81">
        <f>IFERROR(__xludf.DUMMYFUNCTION("""COMPUTED_VALUE"""),46065.0)</f>
        <v>46065</v>
      </c>
      <c r="E833" s="82"/>
      <c r="F833" s="80"/>
      <c r="G833" s="81"/>
      <c r="H833" s="80"/>
      <c r="I833" s="80"/>
      <c r="J833" s="80"/>
      <c r="K833" s="80"/>
      <c r="L833" s="80"/>
      <c r="M833" s="80" t="str">
        <f>IFERROR(__xludf.DUMMYFUNCTION("""COMPUTED_VALUE"""),"ü")</f>
        <v>ü</v>
      </c>
      <c r="N833" s="80"/>
      <c r="O833" s="80"/>
      <c r="P833" s="80" t="str">
        <f>IFERROR(__xludf.DUMMYFUNCTION("""COMPUTED_VALUE"""),"52BSPA07802JTAMT")</f>
        <v>52BSPA07802JTAMT</v>
      </c>
      <c r="Q833" s="80" t="str">
        <f>IFERROR(__xludf.DUMMYFUNCTION("""COMPUTED_VALUE"""),"MUC Karimata Semarang")</f>
        <v>MUC Karimata Semarang</v>
      </c>
      <c r="R833" s="80" t="str">
        <f>IFERROR(__xludf.DUMMYFUNCTION("""COMPUTED_VALUE"""),"MUC Karimata Semarang")</f>
        <v>MUC Karimata Semarang</v>
      </c>
      <c r="S833" s="80" t="str">
        <f>IFERROR(__xludf.DUMMYFUNCTION("""COMPUTED_VALUE"""),"Budi Gunawan")</f>
        <v>Budi Gunawan</v>
      </c>
      <c r="T833" s="80" t="str">
        <f>IFERROR(__xludf.DUMMYFUNCTION("""COMPUTED_VALUE"""),"Jl Karimata no 9 Semarang")</f>
        <v>Jl Karimata no 9 Semarang</v>
      </c>
      <c r="U833" s="80" t="str">
        <f>IFERROR(__xludf.DUMMYFUNCTION("""COMPUTED_VALUE"""),"Jl Karimata no 9 ")</f>
        <v>Jl Karimata no 9 </v>
      </c>
      <c r="V833" s="80"/>
      <c r="W833" s="80" t="str">
        <f>IFERROR(__xludf.DUMMYFUNCTION("""COMPUTED_VALUE"""),"Karangtempel")</f>
        <v>Karangtempel</v>
      </c>
      <c r="X833" s="80" t="str">
        <f>IFERROR(__xludf.DUMMYFUNCTION("""COMPUTED_VALUE"""),"Semarang Timur")</f>
        <v>Semarang Timur</v>
      </c>
      <c r="Y833" s="80" t="str">
        <f>IFERROR(__xludf.DUMMYFUNCTION("""COMPUTED_VALUE"""),"Semarang")</f>
        <v>Semarang</v>
      </c>
      <c r="Z833" s="80" t="str">
        <f>IFERROR(__xludf.DUMMYFUNCTION("""COMPUTED_VALUE"""),"Jawa Tengah")</f>
        <v>Jawa Tengah</v>
      </c>
      <c r="AA833" s="80" t="str">
        <f>IFERROR(__xludf.DUMMYFUNCTION("""COMPUTED_VALUE"""),"50125")</f>
        <v>50125</v>
      </c>
      <c r="AB833" s="80" t="str">
        <f>IFERROR(__xludf.DUMMYFUNCTION("""COMPUTED_VALUE"""),"3374012210750002")</f>
        <v>3374012210750002</v>
      </c>
      <c r="AC833" s="80" t="str">
        <f>IFERROR(__xludf.DUMMYFUNCTION("""COMPUTED_VALUE"""),"49.637.976.9-004.000")</f>
        <v>49.637.976.9-004.000</v>
      </c>
      <c r="AD833" s="80" t="str">
        <f>IFERROR(__xludf.DUMMYFUNCTION("""COMPUTED_VALUE"""),"CUM - AMT")</f>
        <v>CUM - AMT</v>
      </c>
      <c r="AE833" s="80" t="str">
        <f>IFERROR(__xludf.DUMMYFUNCTION("""COMPUTED_VALUE"""),"SUB AMINARTI")</f>
        <v>SUB AMINARTI</v>
      </c>
      <c r="AF833" s="80" t="str">
        <f>IFERROR(__xludf.DUMMYFUNCTION("""COMPUTED_VALUE"""),"088806509674")</f>
        <v>088806509674</v>
      </c>
      <c r="AG833" s="80"/>
      <c r="AH833" s="80" t="str">
        <f>IFERROR(__xludf.DUMMYFUNCTION("""COMPUTED_VALUE"""),"budi.gun.bg@gmail.com")</f>
        <v>budi.gun.bg@gmail.com</v>
      </c>
      <c r="AI833" s="80"/>
      <c r="AJ833" s="80"/>
      <c r="AK833" s="80"/>
      <c r="AL833" s="80"/>
      <c r="AM833" s="80" t="str">
        <f>IFERROR(__xludf.DUMMYFUNCTION("""COMPUTED_VALUE"""),"KANTOR REGIONAL IV SEMARANG 50004")</f>
        <v>KANTOR REGIONAL IV SEMARANG 50004</v>
      </c>
      <c r="AN833" s="80" t="str">
        <f>IFERROR(__xludf.DUMMYFUNCTION("""COMPUTED_VALUE"""),"KCU SEMARANG 50000")</f>
        <v>KCU SEMARANG 50000</v>
      </c>
      <c r="AO833" s="80" t="str">
        <f>IFERROR(__xludf.DUMMYFUNCTION("""COMPUTED_VALUE"""),"MENYUSUL")</f>
        <v>MENYUSUL</v>
      </c>
      <c r="AP833" s="80" t="str">
        <f>IFERROR(__xludf.DUMMYFUNCTION("""COMPUTED_VALUE"""),"MENYUSUL")</f>
        <v>MENYUSUL</v>
      </c>
      <c r="AQ833" s="83"/>
      <c r="AR833" s="80"/>
      <c r="AS833" s="80"/>
      <c r="AT833" s="80" t="str">
        <f>IFERROR(__xludf.DUMMYFUNCTION("""COMPUTED_VALUE"""),"-6.9866538")</f>
        <v>-6.9866538</v>
      </c>
      <c r="AU833" s="80" t="str">
        <f>IFERROR(__xludf.DUMMYFUNCTION("""COMPUTED_VALUE"""),"110.439273")</f>
        <v>110.439273</v>
      </c>
      <c r="AV833" s="80"/>
      <c r="AW833" s="80"/>
      <c r="AX833" s="80"/>
      <c r="AY833" s="80"/>
      <c r="AZ833" s="80"/>
      <c r="BA833" s="80"/>
      <c r="BB833" s="80"/>
      <c r="BC833" s="80"/>
      <c r="BD833" s="80"/>
      <c r="BE833" s="80"/>
      <c r="BF833" s="80"/>
      <c r="BG833" s="80"/>
      <c r="BH833" s="80"/>
      <c r="BI833" s="80"/>
      <c r="BJ833" s="80"/>
      <c r="BK833" s="80"/>
      <c r="BL833" s="80"/>
      <c r="BM833" s="80"/>
      <c r="BN833" s="80"/>
      <c r="BO833" s="80"/>
      <c r="BP833" s="80"/>
      <c r="BQ833" s="80"/>
      <c r="BR833" s="80"/>
      <c r="BS833" s="80"/>
      <c r="BT833" s="80"/>
      <c r="BU833" s="80"/>
      <c r="BV833" s="80"/>
      <c r="BW833" s="80"/>
      <c r="BX833" s="80" t="str">
        <f>IFERROR(__xludf.DUMMYFUNCTION("""COMPUTED_VALUE"""),"MULTIKURIR - LION PARCEL")</f>
        <v>MULTIKURIR - LION PARCEL</v>
      </c>
      <c r="BY833" s="80"/>
      <c r="BZ833" s="80"/>
      <c r="CA833" s="80"/>
      <c r="CB833" s="80"/>
      <c r="CC833" s="80"/>
      <c r="CD833" s="80"/>
      <c r="CE833" s="80"/>
      <c r="CF833" s="80"/>
      <c r="CG833" s="80"/>
      <c r="CH833" s="80"/>
      <c r="CI833" s="80"/>
      <c r="CJ833" s="80"/>
      <c r="CK833" s="2"/>
    </row>
    <row r="834" ht="12.75" customHeight="1">
      <c r="A834" s="85">
        <f>IFERROR(__xludf.DUMMYFUNCTION("""COMPUTED_VALUE"""),830.0)</f>
        <v>830</v>
      </c>
      <c r="B834" s="85"/>
      <c r="C834" s="85"/>
      <c r="D834" s="86">
        <f>IFERROR(__xludf.DUMMYFUNCTION("""COMPUTED_VALUE"""),46065.0)</f>
        <v>46065</v>
      </c>
      <c r="E834" s="88"/>
      <c r="F834" s="85"/>
      <c r="G834" s="86">
        <f>IFERROR(__xludf.DUMMYFUNCTION("""COMPUTED_VALUE"""),46071.0)</f>
        <v>46071</v>
      </c>
      <c r="H834" s="85"/>
      <c r="I834" s="85"/>
      <c r="J834" s="85"/>
      <c r="K834" s="85"/>
      <c r="L834" s="85">
        <f>IFERROR(__xludf.DUMMYFUNCTION("""COMPUTED_VALUE"""),6.0)</f>
        <v>6</v>
      </c>
      <c r="M834" s="85"/>
      <c r="N834" s="85" t="str">
        <f>IFERROR(__xludf.DUMMYFUNCTION("""COMPUTED_VALUE"""),"ü")</f>
        <v>ü</v>
      </c>
      <c r="O834" s="85"/>
      <c r="P834" s="85" t="str">
        <f>IFERROR(__xludf.DUMMYFUNCTION("""COMPUTED_VALUE"""),"MLO5500073CUMPOS")</f>
        <v>MLO5500073CUMPOS</v>
      </c>
      <c r="Q834" s="85" t="str">
        <f>IFERROR(__xludf.DUMMYFUNCTION("""COMPUTED_VALUE"""),"[L] MUC PRATAMA")</f>
        <v>[L] MUC PRATAMA</v>
      </c>
      <c r="R834" s="85" t="str">
        <f>IFERROR(__xludf.DUMMYFUNCTION("""COMPUTED_VALUE"""),"[L] MUC PRATAMA")</f>
        <v>[L] MUC PRATAMA</v>
      </c>
      <c r="S834" s="85" t="str">
        <f>IFERROR(__xludf.DUMMYFUNCTION("""COMPUTED_VALUE"""),"JUNIAR INDRA PRATAMA")</f>
        <v>JUNIAR INDRA PRATAMA</v>
      </c>
      <c r="T834" s="85" t="str">
        <f>IFERROR(__xludf.DUMMYFUNCTION("""COMPUTED_VALUE"""),"DUSUN PAHING, RT.003 RW.002, LINGGASANA, CILIMUS, KAB. KUNINGAN")</f>
        <v>DUSUN PAHING, RT.003 RW.002, LINGGASANA, CILIMUS, KAB. KUNINGAN</v>
      </c>
      <c r="U834" s="85" t="str">
        <f>IFERROR(__xludf.DUMMYFUNCTION("""COMPUTED_VALUE"""),"Jl. Cut Nyak Dhien, RT.002/RW.001, lingkungan ciketug")</f>
        <v>Jl. Cut Nyak Dhien, RT.002/RW.001, lingkungan ciketug</v>
      </c>
      <c r="V834" s="85"/>
      <c r="W834" s="85" t="str">
        <f>IFERROR(__xludf.DUMMYFUNCTION("""COMPUTED_VALUE"""),"Ciporang")</f>
        <v>Ciporang</v>
      </c>
      <c r="X834" s="85" t="str">
        <f>IFERROR(__xludf.DUMMYFUNCTION("""COMPUTED_VALUE"""),"Kuningan")</f>
        <v>Kuningan</v>
      </c>
      <c r="Y834" s="85" t="str">
        <f>IFERROR(__xludf.DUMMYFUNCTION("""COMPUTED_VALUE"""),"Kabupaten Kuningan")</f>
        <v>Kabupaten Kuningan</v>
      </c>
      <c r="Z834" s="85" t="str">
        <f>IFERROR(__xludf.DUMMYFUNCTION("""COMPUTED_VALUE"""),"Jawa Barat")</f>
        <v>Jawa Barat</v>
      </c>
      <c r="AA834" s="85" t="str">
        <f>IFERROR(__xludf.DUMMYFUNCTION("""COMPUTED_VALUE"""),"45514")</f>
        <v>45514</v>
      </c>
      <c r="AB834" s="85" t="str">
        <f>IFERROR(__xludf.DUMMYFUNCTION("""COMPUTED_VALUE"""),"3208091806970015")</f>
        <v>3208091806970015</v>
      </c>
      <c r="AC834" s="85" t="str">
        <f>IFERROR(__xludf.DUMMYFUNCTION("""COMPUTED_VALUE"""),"3208 0918 0697 0015")</f>
        <v>3208 0918 0697 0015</v>
      </c>
      <c r="AD834" s="85" t="str">
        <f>IFERROR(__xludf.DUMMYFUNCTION("""COMPUTED_VALUE"""),"CUM - PS - ANO")</f>
        <v>CUM - PS - ANO</v>
      </c>
      <c r="AE834" s="85" t="str">
        <f>IFERROR(__xludf.DUMMYFUNCTION("""COMPUTED_VALUE"""),"SUB ANO WASNO")</f>
        <v>SUB ANO WASNO</v>
      </c>
      <c r="AF834" s="85" t="str">
        <f>IFERROR(__xludf.DUMMYFUNCTION("""COMPUTED_VALUE"""),"081224693520")</f>
        <v>081224693520</v>
      </c>
      <c r="AG834" s="85"/>
      <c r="AH834" s="85" t="str">
        <f>IFERROR(__xludf.DUMMYFUNCTION("""COMPUTED_VALUE"""),"juniarindrapratama@gmail.com")</f>
        <v>juniarindrapratama@gmail.com</v>
      </c>
      <c r="AI834" s="85" t="str">
        <f>IFERROR(__xludf.DUMMYFUNCTION("""COMPUTED_VALUE"""),"45514S5")</f>
        <v>45514S5</v>
      </c>
      <c r="AJ834" s="85" t="str">
        <f>IFERROR(__xludf.DUMMYFUNCTION("""COMPUTED_VALUE"""),"6992ccbe0e50dfa4220285c8")</f>
        <v>6992ccbe0e50dfa4220285c8</v>
      </c>
      <c r="AK834" s="85"/>
      <c r="AL834" s="85"/>
      <c r="AM834" s="85" t="str">
        <f>IFERROR(__xludf.DUMMYFUNCTION("""COMPUTED_VALUE"""),"KANTOR REGIONAL III BANDUNG 40004")</f>
        <v>KANTOR REGIONAL III BANDUNG 40004</v>
      </c>
      <c r="AN834" s="85" t="str">
        <f>IFERROR(__xludf.DUMMYFUNCTION("""COMPUTED_VALUE"""),"KC KUNINGAN")</f>
        <v>KC KUNINGAN</v>
      </c>
      <c r="AO834" s="85" t="str">
        <f>IFERROR(__xludf.DUMMYFUNCTION("""COMPUTED_VALUE"""),"MENYUSUL")</f>
        <v>MENYUSUL</v>
      </c>
      <c r="AP834" s="85" t="str">
        <f>IFERROR(__xludf.DUMMYFUNCTION("""COMPUTED_VALUE"""),"MENYUSUL")</f>
        <v>MENYUSUL</v>
      </c>
      <c r="AQ834" s="93"/>
      <c r="AR834" s="85"/>
      <c r="AS834" s="85"/>
      <c r="AT834" s="85" t="str">
        <f>IFERROR(__xludf.DUMMYFUNCTION("""COMPUTED_VALUE"""),"-6.9706304")</f>
        <v>-6.9706304</v>
      </c>
      <c r="AU834" s="85" t="str">
        <f>IFERROR(__xludf.DUMMYFUNCTION("""COMPUTED_VALUE"""),"108.5012931")</f>
        <v>108.5012931</v>
      </c>
      <c r="AV834" s="85"/>
      <c r="AW834" s="85"/>
      <c r="AX834" s="85"/>
      <c r="AY834" s="85"/>
      <c r="AZ834" s="85"/>
      <c r="BA834" s="85"/>
      <c r="BB834" s="85"/>
      <c r="BC834" s="85"/>
      <c r="BD834" s="85"/>
      <c r="BE834" s="85"/>
      <c r="BF834" s="85"/>
      <c r="BG834" s="85"/>
      <c r="BH834" s="85"/>
      <c r="BI834" s="85"/>
      <c r="BJ834" s="85"/>
      <c r="BK834" s="85"/>
      <c r="BL834" s="85"/>
      <c r="BM834" s="85"/>
      <c r="BN834" s="85"/>
      <c r="BO834" s="85"/>
      <c r="BP834" s="85"/>
      <c r="BQ834" s="85"/>
      <c r="BR834" s="85"/>
      <c r="BS834" s="85"/>
      <c r="BT834" s="85"/>
      <c r="BU834" s="85"/>
      <c r="BV834" s="85"/>
      <c r="BW834" s="85"/>
      <c r="BX834" s="85" t="str">
        <f>IFERROR(__xludf.DUMMYFUNCTION("""COMPUTED_VALUE"""),"SELLER LOCK REKENING")</f>
        <v>SELLER LOCK REKENING</v>
      </c>
      <c r="BY834" s="85"/>
      <c r="BZ834" s="85"/>
      <c r="CA834" s="85"/>
      <c r="CB834" s="85"/>
      <c r="CC834" s="85"/>
      <c r="CD834" s="85"/>
      <c r="CE834" s="85"/>
      <c r="CF834" s="85"/>
      <c r="CG834" s="85"/>
      <c r="CH834" s="85"/>
      <c r="CI834" s="85"/>
      <c r="CJ834" s="85"/>
      <c r="CK834" s="2"/>
    </row>
    <row r="835" ht="12.75" customHeight="1">
      <c r="A835" s="80">
        <f>IFERROR(__xludf.DUMMYFUNCTION("""COMPUTED_VALUE"""),831.0)</f>
        <v>831</v>
      </c>
      <c r="B835" s="80"/>
      <c r="C835" s="80"/>
      <c r="D835" s="81">
        <f>IFERROR(__xludf.DUMMYFUNCTION("""COMPUTED_VALUE"""),46065.0)</f>
        <v>46065</v>
      </c>
      <c r="E835" s="82"/>
      <c r="F835" s="80"/>
      <c r="G835" s="81">
        <f>IFERROR(__xludf.DUMMYFUNCTION("""COMPUTED_VALUE"""),46083.0)</f>
        <v>46083</v>
      </c>
      <c r="H835" s="80"/>
      <c r="I835" s="80"/>
      <c r="J835" s="80"/>
      <c r="K835" s="80"/>
      <c r="L835" s="80">
        <f>IFERROR(__xludf.DUMMYFUNCTION("""COMPUTED_VALUE"""),18.0)</f>
        <v>18</v>
      </c>
      <c r="M835" s="80" t="str">
        <f>IFERROR(__xludf.DUMMYFUNCTION("""COMPUTED_VALUE"""),"ü")</f>
        <v>ü</v>
      </c>
      <c r="N835" s="80"/>
      <c r="O835" s="80"/>
      <c r="P835" s="80" t="str">
        <f>IFERROR(__xludf.DUMMYFUNCTION("""COMPUTED_VALUE"""),"MUCSPA63375PSIND")</f>
        <v>MUCSPA63375PSIND</v>
      </c>
      <c r="Q835" s="80" t="str">
        <f>IFERROR(__xludf.DUMMYFUNCTION("""COMPUTED_VALUE"""),"MUC KALIWULU")</f>
        <v>MUC KALIWULU</v>
      </c>
      <c r="R835" s="80" t="str">
        <f>IFERROR(__xludf.DUMMYFUNCTION("""COMPUTED_VALUE"""),"MUC KALIWULU")</f>
        <v>MUC KALIWULU</v>
      </c>
      <c r="S835" s="80" t="str">
        <f>IFERROR(__xludf.DUMMYFUNCTION("""COMPUTED_VALUE"""),"REZZA RIZKIYANA")</f>
        <v>REZZA RIZKIYANA</v>
      </c>
      <c r="T835" s="80" t="str">
        <f>IFERROR(__xludf.DUMMYFUNCTION("""COMPUTED_VALUE"""),"Blok Tonggo RT/RW 006/002 Desa Kaliwulu Kec. Plered")</f>
        <v>Blok Tonggo RT/RW 006/002 Desa Kaliwulu Kec. Plered</v>
      </c>
      <c r="U835" s="80" t="str">
        <f>IFERROR(__xludf.DUMMYFUNCTION("""COMPUTED_VALUE"""),"Blok Tonggo RT/RW 006/002 ")</f>
        <v>Blok Tonggo RT/RW 006/002 </v>
      </c>
      <c r="V835" s="80"/>
      <c r="W835" s="80" t="str">
        <f>IFERROR(__xludf.DUMMYFUNCTION("""COMPUTED_VALUE"""),"Kaliwulu")</f>
        <v>Kaliwulu</v>
      </c>
      <c r="X835" s="80" t="str">
        <f>IFERROR(__xludf.DUMMYFUNCTION("""COMPUTED_VALUE"""),"Plered")</f>
        <v>Plered</v>
      </c>
      <c r="Y835" s="80" t="str">
        <f>IFERROR(__xludf.DUMMYFUNCTION("""COMPUTED_VALUE"""),"Cirebon ")</f>
        <v>Cirebon </v>
      </c>
      <c r="Z835" s="80" t="str">
        <f>IFERROR(__xludf.DUMMYFUNCTION("""COMPUTED_VALUE"""),"Jawa Barat")</f>
        <v>Jawa Barat</v>
      </c>
      <c r="AA835" s="80" t="str">
        <f>IFERROR(__xludf.DUMMYFUNCTION("""COMPUTED_VALUE"""),"45154")</f>
        <v>45154</v>
      </c>
      <c r="AB835" s="80" t="str">
        <f>IFERROR(__xludf.DUMMYFUNCTION("""COMPUTED_VALUE"""),"3274020606940008")</f>
        <v>3274020606940008</v>
      </c>
      <c r="AC835" s="80" t="str">
        <f>IFERROR(__xludf.DUMMYFUNCTION("""COMPUTED_VALUE"""),"83.503.637.7-426.000")</f>
        <v>83.503.637.7-426.000</v>
      </c>
      <c r="AD835" s="80" t="str">
        <f>IFERROR(__xludf.DUMMYFUNCTION("""COMPUTED_VALUE"""),"BU DEWI KCU CIREBON")</f>
        <v>BU DEWI KCU CIREBON</v>
      </c>
      <c r="AE835" s="80" t="str">
        <f>IFERROR(__xludf.DUMMYFUNCTION("""COMPUTED_VALUE"""),"BU DEWI KCU CIREBON")</f>
        <v>BU DEWI KCU CIREBON</v>
      </c>
      <c r="AF835" s="80" t="str">
        <f>IFERROR(__xludf.DUMMYFUNCTION("""COMPUTED_VALUE"""),"085155439696")</f>
        <v>085155439696</v>
      </c>
      <c r="AG835" s="80"/>
      <c r="AH835" s="80" t="str">
        <f>IFERROR(__xludf.DUMMYFUNCTION("""COMPUTED_VALUE"""),"rezzarizkiyana94@gmail.com")</f>
        <v>rezzarizkiyana94@gmail.com</v>
      </c>
      <c r="AI835" s="80" t="str">
        <f>IFERROR(__xludf.DUMMYFUNCTION("""COMPUTED_VALUE"""),"45654S5")</f>
        <v>45654S5</v>
      </c>
      <c r="AJ835" s="80" t="str">
        <f>IFERROR(__xludf.DUMMYFUNCTION("""COMPUTED_VALUE"""),"69a412da99109d5ecd0d2d6b")</f>
        <v>69a412da99109d5ecd0d2d6b</v>
      </c>
      <c r="AK835" s="80" t="str">
        <f>IFERROR(__xludf.DUMMYFUNCTION("""COMPUTED_VALUE"""),"rezzarizkiyana94@gmail.com")</f>
        <v>rezzarizkiyana94@gmail.com</v>
      </c>
      <c r="AL835" s="80" t="str">
        <f>IFERROR(__xludf.DUMMYFUNCTION("""COMPUTED_VALUE"""),"!Muc45654S5%")</f>
        <v>!Muc45654S5%</v>
      </c>
      <c r="AM835" s="80" t="str">
        <f>IFERROR(__xludf.DUMMYFUNCTION("""COMPUTED_VALUE"""),"KANTOR REGIONAL III BANDUNG 40004")</f>
        <v>KANTOR REGIONAL III BANDUNG 40004</v>
      </c>
      <c r="AN835" s="80" t="str">
        <f>IFERROR(__xludf.DUMMYFUNCTION("""COMPUTED_VALUE"""),"KCU CIREBON 45100")</f>
        <v>KCU CIREBON 45100</v>
      </c>
      <c r="AO835" s="80" t="str">
        <f>IFERROR(__xludf.DUMMYFUNCTION("""COMPUTED_VALUE"""),"MENYUSUL")</f>
        <v>MENYUSUL</v>
      </c>
      <c r="AP835" s="80" t="str">
        <f>IFERROR(__xludf.DUMMYFUNCTION("""COMPUTED_VALUE"""),"MENYUSUL")</f>
        <v>MENYUSUL</v>
      </c>
      <c r="AQ835" s="83"/>
      <c r="AR835" s="80"/>
      <c r="AS835" s="80"/>
      <c r="AT835" s="80" t="str">
        <f>IFERROR(__xludf.DUMMYFUNCTION("""COMPUTED_VALUE"""),"-6.6955702")</f>
        <v>-6.6955702</v>
      </c>
      <c r="AU835" s="80" t="str">
        <f>IFERROR(__xludf.DUMMYFUNCTION("""COMPUTED_VALUE"""),"108.5005531")</f>
        <v>108.5005531</v>
      </c>
      <c r="AV835" s="80"/>
      <c r="AW835" s="80"/>
      <c r="AX835" s="80"/>
      <c r="AY835" s="80"/>
      <c r="AZ835" s="80"/>
      <c r="BA835" s="80"/>
      <c r="BB835" s="80"/>
      <c r="BC835" s="80"/>
      <c r="BD835" s="80"/>
      <c r="BE835" s="80"/>
      <c r="BF835" s="80"/>
      <c r="BG835" s="80"/>
      <c r="BH835" s="80"/>
      <c r="BI835" s="80"/>
      <c r="BJ835" s="80"/>
      <c r="BK835" s="80"/>
      <c r="BL835" s="80"/>
      <c r="BM835" s="80"/>
      <c r="BN835" s="80"/>
      <c r="BO835" s="80"/>
      <c r="BP835" s="80"/>
      <c r="BQ835" s="80"/>
      <c r="BR835" s="80"/>
      <c r="BS835" s="80"/>
      <c r="BT835" s="80"/>
      <c r="BU835" s="80"/>
      <c r="BV835" s="80"/>
      <c r="BW835" s="80"/>
      <c r="BX835" s="80" t="str">
        <f>IFERROR(__xludf.DUMMYFUNCTION("""COMPUTED_VALUE"""),"NEWBIE")</f>
        <v>NEWBIE</v>
      </c>
      <c r="BY835" s="80"/>
      <c r="BZ835" s="80"/>
      <c r="CA835" s="80"/>
      <c r="CB835" s="80"/>
      <c r="CC835" s="80"/>
      <c r="CD835" s="80"/>
      <c r="CE835" s="80"/>
      <c r="CF835" s="80"/>
      <c r="CG835" s="80"/>
      <c r="CH835" s="80"/>
      <c r="CI835" s="80"/>
      <c r="CJ835" s="80"/>
      <c r="CK835" s="2"/>
    </row>
    <row r="836" ht="12.75" customHeight="1">
      <c r="A836" s="85">
        <f>IFERROR(__xludf.DUMMYFUNCTION("""COMPUTED_VALUE"""),832.0)</f>
        <v>832</v>
      </c>
      <c r="B836" s="85"/>
      <c r="C836" s="85"/>
      <c r="D836" s="86">
        <f>IFERROR(__xludf.DUMMYFUNCTION("""COMPUTED_VALUE"""),46073.0)</f>
        <v>46073</v>
      </c>
      <c r="E836" s="88"/>
      <c r="F836" s="85"/>
      <c r="G836" s="86">
        <f>IFERROR(__xludf.DUMMYFUNCTION("""COMPUTED_VALUE"""),46077.0)</f>
        <v>46077</v>
      </c>
      <c r="H836" s="85"/>
      <c r="I836" s="85"/>
      <c r="J836" s="85"/>
      <c r="K836" s="85"/>
      <c r="L836" s="85">
        <f>IFERROR(__xludf.DUMMYFUNCTION("""COMPUTED_VALUE"""),4.0)</f>
        <v>4</v>
      </c>
      <c r="M836" s="85" t="str">
        <f>IFERROR(__xludf.DUMMYFUNCTION("""COMPUTED_VALUE"""),"ü")</f>
        <v>ü</v>
      </c>
      <c r="N836" s="85"/>
      <c r="O836" s="85"/>
      <c r="P836" s="85" t="str">
        <f>IFERROR(__xludf.DUMMYFUNCTION("""COMPUTED_VALUE"""),"MUCSPA63376PSIND")</f>
        <v>MUCSPA63376PSIND</v>
      </c>
      <c r="Q836" s="85" t="str">
        <f>IFERROR(__xludf.DUMMYFUNCTION("""COMPUTED_VALUE"""),"MUC Habsyi Express")</f>
        <v>MUC Habsyi Express</v>
      </c>
      <c r="R836" s="85" t="str">
        <f>IFERROR(__xludf.DUMMYFUNCTION("""COMPUTED_VALUE"""),"MUC Habsyi Express")</f>
        <v>MUC Habsyi Express</v>
      </c>
      <c r="S836" s="85" t="str">
        <f>IFERROR(__xludf.DUMMYFUNCTION("""COMPUTED_VALUE"""),"Muhammad Habsyi Al Hadi")</f>
        <v>Muhammad Habsyi Al Hadi</v>
      </c>
      <c r="T836" s="85" t="str">
        <f>IFERROR(__xludf.DUMMYFUNCTION("""COMPUTED_VALUE"""),"Jl. kemanggisan pulo rt 006 rw 017")</f>
        <v>Jl. kemanggisan pulo rt 006 rw 017</v>
      </c>
      <c r="U836" s="85" t="str">
        <f>IFERROR(__xludf.DUMMYFUNCTION("""COMPUTED_VALUE"""),"Tamankota, jln Gg H.Musanif rt 01 rw 08 no 21")</f>
        <v>Tamankota, jln Gg H.Musanif rt 01 rw 08 no 21</v>
      </c>
      <c r="V836" s="85"/>
      <c r="W836" s="85" t="str">
        <f>IFERROR(__xludf.DUMMYFUNCTION("""COMPUTED_VALUE"""),"Kedaung Kali Angke")</f>
        <v>Kedaung Kali Angke</v>
      </c>
      <c r="X836" s="85" t="str">
        <f>IFERROR(__xludf.DUMMYFUNCTION("""COMPUTED_VALUE"""),"Cengkareng ")</f>
        <v>Cengkareng </v>
      </c>
      <c r="Y836" s="85" t="str">
        <f>IFERROR(__xludf.DUMMYFUNCTION("""COMPUTED_VALUE"""),"Jakarta Barat")</f>
        <v>Jakarta Barat</v>
      </c>
      <c r="Z836" s="85" t="str">
        <f>IFERROR(__xludf.DUMMYFUNCTION("""COMPUTED_VALUE"""),"DKI JAKARTA")</f>
        <v>DKI JAKARTA</v>
      </c>
      <c r="AA836" s="85" t="str">
        <f>IFERROR(__xludf.DUMMYFUNCTION("""COMPUTED_VALUE"""),"11710")</f>
        <v>11710</v>
      </c>
      <c r="AB836" s="85" t="str">
        <f>IFERROR(__xludf.DUMMYFUNCTION("""COMPUTED_VALUE"""),"3173071212060001")</f>
        <v>3173071212060001</v>
      </c>
      <c r="AC836" s="85" t="str">
        <f>IFERROR(__xludf.DUMMYFUNCTION("""COMPUTED_VALUE"""),"3173 0712 1206 0001")</f>
        <v>3173 0712 1206 0001</v>
      </c>
      <c r="AD836" s="85" t="str">
        <f>IFERROR(__xludf.DUMMYFUNCTION("""COMPUTED_VALUE"""),"CUM - PS - SUSU")</f>
        <v>CUM - PS - SUSU</v>
      </c>
      <c r="AE836" s="85" t="str">
        <f>IFERROR(__xludf.DUMMYFUNCTION("""COMPUTED_VALUE"""),"SUB SUGENG POS")</f>
        <v>SUB SUGENG POS</v>
      </c>
      <c r="AF836" s="85" t="str">
        <f>IFERROR(__xludf.DUMMYFUNCTION("""COMPUTED_VALUE"""),"082297473128")</f>
        <v>082297473128</v>
      </c>
      <c r="AG836" s="85"/>
      <c r="AH836" s="85" t="str">
        <f>IFERROR(__xludf.DUMMYFUNCTION("""COMPUTED_VALUE"""),"muhammadhabsyialhadi@gmail.com")</f>
        <v>muhammadhabsyialhadi@gmail.com</v>
      </c>
      <c r="AI836" s="85" t="str">
        <f>IFERROR(__xludf.DUMMYFUNCTION("""COMPUTED_VALUE"""),"11710S3")</f>
        <v>11710S3</v>
      </c>
      <c r="AJ836" s="85" t="str">
        <f>IFERROR(__xludf.DUMMYFUNCTION("""COMPUTED_VALUE"""),"699c2d365c05b597990a3761")</f>
        <v>699c2d365c05b597990a3761</v>
      </c>
      <c r="AK836" s="85" t="str">
        <f>IFERROR(__xludf.DUMMYFUNCTION("""COMPUTED_VALUE"""),"muhammadhabsyialhadi@gmail.com")</f>
        <v>muhammadhabsyialhadi@gmail.com</v>
      </c>
      <c r="AL836" s="85" t="str">
        <f>IFERROR(__xludf.DUMMYFUNCTION("""COMPUTED_VALUE"""),"#Muc11710S3%")</f>
        <v>#Muc11710S3%</v>
      </c>
      <c r="AM836" s="85" t="str">
        <f>IFERROR(__xludf.DUMMYFUNCTION("""COMPUTED_VALUE"""),"KANTOR REGIONAL II JAKARTA 10004")</f>
        <v>KANTOR REGIONAL II JAKARTA 10004</v>
      </c>
      <c r="AN836" s="85" t="str">
        <f>IFERROR(__xludf.DUMMYFUNCTION("""COMPUTED_VALUE"""),"KCU JAKARTAOCEANIA 11000")</f>
        <v>KCU JAKARTAOCEANIA 11000</v>
      </c>
      <c r="AO836" s="85" t="str">
        <f>IFERROR(__xludf.DUMMYFUNCTION("""COMPUTED_VALUE"""),"082297473128")</f>
        <v>082297473128</v>
      </c>
      <c r="AP836" s="85" t="str">
        <f>IFERROR(__xludf.DUMMYFUNCTION("""COMPUTED_VALUE"""),"20022600375830001")</f>
        <v>20022600375830001</v>
      </c>
      <c r="AQ836" s="93"/>
      <c r="AR836" s="85"/>
      <c r="AS836" s="85"/>
      <c r="AT836" s="85" t="str">
        <f>IFERROR(__xludf.DUMMYFUNCTION("""COMPUTED_VALUE"""),"-6.157578")</f>
        <v>-6.157578</v>
      </c>
      <c r="AU836" s="85" t="str">
        <f>IFERROR(__xludf.DUMMYFUNCTION("""COMPUTED_VALUE"""),"106.755899")</f>
        <v>106.755899</v>
      </c>
      <c r="AV836" s="85"/>
      <c r="AW836" s="85"/>
      <c r="AX836" s="85"/>
      <c r="AY836" s="85"/>
      <c r="AZ836" s="85"/>
      <c r="BA836" s="85"/>
      <c r="BB836" s="85"/>
      <c r="BC836" s="85"/>
      <c r="BD836" s="85"/>
      <c r="BE836" s="85"/>
      <c r="BF836" s="85"/>
      <c r="BG836" s="85"/>
      <c r="BH836" s="85"/>
      <c r="BI836" s="85"/>
      <c r="BJ836" s="85"/>
      <c r="BK836" s="85"/>
      <c r="BL836" s="85"/>
      <c r="BM836" s="85"/>
      <c r="BN836" s="85"/>
      <c r="BO836" s="85"/>
      <c r="BP836" s="85"/>
      <c r="BQ836" s="85"/>
      <c r="BR836" s="85"/>
      <c r="BS836" s="85"/>
      <c r="BT836" s="85"/>
      <c r="BU836" s="85"/>
      <c r="BV836" s="85"/>
      <c r="BW836" s="85"/>
      <c r="BX836" s="85" t="str">
        <f>IFERROR(__xludf.DUMMYFUNCTION("""COMPUTED_VALUE"""),"NEWBIE")</f>
        <v>NEWBIE</v>
      </c>
      <c r="BY836" s="85"/>
      <c r="BZ836" s="85"/>
      <c r="CA836" s="85"/>
      <c r="CB836" s="85"/>
      <c r="CC836" s="85"/>
      <c r="CD836" s="85"/>
      <c r="CE836" s="85"/>
      <c r="CF836" s="85"/>
      <c r="CG836" s="85"/>
      <c r="CH836" s="85"/>
      <c r="CI836" s="85"/>
      <c r="CJ836" s="85"/>
      <c r="CK836" s="2"/>
    </row>
    <row r="837" ht="12.75" customHeight="1">
      <c r="A837" s="80">
        <f>IFERROR(__xludf.DUMMYFUNCTION("""COMPUTED_VALUE"""),833.0)</f>
        <v>833</v>
      </c>
      <c r="B837" s="80"/>
      <c r="C837" s="80"/>
      <c r="D837" s="81">
        <f>IFERROR(__xludf.DUMMYFUNCTION("""COMPUTED_VALUE"""),46073.0)</f>
        <v>46073</v>
      </c>
      <c r="E837" s="82"/>
      <c r="F837" s="80"/>
      <c r="G837" s="81"/>
      <c r="H837" s="80"/>
      <c r="I837" s="80"/>
      <c r="J837" s="80"/>
      <c r="K837" s="80"/>
      <c r="L837" s="80"/>
      <c r="M837" s="80" t="str">
        <f>IFERROR(__xludf.DUMMYFUNCTION("""COMPUTED_VALUE"""),"ü")</f>
        <v>ü</v>
      </c>
      <c r="N837" s="80"/>
      <c r="O837" s="80"/>
      <c r="P837" s="80" t="str">
        <f>IFERROR(__xludf.DUMMYFUNCTION("""COMPUTED_VALUE"""),"MUCSPA63377PSIND")</f>
        <v>MUCSPA63377PSIND</v>
      </c>
      <c r="Q837" s="80" t="str">
        <f>IFERROR(__xludf.DUMMYFUNCTION("""COMPUTED_VALUE"""),"MUC SAMBU")</f>
        <v>MUC SAMBU</v>
      </c>
      <c r="R837" s="80" t="str">
        <f>IFERROR(__xludf.DUMMYFUNCTION("""COMPUTED_VALUE"""),"MUC SAMBU")</f>
        <v>MUC SAMBU</v>
      </c>
      <c r="S837" s="80" t="str">
        <f>IFERROR(__xludf.DUMMYFUNCTION("""COMPUTED_VALUE"""),"NAWAWI")</f>
        <v>NAWAWI</v>
      </c>
      <c r="T837" s="80" t="str">
        <f>IFERROR(__xludf.DUMMYFUNCTION("""COMPUTED_VALUE"""),"BELAKANG PASAR, AIR TAWAR, KATEMAN, KAB. INDRAGIRI HILIR, RIAU")</f>
        <v>BELAKANG PASAR, AIR TAWAR, KATEMAN, KAB. INDRAGIRI HILIR, RIAU</v>
      </c>
      <c r="U837" s="80" t="str">
        <f>IFERROR(__xludf.DUMMYFUNCTION("""COMPUTED_VALUE"""),"PT Pulau Sambu, Pasar")</f>
        <v>PT Pulau Sambu, Pasar</v>
      </c>
      <c r="V837" s="80"/>
      <c r="W837" s="80" t="str">
        <f>IFERROR(__xludf.DUMMYFUNCTION("""COMPUTED_VALUE"""),"Air Tawar")</f>
        <v>Air Tawar</v>
      </c>
      <c r="X837" s="80" t="str">
        <f>IFERROR(__xludf.DUMMYFUNCTION("""COMPUTED_VALUE"""),"Kateman")</f>
        <v>Kateman</v>
      </c>
      <c r="Y837" s="80" t="str">
        <f>IFERROR(__xludf.DUMMYFUNCTION("""COMPUTED_VALUE"""),"Kab Indragiri Hilir")</f>
        <v>Kab Indragiri Hilir</v>
      </c>
      <c r="Z837" s="80" t="str">
        <f>IFERROR(__xludf.DUMMYFUNCTION("""COMPUTED_VALUE"""),"Riau ")</f>
        <v>Riau </v>
      </c>
      <c r="AA837" s="80" t="str">
        <f>IFERROR(__xludf.DUMMYFUNCTION("""COMPUTED_VALUE"""),"29255")</f>
        <v>29255</v>
      </c>
      <c r="AB837" s="80" t="str">
        <f>IFERROR(__xludf.DUMMYFUNCTION("""COMPUTED_VALUE"""),"140413131099004")</f>
        <v>140413131099004</v>
      </c>
      <c r="AC837" s="80" t="str">
        <f>IFERROR(__xludf.DUMMYFUNCTION("""COMPUTED_VALUE"""),"27.879.847.5-213.000")</f>
        <v>27.879.847.5-213.000</v>
      </c>
      <c r="AD837" s="80" t="str">
        <f>IFERROR(__xludf.DUMMYFUNCTION("""COMPUTED_VALUE"""),"NON KORGEN")</f>
        <v>NON KORGEN</v>
      </c>
      <c r="AE837" s="80" t="str">
        <f>IFERROR(__xludf.DUMMYFUNCTION("""COMPUTED_VALUE"""),"BU IDA KC TEMBILAHAN")</f>
        <v>BU IDA KC TEMBILAHAN</v>
      </c>
      <c r="AF837" s="80" t="str">
        <f>IFERROR(__xludf.DUMMYFUNCTION("""COMPUTED_VALUE"""),"082346834673")</f>
        <v>082346834673</v>
      </c>
      <c r="AG837" s="80"/>
      <c r="AH837" s="80" t="str">
        <f>IFERROR(__xludf.DUMMYFUNCTION("""COMPUTED_VALUE"""),"nawawia646@gmail.com")</f>
        <v>nawawia646@gmail.com</v>
      </c>
      <c r="AI837" s="80"/>
      <c r="AJ837" s="80"/>
      <c r="AK837" s="80"/>
      <c r="AL837" s="80"/>
      <c r="AM837" s="80" t="str">
        <f>IFERROR(__xludf.DUMMYFUNCTION("""COMPUTED_VALUE"""),"KANTOR REGIONAL I MEDAN 20004")</f>
        <v>KANTOR REGIONAL I MEDAN 20004</v>
      </c>
      <c r="AN837" s="80" t="str">
        <f>IFERROR(__xludf.DUMMYFUNCTION("""COMPUTED_VALUE"""),"KC TEMBILAHAN")</f>
        <v>KC TEMBILAHAN</v>
      </c>
      <c r="AO837" s="80" t="str">
        <f>IFERROR(__xludf.DUMMYFUNCTION("""COMPUTED_VALUE"""),"MENYUSUL")</f>
        <v>MENYUSUL</v>
      </c>
      <c r="AP837" s="80" t="str">
        <f>IFERROR(__xludf.DUMMYFUNCTION("""COMPUTED_VALUE"""),"MENYUSUL")</f>
        <v>MENYUSUL</v>
      </c>
      <c r="AQ837" s="83"/>
      <c r="AR837" s="80"/>
      <c r="AS837" s="80"/>
      <c r="AT837" s="80" t="str">
        <f>IFERROR(__xludf.DUMMYFUNCTION("""COMPUTED_VALUE"""),"0.3108035")</f>
        <v>0.3108035</v>
      </c>
      <c r="AU837" s="80" t="str">
        <f>IFERROR(__xludf.DUMMYFUNCTION("""COMPUTED_VALUE"""),"103.6018401")</f>
        <v>103.6018401</v>
      </c>
      <c r="AV837" s="80"/>
      <c r="AW837" s="80"/>
      <c r="AX837" s="80"/>
      <c r="AY837" s="80"/>
      <c r="AZ837" s="80"/>
      <c r="BA837" s="80"/>
      <c r="BB837" s="80"/>
      <c r="BC837" s="80"/>
      <c r="BD837" s="80"/>
      <c r="BE837" s="80"/>
      <c r="BF837" s="80"/>
      <c r="BG837" s="80"/>
      <c r="BH837" s="80"/>
      <c r="BI837" s="80"/>
      <c r="BJ837" s="80"/>
      <c r="BK837" s="80"/>
      <c r="BL837" s="80"/>
      <c r="BM837" s="80"/>
      <c r="BN837" s="80"/>
      <c r="BO837" s="80"/>
      <c r="BP837" s="80"/>
      <c r="BQ837" s="80"/>
      <c r="BR837" s="80"/>
      <c r="BS837" s="80"/>
      <c r="BT837" s="80"/>
      <c r="BU837" s="80"/>
      <c r="BV837" s="80"/>
      <c r="BW837" s="80"/>
      <c r="BX837" s="80" t="str">
        <f>IFERROR(__xludf.DUMMYFUNCTION("""COMPUTED_VALUE"""),"NEWBIE")</f>
        <v>NEWBIE</v>
      </c>
      <c r="BY837" s="80"/>
      <c r="BZ837" s="80"/>
      <c r="CA837" s="80"/>
      <c r="CB837" s="80"/>
      <c r="CC837" s="80"/>
      <c r="CD837" s="80"/>
      <c r="CE837" s="80"/>
      <c r="CF837" s="80"/>
      <c r="CG837" s="80"/>
      <c r="CH837" s="80"/>
      <c r="CI837" s="80"/>
      <c r="CJ837" s="80"/>
      <c r="CK837" s="2"/>
    </row>
    <row r="838" ht="12.75" customHeight="1">
      <c r="A838" s="85">
        <f>IFERROR(__xludf.DUMMYFUNCTION("""COMPUTED_VALUE"""),834.0)</f>
        <v>834</v>
      </c>
      <c r="B838" s="85"/>
      <c r="C838" s="85"/>
      <c r="D838" s="86">
        <f>IFERROR(__xludf.DUMMYFUNCTION("""COMPUTED_VALUE"""),46073.0)</f>
        <v>46073</v>
      </c>
      <c r="E838" s="88"/>
      <c r="F838" s="85"/>
      <c r="G838" s="86">
        <f>IFERROR(__xludf.DUMMYFUNCTION("""COMPUTED_VALUE"""),46090.0)</f>
        <v>46090</v>
      </c>
      <c r="H838" s="85"/>
      <c r="I838" s="85"/>
      <c r="J838" s="85"/>
      <c r="K838" s="85"/>
      <c r="L838" s="85">
        <f>IFERROR(__xludf.DUMMYFUNCTION("""COMPUTED_VALUE"""),17.0)</f>
        <v>17</v>
      </c>
      <c r="M838" s="85" t="str">
        <f>IFERROR(__xludf.DUMMYFUNCTION("""COMPUTED_VALUE"""),"ü")</f>
        <v>ü</v>
      </c>
      <c r="N838" s="85"/>
      <c r="O838" s="85"/>
      <c r="P838" s="85" t="str">
        <f>IFERROR(__xludf.DUMMYFUNCTION("""COMPUTED_VALUE"""),"53BSPA09879JBKTK")</f>
        <v>53BSPA09879JBKTK</v>
      </c>
      <c r="Q838" s="85" t="str">
        <f>IFERROR(__xludf.DUMMYFUNCTION("""COMPUTED_VALUE"""),"MUC GLOBAL UNGGUL ABADI II")</f>
        <v>MUC GLOBAL UNGGUL ABADI II</v>
      </c>
      <c r="R838" s="85" t="str">
        <f>IFERROR(__xludf.DUMMYFUNCTION("""COMPUTED_VALUE"""),"MUC GLOBAL UNGGUL ABADI II")</f>
        <v>MUC GLOBAL UNGGUL ABADI II</v>
      </c>
      <c r="S838" s="85" t="str">
        <f>IFERROR(__xludf.DUMMYFUNCTION("""COMPUTED_VALUE"""),"Rangga Pandita")</f>
        <v>Rangga Pandita</v>
      </c>
      <c r="T838" s="85" t="str">
        <f>IFERROR(__xludf.DUMMYFUNCTION("""COMPUTED_VALUE"""),"Sindangsari 1 Mekarsari 1 /13, ANTAPANI WETAN, ANTAPANI, KOTA BANDUNG")</f>
        <v>Sindangsari 1 Mekarsari 1 /13, ANTAPANI WETAN, ANTAPANI, KOTA BANDUNG</v>
      </c>
      <c r="U838" s="85" t="str">
        <f>IFERROR(__xludf.DUMMYFUNCTION("""COMPUTED_VALUE"""),"Jl. Walini Bojong Jati No.12, RT.01/RW16")</f>
        <v>Jl. Walini Bojong Jati No.12, RT.01/RW16</v>
      </c>
      <c r="V838" s="85"/>
      <c r="W838" s="85" t="str">
        <f>IFERROR(__xludf.DUMMYFUNCTION("""COMPUTED_VALUE"""),"Bojongloa")</f>
        <v>Bojongloa</v>
      </c>
      <c r="X838" s="85" t="str">
        <f>IFERROR(__xludf.DUMMYFUNCTION("""COMPUTED_VALUE"""),"Rancaekek")</f>
        <v>Rancaekek</v>
      </c>
      <c r="Y838" s="85" t="str">
        <f>IFERROR(__xludf.DUMMYFUNCTION("""COMPUTED_VALUE"""),"Kabupaten Bandung")</f>
        <v>Kabupaten Bandung</v>
      </c>
      <c r="Z838" s="85" t="str">
        <f>IFERROR(__xludf.DUMMYFUNCTION("""COMPUTED_VALUE"""),"Jawa Barat ")</f>
        <v>Jawa Barat </v>
      </c>
      <c r="AA838" s="85" t="str">
        <f>IFERROR(__xludf.DUMMYFUNCTION("""COMPUTED_VALUE"""),"40394")</f>
        <v>40394</v>
      </c>
      <c r="AB838" s="85" t="str">
        <f>IFERROR(__xludf.DUMMYFUNCTION("""COMPUTED_VALUE"""),"3273200902850003")</f>
        <v>3273200902850003</v>
      </c>
      <c r="AC838" s="85" t="str">
        <f>IFERROR(__xludf.DUMMYFUNCTION("""COMPUTED_VALUE"""),"82.896.046.8-429.000")</f>
        <v>82.896.046.8-429.000</v>
      </c>
      <c r="AD838" s="85" t="str">
        <f>IFERROR(__xludf.DUMMYFUNCTION("""COMPUTED_VALUE"""),"CUM - KTK")</f>
        <v>CUM - KTK</v>
      </c>
      <c r="AE838" s="85" t="str">
        <f>IFERROR(__xludf.DUMMYFUNCTION("""COMPUTED_VALUE"""),"SUB KARTIKA")</f>
        <v>SUB KARTIKA</v>
      </c>
      <c r="AF838" s="85" t="str">
        <f>IFERROR(__xludf.DUMMYFUNCTION("""COMPUTED_VALUE"""),"082120558936")</f>
        <v>082120558936</v>
      </c>
      <c r="AG838" s="85"/>
      <c r="AH838" s="85" t="str">
        <f>IFERROR(__xludf.DUMMYFUNCTION("""COMPUTED_VALUE"""),"arlogistik.bdg@gmail.com")</f>
        <v>arlogistik.bdg@gmail.com</v>
      </c>
      <c r="AI838" s="85" t="str">
        <f>IFERROR(__xludf.DUMMYFUNCTION("""COMPUTED_VALUE"""),"40394S4")</f>
        <v>40394S4</v>
      </c>
      <c r="AJ838" s="85" t="str">
        <f>IFERROR(__xludf.DUMMYFUNCTION("""COMPUTED_VALUE"""),"69ad3d4151334d61cd0eb957")</f>
        <v>69ad3d4151334d61cd0eb957</v>
      </c>
      <c r="AK838" s="85" t="str">
        <f>IFERROR(__xludf.DUMMYFUNCTION("""COMPUTED_VALUE"""),"arlogistik.bdg@gmail.com")</f>
        <v>arlogistik.bdg@gmail.com</v>
      </c>
      <c r="AL838" s="85" t="str">
        <f>IFERROR(__xludf.DUMMYFUNCTION("""COMPUTED_VALUE"""),"#Muc40394S4$")</f>
        <v>#Muc40394S4$</v>
      </c>
      <c r="AM838" s="85" t="str">
        <f>IFERROR(__xludf.DUMMYFUNCTION("""COMPUTED_VALUE"""),"KANTOR REGIONAL III BANDUNG 40004")</f>
        <v>KANTOR REGIONAL III BANDUNG 40004</v>
      </c>
      <c r="AN838" s="85" t="str">
        <f>IFERROR(__xludf.DUMMYFUNCTION("""COMPUTED_VALUE"""),"KC UJUNGBERUNG ")</f>
        <v>KC UJUNGBERUNG </v>
      </c>
      <c r="AO838" s="85" t="str">
        <f>IFERROR(__xludf.DUMMYFUNCTION("""COMPUTED_VALUE"""),"MENYUSUL")</f>
        <v>MENYUSUL</v>
      </c>
      <c r="AP838" s="85" t="str">
        <f>IFERROR(__xludf.DUMMYFUNCTION("""COMPUTED_VALUE"""),"MENYUSUL")</f>
        <v>MENYUSUL</v>
      </c>
      <c r="AQ838" s="93"/>
      <c r="AR838" s="85"/>
      <c r="AS838" s="85"/>
      <c r="AT838" s="85" t="str">
        <f>IFERROR(__xludf.DUMMYFUNCTION("""COMPUTED_VALUE"""),"-6.958882")</f>
        <v>-6.958882</v>
      </c>
      <c r="AU838" s="85" t="str">
        <f>IFERROR(__xludf.DUMMYFUNCTION("""COMPUTED_VALUE"""),"107.765608")</f>
        <v>107.765608</v>
      </c>
      <c r="AV838" s="85"/>
      <c r="AW838" s="85"/>
      <c r="AX838" s="85"/>
      <c r="AY838" s="85"/>
      <c r="AZ838" s="85"/>
      <c r="BA838" s="85"/>
      <c r="BB838" s="85"/>
      <c r="BC838" s="85"/>
      <c r="BD838" s="85"/>
      <c r="BE838" s="85"/>
      <c r="BF838" s="85"/>
      <c r="BG838" s="85"/>
      <c r="BH838" s="85"/>
      <c r="BI838" s="85"/>
      <c r="BJ838" s="85"/>
      <c r="BK838" s="85"/>
      <c r="BL838" s="85"/>
      <c r="BM838" s="85"/>
      <c r="BN838" s="85"/>
      <c r="BO838" s="85"/>
      <c r="BP838" s="85"/>
      <c r="BQ838" s="85"/>
      <c r="BR838" s="85"/>
      <c r="BS838" s="85"/>
      <c r="BT838" s="85"/>
      <c r="BU838" s="85"/>
      <c r="BV838" s="85"/>
      <c r="BW838" s="85"/>
      <c r="BX838" s="85" t="str">
        <f>IFERROR(__xludf.DUMMYFUNCTION("""COMPUTED_VALUE"""),"NEWBIE")</f>
        <v>NEWBIE</v>
      </c>
      <c r="BY838" s="85"/>
      <c r="BZ838" s="85"/>
      <c r="CA838" s="85"/>
      <c r="CB838" s="85"/>
      <c r="CC838" s="85"/>
      <c r="CD838" s="85"/>
      <c r="CE838" s="85"/>
      <c r="CF838" s="85"/>
      <c r="CG838" s="85"/>
      <c r="CH838" s="85"/>
      <c r="CI838" s="85"/>
      <c r="CJ838" s="85"/>
      <c r="CK838" s="2"/>
    </row>
    <row r="839" ht="12.75" customHeight="1">
      <c r="A839" s="80">
        <f>IFERROR(__xludf.DUMMYFUNCTION("""COMPUTED_VALUE"""),835.0)</f>
        <v>835</v>
      </c>
      <c r="B839" s="80"/>
      <c r="C839" s="80"/>
      <c r="D839" s="81">
        <f>IFERROR(__xludf.DUMMYFUNCTION("""COMPUTED_VALUE"""),46073.0)</f>
        <v>46073</v>
      </c>
      <c r="E839" s="82"/>
      <c r="F839" s="80"/>
      <c r="G839" s="81">
        <f>IFERROR(__xludf.DUMMYFUNCTION("""COMPUTED_VALUE"""),46076.0)</f>
        <v>46076</v>
      </c>
      <c r="H839" s="80"/>
      <c r="I839" s="80"/>
      <c r="J839" s="80"/>
      <c r="K839" s="80"/>
      <c r="L839" s="80">
        <f>IFERROR(__xludf.DUMMYFUNCTION("""COMPUTED_VALUE"""),3.0)</f>
        <v>3</v>
      </c>
      <c r="M839" s="80" t="str">
        <f>IFERROR(__xludf.DUMMYFUNCTION("""COMPUTED_VALUE"""),"ü")</f>
        <v>ü</v>
      </c>
      <c r="N839" s="80"/>
      <c r="O839" s="80"/>
      <c r="P839" s="80" t="str">
        <f>IFERROR(__xludf.DUMMYFUNCTION("""COMPUTED_VALUE"""),"MUCSPA63378PSIND")</f>
        <v>MUCSPA63378PSIND</v>
      </c>
      <c r="Q839" s="80" t="str">
        <f>IFERROR(__xludf.DUMMYFUNCTION("""COMPUTED_VALUE"""),"MUC TOKO OBAT")</f>
        <v>MUC TOKO OBAT</v>
      </c>
      <c r="R839" s="80" t="str">
        <f>IFERROR(__xludf.DUMMYFUNCTION("""COMPUTED_VALUE"""),"MUC TOKO OBAT")</f>
        <v>MUC TOKO OBAT</v>
      </c>
      <c r="S839" s="80" t="str">
        <f>IFERROR(__xludf.DUMMYFUNCTION("""COMPUTED_VALUE"""),"BAROKAH")</f>
        <v>BAROKAH</v>
      </c>
      <c r="T839" s="80" t="str">
        <f>IFERROR(__xludf.DUMMYFUNCTION("""COMPUTED_VALUE"""),"JL. KEBON KACANG II/24 RT 7 RW 5")</f>
        <v>JL. KEBON KACANG II/24 RT 7 RW 5</v>
      </c>
      <c r="U839" s="80" t="str">
        <f>IFERROR(__xludf.DUMMYFUNCTION("""COMPUTED_VALUE"""),"JL. KEBON KACANG 1 NO. 5 13 RT 13 RW 6")</f>
        <v>JL. KEBON KACANG 1 NO. 5 13 RT 13 RW 6</v>
      </c>
      <c r="V839" s="80"/>
      <c r="W839" s="80" t="str">
        <f>IFERROR(__xludf.DUMMYFUNCTION("""COMPUTED_VALUE"""),"KEBON KACANG")</f>
        <v>KEBON KACANG</v>
      </c>
      <c r="X839" s="80" t="str">
        <f>IFERROR(__xludf.DUMMYFUNCTION("""COMPUTED_VALUE"""),"TANAH ABANG")</f>
        <v>TANAH ABANG</v>
      </c>
      <c r="Y839" s="80" t="str">
        <f>IFERROR(__xludf.DUMMYFUNCTION("""COMPUTED_VALUE"""),"JAKARTA PUSAT")</f>
        <v>JAKARTA PUSAT</v>
      </c>
      <c r="Z839" s="80" t="str">
        <f>IFERROR(__xludf.DUMMYFUNCTION("""COMPUTED_VALUE"""),"DKI JAKARTA ")</f>
        <v>DKI JAKARTA </v>
      </c>
      <c r="AA839" s="80" t="str">
        <f>IFERROR(__xludf.DUMMYFUNCTION("""COMPUTED_VALUE"""),"10240")</f>
        <v>10240</v>
      </c>
      <c r="AB839" s="80" t="str">
        <f>IFERROR(__xludf.DUMMYFUNCTION("""COMPUTED_VALUE"""),"3171071208780002")</f>
        <v>3171071208780002</v>
      </c>
      <c r="AC839" s="80" t="str">
        <f>IFERROR(__xludf.DUMMYFUNCTION("""COMPUTED_VALUE"""),"68.442.109.2-072.000")</f>
        <v>68.442.109.2-072.000</v>
      </c>
      <c r="AD839" s="80" t="str">
        <f>IFERROR(__xludf.DUMMYFUNCTION("""COMPUTED_VALUE"""),"PAK PALTI")</f>
        <v>PAK PALTI</v>
      </c>
      <c r="AE839" s="80" t="str">
        <f>IFERROR(__xludf.DUMMYFUNCTION("""COMPUTED_VALUE"""),"PAK PALTI KCU CENTRUM")</f>
        <v>PAK PALTI KCU CENTRUM</v>
      </c>
      <c r="AF839" s="80" t="str">
        <f>IFERROR(__xludf.DUMMYFUNCTION("""COMPUTED_VALUE"""),"085894355004")</f>
        <v>085894355004</v>
      </c>
      <c r="AG839" s="80"/>
      <c r="AH839" s="80" t="str">
        <f>IFERROR(__xludf.DUMMYFUNCTION("""COMPUTED_VALUE"""),"Barokah1208@gmail.com")</f>
        <v>Barokah1208@gmail.com</v>
      </c>
      <c r="AI839" s="80" t="str">
        <f>IFERROR(__xludf.DUMMYFUNCTION("""COMPUTED_VALUE"""),"10240S2")</f>
        <v>10240S2</v>
      </c>
      <c r="AJ839" s="80" t="str">
        <f>IFERROR(__xludf.DUMMYFUNCTION("""COMPUTED_VALUE"""),"699a748f24d0bb5a63017b91")</f>
        <v>699a748f24d0bb5a63017b91</v>
      </c>
      <c r="AK839" s="80" t="str">
        <f>IFERROR(__xludf.DUMMYFUNCTION("""COMPUTED_VALUE"""),"Barokah1208@gmail.com")</f>
        <v>Barokah1208@gmail.com</v>
      </c>
      <c r="AL839" s="80" t="str">
        <f>IFERROR(__xludf.DUMMYFUNCTION("""COMPUTED_VALUE"""),"#Muc10240S2%")</f>
        <v>#Muc10240S2%</v>
      </c>
      <c r="AM839" s="80" t="str">
        <f>IFERROR(__xludf.DUMMYFUNCTION("""COMPUTED_VALUE"""),"KANTOR REGIONAL II JAKARTA 10004")</f>
        <v>KANTOR REGIONAL II JAKARTA 10004</v>
      </c>
      <c r="AN839" s="80" t="str">
        <f>IFERROR(__xludf.DUMMYFUNCTION("""COMPUTED_VALUE"""),"KCU JAKARTACENTRUM 10000")</f>
        <v>KCU JAKARTACENTRUM 10000</v>
      </c>
      <c r="AO839" s="80" t="str">
        <f>IFERROR(__xludf.DUMMYFUNCTION("""COMPUTED_VALUE"""),"MENYUSUL")</f>
        <v>MENYUSUL</v>
      </c>
      <c r="AP839" s="80" t="str">
        <f>IFERROR(__xludf.DUMMYFUNCTION("""COMPUTED_VALUE"""),"MENYUSUL")</f>
        <v>MENYUSUL</v>
      </c>
      <c r="AQ839" s="83"/>
      <c r="AR839" s="80"/>
      <c r="AS839" s="80"/>
      <c r="AT839" s="80" t="str">
        <f>IFERROR(__xludf.DUMMYFUNCTION("""COMPUTED_VALUE"""),"-6.1880001")</f>
        <v>-6.1880001</v>
      </c>
      <c r="AU839" s="80" t="str">
        <f>IFERROR(__xludf.DUMMYFUNCTION("""COMPUTED_VALUE"""),"106.8162524")</f>
        <v>106.8162524</v>
      </c>
      <c r="AV839" s="80"/>
      <c r="AW839" s="80"/>
      <c r="AX839" s="80"/>
      <c r="AY839" s="80"/>
      <c r="AZ839" s="80"/>
      <c r="BA839" s="80"/>
      <c r="BB839" s="80"/>
      <c r="BC839" s="80"/>
      <c r="BD839" s="80"/>
      <c r="BE839" s="80"/>
      <c r="BF839" s="80"/>
      <c r="BG839" s="80"/>
      <c r="BH839" s="80"/>
      <c r="BI839" s="80"/>
      <c r="BJ839" s="80"/>
      <c r="BK839" s="80"/>
      <c r="BL839" s="80"/>
      <c r="BM839" s="80"/>
      <c r="BN839" s="80"/>
      <c r="BO839" s="80"/>
      <c r="BP839" s="80"/>
      <c r="BQ839" s="80"/>
      <c r="BR839" s="80"/>
      <c r="BS839" s="80"/>
      <c r="BT839" s="80"/>
      <c r="BU839" s="80"/>
      <c r="BV839" s="80"/>
      <c r="BW839" s="80"/>
      <c r="BX839" s="80" t="str">
        <f>IFERROR(__xludf.DUMMYFUNCTION("""COMPUTED_VALUE"""),"MULTIKURIR - JNE ")</f>
        <v>MULTIKURIR - JNE </v>
      </c>
      <c r="BY839" s="80"/>
      <c r="BZ839" s="80"/>
      <c r="CA839" s="80"/>
      <c r="CB839" s="80"/>
      <c r="CC839" s="80"/>
      <c r="CD839" s="80"/>
      <c r="CE839" s="80"/>
      <c r="CF839" s="80"/>
      <c r="CG839" s="80"/>
      <c r="CH839" s="80"/>
      <c r="CI839" s="80"/>
      <c r="CJ839" s="80"/>
      <c r="CK839" s="2"/>
    </row>
    <row r="840" ht="12.75" customHeight="1">
      <c r="A840" s="85">
        <f>IFERROR(__xludf.DUMMYFUNCTION("""COMPUTED_VALUE"""),836.0)</f>
        <v>836</v>
      </c>
      <c r="B840" s="85"/>
      <c r="C840" s="85"/>
      <c r="D840" s="86">
        <f>IFERROR(__xludf.DUMMYFUNCTION("""COMPUTED_VALUE"""),46078.0)</f>
        <v>46078</v>
      </c>
      <c r="E840" s="88"/>
      <c r="F840" s="85"/>
      <c r="G840" s="86">
        <f>IFERROR(__xludf.DUMMYFUNCTION("""COMPUTED_VALUE"""),46118.0)</f>
        <v>46118</v>
      </c>
      <c r="H840" s="85"/>
      <c r="I840" s="85"/>
      <c r="J840" s="85"/>
      <c r="K840" s="85"/>
      <c r="L840" s="85">
        <f>IFERROR(__xludf.DUMMYFUNCTION("""COMPUTED_VALUE"""),40.0)</f>
        <v>40</v>
      </c>
      <c r="M840" s="85" t="str">
        <f>IFERROR(__xludf.DUMMYFUNCTION("""COMPUTED_VALUE"""),"ü")</f>
        <v>ü</v>
      </c>
      <c r="N840" s="85"/>
      <c r="O840" s="85"/>
      <c r="P840" s="85" t="str">
        <f>IFERROR(__xludf.DUMMYFUNCTION("""COMPUTED_VALUE"""),"53BSPA09705JBEEN")</f>
        <v>53BSPA09705JBEEN</v>
      </c>
      <c r="Q840" s="85" t="str">
        <f>IFERROR(__xludf.DUMMYFUNCTION("""COMPUTED_VALUE"""),"MUC ARIOS LOGISTIK")</f>
        <v>MUC ARIOS LOGISTIK</v>
      </c>
      <c r="R840" s="85" t="str">
        <f>IFERROR(__xludf.DUMMYFUNCTION("""COMPUTED_VALUE"""),"MUC ARIOS LOGISTIK")</f>
        <v>MUC ARIOS LOGISTIK</v>
      </c>
      <c r="S840" s="85" t="str">
        <f>IFERROR(__xludf.DUMMYFUNCTION("""COMPUTED_VALUE"""),"ARIS")</f>
        <v>ARIS</v>
      </c>
      <c r="T840" s="85" t="str">
        <f>IFERROR(__xludf.DUMMYFUNCTION("""COMPUTED_VALUE"""),": JL. MAWAR RT.005 RW.005, BINTARO, PESANGGRAHAN, JAKARTA SELATAN")</f>
        <v>: JL. MAWAR RT.005 RW.005, BINTARO, PESANGGRAHAN, JAKARTA SELATAN</v>
      </c>
      <c r="U840" s="85" t="str">
        <f>IFERROR(__xludf.DUMMYFUNCTION("""COMPUTED_VALUE"""),"JL PAHLAWAN RAYA")</f>
        <v>JL PAHLAWAN RAYA</v>
      </c>
      <c r="V840" s="85"/>
      <c r="W840" s="85" t="str">
        <f>IFERROR(__xludf.DUMMYFUNCTION("""COMPUTED_VALUE"""),"BINTARO")</f>
        <v>BINTARO</v>
      </c>
      <c r="X840" s="85" t="str">
        <f>IFERROR(__xludf.DUMMYFUNCTION("""COMPUTED_VALUE"""),"PESANGGRAHAN")</f>
        <v>PESANGGRAHAN</v>
      </c>
      <c r="Y840" s="85" t="str">
        <f>IFERROR(__xludf.DUMMYFUNCTION("""COMPUTED_VALUE"""),"JAKARTA SELATAN")</f>
        <v>JAKARTA SELATAN</v>
      </c>
      <c r="Z840" s="85" t="str">
        <f>IFERROR(__xludf.DUMMYFUNCTION("""COMPUTED_VALUE"""),"DKI JAKARTA")</f>
        <v>DKI JAKARTA</v>
      </c>
      <c r="AA840" s="85" t="str">
        <f>IFERROR(__xludf.DUMMYFUNCTION("""COMPUTED_VALUE"""),"12230")</f>
        <v>12230</v>
      </c>
      <c r="AB840" s="85" t="str">
        <f>IFERROR(__xludf.DUMMYFUNCTION("""COMPUTED_VALUE"""),"3174102106940002")</f>
        <v>3174102106940002</v>
      </c>
      <c r="AC840" s="85" t="str">
        <f>IFERROR(__xludf.DUMMYFUNCTION("""COMPUTED_VALUE"""),"3174102106940002")</f>
        <v>3174102106940002</v>
      </c>
      <c r="AD840" s="85" t="str">
        <f>IFERROR(__xludf.DUMMYFUNCTION("""COMPUTED_VALUE"""),"CUM - EEN")</f>
        <v>CUM - EEN</v>
      </c>
      <c r="AE840" s="85" t="str">
        <f>IFERROR(__xludf.DUMMYFUNCTION("""COMPUTED_VALUE"""),"SUB EEN")</f>
        <v>SUB EEN</v>
      </c>
      <c r="AF840" s="85" t="str">
        <f>IFERROR(__xludf.DUMMYFUNCTION("""COMPUTED_VALUE"""),"081224167413")</f>
        <v>081224167413</v>
      </c>
      <c r="AG840" s="85"/>
      <c r="AH840" s="85" t="str">
        <f>IFERROR(__xludf.DUMMYFUNCTION("""COMPUTED_VALUE"""),"iamorangbatak21@gmail.com")</f>
        <v>iamorangbatak21@gmail.com</v>
      </c>
      <c r="AI840" s="85" t="str">
        <f>IFERROR(__xludf.DUMMYFUNCTION("""COMPUTED_VALUE"""),"12330S2")</f>
        <v>12330S2</v>
      </c>
      <c r="AJ840" s="85" t="str">
        <f>IFERROR(__xludf.DUMMYFUNCTION("""COMPUTED_VALUE"""),"69ad5074718a00d7ee0ff6ee")</f>
        <v>69ad5074718a00d7ee0ff6ee</v>
      </c>
      <c r="AK840" s="85" t="str">
        <f>IFERROR(__xludf.DUMMYFUNCTION("""COMPUTED_VALUE"""),"iamorangbatak21@gmail.com")</f>
        <v>iamorangbatak21@gmail.com</v>
      </c>
      <c r="AL840" s="85" t="str">
        <f>IFERROR(__xludf.DUMMYFUNCTION("""COMPUTED_VALUE"""),"#Muc12330S2$")</f>
        <v>#Muc12330S2$</v>
      </c>
      <c r="AM840" s="85" t="str">
        <f>IFERROR(__xludf.DUMMYFUNCTION("""COMPUTED_VALUE"""),"KANTOR REGIONAL II JAKARTA 10004")</f>
        <v>KANTOR REGIONAL II JAKARTA 10004</v>
      </c>
      <c r="AN840" s="85" t="str">
        <f>IFERROR(__xludf.DUMMYFUNCTION("""COMPUTED_VALUE"""),"KCU JAKARTAFLORA 12000")</f>
        <v>KCU JAKARTAFLORA 12000</v>
      </c>
      <c r="AO840" s="85" t="str">
        <f>IFERROR(__xludf.DUMMYFUNCTION("""COMPUTED_VALUE"""),"1911250027593")</f>
        <v>1911250027593</v>
      </c>
      <c r="AP840" s="85" t="str">
        <f>IFERROR(__xludf.DUMMYFUNCTION("""COMPUTED_VALUE"""),"19112500275930001")</f>
        <v>19112500275930001</v>
      </c>
      <c r="AQ840" s="93"/>
      <c r="AR840" s="85"/>
      <c r="AS840" s="85"/>
      <c r="AT840" s="85" t="str">
        <f>IFERROR(__xludf.DUMMYFUNCTION("""COMPUTED_VALUE"""),"-6.281936")</f>
        <v>-6.281936</v>
      </c>
      <c r="AU840" s="85" t="str">
        <f>IFERROR(__xludf.DUMMYFUNCTION("""COMPUTED_VALUE"""),"106.761441")</f>
        <v>106.761441</v>
      </c>
      <c r="AV840" s="85"/>
      <c r="AW840" s="85"/>
      <c r="AX840" s="85"/>
      <c r="AY840" s="85"/>
      <c r="AZ840" s="85"/>
      <c r="BA840" s="85"/>
      <c r="BB840" s="85"/>
      <c r="BC840" s="85"/>
      <c r="BD840" s="85"/>
      <c r="BE840" s="85"/>
      <c r="BF840" s="85"/>
      <c r="BG840" s="85"/>
      <c r="BH840" s="85"/>
      <c r="BI840" s="85"/>
      <c r="BJ840" s="85"/>
      <c r="BK840" s="85"/>
      <c r="BL840" s="85"/>
      <c r="BM840" s="85"/>
      <c r="BN840" s="85"/>
      <c r="BO840" s="85"/>
      <c r="BP840" s="85"/>
      <c r="BQ840" s="85"/>
      <c r="BR840" s="85"/>
      <c r="BS840" s="85"/>
      <c r="BT840" s="85"/>
      <c r="BU840" s="85"/>
      <c r="BV840" s="85"/>
      <c r="BW840" s="85"/>
      <c r="BX840" s="85" t="str">
        <f>IFERROR(__xludf.DUMMYFUNCTION("""COMPUTED_VALUE"""),"MULTIKURIR - LION PARCEL")</f>
        <v>MULTIKURIR - LION PARCEL</v>
      </c>
      <c r="BY840" s="85"/>
      <c r="BZ840" s="85"/>
      <c r="CA840" s="85"/>
      <c r="CB840" s="85"/>
      <c r="CC840" s="85"/>
      <c r="CD840" s="85"/>
      <c r="CE840" s="85"/>
      <c r="CF840" s="85"/>
      <c r="CG840" s="85"/>
      <c r="CH840" s="85"/>
      <c r="CI840" s="85"/>
      <c r="CJ840" s="85"/>
      <c r="CK840" s="2"/>
    </row>
    <row r="841" ht="12.75" customHeight="1">
      <c r="A841" s="80">
        <f>IFERROR(__xludf.DUMMYFUNCTION("""COMPUTED_VALUE"""),837.0)</f>
        <v>837</v>
      </c>
      <c r="B841" s="80"/>
      <c r="C841" s="80"/>
      <c r="D841" s="81">
        <f>IFERROR(__xludf.DUMMYFUNCTION("""COMPUTED_VALUE"""),46078.0)</f>
        <v>46078</v>
      </c>
      <c r="E841" s="82"/>
      <c r="F841" s="80"/>
      <c r="G841" s="81">
        <f>IFERROR(__xludf.DUMMYFUNCTION("""COMPUTED_VALUE"""),46083.0)</f>
        <v>46083</v>
      </c>
      <c r="H841" s="80"/>
      <c r="I841" s="80"/>
      <c r="J841" s="80"/>
      <c r="K841" s="80"/>
      <c r="L841" s="80">
        <f>IFERROR(__xludf.DUMMYFUNCTION("""COMPUTED_VALUE"""),5.0)</f>
        <v>5</v>
      </c>
      <c r="M841" s="80" t="str">
        <f>IFERROR(__xludf.DUMMYFUNCTION("""COMPUTED_VALUE"""),"ü")</f>
        <v>ü</v>
      </c>
      <c r="N841" s="80"/>
      <c r="O841" s="80"/>
      <c r="P841" s="80" t="str">
        <f>IFERROR(__xludf.DUMMYFUNCTION("""COMPUTED_VALUE"""),"52BSPA07801JTAMT")</f>
        <v>52BSPA07801JTAMT</v>
      </c>
      <c r="Q841" s="80" t="str">
        <f>IFERROR(__xludf.DUMMYFUNCTION("""COMPUTED_VALUE"""),"MUC KEMBANG JOYO")</f>
        <v>MUC KEMBANG JOYO</v>
      </c>
      <c r="R841" s="80" t="str">
        <f>IFERROR(__xludf.DUMMYFUNCTION("""COMPUTED_VALUE"""),"MUC KEMBANG JOYO")</f>
        <v>MUC KEMBANG JOYO</v>
      </c>
      <c r="S841" s="80" t="str">
        <f>IFERROR(__xludf.DUMMYFUNCTION("""COMPUTED_VALUE"""),"LULUK EKO BASKORO")</f>
        <v>LULUK EKO BASKORO</v>
      </c>
      <c r="T841" s="80" t="str">
        <f>IFERROR(__xludf.DUMMYFUNCTION("""COMPUTED_VALUE"""),"JL. KEMBANG JOYO 194 RT.003 RW.002, KALIDORO, PATI, KAB. PATI")</f>
        <v>JL. KEMBANG JOYO 194 RT.003 RW.002, KALIDORO, PATI, KAB. PATI</v>
      </c>
      <c r="U841" s="80" t="str">
        <f>IFERROR(__xludf.DUMMYFUNCTION("""COMPUTED_VALUE"""),"Jl. Kembang Joyo No.194, RT.03/RW.02, Klegen")</f>
        <v>Jl. Kembang Joyo No.194, RT.03/RW.02, Klegen</v>
      </c>
      <c r="V841" s="80"/>
      <c r="W841" s="80" t="str">
        <f>IFERROR(__xludf.DUMMYFUNCTION("""COMPUTED_VALUE"""),"Kalidoro")</f>
        <v>Kalidoro</v>
      </c>
      <c r="X841" s="80" t="str">
        <f>IFERROR(__xludf.DUMMYFUNCTION("""COMPUTED_VALUE"""),"Pati")</f>
        <v>Pati</v>
      </c>
      <c r="Y841" s="80" t="str">
        <f>IFERROR(__xludf.DUMMYFUNCTION("""COMPUTED_VALUE"""),"Kabupaten Pati")</f>
        <v>Kabupaten Pati</v>
      </c>
      <c r="Z841" s="80" t="str">
        <f>IFERROR(__xludf.DUMMYFUNCTION("""COMPUTED_VALUE"""),"Jawa Tengah ")</f>
        <v>Jawa Tengah </v>
      </c>
      <c r="AA841" s="80" t="str">
        <f>IFERROR(__xludf.DUMMYFUNCTION("""COMPUTED_VALUE"""),"59117")</f>
        <v>59117</v>
      </c>
      <c r="AB841" s="80" t="str">
        <f>IFERROR(__xludf.DUMMYFUNCTION("""COMPUTED_VALUE"""),"3318101306690002")</f>
        <v>3318101306690002</v>
      </c>
      <c r="AC841" s="80" t="str">
        <f>IFERROR(__xludf.DUMMYFUNCTION("""COMPUTED_VALUE"""),"07.300.186.9-435.000")</f>
        <v>07.300.186.9-435.000</v>
      </c>
      <c r="AD841" s="80" t="str">
        <f>IFERROR(__xludf.DUMMYFUNCTION("""COMPUTED_VALUE"""),"CUM - AMT")</f>
        <v>CUM - AMT</v>
      </c>
      <c r="AE841" s="80" t="str">
        <f>IFERROR(__xludf.DUMMYFUNCTION("""COMPUTED_VALUE"""),"SUB AMINARTI")</f>
        <v>SUB AMINARTI</v>
      </c>
      <c r="AF841" s="80" t="str">
        <f>IFERROR(__xludf.DUMMYFUNCTION("""COMPUTED_VALUE"""),"082135888727")</f>
        <v>082135888727</v>
      </c>
      <c r="AG841" s="80"/>
      <c r="AH841" s="80" t="str">
        <f>IFERROR(__xludf.DUMMYFUNCTION("""COMPUTED_VALUE"""),"wiringdigicraft@gmail.com")</f>
        <v>wiringdigicraft@gmail.com</v>
      </c>
      <c r="AI841" s="80" t="str">
        <f>IFERROR(__xludf.DUMMYFUNCTION("""COMPUTED_VALUE"""),"59117S2")</f>
        <v>59117S2</v>
      </c>
      <c r="AJ841" s="80" t="str">
        <f>IFERROR(__xludf.DUMMYFUNCTION("""COMPUTED_VALUE"""),"69a403ade0b184252b00dd0d")</f>
        <v>69a403ade0b184252b00dd0d</v>
      </c>
      <c r="AK841" s="80" t="str">
        <f>IFERROR(__xludf.DUMMYFUNCTION("""COMPUTED_VALUE"""),"wiringdigicraft@gmail.com ")</f>
        <v>wiringdigicraft@gmail.com </v>
      </c>
      <c r="AL841" s="80" t="str">
        <f>IFERROR(__xludf.DUMMYFUNCTION("""COMPUTED_VALUE"""),"!Muc59117S2%")</f>
        <v>!Muc59117S2%</v>
      </c>
      <c r="AM841" s="80" t="str">
        <f>IFERROR(__xludf.DUMMYFUNCTION("""COMPUTED_VALUE"""),"KANTOR REGIONAL IV SEMARANG 50004")</f>
        <v>KANTOR REGIONAL IV SEMARANG 50004</v>
      </c>
      <c r="AN841" s="80" t="str">
        <f>IFERROR(__xludf.DUMMYFUNCTION("""COMPUTED_VALUE"""),"KC PATI 59100")</f>
        <v>KC PATI 59100</v>
      </c>
      <c r="AO841" s="80" t="str">
        <f>IFERROR(__xludf.DUMMYFUNCTION("""COMPUTED_VALUE"""),"2308240066269")</f>
        <v>2308240066269</v>
      </c>
      <c r="AP841" s="80" t="str">
        <f>IFERROR(__xludf.DUMMYFUNCTION("""COMPUTED_VALUE"""),"23082400662690001")</f>
        <v>23082400662690001</v>
      </c>
      <c r="AQ841" s="83"/>
      <c r="AR841" s="80"/>
      <c r="AS841" s="80"/>
      <c r="AT841" s="80" t="str">
        <f>IFERROR(__xludf.DUMMYFUNCTION("""COMPUTED_VALUE"""),"-6.7514367")</f>
        <v>-6.7514367</v>
      </c>
      <c r="AU841" s="80" t="str">
        <f>IFERROR(__xludf.DUMMYFUNCTION("""COMPUTED_VALUE"""),"111.0492939")</f>
        <v>111.0492939</v>
      </c>
      <c r="AV841" s="80"/>
      <c r="AW841" s="80"/>
      <c r="AX841" s="80"/>
      <c r="AY841" s="80"/>
      <c r="AZ841" s="80"/>
      <c r="BA841" s="80"/>
      <c r="BB841" s="80"/>
      <c r="BC841" s="80"/>
      <c r="BD841" s="80"/>
      <c r="BE841" s="80"/>
      <c r="BF841" s="80"/>
      <c r="BG841" s="80"/>
      <c r="BH841" s="80"/>
      <c r="BI841" s="80"/>
      <c r="BJ841" s="80"/>
      <c r="BK841" s="80"/>
      <c r="BL841" s="80"/>
      <c r="BM841" s="80"/>
      <c r="BN841" s="80"/>
      <c r="BO841" s="80"/>
      <c r="BP841" s="80"/>
      <c r="BQ841" s="80"/>
      <c r="BR841" s="80"/>
      <c r="BS841" s="80"/>
      <c r="BT841" s="80"/>
      <c r="BU841" s="80"/>
      <c r="BV841" s="80"/>
      <c r="BW841" s="80"/>
      <c r="BX841" s="80" t="str">
        <f>IFERROR(__xludf.DUMMYFUNCTION("""COMPUTED_VALUE"""),"MULTIKURIR - WAHANA - LION PARCEL")</f>
        <v>MULTIKURIR - WAHANA - LION PARCEL</v>
      </c>
      <c r="BY841" s="80"/>
      <c r="BZ841" s="80"/>
      <c r="CA841" s="80"/>
      <c r="CB841" s="80"/>
      <c r="CC841" s="80"/>
      <c r="CD841" s="80"/>
      <c r="CE841" s="80"/>
      <c r="CF841" s="80"/>
      <c r="CG841" s="80"/>
      <c r="CH841" s="80"/>
      <c r="CI841" s="80"/>
      <c r="CJ841" s="80"/>
      <c r="CK841" s="2"/>
    </row>
    <row r="842" ht="12.75" customHeight="1">
      <c r="A842" s="85">
        <f>IFERROR(__xludf.DUMMYFUNCTION("""COMPUTED_VALUE"""),838.0)</f>
        <v>838</v>
      </c>
      <c r="B842" s="85"/>
      <c r="C842" s="85"/>
      <c r="D842" s="86">
        <f>IFERROR(__xludf.DUMMYFUNCTION("""COMPUTED_VALUE"""),46078.0)</f>
        <v>46078</v>
      </c>
      <c r="E842" s="88"/>
      <c r="F842" s="85"/>
      <c r="G842" s="86"/>
      <c r="H842" s="85"/>
      <c r="I842" s="85"/>
      <c r="J842" s="85"/>
      <c r="K842" s="85"/>
      <c r="L842" s="85"/>
      <c r="M842" s="85" t="str">
        <f>IFERROR(__xludf.DUMMYFUNCTION("""COMPUTED_VALUE"""),"ü")</f>
        <v>ü</v>
      </c>
      <c r="N842" s="85"/>
      <c r="O842" s="85"/>
      <c r="P842" s="85" t="str">
        <f>IFERROR(__xludf.DUMMYFUNCTION("""COMPUTED_VALUE"""),"53BSPA09892JBEEN")</f>
        <v>53BSPA09892JBEEN</v>
      </c>
      <c r="Q842" s="85" t="str">
        <f>IFERROR(__xludf.DUMMYFUNCTION("""COMPUTED_VALUE"""),"MUC Jure Healthy Store")</f>
        <v>MUC Jure Healthy Store</v>
      </c>
      <c r="R842" s="85" t="str">
        <f>IFERROR(__xludf.DUMMYFUNCTION("""COMPUTED_VALUE"""),"MUC Jure Healthy Store")</f>
        <v>MUC Jure Healthy Store</v>
      </c>
      <c r="S842" s="85" t="str">
        <f>IFERROR(__xludf.DUMMYFUNCTION("""COMPUTED_VALUE"""),"JURAIS DERMAWAN")</f>
        <v>JURAIS DERMAWAN</v>
      </c>
      <c r="T842" s="85" t="str">
        <f>IFERROR(__xludf.DUMMYFUNCTION("""COMPUTED_VALUE"""),"MUTIARA GADING TIMUR J1/66 RT.006 RW.025 MUSTIKAJAYA, MUSTIKAJAYA, KOTA BEKASI")</f>
        <v>MUTIARA GADING TIMUR J1/66 RT.006 RW.025 MUSTIKAJAYA, MUSTIKAJAYA, KOTA BEKASI</v>
      </c>
      <c r="U842" s="85" t="str">
        <f>IFERROR(__xludf.DUMMYFUNCTION("""COMPUTED_VALUE"""),"Mutiara Gading Timur blok J1 no.66 ")</f>
        <v>Mutiara Gading Timur blok J1 no.66 </v>
      </c>
      <c r="V842" s="85"/>
      <c r="W842" s="85" t="str">
        <f>IFERROR(__xludf.DUMMYFUNCTION("""COMPUTED_VALUE"""),"Mustikajaya")</f>
        <v>Mustikajaya</v>
      </c>
      <c r="X842" s="85" t="str">
        <f>IFERROR(__xludf.DUMMYFUNCTION("""COMPUTED_VALUE"""),"Mustikajaya")</f>
        <v>Mustikajaya</v>
      </c>
      <c r="Y842" s="85" t="str">
        <f>IFERROR(__xludf.DUMMYFUNCTION("""COMPUTED_VALUE"""),"Bekasi")</f>
        <v>Bekasi</v>
      </c>
      <c r="Z842" s="85" t="str">
        <f>IFERROR(__xludf.DUMMYFUNCTION("""COMPUTED_VALUE"""),"Jawa Barat")</f>
        <v>Jawa Barat</v>
      </c>
      <c r="AA842" s="85" t="str">
        <f>IFERROR(__xludf.DUMMYFUNCTION("""COMPUTED_VALUE"""),"17158")</f>
        <v>17158</v>
      </c>
      <c r="AB842" s="85" t="str">
        <f>IFERROR(__xludf.DUMMYFUNCTION("""COMPUTED_VALUE"""),"3275111109960001")</f>
        <v>3275111109960001</v>
      </c>
      <c r="AC842" s="85" t="str">
        <f>IFERROR(__xludf.DUMMYFUNCTION("""COMPUTED_VALUE"""),"93.229.404.4-432.000")</f>
        <v>93.229.404.4-432.000</v>
      </c>
      <c r="AD842" s="85" t="str">
        <f>IFERROR(__xludf.DUMMYFUNCTION("""COMPUTED_VALUE"""),"CUM - EEN")</f>
        <v>CUM - EEN</v>
      </c>
      <c r="AE842" s="85" t="str">
        <f>IFERROR(__xludf.DUMMYFUNCTION("""COMPUTED_VALUE"""),"SUB EEN")</f>
        <v>SUB EEN</v>
      </c>
      <c r="AF842" s="85" t="str">
        <f>IFERROR(__xludf.DUMMYFUNCTION("""COMPUTED_VALUE"""),"082125001745")</f>
        <v>082125001745</v>
      </c>
      <c r="AG842" s="85"/>
      <c r="AH842" s="85" t="str">
        <f>IFERROR(__xludf.DUMMYFUNCTION("""COMPUTED_VALUE"""),"juraisdermawan@gmail.com")</f>
        <v>juraisdermawan@gmail.com</v>
      </c>
      <c r="AI842" s="85"/>
      <c r="AJ842" s="85"/>
      <c r="AK842" s="85"/>
      <c r="AL842" s="85"/>
      <c r="AM842" s="85" t="str">
        <f>IFERROR(__xludf.DUMMYFUNCTION("""COMPUTED_VALUE"""),"KANTOR REGIONAL II JAKARTA 10004")</f>
        <v>KANTOR REGIONAL II JAKARTA 10004</v>
      </c>
      <c r="AN842" s="85" t="str">
        <f>IFERROR(__xludf.DUMMYFUNCTION("""COMPUTED_VALUE"""),"KC CIKARANG 17500")</f>
        <v>KC CIKARANG 17500</v>
      </c>
      <c r="AO842" s="85" t="str">
        <f>IFERROR(__xludf.DUMMYFUNCTION("""COMPUTED_VALUE"""),"MENYUSUL")</f>
        <v>MENYUSUL</v>
      </c>
      <c r="AP842" s="85" t="str">
        <f>IFERROR(__xludf.DUMMYFUNCTION("""COMPUTED_VALUE"""),"MENYUSUL")</f>
        <v>MENYUSUL</v>
      </c>
      <c r="AQ842" s="93"/>
      <c r="AR842" s="85"/>
      <c r="AS842" s="85"/>
      <c r="AT842" s="85" t="str">
        <f>IFERROR(__xludf.DUMMYFUNCTION("""COMPUTED_VALUE"""),"-6.291106")</f>
        <v>-6.291106</v>
      </c>
      <c r="AU842" s="85" t="str">
        <f>IFERROR(__xludf.DUMMYFUNCTION("""COMPUTED_VALUE"""),"107.027257")</f>
        <v>107.027257</v>
      </c>
      <c r="AV842" s="85"/>
      <c r="AW842" s="85"/>
      <c r="AX842" s="85"/>
      <c r="AY842" s="85"/>
      <c r="AZ842" s="85"/>
      <c r="BA842" s="85"/>
      <c r="BB842" s="85"/>
      <c r="BC842" s="85"/>
      <c r="BD842" s="85"/>
      <c r="BE842" s="85"/>
      <c r="BF842" s="85"/>
      <c r="BG842" s="85"/>
      <c r="BH842" s="85"/>
      <c r="BI842" s="85"/>
      <c r="BJ842" s="85"/>
      <c r="BK842" s="85"/>
      <c r="BL842" s="85"/>
      <c r="BM842" s="85"/>
      <c r="BN842" s="85"/>
      <c r="BO842" s="85"/>
      <c r="BP842" s="85"/>
      <c r="BQ842" s="85"/>
      <c r="BR842" s="85"/>
      <c r="BS842" s="85"/>
      <c r="BT842" s="85"/>
      <c r="BU842" s="85"/>
      <c r="BV842" s="85"/>
      <c r="BW842" s="85"/>
      <c r="BX842" s="85" t="str">
        <f>IFERROR(__xludf.DUMMYFUNCTION("""COMPUTED_VALUE"""),"NEWBIE")</f>
        <v>NEWBIE</v>
      </c>
      <c r="BY842" s="85"/>
      <c r="BZ842" s="85"/>
      <c r="CA842" s="85"/>
      <c r="CB842" s="85"/>
      <c r="CC842" s="85"/>
      <c r="CD842" s="85"/>
      <c r="CE842" s="85"/>
      <c r="CF842" s="85"/>
      <c r="CG842" s="85"/>
      <c r="CH842" s="85"/>
      <c r="CI842" s="85"/>
      <c r="CJ842" s="85"/>
      <c r="CK842" s="2"/>
    </row>
    <row r="843" ht="12.75" customHeight="1">
      <c r="A843" s="80">
        <f>IFERROR(__xludf.DUMMYFUNCTION("""COMPUTED_VALUE"""),839.0)</f>
        <v>839</v>
      </c>
      <c r="B843" s="80"/>
      <c r="C843" s="80"/>
      <c r="D843" s="81">
        <f>IFERROR(__xludf.DUMMYFUNCTION("""COMPUTED_VALUE"""),46078.0)</f>
        <v>46078</v>
      </c>
      <c r="E843" s="82"/>
      <c r="F843" s="80"/>
      <c r="G843" s="81"/>
      <c r="H843" s="80"/>
      <c r="I843" s="80"/>
      <c r="J843" s="80"/>
      <c r="K843" s="80"/>
      <c r="L843" s="80"/>
      <c r="M843" s="80" t="str">
        <f>IFERROR(__xludf.DUMMYFUNCTION("""COMPUTED_VALUE"""),"ü")</f>
        <v>ü</v>
      </c>
      <c r="N843" s="80"/>
      <c r="O843" s="80"/>
      <c r="P843" s="80" t="str">
        <f>IFERROR(__xludf.DUMMYFUNCTION("""COMPUTED_VALUE"""),"MUCSPA63379PSIND")</f>
        <v>MUCSPA63379PSIND</v>
      </c>
      <c r="Q843" s="80" t="str">
        <f>IFERROR(__xludf.DUMMYFUNCTION("""COMPUTED_VALUE"""),"MUC BSR")</f>
        <v>MUC BSR</v>
      </c>
      <c r="R843" s="80" t="str">
        <f>IFERROR(__xludf.DUMMYFUNCTION("""COMPUTED_VALUE"""),"MUC BSR")</f>
        <v>MUC BSR</v>
      </c>
      <c r="S843" s="80" t="str">
        <f>IFERROR(__xludf.DUMMYFUNCTION("""COMPUTED_VALUE"""),"AGUS")</f>
        <v>AGUS</v>
      </c>
      <c r="T843" s="80" t="str">
        <f>IFERROR(__xludf.DUMMYFUNCTION("""COMPUTED_VALUE"""),"JL. SATURNUS UTARA XII NO. 5")</f>
        <v>JL. SATURNUS UTARA XII NO. 5</v>
      </c>
      <c r="U843" s="80" t="str">
        <f>IFERROR(__xludf.DUMMYFUNCTION("""COMPUTED_VALUE"""),"JL. TERATAI VIII NO. 9")</f>
        <v>JL. TERATAI VIII NO. 9</v>
      </c>
      <c r="V843" s="80"/>
      <c r="W843" s="80" t="str">
        <f>IFERROR(__xludf.DUMMYFUNCTION("""COMPUTED_VALUE"""),"CIPADUNG KIDUL")</f>
        <v>CIPADUNG KIDUL</v>
      </c>
      <c r="X843" s="80" t="str">
        <f>IFERROR(__xludf.DUMMYFUNCTION("""COMPUTED_VALUE"""),"PANYILEUKAN")</f>
        <v>PANYILEUKAN</v>
      </c>
      <c r="Y843" s="80" t="str">
        <f>IFERROR(__xludf.DUMMYFUNCTION("""COMPUTED_VALUE"""),"KAB. BANDUNG")</f>
        <v>KAB. BANDUNG</v>
      </c>
      <c r="Z843" s="80" t="str">
        <f>IFERROR(__xludf.DUMMYFUNCTION("""COMPUTED_VALUE"""),"JAWA BARAT")</f>
        <v>JAWA BARAT</v>
      </c>
      <c r="AA843" s="80" t="str">
        <f>IFERROR(__xludf.DUMMYFUNCTION("""COMPUTED_VALUE"""),"40298")</f>
        <v>40298</v>
      </c>
      <c r="AB843" s="80" t="str">
        <f>IFERROR(__xludf.DUMMYFUNCTION("""COMPUTED_VALUE"""),"3273231108800002")</f>
        <v>3273231108800002</v>
      </c>
      <c r="AC843" s="80" t="str">
        <f>IFERROR(__xludf.DUMMYFUNCTION("""COMPUTED_VALUE"""),"54.652.524.7-429.000")</f>
        <v>54.652.524.7-429.000</v>
      </c>
      <c r="AD843" s="80" t="str">
        <f>IFERROR(__xludf.DUMMYFUNCTION("""COMPUTED_VALUE"""),"CUM - PS - THI")</f>
        <v>CUM - PS - THI</v>
      </c>
      <c r="AE843" s="80" t="str">
        <f>IFERROR(__xludf.DUMMYFUNCTION("""COMPUTED_VALUE"""),"CUM - PS - THI")</f>
        <v>CUM - PS - THI</v>
      </c>
      <c r="AF843" s="80" t="str">
        <f>IFERROR(__xludf.DUMMYFUNCTION("""COMPUTED_VALUE"""),"082227119738")</f>
        <v>082227119738</v>
      </c>
      <c r="AG843" s="80" t="str">
        <f>IFERROR(__xludf.DUMMYFUNCTION("""COMPUTED_VALUE"""),"82227119738")</f>
        <v>82227119738</v>
      </c>
      <c r="AH843" s="80" t="str">
        <f>IFERROR(__xludf.DUMMYFUNCTION("""COMPUTED_VALUE"""),"agusaza11@gmail.com")</f>
        <v>agusaza11@gmail.com</v>
      </c>
      <c r="AI843" s="80"/>
      <c r="AJ843" s="80"/>
      <c r="AK843" s="80"/>
      <c r="AL843" s="80"/>
      <c r="AM843" s="80" t="str">
        <f>IFERROR(__xludf.DUMMYFUNCTION("""COMPUTED_VALUE"""),"KANTOR REGIONAL III BANDUNG 40004")</f>
        <v>KANTOR REGIONAL III BANDUNG 40004</v>
      </c>
      <c r="AN843" s="80" t="str">
        <f>IFERROR(__xludf.DUMMYFUNCTION("""COMPUTED_VALUE"""),"KC UJUNGBERUNG ")</f>
        <v>KC UJUNGBERUNG </v>
      </c>
      <c r="AO843" s="80" t="str">
        <f>IFERROR(__xludf.DUMMYFUNCTION("""COMPUTED_VALUE"""),"2101260045075")</f>
        <v>2101260045075</v>
      </c>
      <c r="AP843" s="80" t="str">
        <f>IFERROR(__xludf.DUMMYFUNCTION("""COMPUTED_VALUE"""),"21012600450750001")</f>
        <v>21012600450750001</v>
      </c>
      <c r="AQ843" s="83" t="str">
        <f>IFERROR(__xludf.DUMMYFUNCTION("""COMPUTED_VALUE"""),"3682 0103 1117 534")</f>
        <v>3682 0103 1117 534</v>
      </c>
      <c r="AR843" s="80" t="str">
        <f>IFERROR(__xludf.DUMMYFUNCTION("""COMPUTED_VALUE"""),"BRI")</f>
        <v>BRI</v>
      </c>
      <c r="AS843" s="80" t="str">
        <f>IFERROR(__xludf.DUMMYFUNCTION("""COMPUTED_VALUE"""),"AGUS")</f>
        <v>AGUS</v>
      </c>
      <c r="AT843" s="80" t="str">
        <f>IFERROR(__xludf.DUMMYFUNCTION("""COMPUTED_VALUE"""),"-69,442,706")</f>
        <v>-69,442,706</v>
      </c>
      <c r="AU843" s="80" t="str">
        <f>IFERROR(__xludf.DUMMYFUNCTION("""COMPUTED_VALUE"""),"1,077,098,312")</f>
        <v>1,077,098,312</v>
      </c>
      <c r="AV843" s="80"/>
      <c r="AW843" s="80"/>
      <c r="AX843" s="80"/>
      <c r="AY843" s="80"/>
      <c r="AZ843" s="80"/>
      <c r="BA843" s="80"/>
      <c r="BB843" s="80"/>
      <c r="BC843" s="80"/>
      <c r="BD843" s="80"/>
      <c r="BE843" s="80"/>
      <c r="BF843" s="80"/>
      <c r="BG843" s="80"/>
      <c r="BH843" s="80"/>
      <c r="BI843" s="80"/>
      <c r="BJ843" s="80"/>
      <c r="BK843" s="80"/>
      <c r="BL843" s="80"/>
      <c r="BM843" s="80"/>
      <c r="BN843" s="80"/>
      <c r="BO843" s="80"/>
      <c r="BP843" s="80"/>
      <c r="BQ843" s="80"/>
      <c r="BR843" s="80"/>
      <c r="BS843" s="80"/>
      <c r="BT843" s="80"/>
      <c r="BU843" s="80"/>
      <c r="BV843" s="80"/>
      <c r="BW843" s="80"/>
      <c r="BX843" s="80"/>
      <c r="BY843" s="80"/>
      <c r="BZ843" s="80"/>
      <c r="CA843" s="80"/>
      <c r="CB843" s="80"/>
      <c r="CC843" s="80"/>
      <c r="CD843" s="80"/>
      <c r="CE843" s="80"/>
      <c r="CF843" s="80"/>
      <c r="CG843" s="80"/>
      <c r="CH843" s="80"/>
      <c r="CI843" s="80"/>
      <c r="CJ843" s="80"/>
      <c r="CK843" s="2"/>
    </row>
    <row r="844" ht="12.75" customHeight="1">
      <c r="A844" s="85">
        <f>IFERROR(__xludf.DUMMYFUNCTION("""COMPUTED_VALUE"""),840.0)</f>
        <v>840</v>
      </c>
      <c r="B844" s="85"/>
      <c r="C844" s="85"/>
      <c r="D844" s="86">
        <f>IFERROR(__xludf.DUMMYFUNCTION("""COMPUTED_VALUE"""),46078.0)</f>
        <v>46078</v>
      </c>
      <c r="E844" s="88"/>
      <c r="F844" s="85"/>
      <c r="G844" s="86"/>
      <c r="H844" s="85"/>
      <c r="I844" s="85"/>
      <c r="J844" s="85"/>
      <c r="K844" s="85"/>
      <c r="L844" s="85"/>
      <c r="M844" s="85" t="str">
        <f>IFERROR(__xludf.DUMMYFUNCTION("""COMPUTED_VALUE"""),"ü")</f>
        <v>ü</v>
      </c>
      <c r="N844" s="85"/>
      <c r="O844" s="85"/>
      <c r="P844" s="85" t="str">
        <f>IFERROR(__xludf.DUMMYFUNCTION("""COMPUTED_VALUE"""),"MUCSPA63380PSIND")</f>
        <v>MUCSPA63380PSIND</v>
      </c>
      <c r="Q844" s="85" t="str">
        <f>IFERROR(__xludf.DUMMYFUNCTION("""COMPUTED_VALUE"""),"MUC Taman Sari")</f>
        <v>MUC Taman Sari</v>
      </c>
      <c r="R844" s="85" t="str">
        <f>IFERROR(__xludf.DUMMYFUNCTION("""COMPUTED_VALUE"""),"MUC Taman Sari")</f>
        <v>MUC Taman Sari</v>
      </c>
      <c r="S844" s="85" t="str">
        <f>IFERROR(__xludf.DUMMYFUNCTION("""COMPUTED_VALUE"""),"Ahmad Heron Tarmizi")</f>
        <v>Ahmad Heron Tarmizi</v>
      </c>
      <c r="T844" s="85" t="str">
        <f>IFERROR(__xludf.DUMMYFUNCTION("""COMPUTED_VALUE"""),"Puri Husada Agung Blok D14 No.22 RT 02 RW 10 Ds. Cibinong Kec. Gn. Sindur")</f>
        <v>Puri Husada Agung Blok D14 No.22 RT 02 RW 10 Ds. Cibinong Kec. Gn. Sindur</v>
      </c>
      <c r="U844" s="85" t="str">
        <f>IFERROR(__xludf.DUMMYFUNCTION("""COMPUTED_VALUE"""),"Taman Sari Bukit Damai Jalan Raya Pemuda (Jl. Serpong Parung), Ruko Blok RC 02/10 ")</f>
        <v>Taman Sari Bukit Damai Jalan Raya Pemuda (Jl. Serpong Parung), Ruko Blok RC 02/10 </v>
      </c>
      <c r="V844" s="85"/>
      <c r="W844" s="85" t="str">
        <f>IFERROR(__xludf.DUMMYFUNCTION("""COMPUTED_VALUE"""),"Curug")</f>
        <v>Curug</v>
      </c>
      <c r="X844" s="85" t="str">
        <f>IFERROR(__xludf.DUMMYFUNCTION("""COMPUTED_VALUE"""),"Gunung Sindur")</f>
        <v>Gunung Sindur</v>
      </c>
      <c r="Y844" s="85" t="str">
        <f>IFERROR(__xludf.DUMMYFUNCTION("""COMPUTED_VALUE"""),"Kab. Bogor")</f>
        <v>Kab. Bogor</v>
      </c>
      <c r="Z844" s="85" t="str">
        <f>IFERROR(__xludf.DUMMYFUNCTION("""COMPUTED_VALUE"""),"Jawa Barat ")</f>
        <v>Jawa Barat </v>
      </c>
      <c r="AA844" s="85" t="str">
        <f>IFERROR(__xludf.DUMMYFUNCTION("""COMPUTED_VALUE"""),"16340")</f>
        <v>16340</v>
      </c>
      <c r="AB844" s="85" t="str">
        <f>IFERROR(__xludf.DUMMYFUNCTION("""COMPUTED_VALUE"""),"3201112303690001")</f>
        <v>3201112303690001</v>
      </c>
      <c r="AC844" s="85" t="str">
        <f>IFERROR(__xludf.DUMMYFUNCTION("""COMPUTED_VALUE"""),"09.203.418.0-403.000")</f>
        <v>09.203.418.0-403.000</v>
      </c>
      <c r="AD844" s="85" t="str">
        <f>IFERROR(__xludf.DUMMYFUNCTION("""COMPUTED_VALUE"""),"CUM - PS - ASEPN")</f>
        <v>CUM - PS - ASEPN</v>
      </c>
      <c r="AE844" s="85" t="str">
        <f>IFERROR(__xludf.DUMMYFUNCTION("""COMPUTED_VALUE"""),"PAK ASEP KCU BOGOR")</f>
        <v>PAK ASEP KCU BOGOR</v>
      </c>
      <c r="AF844" s="85" t="str">
        <f>IFERROR(__xludf.DUMMYFUNCTION("""COMPUTED_VALUE"""),"08129398117")</f>
        <v>08129398117</v>
      </c>
      <c r="AG844" s="85"/>
      <c r="AH844" s="85" t="str">
        <f>IFERROR(__xludf.DUMMYFUNCTION("""COMPUTED_VALUE"""),"Aherontarmizi@gmail.com")</f>
        <v>Aherontarmizi@gmail.com</v>
      </c>
      <c r="AI844" s="85"/>
      <c r="AJ844" s="85"/>
      <c r="AK844" s="85"/>
      <c r="AL844" s="85"/>
      <c r="AM844" s="85" t="str">
        <f>IFERROR(__xludf.DUMMYFUNCTION("""COMPUTED_VALUE"""),"KANTOR REGIONAL II JAKARTA 10004")</f>
        <v>KANTOR REGIONAL II JAKARTA 10004</v>
      </c>
      <c r="AN844" s="85" t="str">
        <f>IFERROR(__xludf.DUMMYFUNCTION("""COMPUTED_VALUE"""),"KCU BOGOR 16000")</f>
        <v>KCU BOGOR 16000</v>
      </c>
      <c r="AO844" s="85" t="str">
        <f>IFERROR(__xludf.DUMMYFUNCTION("""COMPUTED_VALUE"""),"2502260306734")</f>
        <v>2502260306734</v>
      </c>
      <c r="AP844" s="85" t="str">
        <f>IFERROR(__xludf.DUMMYFUNCTION("""COMPUTED_VALUE"""),"25022603067340001")</f>
        <v>25022603067340001</v>
      </c>
      <c r="AQ844" s="93"/>
      <c r="AR844" s="85"/>
      <c r="AS844" s="85"/>
      <c r="AT844" s="85" t="str">
        <f>IFERROR(__xludf.DUMMYFUNCTION("""COMPUTED_VALUE"""),"-6.383974")</f>
        <v>-6.383974</v>
      </c>
      <c r="AU844" s="85" t="str">
        <f>IFERROR(__xludf.DUMMYFUNCTION("""COMPUTED_VALUE"""),"106.705183")</f>
        <v>106.705183</v>
      </c>
      <c r="AV844" s="85"/>
      <c r="AW844" s="85"/>
      <c r="AX844" s="85"/>
      <c r="AY844" s="85"/>
      <c r="AZ844" s="85"/>
      <c r="BA844" s="85"/>
      <c r="BB844" s="85"/>
      <c r="BC844" s="85"/>
      <c r="BD844" s="85"/>
      <c r="BE844" s="85"/>
      <c r="BF844" s="85"/>
      <c r="BG844" s="85"/>
      <c r="BH844" s="85"/>
      <c r="BI844" s="85"/>
      <c r="BJ844" s="85"/>
      <c r="BK844" s="85"/>
      <c r="BL844" s="85"/>
      <c r="BM844" s="85"/>
      <c r="BN844" s="85"/>
      <c r="BO844" s="85"/>
      <c r="BP844" s="85"/>
      <c r="BQ844" s="85"/>
      <c r="BR844" s="85"/>
      <c r="BS844" s="85"/>
      <c r="BT844" s="85"/>
      <c r="BU844" s="85"/>
      <c r="BV844" s="85"/>
      <c r="BW844" s="85"/>
      <c r="BX844" s="85" t="str">
        <f>IFERROR(__xludf.DUMMYFUNCTION("""COMPUTED_VALUE"""),"NEWBIE")</f>
        <v>NEWBIE</v>
      </c>
      <c r="BY844" s="85"/>
      <c r="BZ844" s="85"/>
      <c r="CA844" s="85"/>
      <c r="CB844" s="85"/>
      <c r="CC844" s="85"/>
      <c r="CD844" s="85"/>
      <c r="CE844" s="85"/>
      <c r="CF844" s="85"/>
      <c r="CG844" s="85"/>
      <c r="CH844" s="85"/>
      <c r="CI844" s="85"/>
      <c r="CJ844" s="85"/>
      <c r="CK844" s="2"/>
    </row>
    <row r="845" ht="12.75" customHeight="1">
      <c r="A845" s="80">
        <f>IFERROR(__xludf.DUMMYFUNCTION("""COMPUTED_VALUE"""),841.0)</f>
        <v>841</v>
      </c>
      <c r="B845" s="80"/>
      <c r="C845" s="80"/>
      <c r="D845" s="81">
        <f>IFERROR(__xludf.DUMMYFUNCTION("""COMPUTED_VALUE"""),46079.0)</f>
        <v>46079</v>
      </c>
      <c r="E845" s="82"/>
      <c r="F845" s="80"/>
      <c r="G845" s="81">
        <f>IFERROR(__xludf.DUMMYFUNCTION("""COMPUTED_VALUE"""),46083.0)</f>
        <v>46083</v>
      </c>
      <c r="H845" s="80"/>
      <c r="I845" s="80"/>
      <c r="J845" s="80"/>
      <c r="K845" s="80"/>
      <c r="L845" s="80">
        <f>IFERROR(__xludf.DUMMYFUNCTION("""COMPUTED_VALUE"""),4.0)</f>
        <v>4</v>
      </c>
      <c r="M845" s="80" t="str">
        <f>IFERROR(__xludf.DUMMYFUNCTION("""COMPUTED_VALUE"""),"ü")</f>
        <v>ü</v>
      </c>
      <c r="N845" s="80"/>
      <c r="O845" s="80"/>
      <c r="P845" s="80" t="str">
        <f>IFERROR(__xludf.DUMMYFUNCTION("""COMPUTED_VALUE"""),"53BSPA09895JBEEN")</f>
        <v>53BSPA09895JBEEN</v>
      </c>
      <c r="Q845" s="80" t="str">
        <f>IFERROR(__xludf.DUMMYFUNCTION("""COMPUTED_VALUE"""),"MUC GERLONG 71")</f>
        <v>MUC GERLONG 71</v>
      </c>
      <c r="R845" s="80" t="str">
        <f>IFERROR(__xludf.DUMMYFUNCTION("""COMPUTED_VALUE"""),"MUC GERLONG 71")</f>
        <v>MUC GERLONG 71</v>
      </c>
      <c r="S845" s="80" t="str">
        <f>IFERROR(__xludf.DUMMYFUNCTION("""COMPUTED_VALUE"""),"MIRZA NURUL HUDA")</f>
        <v>MIRZA NURUL HUDA</v>
      </c>
      <c r="T845" s="80" t="str">
        <f>IFERROR(__xludf.DUMMYFUNCTION("""COMPUTED_VALUE"""),"JL. SERSAN BAJURI NO.18/171 A RT.003 RW.004, ISOLA, SUKASARI, KOTA BANDUNG, JAWA BARAT")</f>
        <v>JL. SERSAN BAJURI NO.18/171 A RT.003 RW.004, ISOLA, SUKASARI, KOTA BANDUNG, JAWA BARAT</v>
      </c>
      <c r="U845" s="80" t="str">
        <f>IFERROR(__xludf.DUMMYFUNCTION("""COMPUTED_VALUE"""),"Jl. Gegerkalong Girang no.71")</f>
        <v>Jl. Gegerkalong Girang no.71</v>
      </c>
      <c r="V845" s="80"/>
      <c r="W845" s="80" t="str">
        <f>IFERROR(__xludf.DUMMYFUNCTION("""COMPUTED_VALUE"""),"Gegerkalong")</f>
        <v>Gegerkalong</v>
      </c>
      <c r="X845" s="80" t="str">
        <f>IFERROR(__xludf.DUMMYFUNCTION("""COMPUTED_VALUE"""),"Sukasari")</f>
        <v>Sukasari</v>
      </c>
      <c r="Y845" s="80" t="str">
        <f>IFERROR(__xludf.DUMMYFUNCTION("""COMPUTED_VALUE"""),"Kota Bandung ")</f>
        <v>Kota Bandung </v>
      </c>
      <c r="Z845" s="80" t="str">
        <f>IFERROR(__xludf.DUMMYFUNCTION("""COMPUTED_VALUE"""),"Jawa Barat")</f>
        <v>Jawa Barat</v>
      </c>
      <c r="AA845" s="80" t="str">
        <f>IFERROR(__xludf.DUMMYFUNCTION("""COMPUTED_VALUE"""),"40154")</f>
        <v>40154</v>
      </c>
      <c r="AB845" s="80" t="str">
        <f>IFERROR(__xludf.DUMMYFUNCTION("""COMPUTED_VALUE"""),"3215293005870001")</f>
        <v>3215293005870001</v>
      </c>
      <c r="AC845" s="80" t="str">
        <f>IFERROR(__xludf.DUMMYFUNCTION("""COMPUTED_VALUE"""),"44.260.154.8-433.000")</f>
        <v>44.260.154.8-433.000</v>
      </c>
      <c r="AD845" s="80" t="str">
        <f>IFERROR(__xludf.DUMMYFUNCTION("""COMPUTED_VALUE"""),"CUM - EEN")</f>
        <v>CUM - EEN</v>
      </c>
      <c r="AE845" s="80" t="str">
        <f>IFERROR(__xludf.DUMMYFUNCTION("""COMPUTED_VALUE"""),"SUB EEN")</f>
        <v>SUB EEN</v>
      </c>
      <c r="AF845" s="80" t="str">
        <f>IFERROR(__xludf.DUMMYFUNCTION("""COMPUTED_VALUE"""),"082120203303")</f>
        <v>082120203303</v>
      </c>
      <c r="AG845" s="80"/>
      <c r="AH845" s="80" t="str">
        <f>IFERROR(__xludf.DUMMYFUNCTION("""COMPUTED_VALUE"""),"ernin1801@gmail.com")</f>
        <v>ernin1801@gmail.com</v>
      </c>
      <c r="AI845" s="80" t="str">
        <f>IFERROR(__xludf.DUMMYFUNCTION("""COMPUTED_VALUE"""),"40153S1")</f>
        <v>40153S1</v>
      </c>
      <c r="AJ845" s="80" t="str">
        <f>IFERROR(__xludf.DUMMYFUNCTION("""COMPUTED_VALUE"""),"69a53c594272631a1604f437")</f>
        <v>69a53c594272631a1604f437</v>
      </c>
      <c r="AK845" s="80" t="str">
        <f>IFERROR(__xludf.DUMMYFUNCTION("""COMPUTED_VALUE"""),"ernin1801@gmail.com")</f>
        <v>ernin1801@gmail.com</v>
      </c>
      <c r="AL845" s="80" t="str">
        <f>IFERROR(__xludf.DUMMYFUNCTION("""COMPUTED_VALUE"""),"@Muc40153S1*")</f>
        <v>@Muc40153S1*</v>
      </c>
      <c r="AM845" s="80" t="str">
        <f>IFERROR(__xludf.DUMMYFUNCTION("""COMPUTED_VALUE"""),"KANTOR REGIONAL III BANDUNG 40004")</f>
        <v>KANTOR REGIONAL III BANDUNG 40004</v>
      </c>
      <c r="AN845" s="80" t="str">
        <f>IFERROR(__xludf.DUMMYFUNCTION("""COMPUTED_VALUE"""),"KCU BANDUNG 40000")</f>
        <v>KCU BANDUNG 40000</v>
      </c>
      <c r="AO845" s="80" t="str">
        <f>IFERROR(__xludf.DUMMYFUNCTION("""COMPUTED_VALUE"""),"1212210009476")</f>
        <v>1212210009476</v>
      </c>
      <c r="AP845" s="80" t="str">
        <f>IFERROR(__xludf.DUMMYFUNCTION("""COMPUTED_VALUE"""),"12122100094760001")</f>
        <v>12122100094760001</v>
      </c>
      <c r="AQ845" s="83"/>
      <c r="AR845" s="80"/>
      <c r="AS845" s="80"/>
      <c r="AT845" s="80" t="str">
        <f>IFERROR(__xludf.DUMMYFUNCTION("""COMPUTED_VALUE"""),"-6.863661")</f>
        <v>-6.863661</v>
      </c>
      <c r="AU845" s="80" t="str">
        <f>IFERROR(__xludf.DUMMYFUNCTION("""COMPUTED_VALUE"""),"107.589771")</f>
        <v>107.589771</v>
      </c>
      <c r="AV845" s="80"/>
      <c r="AW845" s="80"/>
      <c r="AX845" s="80"/>
      <c r="AY845" s="80"/>
      <c r="AZ845" s="80"/>
      <c r="BA845" s="80"/>
      <c r="BB845" s="80"/>
      <c r="BC845" s="80"/>
      <c r="BD845" s="80"/>
      <c r="BE845" s="80"/>
      <c r="BF845" s="80"/>
      <c r="BG845" s="80"/>
      <c r="BH845" s="80"/>
      <c r="BI845" s="80"/>
      <c r="BJ845" s="80"/>
      <c r="BK845" s="80"/>
      <c r="BL845" s="80"/>
      <c r="BM845" s="80"/>
      <c r="BN845" s="80"/>
      <c r="BO845" s="80"/>
      <c r="BP845" s="80"/>
      <c r="BQ845" s="80"/>
      <c r="BR845" s="80"/>
      <c r="BS845" s="80"/>
      <c r="BT845" s="80"/>
      <c r="BU845" s="80"/>
      <c r="BV845" s="80"/>
      <c r="BW845" s="80"/>
      <c r="BX845" s="80" t="str">
        <f>IFERROR(__xludf.DUMMYFUNCTION("""COMPUTED_VALUE"""),"MULTIKURIR - DROPER")</f>
        <v>MULTIKURIR - DROPER</v>
      </c>
      <c r="BY845" s="80"/>
      <c r="BZ845" s="80"/>
      <c r="CA845" s="80"/>
      <c r="CB845" s="80"/>
      <c r="CC845" s="80"/>
      <c r="CD845" s="80"/>
      <c r="CE845" s="80"/>
      <c r="CF845" s="80"/>
      <c r="CG845" s="80"/>
      <c r="CH845" s="80"/>
      <c r="CI845" s="80"/>
      <c r="CJ845" s="80"/>
      <c r="CK845" s="2"/>
    </row>
    <row r="846" ht="12.75" customHeight="1">
      <c r="A846" s="85">
        <f>IFERROR(__xludf.DUMMYFUNCTION("""COMPUTED_VALUE"""),842.0)</f>
        <v>842</v>
      </c>
      <c r="B846" s="85"/>
      <c r="C846" s="85"/>
      <c r="D846" s="86">
        <f>IFERROR(__xludf.DUMMYFUNCTION("""COMPUTED_VALUE"""),46079.0)</f>
        <v>46079</v>
      </c>
      <c r="E846" s="88"/>
      <c r="F846" s="85"/>
      <c r="G846" s="86"/>
      <c r="H846" s="85"/>
      <c r="I846" s="85"/>
      <c r="J846" s="85"/>
      <c r="K846" s="85"/>
      <c r="L846" s="85"/>
      <c r="M846" s="85" t="str">
        <f>IFERROR(__xludf.DUMMYFUNCTION("""COMPUTED_VALUE"""),"ü")</f>
        <v>ü</v>
      </c>
      <c r="N846" s="85"/>
      <c r="O846" s="85"/>
      <c r="P846" s="85" t="str">
        <f>IFERROR(__xludf.DUMMYFUNCTION("""COMPUTED_VALUE"""),"MUCSPA63381PSIND")</f>
        <v>MUCSPA63381PSIND</v>
      </c>
      <c r="Q846" s="85" t="str">
        <f>IFERROR(__xludf.DUMMYFUNCTION("""COMPUTED_VALUE"""),"MUC RIZKI FOTOCOPY")</f>
        <v>MUC RIZKI FOTOCOPY</v>
      </c>
      <c r="R846" s="85" t="str">
        <f>IFERROR(__xludf.DUMMYFUNCTION("""COMPUTED_VALUE"""),"MUC RIZKI FOTOCOPY")</f>
        <v>MUC RIZKI FOTOCOPY</v>
      </c>
      <c r="S846" s="85" t="str">
        <f>IFERROR(__xludf.DUMMYFUNCTION("""COMPUTED_VALUE"""),"Muhammad Rizki")</f>
        <v>Muhammad Rizki</v>
      </c>
      <c r="T846" s="85" t="str">
        <f>IFERROR(__xludf.DUMMYFUNCTION("""COMPUTED_VALUE"""),"Desa Sialang Jaya")</f>
        <v>Desa Sialang Jaya</v>
      </c>
      <c r="U846" s="85" t="str">
        <f>IFERROR(__xludf.DUMMYFUNCTION("""COMPUTED_VALUE"""),"Desa Sialang Jaya RT.009 RW.003")</f>
        <v>Desa Sialang Jaya RT.009 RW.003</v>
      </c>
      <c r="V846" s="85"/>
      <c r="W846" s="85" t="str">
        <f>IFERROR(__xludf.DUMMYFUNCTION("""COMPUTED_VALUE"""),"Sialang Jaya")</f>
        <v>Sialang Jaya</v>
      </c>
      <c r="X846" s="85" t="str">
        <f>IFERROR(__xludf.DUMMYFUNCTION("""COMPUTED_VALUE"""),"Batang Tuaka")</f>
        <v>Batang Tuaka</v>
      </c>
      <c r="Y846" s="85" t="str">
        <f>IFERROR(__xludf.DUMMYFUNCTION("""COMPUTED_VALUE"""),"Indragiri Hilir")</f>
        <v>Indragiri Hilir</v>
      </c>
      <c r="Z846" s="85" t="str">
        <f>IFERROR(__xludf.DUMMYFUNCTION("""COMPUTED_VALUE"""),"Riau")</f>
        <v>Riau</v>
      </c>
      <c r="AA846" s="85" t="str">
        <f>IFERROR(__xludf.DUMMYFUNCTION("""COMPUTED_VALUE"""),"29252")</f>
        <v>29252</v>
      </c>
      <c r="AB846" s="85" t="str">
        <f>IFERROR(__xludf.DUMMYFUNCTION("""COMPUTED_VALUE"""),"1404082003000001")</f>
        <v>1404082003000001</v>
      </c>
      <c r="AC846" s="85" t="str">
        <f>IFERROR(__xludf.DUMMYFUNCTION("""COMPUTED_VALUE"""),"1404082003000001")</f>
        <v>1404082003000001</v>
      </c>
      <c r="AD846" s="85" t="str">
        <f>IFERROR(__xludf.DUMMYFUNCTION("""COMPUTED_VALUE"""),"CUM - PS - TASY")</f>
        <v>CUM - PS - TASY</v>
      </c>
      <c r="AE846" s="85" t="str">
        <f>IFERROR(__xludf.DUMMYFUNCTION("""COMPUTED_VALUE"""),"SUB TASYA POS")</f>
        <v>SUB TASYA POS</v>
      </c>
      <c r="AF846" s="85" t="str">
        <f>IFERROR(__xludf.DUMMYFUNCTION("""COMPUTED_VALUE"""),"081378940708")</f>
        <v>081378940708</v>
      </c>
      <c r="AG846" s="85"/>
      <c r="AH846" s="85" t="str">
        <f>IFERROR(__xludf.DUMMYFUNCTION("""COMPUTED_VALUE"""),"rizkibanjari030@gmail.com")</f>
        <v>rizkibanjari030@gmail.com</v>
      </c>
      <c r="AI846" s="85"/>
      <c r="AJ846" s="85"/>
      <c r="AK846" s="85"/>
      <c r="AL846" s="85"/>
      <c r="AM846" s="85" t="str">
        <f>IFERROR(__xludf.DUMMYFUNCTION("""COMPUTED_VALUE"""),"KANTOR REGIONAL I MEDAN 20004")</f>
        <v>KANTOR REGIONAL I MEDAN 20004</v>
      </c>
      <c r="AN846" s="85" t="str">
        <f>IFERROR(__xludf.DUMMYFUNCTION("""COMPUTED_VALUE"""),"KC TEMBILAHAN")</f>
        <v>KC TEMBILAHAN</v>
      </c>
      <c r="AO846" s="85" t="str">
        <f>IFERROR(__xludf.DUMMYFUNCTION("""COMPUTED_VALUE"""),"2602260113955")</f>
        <v>2602260113955</v>
      </c>
      <c r="AP846" s="85" t="str">
        <f>IFERROR(__xludf.DUMMYFUNCTION("""COMPUTED_VALUE"""),"26022601139550001")</f>
        <v>26022601139550001</v>
      </c>
      <c r="AQ846" s="93"/>
      <c r="AR846" s="85"/>
      <c r="AS846" s="85"/>
      <c r="AT846" s="85" t="str">
        <f>IFERROR(__xludf.DUMMYFUNCTION("""COMPUTED_VALUE"""),"-0.230037")</f>
        <v>-0.230037</v>
      </c>
      <c r="AU846" s="85" t="str">
        <f>IFERROR(__xludf.DUMMYFUNCTION("""COMPUTED_VALUE"""),"103.322690")</f>
        <v>103.322690</v>
      </c>
      <c r="AV846" s="85"/>
      <c r="AW846" s="85"/>
      <c r="AX846" s="85"/>
      <c r="AY846" s="85"/>
      <c r="AZ846" s="85"/>
      <c r="BA846" s="85"/>
      <c r="BB846" s="85"/>
      <c r="BC846" s="85"/>
      <c r="BD846" s="85"/>
      <c r="BE846" s="85"/>
      <c r="BF846" s="85"/>
      <c r="BG846" s="85"/>
      <c r="BH846" s="85"/>
      <c r="BI846" s="85"/>
      <c r="BJ846" s="85"/>
      <c r="BK846" s="85"/>
      <c r="BL846" s="85"/>
      <c r="BM846" s="85"/>
      <c r="BN846" s="85"/>
      <c r="BO846" s="85"/>
      <c r="BP846" s="85"/>
      <c r="BQ846" s="85"/>
      <c r="BR846" s="85"/>
      <c r="BS846" s="85"/>
      <c r="BT846" s="85"/>
      <c r="BU846" s="85"/>
      <c r="BV846" s="85"/>
      <c r="BW846" s="85"/>
      <c r="BX846" s="85" t="str">
        <f>IFERROR(__xludf.DUMMYFUNCTION("""COMPUTED_VALUE"""),"NEWBIE")</f>
        <v>NEWBIE</v>
      </c>
      <c r="BY846" s="85"/>
      <c r="BZ846" s="85"/>
      <c r="CA846" s="85"/>
      <c r="CB846" s="85"/>
      <c r="CC846" s="85"/>
      <c r="CD846" s="85"/>
      <c r="CE846" s="85"/>
      <c r="CF846" s="85"/>
      <c r="CG846" s="85"/>
      <c r="CH846" s="85"/>
      <c r="CI846" s="85"/>
      <c r="CJ846" s="85"/>
      <c r="CK846" s="2"/>
    </row>
    <row r="847" ht="12.75" customHeight="1">
      <c r="A847" s="80">
        <f>IFERROR(__xludf.DUMMYFUNCTION("""COMPUTED_VALUE"""),843.0)</f>
        <v>843</v>
      </c>
      <c r="B847" s="80"/>
      <c r="C847" s="80"/>
      <c r="D847" s="81">
        <f>IFERROR(__xludf.DUMMYFUNCTION("""COMPUTED_VALUE"""),46079.0)</f>
        <v>46079</v>
      </c>
      <c r="E847" s="82"/>
      <c r="F847" s="80"/>
      <c r="G847" s="81">
        <f>IFERROR(__xludf.DUMMYFUNCTION("""COMPUTED_VALUE"""),46084.0)</f>
        <v>46084</v>
      </c>
      <c r="H847" s="80"/>
      <c r="I847" s="80"/>
      <c r="J847" s="80"/>
      <c r="K847" s="80"/>
      <c r="L847" s="80">
        <f>IFERROR(__xludf.DUMMYFUNCTION("""COMPUTED_VALUE"""),5.0)</f>
        <v>5</v>
      </c>
      <c r="M847" s="80" t="str">
        <f>IFERROR(__xludf.DUMMYFUNCTION("""COMPUTED_VALUE"""),"ü")</f>
        <v>ü</v>
      </c>
      <c r="N847" s="80"/>
      <c r="O847" s="80"/>
      <c r="P847" s="80" t="str">
        <f>IFERROR(__xludf.DUMMYFUNCTION("""COMPUTED_VALUE"""),"MUCSPA63382PSIND")</f>
        <v>MUCSPA63382PSIND</v>
      </c>
      <c r="Q847" s="80" t="str">
        <f>IFERROR(__xludf.DUMMYFUNCTION("""COMPUTED_VALUE"""),"MUC GABAHAN SEMARANG TENGAH")</f>
        <v>MUC GABAHAN SEMARANG TENGAH</v>
      </c>
      <c r="R847" s="80" t="str">
        <f>IFERROR(__xludf.DUMMYFUNCTION("""COMPUTED_VALUE"""),"MUC GABAHAN SEMARANG TENGAH")</f>
        <v>MUC GABAHAN SEMARANG TENGAH</v>
      </c>
      <c r="S847" s="80" t="str">
        <f>IFERROR(__xludf.DUMMYFUNCTION("""COMPUTED_VALUE"""),"MEILIOEANA EKO PRAJITNO")</f>
        <v>MEILIOEANA EKO PRAJITNO</v>
      </c>
      <c r="T847" s="80" t="str">
        <f>IFERROR(__xludf.DUMMYFUNCTION("""COMPUTED_VALUE"""),"KARANGANYAR II/73 RT.006 RW.001, GABAHAN, SEMARANG TENGAH")</f>
        <v>KARANGANYAR II/73 RT.006 RW.001, GABAHAN, SEMARANG TENGAH</v>
      </c>
      <c r="U847" s="80" t="str">
        <f>IFERROR(__xludf.DUMMYFUNCTION("""COMPUTED_VALUE"""),"Jl. Karang Anyar II No.74 ")</f>
        <v>Jl. Karang Anyar II No.74 </v>
      </c>
      <c r="V847" s="80"/>
      <c r="W847" s="80" t="str">
        <f>IFERROR(__xludf.DUMMYFUNCTION("""COMPUTED_VALUE"""),"Gabahan")</f>
        <v>Gabahan</v>
      </c>
      <c r="X847" s="80" t="str">
        <f>IFERROR(__xludf.DUMMYFUNCTION("""COMPUTED_VALUE"""),"Semarang Tengah")</f>
        <v>Semarang Tengah</v>
      </c>
      <c r="Y847" s="80" t="str">
        <f>IFERROR(__xludf.DUMMYFUNCTION("""COMPUTED_VALUE"""),"Kota Semarang")</f>
        <v>Kota Semarang</v>
      </c>
      <c r="Z847" s="80" t="str">
        <f>IFERROR(__xludf.DUMMYFUNCTION("""COMPUTED_VALUE"""),"Jawa Tengah ")</f>
        <v>Jawa Tengah </v>
      </c>
      <c r="AA847" s="80" t="str">
        <f>IFERROR(__xludf.DUMMYFUNCTION("""COMPUTED_VALUE"""),"50135")</f>
        <v>50135</v>
      </c>
      <c r="AB847" s="80" t="str">
        <f>IFERROR(__xludf.DUMMYFUNCTION("""COMPUTED_VALUE"""),"3374014908670001")</f>
        <v>3374014908670001</v>
      </c>
      <c r="AC847" s="80" t="str">
        <f>IFERROR(__xludf.DUMMYFUNCTION("""COMPUTED_VALUE"""),"73.856.482.2-509.000")</f>
        <v>73.856.482.2-509.000</v>
      </c>
      <c r="AD847" s="80" t="str">
        <f>IFERROR(__xludf.DUMMYFUNCTION("""COMPUTED_VALUE"""),"CUM - PS - PDW")</f>
        <v>CUM - PS - PDW</v>
      </c>
      <c r="AE847" s="80" t="str">
        <f>IFERROR(__xludf.DUMMYFUNCTION("""COMPUTED_VALUE"""),"SUB BOWO POS")</f>
        <v>SUB BOWO POS</v>
      </c>
      <c r="AF847" s="80" t="str">
        <f>IFERROR(__xludf.DUMMYFUNCTION("""COMPUTED_VALUE"""),"087836559400")</f>
        <v>087836559400</v>
      </c>
      <c r="AG847" s="80"/>
      <c r="AH847" s="80" t="str">
        <f>IFERROR(__xludf.DUMMYFUNCTION("""COMPUTED_VALUE"""),"elisabetmeilioeana@gmail.com")</f>
        <v>elisabetmeilioeana@gmail.com</v>
      </c>
      <c r="AI847" s="80" t="str">
        <f>IFERROR(__xludf.DUMMYFUNCTION("""COMPUTED_VALUE"""),"50135S4")</f>
        <v>50135S4</v>
      </c>
      <c r="AJ847" s="80" t="str">
        <f>IFERROR(__xludf.DUMMYFUNCTION("""COMPUTED_VALUE"""),"69a6825a8f0a70e15c07a384")</f>
        <v>69a6825a8f0a70e15c07a384</v>
      </c>
      <c r="AK847" s="80" t="str">
        <f>IFERROR(__xludf.DUMMYFUNCTION("""COMPUTED_VALUE"""),"elisabetmeilioeana@gmail.com ")</f>
        <v>elisabetmeilioeana@gmail.com </v>
      </c>
      <c r="AL847" s="80" t="str">
        <f>IFERROR(__xludf.DUMMYFUNCTION("""COMPUTED_VALUE"""),"@Muc50135S4%")</f>
        <v>@Muc50135S4%</v>
      </c>
      <c r="AM847" s="80" t="str">
        <f>IFERROR(__xludf.DUMMYFUNCTION("""COMPUTED_VALUE"""),"KANTOR REGIONAL IV SEMARANG 50004")</f>
        <v>KANTOR REGIONAL IV SEMARANG 50004</v>
      </c>
      <c r="AN847" s="80" t="str">
        <f>IFERROR(__xludf.DUMMYFUNCTION("""COMPUTED_VALUE"""),"KCU SEMARANG 50000")</f>
        <v>KCU SEMARANG 50000</v>
      </c>
      <c r="AO847" s="80" t="str">
        <f>IFERROR(__xludf.DUMMYFUNCTION("""COMPUTED_VALUE"""),"0284010031253")</f>
        <v>0284010031253</v>
      </c>
      <c r="AP847" s="80" t="str">
        <f>IFERROR(__xludf.DUMMYFUNCTION("""COMPUTED_VALUE"""),"02840100312530001")</f>
        <v>02840100312530001</v>
      </c>
      <c r="AQ847" s="83"/>
      <c r="AR847" s="80"/>
      <c r="AS847" s="80"/>
      <c r="AT847" s="80" t="str">
        <f>IFERROR(__xludf.DUMMYFUNCTION("""COMPUTED_VALUE"""),"-6.980421")</f>
        <v>-6.980421</v>
      </c>
      <c r="AU847" s="80" t="str">
        <f>IFERROR(__xludf.DUMMYFUNCTION("""COMPUTED_VALUE"""),"110.424087")</f>
        <v>110.424087</v>
      </c>
      <c r="AV847" s="80"/>
      <c r="AW847" s="80"/>
      <c r="AX847" s="80"/>
      <c r="AY847" s="80"/>
      <c r="AZ847" s="80"/>
      <c r="BA847" s="80"/>
      <c r="BB847" s="80"/>
      <c r="BC847" s="80"/>
      <c r="BD847" s="80"/>
      <c r="BE847" s="80"/>
      <c r="BF847" s="80"/>
      <c r="BG847" s="80"/>
      <c r="BH847" s="80"/>
      <c r="BI847" s="80"/>
      <c r="BJ847" s="80"/>
      <c r="BK847" s="80"/>
      <c r="BL847" s="80"/>
      <c r="BM847" s="80"/>
      <c r="BN847" s="80"/>
      <c r="BO847" s="80"/>
      <c r="BP847" s="80"/>
      <c r="BQ847" s="80"/>
      <c r="BR847" s="80"/>
      <c r="BS847" s="80"/>
      <c r="BT847" s="80"/>
      <c r="BU847" s="80"/>
      <c r="BV847" s="80"/>
      <c r="BW847" s="80"/>
      <c r="BX847" s="80" t="str">
        <f>IFERROR(__xludf.DUMMYFUNCTION("""COMPUTED_VALUE"""),"MULTIKURI - SAP")</f>
        <v>MULTIKURI - SAP</v>
      </c>
      <c r="BY847" s="80"/>
      <c r="BZ847" s="80"/>
      <c r="CA847" s="80"/>
      <c r="CB847" s="80"/>
      <c r="CC847" s="80"/>
      <c r="CD847" s="80"/>
      <c r="CE847" s="80"/>
      <c r="CF847" s="80"/>
      <c r="CG847" s="80"/>
      <c r="CH847" s="80"/>
      <c r="CI847" s="80"/>
      <c r="CJ847" s="80"/>
      <c r="CK847" s="2"/>
    </row>
    <row r="848" ht="12.75" customHeight="1">
      <c r="A848" s="85">
        <f>IFERROR(__xludf.DUMMYFUNCTION("""COMPUTED_VALUE"""),844.0)</f>
        <v>844</v>
      </c>
      <c r="B848" s="85"/>
      <c r="C848" s="85"/>
      <c r="D848" s="86">
        <f>IFERROR(__xludf.DUMMYFUNCTION("""COMPUTED_VALUE"""),46079.0)</f>
        <v>46079</v>
      </c>
      <c r="E848" s="88"/>
      <c r="F848" s="85"/>
      <c r="G848" s="86">
        <f>IFERROR(__xludf.DUMMYFUNCTION("""COMPUTED_VALUE"""),46097.0)</f>
        <v>46097</v>
      </c>
      <c r="H848" s="85"/>
      <c r="I848" s="85"/>
      <c r="J848" s="85"/>
      <c r="K848" s="85"/>
      <c r="L848" s="85">
        <f>IFERROR(__xludf.DUMMYFUNCTION("""COMPUTED_VALUE"""),18.0)</f>
        <v>18</v>
      </c>
      <c r="M848" s="85" t="str">
        <f>IFERROR(__xludf.DUMMYFUNCTION("""COMPUTED_VALUE"""),"ü")</f>
        <v>ü</v>
      </c>
      <c r="N848" s="85"/>
      <c r="O848" s="85"/>
      <c r="P848" s="85" t="str">
        <f>IFERROR(__xludf.DUMMYFUNCTION("""COMPUTED_VALUE"""),"53BSPA09894JBEEN")</f>
        <v>53BSPA09894JBEEN</v>
      </c>
      <c r="Q848" s="85" t="str">
        <f>IFERROR(__xludf.DUMMYFUNCTION("""COMPUTED_VALUE"""),"MUC Ghifarial Express")</f>
        <v>MUC Ghifarial Express</v>
      </c>
      <c r="R848" s="85" t="str">
        <f>IFERROR(__xludf.DUMMYFUNCTION("""COMPUTED_VALUE"""),"MUC Ghifarial Express")</f>
        <v>MUC Ghifarial Express</v>
      </c>
      <c r="S848" s="85" t="str">
        <f>IFERROR(__xludf.DUMMYFUNCTION("""COMPUTED_VALUE"""),"SYARIF HIDAYATULLAH")</f>
        <v>SYARIF HIDAYATULLAH</v>
      </c>
      <c r="T848" s="85" t="str">
        <f>IFERROR(__xludf.DUMMYFUNCTION("""COMPUTED_VALUE"""),"PERUMAHAN GRIYA SUKATANI BLOK D.3 NO.1 RT.005 RW.007, SUKARUKUN, SUKATANI, KAB. BEKASI")</f>
        <v>PERUMAHAN GRIYA SUKATANI BLOK D.3 NO.1 RT.005 RW.007, SUKARUKUN, SUKATANI, KAB. BEKASI</v>
      </c>
      <c r="U848" s="85" t="str">
        <f>IFERROR(__xludf.DUMMYFUNCTION("""COMPUTED_VALUE"""),"Jl. Raya Jagawana (Dekat taman jagawana, depan gang jagawana indah 1) Rt.05/05 ")</f>
        <v>Jl. Raya Jagawana (Dekat taman jagawana, depan gang jagawana indah 1) Rt.05/05 </v>
      </c>
      <c r="V848" s="85"/>
      <c r="W848" s="85" t="str">
        <f>IFERROR(__xludf.DUMMYFUNCTION("""COMPUTED_VALUE"""),"Sukarukun")</f>
        <v>Sukarukun</v>
      </c>
      <c r="X848" s="85" t="str">
        <f>IFERROR(__xludf.DUMMYFUNCTION("""COMPUTED_VALUE"""),"Sukatani")</f>
        <v>Sukatani</v>
      </c>
      <c r="Y848" s="85" t="str">
        <f>IFERROR(__xludf.DUMMYFUNCTION("""COMPUTED_VALUE"""),"Kab.Bekasi")</f>
        <v>Kab.Bekasi</v>
      </c>
      <c r="Z848" s="85" t="str">
        <f>IFERROR(__xludf.DUMMYFUNCTION("""COMPUTED_VALUE"""),"Jawa Barat")</f>
        <v>Jawa Barat</v>
      </c>
      <c r="AA848" s="85" t="str">
        <f>IFERROR(__xludf.DUMMYFUNCTION("""COMPUTED_VALUE"""),"17630")</f>
        <v>17630</v>
      </c>
      <c r="AB848" s="85" t="str">
        <f>IFERROR(__xludf.DUMMYFUNCTION("""COMPUTED_VALUE"""),"3216161608920001")</f>
        <v>3216161608920001</v>
      </c>
      <c r="AC848" s="85" t="str">
        <f>IFERROR(__xludf.DUMMYFUNCTION("""COMPUTED_VALUE"""),"81.880.521.0-414.000")</f>
        <v>81.880.521.0-414.000</v>
      </c>
      <c r="AD848" s="85" t="str">
        <f>IFERROR(__xludf.DUMMYFUNCTION("""COMPUTED_VALUE"""),"CUM - EEN")</f>
        <v>CUM - EEN</v>
      </c>
      <c r="AE848" s="85" t="str">
        <f>IFERROR(__xludf.DUMMYFUNCTION("""COMPUTED_VALUE"""),"SUB EEN")</f>
        <v>SUB EEN</v>
      </c>
      <c r="AF848" s="85" t="str">
        <f>IFERROR(__xludf.DUMMYFUNCTION("""COMPUTED_VALUE"""),"08561254264")</f>
        <v>08561254264</v>
      </c>
      <c r="AG848" s="85"/>
      <c r="AH848" s="85" t="str">
        <f>IFERROR(__xludf.DUMMYFUNCTION("""COMPUTED_VALUE"""),"ghifarialinvestamamandiri@gmail.com")</f>
        <v>ghifarialinvestamamandiri@gmail.com</v>
      </c>
      <c r="AI848" s="85" t="str">
        <f>IFERROR(__xludf.DUMMYFUNCTION("""COMPUTED_VALUE"""),"17637S1")</f>
        <v>17637S1</v>
      </c>
      <c r="AJ848" s="85" t="str">
        <f>IFERROR(__xludf.DUMMYFUNCTION("""COMPUTED_VALUE"""),"69b4afb80caba14b9d017e28")</f>
        <v>69b4afb80caba14b9d017e28</v>
      </c>
      <c r="AK848" s="85" t="str">
        <f>IFERROR(__xludf.DUMMYFUNCTION("""COMPUTED_VALUE"""),"ghifarialinvestamamandiri@gmail.com")</f>
        <v>ghifarialinvestamamandiri@gmail.com</v>
      </c>
      <c r="AL848" s="85" t="str">
        <f>IFERROR(__xludf.DUMMYFUNCTION("""COMPUTED_VALUE"""),"#Muc17637S1$")</f>
        <v>#Muc17637S1$</v>
      </c>
      <c r="AM848" s="85" t="str">
        <f>IFERROR(__xludf.DUMMYFUNCTION("""COMPUTED_VALUE"""),"KANTOR REGIONAL II JAKARTA 10004")</f>
        <v>KANTOR REGIONAL II JAKARTA 10004</v>
      </c>
      <c r="AN848" s="85" t="str">
        <f>IFERROR(__xludf.DUMMYFUNCTION("""COMPUTED_VALUE"""),"KC CIKARANG 17500")</f>
        <v>KC CIKARANG 17500</v>
      </c>
      <c r="AO848" s="85" t="str">
        <f>IFERROR(__xludf.DUMMYFUNCTION("""COMPUTED_VALUE"""),"0908230030272")</f>
        <v>0908230030272</v>
      </c>
      <c r="AP848" s="85" t="str">
        <f>IFERROR(__xludf.DUMMYFUNCTION("""COMPUTED_VALUE"""),"09082300302720002")</f>
        <v>09082300302720002</v>
      </c>
      <c r="AQ848" s="93"/>
      <c r="AR848" s="85"/>
      <c r="AS848" s="85"/>
      <c r="AT848" s="85" t="str">
        <f>IFERROR(__xludf.DUMMYFUNCTION("""COMPUTED_VALUE"""),"-6.238649")</f>
        <v>-6.238649</v>
      </c>
      <c r="AU848" s="85" t="str">
        <f>IFERROR(__xludf.DUMMYFUNCTION("""COMPUTED_VALUE"""),"107.155991")</f>
        <v>107.155991</v>
      </c>
      <c r="AV848" s="85"/>
      <c r="AW848" s="85"/>
      <c r="AX848" s="85"/>
      <c r="AY848" s="85"/>
      <c r="AZ848" s="85"/>
      <c r="BA848" s="85"/>
      <c r="BB848" s="85"/>
      <c r="BC848" s="85"/>
      <c r="BD848" s="85"/>
      <c r="BE848" s="85"/>
      <c r="BF848" s="85"/>
      <c r="BG848" s="85"/>
      <c r="BH848" s="85"/>
      <c r="BI848" s="85"/>
      <c r="BJ848" s="85"/>
      <c r="BK848" s="85"/>
      <c r="BL848" s="85"/>
      <c r="BM848" s="85"/>
      <c r="BN848" s="85"/>
      <c r="BO848" s="85"/>
      <c r="BP848" s="85"/>
      <c r="BQ848" s="85"/>
      <c r="BR848" s="85"/>
      <c r="BS848" s="85"/>
      <c r="BT848" s="85"/>
      <c r="BU848" s="85"/>
      <c r="BV848" s="85"/>
      <c r="BW848" s="85"/>
      <c r="BX848" s="85" t="str">
        <f>IFERROR(__xludf.DUMMYFUNCTION("""COMPUTED_VALUE"""),"MULTIKURIR - WAHANA - LION PARCEL")</f>
        <v>MULTIKURIR - WAHANA - LION PARCEL</v>
      </c>
      <c r="BY848" s="85"/>
      <c r="BZ848" s="85"/>
      <c r="CA848" s="85"/>
      <c r="CB848" s="85"/>
      <c r="CC848" s="85"/>
      <c r="CD848" s="85"/>
      <c r="CE848" s="85"/>
      <c r="CF848" s="85"/>
      <c r="CG848" s="85"/>
      <c r="CH848" s="85"/>
      <c r="CI848" s="85"/>
      <c r="CJ848" s="85"/>
      <c r="CK848" s="2"/>
    </row>
    <row r="849" ht="12.75" customHeight="1">
      <c r="A849" s="80">
        <f>IFERROR(__xludf.DUMMYFUNCTION("""COMPUTED_VALUE"""),845.0)</f>
        <v>845</v>
      </c>
      <c r="B849" s="80"/>
      <c r="C849" s="80"/>
      <c r="D849" s="81">
        <f>IFERROR(__xludf.DUMMYFUNCTION("""COMPUTED_VALUE"""),46079.0)</f>
        <v>46079</v>
      </c>
      <c r="E849" s="82"/>
      <c r="F849" s="80"/>
      <c r="G849" s="81">
        <f>IFERROR(__xludf.DUMMYFUNCTION("""COMPUTED_VALUE"""),46086.0)</f>
        <v>46086</v>
      </c>
      <c r="H849" s="80"/>
      <c r="I849" s="80"/>
      <c r="J849" s="80"/>
      <c r="K849" s="80"/>
      <c r="L849" s="80">
        <f>IFERROR(__xludf.DUMMYFUNCTION("""COMPUTED_VALUE"""),7.0)</f>
        <v>7</v>
      </c>
      <c r="M849" s="80" t="str">
        <f>IFERROR(__xludf.DUMMYFUNCTION("""COMPUTED_VALUE"""),"ü")</f>
        <v>ü</v>
      </c>
      <c r="N849" s="80"/>
      <c r="O849" s="80"/>
      <c r="P849" s="80" t="str">
        <f>IFERROR(__xludf.DUMMYFUNCTION("""COMPUTED_VALUE"""),"MUCSPA63383PSIND")</f>
        <v>MUCSPA63383PSIND</v>
      </c>
      <c r="Q849" s="80" t="str">
        <f>IFERROR(__xludf.DUMMYFUNCTION("""COMPUTED_VALUE"""),"MUC ALFA SIGMA")</f>
        <v>MUC ALFA SIGMA</v>
      </c>
      <c r="R849" s="80" t="str">
        <f>IFERROR(__xludf.DUMMYFUNCTION("""COMPUTED_VALUE"""),"MUC ALFA SIGMA")</f>
        <v>MUC ALFA SIGMA</v>
      </c>
      <c r="S849" s="80" t="str">
        <f>IFERROR(__xludf.DUMMYFUNCTION("""COMPUTED_VALUE"""),"IRMA DEVINA LISTIYANI")</f>
        <v>IRMA DEVINA LISTIYANI</v>
      </c>
      <c r="T849" s="80" t="str">
        <f>IFERROR(__xludf.DUMMYFUNCTION("""COMPUTED_VALUE"""),"KRANGGAN DALAM NO.32E RT.007 RW.001, KRANGGAN, SEMARANG TENGAH, KOTA SEMARANG")</f>
        <v>KRANGGAN DALAM NO.32E RT.007 RW.001, KRANGGAN, SEMARANG TENGAH, KOTA SEMARANG</v>
      </c>
      <c r="U849" s="80" t="str">
        <f>IFERROR(__xludf.DUMMYFUNCTION("""COMPUTED_VALUE"""),"Jl. Gang Besen no.16")</f>
        <v>Jl. Gang Besen no.16</v>
      </c>
      <c r="V849" s="80"/>
      <c r="W849" s="80" t="str">
        <f>IFERROR(__xludf.DUMMYFUNCTION("""COMPUTED_VALUE"""),"Kranggan")</f>
        <v>Kranggan</v>
      </c>
      <c r="X849" s="80" t="str">
        <f>IFERROR(__xludf.DUMMYFUNCTION("""COMPUTED_VALUE"""),"Semarang Tengah")</f>
        <v>Semarang Tengah</v>
      </c>
      <c r="Y849" s="80" t="str">
        <f>IFERROR(__xludf.DUMMYFUNCTION("""COMPUTED_VALUE"""),"Semarang ")</f>
        <v>Semarang </v>
      </c>
      <c r="Z849" s="80" t="str">
        <f>IFERROR(__xludf.DUMMYFUNCTION("""COMPUTED_VALUE"""),"Jawa Tengah ")</f>
        <v>Jawa Tengah </v>
      </c>
      <c r="AA849" s="80" t="str">
        <f>IFERROR(__xludf.DUMMYFUNCTION("""COMPUTED_VALUE"""),"50137")</f>
        <v>50137</v>
      </c>
      <c r="AB849" s="80" t="str">
        <f>IFERROR(__xludf.DUMMYFUNCTION("""COMPUTED_VALUE"""),"3374135412840003")</f>
        <v>3374135412840003</v>
      </c>
      <c r="AC849" s="80" t="str">
        <f>IFERROR(__xludf.DUMMYFUNCTION("""COMPUTED_VALUE"""),"20.800.635.3-509.000")</f>
        <v>20.800.635.3-509.000</v>
      </c>
      <c r="AD849" s="80" t="str">
        <f>IFERROR(__xludf.DUMMYFUNCTION("""COMPUTED_VALUE"""),"CUM - PS - PDW")</f>
        <v>CUM - PS - PDW</v>
      </c>
      <c r="AE849" s="80" t="str">
        <f>IFERROR(__xludf.DUMMYFUNCTION("""COMPUTED_VALUE"""),"SUB BOWO POS")</f>
        <v>SUB BOWO POS</v>
      </c>
      <c r="AF849" s="80" t="str">
        <f>IFERROR(__xludf.DUMMYFUNCTION("""COMPUTED_VALUE"""),"083838373174")</f>
        <v>083838373174</v>
      </c>
      <c r="AG849" s="80"/>
      <c r="AH849" s="80" t="str">
        <f>IFERROR(__xludf.DUMMYFUNCTION("""COMPUTED_VALUE"""),"ce.holang.kayah@gmail")</f>
        <v>ce.holang.kayah@gmail</v>
      </c>
      <c r="AI849" s="80" t="str">
        <f>IFERROR(__xludf.DUMMYFUNCTION("""COMPUTED_VALUE"""),"50137S5")</f>
        <v>50137S5</v>
      </c>
      <c r="AJ849" s="80" t="str">
        <f>IFERROR(__xludf.DUMMYFUNCTION("""COMPUTED_VALUE"""),"69a7e1b7d50373a51003350b")</f>
        <v>69a7e1b7d50373a51003350b</v>
      </c>
      <c r="AK849" s="80" t="str">
        <f>IFERROR(__xludf.DUMMYFUNCTION("""COMPUTED_VALUE"""),"ce.holang.kayah@gmail.com")</f>
        <v>ce.holang.kayah@gmail.com</v>
      </c>
      <c r="AL849" s="80" t="str">
        <f>IFERROR(__xludf.DUMMYFUNCTION("""COMPUTED_VALUE"""),"!Muc50137S5&amp;")</f>
        <v>!Muc50137S5&amp;</v>
      </c>
      <c r="AM849" s="80" t="str">
        <f>IFERROR(__xludf.DUMMYFUNCTION("""COMPUTED_VALUE"""),"KANTOR REGIONAL IV SEMARANG 50004")</f>
        <v>KANTOR REGIONAL IV SEMARANG 50004</v>
      </c>
      <c r="AN849" s="80" t="str">
        <f>IFERROR(__xludf.DUMMYFUNCTION("""COMPUTED_VALUE"""),"KCU SEMARANG 50000")</f>
        <v>KCU SEMARANG 50000</v>
      </c>
      <c r="AO849" s="80" t="str">
        <f>IFERROR(__xludf.DUMMYFUNCTION("""COMPUTED_VALUE"""),"1241001301805")</f>
        <v>1241001301805</v>
      </c>
      <c r="AP849" s="80" t="str">
        <f>IFERROR(__xludf.DUMMYFUNCTION("""COMPUTED_VALUE"""),"12410013018050001")</f>
        <v>12410013018050001</v>
      </c>
      <c r="AQ849" s="83"/>
      <c r="AR849" s="80"/>
      <c r="AS849" s="80"/>
      <c r="AT849" s="80" t="str">
        <f>IFERROR(__xludf.DUMMYFUNCTION("""COMPUTED_VALUE"""),"-6.9752532")</f>
        <v>-6.9752532</v>
      </c>
      <c r="AU849" s="80" t="str">
        <f>IFERROR(__xludf.DUMMYFUNCTION("""COMPUTED_VALUE"""),"110.4277069")</f>
        <v>110.4277069</v>
      </c>
      <c r="AV849" s="80"/>
      <c r="AW849" s="80"/>
      <c r="AX849" s="80"/>
      <c r="AY849" s="80"/>
      <c r="AZ849" s="80"/>
      <c r="BA849" s="80"/>
      <c r="BB849" s="80"/>
      <c r="BC849" s="80"/>
      <c r="BD849" s="80"/>
      <c r="BE849" s="80"/>
      <c r="BF849" s="80"/>
      <c r="BG849" s="80"/>
      <c r="BH849" s="80"/>
      <c r="BI849" s="80"/>
      <c r="BJ849" s="80"/>
      <c r="BK849" s="80"/>
      <c r="BL849" s="80"/>
      <c r="BM849" s="80"/>
      <c r="BN849" s="80"/>
      <c r="BO849" s="80"/>
      <c r="BP849" s="80"/>
      <c r="BQ849" s="80"/>
      <c r="BR849" s="80"/>
      <c r="BS849" s="80"/>
      <c r="BT849" s="80"/>
      <c r="BU849" s="80"/>
      <c r="BV849" s="80"/>
      <c r="BW849" s="80"/>
      <c r="BX849" s="80" t="str">
        <f>IFERROR(__xludf.DUMMYFUNCTION("""COMPUTED_VALUE"""),"NEWBIE")</f>
        <v>NEWBIE</v>
      </c>
      <c r="BY849" s="80"/>
      <c r="BZ849" s="80"/>
      <c r="CA849" s="80"/>
      <c r="CB849" s="80"/>
      <c r="CC849" s="80"/>
      <c r="CD849" s="80"/>
      <c r="CE849" s="80"/>
      <c r="CF849" s="80"/>
      <c r="CG849" s="80"/>
      <c r="CH849" s="80"/>
      <c r="CI849" s="80"/>
      <c r="CJ849" s="80"/>
      <c r="CK849" s="2"/>
    </row>
    <row r="850" ht="12.75" customHeight="1">
      <c r="A850" s="85">
        <f>IFERROR(__xludf.DUMMYFUNCTION("""COMPUTED_VALUE"""),846.0)</f>
        <v>846</v>
      </c>
      <c r="B850" s="85"/>
      <c r="C850" s="85"/>
      <c r="D850" s="86">
        <f>IFERROR(__xludf.DUMMYFUNCTION("""COMPUTED_VALUE"""),46079.0)</f>
        <v>46079</v>
      </c>
      <c r="E850" s="88"/>
      <c r="F850" s="85"/>
      <c r="G850" s="86">
        <f>IFERROR(__xludf.DUMMYFUNCTION("""COMPUTED_VALUE"""),46135.0)</f>
        <v>46135</v>
      </c>
      <c r="H850" s="85"/>
      <c r="I850" s="85"/>
      <c r="J850" s="85"/>
      <c r="K850" s="85"/>
      <c r="L850" s="85">
        <f>IFERROR(__xludf.DUMMYFUNCTION("""COMPUTED_VALUE"""),56.0)</f>
        <v>56</v>
      </c>
      <c r="M850" s="85" t="str">
        <f>IFERROR(__xludf.DUMMYFUNCTION("""COMPUTED_VALUE"""),"ü")</f>
        <v>ü</v>
      </c>
      <c r="N850" s="85"/>
      <c r="O850" s="85"/>
      <c r="P850" s="85" t="str">
        <f>IFERROR(__xludf.DUMMYFUNCTION("""COMPUTED_VALUE"""),"MUCSPA63384PSIND")</f>
        <v>MUCSPA63384PSIND</v>
      </c>
      <c r="Q850" s="85" t="str">
        <f>IFERROR(__xludf.DUMMYFUNCTION("""COMPUTED_VALUE"""),"MUC Ardysia Xpress")</f>
        <v>MUC Ardysia Xpress</v>
      </c>
      <c r="R850" s="85" t="str">
        <f>IFERROR(__xludf.DUMMYFUNCTION("""COMPUTED_VALUE"""),"MUC Ardysia Xpress")</f>
        <v>MUC Ardysia Xpress</v>
      </c>
      <c r="S850" s="85" t="str">
        <f>IFERROR(__xludf.DUMMYFUNCTION("""COMPUTED_VALUE"""),"EDUARD GIBSON TAMPUBOLON")</f>
        <v>EDUARD GIBSON TAMPUBOLON</v>
      </c>
      <c r="T850" s="85" t="str">
        <f>IFERROR(__xludf.DUMMYFUNCTION("""COMPUTED_VALUE"""),"JL. GARUDA NO.70 BLOK D28/18, MEKARSARI, CIMANGGIS, KOTA DEPOK, JAWA BARAT")</f>
        <v>JL. GARUDA NO.70 BLOK D28/18, MEKARSARI, CIMANGGIS, KOTA DEPOK, JAWA BARAT</v>
      </c>
      <c r="U850" s="85" t="str">
        <f>IFERROR(__xludf.DUMMYFUNCTION("""COMPUTED_VALUE"""),"Jl. Garuda No. 70 Blok D28/18, Rt. 007/Rw. 014")</f>
        <v>Jl. Garuda No. 70 Blok D28/18, Rt. 007/Rw. 014</v>
      </c>
      <c r="V850" s="85"/>
      <c r="W850" s="85" t="str">
        <f>IFERROR(__xludf.DUMMYFUNCTION("""COMPUTED_VALUE"""),"Mekarsari")</f>
        <v>Mekarsari</v>
      </c>
      <c r="X850" s="85" t="str">
        <f>IFERROR(__xludf.DUMMYFUNCTION("""COMPUTED_VALUE"""),"Cimanggis")</f>
        <v>Cimanggis</v>
      </c>
      <c r="Y850" s="85" t="str">
        <f>IFERROR(__xludf.DUMMYFUNCTION("""COMPUTED_VALUE"""),"Depok")</f>
        <v>Depok</v>
      </c>
      <c r="Z850" s="85" t="str">
        <f>IFERROR(__xludf.DUMMYFUNCTION("""COMPUTED_VALUE"""),"Jawa Barat")</f>
        <v>Jawa Barat</v>
      </c>
      <c r="AA850" s="85" t="str">
        <f>IFERROR(__xludf.DUMMYFUNCTION("""COMPUTED_VALUE"""),"16452")</f>
        <v>16452</v>
      </c>
      <c r="AB850" s="85" t="str">
        <f>IFERROR(__xludf.DUMMYFUNCTION("""COMPUTED_VALUE"""),"3276020701710012")</f>
        <v>3276020701710012</v>
      </c>
      <c r="AC850" s="85" t="str">
        <f>IFERROR(__xludf.DUMMYFUNCTION("""COMPUTED_VALUE"""),"24.577.577.0-412.000")</f>
        <v>24.577.577.0-412.000</v>
      </c>
      <c r="AD850" s="85" t="str">
        <f>IFERROR(__xludf.DUMMYFUNCTION("""COMPUTED_VALUE"""),"CUM - PS - HPR")</f>
        <v>CUM - PS - HPR</v>
      </c>
      <c r="AE850" s="85" t="str">
        <f>IFERROR(__xludf.DUMMYFUNCTION("""COMPUTED_VALUE"""),"CUM - PS - HPR")</f>
        <v>CUM - PS - HPR</v>
      </c>
      <c r="AF850" s="85" t="str">
        <f>IFERROR(__xludf.DUMMYFUNCTION("""COMPUTED_VALUE"""),"081285171919")</f>
        <v>081285171919</v>
      </c>
      <c r="AG850" s="85"/>
      <c r="AH850" s="85" t="str">
        <f>IFERROR(__xludf.DUMMYFUNCTION("""COMPUTED_VALUE"""),"ardysia.xpress@gmail.com")</f>
        <v>ardysia.xpress@gmail.com</v>
      </c>
      <c r="AI850" s="85" t="str">
        <f>IFERROR(__xludf.DUMMYFUNCTION("""COMPUTED_VALUE"""),"16452S4")</f>
        <v>16452S4</v>
      </c>
      <c r="AJ850" s="85" t="str">
        <f>IFERROR(__xludf.DUMMYFUNCTION("""COMPUTED_VALUE"""),"69e9a1d88de6e91df901d76e")</f>
        <v>69e9a1d88de6e91df901d76e</v>
      </c>
      <c r="AK850" s="85" t="str">
        <f>IFERROR(__xludf.DUMMYFUNCTION("""COMPUTED_VALUE"""),"ardysia.xpress@gmail.com")</f>
        <v>ardysia.xpress@gmail.com</v>
      </c>
      <c r="AL850" s="85" t="str">
        <f>IFERROR(__xludf.DUMMYFUNCTION("""COMPUTED_VALUE"""),"#Muc16452S4$")</f>
        <v>#Muc16452S4$</v>
      </c>
      <c r="AM850" s="85" t="str">
        <f>IFERROR(__xludf.DUMMYFUNCTION("""COMPUTED_VALUE"""),"KANTOR REGIONAL II JAKARTA 10004")</f>
        <v>KANTOR REGIONAL II JAKARTA 10004</v>
      </c>
      <c r="AN850" s="85" t="str">
        <f>IFERROR(__xludf.DUMMYFUNCTION("""COMPUTED_VALUE"""),"KC DEPOK 16400")</f>
        <v>KC DEPOK 16400</v>
      </c>
      <c r="AO850" s="85" t="str">
        <f>IFERROR(__xludf.DUMMYFUNCTION("""COMPUTED_VALUE"""),"2702260095554")</f>
        <v>2702260095554</v>
      </c>
      <c r="AP850" s="85" t="str">
        <f>IFERROR(__xludf.DUMMYFUNCTION("""COMPUTED_VALUE"""),"27022600955540001")</f>
        <v>27022600955540001</v>
      </c>
      <c r="AQ850" s="93" t="str">
        <f>IFERROR(__xludf.DUMMYFUNCTION("""COMPUTED_VALUE""")," 877-016-1704")</f>
        <v> 877-016-1704</v>
      </c>
      <c r="AR850" s="85" t="str">
        <f>IFERROR(__xludf.DUMMYFUNCTION("""COMPUTED_VALUE"""),"BCA")</f>
        <v>BCA</v>
      </c>
      <c r="AS850" s="85" t="str">
        <f>IFERROR(__xludf.DUMMYFUNCTION("""COMPUTED_VALUE""")," Eduard Gibson Tampubolon")</f>
        <v> Eduard Gibson Tampubolon</v>
      </c>
      <c r="AT850" s="85" t="str">
        <f>IFERROR(__xludf.DUMMYFUNCTION("""COMPUTED_VALUE"""),"-6.3661017")</f>
        <v>-6.3661017</v>
      </c>
      <c r="AU850" s="85" t="str">
        <f>IFERROR(__xludf.DUMMYFUNCTION("""COMPUTED_VALUE"""),"106.8776324")</f>
        <v>106.8776324</v>
      </c>
      <c r="AV850" s="85"/>
      <c r="AW850" s="85"/>
      <c r="AX850" s="85"/>
      <c r="AY850" s="85"/>
      <c r="AZ850" s="85"/>
      <c r="BA850" s="85"/>
      <c r="BB850" s="85"/>
      <c r="BC850" s="85"/>
      <c r="BD850" s="85"/>
      <c r="BE850" s="85"/>
      <c r="BF850" s="85"/>
      <c r="BG850" s="85"/>
      <c r="BH850" s="85"/>
      <c r="BI850" s="85"/>
      <c r="BJ850" s="85"/>
      <c r="BK850" s="85"/>
      <c r="BL850" s="85"/>
      <c r="BM850" s="85"/>
      <c r="BN850" s="85"/>
      <c r="BO850" s="85"/>
      <c r="BP850" s="85"/>
      <c r="BQ850" s="85"/>
      <c r="BR850" s="85"/>
      <c r="BS850" s="85"/>
      <c r="BT850" s="85"/>
      <c r="BU850" s="85"/>
      <c r="BV850" s="85"/>
      <c r="BW850" s="85"/>
      <c r="BX850" s="85" t="str">
        <f>IFERROR(__xludf.DUMMYFUNCTION("""COMPUTED_VALUE"""),"MULTIKURIR - JNT - WAHANA - LION PARCEL - JNE")</f>
        <v>MULTIKURIR - JNT - WAHANA - LION PARCEL - JNE</v>
      </c>
      <c r="BY850" s="85"/>
      <c r="BZ850" s="85"/>
      <c r="CA850" s="85"/>
      <c r="CB850" s="85"/>
      <c r="CC850" s="85"/>
      <c r="CD850" s="85"/>
      <c r="CE850" s="85"/>
      <c r="CF850" s="85"/>
      <c r="CG850" s="85"/>
      <c r="CH850" s="85"/>
      <c r="CI850" s="85"/>
      <c r="CJ850" s="85"/>
      <c r="CK850" s="2"/>
    </row>
    <row r="851" ht="12.75" customHeight="1">
      <c r="A851" s="80">
        <f>IFERROR(__xludf.DUMMYFUNCTION("""COMPUTED_VALUE"""),847.0)</f>
        <v>847</v>
      </c>
      <c r="B851" s="80"/>
      <c r="C851" s="80"/>
      <c r="D851" s="81">
        <f>IFERROR(__xludf.DUMMYFUNCTION("""COMPUTED_VALUE"""),46080.0)</f>
        <v>46080</v>
      </c>
      <c r="E851" s="82"/>
      <c r="F851" s="80"/>
      <c r="G851" s="81">
        <f>IFERROR(__xludf.DUMMYFUNCTION("""COMPUTED_VALUE"""),46097.0)</f>
        <v>46097</v>
      </c>
      <c r="H851" s="80"/>
      <c r="I851" s="80"/>
      <c r="J851" s="80"/>
      <c r="K851" s="80"/>
      <c r="L851" s="80">
        <f>IFERROR(__xludf.DUMMYFUNCTION("""COMPUTED_VALUE"""),17.0)</f>
        <v>17</v>
      </c>
      <c r="M851" s="80" t="str">
        <f>IFERROR(__xludf.DUMMYFUNCTION("""COMPUTED_VALUE"""),"ü")</f>
        <v>ü</v>
      </c>
      <c r="N851" s="80"/>
      <c r="O851" s="80"/>
      <c r="P851" s="80" t="str">
        <f>IFERROR(__xludf.DUMMYFUNCTION("""COMPUTED_VALUE"""),"53BSPA09897JBEEN")</f>
        <v>53BSPA09897JBEEN</v>
      </c>
      <c r="Q851" s="80" t="str">
        <f>IFERROR(__xludf.DUMMYFUNCTION("""COMPUTED_VALUE"""),"MUC Sukanegara")</f>
        <v>MUC Sukanegara</v>
      </c>
      <c r="R851" s="80" t="str">
        <f>IFERROR(__xludf.DUMMYFUNCTION("""COMPUTED_VALUE"""),"MUC Sukanegara")</f>
        <v>MUC Sukanegara</v>
      </c>
      <c r="S851" s="80" t="str">
        <f>IFERROR(__xludf.DUMMYFUNCTION("""COMPUTED_VALUE"""),"JUMRIADI")</f>
        <v>JUMRIADI</v>
      </c>
      <c r="T851" s="80" t="str">
        <f>IFERROR(__xludf.DUMMYFUNCTION("""COMPUTED_VALUE"""),"CITRA INDAH BUKIT MENTENG BLOK B 11/33 RT.001 RW.008, SUKAMAJU, JONGGOL")</f>
        <v>CITRA INDAH BUKIT MENTENG BLOK B 11/33 RT.001 RW.008, SUKAMAJU, JONGGOL</v>
      </c>
      <c r="U851" s="80" t="str">
        <f>IFERROR(__xludf.DUMMYFUNCTION("""COMPUTED_VALUE"""),"Cihampelas rt01/rw02")</f>
        <v>Cihampelas rt01/rw02</v>
      </c>
      <c r="V851" s="80"/>
      <c r="W851" s="80" t="str">
        <f>IFERROR(__xludf.DUMMYFUNCTION("""COMPUTED_VALUE"""),"Sukanegara")</f>
        <v>Sukanegara</v>
      </c>
      <c r="X851" s="80" t="str">
        <f>IFERROR(__xludf.DUMMYFUNCTION("""COMPUTED_VALUE"""),"Jonggol")</f>
        <v>Jonggol</v>
      </c>
      <c r="Y851" s="80" t="str">
        <f>IFERROR(__xludf.DUMMYFUNCTION("""COMPUTED_VALUE"""),"Kab. Bogor")</f>
        <v>Kab. Bogor</v>
      </c>
      <c r="Z851" s="80" t="str">
        <f>IFERROR(__xludf.DUMMYFUNCTION("""COMPUTED_VALUE"""),"Jawa Barat")</f>
        <v>Jawa Barat</v>
      </c>
      <c r="AA851" s="80" t="str">
        <f>IFERROR(__xludf.DUMMYFUNCTION("""COMPUTED_VALUE"""),"16830")</f>
        <v>16830</v>
      </c>
      <c r="AB851" s="80" t="str">
        <f>IFERROR(__xludf.DUMMYFUNCTION("""COMPUTED_VALUE"""),"3175091508750004")</f>
        <v>3175091508750004</v>
      </c>
      <c r="AC851" s="80" t="str">
        <f>IFERROR(__xludf.DUMMYFUNCTION("""COMPUTED_VALUE"""),"57.093.752.4-909.000")</f>
        <v>57.093.752.4-909.000</v>
      </c>
      <c r="AD851" s="80" t="str">
        <f>IFERROR(__xludf.DUMMYFUNCTION("""COMPUTED_VALUE"""),"CUM - EEN")</f>
        <v>CUM - EEN</v>
      </c>
      <c r="AE851" s="80" t="str">
        <f>IFERROR(__xludf.DUMMYFUNCTION("""COMPUTED_VALUE"""),"SUB EEN")</f>
        <v>SUB EEN</v>
      </c>
      <c r="AF851" s="80" t="str">
        <f>IFERROR(__xludf.DUMMYFUNCTION("""COMPUTED_VALUE"""),"081213337892")</f>
        <v>081213337892</v>
      </c>
      <c r="AG851" s="80"/>
      <c r="AH851" s="80" t="str">
        <f>IFERROR(__xludf.DUMMYFUNCTION("""COMPUTED_VALUE"""),"jumriadia75@gmail.com")</f>
        <v>jumriadia75@gmail.com</v>
      </c>
      <c r="AI851" s="80" t="str">
        <f>IFERROR(__xludf.DUMMYFUNCTION("""COMPUTED_VALUE"""),"16836S1")</f>
        <v>16836S1</v>
      </c>
      <c r="AJ851" s="80" t="str">
        <f>IFERROR(__xludf.DUMMYFUNCTION("""COMPUTED_VALUE"""),"69b4c09ab1c06175bf0943ed")</f>
        <v>69b4c09ab1c06175bf0943ed</v>
      </c>
      <c r="AK851" s="80" t="str">
        <f>IFERROR(__xludf.DUMMYFUNCTION("""COMPUTED_VALUE"""),"jumriadia75@gmail.com")</f>
        <v>jumriadia75@gmail.com</v>
      </c>
      <c r="AL851" s="80" t="str">
        <f>IFERROR(__xludf.DUMMYFUNCTION("""COMPUTED_VALUE"""),"#Muc16836S1$")</f>
        <v>#Muc16836S1$</v>
      </c>
      <c r="AM851" s="80" t="str">
        <f>IFERROR(__xludf.DUMMYFUNCTION("""COMPUTED_VALUE"""),"KANTOR REGIONAL II JAKARTA 10004")</f>
        <v>KANTOR REGIONAL II JAKARTA 10004</v>
      </c>
      <c r="AN851" s="80" t="str">
        <f>IFERROR(__xludf.DUMMYFUNCTION("""COMPUTED_VALUE"""),"KC CIBINONG")</f>
        <v>KC CIBINONG</v>
      </c>
      <c r="AO851" s="80" t="str">
        <f>IFERROR(__xludf.DUMMYFUNCTION("""COMPUTED_VALUE"""),"2702260087364")</f>
        <v>2702260087364</v>
      </c>
      <c r="AP851" s="80" t="str">
        <f>IFERROR(__xludf.DUMMYFUNCTION("""COMPUTED_VALUE"""),"27022600873640001")</f>
        <v>27022600873640001</v>
      </c>
      <c r="AQ851" s="83"/>
      <c r="AR851" s="80"/>
      <c r="AS851" s="80"/>
      <c r="AT851" s="80" t="str">
        <f>IFERROR(__xludf.DUMMYFUNCTION("""COMPUTED_VALUE"""),"-6.517672")</f>
        <v>-6.517672</v>
      </c>
      <c r="AU851" s="80" t="str">
        <f>IFERROR(__xludf.DUMMYFUNCTION("""COMPUTED_VALUE"""),"107.046926")</f>
        <v>107.046926</v>
      </c>
      <c r="AV851" s="80"/>
      <c r="AW851" s="80"/>
      <c r="AX851" s="80"/>
      <c r="AY851" s="80"/>
      <c r="AZ851" s="80"/>
      <c r="BA851" s="80"/>
      <c r="BB851" s="80"/>
      <c r="BC851" s="80"/>
      <c r="BD851" s="80"/>
      <c r="BE851" s="80"/>
      <c r="BF851" s="80"/>
      <c r="BG851" s="80"/>
      <c r="BH851" s="80"/>
      <c r="BI851" s="80"/>
      <c r="BJ851" s="80"/>
      <c r="BK851" s="80"/>
      <c r="BL851" s="80"/>
      <c r="BM851" s="80"/>
      <c r="BN851" s="80"/>
      <c r="BO851" s="80"/>
      <c r="BP851" s="80"/>
      <c r="BQ851" s="80"/>
      <c r="BR851" s="80"/>
      <c r="BS851" s="80"/>
      <c r="BT851" s="80"/>
      <c r="BU851" s="80"/>
      <c r="BV851" s="80"/>
      <c r="BW851" s="80"/>
      <c r="BX851" s="80" t="str">
        <f>IFERROR(__xludf.DUMMYFUNCTION("""COMPUTED_VALUE"""),"MULTIKURIR - LION PARCEL")</f>
        <v>MULTIKURIR - LION PARCEL</v>
      </c>
      <c r="BY851" s="80"/>
      <c r="BZ851" s="80"/>
      <c r="CA851" s="80"/>
      <c r="CB851" s="80"/>
      <c r="CC851" s="80"/>
      <c r="CD851" s="80"/>
      <c r="CE851" s="80"/>
      <c r="CF851" s="80"/>
      <c r="CG851" s="80"/>
      <c r="CH851" s="80"/>
      <c r="CI851" s="80"/>
      <c r="CJ851" s="80"/>
      <c r="CK851" s="2"/>
    </row>
    <row r="852" ht="12.75" customHeight="1">
      <c r="A852" s="85">
        <f>IFERROR(__xludf.DUMMYFUNCTION("""COMPUTED_VALUE"""),848.0)</f>
        <v>848</v>
      </c>
      <c r="B852" s="85"/>
      <c r="C852" s="85"/>
      <c r="D852" s="86">
        <f>IFERROR(__xludf.DUMMYFUNCTION("""COMPUTED_VALUE"""),46080.0)</f>
        <v>46080</v>
      </c>
      <c r="E852" s="88"/>
      <c r="F852" s="85"/>
      <c r="G852" s="86">
        <f>IFERROR(__xludf.DUMMYFUNCTION("""COMPUTED_VALUE"""),46113.0)</f>
        <v>46113</v>
      </c>
      <c r="H852" s="85"/>
      <c r="I852" s="85"/>
      <c r="J852" s="85"/>
      <c r="K852" s="85"/>
      <c r="L852" s="85">
        <f>IFERROR(__xludf.DUMMYFUNCTION("""COMPUTED_VALUE"""),33.0)</f>
        <v>33</v>
      </c>
      <c r="M852" s="85" t="str">
        <f>IFERROR(__xludf.DUMMYFUNCTION("""COMPUTED_VALUE"""),"ü")</f>
        <v>ü</v>
      </c>
      <c r="N852" s="85"/>
      <c r="O852" s="85"/>
      <c r="P852" s="85" t="str">
        <f>IFERROR(__xludf.DUMMYFUNCTION("""COMPUTED_VALUE"""),"MUCSPA63385PSIND")</f>
        <v>MUCSPA63385PSIND</v>
      </c>
      <c r="Q852" s="85" t="str">
        <f>IFERROR(__xludf.DUMMYFUNCTION("""COMPUTED_VALUE"""),"MUC BANTARUJEG")</f>
        <v>MUC BANTARUJEG</v>
      </c>
      <c r="R852" s="85" t="str">
        <f>IFERROR(__xludf.DUMMYFUNCTION("""COMPUTED_VALUE"""),"MUC BANTARUJEG")</f>
        <v>MUC BANTARUJEG</v>
      </c>
      <c r="S852" s="85" t="str">
        <f>IFERROR(__xludf.DUMMYFUNCTION("""COMPUTED_VALUE"""),"VIRDA RAHMAN FIRMANSYAH")</f>
        <v>VIRDA RAHMAN FIRMANSYAH</v>
      </c>
      <c r="T852" s="85" t="str">
        <f>IFERROR(__xludf.DUMMYFUNCTION("""COMPUTED_VALUE"""),"DSN CISAAR RT.005 RW.004, GUNUNGLARANG, BANTARUJEG, KAB. MAJALENGKA")</f>
        <v>DSN CISAAR RT.005 RW.004, GUNUNGLARANG, BANTARUJEG, KAB. MAJALENGKA</v>
      </c>
      <c r="U852" s="85" t="str">
        <f>IFERROR(__xludf.DUMMYFUNCTION("""COMPUTED_VALUE"""),"DSN CISAAR RT.005 RW.004")</f>
        <v>DSN CISAAR RT.005 RW.004</v>
      </c>
      <c r="V852" s="85"/>
      <c r="W852" s="85" t="str">
        <f>IFERROR(__xludf.DUMMYFUNCTION("""COMPUTED_VALUE"""),"Gununglarang")</f>
        <v>Gununglarang</v>
      </c>
      <c r="X852" s="85" t="str">
        <f>IFERROR(__xludf.DUMMYFUNCTION("""COMPUTED_VALUE"""),"Bantarujeg")</f>
        <v>Bantarujeg</v>
      </c>
      <c r="Y852" s="85" t="str">
        <f>IFERROR(__xludf.DUMMYFUNCTION("""COMPUTED_VALUE"""),"Kab. Majalengka")</f>
        <v>Kab. Majalengka</v>
      </c>
      <c r="Z852" s="85" t="str">
        <f>IFERROR(__xludf.DUMMYFUNCTION("""COMPUTED_VALUE"""),"Jawa Barat")</f>
        <v>Jawa Barat</v>
      </c>
      <c r="AA852" s="85" t="str">
        <f>IFERROR(__xludf.DUMMYFUNCTION("""COMPUTED_VALUE"""),"45465")</f>
        <v>45465</v>
      </c>
      <c r="AB852" s="85" t="str">
        <f>IFERROR(__xludf.DUMMYFUNCTION("""COMPUTED_VALUE"""),"3210021910030001")</f>
        <v>3210021910030001</v>
      </c>
      <c r="AC852" s="85" t="str">
        <f>IFERROR(__xludf.DUMMYFUNCTION("""COMPUTED_VALUE"""),"3210021910030001")</f>
        <v>3210021910030001</v>
      </c>
      <c r="AD852" s="85" t="str">
        <f>IFERROR(__xludf.DUMMYFUNCTION("""COMPUTED_VALUE"""),"NON KORGEN")</f>
        <v>NON KORGEN</v>
      </c>
      <c r="AE852" s="85" t="str">
        <f>IFERROR(__xludf.DUMMYFUNCTION("""COMPUTED_VALUE"""),"PAK NOVY KC MAJALENGKA")</f>
        <v>PAK NOVY KC MAJALENGKA</v>
      </c>
      <c r="AF852" s="85" t="str">
        <f>IFERROR(__xludf.DUMMYFUNCTION("""COMPUTED_VALUE"""),"085322485159")</f>
        <v>085322485159</v>
      </c>
      <c r="AG852" s="85"/>
      <c r="AH852" s="85" t="str">
        <f>IFERROR(__xludf.DUMMYFUNCTION("""COMPUTED_VALUE"""),"xproper01+VIRDA@gmail.com")</f>
        <v>xproper01+VIRDA@gmail.com</v>
      </c>
      <c r="AI852" s="85" t="str">
        <f>IFERROR(__xludf.DUMMYFUNCTION("""COMPUTED_VALUE"""),"45464S3")</f>
        <v>45464S3</v>
      </c>
      <c r="AJ852" s="85" t="str">
        <f>IFERROR(__xludf.DUMMYFUNCTION("""COMPUTED_VALUE"""),"69cb6db3d1c18fce5804e74f")</f>
        <v>69cb6db3d1c18fce5804e74f</v>
      </c>
      <c r="AK852" s="85" t="str">
        <f>IFERROR(__xludf.DUMMYFUNCTION("""COMPUTED_VALUE"""),"virdafrmnsyh4196@gmail.com")</f>
        <v>virdafrmnsyh4196@gmail.com</v>
      </c>
      <c r="AL852" s="85" t="str">
        <f>IFERROR(__xludf.DUMMYFUNCTION("""COMPUTED_VALUE"""),"#Muc45464S3$")</f>
        <v>#Muc45464S3$</v>
      </c>
      <c r="AM852" s="85" t="str">
        <f>IFERROR(__xludf.DUMMYFUNCTION("""COMPUTED_VALUE"""),"KANTOR REGIONAL III BANDUNG 40004")</f>
        <v>KANTOR REGIONAL III BANDUNG 40004</v>
      </c>
      <c r="AN852" s="85" t="str">
        <f>IFERROR(__xludf.DUMMYFUNCTION("""COMPUTED_VALUE"""),"KC MAJALENGKA")</f>
        <v>KC MAJALENGKA</v>
      </c>
      <c r="AO852" s="85" t="str">
        <f>IFERROR(__xludf.DUMMYFUNCTION("""COMPUTED_VALUE"""),"2401260021858")</f>
        <v>2401260021858</v>
      </c>
      <c r="AP852" s="85" t="str">
        <f>IFERROR(__xludf.DUMMYFUNCTION("""COMPUTED_VALUE"""),"24012600218580001")</f>
        <v>24012600218580001</v>
      </c>
      <c r="AQ852" s="93"/>
      <c r="AR852" s="85"/>
      <c r="AS852" s="85"/>
      <c r="AT852" s="85" t="str">
        <f>IFERROR(__xludf.DUMMYFUNCTION("""COMPUTED_VALUE"""),"-6.949203")</f>
        <v>-6.949203</v>
      </c>
      <c r="AU852" s="85" t="str">
        <f>IFERROR(__xludf.DUMMYFUNCTION("""COMPUTED_VALUE"""),"108.232025")</f>
        <v>108.232025</v>
      </c>
      <c r="AV852" s="85"/>
      <c r="AW852" s="85"/>
      <c r="AX852" s="85"/>
      <c r="AY852" s="85"/>
      <c r="AZ852" s="85"/>
      <c r="BA852" s="85"/>
      <c r="BB852" s="85"/>
      <c r="BC852" s="85"/>
      <c r="BD852" s="85"/>
      <c r="BE852" s="85"/>
      <c r="BF852" s="85"/>
      <c r="BG852" s="85"/>
      <c r="BH852" s="85"/>
      <c r="BI852" s="85"/>
      <c r="BJ852" s="85"/>
      <c r="BK852" s="85"/>
      <c r="BL852" s="85"/>
      <c r="BM852" s="85"/>
      <c r="BN852" s="85"/>
      <c r="BO852" s="85"/>
      <c r="BP852" s="85"/>
      <c r="BQ852" s="85"/>
      <c r="BR852" s="85"/>
      <c r="BS852" s="85"/>
      <c r="BT852" s="85"/>
      <c r="BU852" s="85"/>
      <c r="BV852" s="85"/>
      <c r="BW852" s="85"/>
      <c r="BX852" s="85" t="str">
        <f>IFERROR(__xludf.DUMMYFUNCTION("""COMPUTED_VALUE"""),"NEWBIE")</f>
        <v>NEWBIE</v>
      </c>
      <c r="BY852" s="85"/>
      <c r="BZ852" s="85"/>
      <c r="CA852" s="85"/>
      <c r="CB852" s="85"/>
      <c r="CC852" s="85"/>
      <c r="CD852" s="85"/>
      <c r="CE852" s="85"/>
      <c r="CF852" s="85"/>
      <c r="CG852" s="85"/>
      <c r="CH852" s="85"/>
      <c r="CI852" s="85"/>
      <c r="CJ852" s="85"/>
      <c r="CK852" s="2"/>
    </row>
    <row r="853" ht="12.75" customHeight="1">
      <c r="A853" s="80">
        <f>IFERROR(__xludf.DUMMYFUNCTION("""COMPUTED_VALUE"""),849.0)</f>
        <v>849</v>
      </c>
      <c r="B853" s="80"/>
      <c r="C853" s="80"/>
      <c r="D853" s="81">
        <f>IFERROR(__xludf.DUMMYFUNCTION("""COMPUTED_VALUE"""),46080.0)</f>
        <v>46080</v>
      </c>
      <c r="E853" s="82"/>
      <c r="F853" s="80"/>
      <c r="G853" s="81">
        <f>IFERROR(__xludf.DUMMYFUNCTION("""COMPUTED_VALUE"""),46097.0)</f>
        <v>46097</v>
      </c>
      <c r="H853" s="80"/>
      <c r="I853" s="80"/>
      <c r="J853" s="80"/>
      <c r="K853" s="80"/>
      <c r="L853" s="80">
        <f>IFERROR(__xludf.DUMMYFUNCTION("""COMPUTED_VALUE"""),17.0)</f>
        <v>17</v>
      </c>
      <c r="M853" s="80" t="str">
        <f>IFERROR(__xludf.DUMMYFUNCTION("""COMPUTED_VALUE"""),"ü")</f>
        <v>ü</v>
      </c>
      <c r="N853" s="80"/>
      <c r="O853" s="80"/>
      <c r="P853" s="80" t="str">
        <f>IFERROR(__xludf.DUMMYFUNCTION("""COMPUTED_VALUE"""),"53BSPA09898JBEEN")</f>
        <v>53BSPA09898JBEEN</v>
      </c>
      <c r="Q853" s="80" t="str">
        <f>IFERROR(__xludf.DUMMYFUNCTION("""COMPUTED_VALUE"""),"MUC Grand Wisata")</f>
        <v>MUC Grand Wisata</v>
      </c>
      <c r="R853" s="80" t="str">
        <f>IFERROR(__xludf.DUMMYFUNCTION("""COMPUTED_VALUE"""),"MUC Grand Wisata")</f>
        <v>MUC Grand Wisata</v>
      </c>
      <c r="S853" s="80" t="str">
        <f>IFERROR(__xludf.DUMMYFUNCTION("""COMPUTED_VALUE"""),"STEPHEN ANDREW SETIAWAN")</f>
        <v>STEPHEN ANDREW SETIAWAN</v>
      </c>
      <c r="T853" s="80" t="str">
        <f>IFERROR(__xludf.DUMMYFUNCTION("""COMPUTED_VALUE"""),"LEMONADE GARDEN BLK VV 5/16 RT.002 RW.014, LAMBANGJAYA, TAMBUN SELATAN, KAB. BEKASI")</f>
        <v>LEMONADE GARDEN BLK VV 5/16 RT.002 RW.014, LAMBANGJAYA, TAMBUN SELATAN, KAB. BEKASI</v>
      </c>
      <c r="U853" s="80" t="str">
        <f>IFERROR(__xludf.DUMMYFUNCTION("""COMPUTED_VALUE"""),"Perumahan grand wisata, garden loft CE2 no 50")</f>
        <v>Perumahan grand wisata, garden loft CE2 no 50</v>
      </c>
      <c r="V853" s="80"/>
      <c r="W853" s="80" t="str">
        <f>IFERROR(__xludf.DUMMYFUNCTION("""COMPUTED_VALUE"""),"lambangjaya")</f>
        <v>lambangjaya</v>
      </c>
      <c r="X853" s="80" t="str">
        <f>IFERROR(__xludf.DUMMYFUNCTION("""COMPUTED_VALUE"""),"tambun selatan ")</f>
        <v>tambun selatan </v>
      </c>
      <c r="Y853" s="80" t="str">
        <f>IFERROR(__xludf.DUMMYFUNCTION("""COMPUTED_VALUE"""),"Bekasi ")</f>
        <v>Bekasi </v>
      </c>
      <c r="Z853" s="80" t="str">
        <f>IFERROR(__xludf.DUMMYFUNCTION("""COMPUTED_VALUE"""),"Jawa Barat")</f>
        <v>Jawa Barat</v>
      </c>
      <c r="AA853" s="80" t="str">
        <f>IFERROR(__xludf.DUMMYFUNCTION("""COMPUTED_VALUE"""),"17510")</f>
        <v>17510</v>
      </c>
      <c r="AB853" s="80" t="str">
        <f>IFERROR(__xludf.DUMMYFUNCTION("""COMPUTED_VALUE"""),"3216060705860026")</f>
        <v>3216060705860026</v>
      </c>
      <c r="AC853" s="80" t="str">
        <f>IFERROR(__xludf.DUMMYFUNCTION("""COMPUTED_VALUE"""),"34.719.025.8-435.000")</f>
        <v>34.719.025.8-435.000</v>
      </c>
      <c r="AD853" s="80" t="str">
        <f>IFERROR(__xludf.DUMMYFUNCTION("""COMPUTED_VALUE"""),"CUM - EEN")</f>
        <v>CUM - EEN</v>
      </c>
      <c r="AE853" s="80" t="str">
        <f>IFERROR(__xludf.DUMMYFUNCTION("""COMPUTED_VALUE"""),"SUB EEN")</f>
        <v>SUB EEN</v>
      </c>
      <c r="AF853" s="80" t="str">
        <f>IFERROR(__xludf.DUMMYFUNCTION("""COMPUTED_VALUE"""),"087751812848")</f>
        <v>087751812848</v>
      </c>
      <c r="AG853" s="80"/>
      <c r="AH853" s="80" t="str">
        <f>IFERROR(__xludf.DUMMYFUNCTION("""COMPUTED_VALUE"""),"popetoid@gmail.com")</f>
        <v>popetoid@gmail.com</v>
      </c>
      <c r="AI853" s="80" t="str">
        <f>IFERROR(__xludf.DUMMYFUNCTION("""COMPUTED_VALUE"""),"17514S4")</f>
        <v>17514S4</v>
      </c>
      <c r="AJ853" s="80" t="str">
        <f>IFERROR(__xludf.DUMMYFUNCTION("""COMPUTED_VALUE"""),"69b52fbb0c6d4a69ec0f78f6")</f>
        <v>69b52fbb0c6d4a69ec0f78f6</v>
      </c>
      <c r="AK853" s="80" t="str">
        <f>IFERROR(__xludf.DUMMYFUNCTION("""COMPUTED_VALUE"""),"popetoid@gmail.com")</f>
        <v>popetoid@gmail.com</v>
      </c>
      <c r="AL853" s="80" t="str">
        <f>IFERROR(__xludf.DUMMYFUNCTION("""COMPUTED_VALUE"""),"#Muc17514S4$")</f>
        <v>#Muc17514S4$</v>
      </c>
      <c r="AM853" s="80" t="str">
        <f>IFERROR(__xludf.DUMMYFUNCTION("""COMPUTED_VALUE"""),"KANTOR REGIONAL II JAKARTA 10004")</f>
        <v>KANTOR REGIONAL II JAKARTA 10004</v>
      </c>
      <c r="AN853" s="80" t="str">
        <f>IFERROR(__xludf.DUMMYFUNCTION("""COMPUTED_VALUE"""),"KC CIKARANG 17500")</f>
        <v>KC CIKARANG 17500</v>
      </c>
      <c r="AO853" s="80" t="str">
        <f>IFERROR(__xludf.DUMMYFUNCTION("""COMPUTED_VALUE"""),"9120001221406")</f>
        <v>9120001221406</v>
      </c>
      <c r="AP853" s="80" t="str">
        <f>IFERROR(__xludf.DUMMYFUNCTION("""COMPUTED_VALUE"""),"91200012214060001")</f>
        <v>91200012214060001</v>
      </c>
      <c r="AQ853" s="83"/>
      <c r="AR853" s="80"/>
      <c r="AS853" s="80"/>
      <c r="AT853" s="80" t="str">
        <f>IFERROR(__xludf.DUMMYFUNCTION("""COMPUTED_VALUE"""),"-6.2930352")</f>
        <v>-6.2930352</v>
      </c>
      <c r="AU853" s="80" t="str">
        <f>IFERROR(__xludf.DUMMYFUNCTION("""COMPUTED_VALUE"""),"107.0566073")</f>
        <v>107.0566073</v>
      </c>
      <c r="AV853" s="80"/>
      <c r="AW853" s="80"/>
      <c r="AX853" s="80"/>
      <c r="AY853" s="80"/>
      <c r="AZ853" s="80"/>
      <c r="BA853" s="80"/>
      <c r="BB853" s="80"/>
      <c r="BC853" s="80"/>
      <c r="BD853" s="80"/>
      <c r="BE853" s="80"/>
      <c r="BF853" s="80"/>
      <c r="BG853" s="80"/>
      <c r="BH853" s="80"/>
      <c r="BI853" s="80"/>
      <c r="BJ853" s="80"/>
      <c r="BK853" s="80"/>
      <c r="BL853" s="80"/>
      <c r="BM853" s="80"/>
      <c r="BN853" s="80"/>
      <c r="BO853" s="80"/>
      <c r="BP853" s="80"/>
      <c r="BQ853" s="80"/>
      <c r="BR853" s="80"/>
      <c r="BS853" s="80"/>
      <c r="BT853" s="80"/>
      <c r="BU853" s="80"/>
      <c r="BV853" s="80"/>
      <c r="BW853" s="80"/>
      <c r="BX853" s="80" t="str">
        <f>IFERROR(__xludf.DUMMYFUNCTION("""COMPUTED_VALUE"""),"MULTIKURIR - SICEPAT - SENTRAL CARGO")</f>
        <v>MULTIKURIR - SICEPAT - SENTRAL CARGO</v>
      </c>
      <c r="BY853" s="80"/>
      <c r="BZ853" s="80"/>
      <c r="CA853" s="80"/>
      <c r="CB853" s="80"/>
      <c r="CC853" s="80"/>
      <c r="CD853" s="80"/>
      <c r="CE853" s="80"/>
      <c r="CF853" s="80"/>
      <c r="CG853" s="80"/>
      <c r="CH853" s="80"/>
      <c r="CI853" s="80"/>
      <c r="CJ853" s="80"/>
      <c r="CK853" s="2"/>
    </row>
    <row r="854" ht="12.75" customHeight="1">
      <c r="A854" s="85">
        <f>IFERROR(__xludf.DUMMYFUNCTION("""COMPUTED_VALUE"""),850.0)</f>
        <v>850</v>
      </c>
      <c r="B854" s="85"/>
      <c r="C854" s="85"/>
      <c r="D854" s="86">
        <f>IFERROR(__xludf.DUMMYFUNCTION("""COMPUTED_VALUE"""),46080.0)</f>
        <v>46080</v>
      </c>
      <c r="E854" s="88"/>
      <c r="F854" s="85"/>
      <c r="G854" s="86">
        <f>IFERROR(__xludf.DUMMYFUNCTION("""COMPUTED_VALUE"""),46113.0)</f>
        <v>46113</v>
      </c>
      <c r="H854" s="85"/>
      <c r="I854" s="85"/>
      <c r="J854" s="85"/>
      <c r="K854" s="85"/>
      <c r="L854" s="85">
        <f>IFERROR(__xludf.DUMMYFUNCTION("""COMPUTED_VALUE"""),33.0)</f>
        <v>33</v>
      </c>
      <c r="M854" s="85" t="str">
        <f>IFERROR(__xludf.DUMMYFUNCTION("""COMPUTED_VALUE"""),"ü")</f>
        <v>ü</v>
      </c>
      <c r="N854" s="85"/>
      <c r="O854" s="85"/>
      <c r="P854" s="85" t="str">
        <f>IFERROR(__xludf.DUMMYFUNCTION("""COMPUTED_VALUE"""),"53BSPA09899JBEEN")</f>
        <v>53BSPA09899JBEEN</v>
      </c>
      <c r="Q854" s="85" t="str">
        <f>IFERROR(__xludf.DUMMYFUNCTION("""COMPUTED_VALUE"""),"MUC Yuki Store")</f>
        <v>MUC Yuki Store</v>
      </c>
      <c r="R854" s="85" t="str">
        <f>IFERROR(__xludf.DUMMYFUNCTION("""COMPUTED_VALUE"""),"MUC Yuki Store")</f>
        <v>MUC Yuki Store</v>
      </c>
      <c r="S854" s="85" t="str">
        <f>IFERROR(__xludf.DUMMYFUNCTION("""COMPUTED_VALUE"""),"ZULFIKAR AWAL HP")</f>
        <v>ZULFIKAR AWAL HP</v>
      </c>
      <c r="T854" s="85" t="str">
        <f>IFERROR(__xludf.DUMMYFUNCTION("""COMPUTED_VALUE"""),"JL. SAWO III NO.27 RT.047 RW.005, GANDUL, CINERE, KOTA DEPOK")</f>
        <v>JL. SAWO III NO.27 RT.047 RW.005, GANDUL, CINERE, KOTA DEPOK</v>
      </c>
      <c r="U854" s="85" t="str">
        <f>IFERROR(__xludf.DUMMYFUNCTION("""COMPUTED_VALUE"""),"Jl Sawo III gg HAmsir no.29 rt47/05")</f>
        <v>Jl Sawo III gg HAmsir no.29 rt47/05</v>
      </c>
      <c r="V854" s="85"/>
      <c r="W854" s="85" t="str">
        <f>IFERROR(__xludf.DUMMYFUNCTION("""COMPUTED_VALUE"""),"Gandul ")</f>
        <v>Gandul </v>
      </c>
      <c r="X854" s="85" t="str">
        <f>IFERROR(__xludf.DUMMYFUNCTION("""COMPUTED_VALUE"""),"Cinere ")</f>
        <v>Cinere </v>
      </c>
      <c r="Y854" s="85" t="str">
        <f>IFERROR(__xludf.DUMMYFUNCTION("""COMPUTED_VALUE"""),"Kota Depok ")</f>
        <v>Kota Depok </v>
      </c>
      <c r="Z854" s="85" t="str">
        <f>IFERROR(__xludf.DUMMYFUNCTION("""COMPUTED_VALUE"""),"Jawa Barat")</f>
        <v>Jawa Barat</v>
      </c>
      <c r="AA854" s="85" t="str">
        <f>IFERROR(__xludf.DUMMYFUNCTION("""COMPUTED_VALUE"""),"16512")</f>
        <v>16512</v>
      </c>
      <c r="AB854" s="85" t="str">
        <f>IFERROR(__xludf.DUMMYFUNCTION("""COMPUTED_VALUE"""),"3172060201810001")</f>
        <v>3172060201810001</v>
      </c>
      <c r="AC854" s="85" t="str">
        <f>IFERROR(__xludf.DUMMYFUNCTION("""COMPUTED_VALUE"""),"35.197.792.1-043.000")</f>
        <v>35.197.792.1-043.000</v>
      </c>
      <c r="AD854" s="85" t="str">
        <f>IFERROR(__xludf.DUMMYFUNCTION("""COMPUTED_VALUE"""),"CUM - EEN")</f>
        <v>CUM - EEN</v>
      </c>
      <c r="AE854" s="85" t="str">
        <f>IFERROR(__xludf.DUMMYFUNCTION("""COMPUTED_VALUE"""),"SUB EEN")</f>
        <v>SUB EEN</v>
      </c>
      <c r="AF854" s="85" t="str">
        <f>IFERROR(__xludf.DUMMYFUNCTION("""COMPUTED_VALUE"""),"08111812581")</f>
        <v>08111812581</v>
      </c>
      <c r="AG854" s="85"/>
      <c r="AH854" s="85" t="str">
        <f>IFERROR(__xludf.DUMMYFUNCTION("""COMPUTED_VALUE"""),"fikri.hifraisal@gmail.com")</f>
        <v>fikri.hifraisal@gmail.com</v>
      </c>
      <c r="AI854" s="85" t="str">
        <f>IFERROR(__xludf.DUMMYFUNCTION("""COMPUTED_VALUE"""),"16544S1")</f>
        <v>16544S1</v>
      </c>
      <c r="AJ854" s="85" t="str">
        <f>IFERROR(__xludf.DUMMYFUNCTION("""COMPUTED_VALUE"""),"69cc77edc61087e1cd091acc")</f>
        <v>69cc77edc61087e1cd091acc</v>
      </c>
      <c r="AK854" s="85" t="str">
        <f>IFERROR(__xludf.DUMMYFUNCTION("""COMPUTED_VALUE"""),"fikri.hifraisal@gmail.com")</f>
        <v>fikri.hifraisal@gmail.com</v>
      </c>
      <c r="AL854" s="85" t="str">
        <f>IFERROR(__xludf.DUMMYFUNCTION("""COMPUTED_VALUE"""),"#Muc16544S1$")</f>
        <v>#Muc16544S1$</v>
      </c>
      <c r="AM854" s="85" t="str">
        <f>IFERROR(__xludf.DUMMYFUNCTION("""COMPUTED_VALUE"""),"KANTOR REGIONAL II JAKARTA 10004")</f>
        <v>KANTOR REGIONAL II JAKARTA 10004</v>
      </c>
      <c r="AN854" s="85" t="str">
        <f>IFERROR(__xludf.DUMMYFUNCTION("""COMPUTED_VALUE"""),"KC DEPOK 16400")</f>
        <v>KC DEPOK 16400</v>
      </c>
      <c r="AO854" s="85" t="str">
        <f>IFERROR(__xludf.DUMMYFUNCTION("""COMPUTED_VALUE"""),"2702260106962")</f>
        <v>2702260106962</v>
      </c>
      <c r="AP854" s="85" t="str">
        <f>IFERROR(__xludf.DUMMYFUNCTION("""COMPUTED_VALUE"""),"27022601069620001")</f>
        <v>27022601069620001</v>
      </c>
      <c r="AQ854" s="93"/>
      <c r="AR854" s="85"/>
      <c r="AS854" s="85"/>
      <c r="AT854" s="85" t="str">
        <f>IFERROR(__xludf.DUMMYFUNCTION("""COMPUTED_VALUE"""),"-6.343883")</f>
        <v>-6.343883</v>
      </c>
      <c r="AU854" s="85" t="str">
        <f>IFERROR(__xludf.DUMMYFUNCTION("""COMPUTED_VALUE"""),"106.790250")</f>
        <v>106.790250</v>
      </c>
      <c r="AV854" s="85"/>
      <c r="AW854" s="85"/>
      <c r="AX854" s="85"/>
      <c r="AY854" s="85"/>
      <c r="AZ854" s="85"/>
      <c r="BA854" s="85"/>
      <c r="BB854" s="85"/>
      <c r="BC854" s="85"/>
      <c r="BD854" s="85"/>
      <c r="BE854" s="85"/>
      <c r="BF854" s="85"/>
      <c r="BG854" s="85"/>
      <c r="BH854" s="85"/>
      <c r="BI854" s="85"/>
      <c r="BJ854" s="85"/>
      <c r="BK854" s="85"/>
      <c r="BL854" s="85"/>
      <c r="BM854" s="85"/>
      <c r="BN854" s="85"/>
      <c r="BO854" s="85"/>
      <c r="BP854" s="85"/>
      <c r="BQ854" s="85"/>
      <c r="BR854" s="85"/>
      <c r="BS854" s="85"/>
      <c r="BT854" s="85"/>
      <c r="BU854" s="85"/>
      <c r="BV854" s="85"/>
      <c r="BW854" s="85"/>
      <c r="BX854" s="85" t="str">
        <f>IFERROR(__xludf.DUMMYFUNCTION("""COMPUTED_VALUE"""),"NEWBIE")</f>
        <v>NEWBIE</v>
      </c>
      <c r="BY854" s="85"/>
      <c r="BZ854" s="85"/>
      <c r="CA854" s="85"/>
      <c r="CB854" s="85"/>
      <c r="CC854" s="85"/>
      <c r="CD854" s="85"/>
      <c r="CE854" s="85"/>
      <c r="CF854" s="85"/>
      <c r="CG854" s="85"/>
      <c r="CH854" s="85"/>
      <c r="CI854" s="85"/>
      <c r="CJ854" s="85"/>
      <c r="CK854" s="2"/>
    </row>
    <row r="855" ht="12.75" customHeight="1">
      <c r="A855" s="80">
        <f>IFERROR(__xludf.DUMMYFUNCTION("""COMPUTED_VALUE"""),851.0)</f>
        <v>851</v>
      </c>
      <c r="B855" s="80"/>
      <c r="C855" s="80"/>
      <c r="D855" s="81">
        <f>IFERROR(__xludf.DUMMYFUNCTION("""COMPUTED_VALUE"""),46080.0)</f>
        <v>46080</v>
      </c>
      <c r="E855" s="82"/>
      <c r="F855" s="80"/>
      <c r="G855" s="81">
        <f>IFERROR(__xludf.DUMMYFUNCTION("""COMPUTED_VALUE"""),46090.0)</f>
        <v>46090</v>
      </c>
      <c r="H855" s="80"/>
      <c r="I855" s="80"/>
      <c r="J855" s="80"/>
      <c r="K855" s="80"/>
      <c r="L855" s="80">
        <f>IFERROR(__xludf.DUMMYFUNCTION("""COMPUTED_VALUE"""),10.0)</f>
        <v>10</v>
      </c>
      <c r="M855" s="80" t="str">
        <f>IFERROR(__xludf.DUMMYFUNCTION("""COMPUTED_VALUE"""),"ü")</f>
        <v>ü</v>
      </c>
      <c r="N855" s="80"/>
      <c r="O855" s="80"/>
      <c r="P855" s="80" t="str">
        <f>IFERROR(__xludf.DUMMYFUNCTION("""COMPUTED_VALUE"""),"53BSPA09901JBEEN")</f>
        <v>53BSPA09901JBEEN</v>
      </c>
      <c r="Q855" s="80" t="str">
        <f>IFERROR(__xludf.DUMMYFUNCTION("""COMPUTED_VALUE"""),"MUC Asuhan 39 Al Ikhwaniyah")</f>
        <v>MUC Asuhan 39 Al Ikhwaniyah</v>
      </c>
      <c r="R855" s="80" t="str">
        <f>IFERROR(__xludf.DUMMYFUNCTION("""COMPUTED_VALUE"""),"MUC Asuhan 39 Al Ikhwaniyah")</f>
        <v>MUC Asuhan 39 Al Ikhwaniyah</v>
      </c>
      <c r="S855" s="80" t="str">
        <f>IFERROR(__xludf.DUMMYFUNCTION("""COMPUTED_VALUE"""),"BUDIMAN FERNANDO")</f>
        <v>BUDIMAN FERNANDO</v>
      </c>
      <c r="T855" s="80" t="str">
        <f>IFERROR(__xludf.DUMMYFUNCTION("""COMPUTED_VALUE"""),"KP. CEGER RT.002 RW.005, JURANGMANGU BARAT, PONDOK AREN, KOTA TANGERANG SELATAN")</f>
        <v>KP. CEGER RT.002 RW.005, JURANGMANGU BARAT, PONDOK AREN, KOTA TANGERANG SELATAN</v>
      </c>
      <c r="U855" s="80" t="str">
        <f>IFERROR(__xludf.DUMMYFUNCTION("""COMPUTED_VALUE"""),"Jl. Panti Asuhan No.39 Rt 03/12")</f>
        <v>Jl. Panti Asuhan No.39 Rt 03/12</v>
      </c>
      <c r="V855" s="80"/>
      <c r="W855" s="80" t="str">
        <f>IFERROR(__xludf.DUMMYFUNCTION("""COMPUTED_VALUE"""),"Jurang Manggu Timur")</f>
        <v>Jurang Manggu Timur</v>
      </c>
      <c r="X855" s="80" t="str">
        <f>IFERROR(__xludf.DUMMYFUNCTION("""COMPUTED_VALUE"""),"Pondok Aren")</f>
        <v>Pondok Aren</v>
      </c>
      <c r="Y855" s="80" t="str">
        <f>IFERROR(__xludf.DUMMYFUNCTION("""COMPUTED_VALUE"""),"Tangerang Selatan")</f>
        <v>Tangerang Selatan</v>
      </c>
      <c r="Z855" s="80" t="str">
        <f>IFERROR(__xludf.DUMMYFUNCTION("""COMPUTED_VALUE"""),"Banten ")</f>
        <v>Banten </v>
      </c>
      <c r="AA855" s="80" t="str">
        <f>IFERROR(__xludf.DUMMYFUNCTION("""COMPUTED_VALUE"""),"15222")</f>
        <v>15222</v>
      </c>
      <c r="AB855" s="80" t="str">
        <f>IFERROR(__xludf.DUMMYFUNCTION("""COMPUTED_VALUE"""),"3674032706840005")</f>
        <v>3674032706840005</v>
      </c>
      <c r="AC855" s="80" t="str">
        <f>IFERROR(__xludf.DUMMYFUNCTION("""COMPUTED_VALUE"""),"16.993.891.7-411.000")</f>
        <v>16.993.891.7-411.000</v>
      </c>
      <c r="AD855" s="80" t="str">
        <f>IFERROR(__xludf.DUMMYFUNCTION("""COMPUTED_VALUE"""),"CUM - EEN")</f>
        <v>CUM - EEN</v>
      </c>
      <c r="AE855" s="80" t="str">
        <f>IFERROR(__xludf.DUMMYFUNCTION("""COMPUTED_VALUE"""),"SUB EEN")</f>
        <v>SUB EEN</v>
      </c>
      <c r="AF855" s="80" t="str">
        <f>IFERROR(__xludf.DUMMYFUNCTION("""COMPUTED_VALUE"""),"082297770898")</f>
        <v>082297770898</v>
      </c>
      <c r="AG855" s="80"/>
      <c r="AH855" s="80" t="str">
        <f>IFERROR(__xludf.DUMMYFUNCTION("""COMPUTED_VALUE"""),"budimanfernandx@gmail.com")</f>
        <v>budimanfernandx@gmail.com</v>
      </c>
      <c r="AI855" s="80" t="str">
        <f>IFERROR(__xludf.DUMMYFUNCTION("""COMPUTED_VALUE"""),"15422S3")</f>
        <v>15422S3</v>
      </c>
      <c r="AJ855" s="80" t="str">
        <f>IFERROR(__xludf.DUMMYFUNCTION("""COMPUTED_VALUE"""),"69ad470c86cb77a175015c38")</f>
        <v>69ad470c86cb77a175015c38</v>
      </c>
      <c r="AK855" s="80" t="str">
        <f>IFERROR(__xludf.DUMMYFUNCTION("""COMPUTED_VALUE"""),"budimanfernandx@gmail.com")</f>
        <v>budimanfernandx@gmail.com</v>
      </c>
      <c r="AL855" s="80" t="str">
        <f>IFERROR(__xludf.DUMMYFUNCTION("""COMPUTED_VALUE"""),"#Muc15422S3$")</f>
        <v>#Muc15422S3$</v>
      </c>
      <c r="AM855" s="80" t="str">
        <f>IFERROR(__xludf.DUMMYFUNCTION("""COMPUTED_VALUE"""),"KANTOR REGIONAL II JAKARTA 10004")</f>
        <v>KANTOR REGIONAL II JAKARTA 10004</v>
      </c>
      <c r="AN855" s="80" t="str">
        <f>IFERROR(__xludf.DUMMYFUNCTION("""COMPUTED_VALUE"""),"KC TANGERANG SELATAN")</f>
        <v>KC TANGERANG SELATAN</v>
      </c>
      <c r="AO855" s="80" t="str">
        <f>IFERROR(__xludf.DUMMYFUNCTION("""COMPUTED_VALUE"""),"MENYUSUL")</f>
        <v>MENYUSUL</v>
      </c>
      <c r="AP855" s="80" t="str">
        <f>IFERROR(__xludf.DUMMYFUNCTION("""COMPUTED_VALUE"""),"MENYUSUL")</f>
        <v>MENYUSUL</v>
      </c>
      <c r="AQ855" s="83"/>
      <c r="AR855" s="80"/>
      <c r="AS855" s="80"/>
      <c r="AT855" s="80" t="str">
        <f>IFERROR(__xludf.DUMMYFUNCTION("""COMPUTED_VALUE"""),"-6.252773 ")</f>
        <v>-6.252773 </v>
      </c>
      <c r="AU855" s="80" t="str">
        <f>IFERROR(__xludf.DUMMYFUNCTION("""COMPUTED_VALUE"""),"106.729234")</f>
        <v>106.729234</v>
      </c>
      <c r="AV855" s="80"/>
      <c r="AW855" s="80"/>
      <c r="AX855" s="80"/>
      <c r="AY855" s="80"/>
      <c r="AZ855" s="80"/>
      <c r="BA855" s="80"/>
      <c r="BB855" s="80"/>
      <c r="BC855" s="80"/>
      <c r="BD855" s="80"/>
      <c r="BE855" s="80"/>
      <c r="BF855" s="80"/>
      <c r="BG855" s="80"/>
      <c r="BH855" s="80"/>
      <c r="BI855" s="80"/>
      <c r="BJ855" s="80"/>
      <c r="BK855" s="80"/>
      <c r="BL855" s="80"/>
      <c r="BM855" s="80"/>
      <c r="BN855" s="80"/>
      <c r="BO855" s="80"/>
      <c r="BP855" s="80"/>
      <c r="BQ855" s="80"/>
      <c r="BR855" s="80"/>
      <c r="BS855" s="80"/>
      <c r="BT855" s="80"/>
      <c r="BU855" s="80"/>
      <c r="BV855" s="80"/>
      <c r="BW855" s="80"/>
      <c r="BX855" s="80" t="str">
        <f>IFERROR(__xludf.DUMMYFUNCTION("""COMPUTED_VALUE"""),"MULTIKURIR - WAHANA - LION PARCEL")</f>
        <v>MULTIKURIR - WAHANA - LION PARCEL</v>
      </c>
      <c r="BY855" s="80"/>
      <c r="BZ855" s="80"/>
      <c r="CA855" s="80"/>
      <c r="CB855" s="80"/>
      <c r="CC855" s="80"/>
      <c r="CD855" s="80"/>
      <c r="CE855" s="80"/>
      <c r="CF855" s="80"/>
      <c r="CG855" s="80"/>
      <c r="CH855" s="80"/>
      <c r="CI855" s="80"/>
      <c r="CJ855" s="80"/>
      <c r="CK855" s="2"/>
    </row>
    <row r="856" ht="12.75" customHeight="1">
      <c r="A856" s="85">
        <f>IFERROR(__xludf.DUMMYFUNCTION("""COMPUTED_VALUE"""),852.0)</f>
        <v>852</v>
      </c>
      <c r="B856" s="85"/>
      <c r="C856" s="85"/>
      <c r="D856" s="86">
        <f>IFERROR(__xludf.DUMMYFUNCTION("""COMPUTED_VALUE"""),46083.0)</f>
        <v>46083</v>
      </c>
      <c r="E856" s="88"/>
      <c r="F856" s="85"/>
      <c r="G856" s="86">
        <f>IFERROR(__xludf.DUMMYFUNCTION("""COMPUTED_VALUE"""),46087.0)</f>
        <v>46087</v>
      </c>
      <c r="H856" s="85"/>
      <c r="I856" s="85"/>
      <c r="J856" s="85"/>
      <c r="K856" s="85"/>
      <c r="L856" s="85">
        <f>IFERROR(__xludf.DUMMYFUNCTION("""COMPUTED_VALUE"""),4.0)</f>
        <v>4</v>
      </c>
      <c r="M856" s="85" t="str">
        <f>IFERROR(__xludf.DUMMYFUNCTION("""COMPUTED_VALUE"""),"ü")</f>
        <v>ü</v>
      </c>
      <c r="N856" s="85"/>
      <c r="O856" s="85"/>
      <c r="P856" s="85" t="str">
        <f>IFERROR(__xludf.DUMMYFUNCTION("""COMPUTED_VALUE"""),"53BSPA28075JBABD ")</f>
        <v>53BSPA28075JBABD </v>
      </c>
      <c r="Q856" s="85" t="str">
        <f>IFERROR(__xludf.DUMMYFUNCTION("""COMPUTED_VALUE"""),"MUC Sindangsari")</f>
        <v>MUC Sindangsari</v>
      </c>
      <c r="R856" s="85" t="str">
        <f>IFERROR(__xludf.DUMMYFUNCTION("""COMPUTED_VALUE"""),"MUC Sindangsari")</f>
        <v>MUC Sindangsari</v>
      </c>
      <c r="S856" s="85" t="str">
        <f>IFERROR(__xludf.DUMMYFUNCTION("""COMPUTED_VALUE"""),"Hariman Abdul Hadi")</f>
        <v>Hariman Abdul Hadi</v>
      </c>
      <c r="T856" s="85" t="str">
        <f>IFERROR(__xludf.DUMMYFUNCTION("""COMPUTED_VALUE"""),"Kp Banjarsari RT002/RW002 Ds Banjarsari Kec. Sukaresik kab. Tasikmalaya46419")</f>
        <v>Kp Banjarsari RT002/RW002 Ds Banjarsari Kec. Sukaresik kab. Tasikmalaya46419</v>
      </c>
      <c r="U856" s="85" t="str">
        <f>IFERROR(__xludf.DUMMYFUNCTION("""COMPUTED_VALUE"""),"Kp Banjarsari RT002/RW002")</f>
        <v>Kp Banjarsari RT002/RW002</v>
      </c>
      <c r="V856" s="85"/>
      <c r="W856" s="85" t="str">
        <f>IFERROR(__xludf.DUMMYFUNCTION("""COMPUTED_VALUE"""),"Banjarsari")</f>
        <v>Banjarsari</v>
      </c>
      <c r="X856" s="85" t="str">
        <f>IFERROR(__xludf.DUMMYFUNCTION("""COMPUTED_VALUE"""),"Sukaresik")</f>
        <v>Sukaresik</v>
      </c>
      <c r="Y856" s="85" t="str">
        <f>IFERROR(__xludf.DUMMYFUNCTION("""COMPUTED_VALUE"""),"Tasikmalaya")</f>
        <v>Tasikmalaya</v>
      </c>
      <c r="Z856" s="85" t="str">
        <f>IFERROR(__xludf.DUMMYFUNCTION("""COMPUTED_VALUE"""),"Jawa Barat")</f>
        <v>Jawa Barat</v>
      </c>
      <c r="AA856" s="85" t="str">
        <f>IFERROR(__xludf.DUMMYFUNCTION("""COMPUTED_VALUE"""),"46419")</f>
        <v>46419</v>
      </c>
      <c r="AB856" s="85" t="str">
        <f>IFERROR(__xludf.DUMMYFUNCTION("""COMPUTED_VALUE"""),"3206390607760006")</f>
        <v>3206390607760006</v>
      </c>
      <c r="AC856" s="85" t="str">
        <f>IFERROR(__xludf.DUMMYFUNCTION("""COMPUTED_VALUE"""),"45.702.995.7-425.000")</f>
        <v>45.702.995.7-425.000</v>
      </c>
      <c r="AD856" s="85" t="str">
        <f>IFERROR(__xludf.DUMMYFUNCTION("""COMPUTED_VALUE"""),"CUM - ABD")</f>
        <v>CUM - ABD</v>
      </c>
      <c r="AE856" s="85" t="str">
        <f>IFERROR(__xludf.DUMMYFUNCTION("""COMPUTED_VALUE"""),"SUB ABDUL QODIR")</f>
        <v>SUB ABDUL QODIR</v>
      </c>
      <c r="AF856" s="85" t="str">
        <f>IFERROR(__xludf.DUMMYFUNCTION("""COMPUTED_VALUE"""),"085323909786")</f>
        <v>085323909786</v>
      </c>
      <c r="AG856" s="85"/>
      <c r="AH856" s="85" t="str">
        <f>IFERROR(__xludf.DUMMYFUNCTION("""COMPUTED_VALUE"""),"harimanabdulhadi725@gmail.com")</f>
        <v>harimanabdulhadi725@gmail.com</v>
      </c>
      <c r="AI856" s="85" t="str">
        <f>IFERROR(__xludf.DUMMYFUNCTION("""COMPUTED_VALUE"""),"46459S1")</f>
        <v>46459S1</v>
      </c>
      <c r="AJ856" s="85" t="str">
        <f>IFERROR(__xludf.DUMMYFUNCTION("""COMPUTED_VALUE"""),"69a9233c2678dba22f04c0b7")</f>
        <v>69a9233c2678dba22f04c0b7</v>
      </c>
      <c r="AK856" s="85" t="str">
        <f>IFERROR(__xludf.DUMMYFUNCTION("""COMPUTED_VALUE"""),"harimanabdulhadi725@gmail.com")</f>
        <v>harimanabdulhadi725@gmail.com</v>
      </c>
      <c r="AL856" s="85" t="str">
        <f>IFERROR(__xludf.DUMMYFUNCTION("""COMPUTED_VALUE"""),"#Muc46459S1$#Muc46459S1$")</f>
        <v>#Muc46459S1$#Muc46459S1$</v>
      </c>
      <c r="AM856" s="85" t="str">
        <f>IFERROR(__xludf.DUMMYFUNCTION("""COMPUTED_VALUE"""),"KANTOR REGIONAL III BANDUNG 40004")</f>
        <v>KANTOR REGIONAL III BANDUNG 40004</v>
      </c>
      <c r="AN856" s="85" t="str">
        <f>IFERROR(__xludf.DUMMYFUNCTION("""COMPUTED_VALUE"""),"KC TASIKMALAYA")</f>
        <v>KC TASIKMALAYA</v>
      </c>
      <c r="AO856" s="85" t="str">
        <f>IFERROR(__xludf.DUMMYFUNCTION("""COMPUTED_VALUE"""),"1284001640295")</f>
        <v>1284001640295</v>
      </c>
      <c r="AP856" s="85" t="str">
        <f>IFERROR(__xludf.DUMMYFUNCTION("""COMPUTED_VALUE"""),"MENYUSUL")</f>
        <v>MENYUSUL</v>
      </c>
      <c r="AQ856" s="93"/>
      <c r="AR856" s="85"/>
      <c r="AS856" s="85"/>
      <c r="AT856" s="85" t="str">
        <f>IFERROR(__xludf.DUMMYFUNCTION("""COMPUTED_VALUE"""),"-7.150378")</f>
        <v>-7.150378</v>
      </c>
      <c r="AU856" s="85" t="str">
        <f>IFERROR(__xludf.DUMMYFUNCTION("""COMPUTED_VALUE"""),"108.185364")</f>
        <v>108.185364</v>
      </c>
      <c r="AV856" s="85"/>
      <c r="AW856" s="85"/>
      <c r="AX856" s="85"/>
      <c r="AY856" s="85"/>
      <c r="AZ856" s="85"/>
      <c r="BA856" s="85"/>
      <c r="BB856" s="85"/>
      <c r="BC856" s="85"/>
      <c r="BD856" s="85"/>
      <c r="BE856" s="85"/>
      <c r="BF856" s="85"/>
      <c r="BG856" s="85"/>
      <c r="BH856" s="85"/>
      <c r="BI856" s="85"/>
      <c r="BJ856" s="85"/>
      <c r="BK856" s="85"/>
      <c r="BL856" s="85"/>
      <c r="BM856" s="85"/>
      <c r="BN856" s="85"/>
      <c r="BO856" s="85"/>
      <c r="BP856" s="85"/>
      <c r="BQ856" s="85"/>
      <c r="BR856" s="85"/>
      <c r="BS856" s="85"/>
      <c r="BT856" s="85"/>
      <c r="BU856" s="85"/>
      <c r="BV856" s="85"/>
      <c r="BW856" s="85"/>
      <c r="BX856" s="85" t="str">
        <f>IFERROR(__xludf.DUMMYFUNCTION("""COMPUTED_VALUE"""),"NEWBIE")</f>
        <v>NEWBIE</v>
      </c>
      <c r="BY856" s="85"/>
      <c r="BZ856" s="85"/>
      <c r="CA856" s="85"/>
      <c r="CB856" s="85"/>
      <c r="CC856" s="85"/>
      <c r="CD856" s="85"/>
      <c r="CE856" s="85"/>
      <c r="CF856" s="85"/>
      <c r="CG856" s="85"/>
      <c r="CH856" s="85"/>
      <c r="CI856" s="85"/>
      <c r="CJ856" s="85"/>
      <c r="CK856" s="2"/>
    </row>
    <row r="857" ht="12.75" customHeight="1">
      <c r="A857" s="80">
        <f>IFERROR(__xludf.DUMMYFUNCTION("""COMPUTED_VALUE"""),853.0)</f>
        <v>853</v>
      </c>
      <c r="B857" s="80"/>
      <c r="C857" s="80"/>
      <c r="D857" s="81">
        <f>IFERROR(__xludf.DUMMYFUNCTION("""COMPUTED_VALUE"""),46084.0)</f>
        <v>46084</v>
      </c>
      <c r="E857" s="82"/>
      <c r="F857" s="80"/>
      <c r="G857" s="81">
        <f>IFERROR(__xludf.DUMMYFUNCTION("""COMPUTED_VALUE"""),46091.0)</f>
        <v>46091</v>
      </c>
      <c r="H857" s="80"/>
      <c r="I857" s="80"/>
      <c r="J857" s="80"/>
      <c r="K857" s="80"/>
      <c r="L857" s="80">
        <f>IFERROR(__xludf.DUMMYFUNCTION("""COMPUTED_VALUE"""),7.0)</f>
        <v>7</v>
      </c>
      <c r="M857" s="80" t="str">
        <f>IFERROR(__xludf.DUMMYFUNCTION("""COMPUTED_VALUE"""),"ü")</f>
        <v>ü</v>
      </c>
      <c r="N857" s="80"/>
      <c r="O857" s="80"/>
      <c r="P857" s="80" t="str">
        <f>IFERROR(__xludf.DUMMYFUNCTION("""COMPUTED_VALUE"""),"53BSPA04980JBEEN")</f>
        <v>53BSPA04980JBEEN</v>
      </c>
      <c r="Q857" s="80" t="str">
        <f>IFERROR(__xludf.DUMMYFUNCTION("""COMPUTED_VALUE"""),"MUC CIKUNIR RAYA")</f>
        <v>MUC CIKUNIR RAYA</v>
      </c>
      <c r="R857" s="80" t="str">
        <f>IFERROR(__xludf.DUMMYFUNCTION("""COMPUTED_VALUE"""),"MUC CIKUNIR RAYA")</f>
        <v>MUC CIKUNIR RAYA</v>
      </c>
      <c r="S857" s="80" t="str">
        <f>IFERROR(__xludf.DUMMYFUNCTION("""COMPUTED_VALUE"""),"PERI HIDAYATULOH")</f>
        <v>PERI HIDAYATULOH</v>
      </c>
      <c r="T857" s="80" t="str">
        <f>IFERROR(__xludf.DUMMYFUNCTION("""COMPUTED_VALUE"""),"JL. CIKUNIR RAYA GANG ASSAMAWI, RT.001 RW.003, JAKAMULYA, BEKASI SELATAN, KOTA BEKASI")</f>
        <v>JL. CIKUNIR RAYA GANG ASSAMAWI, RT.001 RW.003, JAKAMULYA, BEKASI SELATAN, KOTA BEKASI</v>
      </c>
      <c r="U857" s="80" t="str">
        <f>IFERROR(__xludf.DUMMYFUNCTION("""COMPUTED_VALUE"""),"JL. CIKUNIR RAYA GANG ASSAMAWI, RT.001 RW.003")</f>
        <v>JL. CIKUNIR RAYA GANG ASSAMAWI, RT.001 RW.003</v>
      </c>
      <c r="V857" s="80"/>
      <c r="W857" s="80" t="str">
        <f>IFERROR(__xludf.DUMMYFUNCTION("""COMPUTED_VALUE"""),"JAKAMULYA")</f>
        <v>JAKAMULYA</v>
      </c>
      <c r="X857" s="80" t="str">
        <f>IFERROR(__xludf.DUMMYFUNCTION("""COMPUTED_VALUE"""),"BEKASI SELATAN")</f>
        <v>BEKASI SELATAN</v>
      </c>
      <c r="Y857" s="80" t="str">
        <f>IFERROR(__xludf.DUMMYFUNCTION("""COMPUTED_VALUE"""),"KOTA BEKASI")</f>
        <v>KOTA BEKASI</v>
      </c>
      <c r="Z857" s="80" t="str">
        <f>IFERROR(__xludf.DUMMYFUNCTION("""COMPUTED_VALUE"""),"JAWA BARAT")</f>
        <v>JAWA BARAT</v>
      </c>
      <c r="AA857" s="80" t="str">
        <f>IFERROR(__xludf.DUMMYFUNCTION("""COMPUTED_VALUE"""),"17146")</f>
        <v>17146</v>
      </c>
      <c r="AB857" s="80" t="str">
        <f>IFERROR(__xludf.DUMMYFUNCTION("""COMPUTED_VALUE"""),"3205112302930001")</f>
        <v>3205112302930001</v>
      </c>
      <c r="AC857" s="80" t="str">
        <f>IFERROR(__xludf.DUMMYFUNCTION("""COMPUTED_VALUE"""),"3205112302930001")</f>
        <v>3205112302930001</v>
      </c>
      <c r="AD857" s="80" t="str">
        <f>IFERROR(__xludf.DUMMYFUNCTION("""COMPUTED_VALUE"""),"CUM - EEN")</f>
        <v>CUM - EEN</v>
      </c>
      <c r="AE857" s="80" t="str">
        <f>IFERROR(__xludf.DUMMYFUNCTION("""COMPUTED_VALUE"""),"SUB EEN")</f>
        <v>SUB EEN</v>
      </c>
      <c r="AF857" s="80" t="str">
        <f>IFERROR(__xludf.DUMMYFUNCTION("""COMPUTED_VALUE"""),"083825231387")</f>
        <v>083825231387</v>
      </c>
      <c r="AG857" s="80"/>
      <c r="AH857" s="80" t="str">
        <f>IFERROR(__xludf.DUMMYFUNCTION("""COMPUTED_VALUE"""),"knisaexpress@gmail.com")</f>
        <v>knisaexpress@gmail.com</v>
      </c>
      <c r="AI857" s="80" t="str">
        <f>IFERROR(__xludf.DUMMYFUNCTION("""COMPUTED_VALUE"""),"17146S7")</f>
        <v>17146S7</v>
      </c>
      <c r="AJ857" s="80" t="str">
        <f>IFERROR(__xludf.DUMMYFUNCTION("""COMPUTED_VALUE"""),"69af91264a970fb453067046")</f>
        <v>69af91264a970fb453067046</v>
      </c>
      <c r="AK857" s="80" t="str">
        <f>IFERROR(__xludf.DUMMYFUNCTION("""COMPUTED_VALUE"""),"knisaexpress@gmail.com")</f>
        <v>knisaexpress@gmail.com</v>
      </c>
      <c r="AL857" s="80" t="str">
        <f>IFERROR(__xludf.DUMMYFUNCTION("""COMPUTED_VALUE"""),"#Muc17146S7$")</f>
        <v>#Muc17146S7$</v>
      </c>
      <c r="AM857" s="80" t="str">
        <f>IFERROR(__xludf.DUMMYFUNCTION("""COMPUTED_VALUE"""),"KANTOR REGIONAL II JAKARTA 10004")</f>
        <v>KANTOR REGIONAL II JAKARTA 10004</v>
      </c>
      <c r="AN857" s="80" t="str">
        <f>IFERROR(__xludf.DUMMYFUNCTION("""COMPUTED_VALUE"""),"KCU BEKASI 17000")</f>
        <v>KCU BEKASI 17000</v>
      </c>
      <c r="AO857" s="80" t="str">
        <f>IFERROR(__xludf.DUMMYFUNCTION("""COMPUTED_VALUE"""),"0212220044214")</f>
        <v>0212220044214</v>
      </c>
      <c r="AP857" s="80" t="str">
        <f>IFERROR(__xludf.DUMMYFUNCTION("""COMPUTED_VALUE"""),"02122200442140001")</f>
        <v>02122200442140001</v>
      </c>
      <c r="AQ857" s="83"/>
      <c r="AR857" s="80"/>
      <c r="AS857" s="80"/>
      <c r="AT857" s="80" t="str">
        <f>IFERROR(__xludf.DUMMYFUNCTION("""COMPUTED_VALUE"""),"-6.2731404")</f>
        <v>-6.2731404</v>
      </c>
      <c r="AU857" s="80" t="str">
        <f>IFERROR(__xludf.DUMMYFUNCTION("""COMPUTED_VALUE"""),"106.9571212")</f>
        <v>106.9571212</v>
      </c>
      <c r="AV857" s="80"/>
      <c r="AW857" s="80"/>
      <c r="AX857" s="80"/>
      <c r="AY857" s="80"/>
      <c r="AZ857" s="80"/>
      <c r="BA857" s="80"/>
      <c r="BB857" s="80"/>
      <c r="BC857" s="80"/>
      <c r="BD857" s="80"/>
      <c r="BE857" s="80"/>
      <c r="BF857" s="80"/>
      <c r="BG857" s="80"/>
      <c r="BH857" s="80"/>
      <c r="BI857" s="80"/>
      <c r="BJ857" s="80"/>
      <c r="BK857" s="80"/>
      <c r="BL857" s="80"/>
      <c r="BM857" s="80"/>
      <c r="BN857" s="80"/>
      <c r="BO857" s="80"/>
      <c r="BP857" s="80"/>
      <c r="BQ857" s="80"/>
      <c r="BR857" s="80"/>
      <c r="BS857" s="80"/>
      <c r="BT857" s="80"/>
      <c r="BU857" s="80"/>
      <c r="BV857" s="80"/>
      <c r="BW857" s="80"/>
      <c r="BX857" s="80" t="str">
        <f>IFERROR(__xludf.DUMMYFUNCTION("""COMPUTED_VALUE"""),"MULTIKURIR - WAHANA")</f>
        <v>MULTIKURIR - WAHANA</v>
      </c>
      <c r="BY857" s="80"/>
      <c r="BZ857" s="80"/>
      <c r="CA857" s="80"/>
      <c r="CB857" s="80"/>
      <c r="CC857" s="80"/>
      <c r="CD857" s="80"/>
      <c r="CE857" s="80"/>
      <c r="CF857" s="80"/>
      <c r="CG857" s="80"/>
      <c r="CH857" s="80"/>
      <c r="CI857" s="80"/>
      <c r="CJ857" s="80"/>
      <c r="CK857" s="2"/>
    </row>
    <row r="858" ht="12.75" customHeight="1">
      <c r="A858" s="85">
        <f>IFERROR(__xludf.DUMMYFUNCTION("""COMPUTED_VALUE"""),854.0)</f>
        <v>854</v>
      </c>
      <c r="B858" s="85"/>
      <c r="C858" s="85"/>
      <c r="D858" s="86">
        <f>IFERROR(__xludf.DUMMYFUNCTION("""COMPUTED_VALUE"""),46084.0)</f>
        <v>46084</v>
      </c>
      <c r="E858" s="88"/>
      <c r="F858" s="85"/>
      <c r="G858" s="86">
        <f>IFERROR(__xludf.DUMMYFUNCTION("""COMPUTED_VALUE"""),46132.0)</f>
        <v>46132</v>
      </c>
      <c r="H858" s="85"/>
      <c r="I858" s="85"/>
      <c r="J858" s="85"/>
      <c r="K858" s="85"/>
      <c r="L858" s="85">
        <f>IFERROR(__xludf.DUMMYFUNCTION("""COMPUTED_VALUE"""),48.0)</f>
        <v>48</v>
      </c>
      <c r="M858" s="85" t="str">
        <f>IFERROR(__xludf.DUMMYFUNCTION("""COMPUTED_VALUE"""),"ü")</f>
        <v>ü</v>
      </c>
      <c r="N858" s="85"/>
      <c r="O858" s="85"/>
      <c r="P858" s="85" t="str">
        <f>IFERROR(__xludf.DUMMYFUNCTION("""COMPUTED_VALUE"""),"53BSPA09902JBEEN")</f>
        <v>53BSPA09902JBEEN</v>
      </c>
      <c r="Q858" s="85" t="str">
        <f>IFERROR(__xludf.DUMMYFUNCTION("""COMPUTED_VALUE"""),"MUC LETNAN JAJA")</f>
        <v>MUC LETNAN JAJA</v>
      </c>
      <c r="R858" s="85" t="str">
        <f>IFERROR(__xludf.DUMMYFUNCTION("""COMPUTED_VALUE"""),"MUC LETNAN JAJA")</f>
        <v>MUC LETNAN JAJA</v>
      </c>
      <c r="S858" s="85" t="str">
        <f>IFERROR(__xludf.DUMMYFUNCTION("""COMPUTED_VALUE"""),"WAHYUDI")</f>
        <v>WAHYUDI</v>
      </c>
      <c r="T858" s="85" t="str">
        <f>IFERROR(__xludf.DUMMYFUNCTION("""COMPUTED_VALUE"""),"PERUM MUSTIKA PARK PLACE CLUSTER NAVARRA D12A NO.42 RT.003 RW.018, BURANGKENG, SETU, KAB. BEKASI")</f>
        <v>PERUM MUSTIKA PARK PLACE CLUSTER NAVARRA D12A NO.42 RT.003 RW.018, BURANGKENG, SETU, KAB. BEKASI</v>
      </c>
      <c r="U858" s="85" t="str">
        <f>IFERROR(__xludf.DUMMYFUNCTION("""COMPUTED_VALUE"""),"Jl. Letnan Jaja, RT.003/RW.005")</f>
        <v>Jl. Letnan Jaja, RT.003/RW.005</v>
      </c>
      <c r="V858" s="85"/>
      <c r="W858" s="85" t="str">
        <f>IFERROR(__xludf.DUMMYFUNCTION("""COMPUTED_VALUE"""),"Burangkeng")</f>
        <v>Burangkeng</v>
      </c>
      <c r="X858" s="85" t="str">
        <f>IFERROR(__xludf.DUMMYFUNCTION("""COMPUTED_VALUE"""),"Setu")</f>
        <v>Setu</v>
      </c>
      <c r="Y858" s="85" t="str">
        <f>IFERROR(__xludf.DUMMYFUNCTION("""COMPUTED_VALUE"""),"Kabupaten Bekasi")</f>
        <v>Kabupaten Bekasi</v>
      </c>
      <c r="Z858" s="85" t="str">
        <f>IFERROR(__xludf.DUMMYFUNCTION("""COMPUTED_VALUE"""),"Jawa Barat ")</f>
        <v>Jawa Barat </v>
      </c>
      <c r="AA858" s="85" t="str">
        <f>IFERROR(__xludf.DUMMYFUNCTION("""COMPUTED_VALUE"""),"17320")</f>
        <v>17320</v>
      </c>
      <c r="AB858" s="85" t="str">
        <f>IFERROR(__xludf.DUMMYFUNCTION("""COMPUTED_VALUE"""),"3216210312760003")</f>
        <v>3216210312760003</v>
      </c>
      <c r="AC858" s="85" t="str">
        <f>IFERROR(__xludf.DUMMYFUNCTION("""COMPUTED_VALUE"""),"24.693.867.4-435.000")</f>
        <v>24.693.867.4-435.000</v>
      </c>
      <c r="AD858" s="85" t="str">
        <f>IFERROR(__xludf.DUMMYFUNCTION("""COMPUTED_VALUE"""),"CUM - EEN")</f>
        <v>CUM - EEN</v>
      </c>
      <c r="AE858" s="85" t="str">
        <f>IFERROR(__xludf.DUMMYFUNCTION("""COMPUTED_VALUE"""),"SUB EEN")</f>
        <v>SUB EEN</v>
      </c>
      <c r="AF858" s="85" t="str">
        <f>IFERROR(__xludf.DUMMYFUNCTION("""COMPUTED_VALUE"""),"087788203001")</f>
        <v>087788203001</v>
      </c>
      <c r="AG858" s="85"/>
      <c r="AH858" s="85" t="str">
        <f>IFERROR(__xludf.DUMMYFUNCTION("""COMPUTED_VALUE"""),"wahyudi.uji76@gmail.com")</f>
        <v>wahyudi.uji76@gmail.com</v>
      </c>
      <c r="AI858" s="85" t="str">
        <f>IFERROR(__xludf.DUMMYFUNCTION("""COMPUTED_VALUE"""),"17323S4")</f>
        <v>17323S4</v>
      </c>
      <c r="AJ858" s="85" t="str">
        <f>IFERROR(__xludf.DUMMYFUNCTION("""COMPUTED_VALUE"""),"69e4b0d609b51744c90f285b")</f>
        <v>69e4b0d609b51744c90f285b</v>
      </c>
      <c r="AK858" s="85" t="str">
        <f>IFERROR(__xludf.DUMMYFUNCTION("""COMPUTED_VALUE"""),"wahyudi.uji76@gmail.com")</f>
        <v>wahyudi.uji76@gmail.com</v>
      </c>
      <c r="AL858" s="85" t="str">
        <f>IFERROR(__xludf.DUMMYFUNCTION("""COMPUTED_VALUE"""),"#Muc17323S4$")</f>
        <v>#Muc17323S4$</v>
      </c>
      <c r="AM858" s="85" t="str">
        <f>IFERROR(__xludf.DUMMYFUNCTION("""COMPUTED_VALUE"""),"KANTOR REGIONAL II JAKARTA 10004")</f>
        <v>KANTOR REGIONAL II JAKARTA 10004</v>
      </c>
      <c r="AN858" s="85" t="str">
        <f>IFERROR(__xludf.DUMMYFUNCTION("""COMPUTED_VALUE"""),"KC CIKARANG 17500")</f>
        <v>KC CIKARANG 17500</v>
      </c>
      <c r="AO858" s="85" t="str">
        <f>IFERROR(__xludf.DUMMYFUNCTION("""COMPUTED_VALUE"""),"0403260094084")</f>
        <v>0403260094084</v>
      </c>
      <c r="AP858" s="85" t="str">
        <f>IFERROR(__xludf.DUMMYFUNCTION("""COMPUTED_VALUE"""),"04032600940840001")</f>
        <v>04032600940840001</v>
      </c>
      <c r="AQ858" s="93"/>
      <c r="AR858" s="85"/>
      <c r="AS858" s="85"/>
      <c r="AT858" s="85" t="str">
        <f>IFERROR(__xludf.DUMMYFUNCTION("""COMPUTED_VALUE"""),"-6.3406419")</f>
        <v>-6.3406419</v>
      </c>
      <c r="AU858" s="85" t="str">
        <f>IFERROR(__xludf.DUMMYFUNCTION("""COMPUTED_VALUE"""),"107.0278339")</f>
        <v>107.0278339</v>
      </c>
      <c r="AV858" s="85"/>
      <c r="AW858" s="85"/>
      <c r="AX858" s="85"/>
      <c r="AY858" s="85"/>
      <c r="AZ858" s="85"/>
      <c r="BA858" s="85"/>
      <c r="BB858" s="85"/>
      <c r="BC858" s="85"/>
      <c r="BD858" s="85"/>
      <c r="BE858" s="85"/>
      <c r="BF858" s="85"/>
      <c r="BG858" s="85"/>
      <c r="BH858" s="85"/>
      <c r="BI858" s="85"/>
      <c r="BJ858" s="85"/>
      <c r="BK858" s="85"/>
      <c r="BL858" s="85"/>
      <c r="BM858" s="85"/>
      <c r="BN858" s="85"/>
      <c r="BO858" s="85"/>
      <c r="BP858" s="85"/>
      <c r="BQ858" s="85"/>
      <c r="BR858" s="85"/>
      <c r="BS858" s="85"/>
      <c r="BT858" s="85"/>
      <c r="BU858" s="85"/>
      <c r="BV858" s="85"/>
      <c r="BW858" s="85"/>
      <c r="BX858" s="85" t="str">
        <f>IFERROR(__xludf.DUMMYFUNCTION("""COMPUTED_VALUE"""),"MULTIKURIR - LION PARCEL")</f>
        <v>MULTIKURIR - LION PARCEL</v>
      </c>
      <c r="BY858" s="85"/>
      <c r="BZ858" s="85"/>
      <c r="CA858" s="85"/>
      <c r="CB858" s="85"/>
      <c r="CC858" s="85"/>
      <c r="CD858" s="85"/>
      <c r="CE858" s="85"/>
      <c r="CF858" s="85"/>
      <c r="CG858" s="85"/>
      <c r="CH858" s="85"/>
      <c r="CI858" s="85"/>
      <c r="CJ858" s="85"/>
      <c r="CK858" s="2"/>
    </row>
    <row r="859" ht="12.75" customHeight="1">
      <c r="A859" s="80">
        <f>IFERROR(__xludf.DUMMYFUNCTION("""COMPUTED_VALUE"""),855.0)</f>
        <v>855</v>
      </c>
      <c r="B859" s="80"/>
      <c r="C859" s="80"/>
      <c r="D859" s="81">
        <f>IFERROR(__xludf.DUMMYFUNCTION("""COMPUTED_VALUE"""),46084.0)</f>
        <v>46084</v>
      </c>
      <c r="E859" s="82"/>
      <c r="F859" s="80"/>
      <c r="G859" s="81">
        <f>IFERROR(__xludf.DUMMYFUNCTION("""COMPUTED_VALUE"""),46125.0)</f>
        <v>46125</v>
      </c>
      <c r="H859" s="80"/>
      <c r="I859" s="80"/>
      <c r="J859" s="80"/>
      <c r="K859" s="80"/>
      <c r="L859" s="80">
        <f>IFERROR(__xludf.DUMMYFUNCTION("""COMPUTED_VALUE"""),41.0)</f>
        <v>41</v>
      </c>
      <c r="M859" s="80" t="str">
        <f>IFERROR(__xludf.DUMMYFUNCTION("""COMPUTED_VALUE"""),"ü")</f>
        <v>ü</v>
      </c>
      <c r="N859" s="80"/>
      <c r="O859" s="80"/>
      <c r="P859" s="80" t="str">
        <f>IFERROR(__xludf.DUMMYFUNCTION("""COMPUTED_VALUE"""),"53BSPA09911JBNDS ")</f>
        <v>53BSPA09911JBNDS </v>
      </c>
      <c r="Q859" s="80" t="str">
        <f>IFERROR(__xludf.DUMMYFUNCTION("""COMPUTED_VALUE"""),"MUC SIDOREJO")</f>
        <v>MUC SIDOREJO</v>
      </c>
      <c r="R859" s="80" t="str">
        <f>IFERROR(__xludf.DUMMYFUNCTION("""COMPUTED_VALUE"""),"MUC SIDOREJO")</f>
        <v>MUC SIDOREJO</v>
      </c>
      <c r="S859" s="80" t="str">
        <f>IFERROR(__xludf.DUMMYFUNCTION("""COMPUTED_VALUE"""),"MUSTAQBILAL")</f>
        <v>MUSTAQBILAL</v>
      </c>
      <c r="T859" s="80" t="str">
        <f>IFERROR(__xludf.DUMMYFUNCTION("""COMPUTED_VALUE"""),"SIDOREJO, SIDOREJO, TIRTO, KAB. PEKALONGAN")</f>
        <v>SIDOREJO, SIDOREJO, TIRTO, KAB. PEKALONGAN</v>
      </c>
      <c r="U859" s="80" t="str">
        <f>IFERROR(__xludf.DUMMYFUNCTION("""COMPUTED_VALUE"""),"Desa Sidorejo gang 19a rt 07/03 ")</f>
        <v>Desa Sidorejo gang 19a rt 07/03 </v>
      </c>
      <c r="V859" s="80"/>
      <c r="W859" s="80" t="str">
        <f>IFERROR(__xludf.DUMMYFUNCTION("""COMPUTED_VALUE"""),"SIDOREJO")</f>
        <v>SIDOREJO</v>
      </c>
      <c r="X859" s="80" t="str">
        <f>IFERROR(__xludf.DUMMYFUNCTION("""COMPUTED_VALUE"""),"TIRTO")</f>
        <v>TIRTO</v>
      </c>
      <c r="Y859" s="80" t="str">
        <f>IFERROR(__xludf.DUMMYFUNCTION("""COMPUTED_VALUE"""),"KAB. PEKALONGAN")</f>
        <v>KAB. PEKALONGAN</v>
      </c>
      <c r="Z859" s="80" t="str">
        <f>IFERROR(__xludf.DUMMYFUNCTION("""COMPUTED_VALUE"""),"JAWA TENGAH")</f>
        <v>JAWA TENGAH</v>
      </c>
      <c r="AA859" s="80" t="str">
        <f>IFERROR(__xludf.DUMMYFUNCTION("""COMPUTED_VALUE"""),"51151")</f>
        <v>51151</v>
      </c>
      <c r="AB859" s="80" t="str">
        <f>IFERROR(__xludf.DUMMYFUNCTION("""COMPUTED_VALUE"""),"3326152002830001")</f>
        <v>3326152002830001</v>
      </c>
      <c r="AC859" s="80" t="str">
        <f>IFERROR(__xludf.DUMMYFUNCTION("""COMPUTED_VALUE"""),"73.040.334.2-502.000")</f>
        <v>73.040.334.2-502.000</v>
      </c>
      <c r="AD859" s="80" t="str">
        <f>IFERROR(__xludf.DUMMYFUNCTION("""COMPUTED_VALUE"""),"CUM - NDS")</f>
        <v>CUM - NDS</v>
      </c>
      <c r="AE859" s="80" t="str">
        <f>IFERROR(__xludf.DUMMYFUNCTION("""COMPUTED_VALUE"""),"SUB NURUL DIMAS")</f>
        <v>SUB NURUL DIMAS</v>
      </c>
      <c r="AF859" s="80" t="str">
        <f>IFERROR(__xludf.DUMMYFUNCTION("""COMPUTED_VALUE"""),"085693224333")</f>
        <v>085693224333</v>
      </c>
      <c r="AG859" s="80"/>
      <c r="AH859" s="80" t="str">
        <f>IFERROR(__xludf.DUMMYFUNCTION("""COMPUTED_VALUE"""),"alfarishoky99@gmail.com")</f>
        <v>alfarishoky99@gmail.com</v>
      </c>
      <c r="AI859" s="80" t="str">
        <f>IFERROR(__xludf.DUMMYFUNCTION("""COMPUTED_VALUE"""),"51151S7")</f>
        <v>51151S7</v>
      </c>
      <c r="AJ859" s="80" t="str">
        <f>IFERROR(__xludf.DUMMYFUNCTION("""COMPUTED_VALUE"""),"69dc9d393db01d9e5d0ea721")</f>
        <v>69dc9d393db01d9e5d0ea721</v>
      </c>
      <c r="AK859" s="80" t="str">
        <f>IFERROR(__xludf.DUMMYFUNCTION("""COMPUTED_VALUE"""),"alfarishoky99@gmail.com")</f>
        <v>alfarishoky99@gmail.com</v>
      </c>
      <c r="AL859" s="80" t="str">
        <f>IFERROR(__xludf.DUMMYFUNCTION("""COMPUTED_VALUE"""),"#Muc51151S7$")</f>
        <v>#Muc51151S7$</v>
      </c>
      <c r="AM859" s="80" t="str">
        <f>IFERROR(__xludf.DUMMYFUNCTION("""COMPUTED_VALUE"""),"KANTOR REGIONAL IV SEMARANG 50004")</f>
        <v>KANTOR REGIONAL IV SEMARANG 50004</v>
      </c>
      <c r="AN859" s="80" t="str">
        <f>IFERROR(__xludf.DUMMYFUNCTION("""COMPUTED_VALUE"""),"KCU PEKALONGAN")</f>
        <v>KCU PEKALONGAN</v>
      </c>
      <c r="AO859" s="80" t="str">
        <f>IFERROR(__xludf.DUMMYFUNCTION("""COMPUTED_VALUE"""),"1612220062414")</f>
        <v>1612220062414</v>
      </c>
      <c r="AP859" s="80" t="str">
        <f>IFERROR(__xludf.DUMMYFUNCTION("""COMPUTED_VALUE"""),"16122200624140002")</f>
        <v>16122200624140002</v>
      </c>
      <c r="AQ859" s="83"/>
      <c r="AR859" s="80"/>
      <c r="AS859" s="80"/>
      <c r="AT859" s="80" t="str">
        <f>IFERROR(__xludf.DUMMYFUNCTION("""COMPUTED_VALUE"""),"-6.917532")</f>
        <v>-6.917532</v>
      </c>
      <c r="AU859" s="80" t="str">
        <f>IFERROR(__xludf.DUMMYFUNCTION("""COMPUTED_VALUE"""),"109.631159")</f>
        <v>109.631159</v>
      </c>
      <c r="AV859" s="80"/>
      <c r="AW859" s="80"/>
      <c r="AX859" s="80"/>
      <c r="AY859" s="80"/>
      <c r="AZ859" s="80"/>
      <c r="BA859" s="80"/>
      <c r="BB859" s="80"/>
      <c r="BC859" s="80"/>
      <c r="BD859" s="80"/>
      <c r="BE859" s="80"/>
      <c r="BF859" s="80"/>
      <c r="BG859" s="80"/>
      <c r="BH859" s="80"/>
      <c r="BI859" s="80"/>
      <c r="BJ859" s="80"/>
      <c r="BK859" s="80"/>
      <c r="BL859" s="80"/>
      <c r="BM859" s="80"/>
      <c r="BN859" s="80"/>
      <c r="BO859" s="80"/>
      <c r="BP859" s="80"/>
      <c r="BQ859" s="80"/>
      <c r="BR859" s="80"/>
      <c r="BS859" s="80"/>
      <c r="BT859" s="80"/>
      <c r="BU859" s="80"/>
      <c r="BV859" s="80"/>
      <c r="BW859" s="80"/>
      <c r="BX859" s="80" t="str">
        <f>IFERROR(__xludf.DUMMYFUNCTION("""COMPUTED_VALUE"""),"MULTIKURIR - SPX")</f>
        <v>MULTIKURIR - SPX</v>
      </c>
      <c r="BY859" s="80"/>
      <c r="BZ859" s="80"/>
      <c r="CA859" s="80"/>
      <c r="CB859" s="80"/>
      <c r="CC859" s="80"/>
      <c r="CD859" s="80"/>
      <c r="CE859" s="80"/>
      <c r="CF859" s="80"/>
      <c r="CG859" s="80"/>
      <c r="CH859" s="80"/>
      <c r="CI859" s="80"/>
      <c r="CJ859" s="80"/>
      <c r="CK859" s="2"/>
    </row>
    <row r="860" ht="12.75" customHeight="1">
      <c r="A860" s="85">
        <f>IFERROR(__xludf.DUMMYFUNCTION("""COMPUTED_VALUE"""),856.0)</f>
        <v>856</v>
      </c>
      <c r="B860" s="85"/>
      <c r="C860" s="85"/>
      <c r="D860" s="86">
        <f>IFERROR(__xludf.DUMMYFUNCTION("""COMPUTED_VALUE"""),46084.0)</f>
        <v>46084</v>
      </c>
      <c r="E860" s="88"/>
      <c r="F860" s="85"/>
      <c r="G860" s="86">
        <f>IFERROR(__xludf.DUMMYFUNCTION("""COMPUTED_VALUE"""),46097.0)</f>
        <v>46097</v>
      </c>
      <c r="H860" s="85"/>
      <c r="I860" s="85"/>
      <c r="J860" s="85"/>
      <c r="K860" s="85"/>
      <c r="L860" s="85">
        <f>IFERROR(__xludf.DUMMYFUNCTION("""COMPUTED_VALUE"""),13.0)</f>
        <v>13</v>
      </c>
      <c r="M860" s="85" t="str">
        <f>IFERROR(__xludf.DUMMYFUNCTION("""COMPUTED_VALUE"""),"ü")</f>
        <v>ü</v>
      </c>
      <c r="N860" s="85"/>
      <c r="O860" s="85"/>
      <c r="P860" s="85" t="str">
        <f>IFERROR(__xludf.DUMMYFUNCTION("""COMPUTED_VALUE"""),"MUCSPA63386PSIND")</f>
        <v>MUCSPA63386PSIND</v>
      </c>
      <c r="Q860" s="85" t="str">
        <f>IFERROR(__xludf.DUMMYFUNCTION("""COMPUTED_VALUE"""),"MUC PHOTOCOPY DAI")</f>
        <v>MUC PHOTOCOPY DAI</v>
      </c>
      <c r="R860" s="85" t="str">
        <f>IFERROR(__xludf.DUMMYFUNCTION("""COMPUTED_VALUE"""),"MUC PHOTOCOPY DAI")</f>
        <v>MUC PHOTOCOPY DAI</v>
      </c>
      <c r="S860" s="85" t="str">
        <f>IFERROR(__xludf.DUMMYFUNCTION("""COMPUTED_VALUE"""),"ABDULLAH UMAR MARSELA ")</f>
        <v>ABDULLAH UMAR MARSELA </v>
      </c>
      <c r="T860" s="85" t="str">
        <f>IFERROR(__xludf.DUMMYFUNCTION("""COMPUTED_VALUE"""),"JL. GEGERKALONG GIRANG NO. 79 RT 7 RW 3 ")</f>
        <v>JL. GEGERKALONG GIRANG NO. 79 RT 7 RW 3 </v>
      </c>
      <c r="U860" s="85" t="str">
        <f>IFERROR(__xludf.DUMMYFUNCTION("""COMPUTED_VALUE"""),"JL. TERUSAN PAK GATOT RAYA KPAD RT 2 RW 2")</f>
        <v>JL. TERUSAN PAK GATOT RAYA KPAD RT 2 RW 2</v>
      </c>
      <c r="V860" s="85"/>
      <c r="W860" s="85" t="str">
        <f>IFERROR(__xludf.DUMMYFUNCTION("""COMPUTED_VALUE"""),"GEGERKALONG")</f>
        <v>GEGERKALONG</v>
      </c>
      <c r="X860" s="85" t="str">
        <f>IFERROR(__xludf.DUMMYFUNCTION("""COMPUTED_VALUE"""),"SUKASARI")</f>
        <v>SUKASARI</v>
      </c>
      <c r="Y860" s="85" t="str">
        <f>IFERROR(__xludf.DUMMYFUNCTION("""COMPUTED_VALUE"""),"KOTA BANDUNG")</f>
        <v>KOTA BANDUNG</v>
      </c>
      <c r="Z860" s="85" t="str">
        <f>IFERROR(__xludf.DUMMYFUNCTION("""COMPUTED_VALUE"""),"JAWA BARAT")</f>
        <v>JAWA BARAT</v>
      </c>
      <c r="AA860" s="85" t="str">
        <f>IFERROR(__xludf.DUMMYFUNCTION("""COMPUTED_VALUE"""),"40153")</f>
        <v>40153</v>
      </c>
      <c r="AB860" s="85" t="str">
        <f>IFERROR(__xludf.DUMMYFUNCTION("""COMPUTED_VALUE"""),"327011603820003")</f>
        <v>327011603820003</v>
      </c>
      <c r="AC860" s="85" t="str">
        <f>IFERROR(__xludf.DUMMYFUNCTION("""COMPUTED_VALUE"""),"46.963.780.5-428.000")</f>
        <v>46.963.780.5-428.000</v>
      </c>
      <c r="AD860" s="85" t="str">
        <f>IFERROR(__xludf.DUMMYFUNCTION("""COMPUTED_VALUE"""),"NON KORGEN")</f>
        <v>NON KORGEN</v>
      </c>
      <c r="AE860" s="85" t="str">
        <f>IFERROR(__xludf.DUMMYFUNCTION("""COMPUTED_VALUE"""),"AGUNG ")</f>
        <v>AGUNG </v>
      </c>
      <c r="AF860" s="85" t="str">
        <f>IFERROR(__xludf.DUMMYFUNCTION("""COMPUTED_VALUE"""),"089619536231")</f>
        <v>089619536231</v>
      </c>
      <c r="AG860" s="85"/>
      <c r="AH860" s="85" t="str">
        <f>IFERROR(__xludf.DUMMYFUNCTION("""COMPUTED_VALUE"""),"umarmars@gmail.com")</f>
        <v>umarmars@gmail.com</v>
      </c>
      <c r="AI860" s="85" t="str">
        <f>IFERROR(__xludf.DUMMYFUNCTION("""COMPUTED_VALUE"""),"40153S4")</f>
        <v>40153S4</v>
      </c>
      <c r="AJ860" s="85" t="str">
        <f>IFERROR(__xludf.DUMMYFUNCTION("""COMPUTED_VALUE"""),"69b60bc4740d56ac180ee0e3")</f>
        <v>69b60bc4740d56ac180ee0e3</v>
      </c>
      <c r="AK860" s="85" t="str">
        <f>IFERROR(__xludf.DUMMYFUNCTION("""COMPUTED_VALUE"""),"umarmars@gmail.com")</f>
        <v>umarmars@gmail.com</v>
      </c>
      <c r="AL860" s="85" t="str">
        <f>IFERROR(__xludf.DUMMYFUNCTION("""COMPUTED_VALUE"""),"#Muc40153S4$")</f>
        <v>#Muc40153S4$</v>
      </c>
      <c r="AM860" s="85" t="str">
        <f>IFERROR(__xludf.DUMMYFUNCTION("""COMPUTED_VALUE"""),"KANTOR REGIONAL III BANDUNG 40004")</f>
        <v>KANTOR REGIONAL III BANDUNG 40004</v>
      </c>
      <c r="AN860" s="85" t="str">
        <f>IFERROR(__xludf.DUMMYFUNCTION("""COMPUTED_VALUE"""),"KCU BANDUNG 40000")</f>
        <v>KCU BANDUNG 40000</v>
      </c>
      <c r="AO860" s="85" t="str">
        <f>IFERROR(__xludf.DUMMYFUNCTION("""COMPUTED_VALUE"""),"2502250106189")</f>
        <v>2502250106189</v>
      </c>
      <c r="AP860" s="85" t="str">
        <f>IFERROR(__xludf.DUMMYFUNCTION("""COMPUTED_VALUE"""),"25022501061890001")</f>
        <v>25022501061890001</v>
      </c>
      <c r="AQ860" s="93"/>
      <c r="AR860" s="85"/>
      <c r="AS860" s="85"/>
      <c r="AT860" s="85" t="str">
        <f>IFERROR(__xludf.DUMMYFUNCTION("""COMPUTED_VALUE"""),"-6.8647725392979355")</f>
        <v>-6.8647725392979355</v>
      </c>
      <c r="AU860" s="85" t="str">
        <f>IFERROR(__xludf.DUMMYFUNCTION("""COMPUTED_VALUE"""),"107.58745925416186")</f>
        <v>107.58745925416186</v>
      </c>
      <c r="AV860" s="85"/>
      <c r="AW860" s="85"/>
      <c r="AX860" s="85"/>
      <c r="AY860" s="85"/>
      <c r="AZ860" s="85"/>
      <c r="BA860" s="85"/>
      <c r="BB860" s="85"/>
      <c r="BC860" s="85"/>
      <c r="BD860" s="85"/>
      <c r="BE860" s="85"/>
      <c r="BF860" s="85"/>
      <c r="BG860" s="85"/>
      <c r="BH860" s="85"/>
      <c r="BI860" s="85"/>
      <c r="BJ860" s="85"/>
      <c r="BK860" s="85"/>
      <c r="BL860" s="85"/>
      <c r="BM860" s="85"/>
      <c r="BN860" s="85"/>
      <c r="BO860" s="85"/>
      <c r="BP860" s="85"/>
      <c r="BQ860" s="85"/>
      <c r="BR860" s="85"/>
      <c r="BS860" s="85"/>
      <c r="BT860" s="85"/>
      <c r="BU860" s="85"/>
      <c r="BV860" s="85"/>
      <c r="BW860" s="85"/>
      <c r="BX860" s="85" t="str">
        <f>IFERROR(__xludf.DUMMYFUNCTION("""COMPUTED_VALUE"""),"NEWBIE")</f>
        <v>NEWBIE</v>
      </c>
      <c r="BY860" s="85"/>
      <c r="BZ860" s="85"/>
      <c r="CA860" s="85"/>
      <c r="CB860" s="85"/>
      <c r="CC860" s="85"/>
      <c r="CD860" s="85"/>
      <c r="CE860" s="85"/>
      <c r="CF860" s="85"/>
      <c r="CG860" s="85"/>
      <c r="CH860" s="85"/>
      <c r="CI860" s="85"/>
      <c r="CJ860" s="85"/>
      <c r="CK860" s="2"/>
    </row>
    <row r="861" ht="12.75" customHeight="1">
      <c r="A861" s="80">
        <f>IFERROR(__xludf.DUMMYFUNCTION("""COMPUTED_VALUE"""),857.0)</f>
        <v>857</v>
      </c>
      <c r="B861" s="80"/>
      <c r="C861" s="80"/>
      <c r="D861" s="81">
        <f>IFERROR(__xludf.DUMMYFUNCTION("""COMPUTED_VALUE"""),46085.0)</f>
        <v>46085</v>
      </c>
      <c r="E861" s="82"/>
      <c r="F861" s="80"/>
      <c r="G861" s="81">
        <f>IFERROR(__xludf.DUMMYFUNCTION("""COMPUTED_VALUE"""),46097.0)</f>
        <v>46097</v>
      </c>
      <c r="H861" s="80"/>
      <c r="I861" s="80"/>
      <c r="J861" s="80"/>
      <c r="K861" s="80"/>
      <c r="L861" s="80">
        <f>IFERROR(__xludf.DUMMYFUNCTION("""COMPUTED_VALUE"""),12.0)</f>
        <v>12</v>
      </c>
      <c r="M861" s="80" t="str">
        <f>IFERROR(__xludf.DUMMYFUNCTION("""COMPUTED_VALUE"""),"ü")</f>
        <v>ü</v>
      </c>
      <c r="N861" s="80"/>
      <c r="O861" s="80"/>
      <c r="P861" s="80" t="str">
        <f>IFERROR(__xludf.DUMMYFUNCTION("""COMPUTED_VALUE"""),"MUCSPA63387PSIND")</f>
        <v>MUCSPA63387PSIND</v>
      </c>
      <c r="Q861" s="80" t="str">
        <f>IFERROR(__xludf.DUMMYFUNCTION("""COMPUTED_VALUE"""),"MUC SAMBIREJO")</f>
        <v>MUC SAMBIREJO</v>
      </c>
      <c r="R861" s="80" t="str">
        <f>IFERROR(__xludf.DUMMYFUNCTION("""COMPUTED_VALUE"""),"MUC SAMBIREJO")</f>
        <v>MUC SAMBIREJO</v>
      </c>
      <c r="S861" s="80" t="str">
        <f>IFERROR(__xludf.DUMMYFUNCTION("""COMPUTED_VALUE"""),"SHIDDIQ NURUDDIIN")</f>
        <v>SHIDDIQ NURUDDIIN</v>
      </c>
      <c r="T861" s="80" t="str">
        <f>IFERROR(__xludf.DUMMYFUNCTION("""COMPUTED_VALUE"""),"JL. PANDASAR VII NO.07 RT.002 RW.008, SAMBIREJO, GAYAMSARI, KOTA SEMARANG")</f>
        <v>JL. PANDASAR VII NO.07 RT.002 RW.008, SAMBIREJO, GAYAMSARI, KOTA SEMARANG</v>
      </c>
      <c r="U861" s="80" t="str">
        <f>IFERROR(__xludf.DUMMYFUNCTION("""COMPUTED_VALUE"""),"Jl. Soekarno Hatta DEKAT PATUNG SOEKARNO HATTA")</f>
        <v>Jl. Soekarno Hatta DEKAT PATUNG SOEKARNO HATTA</v>
      </c>
      <c r="V861" s="80"/>
      <c r="W861" s="80" t="str">
        <f>IFERROR(__xludf.DUMMYFUNCTION("""COMPUTED_VALUE"""),"Sambirejo")</f>
        <v>Sambirejo</v>
      </c>
      <c r="X861" s="80" t="str">
        <f>IFERROR(__xludf.DUMMYFUNCTION("""COMPUTED_VALUE"""),"Gayamsari")</f>
        <v>Gayamsari</v>
      </c>
      <c r="Y861" s="80" t="str">
        <f>IFERROR(__xludf.DUMMYFUNCTION("""COMPUTED_VALUE"""),"Semarang")</f>
        <v>Semarang</v>
      </c>
      <c r="Z861" s="80" t="str">
        <f>IFERROR(__xludf.DUMMYFUNCTION("""COMPUTED_VALUE"""),"Jawa Tengah ")</f>
        <v>Jawa Tengah </v>
      </c>
      <c r="AA861" s="80" t="str">
        <f>IFERROR(__xludf.DUMMYFUNCTION("""COMPUTED_VALUE"""),"50166")</f>
        <v>50166</v>
      </c>
      <c r="AB861" s="80" t="str">
        <f>IFERROR(__xludf.DUMMYFUNCTION("""COMPUTED_VALUE"""),"3321041803880002")</f>
        <v>3321041803880002</v>
      </c>
      <c r="AC861" s="80" t="str">
        <f>IFERROR(__xludf.DUMMYFUNCTION("""COMPUTED_VALUE"""),"64.479.180.9-515.000")</f>
        <v>64.479.180.9-515.000</v>
      </c>
      <c r="AD861" s="80" t="str">
        <f>IFERROR(__xludf.DUMMYFUNCTION("""COMPUTED_VALUE"""),"CUM - PS - PDW")</f>
        <v>CUM - PS - PDW</v>
      </c>
      <c r="AE861" s="80" t="str">
        <f>IFERROR(__xludf.DUMMYFUNCTION("""COMPUTED_VALUE"""),"SUB BOWO POS")</f>
        <v>SUB BOWO POS</v>
      </c>
      <c r="AF861" s="80" t="str">
        <f>IFERROR(__xludf.DUMMYFUNCTION("""COMPUTED_VALUE"""),"085727696626")</f>
        <v>085727696626</v>
      </c>
      <c r="AG861" s="80"/>
      <c r="AH861" s="80" t="str">
        <f>IFERROR(__xludf.DUMMYFUNCTION("""COMPUTED_VALUE"""),"shiddiq.nuruddiin@gmail.com")</f>
        <v>shiddiq.nuruddiin@gmail.com</v>
      </c>
      <c r="AI861" s="80" t="str">
        <f>IFERROR(__xludf.DUMMYFUNCTION("""COMPUTED_VALUE"""),"50166S2")</f>
        <v>50166S2</v>
      </c>
      <c r="AJ861" s="80" t="str">
        <f>IFERROR(__xludf.DUMMYFUNCTION("""COMPUTED_VALUE"""),"69b536807cce2084e80f8697")</f>
        <v>69b536807cce2084e80f8697</v>
      </c>
      <c r="AK861" s="80" t="str">
        <f>IFERROR(__xludf.DUMMYFUNCTION("""COMPUTED_VALUE"""),"shiddiq.nuruddiin@gmail.com")</f>
        <v>shiddiq.nuruddiin@gmail.com</v>
      </c>
      <c r="AL861" s="80" t="str">
        <f>IFERROR(__xludf.DUMMYFUNCTION("""COMPUTED_VALUE"""),"#Muc50166S2$")</f>
        <v>#Muc50166S2$</v>
      </c>
      <c r="AM861" s="80" t="str">
        <f>IFERROR(__xludf.DUMMYFUNCTION("""COMPUTED_VALUE"""),"KANTOR REGIONAL IV SEMARANG 50004")</f>
        <v>KANTOR REGIONAL IV SEMARANG 50004</v>
      </c>
      <c r="AN861" s="80" t="str">
        <f>IFERROR(__xludf.DUMMYFUNCTION("""COMPUTED_VALUE"""),"KCU SEMARANG 50000")</f>
        <v>KCU SEMARANG 50000</v>
      </c>
      <c r="AO861" s="80" t="str">
        <f>IFERROR(__xludf.DUMMYFUNCTION("""COMPUTED_VALUE"""),"0403260093206")</f>
        <v>0403260093206</v>
      </c>
      <c r="AP861" s="80" t="str">
        <f>IFERROR(__xludf.DUMMYFUNCTION("""COMPUTED_VALUE"""),"04032600932060001")</f>
        <v>04032600932060001</v>
      </c>
      <c r="AQ861" s="83"/>
      <c r="AR861" s="80"/>
      <c r="AS861" s="80"/>
      <c r="AT861" s="80" t="str">
        <f>IFERROR(__xludf.DUMMYFUNCTION("""COMPUTED_VALUE"""),"-6.974918")</f>
        <v>-6.974918</v>
      </c>
      <c r="AU861" s="80" t="str">
        <f>IFERROR(__xludf.DUMMYFUNCTION("""COMPUTED_VALUE"""),"110.444753")</f>
        <v>110.444753</v>
      </c>
      <c r="AV861" s="80"/>
      <c r="AW861" s="80"/>
      <c r="AX861" s="80"/>
      <c r="AY861" s="80"/>
      <c r="AZ861" s="80"/>
      <c r="BA861" s="80"/>
      <c r="BB861" s="80"/>
      <c r="BC861" s="80"/>
      <c r="BD861" s="80"/>
      <c r="BE861" s="80"/>
      <c r="BF861" s="80"/>
      <c r="BG861" s="80"/>
      <c r="BH861" s="80"/>
      <c r="BI861" s="80"/>
      <c r="BJ861" s="80"/>
      <c r="BK861" s="80"/>
      <c r="BL861" s="80"/>
      <c r="BM861" s="80"/>
      <c r="BN861" s="80"/>
      <c r="BO861" s="80"/>
      <c r="BP861" s="80"/>
      <c r="BQ861" s="80"/>
      <c r="BR861" s="80"/>
      <c r="BS861" s="80"/>
      <c r="BT861" s="80"/>
      <c r="BU861" s="80"/>
      <c r="BV861" s="80"/>
      <c r="BW861" s="80"/>
      <c r="BX861" s="80" t="str">
        <f>IFERROR(__xludf.DUMMYFUNCTION("""COMPUTED_VALUE"""),"MULTIKURIR - LION PARCEL")</f>
        <v>MULTIKURIR - LION PARCEL</v>
      </c>
      <c r="BY861" s="80"/>
      <c r="BZ861" s="80"/>
      <c r="CA861" s="80"/>
      <c r="CB861" s="80"/>
      <c r="CC861" s="80"/>
      <c r="CD861" s="80"/>
      <c r="CE861" s="80"/>
      <c r="CF861" s="80"/>
      <c r="CG861" s="80"/>
      <c r="CH861" s="80"/>
      <c r="CI861" s="80"/>
      <c r="CJ861" s="80"/>
      <c r="CK861" s="2"/>
    </row>
    <row r="862" ht="12.75" customHeight="1">
      <c r="A862" s="85">
        <f>IFERROR(__xludf.DUMMYFUNCTION("""COMPUTED_VALUE"""),858.0)</f>
        <v>858</v>
      </c>
      <c r="B862" s="85"/>
      <c r="C862" s="85"/>
      <c r="D862" s="86">
        <f>IFERROR(__xludf.DUMMYFUNCTION("""COMPUTED_VALUE"""),46085.0)</f>
        <v>46085</v>
      </c>
      <c r="E862" s="88"/>
      <c r="F862" s="85"/>
      <c r="G862" s="86"/>
      <c r="H862" s="85"/>
      <c r="I862" s="85"/>
      <c r="J862" s="85"/>
      <c r="K862" s="85"/>
      <c r="L862" s="85"/>
      <c r="M862" s="85" t="str">
        <f>IFERROR(__xludf.DUMMYFUNCTION("""COMPUTED_VALUE"""),"ü")</f>
        <v>ü</v>
      </c>
      <c r="N862" s="85"/>
      <c r="O862" s="85"/>
      <c r="P862" s="85" t="str">
        <f>IFERROR(__xludf.DUMMYFUNCTION("""COMPUTED_VALUE"""),"52BSPA07804JTAMT")</f>
        <v>52BSPA07804JTAMT</v>
      </c>
      <c r="Q862" s="85" t="str">
        <f>IFERROR(__xludf.DUMMYFUNCTION("""COMPUTED_VALUE"""),"MUC MAM STORE")</f>
        <v>MUC MAM STORE</v>
      </c>
      <c r="R862" s="85" t="str">
        <f>IFERROR(__xludf.DUMMYFUNCTION("""COMPUTED_VALUE"""),"MUC MAM STORE")</f>
        <v>MUC MAM STORE</v>
      </c>
      <c r="S862" s="85" t="str">
        <f>IFERROR(__xludf.DUMMYFUNCTION("""COMPUTED_VALUE"""),"MAHMUDAH")</f>
        <v>MAHMUDAH</v>
      </c>
      <c r="T862" s="85" t="str">
        <f>IFERROR(__xludf.DUMMYFUNCTION("""COMPUTED_VALUE"""),"DK. BERGAT RT.002 RW.008, GEMBONG, GEMBONG, KAB. PATI")</f>
        <v>DK. BERGAT RT.002 RW.008, GEMBONG, GEMBONG, KAB. PATI</v>
      </c>
      <c r="U862" s="85" t="str">
        <f>IFERROR(__xludf.DUMMYFUNCTION("""COMPUTED_VALUE"""),"DK. BERGAT RT.002 RW.008")</f>
        <v>DK. BERGAT RT.002 RW.008</v>
      </c>
      <c r="V862" s="85"/>
      <c r="W862" s="85" t="str">
        <f>IFERROR(__xludf.DUMMYFUNCTION("""COMPUTED_VALUE"""),"Gembong")</f>
        <v>Gembong</v>
      </c>
      <c r="X862" s="85" t="str">
        <f>IFERROR(__xludf.DUMMYFUNCTION("""COMPUTED_VALUE"""),"Gembong")</f>
        <v>Gembong</v>
      </c>
      <c r="Y862" s="85" t="str">
        <f>IFERROR(__xludf.DUMMYFUNCTION("""COMPUTED_VALUE"""),"Kab. Pati")</f>
        <v>Kab. Pati</v>
      </c>
      <c r="Z862" s="85" t="str">
        <f>IFERROR(__xludf.DUMMYFUNCTION("""COMPUTED_VALUE"""),"Jawa Tengah")</f>
        <v>Jawa Tengah</v>
      </c>
      <c r="AA862" s="85" t="str">
        <f>IFERROR(__xludf.DUMMYFUNCTION("""COMPUTED_VALUE"""),"59162")</f>
        <v>59162</v>
      </c>
      <c r="AB862" s="85" t="str">
        <f>IFERROR(__xludf.DUMMYFUNCTION("""COMPUTED_VALUE"""),"3318136508910001")</f>
        <v>3318136508910001</v>
      </c>
      <c r="AC862" s="85" t="str">
        <f>IFERROR(__xludf.DUMMYFUNCTION("""COMPUTED_VALUE"""),"72.254.179.4-507.000")</f>
        <v>72.254.179.4-507.000</v>
      </c>
      <c r="AD862" s="85" t="str">
        <f>IFERROR(__xludf.DUMMYFUNCTION("""COMPUTED_VALUE"""),"CUM - AMT")</f>
        <v>CUM - AMT</v>
      </c>
      <c r="AE862" s="85" t="str">
        <f>IFERROR(__xludf.DUMMYFUNCTION("""COMPUTED_VALUE"""),"SUB AMINARTI")</f>
        <v>SUB AMINARTI</v>
      </c>
      <c r="AF862" s="85" t="str">
        <f>IFERROR(__xludf.DUMMYFUNCTION("""COMPUTED_VALUE"""),"087700345720")</f>
        <v>087700345720</v>
      </c>
      <c r="AG862" s="85"/>
      <c r="AH862" s="85" t="str">
        <f>IFERROR(__xludf.DUMMYFUNCTION("""COMPUTED_VALUE"""),"dapodikmahmudah@gmail.com")</f>
        <v>dapodikmahmudah@gmail.com</v>
      </c>
      <c r="AI862" s="85"/>
      <c r="AJ862" s="85"/>
      <c r="AK862" s="85"/>
      <c r="AL862" s="85"/>
      <c r="AM862" s="85" t="str">
        <f>IFERROR(__xludf.DUMMYFUNCTION("""COMPUTED_VALUE"""),"KANTOR REGIONAL IV SEMARANG 50004")</f>
        <v>KANTOR REGIONAL IV SEMARANG 50004</v>
      </c>
      <c r="AN862" s="85" t="str">
        <f>IFERROR(__xludf.DUMMYFUNCTION("""COMPUTED_VALUE"""),"KC PATI 59100")</f>
        <v>KC PATI 59100</v>
      </c>
      <c r="AO862" s="85" t="str">
        <f>IFERROR(__xludf.DUMMYFUNCTION("""COMPUTED_VALUE"""),"0403260102195")</f>
        <v>0403260102195</v>
      </c>
      <c r="AP862" s="85" t="str">
        <f>IFERROR(__xludf.DUMMYFUNCTION("""COMPUTED_VALUE"""),"04032601021950001")</f>
        <v>04032601021950001</v>
      </c>
      <c r="AQ862" s="93"/>
      <c r="AR862" s="85"/>
      <c r="AS862" s="85"/>
      <c r="AT862" s="85" t="str">
        <f>IFERROR(__xludf.DUMMYFUNCTION("""COMPUTED_VALUE"""),"-6.711653")</f>
        <v>-6.711653</v>
      </c>
      <c r="AU862" s="85" t="str">
        <f>IFERROR(__xludf.DUMMYFUNCTION("""COMPUTED_VALUE"""),"110.943757")</f>
        <v>110.943757</v>
      </c>
      <c r="AV862" s="85"/>
      <c r="AW862" s="85"/>
      <c r="AX862" s="85"/>
      <c r="AY862" s="85"/>
      <c r="AZ862" s="85"/>
      <c r="BA862" s="85"/>
      <c r="BB862" s="85"/>
      <c r="BC862" s="85"/>
      <c r="BD862" s="85"/>
      <c r="BE862" s="85"/>
      <c r="BF862" s="85"/>
      <c r="BG862" s="85"/>
      <c r="BH862" s="85"/>
      <c r="BI862" s="85"/>
      <c r="BJ862" s="85"/>
      <c r="BK862" s="85"/>
      <c r="BL862" s="85"/>
      <c r="BM862" s="85"/>
      <c r="BN862" s="85"/>
      <c r="BO862" s="85"/>
      <c r="BP862" s="85"/>
      <c r="BQ862" s="85"/>
      <c r="BR862" s="85"/>
      <c r="BS862" s="85"/>
      <c r="BT862" s="85"/>
      <c r="BU862" s="85"/>
      <c r="BV862" s="85"/>
      <c r="BW862" s="85"/>
      <c r="BX862" s="85" t="str">
        <f>IFERROR(__xludf.DUMMYFUNCTION("""COMPUTED_VALUE"""),"NEWBIE")</f>
        <v>NEWBIE</v>
      </c>
      <c r="BY862" s="85"/>
      <c r="BZ862" s="85"/>
      <c r="CA862" s="85"/>
      <c r="CB862" s="85"/>
      <c r="CC862" s="85"/>
      <c r="CD862" s="85"/>
      <c r="CE862" s="85"/>
      <c r="CF862" s="85"/>
      <c r="CG862" s="85"/>
      <c r="CH862" s="85"/>
      <c r="CI862" s="85"/>
      <c r="CJ862" s="85"/>
      <c r="CK862" s="2"/>
    </row>
    <row r="863" ht="12.75" customHeight="1">
      <c r="A863" s="80">
        <f>IFERROR(__xludf.DUMMYFUNCTION("""COMPUTED_VALUE"""),859.0)</f>
        <v>859</v>
      </c>
      <c r="B863" s="80"/>
      <c r="C863" s="80"/>
      <c r="D863" s="81">
        <f>IFERROR(__xludf.DUMMYFUNCTION("""COMPUTED_VALUE"""),46085.0)</f>
        <v>46085</v>
      </c>
      <c r="E863" s="82"/>
      <c r="F863" s="80"/>
      <c r="G863" s="81">
        <f>IFERROR(__xludf.DUMMYFUNCTION("""COMPUTED_VALUE"""),46113.0)</f>
        <v>46113</v>
      </c>
      <c r="H863" s="80"/>
      <c r="I863" s="80"/>
      <c r="J863" s="80"/>
      <c r="K863" s="80"/>
      <c r="L863" s="80">
        <f>IFERROR(__xludf.DUMMYFUNCTION("""COMPUTED_VALUE"""),28.0)</f>
        <v>28</v>
      </c>
      <c r="M863" s="80" t="str">
        <f>IFERROR(__xludf.DUMMYFUNCTION("""COMPUTED_VALUE"""),"ü")</f>
        <v>ü</v>
      </c>
      <c r="N863" s="80"/>
      <c r="O863" s="80"/>
      <c r="P863" s="80" t="str">
        <f>IFERROR(__xludf.DUMMYFUNCTION("""COMPUTED_VALUE"""),"53BSPA09903JBEEN")</f>
        <v>53BSPA09903JBEEN</v>
      </c>
      <c r="Q863" s="80" t="str">
        <f>IFERROR(__xludf.DUMMYFUNCTION("""COMPUTED_VALUE"""),"MUC Tonggong Londok")</f>
        <v>MUC Tonggong Londok</v>
      </c>
      <c r="R863" s="80" t="str">
        <f>IFERROR(__xludf.DUMMYFUNCTION("""COMPUTED_VALUE"""),"MUC Tonggong Londok")</f>
        <v>MUC Tonggong Londok</v>
      </c>
      <c r="S863" s="80" t="str">
        <f>IFERROR(__xludf.DUMMYFUNCTION("""COMPUTED_VALUE"""),"MOHAMAD RISQI TRIANTORO")</f>
        <v>MOHAMAD RISQI TRIANTORO</v>
      </c>
      <c r="T863" s="80" t="str">
        <f>IFERROR(__xludf.DUMMYFUNCTION("""COMPUTED_VALUE"""),"PRUM GRIYA BEKASI PERMAI 1 BLOK G.10 NO.05 RT.010 RW.011,")</f>
        <v>PRUM GRIYA BEKASI PERMAI 1 BLOK G.10 NO.05 RT.010 RW.011,</v>
      </c>
      <c r="U863" s="80" t="str">
        <f>IFERROR(__xludf.DUMMYFUNCTION("""COMPUTED_VALUE"""),"Jl Raya tonggong londok, Kp rawa atug")</f>
        <v>Jl Raya tonggong londok, Kp rawa atug</v>
      </c>
      <c r="V863" s="80"/>
      <c r="W863" s="80" t="str">
        <f>IFERROR(__xludf.DUMMYFUNCTION("""COMPUTED_VALUE"""),"Cibening")</f>
        <v>Cibening</v>
      </c>
      <c r="X863" s="80" t="str">
        <f>IFERROR(__xludf.DUMMYFUNCTION("""COMPUTED_VALUE"""),"Setu")</f>
        <v>Setu</v>
      </c>
      <c r="Y863" s="80" t="str">
        <f>IFERROR(__xludf.DUMMYFUNCTION("""COMPUTED_VALUE"""),"Kabupaten Bekasi")</f>
        <v>Kabupaten Bekasi</v>
      </c>
      <c r="Z863" s="80" t="str">
        <f>IFERROR(__xludf.DUMMYFUNCTION("""COMPUTED_VALUE"""),"Jawa Barat ")</f>
        <v>Jawa Barat </v>
      </c>
      <c r="AA863" s="80" t="str">
        <f>IFERROR(__xludf.DUMMYFUNCTION("""COMPUTED_VALUE"""),"17320")</f>
        <v>17320</v>
      </c>
      <c r="AB863" s="80" t="str">
        <f>IFERROR(__xludf.DUMMYFUNCTION("""COMPUTED_VALUE"""),"3305120512860007")</f>
        <v>3305120512860007</v>
      </c>
      <c r="AC863" s="80" t="str">
        <f>IFERROR(__xludf.DUMMYFUNCTION("""COMPUTED_VALUE"""),"57.974.809.6-435.000")</f>
        <v>57.974.809.6-435.000</v>
      </c>
      <c r="AD863" s="80" t="str">
        <f>IFERROR(__xludf.DUMMYFUNCTION("""COMPUTED_VALUE"""),"CUM - EEN")</f>
        <v>CUM - EEN</v>
      </c>
      <c r="AE863" s="80" t="str">
        <f>IFERROR(__xludf.DUMMYFUNCTION("""COMPUTED_VALUE"""),"SUB EEN")</f>
        <v>SUB EEN</v>
      </c>
      <c r="AF863" s="80" t="str">
        <f>IFERROR(__xludf.DUMMYFUNCTION("""COMPUTED_VALUE"""),"088294630040")</f>
        <v>088294630040</v>
      </c>
      <c r="AG863" s="80"/>
      <c r="AH863" s="80" t="str">
        <f>IFERROR(__xludf.DUMMYFUNCTION("""COMPUTED_VALUE"""),"risqitriantoro73@gmail.com")</f>
        <v>risqitriantoro73@gmail.com</v>
      </c>
      <c r="AI863" s="80" t="str">
        <f>IFERROR(__xludf.DUMMYFUNCTION("""COMPUTED_VALUE"""),"17329S3")</f>
        <v>17329S3</v>
      </c>
      <c r="AJ863" s="80" t="str">
        <f>IFERROR(__xludf.DUMMYFUNCTION("""COMPUTED_VALUE"""),"69cca0394d95cd490b097d97")</f>
        <v>69cca0394d95cd490b097d97</v>
      </c>
      <c r="AK863" s="80" t="str">
        <f>IFERROR(__xludf.DUMMYFUNCTION("""COMPUTED_VALUE"""),"risqitriantoro73@gmail.com")</f>
        <v>risqitriantoro73@gmail.com</v>
      </c>
      <c r="AL863" s="80" t="str">
        <f>IFERROR(__xludf.DUMMYFUNCTION("""COMPUTED_VALUE"""),"#Muc17329S3$")</f>
        <v>#Muc17329S3$</v>
      </c>
      <c r="AM863" s="80" t="str">
        <f>IFERROR(__xludf.DUMMYFUNCTION("""COMPUTED_VALUE"""),"KANTOR REGIONAL II JAKARTA 10004")</f>
        <v>KANTOR REGIONAL II JAKARTA 10004</v>
      </c>
      <c r="AN863" s="80" t="str">
        <f>IFERROR(__xludf.DUMMYFUNCTION("""COMPUTED_VALUE"""),"KC CIKARANG 17500")</f>
        <v>KC CIKARANG 17500</v>
      </c>
      <c r="AO863" s="80" t="str">
        <f>IFERROR(__xludf.DUMMYFUNCTION("""COMPUTED_VALUE"""),"3007250113087")</f>
        <v>3007250113087</v>
      </c>
      <c r="AP863" s="80" t="str">
        <f>IFERROR(__xludf.DUMMYFUNCTION("""COMPUTED_VALUE"""),"30072501130870001")</f>
        <v>30072501130870001</v>
      </c>
      <c r="AQ863" s="83"/>
      <c r="AR863" s="80"/>
      <c r="AS863" s="80"/>
      <c r="AT863" s="80" t="str">
        <f>IFERROR(__xludf.DUMMYFUNCTION("""COMPUTED_VALUE"""),"-6.3487382")</f>
        <v>-6.3487382</v>
      </c>
      <c r="AU863" s="80" t="str">
        <f>IFERROR(__xludf.DUMMYFUNCTION("""COMPUTED_VALUE"""),"107.0532515")</f>
        <v>107.0532515</v>
      </c>
      <c r="AV863" s="80"/>
      <c r="AW863" s="80"/>
      <c r="AX863" s="80"/>
      <c r="AY863" s="80"/>
      <c r="AZ863" s="80"/>
      <c r="BA863" s="80"/>
      <c r="BB863" s="80"/>
      <c r="BC863" s="80"/>
      <c r="BD863" s="80"/>
      <c r="BE863" s="80"/>
      <c r="BF863" s="80"/>
      <c r="BG863" s="80"/>
      <c r="BH863" s="80"/>
      <c r="BI863" s="80"/>
      <c r="BJ863" s="80"/>
      <c r="BK863" s="80"/>
      <c r="BL863" s="80"/>
      <c r="BM863" s="80"/>
      <c r="BN863" s="80"/>
      <c r="BO863" s="80"/>
      <c r="BP863" s="80"/>
      <c r="BQ863" s="80"/>
      <c r="BR863" s="80"/>
      <c r="BS863" s="80"/>
      <c r="BT863" s="80"/>
      <c r="BU863" s="80"/>
      <c r="BV863" s="80"/>
      <c r="BW863" s="80"/>
      <c r="BX863" s="80" t="str">
        <f>IFERROR(__xludf.DUMMYFUNCTION("""COMPUTED_VALUE"""),"MULTIKURIR - LION PARCEL")</f>
        <v>MULTIKURIR - LION PARCEL</v>
      </c>
      <c r="BY863" s="80"/>
      <c r="BZ863" s="80"/>
      <c r="CA863" s="80"/>
      <c r="CB863" s="80"/>
      <c r="CC863" s="80"/>
      <c r="CD863" s="80"/>
      <c r="CE863" s="80"/>
      <c r="CF863" s="80"/>
      <c r="CG863" s="80"/>
      <c r="CH863" s="80"/>
      <c r="CI863" s="80"/>
      <c r="CJ863" s="80"/>
      <c r="CK863" s="2"/>
    </row>
    <row r="864" ht="12.75" customHeight="1">
      <c r="A864" s="85">
        <f>IFERROR(__xludf.DUMMYFUNCTION("""COMPUTED_VALUE"""),860.0)</f>
        <v>860</v>
      </c>
      <c r="B864" s="85"/>
      <c r="C864" s="85"/>
      <c r="D864" s="86">
        <f>IFERROR(__xludf.DUMMYFUNCTION("""COMPUTED_VALUE"""),46085.0)</f>
        <v>46085</v>
      </c>
      <c r="E864" s="88"/>
      <c r="F864" s="85"/>
      <c r="G864" s="86"/>
      <c r="H864" s="85"/>
      <c r="I864" s="85"/>
      <c r="J864" s="85"/>
      <c r="K864" s="85"/>
      <c r="L864" s="85"/>
      <c r="M864" s="85"/>
      <c r="N864" s="85" t="str">
        <f>IFERROR(__xludf.DUMMYFUNCTION("""COMPUTED_VALUE"""),"ü")</f>
        <v>ü</v>
      </c>
      <c r="O864" s="85"/>
      <c r="P864" s="85" t="str">
        <f>IFERROR(__xludf.DUMMYFUNCTION("""COMPUTED_VALUE"""),"MLO5500074CUMPOS")</f>
        <v>MLO5500074CUMPOS</v>
      </c>
      <c r="Q864" s="85" t="str">
        <f>IFERROR(__xludf.DUMMYFUNCTION("""COMPUTED_VALUE"""),"MLO MUC BINTARO")</f>
        <v>MLO MUC BINTARO</v>
      </c>
      <c r="R864" s="85" t="str">
        <f>IFERROR(__xludf.DUMMYFUNCTION("""COMPUTED_VALUE"""),"MLO MUC BINTARO")</f>
        <v>MLO MUC BINTARO</v>
      </c>
      <c r="S864" s="85"/>
      <c r="T864" s="85"/>
      <c r="U864" s="85" t="str">
        <f>IFERROR(__xludf.DUMMYFUNCTION("""COMPUTED_VALUE"""),"JL. KUCICA II BLOK JG.5/17 RT.002 RW.011")</f>
        <v>JL. KUCICA II BLOK JG.5/17 RT.002 RW.011</v>
      </c>
      <c r="V864" s="85"/>
      <c r="W864" s="85" t="str">
        <f>IFERROR(__xludf.DUMMYFUNCTION("""COMPUTED_VALUE"""),"Pondok Pucung")</f>
        <v>Pondok Pucung</v>
      </c>
      <c r="X864" s="85" t="str">
        <f>IFERROR(__xludf.DUMMYFUNCTION("""COMPUTED_VALUE"""),"Pondok Aren")</f>
        <v>Pondok Aren</v>
      </c>
      <c r="Y864" s="85" t="str">
        <f>IFERROR(__xludf.DUMMYFUNCTION("""COMPUTED_VALUE"""),"Tangerang Selatan")</f>
        <v>Tangerang Selatan</v>
      </c>
      <c r="Z864" s="85" t="str">
        <f>IFERROR(__xludf.DUMMYFUNCTION("""COMPUTED_VALUE"""),"Banten")</f>
        <v>Banten</v>
      </c>
      <c r="AA864" s="85" t="str">
        <f>IFERROR(__xludf.DUMMYFUNCTION("""COMPUTED_VALUE"""),"15229")</f>
        <v>15229</v>
      </c>
      <c r="AB864" s="85" t="str">
        <f>IFERROR(__xludf.DUMMYFUNCTION("""COMPUTED_VALUE"""),"3674032411670004")</f>
        <v>3674032411670004</v>
      </c>
      <c r="AC864" s="85" t="str">
        <f>IFERROR(__xludf.DUMMYFUNCTION("""COMPUTED_VALUE"""),"09.321.158.9-411.000")</f>
        <v>09.321.158.9-411.000</v>
      </c>
      <c r="AD864" s="85" t="str">
        <f>IFERROR(__xludf.DUMMYFUNCTION("""COMPUTED_VALUE"""),"0")</f>
        <v>0</v>
      </c>
      <c r="AE864" s="85" t="str">
        <f>IFERROR(__xludf.DUMMYFUNCTION("""COMPUTED_VALUE"""),"0")</f>
        <v>0</v>
      </c>
      <c r="AF864" s="85" t="str">
        <f>IFERROR(__xludf.DUMMYFUNCTION("""COMPUTED_VALUE"""),"628159100301")</f>
        <v>628159100301</v>
      </c>
      <c r="AG864" s="85"/>
      <c r="AH864" s="85" t="str">
        <f>IFERROR(__xludf.DUMMYFUNCTION("""COMPUTED_VALUE"""),"mushoniftcm@gmail.com")</f>
        <v>mushoniftcm@gmail.com</v>
      </c>
      <c r="AI864" s="85"/>
      <c r="AJ864" s="85"/>
      <c r="AK864" s="85"/>
      <c r="AL864" s="85"/>
      <c r="AM864" s="85" t="str">
        <f>IFERROR(__xludf.DUMMYFUNCTION("""COMPUTED_VALUE"""),"KANTOR REGIONAL II JAKARTA 10004")</f>
        <v>KANTOR REGIONAL II JAKARTA 10004</v>
      </c>
      <c r="AN864" s="85" t="str">
        <f>IFERROR(__xludf.DUMMYFUNCTION("""COMPUTED_VALUE"""),"KC TANGERANG SELATAN")</f>
        <v>KC TANGERANG SELATAN</v>
      </c>
      <c r="AO864" s="85" t="str">
        <f>IFERROR(__xludf.DUMMYFUNCTION("""COMPUTED_VALUE"""),"0285010122049")</f>
        <v>0285010122049</v>
      </c>
      <c r="AP864" s="85" t="str">
        <f>IFERROR(__xludf.DUMMYFUNCTION("""COMPUTED_VALUE"""),"0285010122049")</f>
        <v>0285010122049</v>
      </c>
      <c r="AQ864" s="93"/>
      <c r="AR864" s="85"/>
      <c r="AS864" s="85"/>
      <c r="AT864" s="85" t="str">
        <f>IFERROR(__xludf.DUMMYFUNCTION("""COMPUTED_VALUE"""),"-6.287477")</f>
        <v>-6.287477</v>
      </c>
      <c r="AU864" s="85" t="str">
        <f>IFERROR(__xludf.DUMMYFUNCTION("""COMPUTED_VALUE"""),"106.710964")</f>
        <v>106.710964</v>
      </c>
      <c r="AV864" s="85"/>
      <c r="AW864" s="85"/>
      <c r="AX864" s="85"/>
      <c r="AY864" s="85"/>
      <c r="AZ864" s="85"/>
      <c r="BA864" s="85"/>
      <c r="BB864" s="85"/>
      <c r="BC864" s="85"/>
      <c r="BD864" s="85"/>
      <c r="BE864" s="85"/>
      <c r="BF864" s="85"/>
      <c r="BG864" s="85"/>
      <c r="BH864" s="85"/>
      <c r="BI864" s="85"/>
      <c r="BJ864" s="85"/>
      <c r="BK864" s="85"/>
      <c r="BL864" s="85"/>
      <c r="BM864" s="85"/>
      <c r="BN864" s="85"/>
      <c r="BO864" s="85"/>
      <c r="BP864" s="85"/>
      <c r="BQ864" s="85"/>
      <c r="BR864" s="85"/>
      <c r="BS864" s="85"/>
      <c r="BT864" s="85"/>
      <c r="BU864" s="85"/>
      <c r="BV864" s="85"/>
      <c r="BW864" s="85"/>
      <c r="BX864" s="85" t="str">
        <f>IFERROR(__xludf.DUMMYFUNCTION("""COMPUTED_VALUE"""),"-")</f>
        <v>-</v>
      </c>
      <c r="BY864" s="85"/>
      <c r="BZ864" s="85"/>
      <c r="CA864" s="85"/>
      <c r="CB864" s="85"/>
      <c r="CC864" s="85"/>
      <c r="CD864" s="85"/>
      <c r="CE864" s="85"/>
      <c r="CF864" s="85"/>
      <c r="CG864" s="85"/>
      <c r="CH864" s="85"/>
      <c r="CI864" s="85"/>
      <c r="CJ864" s="85"/>
      <c r="CK864" s="2"/>
    </row>
    <row r="865" ht="12.75" customHeight="1">
      <c r="A865" s="80">
        <f>IFERROR(__xludf.DUMMYFUNCTION("""COMPUTED_VALUE"""),861.0)</f>
        <v>861</v>
      </c>
      <c r="B865" s="80"/>
      <c r="C865" s="80"/>
      <c r="D865" s="81">
        <f>IFERROR(__xludf.DUMMYFUNCTION("""COMPUTED_VALUE"""),46086.0)</f>
        <v>46086</v>
      </c>
      <c r="E865" s="82"/>
      <c r="F865" s="80"/>
      <c r="G865" s="81">
        <f>IFERROR(__xludf.DUMMYFUNCTION("""COMPUTED_VALUE"""),46097.0)</f>
        <v>46097</v>
      </c>
      <c r="H865" s="80"/>
      <c r="I865" s="80"/>
      <c r="J865" s="80"/>
      <c r="K865" s="80"/>
      <c r="L865" s="80">
        <f>IFERROR(__xludf.DUMMYFUNCTION("""COMPUTED_VALUE"""),11.0)</f>
        <v>11</v>
      </c>
      <c r="M865" s="80" t="str">
        <f>IFERROR(__xludf.DUMMYFUNCTION("""COMPUTED_VALUE"""),"ü")</f>
        <v>ü</v>
      </c>
      <c r="N865" s="80"/>
      <c r="O865" s="80"/>
      <c r="P865" s="80" t="str">
        <f>IFERROR(__xludf.DUMMYFUNCTION("""COMPUTED_VALUE"""),"53BSPA09912JBNDS")</f>
        <v>53BSPA09912JBNDS</v>
      </c>
      <c r="Q865" s="80" t="str">
        <f>IFERROR(__xludf.DUMMYFUNCTION("""COMPUTED_VALUE"""),"MUC FADHILAHBERKAH")</f>
        <v>MUC FADHILAHBERKAH</v>
      </c>
      <c r="R865" s="80" t="str">
        <f>IFERROR(__xludf.DUMMYFUNCTION("""COMPUTED_VALUE"""),"MUC FADHILAHBERKAH")</f>
        <v>MUC FADHILAHBERKAH</v>
      </c>
      <c r="S865" s="80" t="str">
        <f>IFERROR(__xludf.DUMMYFUNCTION("""COMPUTED_VALUE"""),"SUWANDI")</f>
        <v>SUWANDI</v>
      </c>
      <c r="T865" s="80" t="str">
        <f>IFERROR(__xludf.DUMMYFUNCTION("""COMPUTED_VALUE"""),"BANCAK2 RT03/05, GEBYOG, MOJOGEDANG, KARANGANYAR")</f>
        <v>BANCAK2 RT03/05, GEBYOG, MOJOGEDANG, KARANGANYAR</v>
      </c>
      <c r="U865" s="80" t="str">
        <f>IFERROR(__xludf.DUMMYFUNCTION("""COMPUTED_VALUE"""),"BANCAK 2")</f>
        <v>BANCAK 2</v>
      </c>
      <c r="V865" s="80"/>
      <c r="W865" s="80" t="str">
        <f>IFERROR(__xludf.DUMMYFUNCTION("""COMPUTED_VALUE"""),"GEBYOG")</f>
        <v>GEBYOG</v>
      </c>
      <c r="X865" s="80" t="str">
        <f>IFERROR(__xludf.DUMMYFUNCTION("""COMPUTED_VALUE"""),"MOJOGEDANG")</f>
        <v>MOJOGEDANG</v>
      </c>
      <c r="Y865" s="80" t="str">
        <f>IFERROR(__xludf.DUMMYFUNCTION("""COMPUTED_VALUE"""),"KARANGANYAR")</f>
        <v>KARANGANYAR</v>
      </c>
      <c r="Z865" s="80" t="str">
        <f>IFERROR(__xludf.DUMMYFUNCTION("""COMPUTED_VALUE"""),"JAWATENGAH")</f>
        <v>JAWATENGAH</v>
      </c>
      <c r="AA865" s="80" t="str">
        <f>IFERROR(__xludf.DUMMYFUNCTION("""COMPUTED_VALUE"""),"55752")</f>
        <v>55752</v>
      </c>
      <c r="AB865" s="80" t="str">
        <f>IFERROR(__xludf.DUMMYFUNCTION("""COMPUTED_VALUE"""),"3313152207810001")</f>
        <v>3313152207810001</v>
      </c>
      <c r="AC865" s="80" t="str">
        <f>IFERROR(__xludf.DUMMYFUNCTION("""COMPUTED_VALUE"""),"92.949.050.6-528.000")</f>
        <v>92.949.050.6-528.000</v>
      </c>
      <c r="AD865" s="80" t="str">
        <f>IFERROR(__xludf.DUMMYFUNCTION("""COMPUTED_VALUE"""),"CUM - NDS")</f>
        <v>CUM - NDS</v>
      </c>
      <c r="AE865" s="80" t="str">
        <f>IFERROR(__xludf.DUMMYFUNCTION("""COMPUTED_VALUE"""),"SUB NURUL DIMAS")</f>
        <v>SUB NURUL DIMAS</v>
      </c>
      <c r="AF865" s="80" t="str">
        <f>IFERROR(__xludf.DUMMYFUNCTION("""COMPUTED_VALUE"""),"0882003806003")</f>
        <v>0882003806003</v>
      </c>
      <c r="AG865" s="80"/>
      <c r="AH865" s="80" t="str">
        <f>IFERROR(__xludf.DUMMYFUNCTION("""COMPUTED_VALUE"""),"FADHILAHSHOP42@gmail.com")</f>
        <v>FADHILAHSHOP42@gmail.com</v>
      </c>
      <c r="AI865" s="80" t="str">
        <f>IFERROR(__xludf.DUMMYFUNCTION("""COMPUTED_VALUE"""),"57752S3")</f>
        <v>57752S3</v>
      </c>
      <c r="AJ865" s="80" t="str">
        <f>IFERROR(__xludf.DUMMYFUNCTION("""COMPUTED_VALUE"""),"69b525f099eefd38fc059c54")</f>
        <v>69b525f099eefd38fc059c54</v>
      </c>
      <c r="AK865" s="80" t="str">
        <f>IFERROR(__xludf.DUMMYFUNCTION("""COMPUTED_VALUE"""),"FADHILAHSHOP42@gmail.com")</f>
        <v>FADHILAHSHOP42@gmail.com</v>
      </c>
      <c r="AL865" s="80" t="str">
        <f>IFERROR(__xludf.DUMMYFUNCTION("""COMPUTED_VALUE"""),"#Muc57752S3$")</f>
        <v>#Muc57752S3$</v>
      </c>
      <c r="AM865" s="80" t="str">
        <f>IFERROR(__xludf.DUMMYFUNCTION("""COMPUTED_VALUE"""),"KANTOR REGIONAL IV SEMARANG 50004")</f>
        <v>KANTOR REGIONAL IV SEMARANG 50004</v>
      </c>
      <c r="AN865" s="80" t="str">
        <f>IFERROR(__xludf.DUMMYFUNCTION("""COMPUTED_VALUE"""),"KC KARANGANYAR")</f>
        <v>KC KARANGANYAR</v>
      </c>
      <c r="AO865" s="80" t="str">
        <f>IFERROR(__xludf.DUMMYFUNCTION("""COMPUTED_VALUE"""),"0503260129492")</f>
        <v>0503260129492</v>
      </c>
      <c r="AP865" s="80" t="str">
        <f>IFERROR(__xludf.DUMMYFUNCTION("""COMPUTED_VALUE"""),"05032601294920001")</f>
        <v>05032601294920001</v>
      </c>
      <c r="AQ865" s="83"/>
      <c r="AR865" s="80"/>
      <c r="AS865" s="80"/>
      <c r="AT865" s="80" t="str">
        <f>IFERROR(__xludf.DUMMYFUNCTION("""COMPUTED_VALUE"""),"-7.545310")</f>
        <v>-7.545310</v>
      </c>
      <c r="AU865" s="80" t="str">
        <f>IFERROR(__xludf.DUMMYFUNCTION("""COMPUTED_VALUE"""),"110.994726")</f>
        <v>110.994726</v>
      </c>
      <c r="AV865" s="80"/>
      <c r="AW865" s="80"/>
      <c r="AX865" s="80"/>
      <c r="AY865" s="80"/>
      <c r="AZ865" s="80"/>
      <c r="BA865" s="80"/>
      <c r="BB865" s="80"/>
      <c r="BC865" s="80"/>
      <c r="BD865" s="80"/>
      <c r="BE865" s="80"/>
      <c r="BF865" s="80"/>
      <c r="BG865" s="80"/>
      <c r="BH865" s="80"/>
      <c r="BI865" s="80"/>
      <c r="BJ865" s="80"/>
      <c r="BK865" s="80"/>
      <c r="BL865" s="80"/>
      <c r="BM865" s="80"/>
      <c r="BN865" s="80"/>
      <c r="BO865" s="80"/>
      <c r="BP865" s="80"/>
      <c r="BQ865" s="80"/>
      <c r="BR865" s="80"/>
      <c r="BS865" s="80"/>
      <c r="BT865" s="80"/>
      <c r="BU865" s="80"/>
      <c r="BV865" s="80"/>
      <c r="BW865" s="80"/>
      <c r="BX865" s="80" t="str">
        <f>IFERROR(__xludf.DUMMYFUNCTION("""COMPUTED_VALUE"""),"MULTIKURIR - SPX")</f>
        <v>MULTIKURIR - SPX</v>
      </c>
      <c r="BY865" s="80"/>
      <c r="BZ865" s="80"/>
      <c r="CA865" s="80"/>
      <c r="CB865" s="80"/>
      <c r="CC865" s="80"/>
      <c r="CD865" s="80"/>
      <c r="CE865" s="80"/>
      <c r="CF865" s="80"/>
      <c r="CG865" s="80"/>
      <c r="CH865" s="80"/>
      <c r="CI865" s="80"/>
      <c r="CJ865" s="80"/>
      <c r="CK865" s="2"/>
    </row>
    <row r="866" ht="12.75" customHeight="1">
      <c r="A866" s="85">
        <f>IFERROR(__xludf.DUMMYFUNCTION("""COMPUTED_VALUE"""),862.0)</f>
        <v>862</v>
      </c>
      <c r="B866" s="85"/>
      <c r="C866" s="85"/>
      <c r="D866" s="86">
        <f>IFERROR(__xludf.DUMMYFUNCTION("""COMPUTED_VALUE"""),46087.0)</f>
        <v>46087</v>
      </c>
      <c r="E866" s="88"/>
      <c r="F866" s="85"/>
      <c r="G866" s="86">
        <f>IFERROR(__xludf.DUMMYFUNCTION("""COMPUTED_VALUE"""),46090.0)</f>
        <v>46090</v>
      </c>
      <c r="H866" s="85"/>
      <c r="I866" s="85"/>
      <c r="J866" s="85"/>
      <c r="K866" s="85"/>
      <c r="L866" s="85">
        <f>IFERROR(__xludf.DUMMYFUNCTION("""COMPUTED_VALUE"""),3.0)</f>
        <v>3</v>
      </c>
      <c r="M866" s="85"/>
      <c r="N866" s="85" t="str">
        <f>IFERROR(__xludf.DUMMYFUNCTION("""COMPUTED_VALUE"""),"ü")</f>
        <v>ü</v>
      </c>
      <c r="O866" s="85"/>
      <c r="P866" s="85" t="str">
        <f>IFERROR(__xludf.DUMMYFUNCTION("""COMPUTED_VALUE"""),"MLO5500075CUMPOS")</f>
        <v>MLO5500075CUMPOS</v>
      </c>
      <c r="Q866" s="85" t="str">
        <f>IFERROR(__xludf.DUMMYFUNCTION("""COMPUTED_VALUE"""),"MUC ATHASA")</f>
        <v>MUC ATHASA</v>
      </c>
      <c r="R866" s="85" t="str">
        <f>IFERROR(__xludf.DUMMYFUNCTION("""COMPUTED_VALUE"""),"MUC ATHASA")</f>
        <v>MUC ATHASA</v>
      </c>
      <c r="S866" s="85" t="str">
        <f>IFERROR(__xludf.DUMMYFUNCTION("""COMPUTED_VALUE"""),"WAN UMAR")</f>
        <v>WAN UMAR</v>
      </c>
      <c r="T866" s="85" t="str">
        <f>IFERROR(__xludf.DUMMYFUNCTION("""COMPUTED_VALUE"""),"JL. TIRTA RIA NO.1 RT.007 RW.000, WAY KANDIS, TANJUNG SENANG, KOTA BANDAR LAMPUNG ")</f>
        <v>JL. TIRTA RIA NO.1 RT.007 RW.000, WAY KANDIS, TANJUNG SENANG, KOTA BANDAR LAMPUNG </v>
      </c>
      <c r="U866" s="85" t="str">
        <f>IFERROR(__xludf.DUMMYFUNCTION("""COMPUTED_VALUE"""),"Jl Ratu di balau gg Slamet no 14 ")</f>
        <v>Jl Ratu di balau gg Slamet no 14 </v>
      </c>
      <c r="V866" s="85"/>
      <c r="W866" s="85" t="str">
        <f>IFERROR(__xludf.DUMMYFUNCTION("""COMPUTED_VALUE"""),"Way kandis ")</f>
        <v>Way kandis </v>
      </c>
      <c r="X866" s="85" t="str">
        <f>IFERROR(__xludf.DUMMYFUNCTION("""COMPUTED_VALUE"""),"Tanjung Senang")</f>
        <v>Tanjung Senang</v>
      </c>
      <c r="Y866" s="85" t="str">
        <f>IFERROR(__xludf.DUMMYFUNCTION("""COMPUTED_VALUE"""),"Bandar Lampung")</f>
        <v>Bandar Lampung</v>
      </c>
      <c r="Z866" s="85" t="str">
        <f>IFERROR(__xludf.DUMMYFUNCTION("""COMPUTED_VALUE"""),"Lampung")</f>
        <v>Lampung</v>
      </c>
      <c r="AA866" s="85" t="str">
        <f>IFERROR(__xludf.DUMMYFUNCTION("""COMPUTED_VALUE"""),"35141")</f>
        <v>35141</v>
      </c>
      <c r="AB866" s="85" t="str">
        <f>IFERROR(__xludf.DUMMYFUNCTION("""COMPUTED_VALUE"""),"1871111503870002")</f>
        <v>1871111503870002</v>
      </c>
      <c r="AC866" s="85" t="str">
        <f>IFERROR(__xludf.DUMMYFUNCTION("""COMPUTED_VALUE"""),"63.147.913.6-323.000")</f>
        <v>63.147.913.6-323.000</v>
      </c>
      <c r="AD866" s="85" t="str">
        <f>IFERROR(__xludf.DUMMYFUNCTION("""COMPUTED_VALUE"""),"PAK GENTAR")</f>
        <v>PAK GENTAR</v>
      </c>
      <c r="AE866" s="85" t="str">
        <f>IFERROR(__xludf.DUMMYFUNCTION("""COMPUTED_VALUE"""),"PAK GENTAR KCU BANDAR LAMPUNG")</f>
        <v>PAK GENTAR KCU BANDAR LAMPUNG</v>
      </c>
      <c r="AF866" s="85" t="str">
        <f>IFERROR(__xludf.DUMMYFUNCTION("""COMPUTED_VALUE"""),"082278974546")</f>
        <v>082278974546</v>
      </c>
      <c r="AG866" s="85"/>
      <c r="AH866" s="85" t="str">
        <f>IFERROR(__xludf.DUMMYFUNCTION("""COMPUTED_VALUE"""),"wanumar1403@gmail.com")</f>
        <v>wanumar1403@gmail.com</v>
      </c>
      <c r="AI866" s="85" t="str">
        <f>IFERROR(__xludf.DUMMYFUNCTION("""COMPUTED_VALUE"""),"35138S3")</f>
        <v>35138S3</v>
      </c>
      <c r="AJ866" s="85" t="str">
        <f>IFERROR(__xludf.DUMMYFUNCTION("""COMPUTED_VALUE"""),"69ae6abb91df153b630953d6")</f>
        <v>69ae6abb91df153b630953d6</v>
      </c>
      <c r="AK866" s="85" t="str">
        <f>IFERROR(__xludf.DUMMYFUNCTION("""COMPUTED_VALUE"""),"wanumar1403@gmail.com")</f>
        <v>wanumar1403@gmail.com</v>
      </c>
      <c r="AL866" s="85" t="str">
        <f>IFERROR(__xludf.DUMMYFUNCTION("""COMPUTED_VALUE"""),"#Muc35138S3$")</f>
        <v>#Muc35138S3$</v>
      </c>
      <c r="AM866" s="85" t="str">
        <f>IFERROR(__xludf.DUMMYFUNCTION("""COMPUTED_VALUE"""),"KANTOR REGIONAL I MEDAN 20004")</f>
        <v>KANTOR REGIONAL I MEDAN 20004</v>
      </c>
      <c r="AN866" s="85" t="str">
        <f>IFERROR(__xludf.DUMMYFUNCTION("""COMPUTED_VALUE"""),"KCU BANDARLAMPUNG")</f>
        <v>KCU BANDARLAMPUNG</v>
      </c>
      <c r="AO866" s="85" t="str">
        <f>IFERROR(__xludf.DUMMYFUNCTION("""COMPUTED_VALUE"""),"1506250032866")</f>
        <v>1506250032866</v>
      </c>
      <c r="AP866" s="85" t="str">
        <f>IFERROR(__xludf.DUMMYFUNCTION("""COMPUTED_VALUE"""),"15062500328660001")</f>
        <v>15062500328660001</v>
      </c>
      <c r="AQ866" s="93"/>
      <c r="AR866" s="85"/>
      <c r="AS866" s="85"/>
      <c r="AT866" s="85" t="str">
        <f>IFERROR(__xludf.DUMMYFUNCTION("""COMPUTED_VALUE"""),"-5.3581698")</f>
        <v>-5.3581698</v>
      </c>
      <c r="AU866" s="85" t="str">
        <f>IFERROR(__xludf.DUMMYFUNCTION("""COMPUTED_VALUE"""),"105.2830483")</f>
        <v>105.2830483</v>
      </c>
      <c r="AV866" s="85"/>
      <c r="AW866" s="85"/>
      <c r="AX866" s="85"/>
      <c r="AY866" s="85"/>
      <c r="AZ866" s="85"/>
      <c r="BA866" s="85"/>
      <c r="BB866" s="85"/>
      <c r="BC866" s="85"/>
      <c r="BD866" s="85"/>
      <c r="BE866" s="85"/>
      <c r="BF866" s="85"/>
      <c r="BG866" s="85"/>
      <c r="BH866" s="85"/>
      <c r="BI866" s="85"/>
      <c r="BJ866" s="85"/>
      <c r="BK866" s="85"/>
      <c r="BL866" s="85"/>
      <c r="BM866" s="85"/>
      <c r="BN866" s="85"/>
      <c r="BO866" s="85"/>
      <c r="BP866" s="85"/>
      <c r="BQ866" s="85"/>
      <c r="BR866" s="85"/>
      <c r="BS866" s="85"/>
      <c r="BT866" s="85"/>
      <c r="BU866" s="85"/>
      <c r="BV866" s="85"/>
      <c r="BW866" s="85"/>
      <c r="BX866" s="85" t="str">
        <f>IFERROR(__xludf.DUMMYFUNCTION("""COMPUTED_VALUE"""),"POS")</f>
        <v>POS</v>
      </c>
      <c r="BY866" s="85"/>
      <c r="BZ866" s="85"/>
      <c r="CA866" s="85"/>
      <c r="CB866" s="85"/>
      <c r="CC866" s="85"/>
      <c r="CD866" s="85"/>
      <c r="CE866" s="85"/>
      <c r="CF866" s="85"/>
      <c r="CG866" s="85"/>
      <c r="CH866" s="85"/>
      <c r="CI866" s="85"/>
      <c r="CJ866" s="85"/>
      <c r="CK866" s="2"/>
    </row>
    <row r="867" ht="12.75" customHeight="1">
      <c r="A867" s="80">
        <f>IFERROR(__xludf.DUMMYFUNCTION("""COMPUTED_VALUE"""),863.0)</f>
        <v>863</v>
      </c>
      <c r="B867" s="80"/>
      <c r="C867" s="80"/>
      <c r="D867" s="81">
        <f>IFERROR(__xludf.DUMMYFUNCTION("""COMPUTED_VALUE"""),46087.0)</f>
        <v>46087</v>
      </c>
      <c r="E867" s="82"/>
      <c r="F867" s="80"/>
      <c r="G867" s="81">
        <f>IFERROR(__xludf.DUMMYFUNCTION("""COMPUTED_VALUE"""),46097.0)</f>
        <v>46097</v>
      </c>
      <c r="H867" s="80"/>
      <c r="I867" s="80"/>
      <c r="J867" s="80"/>
      <c r="K867" s="80"/>
      <c r="L867" s="80">
        <f>IFERROR(__xludf.DUMMYFUNCTION("""COMPUTED_VALUE"""),10.0)</f>
        <v>10</v>
      </c>
      <c r="M867" s="80" t="str">
        <f>IFERROR(__xludf.DUMMYFUNCTION("""COMPUTED_VALUE"""),"ü")</f>
        <v>ü</v>
      </c>
      <c r="N867" s="80"/>
      <c r="O867" s="80"/>
      <c r="P867" s="80" t="str">
        <f>IFERROR(__xludf.DUMMYFUNCTION("""COMPUTED_VALUE"""),"MUCSPA63388PSIND")</f>
        <v>MUCSPA63388PSIND</v>
      </c>
      <c r="Q867" s="80" t="str">
        <f>IFERROR(__xludf.DUMMYFUNCTION("""COMPUTED_VALUE"""),"MUC PUAN CELL")</f>
        <v>MUC PUAN CELL</v>
      </c>
      <c r="R867" s="80" t="str">
        <f>IFERROR(__xludf.DUMMYFUNCTION("""COMPUTED_VALUE"""),"MUC PUAN CELL")</f>
        <v>MUC PUAN CELL</v>
      </c>
      <c r="S867" s="80" t="str">
        <f>IFERROR(__xludf.DUMMYFUNCTION("""COMPUTED_VALUE"""),"LOSI ANTONO")</f>
        <v>LOSI ANTONO</v>
      </c>
      <c r="T867" s="80" t="str">
        <f>IFERROR(__xludf.DUMMYFUNCTION("""COMPUTED_VALUE"""),"JL. BELAKANG SMA 12 GOLF LK.II RT.006 RW.000, SUKARAME, SUKARAME, KOTA BANDAR LAMPUNG")</f>
        <v>JL. BELAKANG SMA 12 GOLF LK.II RT.006 RW.000, SUKARAME, SUKARAME, KOTA BANDAR LAMPUNG</v>
      </c>
      <c r="U867" s="80" t="str">
        <f>IFERROR(__xludf.DUMMYFUNCTION("""COMPUTED_VALUE"""),"Jl Pangeran Senopati Jatimulyo lampung selatan depan toko surya")</f>
        <v>Jl Pangeran Senopati Jatimulyo lampung selatan depan toko surya</v>
      </c>
      <c r="V867" s="80"/>
      <c r="W867" s="80" t="str">
        <f>IFERROR(__xludf.DUMMYFUNCTION("""COMPUTED_VALUE"""),"Jatimulyo")</f>
        <v>Jatimulyo</v>
      </c>
      <c r="X867" s="80" t="str">
        <f>IFERROR(__xludf.DUMMYFUNCTION("""COMPUTED_VALUE"""),"Jati Agung")</f>
        <v>Jati Agung</v>
      </c>
      <c r="Y867" s="80" t="str">
        <f>IFERROR(__xludf.DUMMYFUNCTION("""COMPUTED_VALUE"""),"Kab. Lampung Selatan")</f>
        <v>Kab. Lampung Selatan</v>
      </c>
      <c r="Z867" s="80" t="str">
        <f>IFERROR(__xludf.DUMMYFUNCTION("""COMPUTED_VALUE"""),"Lampung")</f>
        <v>Lampung</v>
      </c>
      <c r="AA867" s="80" t="str">
        <f>IFERROR(__xludf.DUMMYFUNCTION("""COMPUTED_VALUE"""),"35365")</f>
        <v>35365</v>
      </c>
      <c r="AB867" s="80" t="str">
        <f>IFERROR(__xludf.DUMMYFUNCTION("""COMPUTED_VALUE"""),"1871021505840014")</f>
        <v>1871021505840014</v>
      </c>
      <c r="AC867" s="80" t="str">
        <f>IFERROR(__xludf.DUMMYFUNCTION("""COMPUTED_VALUE"""),"86.116.042.2-325.000")</f>
        <v>86.116.042.2-325.000</v>
      </c>
      <c r="AD867" s="80" t="str">
        <f>IFERROR(__xludf.DUMMYFUNCTION("""COMPUTED_VALUE"""),"PAK GENTAR")</f>
        <v>PAK GENTAR</v>
      </c>
      <c r="AE867" s="80" t="str">
        <f>IFERROR(__xludf.DUMMYFUNCTION("""COMPUTED_VALUE"""),"PAK GENTAR KCU BANDAR LAMPUNG")</f>
        <v>PAK GENTAR KCU BANDAR LAMPUNG</v>
      </c>
      <c r="AF867" s="80" t="str">
        <f>IFERROR(__xludf.DUMMYFUNCTION("""COMPUTED_VALUE"""),"085279888808")</f>
        <v>085279888808</v>
      </c>
      <c r="AG867" s="80"/>
      <c r="AH867" s="80" t="str">
        <f>IFERROR(__xludf.DUMMYFUNCTION("""COMPUTED_VALUE"""),"puanzaskia84@gmail.com")</f>
        <v>puanzaskia84@gmail.com</v>
      </c>
      <c r="AI867" s="80" t="str">
        <f>IFERROR(__xludf.DUMMYFUNCTION("""COMPUTED_VALUE"""),"35564S2")</f>
        <v>35564S2</v>
      </c>
      <c r="AJ867" s="80" t="str">
        <f>IFERROR(__xludf.DUMMYFUNCTION("""COMPUTED_VALUE"""),"69b50ffb3af600fa480cf17b")</f>
        <v>69b50ffb3af600fa480cf17b</v>
      </c>
      <c r="AK867" s="80" t="str">
        <f>IFERROR(__xludf.DUMMYFUNCTION("""COMPUTED_VALUE"""),"puanzaskia84@gmail.com")</f>
        <v>puanzaskia84@gmail.com</v>
      </c>
      <c r="AL867" s="80" t="str">
        <f>IFERROR(__xludf.DUMMYFUNCTION("""COMPUTED_VALUE"""),"#Muc35564S2$")</f>
        <v>#Muc35564S2$</v>
      </c>
      <c r="AM867" s="80" t="str">
        <f>IFERROR(__xludf.DUMMYFUNCTION("""COMPUTED_VALUE"""),"KANTOR REGIONAL I MEDAN 20004")</f>
        <v>KANTOR REGIONAL I MEDAN 20004</v>
      </c>
      <c r="AN867" s="80" t="str">
        <f>IFERROR(__xludf.DUMMYFUNCTION("""COMPUTED_VALUE"""),"KCU BANDARLAMPUNG")</f>
        <v>KCU BANDARLAMPUNG</v>
      </c>
      <c r="AO867" s="80" t="str">
        <f>IFERROR(__xludf.DUMMYFUNCTION("""COMPUTED_VALUE"""),"1410240056044")</f>
        <v>1410240056044</v>
      </c>
      <c r="AP867" s="80" t="str">
        <f>IFERROR(__xludf.DUMMYFUNCTION("""COMPUTED_VALUE"""),"14102400560440002")</f>
        <v>14102400560440002</v>
      </c>
      <c r="AQ867" s="83"/>
      <c r="AR867" s="80"/>
      <c r="AS867" s="80"/>
      <c r="AT867" s="80" t="str">
        <f>IFERROR(__xludf.DUMMYFUNCTION("""COMPUTED_VALUE"""),"-5.342691")</f>
        <v>-5.342691</v>
      </c>
      <c r="AU867" s="80" t="str">
        <f>IFERROR(__xludf.DUMMYFUNCTION("""COMPUTED_VALUE"""),"105.294697")</f>
        <v>105.294697</v>
      </c>
      <c r="AV867" s="80"/>
      <c r="AW867" s="80"/>
      <c r="AX867" s="80"/>
      <c r="AY867" s="80"/>
      <c r="AZ867" s="80"/>
      <c r="BA867" s="80"/>
      <c r="BB867" s="80"/>
      <c r="BC867" s="80"/>
      <c r="BD867" s="80"/>
      <c r="BE867" s="80"/>
      <c r="BF867" s="80"/>
      <c r="BG867" s="80"/>
      <c r="BH867" s="80"/>
      <c r="BI867" s="80"/>
      <c r="BJ867" s="80"/>
      <c r="BK867" s="80"/>
      <c r="BL867" s="80"/>
      <c r="BM867" s="80"/>
      <c r="BN867" s="80"/>
      <c r="BO867" s="80"/>
      <c r="BP867" s="80"/>
      <c r="BQ867" s="80"/>
      <c r="BR867" s="80"/>
      <c r="BS867" s="80"/>
      <c r="BT867" s="80"/>
      <c r="BU867" s="80"/>
      <c r="BV867" s="80"/>
      <c r="BW867" s="80"/>
      <c r="BX867" s="80" t="str">
        <f>IFERROR(__xludf.DUMMYFUNCTION("""COMPUTED_VALUE"""),"NEWBIE")</f>
        <v>NEWBIE</v>
      </c>
      <c r="BY867" s="80"/>
      <c r="BZ867" s="80"/>
      <c r="CA867" s="80"/>
      <c r="CB867" s="80"/>
      <c r="CC867" s="80"/>
      <c r="CD867" s="80"/>
      <c r="CE867" s="80"/>
      <c r="CF867" s="80"/>
      <c r="CG867" s="80"/>
      <c r="CH867" s="80"/>
      <c r="CI867" s="80"/>
      <c r="CJ867" s="80"/>
      <c r="CK867" s="2"/>
    </row>
    <row r="868" ht="12.75" customHeight="1">
      <c r="A868" s="85">
        <f>IFERROR(__xludf.DUMMYFUNCTION("""COMPUTED_VALUE"""),864.0)</f>
        <v>864</v>
      </c>
      <c r="B868" s="85"/>
      <c r="C868" s="85"/>
      <c r="D868" s="86">
        <f>IFERROR(__xludf.DUMMYFUNCTION("""COMPUTED_VALUE"""),46090.0)</f>
        <v>46090</v>
      </c>
      <c r="E868" s="88"/>
      <c r="F868" s="85"/>
      <c r="G868" s="86">
        <f>IFERROR(__xludf.DUMMYFUNCTION("""COMPUTED_VALUE"""),46090.0)</f>
        <v>46090</v>
      </c>
      <c r="H868" s="85"/>
      <c r="I868" s="85"/>
      <c r="J868" s="85"/>
      <c r="K868" s="85"/>
      <c r="L868" s="85">
        <f>IFERROR(__xludf.DUMMYFUNCTION("""COMPUTED_VALUE"""),0.0)</f>
        <v>0</v>
      </c>
      <c r="M868" s="85"/>
      <c r="N868" s="85" t="str">
        <f>IFERROR(__xludf.DUMMYFUNCTION("""COMPUTED_VALUE"""),"ü")</f>
        <v>ü</v>
      </c>
      <c r="O868" s="85"/>
      <c r="P868" s="85" t="str">
        <f>IFERROR(__xludf.DUMMYFUNCTION("""COMPUTED_VALUE"""),"SINGRESI024CHILA")</f>
        <v>SINGRESI024CHILA</v>
      </c>
      <c r="Q868" s="85" t="str">
        <f>IFERROR(__xludf.DUMMYFUNCTION("""COMPUTED_VALUE"""),"MUC Chilla Ciherang - Singres")</f>
        <v>MUC Chilla Ciherang - Singres</v>
      </c>
      <c r="R868" s="85" t="str">
        <f>IFERROR(__xludf.DUMMYFUNCTION("""COMPUTED_VALUE"""),"MUC Chilla Ciherang - Singres")</f>
        <v>MUC Chilla Ciherang - Singres</v>
      </c>
      <c r="S868" s="85" t="str">
        <f>IFERROR(__xludf.DUMMYFUNCTION("""COMPUTED_VALUE"""),"Mayang Indah Pertiwi")</f>
        <v>Mayang Indah Pertiwi</v>
      </c>
      <c r="T868" s="85" t="str">
        <f>IFERROR(__xludf.DUMMYFUNCTION("""COMPUTED_VALUE"""),"JL. ARTZIMAR II NO.65 RT.001 RW.001, TEGAL GUNDIL, KOTA BOGOR UTARA, KOTA BOGOR")</f>
        <v>JL. ARTZIMAR II NO.65 RT.001 RW.001, TEGAL GUNDIL, KOTA BOGOR UTARA, KOTA BOGOR</v>
      </c>
      <c r="U868" s="85" t="str">
        <f>IFERROR(__xludf.DUMMYFUNCTION("""COMPUTED_VALUE"""),"Kp.Ciherang Cutak Rt03/05 Ciapus-Ciomas")</f>
        <v>Kp.Ciherang Cutak Rt03/05 Ciapus-Ciomas</v>
      </c>
      <c r="V868" s="85"/>
      <c r="W868" s="85" t="str">
        <f>IFERROR(__xludf.DUMMYFUNCTION("""COMPUTED_VALUE"""),"Ciapus")</f>
        <v>Ciapus</v>
      </c>
      <c r="X868" s="85" t="str">
        <f>IFERROR(__xludf.DUMMYFUNCTION("""COMPUTED_VALUE"""),"Ciomas")</f>
        <v>Ciomas</v>
      </c>
      <c r="Y868" s="85" t="str">
        <f>IFERROR(__xludf.DUMMYFUNCTION("""COMPUTED_VALUE"""),"Kab Bogor")</f>
        <v>Kab Bogor</v>
      </c>
      <c r="Z868" s="85" t="str">
        <f>IFERROR(__xludf.DUMMYFUNCTION("""COMPUTED_VALUE"""),"Jawa Barat")</f>
        <v>Jawa Barat</v>
      </c>
      <c r="AA868" s="85" t="str">
        <f>IFERROR(__xludf.DUMMYFUNCTION("""COMPUTED_VALUE"""),"16610")</f>
        <v>16610</v>
      </c>
      <c r="AB868" s="85" t="str">
        <f>IFERROR(__xludf.DUMMYFUNCTION("""COMPUTED_VALUE"""),"3271054412900004")</f>
        <v>3271054412900004</v>
      </c>
      <c r="AC868" s="85" t="str">
        <f>IFERROR(__xludf.DUMMYFUNCTION("""COMPUTED_VALUE"""),"98.201.333.6-404.000")</f>
        <v>98.201.333.6-404.000</v>
      </c>
      <c r="AD868" s="85" t="str">
        <f>IFERROR(__xludf.DUMMYFUNCTION("""COMPUTED_VALUE"""),"CUM - PS - NONKORGEN")</f>
        <v>CUM - PS - NONKORGEN</v>
      </c>
      <c r="AE868" s="85" t="str">
        <f>IFERROR(__xludf.DUMMYFUNCTION("""COMPUTED_VALUE"""),"PAK ASEP KCU BOGOR")</f>
        <v>PAK ASEP KCU BOGOR</v>
      </c>
      <c r="AF868" s="85" t="str">
        <f>IFERROR(__xludf.DUMMYFUNCTION("""COMPUTED_VALUE"""),"085158741558")</f>
        <v>085158741558</v>
      </c>
      <c r="AG868" s="85"/>
      <c r="AH868" s="85" t="str">
        <f>IFERROR(__xludf.DUMMYFUNCTION("""COMPUTED_VALUE"""),"mayangindah0412@gmail.com")</f>
        <v>mayangindah0412@gmail.com</v>
      </c>
      <c r="AI868" s="85" t="str">
        <f>IFERROR(__xludf.DUMMYFUNCTION("""COMPUTED_VALUE"""),"16614S2")</f>
        <v>16614S2</v>
      </c>
      <c r="AJ868" s="85" t="str">
        <f>IFERROR(__xludf.DUMMYFUNCTION("""COMPUTED_VALUE"""),"69a0ec36dae3792a61077e55")</f>
        <v>69a0ec36dae3792a61077e55</v>
      </c>
      <c r="AK868" s="85" t="str">
        <f>IFERROR(__xludf.DUMMYFUNCTION("""COMPUTED_VALUE"""),"mayangindah0412@gmail.com")</f>
        <v>mayangindah0412@gmail.com</v>
      </c>
      <c r="AL868" s="85" t="str">
        <f>IFERROR(__xludf.DUMMYFUNCTION("""COMPUTED_VALUE"""),"!Muc16614S2%")</f>
        <v>!Muc16614S2%</v>
      </c>
      <c r="AM868" s="85" t="str">
        <f>IFERROR(__xludf.DUMMYFUNCTION("""COMPUTED_VALUE"""),"KANTOR REGIONAL II JAKARTA 10004")</f>
        <v>KANTOR REGIONAL II JAKARTA 10004</v>
      </c>
      <c r="AN868" s="85" t="str">
        <f>IFERROR(__xludf.DUMMYFUNCTION("""COMPUTED_VALUE"""),"KCU BOGOR 16000")</f>
        <v>KCU BOGOR 16000</v>
      </c>
      <c r="AO868" s="85" t="str">
        <f>IFERROR(__xludf.DUMMYFUNCTION("""COMPUTED_VALUE"""),"MENYUSUL")</f>
        <v>MENYUSUL</v>
      </c>
      <c r="AP868" s="85" t="str">
        <f>IFERROR(__xludf.DUMMYFUNCTION("""COMPUTED_VALUE"""),"MENYUSUL")</f>
        <v>MENYUSUL</v>
      </c>
      <c r="AQ868" s="93"/>
      <c r="AR868" s="85"/>
      <c r="AS868" s="85"/>
      <c r="AT868" s="85" t="str">
        <f>IFERROR(__xludf.DUMMYFUNCTION("""COMPUTED_VALUE"""),"-6.597115")</f>
        <v>-6.597115</v>
      </c>
      <c r="AU868" s="85" t="str">
        <f>IFERROR(__xludf.DUMMYFUNCTION("""COMPUTED_VALUE"""),"106.744978")</f>
        <v>106.744978</v>
      </c>
      <c r="AV868" s="85"/>
      <c r="AW868" s="85"/>
      <c r="AX868" s="85"/>
      <c r="AY868" s="85"/>
      <c r="AZ868" s="85"/>
      <c r="BA868" s="85"/>
      <c r="BB868" s="85"/>
      <c r="BC868" s="85"/>
      <c r="BD868" s="85"/>
      <c r="BE868" s="85"/>
      <c r="BF868" s="85"/>
      <c r="BG868" s="85"/>
      <c r="BH868" s="85"/>
      <c r="BI868" s="85"/>
      <c r="BJ868" s="85"/>
      <c r="BK868" s="85"/>
      <c r="BL868" s="85"/>
      <c r="BM868" s="85"/>
      <c r="BN868" s="85"/>
      <c r="BO868" s="85"/>
      <c r="BP868" s="85"/>
      <c r="BQ868" s="85"/>
      <c r="BR868" s="85"/>
      <c r="BS868" s="85"/>
      <c r="BT868" s="85"/>
      <c r="BU868" s="85"/>
      <c r="BV868" s="85"/>
      <c r="BW868" s="85"/>
      <c r="BX868" s="85" t="str">
        <f>IFERROR(__xludf.DUMMYFUNCTION("""COMPUTED_VALUE"""),"-")</f>
        <v>-</v>
      </c>
      <c r="BY868" s="85"/>
      <c r="BZ868" s="85"/>
      <c r="CA868" s="85"/>
      <c r="CB868" s="85"/>
      <c r="CC868" s="85"/>
      <c r="CD868" s="85"/>
      <c r="CE868" s="85"/>
      <c r="CF868" s="85"/>
      <c r="CG868" s="85"/>
      <c r="CH868" s="85"/>
      <c r="CI868" s="85"/>
      <c r="CJ868" s="85"/>
      <c r="CK868" s="2"/>
    </row>
    <row r="869" ht="12.75" customHeight="1">
      <c r="A869" s="80">
        <f>IFERROR(__xludf.DUMMYFUNCTION("""COMPUTED_VALUE"""),865.0)</f>
        <v>865</v>
      </c>
      <c r="B869" s="80"/>
      <c r="C869" s="80"/>
      <c r="D869" s="81">
        <f>IFERROR(__xludf.DUMMYFUNCTION("""COMPUTED_VALUE"""),46090.0)</f>
        <v>46090</v>
      </c>
      <c r="E869" s="82"/>
      <c r="F869" s="80"/>
      <c r="G869" s="81">
        <f>IFERROR(__xludf.DUMMYFUNCTION("""COMPUTED_VALUE"""),46090.0)</f>
        <v>46090</v>
      </c>
      <c r="H869" s="80"/>
      <c r="I869" s="80"/>
      <c r="J869" s="80"/>
      <c r="K869" s="80"/>
      <c r="L869" s="80">
        <f>IFERROR(__xludf.DUMMYFUNCTION("""COMPUTED_VALUE"""),0.0)</f>
        <v>0</v>
      </c>
      <c r="M869" s="80"/>
      <c r="N869" s="80" t="str">
        <f>IFERROR(__xludf.DUMMYFUNCTION("""COMPUTED_VALUE"""),"ü")</f>
        <v>ü</v>
      </c>
      <c r="O869" s="80"/>
      <c r="P869" s="80" t="str">
        <f>IFERROR(__xludf.DUMMYFUNCTION("""COMPUTED_VALUE"""),"SINGRESI025BRJYA")</f>
        <v>SINGRESI025BRJYA</v>
      </c>
      <c r="Q869" s="80" t="str">
        <f>IFERROR(__xludf.DUMMYFUNCTION("""COMPUTED_VALUE"""),"MUC Brijaya - Singres")</f>
        <v>MUC Brijaya - Singres</v>
      </c>
      <c r="R869" s="80" t="str">
        <f>IFERROR(__xludf.DUMMYFUNCTION("""COMPUTED_VALUE"""),"MUC Brijaya - Singres")</f>
        <v>MUC Brijaya - Singres</v>
      </c>
      <c r="S869" s="80" t="str">
        <f>IFERROR(__xludf.DUMMYFUNCTION("""COMPUTED_VALUE"""),"Ramely yusuf ibrohim")</f>
        <v>Ramely yusuf ibrohim</v>
      </c>
      <c r="T869" s="80" t="str">
        <f>IFERROR(__xludf.DUMMYFUNCTION("""COMPUTED_VALUE"""),"CLOLO RT03 RW04 Banjarsari, Banjarsari, Kota Surakarta ")</f>
        <v>CLOLO RT03 RW04 Banjarsari, Banjarsari, Kota Surakarta </v>
      </c>
      <c r="U869" s="80" t="str">
        <f>IFERROR(__xludf.DUMMYFUNCTION("""COMPUTED_VALUE"""),"Jl Solo - Purwodadi KM12 ")</f>
        <v>Jl Solo - Purwodadi KM12 </v>
      </c>
      <c r="V869" s="80"/>
      <c r="W869" s="80" t="str">
        <f>IFERROR(__xludf.DUMMYFUNCTION("""COMPUTED_VALUE"""),"Tuban ")</f>
        <v>Tuban </v>
      </c>
      <c r="X869" s="80" t="str">
        <f>IFERROR(__xludf.DUMMYFUNCTION("""COMPUTED_VALUE"""),"Gondangrejo")</f>
        <v>Gondangrejo</v>
      </c>
      <c r="Y869" s="80" t="str">
        <f>IFERROR(__xludf.DUMMYFUNCTION("""COMPUTED_VALUE"""),"Karangnyar")</f>
        <v>Karangnyar</v>
      </c>
      <c r="Z869" s="80" t="str">
        <f>IFERROR(__xludf.DUMMYFUNCTION("""COMPUTED_VALUE"""),"Jawa Tengah")</f>
        <v>Jawa Tengah</v>
      </c>
      <c r="AA869" s="80" t="str">
        <f>IFERROR(__xludf.DUMMYFUNCTION("""COMPUTED_VALUE"""),"57773")</f>
        <v>57773</v>
      </c>
      <c r="AB869" s="80" t="str">
        <f>IFERROR(__xludf.DUMMYFUNCTION("""COMPUTED_VALUE"""),"3372052211990001")</f>
        <v>3372052211990001</v>
      </c>
      <c r="AC869" s="80" t="str">
        <f>IFERROR(__xludf.DUMMYFUNCTION("""COMPUTED_VALUE"""),"60.130.657.4-526.000")</f>
        <v>60.130.657.4-526.000</v>
      </c>
      <c r="AD869" s="80" t="str">
        <f>IFERROR(__xludf.DUMMYFUNCTION("""COMPUTED_VALUE"""),"CUM - PS - RFSI")</f>
        <v>CUM - PS - RFSI</v>
      </c>
      <c r="AE869" s="80" t="str">
        <f>IFERROR(__xludf.DUMMYFUNCTION("""COMPUTED_VALUE"""),"SUB RIZKI POS")</f>
        <v>SUB RIZKI POS</v>
      </c>
      <c r="AF869" s="80" t="str">
        <f>IFERROR(__xludf.DUMMYFUNCTION("""COMPUTED_VALUE"""),"089509709761")</f>
        <v>089509709761</v>
      </c>
      <c r="AG869" s="80"/>
      <c r="AH869" s="80" t="str">
        <f>IFERROR(__xludf.DUMMYFUNCTION("""COMPUTED_VALUE"""),"yusuframely@gmail.com")</f>
        <v>yusuframely@gmail.com</v>
      </c>
      <c r="AI869" s="80" t="str">
        <f>IFERROR(__xludf.DUMMYFUNCTION("""COMPUTED_VALUE"""),"57773S2")</f>
        <v>57773S2</v>
      </c>
      <c r="AJ869" s="80" t="str">
        <f>IFERROR(__xludf.DUMMYFUNCTION("""COMPUTED_VALUE"""),"698c081deab82ad21a00da00")</f>
        <v>698c081deab82ad21a00da00</v>
      </c>
      <c r="AK869" s="80"/>
      <c r="AL869" s="80"/>
      <c r="AM869" s="80" t="str">
        <f>IFERROR(__xludf.DUMMYFUNCTION("""COMPUTED_VALUE"""),"KANTOR REGIONAL IV SEMARANG 50004")</f>
        <v>KANTOR REGIONAL IV SEMARANG 50004</v>
      </c>
      <c r="AN869" s="80" t="str">
        <f>IFERROR(__xludf.DUMMYFUNCTION("""COMPUTED_VALUE"""),"KCU SOLO 57100")</f>
        <v>KCU SOLO 57100</v>
      </c>
      <c r="AO869" s="80" t="str">
        <f>IFERROR(__xludf.DUMMYFUNCTION("""COMPUTED_VALUE"""),"MENYUSUL")</f>
        <v>MENYUSUL</v>
      </c>
      <c r="AP869" s="80" t="str">
        <f>IFERROR(__xludf.DUMMYFUNCTION("""COMPUTED_VALUE"""),"MENYUSUL")</f>
        <v>MENYUSUL</v>
      </c>
      <c r="AQ869" s="83"/>
      <c r="AR869" s="80"/>
      <c r="AS869" s="80"/>
      <c r="AT869" s="80" t="str">
        <f>IFERROR(__xludf.DUMMYFUNCTION("""COMPUTED_VALUE"""),"-7.466616")</f>
        <v>-7.466616</v>
      </c>
      <c r="AU869" s="80" t="str">
        <f>IFERROR(__xludf.DUMMYFUNCTION("""COMPUTED_VALUE"""),"110.806193")</f>
        <v>110.806193</v>
      </c>
      <c r="AV869" s="80"/>
      <c r="AW869" s="80"/>
      <c r="AX869" s="80"/>
      <c r="AY869" s="80"/>
      <c r="AZ869" s="80"/>
      <c r="BA869" s="80"/>
      <c r="BB869" s="80"/>
      <c r="BC869" s="80"/>
      <c r="BD869" s="80"/>
      <c r="BE869" s="80"/>
      <c r="BF869" s="80"/>
      <c r="BG869" s="80"/>
      <c r="BH869" s="80"/>
      <c r="BI869" s="80"/>
      <c r="BJ869" s="80"/>
      <c r="BK869" s="80"/>
      <c r="BL869" s="80"/>
      <c r="BM869" s="80"/>
      <c r="BN869" s="80"/>
      <c r="BO869" s="80"/>
      <c r="BP869" s="80"/>
      <c r="BQ869" s="80"/>
      <c r="BR869" s="80"/>
      <c r="BS869" s="80"/>
      <c r="BT869" s="80"/>
      <c r="BU869" s="80"/>
      <c r="BV869" s="80"/>
      <c r="BW869" s="80"/>
      <c r="BX869" s="80" t="str">
        <f>IFERROR(__xludf.DUMMYFUNCTION("""COMPUTED_VALUE"""),"NEWBIE")</f>
        <v>NEWBIE</v>
      </c>
      <c r="BY869" s="80"/>
      <c r="BZ869" s="80"/>
      <c r="CA869" s="80"/>
      <c r="CB869" s="80"/>
      <c r="CC869" s="80"/>
      <c r="CD869" s="80"/>
      <c r="CE869" s="80"/>
      <c r="CF869" s="80"/>
      <c r="CG869" s="80"/>
      <c r="CH869" s="80"/>
      <c r="CI869" s="80"/>
      <c r="CJ869" s="80"/>
      <c r="CK869" s="2"/>
    </row>
    <row r="870" ht="12.75" customHeight="1">
      <c r="A870" s="85">
        <f>IFERROR(__xludf.DUMMYFUNCTION("""COMPUTED_VALUE"""),866.0)</f>
        <v>866</v>
      </c>
      <c r="B870" s="85"/>
      <c r="C870" s="85"/>
      <c r="D870" s="86">
        <f>IFERROR(__xludf.DUMMYFUNCTION("""COMPUTED_VALUE"""),46090.0)</f>
        <v>46090</v>
      </c>
      <c r="E870" s="88"/>
      <c r="F870" s="85"/>
      <c r="G870" s="86">
        <f>IFERROR(__xludf.DUMMYFUNCTION("""COMPUTED_VALUE"""),46090.0)</f>
        <v>46090</v>
      </c>
      <c r="H870" s="85"/>
      <c r="I870" s="85"/>
      <c r="J870" s="85"/>
      <c r="K870" s="85"/>
      <c r="L870" s="85">
        <f>IFERROR(__xludf.DUMMYFUNCTION("""COMPUTED_VALUE"""),0.0)</f>
        <v>0</v>
      </c>
      <c r="M870" s="85"/>
      <c r="N870" s="85" t="str">
        <f>IFERROR(__xludf.DUMMYFUNCTION("""COMPUTED_VALUE"""),"ü")</f>
        <v>ü</v>
      </c>
      <c r="O870" s="85"/>
      <c r="P870" s="85" t="str">
        <f>IFERROR(__xludf.DUMMYFUNCTION("""COMPUTED_VALUE"""),"KH2SPA22501JTYNA")</f>
        <v>KH2SPA22501JTYNA</v>
      </c>
      <c r="Q870" s="85" t="str">
        <f>IFERROR(__xludf.DUMMYFUNCTION("""COMPUTED_VALUE"""),"BANI HARSO")</f>
        <v>BANI HARSO</v>
      </c>
      <c r="R870" s="85" t="str">
        <f>IFERROR(__xludf.DUMMYFUNCTION("""COMPUTED_VALUE"""),"BANI HARSO")</f>
        <v>BANI HARSO</v>
      </c>
      <c r="S870" s="85" t="str">
        <f>IFERROR(__xludf.DUMMYFUNCTION("""COMPUTED_VALUE"""),"Yohannita Nurul Arifah")</f>
        <v>Yohannita Nurul Arifah</v>
      </c>
      <c r="T870" s="85" t="str">
        <f>IFERROR(__xludf.DUMMYFUNCTION("""COMPUTED_VALUE"""),"Gading Santren Rt 002/ Rw 009,Belang Wetan,Klaten ")</f>
        <v>Gading Santren Rt 002/ Rw 009,Belang Wetan,Klaten </v>
      </c>
      <c r="U870" s="85" t="str">
        <f>IFERROR(__xludf.DUMMYFUNCTION("""COMPUTED_VALUE"""),"kerun baru rt 01/rw02,belang wetan,klaten utara,klaten 57438")</f>
        <v>kerun baru rt 01/rw02,belang wetan,klaten utara,klaten 57438</v>
      </c>
      <c r="V870" s="85" t="str">
        <f>IFERROR(__xludf.DUMMYFUNCTION("""COMPUTED_VALUE"""),"002/009")</f>
        <v>002/009</v>
      </c>
      <c r="W870" s="85" t="str">
        <f>IFERROR(__xludf.DUMMYFUNCTION("""COMPUTED_VALUE"""),"BELANGWETAN")</f>
        <v>BELANGWETAN</v>
      </c>
      <c r="X870" s="85" t="str">
        <f>IFERROR(__xludf.DUMMYFUNCTION("""COMPUTED_VALUE"""),"KLATEN UTARA")</f>
        <v>KLATEN UTARA</v>
      </c>
      <c r="Y870" s="85" t="str">
        <f>IFERROR(__xludf.DUMMYFUNCTION("""COMPUTED_VALUE"""),"KLATEN, JATENG")</f>
        <v>KLATEN, JATENG</v>
      </c>
      <c r="Z870" s="85" t="str">
        <f>IFERROR(__xludf.DUMMYFUNCTION("""COMPUTED_VALUE"""),"JAWA TENGAH")</f>
        <v>JAWA TENGAH</v>
      </c>
      <c r="AA870" s="85" t="str">
        <f>IFERROR(__xludf.DUMMYFUNCTION("""COMPUTED_VALUE"""),"57438")</f>
        <v>57438</v>
      </c>
      <c r="AB870" s="85" t="str">
        <f>IFERROR(__xludf.DUMMYFUNCTION("""COMPUTED_VALUE"""),"3310242205820004")</f>
        <v>3310242205820004</v>
      </c>
      <c r="AC870" s="85" t="str">
        <f>IFERROR(__xludf.DUMMYFUNCTION("""COMPUTED_VALUE"""),"75.349.182.8-525.000")</f>
        <v>75.349.182.8-525.000</v>
      </c>
      <c r="AD870" s="85" t="str">
        <f>IFERROR(__xludf.DUMMYFUNCTION("""COMPUTED_VALUE"""),"CUM - YNA")</f>
        <v>CUM - YNA</v>
      </c>
      <c r="AE870" s="85" t="str">
        <f>IFERROR(__xludf.DUMMYFUNCTION("""COMPUTED_VALUE"""),"SUB YOHANNITA")</f>
        <v>SUB YOHANNITA</v>
      </c>
      <c r="AF870" s="85" t="str">
        <f>IFERROR(__xludf.DUMMYFUNCTION("""COMPUTED_VALUE"""),"081329582564")</f>
        <v>081329582564</v>
      </c>
      <c r="AG870" s="85" t="str">
        <f>IFERROR(__xludf.DUMMYFUNCTION("""COMPUTED_VALUE"""),"081329582564")</f>
        <v>081329582564</v>
      </c>
      <c r="AH870" s="85" t="str">
        <f>IFERROR(__xludf.DUMMYFUNCTION("""COMPUTED_VALUE"""),"ynacell866@gmail.com")</f>
        <v>ynacell866@gmail.com</v>
      </c>
      <c r="AI870" s="85" t="str">
        <f>IFERROR(__xludf.DUMMYFUNCTION("""COMPUTED_VALUE"""),"57438S3")</f>
        <v>57438S3</v>
      </c>
      <c r="AJ870" s="85" t="str">
        <f>IFERROR(__xludf.DUMMYFUNCTION("""COMPUTED_VALUE"""),"6210dfe6b42fab5d9016ea23")</f>
        <v>6210dfe6b42fab5d9016ea23</v>
      </c>
      <c r="AK870" s="85" t="str">
        <f>IFERROR(__xludf.DUMMYFUNCTION("""COMPUTED_VALUE"""),"dm57438s3")</f>
        <v>dm57438s3</v>
      </c>
      <c r="AL870" s="85" t="str">
        <f>IFERROR(__xludf.DUMMYFUNCTION("""COMPUTED_VALUE"""),"password")</f>
        <v>password</v>
      </c>
      <c r="AM870" s="85" t="str">
        <f>IFERROR(__xludf.DUMMYFUNCTION("""COMPUTED_VALUE"""),"KANTOR REGIONAL IV SEMARANG 50004")</f>
        <v>KANTOR REGIONAL IV SEMARANG 50004</v>
      </c>
      <c r="AN870" s="85" t="str">
        <f>IFERROR(__xludf.DUMMYFUNCTION("""COMPUTED_VALUE"""),"KPRK KLATEN 57400")</f>
        <v>KPRK KLATEN 57400</v>
      </c>
      <c r="AO870" s="85" t="str">
        <f>IFERROR(__xludf.DUMMYFUNCTION("""COMPUTED_VALUE"""),"2707220048632")</f>
        <v>2707220048632</v>
      </c>
      <c r="AP870" s="85" t="str">
        <f>IFERROR(__xludf.DUMMYFUNCTION("""COMPUTED_VALUE"""),"27072200486320001")</f>
        <v>27072200486320001</v>
      </c>
      <c r="AQ870" s="93"/>
      <c r="AR870" s="85"/>
      <c r="AS870" s="85"/>
      <c r="AT870" s="85" t="str">
        <f>IFERROR(__xludf.DUMMYFUNCTION("""COMPUTED_VALUE"""),"-7683103")</f>
        <v>-7683103</v>
      </c>
      <c r="AU870" s="85" t="str">
        <f>IFERROR(__xludf.DUMMYFUNCTION("""COMPUTED_VALUE"""),"110635031")</f>
        <v>110635031</v>
      </c>
      <c r="AV870" s="85"/>
      <c r="AW870" s="85"/>
      <c r="AX870" s="85"/>
      <c r="AY870" s="85"/>
      <c r="AZ870" s="85"/>
      <c r="BA870" s="85"/>
      <c r="BB870" s="85"/>
      <c r="BC870" s="85"/>
      <c r="BD870" s="85"/>
      <c r="BE870" s="85"/>
      <c r="BF870" s="85"/>
      <c r="BG870" s="85"/>
      <c r="BH870" s="85"/>
      <c r="BI870" s="85"/>
      <c r="BJ870" s="85"/>
      <c r="BK870" s="85"/>
      <c r="BL870" s="85"/>
      <c r="BM870" s="85"/>
      <c r="BN870" s="85"/>
      <c r="BO870" s="85"/>
      <c r="BP870" s="85"/>
      <c r="BQ870" s="85"/>
      <c r="BR870" s="85"/>
      <c r="BS870" s="85"/>
      <c r="BT870" s="85"/>
      <c r="BU870" s="85"/>
      <c r="BV870" s="85"/>
      <c r="BW870" s="85"/>
      <c r="BX870" s="85" t="str">
        <f>IFERROR(__xludf.DUMMYFUNCTION("""COMPUTED_VALUE"""),"CUM")</f>
        <v>CUM</v>
      </c>
      <c r="BY870" s="85"/>
      <c r="BZ870" s="85"/>
      <c r="CA870" s="85"/>
      <c r="CB870" s="85"/>
      <c r="CC870" s="85"/>
      <c r="CD870" s="85"/>
      <c r="CE870" s="85"/>
      <c r="CF870" s="85"/>
      <c r="CG870" s="85"/>
      <c r="CH870" s="85"/>
      <c r="CI870" s="85"/>
      <c r="CJ870" s="85"/>
      <c r="CK870" s="2"/>
    </row>
    <row r="871" ht="12.75" customHeight="1">
      <c r="A871" s="80">
        <f>IFERROR(__xludf.DUMMYFUNCTION("""COMPUTED_VALUE"""),867.0)</f>
        <v>867</v>
      </c>
      <c r="B871" s="80"/>
      <c r="C871" s="80"/>
      <c r="D871" s="81">
        <f>IFERROR(__xludf.DUMMYFUNCTION("""COMPUTED_VALUE"""),46090.0)</f>
        <v>46090</v>
      </c>
      <c r="E871" s="82"/>
      <c r="F871" s="80"/>
      <c r="G871" s="81">
        <f>IFERROR(__xludf.DUMMYFUNCTION("""COMPUTED_VALUE"""),46114.0)</f>
        <v>46114</v>
      </c>
      <c r="H871" s="80"/>
      <c r="I871" s="80"/>
      <c r="J871" s="80"/>
      <c r="K871" s="80"/>
      <c r="L871" s="80">
        <f>IFERROR(__xludf.DUMMYFUNCTION("""COMPUTED_VALUE"""),24.0)</f>
        <v>24</v>
      </c>
      <c r="M871" s="80" t="str">
        <f>IFERROR(__xludf.DUMMYFUNCTION("""COMPUTED_VALUE"""),"ü")</f>
        <v>ü</v>
      </c>
      <c r="N871" s="80"/>
      <c r="O871" s="80"/>
      <c r="P871" s="80" t="str">
        <f>IFERROR(__xludf.DUMMYFUNCTION("""COMPUTED_VALUE"""),"MUCSPA63389PSIND")</f>
        <v>MUCSPA63389PSIND</v>
      </c>
      <c r="Q871" s="80" t="str">
        <f>IFERROR(__xludf.DUMMYFUNCTION("""COMPUTED_VALUE"""),"MUC 99infinity")</f>
        <v>MUC 99infinity</v>
      </c>
      <c r="R871" s="80" t="str">
        <f>IFERROR(__xludf.DUMMYFUNCTION("""COMPUTED_VALUE"""),"MUC 99infinity")</f>
        <v>MUC 99infinity</v>
      </c>
      <c r="S871" s="80" t="str">
        <f>IFERROR(__xludf.DUMMYFUNCTION("""COMPUTED_VALUE"""),"MUGIANTO")</f>
        <v>MUGIANTO</v>
      </c>
      <c r="T871" s="80" t="str">
        <f>IFERROR(__xludf.DUMMYFUNCTION("""COMPUTED_VALUE"""),"KESATRIAN MARINIR RT 12 RW 5 CILANDAK TIMUR")</f>
        <v>KESATRIAN MARINIR RT 12 RW 5 CILANDAK TIMUR</v>
      </c>
      <c r="U871" s="80" t="str">
        <f>IFERROR(__xludf.DUMMYFUNCTION("""COMPUTED_VALUE"""),"JL.PESANTREN  NO.95 C")</f>
        <v>JL.PESANTREN  NO.95 C</v>
      </c>
      <c r="V871" s="80"/>
      <c r="W871" s="80" t="str">
        <f>IFERROR(__xludf.DUMMYFUNCTION("""COMPUTED_VALUE"""),"CIBABAT")</f>
        <v>CIBABAT</v>
      </c>
      <c r="X871" s="80" t="str">
        <f>IFERROR(__xludf.DUMMYFUNCTION("""COMPUTED_VALUE"""),"CIMAHI UTARA")</f>
        <v>CIMAHI UTARA</v>
      </c>
      <c r="Y871" s="80" t="str">
        <f>IFERROR(__xludf.DUMMYFUNCTION("""COMPUTED_VALUE"""),"CIMAHI")</f>
        <v>CIMAHI</v>
      </c>
      <c r="Z871" s="80" t="str">
        <f>IFERROR(__xludf.DUMMYFUNCTION("""COMPUTED_VALUE"""),"JAWA BARAT")</f>
        <v>JAWA BARAT</v>
      </c>
      <c r="AA871" s="80" t="str">
        <f>IFERROR(__xludf.DUMMYFUNCTION("""COMPUTED_VALUE"""),"40513")</f>
        <v>40513</v>
      </c>
      <c r="AB871" s="80" t="str">
        <f>IFERROR(__xludf.DUMMYFUNCTION("""COMPUTED_VALUE"""),"3174040405850017")</f>
        <v>3174040405850017</v>
      </c>
      <c r="AC871" s="80" t="str">
        <f>IFERROR(__xludf.DUMMYFUNCTION("""COMPUTED_VALUE"""),"88.788.549.9-017.000")</f>
        <v>88.788.549.9-017.000</v>
      </c>
      <c r="AD871" s="80" t="str">
        <f>IFERROR(__xludf.DUMMYFUNCTION("""COMPUTED_VALUE"""),"CUM - NOVI")</f>
        <v>CUM - NOVI</v>
      </c>
      <c r="AE871" s="80" t="str">
        <f>IFERROR(__xludf.DUMMYFUNCTION("""COMPUTED_VALUE"""),"SUB NOVI")</f>
        <v>SUB NOVI</v>
      </c>
      <c r="AF871" s="80" t="str">
        <f>IFERROR(__xludf.DUMMYFUNCTION("""COMPUTED_VALUE"""),"089501588742")</f>
        <v>089501588742</v>
      </c>
      <c r="AG871" s="80"/>
      <c r="AH871" s="80" t="str">
        <f>IFERROR(__xludf.DUMMYFUNCTION("""COMPUTED_VALUE"""),"gagah112216@gmail.com")</f>
        <v>gagah112216@gmail.com</v>
      </c>
      <c r="AI871" s="80" t="str">
        <f>IFERROR(__xludf.DUMMYFUNCTION("""COMPUTED_VALUE"""),"40513S3")</f>
        <v>40513S3</v>
      </c>
      <c r="AJ871" s="80" t="str">
        <f>IFERROR(__xludf.DUMMYFUNCTION("""COMPUTED_VALUE"""),"69cde541133bbc91c601b1d8")</f>
        <v>69cde541133bbc91c601b1d8</v>
      </c>
      <c r="AK871" s="80" t="str">
        <f>IFERROR(__xludf.DUMMYFUNCTION("""COMPUTED_VALUE"""),"gagah112216@gmail.com")</f>
        <v>gagah112216@gmail.com</v>
      </c>
      <c r="AL871" s="80" t="str">
        <f>IFERROR(__xludf.DUMMYFUNCTION("""COMPUTED_VALUE"""),"#Muc40513S3$")</f>
        <v>#Muc40513S3$</v>
      </c>
      <c r="AM871" s="80" t="str">
        <f>IFERROR(__xludf.DUMMYFUNCTION("""COMPUTED_VALUE"""),"KANTOR REGIONAL III BANDUNG 40004")</f>
        <v>KANTOR REGIONAL III BANDUNG 40004</v>
      </c>
      <c r="AN871" s="80" t="str">
        <f>IFERROR(__xludf.DUMMYFUNCTION("""COMPUTED_VALUE"""),"KC CIMAHI ")</f>
        <v>KC CIMAHI </v>
      </c>
      <c r="AO871" s="80" t="str">
        <f>IFERROR(__xludf.DUMMYFUNCTION("""COMPUTED_VALUE"""),"0903260025941")</f>
        <v>0903260025941</v>
      </c>
      <c r="AP871" s="80" t="str">
        <f>IFERROR(__xludf.DUMMYFUNCTION("""COMPUTED_VALUE"""),"09032600259410001")</f>
        <v>09032600259410001</v>
      </c>
      <c r="AQ871" s="83"/>
      <c r="AR871" s="80"/>
      <c r="AS871" s="80"/>
      <c r="AT871" s="80" t="str">
        <f>IFERROR(__xludf.DUMMYFUNCTION("""COMPUTED_VALUE"""),"-6.8738527")</f>
        <v>-6.8738527</v>
      </c>
      <c r="AU871" s="80" t="str">
        <f>IFERROR(__xludf.DUMMYFUNCTION("""COMPUTED_VALUE"""),"107.5607891")</f>
        <v>107.5607891</v>
      </c>
      <c r="AV871" s="80"/>
      <c r="AW871" s="80"/>
      <c r="AX871" s="80"/>
      <c r="AY871" s="80"/>
      <c r="AZ871" s="80"/>
      <c r="BA871" s="80"/>
      <c r="BB871" s="80"/>
      <c r="BC871" s="80"/>
      <c r="BD871" s="80"/>
      <c r="BE871" s="80"/>
      <c r="BF871" s="80"/>
      <c r="BG871" s="80"/>
      <c r="BH871" s="80"/>
      <c r="BI871" s="80"/>
      <c r="BJ871" s="80"/>
      <c r="BK871" s="80"/>
      <c r="BL871" s="80"/>
      <c r="BM871" s="80"/>
      <c r="BN871" s="80"/>
      <c r="BO871" s="80"/>
      <c r="BP871" s="80"/>
      <c r="BQ871" s="80"/>
      <c r="BR871" s="80"/>
      <c r="BS871" s="80"/>
      <c r="BT871" s="80"/>
      <c r="BU871" s="80"/>
      <c r="BV871" s="80"/>
      <c r="BW871" s="80"/>
      <c r="BX871" s="80" t="str">
        <f>IFERROR(__xludf.DUMMYFUNCTION("""COMPUTED_VALUE"""),"NEWBIE")</f>
        <v>NEWBIE</v>
      </c>
      <c r="BY871" s="80"/>
      <c r="BZ871" s="80"/>
      <c r="CA871" s="80"/>
      <c r="CB871" s="80"/>
      <c r="CC871" s="80"/>
      <c r="CD871" s="80"/>
      <c r="CE871" s="80"/>
      <c r="CF871" s="80"/>
      <c r="CG871" s="80"/>
      <c r="CH871" s="80"/>
      <c r="CI871" s="80"/>
      <c r="CJ871" s="80"/>
      <c r="CK871" s="2"/>
    </row>
    <row r="872" ht="12.75" customHeight="1">
      <c r="A872" s="85">
        <f>IFERROR(__xludf.DUMMYFUNCTION("""COMPUTED_VALUE"""),868.0)</f>
        <v>868</v>
      </c>
      <c r="B872" s="85"/>
      <c r="C872" s="85"/>
      <c r="D872" s="86">
        <f>IFERROR(__xludf.DUMMYFUNCTION("""COMPUTED_VALUE"""),46091.0)</f>
        <v>46091</v>
      </c>
      <c r="E872" s="88"/>
      <c r="F872" s="85"/>
      <c r="G872" s="86"/>
      <c r="H872" s="85"/>
      <c r="I872" s="85"/>
      <c r="J872" s="85"/>
      <c r="K872" s="85"/>
      <c r="L872" s="85"/>
      <c r="M872" s="85" t="str">
        <f>IFERROR(__xludf.DUMMYFUNCTION("""COMPUTED_VALUE"""),"ü")</f>
        <v>ü</v>
      </c>
      <c r="N872" s="85"/>
      <c r="O872" s="85"/>
      <c r="P872" s="85" t="str">
        <f>IFERROR(__xludf.DUMMYFUNCTION("""COMPUTED_VALUE"""),"52BSPA07554JTGKR")</f>
        <v>52BSPA07554JTGKR</v>
      </c>
      <c r="Q872" s="85" t="str">
        <f>IFERROR(__xludf.DUMMYFUNCTION("""COMPUTED_VALUE"""),"MUC PRIMA KOMPUTER")</f>
        <v>MUC PRIMA KOMPUTER</v>
      </c>
      <c r="R872" s="85" t="str">
        <f>IFERROR(__xludf.DUMMYFUNCTION("""COMPUTED_VALUE"""),"MUC PRIMA KOMPUTER")</f>
        <v>MUC PRIMA KOMPUTER</v>
      </c>
      <c r="S872" s="85" t="str">
        <f>IFERROR(__xludf.DUMMYFUNCTION("""COMPUTED_VALUE"""),"MAARIF")</f>
        <v>MAARIF</v>
      </c>
      <c r="T872" s="85" t="str">
        <f>IFERROR(__xludf.DUMMYFUNCTION("""COMPUTED_VALUE"""),"DK. KRAJAN BARAT RT.001 RW.001, BANYUMUDAL, MOGA, KAB. PEMALANG")</f>
        <v>DK. KRAJAN BARAT RT.001 RW.001, BANYUMUDAL, MOGA, KAB. PEMALANG</v>
      </c>
      <c r="U872" s="85" t="str">
        <f>IFERROR(__xludf.DUMMYFUNCTION("""COMPUTED_VALUE"""),"Jl. Raya Moga Karangsari RT01/01")</f>
        <v>Jl. Raya Moga Karangsari RT01/01</v>
      </c>
      <c r="V872" s="85"/>
      <c r="W872" s="85" t="str">
        <f>IFERROR(__xludf.DUMMYFUNCTION("""COMPUTED_VALUE"""),"Banyumudal")</f>
        <v>Banyumudal</v>
      </c>
      <c r="X872" s="85" t="str">
        <f>IFERROR(__xludf.DUMMYFUNCTION("""COMPUTED_VALUE"""),"Moga")</f>
        <v>Moga</v>
      </c>
      <c r="Y872" s="85" t="str">
        <f>IFERROR(__xludf.DUMMYFUNCTION("""COMPUTED_VALUE"""),"Pemalang")</f>
        <v>Pemalang</v>
      </c>
      <c r="Z872" s="85" t="str">
        <f>IFERROR(__xludf.DUMMYFUNCTION("""COMPUTED_VALUE"""),"Jawa Tengah")</f>
        <v>Jawa Tengah</v>
      </c>
      <c r="AA872" s="85" t="str">
        <f>IFERROR(__xludf.DUMMYFUNCTION("""COMPUTED_VALUE"""),"52354")</f>
        <v>52354</v>
      </c>
      <c r="AB872" s="85" t="str">
        <f>IFERROR(__xludf.DUMMYFUNCTION("""COMPUTED_VALUE"""),"3327011410790004")</f>
        <v>3327011410790004</v>
      </c>
      <c r="AC872" s="85" t="str">
        <f>IFERROR(__xludf.DUMMYFUNCTION("""COMPUTED_VALUE"""),"89.161.614.6-502.000")</f>
        <v>89.161.614.6-502.000</v>
      </c>
      <c r="AD872" s="85" t="str">
        <f>IFERROR(__xludf.DUMMYFUNCTION("""COMPUTED_VALUE"""),"CUM - KRS")</f>
        <v>CUM - KRS</v>
      </c>
      <c r="AE872" s="85" t="str">
        <f>IFERROR(__xludf.DUMMYFUNCTION("""COMPUTED_VALUE"""),"SUB KARSINI")</f>
        <v>SUB KARSINI</v>
      </c>
      <c r="AF872" s="85" t="str">
        <f>IFERROR(__xludf.DUMMYFUNCTION("""COMPUTED_VALUE"""),"085640843330")</f>
        <v>085640843330</v>
      </c>
      <c r="AG872" s="85"/>
      <c r="AH872" s="85" t="str">
        <f>IFERROR(__xludf.DUMMYFUNCTION("""COMPUTED_VALUE"""),"alipalam21@gmail.com")</f>
        <v>alipalam21@gmail.com</v>
      </c>
      <c r="AI872" s="85"/>
      <c r="AJ872" s="85"/>
      <c r="AK872" s="85"/>
      <c r="AL872" s="85"/>
      <c r="AM872" s="85" t="str">
        <f>IFERROR(__xludf.DUMMYFUNCTION("""COMPUTED_VALUE"""),"KANTOR REGIONAL IV SEMARANG 50004")</f>
        <v>KANTOR REGIONAL IV SEMARANG 50004</v>
      </c>
      <c r="AN872" s="85" t="str">
        <f>IFERROR(__xludf.DUMMYFUNCTION("""COMPUTED_VALUE"""),"KC PEMALANG")</f>
        <v>KC PEMALANG</v>
      </c>
      <c r="AO872" s="85" t="str">
        <f>IFERROR(__xludf.DUMMYFUNCTION("""COMPUTED_VALUE"""),"0220005202276")</f>
        <v>0220005202276</v>
      </c>
      <c r="AP872" s="85" t="str">
        <f>IFERROR(__xludf.DUMMYFUNCTION("""COMPUTED_VALUE"""),"02200052022760002")</f>
        <v>02200052022760002</v>
      </c>
      <c r="AQ872" s="93"/>
      <c r="AR872" s="85"/>
      <c r="AS872" s="85"/>
      <c r="AT872" s="85" t="str">
        <f>IFERROR(__xludf.DUMMYFUNCTION("""COMPUTED_VALUE"""),"-7.122146")</f>
        <v>-7.122146</v>
      </c>
      <c r="AU872" s="85" t="str">
        <f>IFERROR(__xludf.DUMMYFUNCTION("""COMPUTED_VALUE"""),"109.243940")</f>
        <v>109.243940</v>
      </c>
      <c r="AV872" s="85"/>
      <c r="AW872" s="85"/>
      <c r="AX872" s="85"/>
      <c r="AY872" s="85"/>
      <c r="AZ872" s="85"/>
      <c r="BA872" s="85"/>
      <c r="BB872" s="85"/>
      <c r="BC872" s="85"/>
      <c r="BD872" s="85"/>
      <c r="BE872" s="85"/>
      <c r="BF872" s="85"/>
      <c r="BG872" s="85"/>
      <c r="BH872" s="85"/>
      <c r="BI872" s="85"/>
      <c r="BJ872" s="85"/>
      <c r="BK872" s="85"/>
      <c r="BL872" s="85"/>
      <c r="BM872" s="85"/>
      <c r="BN872" s="85"/>
      <c r="BO872" s="85"/>
      <c r="BP872" s="85"/>
      <c r="BQ872" s="85"/>
      <c r="BR872" s="85"/>
      <c r="BS872" s="85"/>
      <c r="BT872" s="85"/>
      <c r="BU872" s="85"/>
      <c r="BV872" s="85"/>
      <c r="BW872" s="85"/>
      <c r="BX872" s="85" t="str">
        <f>IFERROR(__xludf.DUMMYFUNCTION("""COMPUTED_VALUE"""),"NEWBIE")</f>
        <v>NEWBIE</v>
      </c>
      <c r="BY872" s="85"/>
      <c r="BZ872" s="85"/>
      <c r="CA872" s="85"/>
      <c r="CB872" s="85"/>
      <c r="CC872" s="85"/>
      <c r="CD872" s="85"/>
      <c r="CE872" s="85"/>
      <c r="CF872" s="85"/>
      <c r="CG872" s="85"/>
      <c r="CH872" s="85"/>
      <c r="CI872" s="85"/>
      <c r="CJ872" s="85"/>
      <c r="CK872" s="2"/>
    </row>
    <row r="873" ht="12.75" customHeight="1">
      <c r="A873" s="80">
        <f>IFERROR(__xludf.DUMMYFUNCTION("""COMPUTED_VALUE"""),869.0)</f>
        <v>869</v>
      </c>
      <c r="B873" s="80"/>
      <c r="C873" s="80"/>
      <c r="D873" s="81">
        <f>IFERROR(__xludf.DUMMYFUNCTION("""COMPUTED_VALUE"""),46091.0)</f>
        <v>46091</v>
      </c>
      <c r="E873" s="82"/>
      <c r="F873" s="80"/>
      <c r="G873" s="81"/>
      <c r="H873" s="80"/>
      <c r="I873" s="80"/>
      <c r="J873" s="80"/>
      <c r="K873" s="80"/>
      <c r="L873" s="80"/>
      <c r="M873" s="80"/>
      <c r="N873" s="80" t="str">
        <f>IFERROR(__xludf.DUMMYFUNCTION("""COMPUTED_VALUE"""),"ü")</f>
        <v>ü</v>
      </c>
      <c r="O873" s="80"/>
      <c r="P873" s="80" t="str">
        <f>IFERROR(__xludf.DUMMYFUNCTION("""COMPUTED_VALUE"""),"MUCSPA63390PSIND")</f>
        <v>MUCSPA63390PSIND</v>
      </c>
      <c r="Q873" s="80" t="str">
        <f>IFERROR(__xludf.DUMMYFUNCTION("""COMPUTED_VALUE"""),"MUC TOKO LIZ")</f>
        <v>MUC TOKO LIZ</v>
      </c>
      <c r="R873" s="80" t="str">
        <f>IFERROR(__xludf.DUMMYFUNCTION("""COMPUTED_VALUE"""),"MUC TOKO LIZ")</f>
        <v>MUC TOKO LIZ</v>
      </c>
      <c r="S873" s="80" t="str">
        <f>IFERROR(__xludf.DUMMYFUNCTION("""COMPUTED_VALUE"""),"LISMARLINAH")</f>
        <v>LISMARLINAH</v>
      </c>
      <c r="T873" s="80" t="str">
        <f>IFERROR(__xludf.DUMMYFUNCTION("""COMPUTED_VALUE"""),"DUSUN PEDURUNGAN TENGAH RT 4 RW 9")</f>
        <v>DUSUN PEDURUNGAN TENGAH RT 4 RW 9</v>
      </c>
      <c r="U873" s="80" t="str">
        <f>IFERROR(__xludf.DUMMYFUNCTION("""COMPUTED_VALUE"""),"JL. PANCAKARYA DUSUN PEDURUNGAN TENGAH RT 4 RW 9")</f>
        <v>JL. PANCAKARYA DUSUN PEDURUNGAN TENGAH RT 4 RW 9</v>
      </c>
      <c r="V873" s="80"/>
      <c r="W873" s="80" t="str">
        <f>IFERROR(__xludf.DUMMYFUNCTION("""COMPUTED_VALUE"""),"PEDURUNGAN ")</f>
        <v>PEDURUNGAN </v>
      </c>
      <c r="X873" s="80" t="str">
        <f>IFERROR(__xludf.DUMMYFUNCTION("""COMPUTED_VALUE"""),"TAMAN")</f>
        <v>TAMAN</v>
      </c>
      <c r="Y873" s="80" t="str">
        <f>IFERROR(__xludf.DUMMYFUNCTION("""COMPUTED_VALUE"""),"KAB. PEMALANG")</f>
        <v>KAB. PEMALANG</v>
      </c>
      <c r="Z873" s="80" t="str">
        <f>IFERROR(__xludf.DUMMYFUNCTION("""COMPUTED_VALUE"""),"JAWA TENGAH")</f>
        <v>JAWA TENGAH</v>
      </c>
      <c r="AA873" s="80" t="str">
        <f>IFERROR(__xludf.DUMMYFUNCTION("""COMPUTED_VALUE"""),"52361")</f>
        <v>52361</v>
      </c>
      <c r="AB873" s="80" t="str">
        <f>IFERROR(__xludf.DUMMYFUNCTION("""COMPUTED_VALUE"""),"3327095305840018")</f>
        <v>3327095305840018</v>
      </c>
      <c r="AC873" s="80" t="str">
        <f>IFERROR(__xludf.DUMMYFUNCTION("""COMPUTED_VALUE"""),"21.185.866.7-502.000")</f>
        <v>21.185.866.7-502.000</v>
      </c>
      <c r="AD873" s="80" t="str">
        <f>IFERROR(__xludf.DUMMYFUNCTION("""COMPUTED_VALUE"""),"CUM - PS - ANALIS")</f>
        <v>CUM - PS - ANALIS</v>
      </c>
      <c r="AE873" s="80" t="str">
        <f>IFERROR(__xludf.DUMMYFUNCTION("""COMPUTED_VALUE"""),"SUB ANALIS FAJAR PEMALANG")</f>
        <v>SUB ANALIS FAJAR PEMALANG</v>
      </c>
      <c r="AF873" s="80" t="str">
        <f>IFERROR(__xludf.DUMMYFUNCTION("""COMPUTED_VALUE"""),"085326914045")</f>
        <v>085326914045</v>
      </c>
      <c r="AG873" s="80"/>
      <c r="AH873" s="80" t="str">
        <f>IFERROR(__xludf.DUMMYFUNCTION("""COMPUTED_VALUE"""),"lismarlinah01@gmail.com")</f>
        <v>lismarlinah01@gmail.com</v>
      </c>
      <c r="AI873" s="80"/>
      <c r="AJ873" s="80"/>
      <c r="AK873" s="80"/>
      <c r="AL873" s="80"/>
      <c r="AM873" s="80" t="str">
        <f>IFERROR(__xludf.DUMMYFUNCTION("""COMPUTED_VALUE"""),"KANTOR REGIONAL IV SEMARANG 50004")</f>
        <v>KANTOR REGIONAL IV SEMARANG 50004</v>
      </c>
      <c r="AN873" s="80" t="str">
        <f>IFERROR(__xludf.DUMMYFUNCTION("""COMPUTED_VALUE"""),"KC PEMALANG")</f>
        <v>KC PEMALANG</v>
      </c>
      <c r="AO873" s="80" t="str">
        <f>IFERROR(__xludf.DUMMYFUNCTION("""COMPUTED_VALUE"""),"1003260082223")</f>
        <v>1003260082223</v>
      </c>
      <c r="AP873" s="80" t="str">
        <f>IFERROR(__xludf.DUMMYFUNCTION("""COMPUTED_VALUE"""),"10032600822230001")</f>
        <v>10032600822230001</v>
      </c>
      <c r="AQ873" s="83"/>
      <c r="AR873" s="80"/>
      <c r="AS873" s="80"/>
      <c r="AT873" s="80" t="str">
        <f>IFERROR(__xludf.DUMMYFUNCTION("""COMPUTED_VALUE"""),"-6.9034575")</f>
        <v>-6.9034575</v>
      </c>
      <c r="AU873" s="80" t="str">
        <f>IFERROR(__xludf.DUMMYFUNCTION("""COMPUTED_VALUE"""),"109.4193266")</f>
        <v>109.4193266</v>
      </c>
      <c r="AV873" s="80"/>
      <c r="AW873" s="80"/>
      <c r="AX873" s="80"/>
      <c r="AY873" s="80"/>
      <c r="AZ873" s="80"/>
      <c r="BA873" s="80"/>
      <c r="BB873" s="80"/>
      <c r="BC873" s="80"/>
      <c r="BD873" s="80"/>
      <c r="BE873" s="80"/>
      <c r="BF873" s="80"/>
      <c r="BG873" s="80"/>
      <c r="BH873" s="80"/>
      <c r="BI873" s="80"/>
      <c r="BJ873" s="80"/>
      <c r="BK873" s="80"/>
      <c r="BL873" s="80"/>
      <c r="BM873" s="80"/>
      <c r="BN873" s="80"/>
      <c r="BO873" s="80"/>
      <c r="BP873" s="80"/>
      <c r="BQ873" s="80"/>
      <c r="BR873" s="80"/>
      <c r="BS873" s="80"/>
      <c r="BT873" s="80"/>
      <c r="BU873" s="80"/>
      <c r="BV873" s="80"/>
      <c r="BW873" s="80"/>
      <c r="BX873" s="80" t="str">
        <f>IFERROR(__xludf.DUMMYFUNCTION("""COMPUTED_VALUE"""),"BRILINK")</f>
        <v>BRILINK</v>
      </c>
      <c r="BY873" s="80"/>
      <c r="BZ873" s="80"/>
      <c r="CA873" s="80"/>
      <c r="CB873" s="80"/>
      <c r="CC873" s="80"/>
      <c r="CD873" s="80"/>
      <c r="CE873" s="80"/>
      <c r="CF873" s="80"/>
      <c r="CG873" s="80"/>
      <c r="CH873" s="80"/>
      <c r="CI873" s="80"/>
      <c r="CJ873" s="80"/>
      <c r="CK873" s="2"/>
    </row>
    <row r="874" ht="12.75" customHeight="1">
      <c r="A874" s="85">
        <f>IFERROR(__xludf.DUMMYFUNCTION("""COMPUTED_VALUE"""),870.0)</f>
        <v>870</v>
      </c>
      <c r="B874" s="85"/>
      <c r="C874" s="85"/>
      <c r="D874" s="86">
        <f>IFERROR(__xludf.DUMMYFUNCTION("""COMPUTED_VALUE"""),46091.0)</f>
        <v>46091</v>
      </c>
      <c r="E874" s="88"/>
      <c r="F874" s="85"/>
      <c r="G874" s="86">
        <f>IFERROR(__xludf.DUMMYFUNCTION("""COMPUTED_VALUE"""),46097.0)</f>
        <v>46097</v>
      </c>
      <c r="H874" s="85"/>
      <c r="I874" s="85"/>
      <c r="J874" s="85"/>
      <c r="K874" s="85"/>
      <c r="L874" s="85">
        <f>IFERROR(__xludf.DUMMYFUNCTION("""COMPUTED_VALUE"""),6.0)</f>
        <v>6</v>
      </c>
      <c r="M874" s="85" t="str">
        <f>IFERROR(__xludf.DUMMYFUNCTION("""COMPUTED_VALUE"""),"ü")</f>
        <v>ü</v>
      </c>
      <c r="N874" s="85"/>
      <c r="O874" s="85"/>
      <c r="P874" s="85" t="str">
        <f>IFERROR(__xludf.DUMMYFUNCTION("""COMPUTED_VALUE"""),"52BSPA07856JTAMT")</f>
        <v>52BSPA07856JTAMT</v>
      </c>
      <c r="Q874" s="85" t="str">
        <f>IFERROR(__xludf.DUMMYFUNCTION("""COMPUTED_VALUE"""),"MUC DEMAK KOTA")</f>
        <v>MUC DEMAK KOTA</v>
      </c>
      <c r="R874" s="85" t="str">
        <f>IFERROR(__xludf.DUMMYFUNCTION("""COMPUTED_VALUE"""),"MUC DEMAK KOTA")</f>
        <v>MUC DEMAK KOTA</v>
      </c>
      <c r="S874" s="85" t="str">
        <f>IFERROR(__xludf.DUMMYFUNCTION("""COMPUTED_VALUE"""),"SUTRISMAN")</f>
        <v>SUTRISMAN</v>
      </c>
      <c r="T874" s="85" t="str">
        <f>IFERROR(__xludf.DUMMYFUNCTION("""COMPUTED_VALUE"""),"JL. NURCAHYA NO. 1076 RT.005 RW.006, BINTORO, DEMAK, KAB. DEMAK")</f>
        <v>JL. NURCAHYA NO. 1076 RT.005 RW.006, BINTORO, DEMAK, KAB. DEMAK</v>
      </c>
      <c r="U874" s="85" t="str">
        <f>IFERROR(__xludf.DUMMYFUNCTION("""COMPUTED_VALUE"""),"JL. NURCAHYA NO. 1076 RT.005 RW.006")</f>
        <v>JL. NURCAHYA NO. 1076 RT.005 RW.006</v>
      </c>
      <c r="V874" s="85"/>
      <c r="W874" s="85" t="str">
        <f>IFERROR(__xludf.DUMMYFUNCTION("""COMPUTED_VALUE"""),"Bintoro")</f>
        <v>Bintoro</v>
      </c>
      <c r="X874" s="85" t="str">
        <f>IFERROR(__xludf.DUMMYFUNCTION("""COMPUTED_VALUE"""),"Demak")</f>
        <v>Demak</v>
      </c>
      <c r="Y874" s="85" t="str">
        <f>IFERROR(__xludf.DUMMYFUNCTION("""COMPUTED_VALUE"""),"Kab. Demak")</f>
        <v>Kab. Demak</v>
      </c>
      <c r="Z874" s="85" t="str">
        <f>IFERROR(__xludf.DUMMYFUNCTION("""COMPUTED_VALUE"""),"Jawa Tengah")</f>
        <v>Jawa Tengah</v>
      </c>
      <c r="AA874" s="85" t="str">
        <f>IFERROR(__xludf.DUMMYFUNCTION("""COMPUTED_VALUE"""),"59511")</f>
        <v>59511</v>
      </c>
      <c r="AB874" s="85" t="str">
        <f>IFERROR(__xludf.DUMMYFUNCTION("""COMPUTED_VALUE"""),"3321111612610001")</f>
        <v>3321111612610001</v>
      </c>
      <c r="AC874" s="85" t="str">
        <f>IFERROR(__xludf.DUMMYFUNCTION("""COMPUTED_VALUE"""),"57.746.018.1-515.000")</f>
        <v>57.746.018.1-515.000</v>
      </c>
      <c r="AD874" s="85" t="str">
        <f>IFERROR(__xludf.DUMMYFUNCTION("""COMPUTED_VALUE"""),"CUM - AMT")</f>
        <v>CUM - AMT</v>
      </c>
      <c r="AE874" s="85" t="str">
        <f>IFERROR(__xludf.DUMMYFUNCTION("""COMPUTED_VALUE"""),"SUB AMINARTI")</f>
        <v>SUB AMINARTI</v>
      </c>
      <c r="AF874" s="85" t="str">
        <f>IFERROR(__xludf.DUMMYFUNCTION("""COMPUTED_VALUE"""),"082223069373")</f>
        <v>082223069373</v>
      </c>
      <c r="AG874" s="85"/>
      <c r="AH874" s="85" t="str">
        <f>IFERROR(__xludf.DUMMYFUNCTION("""COMPUTED_VALUE"""),"trisman5000@gmail.com")</f>
        <v>trisman5000@gmail.com</v>
      </c>
      <c r="AI874" s="85" t="str">
        <f>IFERROR(__xludf.DUMMYFUNCTION("""COMPUTED_VALUE"""),"59511S5")</f>
        <v>59511S5</v>
      </c>
      <c r="AJ874" s="85" t="str">
        <f>IFERROR(__xludf.DUMMYFUNCTION("""COMPUTED_VALUE"""),"69b501891796cd927c03ec85")</f>
        <v>69b501891796cd927c03ec85</v>
      </c>
      <c r="AK874" s="85" t="str">
        <f>IFERROR(__xludf.DUMMYFUNCTION("""COMPUTED_VALUE"""),"trisman5000@gmail.com")</f>
        <v>trisman5000@gmail.com</v>
      </c>
      <c r="AL874" s="85" t="str">
        <f>IFERROR(__xludf.DUMMYFUNCTION("""COMPUTED_VALUE"""),"#Muc59511S5$")</f>
        <v>#Muc59511S5$</v>
      </c>
      <c r="AM874" s="85" t="str">
        <f>IFERROR(__xludf.DUMMYFUNCTION("""COMPUTED_VALUE"""),"KANTOR REGIONAL IV SEMARANG 50004")</f>
        <v>KANTOR REGIONAL IV SEMARANG 50004</v>
      </c>
      <c r="AN874" s="85" t="str">
        <f>IFERROR(__xludf.DUMMYFUNCTION("""COMPUTED_VALUE"""),"KCU SEMARANG 50000")</f>
        <v>KCU SEMARANG 50000</v>
      </c>
      <c r="AO874" s="85" t="str">
        <f>IFERROR(__xludf.DUMMYFUNCTION("""COMPUTED_VALUE"""),"1103260026479")</f>
        <v>1103260026479</v>
      </c>
      <c r="AP874" s="85" t="str">
        <f>IFERROR(__xludf.DUMMYFUNCTION("""COMPUTED_VALUE"""),"11032600264790001")</f>
        <v>11032600264790001</v>
      </c>
      <c r="AQ874" s="93"/>
      <c r="AR874" s="85"/>
      <c r="AS874" s="85"/>
      <c r="AT874" s="85" t="str">
        <f>IFERROR(__xludf.DUMMYFUNCTION("""COMPUTED_VALUE"""),"-6.888587")</f>
        <v>-6.888587</v>
      </c>
      <c r="AU874" s="85" t="str">
        <f>IFERROR(__xludf.DUMMYFUNCTION("""COMPUTED_VALUE"""),"110.639127")</f>
        <v>110.639127</v>
      </c>
      <c r="AV874" s="85"/>
      <c r="AW874" s="85"/>
      <c r="AX874" s="85"/>
      <c r="AY874" s="85"/>
      <c r="AZ874" s="85"/>
      <c r="BA874" s="85"/>
      <c r="BB874" s="85"/>
      <c r="BC874" s="85"/>
      <c r="BD874" s="85"/>
      <c r="BE874" s="85"/>
      <c r="BF874" s="85"/>
      <c r="BG874" s="85"/>
      <c r="BH874" s="85"/>
      <c r="BI874" s="85"/>
      <c r="BJ874" s="85"/>
      <c r="BK874" s="85"/>
      <c r="BL874" s="85"/>
      <c r="BM874" s="85"/>
      <c r="BN874" s="85"/>
      <c r="BO874" s="85"/>
      <c r="BP874" s="85"/>
      <c r="BQ874" s="85"/>
      <c r="BR874" s="85"/>
      <c r="BS874" s="85"/>
      <c r="BT874" s="85"/>
      <c r="BU874" s="85"/>
      <c r="BV874" s="85"/>
      <c r="BW874" s="85"/>
      <c r="BX874" s="85" t="str">
        <f>IFERROR(__xludf.DUMMYFUNCTION("""COMPUTED_VALUE"""),"MULTIKURIR - JNE")</f>
        <v>MULTIKURIR - JNE</v>
      </c>
      <c r="BY874" s="85"/>
      <c r="BZ874" s="85"/>
      <c r="CA874" s="85"/>
      <c r="CB874" s="85"/>
      <c r="CC874" s="85"/>
      <c r="CD874" s="85"/>
      <c r="CE874" s="85"/>
      <c r="CF874" s="85"/>
      <c r="CG874" s="85"/>
      <c r="CH874" s="85"/>
      <c r="CI874" s="85"/>
      <c r="CJ874" s="85"/>
      <c r="CK874" s="2"/>
    </row>
    <row r="875" ht="12.75" customHeight="1">
      <c r="A875" s="80">
        <f>IFERROR(__xludf.DUMMYFUNCTION("""COMPUTED_VALUE"""),871.0)</f>
        <v>871</v>
      </c>
      <c r="B875" s="80"/>
      <c r="C875" s="80"/>
      <c r="D875" s="81">
        <f>IFERROR(__xludf.DUMMYFUNCTION("""COMPUTED_VALUE"""),46091.0)</f>
        <v>46091</v>
      </c>
      <c r="E875" s="82"/>
      <c r="F875" s="80"/>
      <c r="G875" s="81">
        <f>IFERROR(__xludf.DUMMYFUNCTION("""COMPUTED_VALUE"""),46097.0)</f>
        <v>46097</v>
      </c>
      <c r="H875" s="80"/>
      <c r="I875" s="80"/>
      <c r="J875" s="80"/>
      <c r="K875" s="80"/>
      <c r="L875" s="80">
        <f>IFERROR(__xludf.DUMMYFUNCTION("""COMPUTED_VALUE"""),6.0)</f>
        <v>6</v>
      </c>
      <c r="M875" s="80" t="str">
        <f>IFERROR(__xludf.DUMMYFUNCTION("""COMPUTED_VALUE"""),"ü")</f>
        <v>ü</v>
      </c>
      <c r="N875" s="80"/>
      <c r="O875" s="80"/>
      <c r="P875" s="80" t="str">
        <f>IFERROR(__xludf.DUMMYFUNCTION("""COMPUTED_VALUE"""),"MUCSPA63391PSIND")</f>
        <v>MUCSPA63391PSIND</v>
      </c>
      <c r="Q875" s="80" t="str">
        <f>IFERROR(__xludf.DUMMYFUNCTION("""COMPUTED_VALUE"""),"MUC HUSMIDAR")</f>
        <v>MUC HUSMIDAR</v>
      </c>
      <c r="R875" s="80" t="str">
        <f>IFERROR(__xludf.DUMMYFUNCTION("""COMPUTED_VALUE"""),"MUC HUSMIDAR")</f>
        <v>MUC HUSMIDAR</v>
      </c>
      <c r="S875" s="80" t="str">
        <f>IFERROR(__xludf.DUMMYFUNCTION("""COMPUTED_VALUE"""),"NUNUNG HUSMIDAR")</f>
        <v>NUNUNG HUSMIDAR</v>
      </c>
      <c r="T875" s="80" t="str">
        <f>IFERROR(__xludf.DUMMYFUNCTION("""COMPUTED_VALUE"""),"PERUM PESONA ANGGREK HARAPAN BLOK E4/01 RT.008 RW.021, HARAPAN JAYA, BEKASI UTARA")</f>
        <v>PERUM PESONA ANGGREK HARAPAN BLOK E4/01 RT.008 RW.021, HARAPAN JAYA, BEKASI UTARA</v>
      </c>
      <c r="U875" s="80" t="str">
        <f>IFERROR(__xludf.DUMMYFUNCTION("""COMPUTED_VALUE"""),"Pesona Anggrek Blok E4/1")</f>
        <v>Pesona Anggrek Blok E4/1</v>
      </c>
      <c r="V875" s="80"/>
      <c r="W875" s="80" t="str">
        <f>IFERROR(__xludf.DUMMYFUNCTION("""COMPUTED_VALUE"""),"Harapan Jaya")</f>
        <v>Harapan Jaya</v>
      </c>
      <c r="X875" s="80" t="str">
        <f>IFERROR(__xludf.DUMMYFUNCTION("""COMPUTED_VALUE"""),"Bekasi Utara")</f>
        <v>Bekasi Utara</v>
      </c>
      <c r="Y875" s="80" t="str">
        <f>IFERROR(__xludf.DUMMYFUNCTION("""COMPUTED_VALUE"""),"Kota Bekasi ")</f>
        <v>Kota Bekasi </v>
      </c>
      <c r="Z875" s="80" t="str">
        <f>IFERROR(__xludf.DUMMYFUNCTION("""COMPUTED_VALUE"""),"Jawa Barat")</f>
        <v>Jawa Barat</v>
      </c>
      <c r="AA875" s="80" t="str">
        <f>IFERROR(__xludf.DUMMYFUNCTION("""COMPUTED_VALUE"""),"17124")</f>
        <v>17124</v>
      </c>
      <c r="AB875" s="80" t="str">
        <f>IFERROR(__xludf.DUMMYFUNCTION("""COMPUTED_VALUE"""),"3275035311780020")</f>
        <v>3275035311780020</v>
      </c>
      <c r="AC875" s="80" t="str">
        <f>IFERROR(__xludf.DUMMYFUNCTION("""COMPUTED_VALUE"""),"87.254.135.4-045.000")</f>
        <v>87.254.135.4-045.000</v>
      </c>
      <c r="AD875" s="80" t="str">
        <f>IFERROR(__xludf.DUMMYFUNCTION("""COMPUTED_VALUE"""),"CUM - PS - AYS")</f>
        <v>CUM - PS - AYS</v>
      </c>
      <c r="AE875" s="80" t="str">
        <f>IFERROR(__xludf.DUMMYFUNCTION("""COMPUTED_VALUE"""),"SUB YUNUS POS")</f>
        <v>SUB YUNUS POS</v>
      </c>
      <c r="AF875" s="80" t="str">
        <f>IFERROR(__xludf.DUMMYFUNCTION("""COMPUTED_VALUE"""),"087721212042")</f>
        <v>087721212042</v>
      </c>
      <c r="AG875" s="80"/>
      <c r="AH875" s="80" t="str">
        <f>IFERROR(__xludf.DUMMYFUNCTION("""COMPUTED_VALUE"""),"husmidarpos@gmail.com")</f>
        <v>husmidarpos@gmail.com</v>
      </c>
      <c r="AI875" s="80" t="str">
        <f>IFERROR(__xludf.DUMMYFUNCTION("""COMPUTED_VALUE"""),"17124S5")</f>
        <v>17124S5</v>
      </c>
      <c r="AJ875" s="80" t="str">
        <f>IFERROR(__xludf.DUMMYFUNCTION("""COMPUTED_VALUE"""),"69b7a80e6efe1364730d3dc4")</f>
        <v>69b7a80e6efe1364730d3dc4</v>
      </c>
      <c r="AK875" s="80" t="str">
        <f>IFERROR(__xludf.DUMMYFUNCTION("""COMPUTED_VALUE"""),"husmidarpos@gmail.com")</f>
        <v>husmidarpos@gmail.com</v>
      </c>
      <c r="AL875" s="80" t="str">
        <f>IFERROR(__xludf.DUMMYFUNCTION("""COMPUTED_VALUE"""),"#Muc17124S5$")</f>
        <v>#Muc17124S5$</v>
      </c>
      <c r="AM875" s="80" t="str">
        <f>IFERROR(__xludf.DUMMYFUNCTION("""COMPUTED_VALUE"""),"KANTOR REGIONAL II JAKARTA 10004")</f>
        <v>KANTOR REGIONAL II JAKARTA 10004</v>
      </c>
      <c r="AN875" s="80" t="str">
        <f>IFERROR(__xludf.DUMMYFUNCTION("""COMPUTED_VALUE"""),"KCU BEKASI 17000")</f>
        <v>KCU BEKASI 17000</v>
      </c>
      <c r="AO875" s="80" t="str">
        <f>IFERROR(__xludf.DUMMYFUNCTION("""COMPUTED_VALUE"""),"1103260028764")</f>
        <v>1103260028764</v>
      </c>
      <c r="AP875" s="80" t="str">
        <f>IFERROR(__xludf.DUMMYFUNCTION("""COMPUTED_VALUE"""),"11032600287640001")</f>
        <v>11032600287640001</v>
      </c>
      <c r="AQ875" s="83"/>
      <c r="AR875" s="80"/>
      <c r="AS875" s="80"/>
      <c r="AT875" s="80" t="str">
        <f>IFERROR(__xludf.DUMMYFUNCTION("""COMPUTED_VALUE"""),"-6.204029")</f>
        <v>-6.204029</v>
      </c>
      <c r="AU875" s="80" t="str">
        <f>IFERROR(__xludf.DUMMYFUNCTION("""COMPUTED_VALUE"""),"106.998562")</f>
        <v>106.998562</v>
      </c>
      <c r="AV875" s="80"/>
      <c r="AW875" s="80"/>
      <c r="AX875" s="80"/>
      <c r="AY875" s="80"/>
      <c r="AZ875" s="80"/>
      <c r="BA875" s="80"/>
      <c r="BB875" s="80"/>
      <c r="BC875" s="80"/>
      <c r="BD875" s="80"/>
      <c r="BE875" s="80"/>
      <c r="BF875" s="80"/>
      <c r="BG875" s="80"/>
      <c r="BH875" s="80"/>
      <c r="BI875" s="80"/>
      <c r="BJ875" s="80"/>
      <c r="BK875" s="80"/>
      <c r="BL875" s="80"/>
      <c r="BM875" s="80"/>
      <c r="BN875" s="80"/>
      <c r="BO875" s="80"/>
      <c r="BP875" s="80"/>
      <c r="BQ875" s="80"/>
      <c r="BR875" s="80"/>
      <c r="BS875" s="80"/>
      <c r="BT875" s="80"/>
      <c r="BU875" s="80"/>
      <c r="BV875" s="80"/>
      <c r="BW875" s="80"/>
      <c r="BX875" s="80" t="str">
        <f>IFERROR(__xludf.DUMMYFUNCTION("""COMPUTED_VALUE"""),"NEWBIE")</f>
        <v>NEWBIE</v>
      </c>
      <c r="BY875" s="80"/>
      <c r="BZ875" s="80"/>
      <c r="CA875" s="80"/>
      <c r="CB875" s="80"/>
      <c r="CC875" s="80"/>
      <c r="CD875" s="80"/>
      <c r="CE875" s="80"/>
      <c r="CF875" s="80"/>
      <c r="CG875" s="80"/>
      <c r="CH875" s="80"/>
      <c r="CI875" s="80"/>
      <c r="CJ875" s="80"/>
      <c r="CK875" s="2"/>
    </row>
    <row r="876" ht="12.75" customHeight="1">
      <c r="A876" s="85">
        <f>IFERROR(__xludf.DUMMYFUNCTION("""COMPUTED_VALUE"""),872.0)</f>
        <v>872</v>
      </c>
      <c r="B876" s="85"/>
      <c r="C876" s="85"/>
      <c r="D876" s="86">
        <f>IFERROR(__xludf.DUMMYFUNCTION("""COMPUTED_VALUE"""),46091.0)</f>
        <v>46091</v>
      </c>
      <c r="E876" s="88"/>
      <c r="F876" s="85"/>
      <c r="G876" s="86"/>
      <c r="H876" s="85"/>
      <c r="I876" s="85"/>
      <c r="J876" s="85"/>
      <c r="K876" s="85"/>
      <c r="L876" s="85"/>
      <c r="M876" s="85" t="str">
        <f>IFERROR(__xludf.DUMMYFUNCTION("""COMPUTED_VALUE"""),"ü")</f>
        <v>ü</v>
      </c>
      <c r="N876" s="85"/>
      <c r="O876" s="85"/>
      <c r="P876" s="85" t="str">
        <f>IFERROR(__xludf.DUMMYFUNCTION("""COMPUTED_VALUE"""),"53BSPA09905JBEEN")</f>
        <v>53BSPA09905JBEEN</v>
      </c>
      <c r="Q876" s="85" t="str">
        <f>IFERROR(__xludf.DUMMYFUNCTION("""COMPUTED_VALUE"""),"MUC PELINDUNG HEWAN")</f>
        <v>MUC PELINDUNG HEWAN</v>
      </c>
      <c r="R876" s="85" t="str">
        <f>IFERROR(__xludf.DUMMYFUNCTION("""COMPUTED_VALUE"""),"MUC PELINDUNG HEWAN")</f>
        <v>MUC PELINDUNG HEWAN</v>
      </c>
      <c r="S876" s="85" t="str">
        <f>IFERROR(__xludf.DUMMYFUNCTION("""COMPUTED_VALUE"""),"EDWIN ANGKASA")</f>
        <v>EDWIN ANGKASA</v>
      </c>
      <c r="T876" s="85" t="str">
        <f>IFERROR(__xludf.DUMMYFUNCTION("""COMPUTED_VALUE"""),"JL. PELINDUNG HEWAN RT.003 RW.009, PELINDUNG HEWAN, ASTANA ANYAR, KOTA BANDUNG")</f>
        <v>JL. PELINDUNG HEWAN RT.003 RW.009, PELINDUNG HEWAN, ASTANA ANYAR, KOTA BANDUNG</v>
      </c>
      <c r="U876" s="85" t="str">
        <f>IFERROR(__xludf.DUMMYFUNCTION("""COMPUTED_VALUE"""),"Jl. Pelindung Hewan No.26")</f>
        <v>Jl. Pelindung Hewan No.26</v>
      </c>
      <c r="V876" s="85"/>
      <c r="W876" s="85" t="str">
        <f>IFERROR(__xludf.DUMMYFUNCTION("""COMPUTED_VALUE"""),"Pelindung Hewan")</f>
        <v>Pelindung Hewan</v>
      </c>
      <c r="X876" s="85" t="str">
        <f>IFERROR(__xludf.DUMMYFUNCTION("""COMPUTED_VALUE"""),"Astanaanyar")</f>
        <v>Astanaanyar</v>
      </c>
      <c r="Y876" s="85" t="str">
        <f>IFERROR(__xludf.DUMMYFUNCTION("""COMPUTED_VALUE"""),"Kota Bandung")</f>
        <v>Kota Bandung</v>
      </c>
      <c r="Z876" s="85" t="str">
        <f>IFERROR(__xludf.DUMMYFUNCTION("""COMPUTED_VALUE"""),"Jawa Barat ")</f>
        <v>Jawa Barat </v>
      </c>
      <c r="AA876" s="85" t="str">
        <f>IFERROR(__xludf.DUMMYFUNCTION("""COMPUTED_VALUE"""),"40243")</f>
        <v>40243</v>
      </c>
      <c r="AB876" s="85" t="str">
        <f>IFERROR(__xludf.DUMMYFUNCTION("""COMPUTED_VALUE"""),"3273101007910002")</f>
        <v>3273101007910002</v>
      </c>
      <c r="AC876" s="85" t="str">
        <f>IFERROR(__xludf.DUMMYFUNCTION("""COMPUTED_VALUE"""),"66.986.983.6.422.000")</f>
        <v>66.986.983.6.422.000</v>
      </c>
      <c r="AD876" s="85" t="str">
        <f>IFERROR(__xludf.DUMMYFUNCTION("""COMPUTED_VALUE"""),"CUM - EEN")</f>
        <v>CUM - EEN</v>
      </c>
      <c r="AE876" s="85" t="str">
        <f>IFERROR(__xludf.DUMMYFUNCTION("""COMPUTED_VALUE"""),"SUB EEN")</f>
        <v>SUB EEN</v>
      </c>
      <c r="AF876" s="85" t="str">
        <f>IFERROR(__xludf.DUMMYFUNCTION("""COMPUTED_VALUE"""),"089656439754")</f>
        <v>089656439754</v>
      </c>
      <c r="AG876" s="85"/>
      <c r="AH876" s="85" t="str">
        <f>IFERROR(__xludf.DUMMYFUNCTION("""COMPUTED_VALUE"""),"Edwinang43@gmail.com")</f>
        <v>Edwinang43@gmail.com</v>
      </c>
      <c r="AI876" s="85"/>
      <c r="AJ876" s="85"/>
      <c r="AK876" s="85"/>
      <c r="AL876" s="85"/>
      <c r="AM876" s="85" t="str">
        <f>IFERROR(__xludf.DUMMYFUNCTION("""COMPUTED_VALUE"""),"KANTOR REGIONAL III BANDUNG 40004")</f>
        <v>KANTOR REGIONAL III BANDUNG 40004</v>
      </c>
      <c r="AN876" s="85" t="str">
        <f>IFERROR(__xludf.DUMMYFUNCTION("""COMPUTED_VALUE"""),"KCU BANDUNG 40000")</f>
        <v>KCU BANDUNG 40000</v>
      </c>
      <c r="AO876" s="85" t="str">
        <f>IFERROR(__xludf.DUMMYFUNCTION("""COMPUTED_VALUE"""),"MENYUSUL")</f>
        <v>MENYUSUL</v>
      </c>
      <c r="AP876" s="85" t="str">
        <f>IFERROR(__xludf.DUMMYFUNCTION("""COMPUTED_VALUE"""),"MENYUSUL")</f>
        <v>MENYUSUL</v>
      </c>
      <c r="AQ876" s="93"/>
      <c r="AR876" s="85"/>
      <c r="AS876" s="85"/>
      <c r="AT876" s="85" t="str">
        <f>IFERROR(__xludf.DUMMYFUNCTION("""COMPUTED_VALUE"""),"-6.9406235")</f>
        <v>-6.9406235</v>
      </c>
      <c r="AU876" s="85" t="str">
        <f>IFERROR(__xludf.DUMMYFUNCTION("""COMPUTED_VALUE"""),"107.6054855")</f>
        <v>107.6054855</v>
      </c>
      <c r="AV876" s="85"/>
      <c r="AW876" s="85"/>
      <c r="AX876" s="85"/>
      <c r="AY876" s="85"/>
      <c r="AZ876" s="85"/>
      <c r="BA876" s="85"/>
      <c r="BB876" s="85"/>
      <c r="BC876" s="85"/>
      <c r="BD876" s="85"/>
      <c r="BE876" s="85"/>
      <c r="BF876" s="85"/>
      <c r="BG876" s="85"/>
      <c r="BH876" s="85"/>
      <c r="BI876" s="85"/>
      <c r="BJ876" s="85"/>
      <c r="BK876" s="85"/>
      <c r="BL876" s="85"/>
      <c r="BM876" s="85"/>
      <c r="BN876" s="85"/>
      <c r="BO876" s="85"/>
      <c r="BP876" s="85"/>
      <c r="BQ876" s="85"/>
      <c r="BR876" s="85"/>
      <c r="BS876" s="85"/>
      <c r="BT876" s="85"/>
      <c r="BU876" s="85"/>
      <c r="BV876" s="85"/>
      <c r="BW876" s="85"/>
      <c r="BX876" s="85" t="str">
        <f>IFERROR(__xludf.DUMMYFUNCTION("""COMPUTED_VALUE"""),"MULTIKURIR - ")</f>
        <v>MULTIKURIR - </v>
      </c>
      <c r="BY876" s="85"/>
      <c r="BZ876" s="85"/>
      <c r="CA876" s="85"/>
      <c r="CB876" s="85"/>
      <c r="CC876" s="85"/>
      <c r="CD876" s="85"/>
      <c r="CE876" s="85"/>
      <c r="CF876" s="85"/>
      <c r="CG876" s="85"/>
      <c r="CH876" s="85"/>
      <c r="CI876" s="85"/>
      <c r="CJ876" s="85"/>
      <c r="CK876" s="2"/>
    </row>
    <row r="877" ht="12.75" customHeight="1">
      <c r="A877" s="80">
        <f>IFERROR(__xludf.DUMMYFUNCTION("""COMPUTED_VALUE"""),873.0)</f>
        <v>873</v>
      </c>
      <c r="B877" s="80"/>
      <c r="C877" s="80"/>
      <c r="D877" s="81">
        <f>IFERROR(__xludf.DUMMYFUNCTION("""COMPUTED_VALUE"""),46092.0)</f>
        <v>46092</v>
      </c>
      <c r="E877" s="82"/>
      <c r="F877" s="80"/>
      <c r="G877" s="81">
        <f>IFERROR(__xludf.DUMMYFUNCTION("""COMPUTED_VALUE"""),46132.0)</f>
        <v>46132</v>
      </c>
      <c r="H877" s="80"/>
      <c r="I877" s="80"/>
      <c r="J877" s="80"/>
      <c r="K877" s="80"/>
      <c r="L877" s="80">
        <f>IFERROR(__xludf.DUMMYFUNCTION("""COMPUTED_VALUE"""),40.0)</f>
        <v>40</v>
      </c>
      <c r="M877" s="80" t="str">
        <f>IFERROR(__xludf.DUMMYFUNCTION("""COMPUTED_VALUE"""),"ü")</f>
        <v>ü</v>
      </c>
      <c r="N877" s="80"/>
      <c r="O877" s="80"/>
      <c r="P877" s="80" t="str">
        <f>IFERROR(__xludf.DUMMYFUNCTION("""COMPUTED_VALUE"""),"52BSPA22630JTAMT")</f>
        <v>52BSPA22630JTAMT</v>
      </c>
      <c r="Q877" s="80" t="str">
        <f>IFERROR(__xludf.DUMMYFUNCTION("""COMPUTED_VALUE"""),"MUC FR COM")</f>
        <v>MUC FR COM</v>
      </c>
      <c r="R877" s="80" t="str">
        <f>IFERROR(__xludf.DUMMYFUNCTION("""COMPUTED_VALUE"""),"MUC FR COM")</f>
        <v>MUC FR COM</v>
      </c>
      <c r="S877" s="80" t="str">
        <f>IFERROR(__xludf.DUMMYFUNCTION("""COMPUTED_VALUE"""),"Hendry Juwariyatun")</f>
        <v>Hendry Juwariyatun</v>
      </c>
      <c r="T877" s="80" t="str">
        <f>IFERROR(__xludf.DUMMYFUNCTION("""COMPUTED_VALUE"""),"MUC FR COM")</f>
        <v>MUC FR COM</v>
      </c>
      <c r="U877" s="80" t="str">
        <f>IFERROR(__xludf.DUMMYFUNCTION("""COMPUTED_VALUE"""),"Dk. Mbelik rt 5 rw 1 ")</f>
        <v>Dk. Mbelik rt 5 rw 1 </v>
      </c>
      <c r="V877" s="80"/>
      <c r="W877" s="80" t="str">
        <f>IFERROR(__xludf.DUMMYFUNCTION("""COMPUTED_VALUE"""),"Gunungwungkal ")</f>
        <v>Gunungwungkal </v>
      </c>
      <c r="X877" s="80" t="str">
        <f>IFERROR(__xludf.DUMMYFUNCTION("""COMPUTED_VALUE"""),"Gunungwungkal ")</f>
        <v>Gunungwungkal </v>
      </c>
      <c r="Y877" s="80" t="str">
        <f>IFERROR(__xludf.DUMMYFUNCTION("""COMPUTED_VALUE"""),"kab. Pati")</f>
        <v>kab. Pati</v>
      </c>
      <c r="Z877" s="80" t="str">
        <f>IFERROR(__xludf.DUMMYFUNCTION("""COMPUTED_VALUE"""),"Jawa Tengah")</f>
        <v>Jawa Tengah</v>
      </c>
      <c r="AA877" s="80" t="str">
        <f>IFERROR(__xludf.DUMMYFUNCTION("""COMPUTED_VALUE"""),"59156")</f>
        <v>59156</v>
      </c>
      <c r="AB877" s="80" t="str">
        <f>IFERROR(__xludf.DUMMYFUNCTION("""COMPUTED_VALUE"""),"3318176506930001")</f>
        <v>3318176506930001</v>
      </c>
      <c r="AC877" s="80" t="str">
        <f>IFERROR(__xludf.DUMMYFUNCTION("""COMPUTED_VALUE"""),"97.339.636.9-507.000")</f>
        <v>97.339.636.9-507.000</v>
      </c>
      <c r="AD877" s="80" t="str">
        <f>IFERROR(__xludf.DUMMYFUNCTION("""COMPUTED_VALUE"""),"CUM - AMT")</f>
        <v>CUM - AMT</v>
      </c>
      <c r="AE877" s="80" t="str">
        <f>IFERROR(__xludf.DUMMYFUNCTION("""COMPUTED_VALUE"""),"SUB AMINARTI")</f>
        <v>SUB AMINARTI</v>
      </c>
      <c r="AF877" s="80" t="str">
        <f>IFERROR(__xludf.DUMMYFUNCTION("""COMPUTED_VALUE"""),"085216638749")</f>
        <v>085216638749</v>
      </c>
      <c r="AG877" s="80"/>
      <c r="AH877" s="80" t="str">
        <f>IFERROR(__xludf.DUMMYFUNCTION("""COMPUTED_VALUE"""),"two.riariuzol@gmail.com")</f>
        <v>two.riariuzol@gmail.com</v>
      </c>
      <c r="AI877" s="80" t="str">
        <f>IFERROR(__xludf.DUMMYFUNCTION("""COMPUTED_VALUE"""),"59156S2")</f>
        <v>59156S2</v>
      </c>
      <c r="AJ877" s="80" t="str">
        <f>IFERROR(__xludf.DUMMYFUNCTION("""COMPUTED_VALUE"""),"69e1e5d7b1905dc2ca08e617")</f>
        <v>69e1e5d7b1905dc2ca08e617</v>
      </c>
      <c r="AK877" s="80" t="str">
        <f>IFERROR(__xludf.DUMMYFUNCTION("""COMPUTED_VALUE"""),"two.riariuzol@gmail.com")</f>
        <v>two.riariuzol@gmail.com</v>
      </c>
      <c r="AL877" s="80" t="str">
        <f>IFERROR(__xludf.DUMMYFUNCTION("""COMPUTED_VALUE"""),"#Muc59156S2$")</f>
        <v>#Muc59156S2$</v>
      </c>
      <c r="AM877" s="80" t="str">
        <f>IFERROR(__xludf.DUMMYFUNCTION("""COMPUTED_VALUE"""),"KANTOR REGIONAL IV SEMARANG 50004")</f>
        <v>KANTOR REGIONAL IV SEMARANG 50004</v>
      </c>
      <c r="AN877" s="80" t="str">
        <f>IFERROR(__xludf.DUMMYFUNCTION("""COMPUTED_VALUE"""),"KC PATI 59100")</f>
        <v>KC PATI 59100</v>
      </c>
      <c r="AO877" s="80" t="str">
        <f>IFERROR(__xludf.DUMMYFUNCTION("""COMPUTED_VALUE"""),"1291002482412")</f>
        <v>1291002482412</v>
      </c>
      <c r="AP877" s="80" t="str">
        <f>IFERROR(__xludf.DUMMYFUNCTION("""COMPUTED_VALUE"""),"12910024824120001")</f>
        <v>12910024824120001</v>
      </c>
      <c r="AQ877" s="83"/>
      <c r="AR877" s="80"/>
      <c r="AS877" s="80"/>
      <c r="AT877" s="80" t="str">
        <f>IFERROR(__xludf.DUMMYFUNCTION("""COMPUTED_VALUE"""),"-6.569419")</f>
        <v>-6.569419</v>
      </c>
      <c r="AU877" s="80" t="str">
        <f>IFERROR(__xludf.DUMMYFUNCTION("""COMPUTED_VALUE"""),"110.991771")</f>
        <v>110.991771</v>
      </c>
      <c r="AV877" s="80"/>
      <c r="AW877" s="80"/>
      <c r="AX877" s="80"/>
      <c r="AY877" s="80"/>
      <c r="AZ877" s="80"/>
      <c r="BA877" s="80"/>
      <c r="BB877" s="80"/>
      <c r="BC877" s="80"/>
      <c r="BD877" s="80"/>
      <c r="BE877" s="80"/>
      <c r="BF877" s="80"/>
      <c r="BG877" s="80"/>
      <c r="BH877" s="80"/>
      <c r="BI877" s="80"/>
      <c r="BJ877" s="80"/>
      <c r="BK877" s="80"/>
      <c r="BL877" s="80"/>
      <c r="BM877" s="80"/>
      <c r="BN877" s="80"/>
      <c r="BO877" s="80"/>
      <c r="BP877" s="80"/>
      <c r="BQ877" s="80"/>
      <c r="BR877" s="80"/>
      <c r="BS877" s="80"/>
      <c r="BT877" s="80"/>
      <c r="BU877" s="80"/>
      <c r="BV877" s="80"/>
      <c r="BW877" s="80"/>
      <c r="BX877" s="80" t="str">
        <f>IFERROR(__xludf.DUMMYFUNCTION("""COMPUTED_VALUE"""),"NEWBIE")</f>
        <v>NEWBIE</v>
      </c>
      <c r="BY877" s="80"/>
      <c r="BZ877" s="80"/>
      <c r="CA877" s="80"/>
      <c r="CB877" s="80"/>
      <c r="CC877" s="80"/>
      <c r="CD877" s="80"/>
      <c r="CE877" s="80"/>
      <c r="CF877" s="80"/>
      <c r="CG877" s="80"/>
      <c r="CH877" s="80"/>
      <c r="CI877" s="80"/>
      <c r="CJ877" s="80"/>
      <c r="CK877" s="2"/>
    </row>
    <row r="878" ht="12.75" customHeight="1">
      <c r="A878" s="85">
        <f>IFERROR(__xludf.DUMMYFUNCTION("""COMPUTED_VALUE"""),874.0)</f>
        <v>874</v>
      </c>
      <c r="B878" s="85"/>
      <c r="C878" s="85"/>
      <c r="D878" s="86">
        <f>IFERROR(__xludf.DUMMYFUNCTION("""COMPUTED_VALUE"""),46093.0)</f>
        <v>46093</v>
      </c>
      <c r="E878" s="88"/>
      <c r="F878" s="85"/>
      <c r="G878" s="86">
        <f>IFERROR(__xludf.DUMMYFUNCTION("""COMPUTED_VALUE"""),46114.0)</f>
        <v>46114</v>
      </c>
      <c r="H878" s="85"/>
      <c r="I878" s="85"/>
      <c r="J878" s="85"/>
      <c r="K878" s="85"/>
      <c r="L878" s="85">
        <f>IFERROR(__xludf.DUMMYFUNCTION("""COMPUTED_VALUE"""),21.0)</f>
        <v>21</v>
      </c>
      <c r="M878" s="85" t="str">
        <f>IFERROR(__xludf.DUMMYFUNCTION("""COMPUTED_VALUE"""),"ü")</f>
        <v>ü</v>
      </c>
      <c r="N878" s="85"/>
      <c r="O878" s="85"/>
      <c r="P878" s="85" t="str">
        <f>IFERROR(__xludf.DUMMYFUNCTION("""COMPUTED_VALUE"""),"53BSPA09913JBNDS")</f>
        <v>53BSPA09913JBNDS</v>
      </c>
      <c r="Q878" s="85" t="str">
        <f>IFERROR(__xludf.DUMMYFUNCTION("""COMPUTED_VALUE"""),"MUC Daratan Kopi 25")</f>
        <v>MUC Daratan Kopi 25</v>
      </c>
      <c r="R878" s="85" t="str">
        <f>IFERROR(__xludf.DUMMYFUNCTION("""COMPUTED_VALUE"""),"MUC Daratan Kopi 25")</f>
        <v>MUC Daratan Kopi 25</v>
      </c>
      <c r="S878" s="85" t="str">
        <f>IFERROR(__xludf.DUMMYFUNCTION("""COMPUTED_VALUE"""),"ADITYA DWI JAYANTO")</f>
        <v>ADITYA DWI JAYANTO</v>
      </c>
      <c r="T878" s="85" t="str">
        <f>IFERROR(__xludf.DUMMYFUNCTION("""COMPUTED_VALUE"""),"Ds. Dengkek RT09/RW02, Dengkek Kec. Pati, Kab. Pati, Jawa Tengah")</f>
        <v>Ds. Dengkek RT09/RW02, Dengkek Kec. Pati, Kab. Pati, Jawa Tengah</v>
      </c>
      <c r="U878" s="85" t="str">
        <f>IFERROR(__xludf.DUMMYFUNCTION("""COMPUTED_VALUE"""),"Jl. Desa Dengkek RT.009/RW.002")</f>
        <v>Jl. Desa Dengkek RT.009/RW.002</v>
      </c>
      <c r="V878" s="85"/>
      <c r="W878" s="85" t="str">
        <f>IFERROR(__xludf.DUMMYFUNCTION("""COMPUTED_VALUE"""),"Dengkek")</f>
        <v>Dengkek</v>
      </c>
      <c r="X878" s="85" t="str">
        <f>IFERROR(__xludf.DUMMYFUNCTION("""COMPUTED_VALUE"""),"Pati")</f>
        <v>Pati</v>
      </c>
      <c r="Y878" s="85" t="str">
        <f>IFERROR(__xludf.DUMMYFUNCTION("""COMPUTED_VALUE"""),"Pati")</f>
        <v>Pati</v>
      </c>
      <c r="Z878" s="85" t="str">
        <f>IFERROR(__xludf.DUMMYFUNCTION("""COMPUTED_VALUE"""),"Jawa Tengah")</f>
        <v>Jawa Tengah</v>
      </c>
      <c r="AA878" s="85" t="str">
        <f>IFERROR(__xludf.DUMMYFUNCTION("""COMPUTED_VALUE"""),"59119")</f>
        <v>59119</v>
      </c>
      <c r="AB878" s="85" t="str">
        <f>IFERROR(__xludf.DUMMYFUNCTION("""COMPUTED_VALUE"""),"3318101510900004")</f>
        <v>3318101510900004</v>
      </c>
      <c r="AC878" s="85" t="str">
        <f>IFERROR(__xludf.DUMMYFUNCTION("""COMPUTED_VALUE"""),"55.660.528.5-507.000")</f>
        <v>55.660.528.5-507.000</v>
      </c>
      <c r="AD878" s="85" t="str">
        <f>IFERROR(__xludf.DUMMYFUNCTION("""COMPUTED_VALUE"""),"CUM - NDS")</f>
        <v>CUM - NDS</v>
      </c>
      <c r="AE878" s="85" t="str">
        <f>IFERROR(__xludf.DUMMYFUNCTION("""COMPUTED_VALUE"""),"SUB NURUL DIMAS")</f>
        <v>SUB NURUL DIMAS</v>
      </c>
      <c r="AF878" s="85" t="str">
        <f>IFERROR(__xludf.DUMMYFUNCTION("""COMPUTED_VALUE"""),"082242460697")</f>
        <v>082242460697</v>
      </c>
      <c r="AG878" s="85"/>
      <c r="AH878" s="85" t="str">
        <f>IFERROR(__xludf.DUMMYFUNCTION("""COMPUTED_VALUE"""),"aditya.jayanto@yahoo.co.id")</f>
        <v>aditya.jayanto@yahoo.co.id</v>
      </c>
      <c r="AI878" s="85" t="str">
        <f>IFERROR(__xludf.DUMMYFUNCTION("""COMPUTED_VALUE"""),"59119S3")</f>
        <v>59119S3</v>
      </c>
      <c r="AJ878" s="85" t="str">
        <f>IFERROR(__xludf.DUMMYFUNCTION("""COMPUTED_VALUE"""),"69cdc6028c6beda2f10dba27")</f>
        <v>69cdc6028c6beda2f10dba27</v>
      </c>
      <c r="AK878" s="85" t="str">
        <f>IFERROR(__xludf.DUMMYFUNCTION("""COMPUTED_VALUE"""),"aditya.jayanto@yahoo.co.id")</f>
        <v>aditya.jayanto@yahoo.co.id</v>
      </c>
      <c r="AL878" s="85" t="str">
        <f>IFERROR(__xludf.DUMMYFUNCTION("""COMPUTED_VALUE"""),"#Muc59119S3$")</f>
        <v>#Muc59119S3$</v>
      </c>
      <c r="AM878" s="85" t="str">
        <f>IFERROR(__xludf.DUMMYFUNCTION("""COMPUTED_VALUE"""),"KANTOR REGIONAL IV SEMARANG 50004")</f>
        <v>KANTOR REGIONAL IV SEMARANG 50004</v>
      </c>
      <c r="AN878" s="85" t="str">
        <f>IFERROR(__xludf.DUMMYFUNCTION("""COMPUTED_VALUE"""),"KC PATI 59100")</f>
        <v>KC PATI 59100</v>
      </c>
      <c r="AO878" s="85" t="str">
        <f>IFERROR(__xludf.DUMMYFUNCTION("""COMPUTED_VALUE"""),"1303260034414")</f>
        <v>1303260034414</v>
      </c>
      <c r="AP878" s="85" t="str">
        <f>IFERROR(__xludf.DUMMYFUNCTION("""COMPUTED_VALUE"""),"13032600344140001")</f>
        <v>13032600344140001</v>
      </c>
      <c r="AQ878" s="93"/>
      <c r="AR878" s="85"/>
      <c r="AS878" s="85"/>
      <c r="AT878" s="85" t="str">
        <f>IFERROR(__xludf.DUMMYFUNCTION("""COMPUTED_VALUE"""),"-6.756646")</f>
        <v>-6.756646</v>
      </c>
      <c r="AU878" s="85" t="str">
        <f>IFERROR(__xludf.DUMMYFUNCTION("""COMPUTED_VALUE"""),"111.065125")</f>
        <v>111.065125</v>
      </c>
      <c r="AV878" s="85"/>
      <c r="AW878" s="85"/>
      <c r="AX878" s="85"/>
      <c r="AY878" s="85"/>
      <c r="AZ878" s="85"/>
      <c r="BA878" s="85"/>
      <c r="BB878" s="85"/>
      <c r="BC878" s="85"/>
      <c r="BD878" s="85"/>
      <c r="BE878" s="85"/>
      <c r="BF878" s="85"/>
      <c r="BG878" s="85"/>
      <c r="BH878" s="85"/>
      <c r="BI878" s="85"/>
      <c r="BJ878" s="85"/>
      <c r="BK878" s="85"/>
      <c r="BL878" s="85"/>
      <c r="BM878" s="85"/>
      <c r="BN878" s="85"/>
      <c r="BO878" s="85"/>
      <c r="BP878" s="85"/>
      <c r="BQ878" s="85"/>
      <c r="BR878" s="85"/>
      <c r="BS878" s="85"/>
      <c r="BT878" s="85"/>
      <c r="BU878" s="85"/>
      <c r="BV878" s="85"/>
      <c r="BW878" s="85"/>
      <c r="BX878" s="85" t="str">
        <f>IFERROR(__xludf.DUMMYFUNCTION("""COMPUTED_VALUE"""),"NEWBIE")</f>
        <v>NEWBIE</v>
      </c>
      <c r="BY878" s="85"/>
      <c r="BZ878" s="85"/>
      <c r="CA878" s="85"/>
      <c r="CB878" s="85"/>
      <c r="CC878" s="85"/>
      <c r="CD878" s="85"/>
      <c r="CE878" s="85"/>
      <c r="CF878" s="85"/>
      <c r="CG878" s="85"/>
      <c r="CH878" s="85"/>
      <c r="CI878" s="85"/>
      <c r="CJ878" s="85"/>
      <c r="CK878" s="2"/>
    </row>
    <row r="879" ht="12.75" customHeight="1">
      <c r="A879" s="80">
        <f>IFERROR(__xludf.DUMMYFUNCTION("""COMPUTED_VALUE"""),875.0)</f>
        <v>875</v>
      </c>
      <c r="B879" s="80"/>
      <c r="C879" s="80"/>
      <c r="D879" s="81">
        <f>IFERROR(__xludf.DUMMYFUNCTION("""COMPUTED_VALUE"""),46093.0)</f>
        <v>46093</v>
      </c>
      <c r="E879" s="82"/>
      <c r="F879" s="80"/>
      <c r="G879" s="81">
        <f>IFERROR(__xludf.DUMMYFUNCTION("""COMPUTED_VALUE"""),46107.0)</f>
        <v>46107</v>
      </c>
      <c r="H879" s="80"/>
      <c r="I879" s="80"/>
      <c r="J879" s="80"/>
      <c r="K879" s="80"/>
      <c r="L879" s="80">
        <f>IFERROR(__xludf.DUMMYFUNCTION("""COMPUTED_VALUE"""),14.0)</f>
        <v>14</v>
      </c>
      <c r="M879" s="80" t="str">
        <f>IFERROR(__xludf.DUMMYFUNCTION("""COMPUTED_VALUE"""),"ü")</f>
        <v>ü</v>
      </c>
      <c r="N879" s="80"/>
      <c r="O879" s="80"/>
      <c r="P879" s="80" t="str">
        <f>IFERROR(__xludf.DUMMYFUNCTION("""COMPUTED_VALUE"""),"MUCSPA63392PSIND")</f>
        <v>MUCSPA63392PSIND</v>
      </c>
      <c r="Q879" s="80" t="str">
        <f>IFERROR(__xludf.DUMMYFUNCTION("""COMPUTED_VALUE"""),"MUC MANGUN JAYA")</f>
        <v>MUC MANGUN JAYA</v>
      </c>
      <c r="R879" s="80" t="str">
        <f>IFERROR(__xludf.DUMMYFUNCTION("""COMPUTED_VALUE"""),"MUC MANGUN JAYA")</f>
        <v>MUC MANGUN JAYA</v>
      </c>
      <c r="S879" s="80" t="str">
        <f>IFERROR(__xludf.DUMMYFUNCTION("""COMPUTED_VALUE"""),"DELA ROSITA DELVIANI")</f>
        <v>DELA ROSITA DELVIANI</v>
      </c>
      <c r="T879" s="80" t="str">
        <f>IFERROR(__xludf.DUMMYFUNCTION("""COMPUTED_VALUE"""),"KP TAMBELANG RT.009 RW.005 SUKARAPIH, TAMBEANG, KAB. BEKASI")</f>
        <v>KP TAMBELANG RT.009 RW.005 SUKARAPIH, TAMBEANG, KAB. BEKASI</v>
      </c>
      <c r="U879" s="80" t="str">
        <f>IFERROR(__xludf.DUMMYFUNCTION("""COMPUTED_VALUE"""),"Jl. Raya Mangun Jaya 1 No.23, RT.05/RW.13")</f>
        <v>Jl. Raya Mangun Jaya 1 No.23, RT.05/RW.13</v>
      </c>
      <c r="V879" s="80"/>
      <c r="W879" s="80" t="str">
        <f>IFERROR(__xludf.DUMMYFUNCTION("""COMPUTED_VALUE"""),"Mangunjaya")</f>
        <v>Mangunjaya</v>
      </c>
      <c r="X879" s="80" t="str">
        <f>IFERROR(__xludf.DUMMYFUNCTION("""COMPUTED_VALUE"""),"Tambun Selatan")</f>
        <v>Tambun Selatan</v>
      </c>
      <c r="Y879" s="80" t="str">
        <f>IFERROR(__xludf.DUMMYFUNCTION("""COMPUTED_VALUE"""),"Kabupaten Bekasi")</f>
        <v>Kabupaten Bekasi</v>
      </c>
      <c r="Z879" s="80" t="str">
        <f>IFERROR(__xludf.DUMMYFUNCTION("""COMPUTED_VALUE"""),"Jawa Barat ")</f>
        <v>Jawa Barat </v>
      </c>
      <c r="AA879" s="80" t="str">
        <f>IFERROR(__xludf.DUMMYFUNCTION("""COMPUTED_VALUE"""),"17510")</f>
        <v>17510</v>
      </c>
      <c r="AB879" s="80" t="str">
        <f>IFERROR(__xludf.DUMMYFUNCTION("""COMPUTED_VALUE"""),"3216045212960005")</f>
        <v>3216045212960005</v>
      </c>
      <c r="AC879" s="80" t="str">
        <f>IFERROR(__xludf.DUMMYFUNCTION("""COMPUTED_VALUE"""),"96.440.329.9-435.000")</f>
        <v>96.440.329.9-435.000</v>
      </c>
      <c r="AD879" s="80" t="str">
        <f>IFERROR(__xludf.DUMMYFUNCTION("""COMPUTED_VALUE"""),"CUM - PS - JMN")</f>
        <v>CUM - PS - JMN</v>
      </c>
      <c r="AE879" s="80" t="str">
        <f>IFERROR(__xludf.DUMMYFUNCTION("""COMPUTED_VALUE"""),"SUB JAMJAM POS")</f>
        <v>SUB JAMJAM POS</v>
      </c>
      <c r="AF879" s="80" t="str">
        <f>IFERROR(__xludf.DUMMYFUNCTION("""COMPUTED_VALUE"""),"082211370422")</f>
        <v>082211370422</v>
      </c>
      <c r="AG879" s="80"/>
      <c r="AH879" s="80" t="str">
        <f>IFERROR(__xludf.DUMMYFUNCTION("""COMPUTED_VALUE"""),"momdell16@gmail.com")</f>
        <v>momdell16@gmail.com</v>
      </c>
      <c r="AI879" s="80" t="str">
        <f>IFERROR(__xludf.DUMMYFUNCTION("""COMPUTED_VALUE"""),"17517S7")</f>
        <v>17517S7</v>
      </c>
      <c r="AJ879" s="80" t="str">
        <f>IFERROR(__xludf.DUMMYFUNCTION("""COMPUTED_VALUE"""),"69c3a58f19bca564d10dcfcb")</f>
        <v>69c3a58f19bca564d10dcfcb</v>
      </c>
      <c r="AK879" s="80" t="str">
        <f>IFERROR(__xludf.DUMMYFUNCTION("""COMPUTED_VALUE"""),"momdell16@gmail.com")</f>
        <v>momdell16@gmail.com</v>
      </c>
      <c r="AL879" s="80" t="str">
        <f>IFERROR(__xludf.DUMMYFUNCTION("""COMPUTED_VALUE"""),"#Muc17517S7$")</f>
        <v>#Muc17517S7$</v>
      </c>
      <c r="AM879" s="80" t="str">
        <f>IFERROR(__xludf.DUMMYFUNCTION("""COMPUTED_VALUE"""),"KANTOR REGIONAL II JAKARTA 10004")</f>
        <v>KANTOR REGIONAL II JAKARTA 10004</v>
      </c>
      <c r="AN879" s="80" t="str">
        <f>IFERROR(__xludf.DUMMYFUNCTION("""COMPUTED_VALUE"""),"KC CIKARANG 17500")</f>
        <v>KC CIKARANG 17500</v>
      </c>
      <c r="AO879" s="80" t="str">
        <f>IFERROR(__xludf.DUMMYFUNCTION("""COMPUTED_VALUE"""),"2402260057736")</f>
        <v>2402260057736</v>
      </c>
      <c r="AP879" s="80" t="str">
        <f>IFERROR(__xludf.DUMMYFUNCTION("""COMPUTED_VALUE"""),"24022600577360002")</f>
        <v>24022600577360002</v>
      </c>
      <c r="AQ879" s="83"/>
      <c r="AR879" s="80"/>
      <c r="AS879" s="80"/>
      <c r="AT879" s="80" t="str">
        <f>IFERROR(__xludf.DUMMYFUNCTION("""COMPUTED_VALUE"""),"-6.2466957")</f>
        <v>-6.2466957</v>
      </c>
      <c r="AU879" s="80" t="str">
        <f>IFERROR(__xludf.DUMMYFUNCTION("""COMPUTED_VALUE"""),"107.0614331")</f>
        <v>107.0614331</v>
      </c>
      <c r="AV879" s="80"/>
      <c r="AW879" s="80"/>
      <c r="AX879" s="80"/>
      <c r="AY879" s="80"/>
      <c r="AZ879" s="80"/>
      <c r="BA879" s="80"/>
      <c r="BB879" s="80"/>
      <c r="BC879" s="80"/>
      <c r="BD879" s="80"/>
      <c r="BE879" s="80"/>
      <c r="BF879" s="80"/>
      <c r="BG879" s="80"/>
      <c r="BH879" s="80"/>
      <c r="BI879" s="80"/>
      <c r="BJ879" s="80"/>
      <c r="BK879" s="80"/>
      <c r="BL879" s="80"/>
      <c r="BM879" s="80"/>
      <c r="BN879" s="80"/>
      <c r="BO879" s="80"/>
      <c r="BP879" s="80"/>
      <c r="BQ879" s="80"/>
      <c r="BR879" s="80"/>
      <c r="BS879" s="80"/>
      <c r="BT879" s="80"/>
      <c r="BU879" s="80"/>
      <c r="BV879" s="80"/>
      <c r="BW879" s="80"/>
      <c r="BX879" s="80" t="str">
        <f>IFERROR(__xludf.DUMMYFUNCTION("""COMPUTED_VALUE"""),"MULTIKURIR - JNE")</f>
        <v>MULTIKURIR - JNE</v>
      </c>
      <c r="BY879" s="80"/>
      <c r="BZ879" s="80"/>
      <c r="CA879" s="80"/>
      <c r="CB879" s="80"/>
      <c r="CC879" s="80"/>
      <c r="CD879" s="80"/>
      <c r="CE879" s="80"/>
      <c r="CF879" s="80"/>
      <c r="CG879" s="80"/>
      <c r="CH879" s="80"/>
      <c r="CI879" s="80"/>
      <c r="CJ879" s="80"/>
      <c r="CK879" s="2"/>
    </row>
    <row r="880" ht="12.75" customHeight="1">
      <c r="A880" s="85">
        <f>IFERROR(__xludf.DUMMYFUNCTION("""COMPUTED_VALUE"""),876.0)</f>
        <v>876</v>
      </c>
      <c r="B880" s="85"/>
      <c r="C880" s="85"/>
      <c r="D880" s="86">
        <f>IFERROR(__xludf.DUMMYFUNCTION("""COMPUTED_VALUE"""),46094.0)</f>
        <v>46094</v>
      </c>
      <c r="E880" s="88"/>
      <c r="F880" s="85"/>
      <c r="G880" s="86">
        <f>IFERROR(__xludf.DUMMYFUNCTION("""COMPUTED_VALUE"""),46114.0)</f>
        <v>46114</v>
      </c>
      <c r="H880" s="85"/>
      <c r="I880" s="85"/>
      <c r="J880" s="85"/>
      <c r="K880" s="85"/>
      <c r="L880" s="85">
        <f>IFERROR(__xludf.DUMMYFUNCTION("""COMPUTED_VALUE"""),20.0)</f>
        <v>20</v>
      </c>
      <c r="M880" s="85" t="str">
        <f>IFERROR(__xludf.DUMMYFUNCTION("""COMPUTED_VALUE"""),"ü")</f>
        <v>ü</v>
      </c>
      <c r="N880" s="85"/>
      <c r="O880" s="85"/>
      <c r="P880" s="85" t="str">
        <f>IFERROR(__xludf.DUMMYFUNCTION("""COMPUTED_VALUE"""),"53BSPA09910JBEEN")</f>
        <v>53BSPA09910JBEEN</v>
      </c>
      <c r="Q880" s="85" t="str">
        <f>IFERROR(__xludf.DUMMYFUNCTION("""COMPUTED_VALUE"""),"MUC Smart Express ")</f>
        <v>MUC Smart Express </v>
      </c>
      <c r="R880" s="85" t="str">
        <f>IFERROR(__xludf.DUMMYFUNCTION("""COMPUTED_VALUE"""),"MUC Smart Express ")</f>
        <v>MUC Smart Express </v>
      </c>
      <c r="S880" s="85" t="str">
        <f>IFERROR(__xludf.DUMMYFUNCTION("""COMPUTED_VALUE"""),"IR. SUWARNO")</f>
        <v>IR. SUWARNO</v>
      </c>
      <c r="T880" s="85" t="str">
        <f>IFERROR(__xludf.DUMMYFUNCTION("""COMPUTED_VALUE"""),"JL. DAHLIA MASJID BLOK.C-16 RT.003 RW.004, KEDUNGWARINGIN, TANAH SAREAL, KOTA BOGOR")</f>
        <v>JL. DAHLIA MASJID BLOK.C-16 RT.003 RW.004, KEDUNGWARINGIN, TANAH SAREAL, KOTA BOGOR</v>
      </c>
      <c r="U880" s="85" t="str">
        <f>IFERROR(__xludf.DUMMYFUNCTION("""COMPUTED_VALUE"""),"Jl. Bukit Cimanggu City Raya J2 No.20, RT.01/RW.11")</f>
        <v>Jl. Bukit Cimanggu City Raya J2 No.20, RT.01/RW.11</v>
      </c>
      <c r="V880" s="85"/>
      <c r="W880" s="85" t="str">
        <f>IFERROR(__xludf.DUMMYFUNCTION("""COMPUTED_VALUE"""),"Cibadak")</f>
        <v>Cibadak</v>
      </c>
      <c r="X880" s="85" t="str">
        <f>IFERROR(__xludf.DUMMYFUNCTION("""COMPUTED_VALUE"""),"Tanah Sareal")</f>
        <v>Tanah Sareal</v>
      </c>
      <c r="Y880" s="85" t="str">
        <f>IFERROR(__xludf.DUMMYFUNCTION("""COMPUTED_VALUE"""),"Kota Bogor")</f>
        <v>Kota Bogor</v>
      </c>
      <c r="Z880" s="85" t="str">
        <f>IFERROR(__xludf.DUMMYFUNCTION("""COMPUTED_VALUE"""),"Jawa Barat ")</f>
        <v>Jawa Barat </v>
      </c>
      <c r="AA880" s="85" t="str">
        <f>IFERROR(__xludf.DUMMYFUNCTION("""COMPUTED_VALUE"""),"16166")</f>
        <v>16166</v>
      </c>
      <c r="AB880" s="85" t="str">
        <f>IFERROR(__xludf.DUMMYFUNCTION("""COMPUTED_VALUE"""),"3271062812640005")</f>
        <v>3271062812640005</v>
      </c>
      <c r="AC880" s="85" t="str">
        <f>IFERROR(__xludf.DUMMYFUNCTION("""COMPUTED_VALUE"""),"25.128.178.8-404.000")</f>
        <v>25.128.178.8-404.000</v>
      </c>
      <c r="AD880" s="85" t="str">
        <f>IFERROR(__xludf.DUMMYFUNCTION("""COMPUTED_VALUE"""),"CUM - EEN")</f>
        <v>CUM - EEN</v>
      </c>
      <c r="AE880" s="85" t="str">
        <f>IFERROR(__xludf.DUMMYFUNCTION("""COMPUTED_VALUE"""),"SUB EEN")</f>
        <v>SUB EEN</v>
      </c>
      <c r="AF880" s="85" t="str">
        <f>IFERROR(__xludf.DUMMYFUNCTION("""COMPUTED_VALUE"""),"08121100564")</f>
        <v>08121100564</v>
      </c>
      <c r="AG880" s="85"/>
      <c r="AH880" s="85" t="str">
        <f>IFERROR(__xludf.DUMMYFUNCTION("""COMPUTED_VALUE"""),"lpcimanggu@gmail.com")</f>
        <v>lpcimanggu@gmail.com</v>
      </c>
      <c r="AI880" s="85" t="str">
        <f>IFERROR(__xludf.DUMMYFUNCTION("""COMPUTED_VALUE"""),"16166S1")</f>
        <v>16166S1</v>
      </c>
      <c r="AJ880" s="85" t="str">
        <f>IFERROR(__xludf.DUMMYFUNCTION("""COMPUTED_VALUE"""),"69cce8a3a39a47e2b30c99a6")</f>
        <v>69cce8a3a39a47e2b30c99a6</v>
      </c>
      <c r="AK880" s="85" t="str">
        <f>IFERROR(__xludf.DUMMYFUNCTION("""COMPUTED_VALUE"""),"lpcimanggu@gmail.com")</f>
        <v>lpcimanggu@gmail.com</v>
      </c>
      <c r="AL880" s="85" t="str">
        <f>IFERROR(__xludf.DUMMYFUNCTION("""COMPUTED_VALUE"""),"#Muc16166S1$")</f>
        <v>#Muc16166S1$</v>
      </c>
      <c r="AM880" s="85" t="str">
        <f>IFERROR(__xludf.DUMMYFUNCTION("""COMPUTED_VALUE"""),"KANTOR REGIONAL II JAKARTA 10004")</f>
        <v>KANTOR REGIONAL II JAKARTA 10004</v>
      </c>
      <c r="AN880" s="85" t="str">
        <f>IFERROR(__xludf.DUMMYFUNCTION("""COMPUTED_VALUE"""),"KCU BOGOR 16000")</f>
        <v>KCU BOGOR 16000</v>
      </c>
      <c r="AO880" s="85" t="str">
        <f>IFERROR(__xludf.DUMMYFUNCTION("""COMPUTED_VALUE"""),"1109240067865")</f>
        <v>1109240067865</v>
      </c>
      <c r="AP880" s="85" t="str">
        <f>IFERROR(__xludf.DUMMYFUNCTION("""COMPUTED_VALUE"""),"11092400678650002")</f>
        <v>11092400678650002</v>
      </c>
      <c r="AQ880" s="93"/>
      <c r="AR880" s="85"/>
      <c r="AS880" s="85"/>
      <c r="AT880" s="85" t="str">
        <f>IFERROR(__xludf.DUMMYFUNCTION("""COMPUTED_VALUE"""),"-6.5499516")</f>
        <v>-6.5499516</v>
      </c>
      <c r="AU880" s="85" t="str">
        <f>IFERROR(__xludf.DUMMYFUNCTION("""COMPUTED_VALUE"""),"106.7824286")</f>
        <v>106.7824286</v>
      </c>
      <c r="AV880" s="85"/>
      <c r="AW880" s="85"/>
      <c r="AX880" s="85"/>
      <c r="AY880" s="85"/>
      <c r="AZ880" s="85"/>
      <c r="BA880" s="85"/>
      <c r="BB880" s="85"/>
      <c r="BC880" s="85"/>
      <c r="BD880" s="85"/>
      <c r="BE880" s="85"/>
      <c r="BF880" s="85"/>
      <c r="BG880" s="85"/>
      <c r="BH880" s="85"/>
      <c r="BI880" s="85"/>
      <c r="BJ880" s="85"/>
      <c r="BK880" s="85"/>
      <c r="BL880" s="85"/>
      <c r="BM880" s="85"/>
      <c r="BN880" s="85"/>
      <c r="BO880" s="85"/>
      <c r="BP880" s="85"/>
      <c r="BQ880" s="85"/>
      <c r="BR880" s="85"/>
      <c r="BS880" s="85"/>
      <c r="BT880" s="85"/>
      <c r="BU880" s="85"/>
      <c r="BV880" s="85"/>
      <c r="BW880" s="85"/>
      <c r="BX880" s="85" t="str">
        <f>IFERROR(__xludf.DUMMYFUNCTION("""COMPUTED_VALUE"""),"MULTIKURIR - LION PARCEL")</f>
        <v>MULTIKURIR - LION PARCEL</v>
      </c>
      <c r="BY880" s="85"/>
      <c r="BZ880" s="85"/>
      <c r="CA880" s="85"/>
      <c r="CB880" s="85"/>
      <c r="CC880" s="85"/>
      <c r="CD880" s="85"/>
      <c r="CE880" s="85"/>
      <c r="CF880" s="85"/>
      <c r="CG880" s="85"/>
      <c r="CH880" s="85"/>
      <c r="CI880" s="85"/>
      <c r="CJ880" s="85"/>
      <c r="CK880" s="2"/>
    </row>
    <row r="881" ht="12.75" customHeight="1">
      <c r="A881" s="80">
        <f>IFERROR(__xludf.DUMMYFUNCTION("""COMPUTED_VALUE"""),877.0)</f>
        <v>877</v>
      </c>
      <c r="B881" s="80"/>
      <c r="C881" s="80"/>
      <c r="D881" s="81">
        <f>IFERROR(__xludf.DUMMYFUNCTION("""COMPUTED_VALUE"""),46094.0)</f>
        <v>46094</v>
      </c>
      <c r="E881" s="82"/>
      <c r="F881" s="80"/>
      <c r="G881" s="81"/>
      <c r="H881" s="80"/>
      <c r="I881" s="80"/>
      <c r="J881" s="80"/>
      <c r="K881" s="80"/>
      <c r="L881" s="80"/>
      <c r="M881" s="80" t="str">
        <f>IFERROR(__xludf.DUMMYFUNCTION("""COMPUTED_VALUE"""),"ü")</f>
        <v>ü</v>
      </c>
      <c r="N881" s="80"/>
      <c r="O881" s="80"/>
      <c r="P881" s="80" t="str">
        <f>IFERROR(__xludf.DUMMYFUNCTION("""COMPUTED_VALUE"""),"53BSPA09860JBHDT")</f>
        <v>53BSPA09860JBHDT</v>
      </c>
      <c r="Q881" s="80" t="str">
        <f>IFERROR(__xludf.DUMMYFUNCTION("""COMPUTED_VALUE"""),"MUC YGP")</f>
        <v>MUC YGP</v>
      </c>
      <c r="R881" s="80" t="str">
        <f>IFERROR(__xludf.DUMMYFUNCTION("""COMPUTED_VALUE"""),"MUC YGP")</f>
        <v>MUC YGP</v>
      </c>
      <c r="S881" s="80" t="str">
        <f>IFERROR(__xludf.DUMMYFUNCTION("""COMPUTED_VALUE"""),"AI PATIMAH")</f>
        <v>AI PATIMAH</v>
      </c>
      <c r="T881" s="80" t="str">
        <f>IFERROR(__xludf.DUMMYFUNCTION("""COMPUTED_VALUE"""),"KP. CIKOPO RT 1 RW 1")</f>
        <v>KP. CIKOPO RT 1 RW 1</v>
      </c>
      <c r="U881" s="80" t="str">
        <f>IFERROR(__xludf.DUMMYFUNCTION("""COMPUTED_VALUE"""),"JL. MEKAR ASIH RT 2 RW 15")</f>
        <v>JL. MEKAR ASIH RT 2 RW 15</v>
      </c>
      <c r="V881" s="80"/>
      <c r="W881" s="80" t="str">
        <f>IFERROR(__xludf.DUMMYFUNCTION("""COMPUTED_VALUE"""),"BABAKAN PEUTEUY")</f>
        <v>BABAKAN PEUTEUY</v>
      </c>
      <c r="X881" s="80" t="str">
        <f>IFERROR(__xludf.DUMMYFUNCTION("""COMPUTED_VALUE"""),"CICALENGKA")</f>
        <v>CICALENGKA</v>
      </c>
      <c r="Y881" s="80" t="str">
        <f>IFERROR(__xludf.DUMMYFUNCTION("""COMPUTED_VALUE"""),"KAB. BANDUNG")</f>
        <v>KAB. BANDUNG</v>
      </c>
      <c r="Z881" s="80" t="str">
        <f>IFERROR(__xludf.DUMMYFUNCTION("""COMPUTED_VALUE"""),"JAWA BARAT")</f>
        <v>JAWA BARAT</v>
      </c>
      <c r="AA881" s="80" t="str">
        <f>IFERROR(__xludf.DUMMYFUNCTION("""COMPUTED_VALUE"""),"40395")</f>
        <v>40395</v>
      </c>
      <c r="AB881" s="80" t="str">
        <f>IFERROR(__xludf.DUMMYFUNCTION("""COMPUTED_VALUE"""),"3204255408910010")</f>
        <v>3204255408910010</v>
      </c>
      <c r="AC881" s="80" t="str">
        <f>IFERROR(__xludf.DUMMYFUNCTION("""COMPUTED_VALUE"""),"85.461.621.6-444.000")</f>
        <v>85.461.621.6-444.000</v>
      </c>
      <c r="AD881" s="80" t="str">
        <f>IFERROR(__xludf.DUMMYFUNCTION("""COMPUTED_VALUE"""),"CUM - HDT")</f>
        <v>CUM - HDT</v>
      </c>
      <c r="AE881" s="80" t="str">
        <f>IFERROR(__xludf.DUMMYFUNCTION("""COMPUTED_VALUE"""),"SUB HDT")</f>
        <v>SUB HDT</v>
      </c>
      <c r="AF881" s="80" t="str">
        <f>IFERROR(__xludf.DUMMYFUNCTION("""COMPUTED_VALUE"""),"0881023771860")</f>
        <v>0881023771860</v>
      </c>
      <c r="AG881" s="80"/>
      <c r="AH881" s="80" t="str">
        <f>IFERROR(__xludf.DUMMYFUNCTION("""COMPUTED_VALUE"""),"yp9996707@gmail.com")</f>
        <v>yp9996707@gmail.com</v>
      </c>
      <c r="AI881" s="80"/>
      <c r="AJ881" s="80"/>
      <c r="AK881" s="80"/>
      <c r="AL881" s="80"/>
      <c r="AM881" s="80" t="str">
        <f>IFERROR(__xludf.DUMMYFUNCTION("""COMPUTED_VALUE"""),"KANTOR REGIONAL III BANDUNG 40004")</f>
        <v>KANTOR REGIONAL III BANDUNG 40004</v>
      </c>
      <c r="AN881" s="80" t="str">
        <f>IFERROR(__xludf.DUMMYFUNCTION("""COMPUTED_VALUE"""),"KC UJUNGBERUNG ")</f>
        <v>KC UJUNGBERUNG </v>
      </c>
      <c r="AO881" s="80" t="str">
        <f>IFERROR(__xludf.DUMMYFUNCTION("""COMPUTED_VALUE"""),"1103260102283")</f>
        <v>1103260102283</v>
      </c>
      <c r="AP881" s="80" t="str">
        <f>IFERROR(__xludf.DUMMYFUNCTION("""COMPUTED_VALUE"""),"11032601022830001")</f>
        <v>11032601022830001</v>
      </c>
      <c r="AQ881" s="83"/>
      <c r="AR881" s="80"/>
      <c r="AS881" s="80"/>
      <c r="AT881" s="80" t="str">
        <f>IFERROR(__xludf.DUMMYFUNCTION("""COMPUTED_VALUE"""),"-6.9855163")</f>
        <v>-6.9855163</v>
      </c>
      <c r="AU881" s="80" t="str">
        <f>IFERROR(__xludf.DUMMYFUNCTION("""COMPUTED_VALUE"""),"107.8404091")</f>
        <v>107.8404091</v>
      </c>
      <c r="AV881" s="80"/>
      <c r="AW881" s="80"/>
      <c r="AX881" s="80"/>
      <c r="AY881" s="80"/>
      <c r="AZ881" s="80"/>
      <c r="BA881" s="80"/>
      <c r="BB881" s="80"/>
      <c r="BC881" s="80"/>
      <c r="BD881" s="80"/>
      <c r="BE881" s="80"/>
      <c r="BF881" s="80"/>
      <c r="BG881" s="80"/>
      <c r="BH881" s="80"/>
      <c r="BI881" s="80"/>
      <c r="BJ881" s="80"/>
      <c r="BK881" s="80"/>
      <c r="BL881" s="80"/>
      <c r="BM881" s="80"/>
      <c r="BN881" s="80"/>
      <c r="BO881" s="80"/>
      <c r="BP881" s="80"/>
      <c r="BQ881" s="80"/>
      <c r="BR881" s="80"/>
      <c r="BS881" s="80"/>
      <c r="BT881" s="80"/>
      <c r="BU881" s="80"/>
      <c r="BV881" s="80"/>
      <c r="BW881" s="80"/>
      <c r="BX881" s="80" t="str">
        <f>IFERROR(__xludf.DUMMYFUNCTION("""COMPUTED_VALUE"""),"NEWBIE")</f>
        <v>NEWBIE</v>
      </c>
      <c r="BY881" s="80"/>
      <c r="BZ881" s="80"/>
      <c r="CA881" s="80"/>
      <c r="CB881" s="80"/>
      <c r="CC881" s="80"/>
      <c r="CD881" s="80"/>
      <c r="CE881" s="80"/>
      <c r="CF881" s="80"/>
      <c r="CG881" s="80"/>
      <c r="CH881" s="80"/>
      <c r="CI881" s="80"/>
      <c r="CJ881" s="80"/>
      <c r="CK881" s="2"/>
    </row>
    <row r="882" ht="12.75" customHeight="1">
      <c r="A882" s="85">
        <f>IFERROR(__xludf.DUMMYFUNCTION("""COMPUTED_VALUE"""),878.0)</f>
        <v>878</v>
      </c>
      <c r="B882" s="85"/>
      <c r="C882" s="85"/>
      <c r="D882" s="86">
        <f>IFERROR(__xludf.DUMMYFUNCTION("""COMPUTED_VALUE"""),46094.0)</f>
        <v>46094</v>
      </c>
      <c r="E882" s="88"/>
      <c r="F882" s="85"/>
      <c r="G882" s="86">
        <f>IFERROR(__xludf.DUMMYFUNCTION("""COMPUTED_VALUE"""),46094.0)</f>
        <v>46094</v>
      </c>
      <c r="H882" s="85"/>
      <c r="I882" s="85"/>
      <c r="J882" s="85"/>
      <c r="K882" s="85"/>
      <c r="L882" s="85">
        <f>IFERROR(__xludf.DUMMYFUNCTION("""COMPUTED_VALUE"""),0.0)</f>
        <v>0</v>
      </c>
      <c r="M882" s="85"/>
      <c r="N882" s="85" t="str">
        <f>IFERROR(__xludf.DUMMYFUNCTION("""COMPUTED_VALUE"""),"ü")</f>
        <v>ü</v>
      </c>
      <c r="O882" s="85"/>
      <c r="P882" s="85" t="str">
        <f>IFERROR(__xludf.DUMMYFUNCTION("""COMPUTED_VALUE"""),"MLO5500076CUMPOS")</f>
        <v>MLO5500076CUMPOS</v>
      </c>
      <c r="Q882" s="85" t="str">
        <f>IFERROR(__xludf.DUMMYFUNCTION("""COMPUTED_VALUE"""),"KC CIBINONG - LN")</f>
        <v>KC CIBINONG - LN</v>
      </c>
      <c r="R882" s="85" t="str">
        <f>IFERROR(__xludf.DUMMYFUNCTION("""COMPUTED_VALUE"""),"KC CIBINONG - LN")</f>
        <v>KC CIBINONG - LN</v>
      </c>
      <c r="S882" s="85" t="str">
        <f>IFERROR(__xludf.DUMMYFUNCTION("""COMPUTED_VALUE"""),"KC CIBINONG - LN")</f>
        <v>KC CIBINONG - LN</v>
      </c>
      <c r="T882" s="85" t="str">
        <f>IFERROR(__xludf.DUMMYFUNCTION("""COMPUTED_VALUE"""),"Jl. Tegar Beriman B4 No.7, Pakansari, Kec. Cibinong, Kabupaten Bogor, Jawa Barat 16915")</f>
        <v>Jl. Tegar Beriman B4 No.7, Pakansari, Kec. Cibinong, Kabupaten Bogor, Jawa Barat 16915</v>
      </c>
      <c r="U882" s="85" t="str">
        <f>IFERROR(__xludf.DUMMYFUNCTION("""COMPUTED_VALUE"""),"Jl. Tegar Beriman B4 No.7, Pakansari, Kec. Cibinong, Kabupaten Bogor, Jawa Barat 16915")</f>
        <v>Jl. Tegar Beriman B4 No.7, Pakansari, Kec. Cibinong, Kabupaten Bogor, Jawa Barat 16915</v>
      </c>
      <c r="V882" s="85"/>
      <c r="W882" s="85" t="str">
        <f>IFERROR(__xludf.DUMMYFUNCTION("""COMPUTED_VALUE"""),"Pakansari")</f>
        <v>Pakansari</v>
      </c>
      <c r="X882" s="85" t="str">
        <f>IFERROR(__xludf.DUMMYFUNCTION("""COMPUTED_VALUE"""),"Cibinong")</f>
        <v>Cibinong</v>
      </c>
      <c r="Y882" s="85" t="str">
        <f>IFERROR(__xludf.DUMMYFUNCTION("""COMPUTED_VALUE"""),"Kab Bogor")</f>
        <v>Kab Bogor</v>
      </c>
      <c r="Z882" s="85" t="str">
        <f>IFERROR(__xludf.DUMMYFUNCTION("""COMPUTED_VALUE"""),"Jawa Barat")</f>
        <v>Jawa Barat</v>
      </c>
      <c r="AA882" s="85" t="str">
        <f>IFERROR(__xludf.DUMMYFUNCTION("""COMPUTED_VALUE"""),"16915")</f>
        <v>16915</v>
      </c>
      <c r="AB882" s="85" t="str">
        <f>IFERROR(__xludf.DUMMYFUNCTION("""COMPUTED_VALUE"""),"-")</f>
        <v>-</v>
      </c>
      <c r="AC882" s="85" t="str">
        <f>IFERROR(__xludf.DUMMYFUNCTION("""COMPUTED_VALUE"""),"-")</f>
        <v>-</v>
      </c>
      <c r="AD882" s="85" t="str">
        <f>IFERROR(__xludf.DUMMYFUNCTION("""COMPUTED_VALUE"""),"-")</f>
        <v>-</v>
      </c>
      <c r="AE882" s="85" t="str">
        <f>IFERROR(__xludf.DUMMYFUNCTION("""COMPUTED_VALUE"""),"-")</f>
        <v>-</v>
      </c>
      <c r="AF882" s="85" t="str">
        <f>IFERROR(__xludf.DUMMYFUNCTION("""COMPUTED_VALUE"""),"-")</f>
        <v>-</v>
      </c>
      <c r="AG882" s="85" t="str">
        <f>IFERROR(__xludf.DUMMYFUNCTION("""COMPUTED_VALUE"""),"-")</f>
        <v>-</v>
      </c>
      <c r="AH882" s="85" t="str">
        <f>IFERROR(__xludf.DUMMYFUNCTION("""COMPUTED_VALUE"""),"-")</f>
        <v>-</v>
      </c>
      <c r="AI882" s="85" t="str">
        <f>IFERROR(__xludf.DUMMYFUNCTION("""COMPUTED_VALUE"""),"16834S1")</f>
        <v>16834S1</v>
      </c>
      <c r="AJ882" s="85" t="str">
        <f>IFERROR(__xludf.DUMMYFUNCTION("""COMPUTED_VALUE"""),"686c8d122d9e8ff9c907af9d")</f>
        <v>686c8d122d9e8ff9c907af9d</v>
      </c>
      <c r="AK882" s="85" t="str">
        <f>IFERROR(__xludf.DUMMYFUNCTION("""COMPUTED_VALUE"""),"dm16834s1")</f>
        <v>dm16834s1</v>
      </c>
      <c r="AL882" s="85" t="str">
        <f>IFERROR(__xludf.DUMMYFUNCTION("""COMPUTED_VALUE"""),"#16834Pos")</f>
        <v>#16834Pos</v>
      </c>
      <c r="AM882" s="85" t="str">
        <f>IFERROR(__xludf.DUMMYFUNCTION("""COMPUTED_VALUE"""),"KANTOR REGIONAL II JAKARTA 10004")</f>
        <v>KANTOR REGIONAL II JAKARTA 10004</v>
      </c>
      <c r="AN882" s="85" t="str">
        <f>IFERROR(__xludf.DUMMYFUNCTION("""COMPUTED_VALUE"""),"KC CIBINONG")</f>
        <v>KC CIBINONG</v>
      </c>
      <c r="AO882" s="85" t="str">
        <f>IFERROR(__xludf.DUMMYFUNCTION("""COMPUTED_VALUE"""),"-")</f>
        <v>-</v>
      </c>
      <c r="AP882" s="85" t="str">
        <f>IFERROR(__xludf.DUMMYFUNCTION("""COMPUTED_VALUE"""),"-")</f>
        <v>-</v>
      </c>
      <c r="AQ882" s="93"/>
      <c r="AR882" s="85"/>
      <c r="AS882" s="85"/>
      <c r="AT882" s="85" t="str">
        <f>IFERROR(__xludf.DUMMYFUNCTION("""COMPUTED_VALUE"""),"-")</f>
        <v>-</v>
      </c>
      <c r="AU882" s="85" t="str">
        <f>IFERROR(__xludf.DUMMYFUNCTION("""COMPUTED_VALUE"""),"-")</f>
        <v>-</v>
      </c>
      <c r="AV882" s="85"/>
      <c r="AW882" s="85"/>
      <c r="AX882" s="85"/>
      <c r="AY882" s="85"/>
      <c r="AZ882" s="85"/>
      <c r="BA882" s="85"/>
      <c r="BB882" s="85"/>
      <c r="BC882" s="85"/>
      <c r="BD882" s="85"/>
      <c r="BE882" s="85"/>
      <c r="BF882" s="85"/>
      <c r="BG882" s="85"/>
      <c r="BH882" s="85"/>
      <c r="BI882" s="85"/>
      <c r="BJ882" s="85"/>
      <c r="BK882" s="85"/>
      <c r="BL882" s="85"/>
      <c r="BM882" s="85"/>
      <c r="BN882" s="85"/>
      <c r="BO882" s="85"/>
      <c r="BP882" s="85"/>
      <c r="BQ882" s="85"/>
      <c r="BR882" s="85"/>
      <c r="BS882" s="85"/>
      <c r="BT882" s="85"/>
      <c r="BU882" s="85"/>
      <c r="BV882" s="85"/>
      <c r="BW882" s="85"/>
      <c r="BX882" s="85" t="str">
        <f>IFERROR(__xludf.DUMMYFUNCTION("""COMPUTED_VALUE"""),"POS")</f>
        <v>POS</v>
      </c>
      <c r="BY882" s="85"/>
      <c r="BZ882" s="85"/>
      <c r="CA882" s="85"/>
      <c r="CB882" s="85"/>
      <c r="CC882" s="85"/>
      <c r="CD882" s="85"/>
      <c r="CE882" s="85"/>
      <c r="CF882" s="85"/>
      <c r="CG882" s="85"/>
      <c r="CH882" s="85"/>
      <c r="CI882" s="85"/>
      <c r="CJ882" s="85"/>
      <c r="CK882" s="2"/>
    </row>
    <row r="883" ht="12.75" customHeight="1">
      <c r="A883" s="80">
        <f>IFERROR(__xludf.DUMMYFUNCTION("""COMPUTED_VALUE"""),879.0)</f>
        <v>879</v>
      </c>
      <c r="B883" s="80"/>
      <c r="C883" s="80"/>
      <c r="D883" s="81">
        <f>IFERROR(__xludf.DUMMYFUNCTION("""COMPUTED_VALUE"""),46097.0)</f>
        <v>46097</v>
      </c>
      <c r="E883" s="82"/>
      <c r="F883" s="80"/>
      <c r="G883" s="81"/>
      <c r="H883" s="80"/>
      <c r="I883" s="80"/>
      <c r="J883" s="80"/>
      <c r="K883" s="80"/>
      <c r="L883" s="80"/>
      <c r="M883" s="80"/>
      <c r="N883" s="80" t="str">
        <f>IFERROR(__xludf.DUMMYFUNCTION("""COMPUTED_VALUE"""),"ü")</f>
        <v>ü</v>
      </c>
      <c r="O883" s="80"/>
      <c r="P883" s="80" t="str">
        <f>IFERROR(__xludf.DUMMYFUNCTION("""COMPUTED_VALUE"""),"MUCSPA63393PSIND")</f>
        <v>MUCSPA63393PSIND</v>
      </c>
      <c r="Q883" s="80" t="str">
        <f>IFERROR(__xludf.DUMMYFUNCTION("""COMPUTED_VALUE"""),"MUC PML015B")</f>
        <v>MUC PML015B</v>
      </c>
      <c r="R883" s="80" t="str">
        <f>IFERROR(__xludf.DUMMYFUNCTION("""COMPUTED_VALUE"""),"MUC PML015B")</f>
        <v>MUC PML015B</v>
      </c>
      <c r="S883" s="80" t="str">
        <f>IFERROR(__xludf.DUMMYFUNCTION("""COMPUTED_VALUE"""),"SRI MULYATI")</f>
        <v>SRI MULYATI</v>
      </c>
      <c r="T883" s="80" t="str">
        <f>IFERROR(__xludf.DUMMYFUNCTION("""COMPUTED_VALUE"""),"PERMATA HIJAU PERMAI I1 NO. 19")</f>
        <v>PERMATA HIJAU PERMAI I1 NO. 19</v>
      </c>
      <c r="U883" s="80" t="str">
        <f>IFERROR(__xludf.DUMMYFUNCTION("""COMPUTED_VALUE"""),"JL. DI. PANJAITAN KOMPLEK PERUM FAIRUZ GARDEN NO.5 RT 3 RW 1")</f>
        <v>JL. DI. PANJAITAN KOMPLEK PERUM FAIRUZ GARDEN NO.5 RT 3 RW 1</v>
      </c>
      <c r="V883" s="80"/>
      <c r="W883" s="80" t="str">
        <f>IFERROR(__xludf.DUMMYFUNCTION("""COMPUTED_VALUE"""),"PADURAKSA")</f>
        <v>PADURAKSA</v>
      </c>
      <c r="X883" s="80" t="str">
        <f>IFERROR(__xludf.DUMMYFUNCTION("""COMPUTED_VALUE"""),"PEMALANG")</f>
        <v>PEMALANG</v>
      </c>
      <c r="Y883" s="80" t="str">
        <f>IFERROR(__xludf.DUMMYFUNCTION("""COMPUTED_VALUE"""),"KAB. PEMALANG")</f>
        <v>KAB. PEMALANG</v>
      </c>
      <c r="Z883" s="80" t="str">
        <f>IFERROR(__xludf.DUMMYFUNCTION("""COMPUTED_VALUE"""),"JAWA TENGAH")</f>
        <v>JAWA TENGAH</v>
      </c>
      <c r="AA883" s="80" t="str">
        <f>IFERROR(__xludf.DUMMYFUNCTION("""COMPUTED_VALUE"""),"52319")</f>
        <v>52319</v>
      </c>
      <c r="AB883" s="80" t="str">
        <f>IFERROR(__xludf.DUMMYFUNCTION("""COMPUTED_VALUE"""),"3327094412780006")</f>
        <v>3327094412780006</v>
      </c>
      <c r="AC883" s="80" t="str">
        <f>IFERROR(__xludf.DUMMYFUNCTION("""COMPUTED_VALUE"""),"09.663.528.9-045.000")</f>
        <v>09.663.528.9-045.000</v>
      </c>
      <c r="AD883" s="80" t="str">
        <f>IFERROR(__xludf.DUMMYFUNCTION("""COMPUTED_VALUE"""),"CUM - PS - ANALIS")</f>
        <v>CUM - PS - ANALIS</v>
      </c>
      <c r="AE883" s="80" t="str">
        <f>IFERROR(__xludf.DUMMYFUNCTION("""COMPUTED_VALUE"""),"SUB ANALIS FAJAR PEMALANG")</f>
        <v>SUB ANALIS FAJAR PEMALANG</v>
      </c>
      <c r="AF883" s="80" t="str">
        <f>IFERROR(__xludf.DUMMYFUNCTION("""COMPUTED_VALUE"""),"087711677511")</f>
        <v>087711677511</v>
      </c>
      <c r="AG883" s="80"/>
      <c r="AH883" s="80" t="str">
        <f>IFERROR(__xludf.DUMMYFUNCTION("""COMPUTED_VALUE"""),"iikaja2000@yahoo.com")</f>
        <v>iikaja2000@yahoo.com</v>
      </c>
      <c r="AI883" s="80"/>
      <c r="AJ883" s="80"/>
      <c r="AK883" s="80"/>
      <c r="AL883" s="80"/>
      <c r="AM883" s="80" t="str">
        <f>IFERROR(__xludf.DUMMYFUNCTION("""COMPUTED_VALUE"""),"KANTOR REGIONAL IV SEMARANG 50004")</f>
        <v>KANTOR REGIONAL IV SEMARANG 50004</v>
      </c>
      <c r="AN883" s="80" t="str">
        <f>IFERROR(__xludf.DUMMYFUNCTION("""COMPUTED_VALUE"""),"KC PEMALANG")</f>
        <v>KC PEMALANG</v>
      </c>
      <c r="AO883" s="80" t="str">
        <f>IFERROR(__xludf.DUMMYFUNCTION("""COMPUTED_VALUE"""),"1103240003446")</f>
        <v>1103240003446</v>
      </c>
      <c r="AP883" s="80" t="str">
        <f>IFERROR(__xludf.DUMMYFUNCTION("""COMPUTED_VALUE"""),"11032400034460001")</f>
        <v>11032400034460001</v>
      </c>
      <c r="AQ883" s="83"/>
      <c r="AR883" s="80"/>
      <c r="AS883" s="80"/>
      <c r="AT883" s="80" t="str">
        <f>IFERROR(__xludf.DUMMYFUNCTION("""COMPUTED_VALUE"""),"-6.9330786")</f>
        <v>-6.9330786</v>
      </c>
      <c r="AU883" s="80" t="str">
        <f>IFERROR(__xludf.DUMMYFUNCTION("""COMPUTED_VALUE"""),"109.3883207")</f>
        <v>109.3883207</v>
      </c>
      <c r="AV883" s="80"/>
      <c r="AW883" s="80"/>
      <c r="AX883" s="80"/>
      <c r="AY883" s="80"/>
      <c r="AZ883" s="80"/>
      <c r="BA883" s="80"/>
      <c r="BB883" s="80"/>
      <c r="BC883" s="80"/>
      <c r="BD883" s="80"/>
      <c r="BE883" s="80"/>
      <c r="BF883" s="80"/>
      <c r="BG883" s="80"/>
      <c r="BH883" s="80"/>
      <c r="BI883" s="80"/>
      <c r="BJ883" s="80"/>
      <c r="BK883" s="80"/>
      <c r="BL883" s="80"/>
      <c r="BM883" s="80"/>
      <c r="BN883" s="80"/>
      <c r="BO883" s="80"/>
      <c r="BP883" s="80"/>
      <c r="BQ883" s="80"/>
      <c r="BR883" s="80"/>
      <c r="BS883" s="80"/>
      <c r="BT883" s="80"/>
      <c r="BU883" s="80"/>
      <c r="BV883" s="80"/>
      <c r="BW883" s="80"/>
      <c r="BX883" s="80" t="str">
        <f>IFERROR(__xludf.DUMMYFUNCTION("""COMPUTED_VALUE"""),"MULTIKURIR - JNT CARGO")</f>
        <v>MULTIKURIR - JNT CARGO</v>
      </c>
      <c r="BY883" s="80"/>
      <c r="BZ883" s="80"/>
      <c r="CA883" s="80"/>
      <c r="CB883" s="80"/>
      <c r="CC883" s="80"/>
      <c r="CD883" s="80"/>
      <c r="CE883" s="80"/>
      <c r="CF883" s="80"/>
      <c r="CG883" s="80"/>
      <c r="CH883" s="80"/>
      <c r="CI883" s="80"/>
      <c r="CJ883" s="80"/>
      <c r="CK883" s="2"/>
    </row>
    <row r="884" ht="12.75" customHeight="1">
      <c r="A884" s="85">
        <f>IFERROR(__xludf.DUMMYFUNCTION("""COMPUTED_VALUE"""),880.0)</f>
        <v>880</v>
      </c>
      <c r="B884" s="85"/>
      <c r="C884" s="85"/>
      <c r="D884" s="86">
        <f>IFERROR(__xludf.DUMMYFUNCTION("""COMPUTED_VALUE"""),46097.0)</f>
        <v>46097</v>
      </c>
      <c r="E884" s="88"/>
      <c r="F884" s="85"/>
      <c r="G884" s="86"/>
      <c r="H884" s="85"/>
      <c r="I884" s="85"/>
      <c r="J884" s="85"/>
      <c r="K884" s="85"/>
      <c r="L884" s="85"/>
      <c r="M884" s="85" t="str">
        <f>IFERROR(__xludf.DUMMYFUNCTION("""COMPUTED_VALUE"""),"ü")</f>
        <v>ü</v>
      </c>
      <c r="N884" s="85"/>
      <c r="O884" s="85"/>
      <c r="P884" s="85" t="str">
        <f>IFERROR(__xludf.DUMMYFUNCTION("""COMPUTED_VALUE"""),"53BSPA09862JBHDT")</f>
        <v>53BSPA09862JBHDT</v>
      </c>
      <c r="Q884" s="85" t="str">
        <f>IFERROR(__xludf.DUMMYFUNCTION("""COMPUTED_VALUE"""),"MUC MIPTAH")</f>
        <v>MUC MIPTAH</v>
      </c>
      <c r="R884" s="85" t="str">
        <f>IFERROR(__xludf.DUMMYFUNCTION("""COMPUTED_VALUE"""),"MUC MIPTAH")</f>
        <v>MUC MIPTAH</v>
      </c>
      <c r="S884" s="85" t="str">
        <f>IFERROR(__xludf.DUMMYFUNCTION("""COMPUTED_VALUE"""),"MIPTAH MIPTAHUL ANWAR")</f>
        <v>MIPTAH MIPTAHUL ANWAR</v>
      </c>
      <c r="T884" s="85" t="str">
        <f>IFERROR(__xludf.DUMMYFUNCTION("""COMPUTED_VALUE"""),"KP. KEBON KALAPA RT 3 RW 4 PANENJOAN")</f>
        <v>KP. KEBON KALAPA RT 3 RW 4 PANENJOAN</v>
      </c>
      <c r="U884" s="85" t="str">
        <f>IFERROR(__xludf.DUMMYFUNCTION("""COMPUTED_VALUE"""),"JL. CIAWITALI CILULUK")</f>
        <v>JL. CIAWITALI CILULUK</v>
      </c>
      <c r="V884" s="85"/>
      <c r="W884" s="85" t="str">
        <f>IFERROR(__xludf.DUMMYFUNCTION("""COMPUTED_VALUE"""),"CIHANYIR")</f>
        <v>CIHANYIR</v>
      </c>
      <c r="X884" s="85" t="str">
        <f>IFERROR(__xludf.DUMMYFUNCTION("""COMPUTED_VALUE"""),"CIKANCUNG")</f>
        <v>CIKANCUNG</v>
      </c>
      <c r="Y884" s="85" t="str">
        <f>IFERROR(__xludf.DUMMYFUNCTION("""COMPUTED_VALUE"""),"KAB. BANDUNG")</f>
        <v>KAB. BANDUNG</v>
      </c>
      <c r="Z884" s="85" t="str">
        <f>IFERROR(__xludf.DUMMYFUNCTION("""COMPUTED_VALUE"""),"JAWA BARAT")</f>
        <v>JAWA BARAT</v>
      </c>
      <c r="AA884" s="85" t="str">
        <f>IFERROR(__xludf.DUMMYFUNCTION("""COMPUTED_VALUE"""),"40396")</f>
        <v>40396</v>
      </c>
      <c r="AB884" s="85" t="str">
        <f>IFERROR(__xludf.DUMMYFUNCTION("""COMPUTED_VALUE"""),"3204251301020005")</f>
        <v>3204251301020005</v>
      </c>
      <c r="AC884" s="85" t="str">
        <f>IFERROR(__xludf.DUMMYFUNCTION("""COMPUTED_VALUE"""),"3204 2513 0102 0005")</f>
        <v>3204 2513 0102 0005</v>
      </c>
      <c r="AD884" s="85" t="str">
        <f>IFERROR(__xludf.DUMMYFUNCTION("""COMPUTED_VALUE"""),"CUM - HDT")</f>
        <v>CUM - HDT</v>
      </c>
      <c r="AE884" s="85" t="str">
        <f>IFERROR(__xludf.DUMMYFUNCTION("""COMPUTED_VALUE"""),"SUB HDT")</f>
        <v>SUB HDT</v>
      </c>
      <c r="AF884" s="85" t="str">
        <f>IFERROR(__xludf.DUMMYFUNCTION("""COMPUTED_VALUE"""),"082261449443")</f>
        <v>082261449443</v>
      </c>
      <c r="AG884" s="85"/>
      <c r="AH884" s="85" t="str">
        <f>IFERROR(__xludf.DUMMYFUNCTION("""COMPUTED_VALUE"""),"miptahma21@gmail.com")</f>
        <v>miptahma21@gmail.com</v>
      </c>
      <c r="AI884" s="85"/>
      <c r="AJ884" s="85"/>
      <c r="AK884" s="85"/>
      <c r="AL884" s="85"/>
      <c r="AM884" s="85" t="str">
        <f>IFERROR(__xludf.DUMMYFUNCTION("""COMPUTED_VALUE"""),"KANTOR REGIONAL III BANDUNG 40004")</f>
        <v>KANTOR REGIONAL III BANDUNG 40004</v>
      </c>
      <c r="AN884" s="85" t="str">
        <f>IFERROR(__xludf.DUMMYFUNCTION("""COMPUTED_VALUE"""),"KC UJUNGBERUNG ")</f>
        <v>KC UJUNGBERUNG </v>
      </c>
      <c r="AO884" s="85" t="str">
        <f>IFERROR(__xludf.DUMMYFUNCTION("""COMPUTED_VALUE"""),"1603260045307")</f>
        <v>1603260045307</v>
      </c>
      <c r="AP884" s="85" t="str">
        <f>IFERROR(__xludf.DUMMYFUNCTION("""COMPUTED_VALUE"""),"16032600453070001")</f>
        <v>16032600453070001</v>
      </c>
      <c r="AQ884" s="93"/>
      <c r="AR884" s="85"/>
      <c r="AS884" s="85"/>
      <c r="AT884" s="85" t="str">
        <f>IFERROR(__xludf.DUMMYFUNCTION("""COMPUTED_VALUE"""),"-7.0258292")</f>
        <v>-7.0258292</v>
      </c>
      <c r="AU884" s="85" t="str">
        <f>IFERROR(__xludf.DUMMYFUNCTION("""COMPUTED_VALUE"""),"107.8134741")</f>
        <v>107.8134741</v>
      </c>
      <c r="AV884" s="85"/>
      <c r="AW884" s="85"/>
      <c r="AX884" s="85"/>
      <c r="AY884" s="85"/>
      <c r="AZ884" s="85"/>
      <c r="BA884" s="85"/>
      <c r="BB884" s="85"/>
      <c r="BC884" s="85"/>
      <c r="BD884" s="85"/>
      <c r="BE884" s="85"/>
      <c r="BF884" s="85"/>
      <c r="BG884" s="85"/>
      <c r="BH884" s="85"/>
      <c r="BI884" s="85"/>
      <c r="BJ884" s="85"/>
      <c r="BK884" s="85"/>
      <c r="BL884" s="85"/>
      <c r="BM884" s="85"/>
      <c r="BN884" s="85"/>
      <c r="BO884" s="85"/>
      <c r="BP884" s="85"/>
      <c r="BQ884" s="85"/>
      <c r="BR884" s="85"/>
      <c r="BS884" s="85"/>
      <c r="BT884" s="85"/>
      <c r="BU884" s="85"/>
      <c r="BV884" s="85"/>
      <c r="BW884" s="85"/>
      <c r="BX884" s="85" t="str">
        <f>IFERROR(__xludf.DUMMYFUNCTION("""COMPUTED_VALUE"""),"NEWBIE")</f>
        <v>NEWBIE</v>
      </c>
      <c r="BY884" s="85"/>
      <c r="BZ884" s="85"/>
      <c r="CA884" s="85"/>
      <c r="CB884" s="85"/>
      <c r="CC884" s="85"/>
      <c r="CD884" s="85"/>
      <c r="CE884" s="85"/>
      <c r="CF884" s="85"/>
      <c r="CG884" s="85"/>
      <c r="CH884" s="85"/>
      <c r="CI884" s="85"/>
      <c r="CJ884" s="85"/>
      <c r="CK884" s="2"/>
    </row>
    <row r="885" ht="12.75" customHeight="1">
      <c r="A885" s="80">
        <f>IFERROR(__xludf.DUMMYFUNCTION("""COMPUTED_VALUE"""),881.0)</f>
        <v>881</v>
      </c>
      <c r="B885" s="80"/>
      <c r="C885" s="80"/>
      <c r="D885" s="81">
        <f>IFERROR(__xludf.DUMMYFUNCTION("""COMPUTED_VALUE"""),46098.0)</f>
        <v>46098</v>
      </c>
      <c r="E885" s="82"/>
      <c r="F885" s="80"/>
      <c r="G885" s="81">
        <f>IFERROR(__xludf.DUMMYFUNCTION("""COMPUTED_VALUE"""),46125.0)</f>
        <v>46125</v>
      </c>
      <c r="H885" s="80"/>
      <c r="I885" s="80"/>
      <c r="J885" s="80"/>
      <c r="K885" s="80"/>
      <c r="L885" s="80">
        <f>IFERROR(__xludf.DUMMYFUNCTION("""COMPUTED_VALUE"""),27.0)</f>
        <v>27</v>
      </c>
      <c r="M885" s="80" t="str">
        <f>IFERROR(__xludf.DUMMYFUNCTION("""COMPUTED_VALUE"""),"ü")</f>
        <v>ü</v>
      </c>
      <c r="N885" s="80"/>
      <c r="O885" s="80"/>
      <c r="P885" s="80" t="str">
        <f>IFERROR(__xludf.DUMMYFUNCTION("""COMPUTED_VALUE"""),"53BSPA09904JBEEN")</f>
        <v>53BSPA09904JBEEN</v>
      </c>
      <c r="Q885" s="80" t="str">
        <f>IFERROR(__xludf.DUMMYFUNCTION("""COMPUTED_VALUE"""),"MUC SANTI TANAH BARU")</f>
        <v>MUC SANTI TANAH BARU</v>
      </c>
      <c r="R885" s="80" t="str">
        <f>IFERROR(__xludf.DUMMYFUNCTION("""COMPUTED_VALUE"""),"MUC SANTI TANAH BARU")</f>
        <v>MUC SANTI TANAH BARU</v>
      </c>
      <c r="S885" s="80" t="str">
        <f>IFERROR(__xludf.DUMMYFUNCTION("""COMPUTED_VALUE"""),"DRA TRI MUSTIKA SANTI")</f>
        <v>DRA TRI MUSTIKA SANTI</v>
      </c>
      <c r="T885" s="80" t="str">
        <f>IFERROR(__xludf.DUMMYFUNCTION("""COMPUTED_VALUE"""),"JL. BANGKA VIII C/9, RT.002 RW.012, PELA MAMPANG, MAMPANG PRAPATAN, JAKARTA SELATAN")</f>
        <v>JL. BANGKA VIII C/9, RT.002 RW.012, PELA MAMPANG, MAMPANG PRAPATAN, JAKARTA SELATAN</v>
      </c>
      <c r="U885" s="80" t="str">
        <f>IFERROR(__xludf.DUMMYFUNCTION("""COMPUTED_VALUE"""),"Botanical Puri Asri no. A2")</f>
        <v>Botanical Puri Asri no. A2</v>
      </c>
      <c r="V885" s="80"/>
      <c r="W885" s="80" t="str">
        <f>IFERROR(__xludf.DUMMYFUNCTION("""COMPUTED_VALUE"""),"Tanah Baru")</f>
        <v>Tanah Baru</v>
      </c>
      <c r="X885" s="80" t="str">
        <f>IFERROR(__xludf.DUMMYFUNCTION("""COMPUTED_VALUE"""),"Beji")</f>
        <v>Beji</v>
      </c>
      <c r="Y885" s="80" t="str">
        <f>IFERROR(__xludf.DUMMYFUNCTION("""COMPUTED_VALUE"""),"Kota Depok")</f>
        <v>Kota Depok</v>
      </c>
      <c r="Z885" s="80" t="str">
        <f>IFERROR(__xludf.DUMMYFUNCTION("""COMPUTED_VALUE"""),"Jawa Barat")</f>
        <v>Jawa Barat</v>
      </c>
      <c r="AA885" s="80" t="str">
        <f>IFERROR(__xludf.DUMMYFUNCTION("""COMPUTED_VALUE"""),"16426")</f>
        <v>16426</v>
      </c>
      <c r="AB885" s="80" t="str">
        <f>IFERROR(__xludf.DUMMYFUNCTION("""COMPUTED_VALUE"""),"3174036805640004")</f>
        <v>3174036805640004</v>
      </c>
      <c r="AC885" s="80" t="str">
        <f>IFERROR(__xludf.DUMMYFUNCTION("""COMPUTED_VALUE"""),"47.773.788.6-014.000")</f>
        <v>47.773.788.6-014.000</v>
      </c>
      <c r="AD885" s="80" t="str">
        <f>IFERROR(__xludf.DUMMYFUNCTION("""COMPUTED_VALUE"""),"CUM - EEN")</f>
        <v>CUM - EEN</v>
      </c>
      <c r="AE885" s="80" t="str">
        <f>IFERROR(__xludf.DUMMYFUNCTION("""COMPUTED_VALUE"""),"SUB EEN")</f>
        <v>SUB EEN</v>
      </c>
      <c r="AF885" s="80" t="str">
        <f>IFERROR(__xludf.DUMMYFUNCTION("""COMPUTED_VALUE"""),"087788333564")</f>
        <v>087788333564</v>
      </c>
      <c r="AG885" s="80"/>
      <c r="AH885" s="80" t="str">
        <f>IFERROR(__xludf.DUMMYFUNCTION("""COMPUTED_VALUE"""),"htm.santi64@gmail.com")</f>
        <v>htm.santi64@gmail.com</v>
      </c>
      <c r="AI885" s="80" t="str">
        <f>IFERROR(__xludf.DUMMYFUNCTION("""COMPUTED_VALUE"""),"16426S6")</f>
        <v>16426S6</v>
      </c>
      <c r="AJ885" s="80" t="str">
        <f>IFERROR(__xludf.DUMMYFUNCTION("""COMPUTED_VALUE"""),"69db0f9cef57446cbf08b061")</f>
        <v>69db0f9cef57446cbf08b061</v>
      </c>
      <c r="AK885" s="80" t="str">
        <f>IFERROR(__xludf.DUMMYFUNCTION("""COMPUTED_VALUE"""),"htm.santi64@gmail.com")</f>
        <v>htm.santi64@gmail.com</v>
      </c>
      <c r="AL885" s="80" t="str">
        <f>IFERROR(__xludf.DUMMYFUNCTION("""COMPUTED_VALUE"""),"#Muc16426S6$")</f>
        <v>#Muc16426S6$</v>
      </c>
      <c r="AM885" s="80" t="str">
        <f>IFERROR(__xludf.DUMMYFUNCTION("""COMPUTED_VALUE"""),"KANTOR REGIONAL II JAKARTA 10004")</f>
        <v>KANTOR REGIONAL II JAKARTA 10004</v>
      </c>
      <c r="AN885" s="80" t="str">
        <f>IFERROR(__xludf.DUMMYFUNCTION("""COMPUTED_VALUE"""),"KC DEPOK 16400")</f>
        <v>KC DEPOK 16400</v>
      </c>
      <c r="AO885" s="80" t="str">
        <f>IFERROR(__xludf.DUMMYFUNCTION("""COMPUTED_VALUE"""),"1703260140124")</f>
        <v>1703260140124</v>
      </c>
      <c r="AP885" s="80" t="str">
        <f>IFERROR(__xludf.DUMMYFUNCTION("""COMPUTED_VALUE"""),"17032601401240001")</f>
        <v>17032601401240001</v>
      </c>
      <c r="AQ885" s="83"/>
      <c r="AR885" s="80"/>
      <c r="AS885" s="80"/>
      <c r="AT885" s="80" t="str">
        <f>IFERROR(__xludf.DUMMYFUNCTION("""COMPUTED_VALUE"""),"-6.3690587")</f>
        <v>-6.3690587</v>
      </c>
      <c r="AU885" s="80" t="str">
        <f>IFERROR(__xludf.DUMMYFUNCTION("""COMPUTED_VALUE"""),"106.804010")</f>
        <v>106.804010</v>
      </c>
      <c r="AV885" s="80"/>
      <c r="AW885" s="80"/>
      <c r="AX885" s="80"/>
      <c r="AY885" s="80"/>
      <c r="AZ885" s="80"/>
      <c r="BA885" s="80"/>
      <c r="BB885" s="80"/>
      <c r="BC885" s="80"/>
      <c r="BD885" s="80"/>
      <c r="BE885" s="80"/>
      <c r="BF885" s="80"/>
      <c r="BG885" s="80"/>
      <c r="BH885" s="80"/>
      <c r="BI885" s="80"/>
      <c r="BJ885" s="80"/>
      <c r="BK885" s="80"/>
      <c r="BL885" s="80"/>
      <c r="BM885" s="80"/>
      <c r="BN885" s="80"/>
      <c r="BO885" s="80"/>
      <c r="BP885" s="80"/>
      <c r="BQ885" s="80"/>
      <c r="BR885" s="80"/>
      <c r="BS885" s="80"/>
      <c r="BT885" s="80"/>
      <c r="BU885" s="80"/>
      <c r="BV885" s="80"/>
      <c r="BW885" s="80"/>
      <c r="BX885" s="80" t="str">
        <f>IFERROR(__xludf.DUMMYFUNCTION("""COMPUTED_VALUE"""),"NEWBIE")</f>
        <v>NEWBIE</v>
      </c>
      <c r="BY885" s="80"/>
      <c r="BZ885" s="80"/>
      <c r="CA885" s="80"/>
      <c r="CB885" s="80"/>
      <c r="CC885" s="80"/>
      <c r="CD885" s="80"/>
      <c r="CE885" s="80"/>
      <c r="CF885" s="80"/>
      <c r="CG885" s="80"/>
      <c r="CH885" s="80"/>
      <c r="CI885" s="80"/>
      <c r="CJ885" s="80"/>
      <c r="CK885" s="2"/>
    </row>
    <row r="886" ht="12.75" customHeight="1">
      <c r="A886" s="85">
        <f>IFERROR(__xludf.DUMMYFUNCTION("""COMPUTED_VALUE"""),882.0)</f>
        <v>882</v>
      </c>
      <c r="B886" s="85"/>
      <c r="C886" s="85"/>
      <c r="D886" s="86">
        <f>IFERROR(__xludf.DUMMYFUNCTION("""COMPUTED_VALUE"""),46106.0)</f>
        <v>46106</v>
      </c>
      <c r="E886" s="88"/>
      <c r="F886" s="85"/>
      <c r="G886" s="86">
        <f>IFERROR(__xludf.DUMMYFUNCTION("""COMPUTED_VALUE"""),46122.0)</f>
        <v>46122</v>
      </c>
      <c r="H886" s="85"/>
      <c r="I886" s="85"/>
      <c r="J886" s="85"/>
      <c r="K886" s="85"/>
      <c r="L886" s="85">
        <f>IFERROR(__xludf.DUMMYFUNCTION("""COMPUTED_VALUE"""),16.0)</f>
        <v>16</v>
      </c>
      <c r="M886" s="85" t="str">
        <f>IFERROR(__xludf.DUMMYFUNCTION("""COMPUTED_VALUE"""),"ü")</f>
        <v>ü</v>
      </c>
      <c r="N886" s="85"/>
      <c r="O886" s="85"/>
      <c r="P886" s="85" t="str">
        <f>IFERROR(__xludf.DUMMYFUNCTION("""COMPUTED_VALUE"""),"52BSPA07555JTGKR ")</f>
        <v>52BSPA07555JTGKR </v>
      </c>
      <c r="Q886" s="85" t="str">
        <f>IFERROR(__xludf.DUMMYFUNCTION("""COMPUTED_VALUE"""),"MUC Karangputat")</f>
        <v>MUC Karangputat</v>
      </c>
      <c r="R886" s="85" t="str">
        <f>IFERROR(__xludf.DUMMYFUNCTION("""COMPUTED_VALUE"""),"MUC Karangputat")</f>
        <v>MUC Karangputat</v>
      </c>
      <c r="S886" s="85" t="str">
        <f>IFERROR(__xludf.DUMMYFUNCTION("""COMPUTED_VALUE"""),"Hartato")</f>
        <v>Hartato</v>
      </c>
      <c r="T886" s="85" t="str">
        <f>IFERROR(__xludf.DUMMYFUNCTION("""COMPUTED_VALUE"""),"Jalan RA Kartini No 58 Karangputat RT 04 RW 01")</f>
        <v>Jalan RA Kartini No 58 Karangputat RT 04 RW 01</v>
      </c>
      <c r="U886" s="85" t="str">
        <f>IFERROR(__xludf.DUMMYFUNCTION("""COMPUTED_VALUE"""),"Jalan Giri Madya RT 03 RW 01 ")</f>
        <v>Jalan Giri Madya RT 03 RW 01 </v>
      </c>
      <c r="V886" s="85"/>
      <c r="W886" s="85" t="str">
        <f>IFERROR(__xludf.DUMMYFUNCTION("""COMPUTED_VALUE"""),"Karangputat")</f>
        <v>Karangputat</v>
      </c>
      <c r="X886" s="85" t="str">
        <f>IFERROR(__xludf.DUMMYFUNCTION("""COMPUTED_VALUE"""),"Nusawungu")</f>
        <v>Nusawungu</v>
      </c>
      <c r="Y886" s="85" t="str">
        <f>IFERROR(__xludf.DUMMYFUNCTION("""COMPUTED_VALUE"""),"Cilacap")</f>
        <v>Cilacap</v>
      </c>
      <c r="Z886" s="85" t="str">
        <f>IFERROR(__xludf.DUMMYFUNCTION("""COMPUTED_VALUE"""),"Jawa Tengah")</f>
        <v>Jawa Tengah</v>
      </c>
      <c r="AA886" s="85" t="str">
        <f>IFERROR(__xludf.DUMMYFUNCTION("""COMPUTED_VALUE"""),"53283")</f>
        <v>53283</v>
      </c>
      <c r="AB886" s="85" t="str">
        <f>IFERROR(__xludf.DUMMYFUNCTION("""COMPUTED_VALUE"""),"3301051909830001")</f>
        <v>3301051909830001</v>
      </c>
      <c r="AC886" s="85" t="str">
        <f>IFERROR(__xludf.DUMMYFUNCTION("""COMPUTED_VALUE"""),"74.121.807.7-522.000")</f>
        <v>74.121.807.7-522.000</v>
      </c>
      <c r="AD886" s="85" t="str">
        <f>IFERROR(__xludf.DUMMYFUNCTION("""COMPUTED_VALUE"""),"CUM - KRS")</f>
        <v>CUM - KRS</v>
      </c>
      <c r="AE886" s="85" t="str">
        <f>IFERROR(__xludf.DUMMYFUNCTION("""COMPUTED_VALUE"""),"SUB KARSINI")</f>
        <v>SUB KARSINI</v>
      </c>
      <c r="AF886" s="85" t="str">
        <f>IFERROR(__xludf.DUMMYFUNCTION("""COMPUTED_VALUE"""),"081381015006")</f>
        <v>081381015006</v>
      </c>
      <c r="AG886" s="85"/>
      <c r="AH886" s="85" t="str">
        <f>IFERROR(__xludf.DUMMYFUNCTION("""COMPUTED_VALUE"""),"hartaxoe831@gmail.com")</f>
        <v>hartaxoe831@gmail.com</v>
      </c>
      <c r="AI886" s="85" t="str">
        <f>IFERROR(__xludf.DUMMYFUNCTION("""COMPUTED_VALUE"""),"53283S7")</f>
        <v>53283S7</v>
      </c>
      <c r="AJ886" s="85" t="str">
        <f>IFERROR(__xludf.DUMMYFUNCTION("""COMPUTED_VALUE"""),"69d8a1d42587b82c750ac01d")</f>
        <v>69d8a1d42587b82c750ac01d</v>
      </c>
      <c r="AK886" s="85" t="str">
        <f>IFERROR(__xludf.DUMMYFUNCTION("""COMPUTED_VALUE"""),"hartaxoe831@gmail.com")</f>
        <v>hartaxoe831@gmail.com</v>
      </c>
      <c r="AL886" s="85" t="str">
        <f>IFERROR(__xludf.DUMMYFUNCTION("""COMPUTED_VALUE"""),"#Muc53283S7$")</f>
        <v>#Muc53283S7$</v>
      </c>
      <c r="AM886" s="85" t="str">
        <f>IFERROR(__xludf.DUMMYFUNCTION("""COMPUTED_VALUE"""),"KANTOR REGIONAL IV SEMARANG 50004")</f>
        <v>KANTOR REGIONAL IV SEMARANG 50004</v>
      </c>
      <c r="AN886" s="85" t="str">
        <f>IFERROR(__xludf.DUMMYFUNCTION("""COMPUTED_VALUE"""),"KC CILACAP ")</f>
        <v>KC CILACAP </v>
      </c>
      <c r="AO886" s="85" t="str">
        <f>IFERROR(__xludf.DUMMYFUNCTION("""COMPUTED_VALUE"""),"2909220054868")</f>
        <v>2909220054868</v>
      </c>
      <c r="AP886" s="85" t="str">
        <f>IFERROR(__xludf.DUMMYFUNCTION("""COMPUTED_VALUE"""),"29092200548680002")</f>
        <v>29092200548680002</v>
      </c>
      <c r="AQ886" s="93"/>
      <c r="AR886" s="85"/>
      <c r="AS886" s="85"/>
      <c r="AT886" s="85" t="str">
        <f>IFERROR(__xludf.DUMMYFUNCTION("""COMPUTED_VALUE"""),"-7.65852")</f>
        <v>-7.65852</v>
      </c>
      <c r="AU886" s="85" t="str">
        <f>IFERROR(__xludf.DUMMYFUNCTION("""COMPUTED_VALUE"""),"109.30315")</f>
        <v>109.30315</v>
      </c>
      <c r="AV886" s="85"/>
      <c r="AW886" s="85"/>
      <c r="AX886" s="85"/>
      <c r="AY886" s="85"/>
      <c r="AZ886" s="85"/>
      <c r="BA886" s="85"/>
      <c r="BB886" s="85"/>
      <c r="BC886" s="85"/>
      <c r="BD886" s="85"/>
      <c r="BE886" s="85"/>
      <c r="BF886" s="85"/>
      <c r="BG886" s="85"/>
      <c r="BH886" s="85"/>
      <c r="BI886" s="85"/>
      <c r="BJ886" s="85"/>
      <c r="BK886" s="85"/>
      <c r="BL886" s="85"/>
      <c r="BM886" s="85"/>
      <c r="BN886" s="85"/>
      <c r="BO886" s="85"/>
      <c r="BP886" s="85"/>
      <c r="BQ886" s="85"/>
      <c r="BR886" s="85"/>
      <c r="BS886" s="85"/>
      <c r="BT886" s="85"/>
      <c r="BU886" s="85"/>
      <c r="BV886" s="85"/>
      <c r="BW886" s="85"/>
      <c r="BX886" s="85" t="str">
        <f>IFERROR(__xludf.DUMMYFUNCTION("""COMPUTED_VALUE"""),"NEWBIE")</f>
        <v>NEWBIE</v>
      </c>
      <c r="BY886" s="85"/>
      <c r="BZ886" s="85"/>
      <c r="CA886" s="85"/>
      <c r="CB886" s="85"/>
      <c r="CC886" s="85"/>
      <c r="CD886" s="85"/>
      <c r="CE886" s="85"/>
      <c r="CF886" s="85"/>
      <c r="CG886" s="85"/>
      <c r="CH886" s="85"/>
      <c r="CI886" s="85"/>
      <c r="CJ886" s="85"/>
      <c r="CK886" s="2"/>
    </row>
    <row r="887" ht="12.75" customHeight="1">
      <c r="A887" s="80">
        <f>IFERROR(__xludf.DUMMYFUNCTION("""COMPUTED_VALUE"""),883.0)</f>
        <v>883</v>
      </c>
      <c r="B887" s="80"/>
      <c r="C887" s="80"/>
      <c r="D887" s="81">
        <f>IFERROR(__xludf.DUMMYFUNCTION("""COMPUTED_VALUE"""),46107.0)</f>
        <v>46107</v>
      </c>
      <c r="E887" s="82"/>
      <c r="F887" s="80"/>
      <c r="G887" s="81">
        <f>IFERROR(__xludf.DUMMYFUNCTION("""COMPUTED_VALUE"""),46119.0)</f>
        <v>46119</v>
      </c>
      <c r="H887" s="80"/>
      <c r="I887" s="80"/>
      <c r="J887" s="80"/>
      <c r="K887" s="80"/>
      <c r="L887" s="80">
        <f>IFERROR(__xludf.DUMMYFUNCTION("""COMPUTED_VALUE"""),12.0)</f>
        <v>12</v>
      </c>
      <c r="M887" s="80" t="str">
        <f>IFERROR(__xludf.DUMMYFUNCTION("""COMPUTED_VALUE"""),"ü")</f>
        <v>ü</v>
      </c>
      <c r="N887" s="80"/>
      <c r="O887" s="80"/>
      <c r="P887" s="80" t="str">
        <f>IFERROR(__xludf.DUMMYFUNCTION("""COMPUTED_VALUE"""),"MUCSPA63394PSIND")</f>
        <v>MUCSPA63394PSIND</v>
      </c>
      <c r="Q887" s="80" t="str">
        <f>IFERROR(__xludf.DUMMYFUNCTION("""COMPUTED_VALUE"""),"MUC EMERALD BINTARO")</f>
        <v>MUC EMERALD BINTARO</v>
      </c>
      <c r="R887" s="80" t="str">
        <f>IFERROR(__xludf.DUMMYFUNCTION("""COMPUTED_VALUE"""),"MUC EMERALD BINTARO")</f>
        <v>MUC EMERALD BINTARO</v>
      </c>
      <c r="S887" s="80" t="str">
        <f>IFERROR(__xludf.DUMMYFUNCTION("""COMPUTED_VALUE"""),"IR. AMRITA JEFERINA, MM")</f>
        <v>IR. AMRITA JEFERINA, MM</v>
      </c>
      <c r="T887" s="80" t="str">
        <f>IFERROR(__xludf.DUMMYFUNCTION("""COMPUTED_VALUE"""),"JL. H. THOLIB NO. 1-B RT.002 RW.010, CIPETE UTARA, KEBAYORAN BARU, JAKARTA SELATAN")</f>
        <v>JL. H. THOLIB NO. 1-B RT.002 RW.010, CIPETE UTARA, KEBAYORAN BARU, JAKARTA SELATAN</v>
      </c>
      <c r="U887" s="80" t="str">
        <f>IFERROR(__xludf.DUMMYFUNCTION("""COMPUTED_VALUE"""),"Ruko Emerald Boulevard AA 2 No 17, Jl Raya Jombang")</f>
        <v>Ruko Emerald Boulevard AA 2 No 17, Jl Raya Jombang</v>
      </c>
      <c r="V887" s="80"/>
      <c r="W887" s="80" t="str">
        <f>IFERROR(__xludf.DUMMYFUNCTION("""COMPUTED_VALUE"""),"Parigi")</f>
        <v>Parigi</v>
      </c>
      <c r="X887" s="80" t="str">
        <f>IFERROR(__xludf.DUMMYFUNCTION("""COMPUTED_VALUE"""),"Pondok Aren")</f>
        <v>Pondok Aren</v>
      </c>
      <c r="Y887" s="80" t="str">
        <f>IFERROR(__xludf.DUMMYFUNCTION("""COMPUTED_VALUE"""),"Tangerang Selatan")</f>
        <v>Tangerang Selatan</v>
      </c>
      <c r="Z887" s="80" t="str">
        <f>IFERROR(__xludf.DUMMYFUNCTION("""COMPUTED_VALUE"""),"Banten")</f>
        <v>Banten</v>
      </c>
      <c r="AA887" s="80" t="str">
        <f>IFERROR(__xludf.DUMMYFUNCTION("""COMPUTED_VALUE"""),"15227")</f>
        <v>15227</v>
      </c>
      <c r="AB887" s="80" t="str">
        <f>IFERROR(__xludf.DUMMYFUNCTION("""COMPUTED_VALUE"""),"3174065004650002")</f>
        <v>3174065004650002</v>
      </c>
      <c r="AC887" s="80" t="str">
        <f>IFERROR(__xludf.DUMMYFUNCTION("""COMPUTED_VALUE"""),"29.664.380.2-016.000")</f>
        <v>29.664.380.2-016.000</v>
      </c>
      <c r="AD887" s="80" t="str">
        <f>IFERROR(__xludf.DUMMYFUNCTION("""COMPUTED_VALUE"""),"PAK HUSNI TANGSEL")</f>
        <v>PAK HUSNI TANGSEL</v>
      </c>
      <c r="AE887" s="80" t="str">
        <f>IFERROR(__xludf.DUMMYFUNCTION("""COMPUTED_VALUE"""),"PAK HUSNI TANGSEL")</f>
        <v>PAK HUSNI TANGSEL</v>
      </c>
      <c r="AF887" s="80" t="str">
        <f>IFERROR(__xludf.DUMMYFUNCTION("""COMPUTED_VALUE"""),"081511555510")</f>
        <v>081511555510</v>
      </c>
      <c r="AG887" s="80"/>
      <c r="AH887" s="80" t="str">
        <f>IFERROR(__xludf.DUMMYFUNCTION("""COMPUTED_VALUE"""),"amritajeferina2@gmail.com")</f>
        <v>amritajeferina2@gmail.com</v>
      </c>
      <c r="AI887" s="80" t="str">
        <f>IFERROR(__xludf.DUMMYFUNCTION("""COMPUTED_VALUE"""),"15427S1")</f>
        <v>15427S1</v>
      </c>
      <c r="AJ887" s="80" t="str">
        <f>IFERROR(__xludf.DUMMYFUNCTION("""COMPUTED_VALUE"""),"69d47f1a2bc16fe906051452")</f>
        <v>69d47f1a2bc16fe906051452</v>
      </c>
      <c r="AK887" s="80" t="str">
        <f>IFERROR(__xludf.DUMMYFUNCTION("""COMPUTED_VALUE"""),"amritajeferina2@gmail.com")</f>
        <v>amritajeferina2@gmail.com</v>
      </c>
      <c r="AL887" s="80" t="str">
        <f>IFERROR(__xludf.DUMMYFUNCTION("""COMPUTED_VALUE"""),"#Muc15427S1$")</f>
        <v>#Muc15427S1$</v>
      </c>
      <c r="AM887" s="80" t="str">
        <f>IFERROR(__xludf.DUMMYFUNCTION("""COMPUTED_VALUE"""),"KANTOR REGIONAL II JAKARTA 10004")</f>
        <v>KANTOR REGIONAL II JAKARTA 10004</v>
      </c>
      <c r="AN887" s="80" t="str">
        <f>IFERROR(__xludf.DUMMYFUNCTION("""COMPUTED_VALUE"""),"KC TANGERANG SELATAN")</f>
        <v>KC TANGERANG SELATAN</v>
      </c>
      <c r="AO887" s="80" t="str">
        <f>IFERROR(__xludf.DUMMYFUNCTION("""COMPUTED_VALUE"""),"2603260025093")</f>
        <v>2603260025093</v>
      </c>
      <c r="AP887" s="80" t="str">
        <f>IFERROR(__xludf.DUMMYFUNCTION("""COMPUTED_VALUE"""),"26032600250930001")</f>
        <v>26032600250930001</v>
      </c>
      <c r="AQ887" s="83"/>
      <c r="AR887" s="80"/>
      <c r="AS887" s="80"/>
      <c r="AT887" s="80" t="str">
        <f>IFERROR(__xludf.DUMMYFUNCTION("""COMPUTED_VALUE"""),"-6.2827409")</f>
        <v>-6.2827409</v>
      </c>
      <c r="AU887" s="80" t="str">
        <f>IFERROR(__xludf.DUMMYFUNCTION("""COMPUTED_VALUE"""),"106.7021116")</f>
        <v>106.7021116</v>
      </c>
      <c r="AV887" s="80"/>
      <c r="AW887" s="80"/>
      <c r="AX887" s="80"/>
      <c r="AY887" s="80"/>
      <c r="AZ887" s="80"/>
      <c r="BA887" s="80"/>
      <c r="BB887" s="80"/>
      <c r="BC887" s="80"/>
      <c r="BD887" s="80"/>
      <c r="BE887" s="80"/>
      <c r="BF887" s="80"/>
      <c r="BG887" s="80"/>
      <c r="BH887" s="80"/>
      <c r="BI887" s="80"/>
      <c r="BJ887" s="80"/>
      <c r="BK887" s="80"/>
      <c r="BL887" s="80"/>
      <c r="BM887" s="80"/>
      <c r="BN887" s="80"/>
      <c r="BO887" s="80"/>
      <c r="BP887" s="80"/>
      <c r="BQ887" s="80"/>
      <c r="BR887" s="80"/>
      <c r="BS887" s="80"/>
      <c r="BT887" s="80"/>
      <c r="BU887" s="80"/>
      <c r="BV887" s="80"/>
      <c r="BW887" s="80"/>
      <c r="BX887" s="80" t="str">
        <f>IFERROR(__xludf.DUMMYFUNCTION("""COMPUTED_VALUE"""),"MULTIKURIR - LION PARCEL")</f>
        <v>MULTIKURIR - LION PARCEL</v>
      </c>
      <c r="BY887" s="80"/>
      <c r="BZ887" s="80"/>
      <c r="CA887" s="80"/>
      <c r="CB887" s="80"/>
      <c r="CC887" s="80"/>
      <c r="CD887" s="80"/>
      <c r="CE887" s="80"/>
      <c r="CF887" s="80"/>
      <c r="CG887" s="80"/>
      <c r="CH887" s="80"/>
      <c r="CI887" s="80"/>
      <c r="CJ887" s="80"/>
      <c r="CK887" s="2"/>
    </row>
    <row r="888" ht="12.75" customHeight="1">
      <c r="A888" s="85">
        <f>IFERROR(__xludf.DUMMYFUNCTION("""COMPUTED_VALUE"""),884.0)</f>
        <v>884</v>
      </c>
      <c r="B888" s="85"/>
      <c r="C888" s="85"/>
      <c r="D888" s="86">
        <f>IFERROR(__xludf.DUMMYFUNCTION("""COMPUTED_VALUE"""),46107.0)</f>
        <v>46107</v>
      </c>
      <c r="E888" s="88"/>
      <c r="F888" s="85"/>
      <c r="G888" s="86">
        <f>IFERROR(__xludf.DUMMYFUNCTION("""COMPUTED_VALUE"""),46125.0)</f>
        <v>46125</v>
      </c>
      <c r="H888" s="85"/>
      <c r="I888" s="85"/>
      <c r="J888" s="85"/>
      <c r="K888" s="85"/>
      <c r="L888" s="85">
        <f>IFERROR(__xludf.DUMMYFUNCTION("""COMPUTED_VALUE"""),18.0)</f>
        <v>18</v>
      </c>
      <c r="M888" s="85" t="str">
        <f>IFERROR(__xludf.DUMMYFUNCTION("""COMPUTED_VALUE"""),"ü")</f>
        <v>ü</v>
      </c>
      <c r="N888" s="85"/>
      <c r="O888" s="85"/>
      <c r="P888" s="85" t="str">
        <f>IFERROR(__xludf.DUMMYFUNCTION("""COMPUTED_VALUE"""),"MUCSPA63395PSIND")</f>
        <v>MUCSPA63395PSIND</v>
      </c>
      <c r="Q888" s="85" t="str">
        <f>IFERROR(__xludf.DUMMYFUNCTION("""COMPUTED_VALUE"""),"MUC Poin Plus Oke")</f>
        <v>MUC Poin Plus Oke</v>
      </c>
      <c r="R888" s="85" t="str">
        <f>IFERROR(__xludf.DUMMYFUNCTION("""COMPUTED_VALUE"""),"MUC Poin Plus Oke")</f>
        <v>MUC Poin Plus Oke</v>
      </c>
      <c r="S888" s="85" t="str">
        <f>IFERROR(__xludf.DUMMYFUNCTION("""COMPUTED_VALUE"""),"AZAM LUTFIYANTO")</f>
        <v>AZAM LUTFIYANTO</v>
      </c>
      <c r="T888" s="85" t="str">
        <f>IFERROR(__xludf.DUMMYFUNCTION("""COMPUTED_VALUE"""),"KP. MERBOTAN RT.001 RW.007 BINTORO, DEMAK, KAB. DEMAK")</f>
        <v>KP. MERBOTAN RT.001 RW.007 BINTORO, DEMAK, KAB. DEMAK</v>
      </c>
      <c r="U888" s="85" t="str">
        <f>IFERROR(__xludf.DUMMYFUNCTION("""COMPUTED_VALUE"""),"Ps. Bintoro Demak, Jl. Sultan Fatah No.1 Lt. 1 Blok E1, Petengan Selatan")</f>
        <v>Ps. Bintoro Demak, Jl. Sultan Fatah No.1 Lt. 1 Blok E1, Petengan Selatan</v>
      </c>
      <c r="V888" s="85"/>
      <c r="W888" s="85" t="str">
        <f>IFERROR(__xludf.DUMMYFUNCTION("""COMPUTED_VALUE"""),"Bintoro")</f>
        <v>Bintoro</v>
      </c>
      <c r="X888" s="85" t="str">
        <f>IFERROR(__xludf.DUMMYFUNCTION("""COMPUTED_VALUE"""),"Demak")</f>
        <v>Demak</v>
      </c>
      <c r="Y888" s="85" t="str">
        <f>IFERROR(__xludf.DUMMYFUNCTION("""COMPUTED_VALUE"""),"Kabupaten Demak")</f>
        <v>Kabupaten Demak</v>
      </c>
      <c r="Z888" s="85" t="str">
        <f>IFERROR(__xludf.DUMMYFUNCTION("""COMPUTED_VALUE"""),"Jawa Tengah ")</f>
        <v>Jawa Tengah </v>
      </c>
      <c r="AA888" s="85" t="str">
        <f>IFERROR(__xludf.DUMMYFUNCTION("""COMPUTED_VALUE"""),"59511")</f>
        <v>59511</v>
      </c>
      <c r="AB888" s="85" t="str">
        <f>IFERROR(__xludf.DUMMYFUNCTION("""COMPUTED_VALUE"""),"3321110912720006")</f>
        <v>3321110912720006</v>
      </c>
      <c r="AC888" s="85" t="str">
        <f>IFERROR(__xludf.DUMMYFUNCTION("""COMPUTED_VALUE"""),"23.006.386.9-515.000")</f>
        <v>23.006.386.9-515.000</v>
      </c>
      <c r="AD888" s="85" t="str">
        <f>IFERROR(__xludf.DUMMYFUNCTION("""COMPUTED_VALUE"""),"CUM - PS - PDW")</f>
        <v>CUM - PS - PDW</v>
      </c>
      <c r="AE888" s="85" t="str">
        <f>IFERROR(__xludf.DUMMYFUNCTION("""COMPUTED_VALUE"""),"SUB BOWO POS")</f>
        <v>SUB BOWO POS</v>
      </c>
      <c r="AF888" s="85" t="str">
        <f>IFERROR(__xludf.DUMMYFUNCTION("""COMPUTED_VALUE"""),"085290914431")</f>
        <v>085290914431</v>
      </c>
      <c r="AG888" s="85"/>
      <c r="AH888" s="85" t="str">
        <f>IFERROR(__xludf.DUMMYFUNCTION("""COMPUTED_VALUE"""),"pointplus.oke@gmail.com")</f>
        <v>pointplus.oke@gmail.com</v>
      </c>
      <c r="AI888" s="85" t="str">
        <f>IFERROR(__xludf.DUMMYFUNCTION("""COMPUTED_VALUE"""),"59511S6")</f>
        <v>59511S6</v>
      </c>
      <c r="AJ888" s="85" t="str">
        <f>IFERROR(__xludf.DUMMYFUNCTION("""COMPUTED_VALUE"""),"69db176bdd2ec8abd0084063")</f>
        <v>69db176bdd2ec8abd0084063</v>
      </c>
      <c r="AK888" s="85" t="str">
        <f>IFERROR(__xludf.DUMMYFUNCTION("""COMPUTED_VALUE"""),"pointplus.oke@gmail.com")</f>
        <v>pointplus.oke@gmail.com</v>
      </c>
      <c r="AL888" s="85" t="str">
        <f>IFERROR(__xludf.DUMMYFUNCTION("""COMPUTED_VALUE"""),"#Muc59511S6$")</f>
        <v>#Muc59511S6$</v>
      </c>
      <c r="AM888" s="85" t="str">
        <f>IFERROR(__xludf.DUMMYFUNCTION("""COMPUTED_VALUE"""),"KANTOR REGIONAL IV SEMARANG 50004")</f>
        <v>KANTOR REGIONAL IV SEMARANG 50004</v>
      </c>
      <c r="AN888" s="85" t="str">
        <f>IFERROR(__xludf.DUMMYFUNCTION("""COMPUTED_VALUE"""),"KCU SEMARANG 50000")</f>
        <v>KCU SEMARANG 50000</v>
      </c>
      <c r="AO888" s="85" t="str">
        <f>IFERROR(__xludf.DUMMYFUNCTION("""COMPUTED_VALUE"""),"2603260058415")</f>
        <v>2603260058415</v>
      </c>
      <c r="AP888" s="85" t="str">
        <f>IFERROR(__xludf.DUMMYFUNCTION("""COMPUTED_VALUE"""),"26032600584150001")</f>
        <v>26032600584150001</v>
      </c>
      <c r="AQ888" s="93"/>
      <c r="AR888" s="85"/>
      <c r="AS888" s="85"/>
      <c r="AT888" s="85" t="str">
        <f>IFERROR(__xludf.DUMMYFUNCTION("""COMPUTED_VALUE"""),"-6.8905543")</f>
        <v>-6.8905543</v>
      </c>
      <c r="AU888" s="85" t="str">
        <f>IFERROR(__xludf.DUMMYFUNCTION("""COMPUTED_VALUE"""),"110.6412455")</f>
        <v>110.6412455</v>
      </c>
      <c r="AV888" s="85"/>
      <c r="AW888" s="85"/>
      <c r="AX888" s="85"/>
      <c r="AY888" s="85"/>
      <c r="AZ888" s="85"/>
      <c r="BA888" s="85"/>
      <c r="BB888" s="85"/>
      <c r="BC888" s="85"/>
      <c r="BD888" s="85"/>
      <c r="BE888" s="85"/>
      <c r="BF888" s="85"/>
      <c r="BG888" s="85"/>
      <c r="BH888" s="85"/>
      <c r="BI888" s="85"/>
      <c r="BJ888" s="85"/>
      <c r="BK888" s="85"/>
      <c r="BL888" s="85"/>
      <c r="BM888" s="85"/>
      <c r="BN888" s="85"/>
      <c r="BO888" s="85"/>
      <c r="BP888" s="85"/>
      <c r="BQ888" s="85"/>
      <c r="BR888" s="85"/>
      <c r="BS888" s="85"/>
      <c r="BT888" s="85"/>
      <c r="BU888" s="85"/>
      <c r="BV888" s="85"/>
      <c r="BW888" s="85"/>
      <c r="BX888" s="85" t="str">
        <f>IFERROR(__xludf.DUMMYFUNCTION("""COMPUTED_VALUE"""),"NEWBIE")</f>
        <v>NEWBIE</v>
      </c>
      <c r="BY888" s="85"/>
      <c r="BZ888" s="85"/>
      <c r="CA888" s="85"/>
      <c r="CB888" s="85"/>
      <c r="CC888" s="85"/>
      <c r="CD888" s="85"/>
      <c r="CE888" s="85"/>
      <c r="CF888" s="85"/>
      <c r="CG888" s="85"/>
      <c r="CH888" s="85"/>
      <c r="CI888" s="85"/>
      <c r="CJ888" s="85"/>
      <c r="CK888" s="2"/>
    </row>
    <row r="889" ht="12.75" customHeight="1">
      <c r="A889" s="80">
        <f>IFERROR(__xludf.DUMMYFUNCTION("""COMPUTED_VALUE"""),885.0)</f>
        <v>885</v>
      </c>
      <c r="B889" s="80"/>
      <c r="C889" s="80"/>
      <c r="D889" s="81">
        <f>IFERROR(__xludf.DUMMYFUNCTION("""COMPUTED_VALUE"""),46107.0)</f>
        <v>46107</v>
      </c>
      <c r="E889" s="82"/>
      <c r="F889" s="80"/>
      <c r="G889" s="81">
        <f>IFERROR(__xludf.DUMMYFUNCTION("""COMPUTED_VALUE"""),46230.0)</f>
        <v>46230</v>
      </c>
      <c r="H889" s="80"/>
      <c r="I889" s="80"/>
      <c r="J889" s="80"/>
      <c r="K889" s="80"/>
      <c r="L889" s="80">
        <f>IFERROR(__xludf.DUMMYFUNCTION("""COMPUTED_VALUE"""),123.0)</f>
        <v>123</v>
      </c>
      <c r="M889" s="80" t="str">
        <f>IFERROR(__xludf.DUMMYFUNCTION("""COMPUTED_VALUE"""),"ü")</f>
        <v>ü</v>
      </c>
      <c r="N889" s="80"/>
      <c r="O889" s="80"/>
      <c r="P889" s="80" t="str">
        <f>IFERROR(__xludf.DUMMYFUNCTION("""COMPUTED_VALUE"""),"MUCSPA63396PSIND")</f>
        <v>MUCSPA63396PSIND</v>
      </c>
      <c r="Q889" s="80" t="str">
        <f>IFERROR(__xludf.DUMMYFUNCTION("""COMPUTED_VALUE"""),"MUC KERSIK PUTIH")</f>
        <v>MUC KERSIK PUTIH</v>
      </c>
      <c r="R889" s="80" t="str">
        <f>IFERROR(__xludf.DUMMYFUNCTION("""COMPUTED_VALUE"""),"MUC KERSIK PUTIH")</f>
        <v>MUC KERSIK PUTIH</v>
      </c>
      <c r="S889" s="80" t="str">
        <f>IFERROR(__xludf.DUMMYFUNCTION("""COMPUTED_VALUE"""),"RATIH PRATITIS")</f>
        <v>RATIH PRATITIS</v>
      </c>
      <c r="T889" s="80" t="str">
        <f>IFERROR(__xludf.DUMMYFUNCTION("""COMPUTED_VALUE"""),"KALISALAK RT 1 RW 6")</f>
        <v>KALISALAK RT 1 RW 6</v>
      </c>
      <c r="U889" s="80" t="str">
        <f>IFERROR(__xludf.DUMMYFUNCTION("""COMPUTED_VALUE"""),"KERSIK PUTIH")</f>
        <v>KERSIK PUTIH</v>
      </c>
      <c r="V889" s="80"/>
      <c r="W889" s="80" t="str">
        <f>IFERROR(__xludf.DUMMYFUNCTION("""COMPUTED_VALUE"""),"KERSIK PUTIH")</f>
        <v>KERSIK PUTIH</v>
      </c>
      <c r="X889" s="80" t="str">
        <f>IFERROR(__xludf.DUMMYFUNCTION("""COMPUTED_VALUE"""),"BATULICIN")</f>
        <v>BATULICIN</v>
      </c>
      <c r="Y889" s="80" t="str">
        <f>IFERROR(__xludf.DUMMYFUNCTION("""COMPUTED_VALUE"""),"KAB. TANAH BUMBU")</f>
        <v>KAB. TANAH BUMBU</v>
      </c>
      <c r="Z889" s="80" t="str">
        <f>IFERROR(__xludf.DUMMYFUNCTION("""COMPUTED_VALUE"""),"KALIMANTAN SELATAN")</f>
        <v>KALIMANTAN SELATAN</v>
      </c>
      <c r="AA889" s="80" t="str">
        <f>IFERROR(__xludf.DUMMYFUNCTION("""COMPUTED_VALUE"""),"77215")</f>
        <v>77215</v>
      </c>
      <c r="AB889" s="80" t="str">
        <f>IFERROR(__xludf.DUMMYFUNCTION("""COMPUTED_VALUE"""),"3302056406010001")</f>
        <v>3302056406010001</v>
      </c>
      <c r="AC889" s="80" t="str">
        <f>IFERROR(__xludf.DUMMYFUNCTION("""COMPUTED_VALUE"""),"62.259.398.6-521.000")</f>
        <v>62.259.398.6-521.000</v>
      </c>
      <c r="AD889" s="80" t="str">
        <f>IFERROR(__xludf.DUMMYFUNCTION("""COMPUTED_VALUE"""),"NON KORGEN")</f>
        <v>NON KORGEN</v>
      </c>
      <c r="AE889" s="80" t="str">
        <f>IFERROR(__xludf.DUMMYFUNCTION("""COMPUTED_VALUE"""),"PAK AGUNG KC BATULICIN")</f>
        <v>PAK AGUNG KC BATULICIN</v>
      </c>
      <c r="AF889" s="80" t="str">
        <f>IFERROR(__xludf.DUMMYFUNCTION("""COMPUTED_VALUE"""),"082227617173")</f>
        <v>082227617173</v>
      </c>
      <c r="AG889" s="80"/>
      <c r="AH889" s="80" t="str">
        <f>IFERROR(__xludf.DUMMYFUNCTION("""COMPUTED_VALUE"""),"ratihhhpr@gmail.com")</f>
        <v>ratihhhpr@gmail.com</v>
      </c>
      <c r="AI889" s="80" t="str">
        <f>IFERROR(__xludf.DUMMYFUNCTION("""COMPUTED_VALUE"""),"72211S1")</f>
        <v>72211S1</v>
      </c>
      <c r="AJ889" s="80" t="str">
        <f>IFERROR(__xludf.DUMMYFUNCTION("""COMPUTED_VALUE"""),"6a66cda5215a1672ca040958")</f>
        <v>6a66cda5215a1672ca040958</v>
      </c>
      <c r="AK889" s="80" t="str">
        <f>IFERROR(__xludf.DUMMYFUNCTION("""COMPUTED_VALUE"""),"ratihhhpr@gmail.com")</f>
        <v>ratihhhpr@gmail.com</v>
      </c>
      <c r="AL889" s="80" t="str">
        <f>IFERROR(__xludf.DUMMYFUNCTION("""COMPUTED_VALUE"""),"#Muc72211S1$")</f>
        <v>#Muc72211S1$</v>
      </c>
      <c r="AM889" s="80" t="str">
        <f>IFERROR(__xludf.DUMMYFUNCTION("""COMPUTED_VALUE"""),"KANTOR REGIONAL VI MAKASAR 90004")</f>
        <v>KANTOR REGIONAL VI MAKASAR 90004</v>
      </c>
      <c r="AN889" s="80" t="str">
        <f>IFERROR(__xludf.DUMMYFUNCTION("""COMPUTED_VALUE"""),"KC BATULICIN")</f>
        <v>KC BATULICIN</v>
      </c>
      <c r="AO889" s="80" t="str">
        <f>IFERROR(__xludf.DUMMYFUNCTION("""COMPUTED_VALUE"""),"2603260061251")</f>
        <v>2603260061251</v>
      </c>
      <c r="AP889" s="80" t="str">
        <f>IFERROR(__xludf.DUMMYFUNCTION("""COMPUTED_VALUE"""),"26032600612510001")</f>
        <v>26032600612510001</v>
      </c>
      <c r="AQ889" s="83"/>
      <c r="AR889" s="80"/>
      <c r="AS889" s="80"/>
      <c r="AT889" s="80" t="str">
        <f>IFERROR(__xludf.DUMMYFUNCTION("""COMPUTED_VALUE"""),"-3.4818319")</f>
        <v>-3.4818319</v>
      </c>
      <c r="AU889" s="80" t="str">
        <f>IFERROR(__xludf.DUMMYFUNCTION("""COMPUTED_VALUE"""),"115.9980819")</f>
        <v>115.9980819</v>
      </c>
      <c r="AV889" s="80"/>
      <c r="AW889" s="80"/>
      <c r="AX889" s="80"/>
      <c r="AY889" s="80"/>
      <c r="AZ889" s="80"/>
      <c r="BA889" s="80"/>
      <c r="BB889" s="80"/>
      <c r="BC889" s="80"/>
      <c r="BD889" s="80"/>
      <c r="BE889" s="80"/>
      <c r="BF889" s="80"/>
      <c r="BG889" s="80"/>
      <c r="BH889" s="80"/>
      <c r="BI889" s="80"/>
      <c r="BJ889" s="80"/>
      <c r="BK889" s="80"/>
      <c r="BL889" s="80"/>
      <c r="BM889" s="80"/>
      <c r="BN889" s="80"/>
      <c r="BO889" s="80"/>
      <c r="BP889" s="80"/>
      <c r="BQ889" s="80"/>
      <c r="BR889" s="80"/>
      <c r="BS889" s="80"/>
      <c r="BT889" s="80"/>
      <c r="BU889" s="80"/>
      <c r="BV889" s="80"/>
      <c r="BW889" s="80"/>
      <c r="BX889" s="80" t="str">
        <f>IFERROR(__xludf.DUMMYFUNCTION("""COMPUTED_VALUE"""),"NEWBIE")</f>
        <v>NEWBIE</v>
      </c>
      <c r="BY889" s="80"/>
      <c r="BZ889" s="80"/>
      <c r="CA889" s="80"/>
      <c r="CB889" s="80"/>
      <c r="CC889" s="80"/>
      <c r="CD889" s="80"/>
      <c r="CE889" s="80"/>
      <c r="CF889" s="80"/>
      <c r="CG889" s="80"/>
      <c r="CH889" s="80"/>
      <c r="CI889" s="80"/>
      <c r="CJ889" s="80"/>
      <c r="CK889" s="2"/>
    </row>
    <row r="890" ht="12.75" customHeight="1">
      <c r="A890" s="85">
        <f>IFERROR(__xludf.DUMMYFUNCTION("""COMPUTED_VALUE"""),886.0)</f>
        <v>886</v>
      </c>
      <c r="B890" s="85"/>
      <c r="C890" s="85"/>
      <c r="D890" s="86">
        <f>IFERROR(__xludf.DUMMYFUNCTION("""COMPUTED_VALUE"""),46108.0)</f>
        <v>46108</v>
      </c>
      <c r="E890" s="88"/>
      <c r="F890" s="85"/>
      <c r="G890" s="86">
        <f>IFERROR(__xludf.DUMMYFUNCTION("""COMPUTED_VALUE"""),46119.0)</f>
        <v>46119</v>
      </c>
      <c r="H890" s="85"/>
      <c r="I890" s="85"/>
      <c r="J890" s="85"/>
      <c r="K890" s="85"/>
      <c r="L890" s="85">
        <f>IFERROR(__xludf.DUMMYFUNCTION("""COMPUTED_VALUE"""),11.0)</f>
        <v>11</v>
      </c>
      <c r="M890" s="85" t="str">
        <f>IFERROR(__xludf.DUMMYFUNCTION("""COMPUTED_VALUE"""),"ü")</f>
        <v>ü</v>
      </c>
      <c r="N890" s="85"/>
      <c r="O890" s="85"/>
      <c r="P890" s="85" t="str">
        <f>IFERROR(__xludf.DUMMYFUNCTION("""COMPUTED_VALUE"""),"53BSPA09914JBNDS")</f>
        <v>53BSPA09914JBNDS</v>
      </c>
      <c r="Q890" s="85" t="str">
        <f>IFERROR(__xludf.DUMMYFUNCTION("""COMPUTED_VALUE"""),"MUC ALFAFA STORE")</f>
        <v>MUC ALFAFA STORE</v>
      </c>
      <c r="R890" s="85" t="str">
        <f>IFERROR(__xludf.DUMMYFUNCTION("""COMPUTED_VALUE"""),"MUC ALFAFA STORE")</f>
        <v>MUC ALFAFA STORE</v>
      </c>
      <c r="S890" s="85" t="str">
        <f>IFERROR(__xludf.DUMMYFUNCTION("""COMPUTED_VALUE"""),"Bontot Mustopa")</f>
        <v>Bontot Mustopa</v>
      </c>
      <c r="T890" s="85" t="str">
        <f>IFERROR(__xludf.DUMMYFUNCTION("""COMPUTED_VALUE"""),"Dusun I, RT 007, RW 002, no 26, Jagapura kidul, kec. Gegesik, kab. Cirebon")</f>
        <v>Dusun I, RT 007, RW 002, no 26, Jagapura kidul, kec. Gegesik, kab. Cirebon</v>
      </c>
      <c r="U890" s="85" t="str">
        <f>IFERROR(__xludf.DUMMYFUNCTION("""COMPUTED_VALUE"""),"Dusun I, RT 003, RW 001")</f>
        <v>Dusun I, RT 003, RW 001</v>
      </c>
      <c r="V890" s="85"/>
      <c r="W890" s="85" t="str">
        <f>IFERROR(__xludf.DUMMYFUNCTION("""COMPUTED_VALUE"""),"Jagapura Wetan")</f>
        <v>Jagapura Wetan</v>
      </c>
      <c r="X890" s="85" t="str">
        <f>IFERROR(__xludf.DUMMYFUNCTION("""COMPUTED_VALUE"""),"Gegesik")</f>
        <v>Gegesik</v>
      </c>
      <c r="Y890" s="85" t="str">
        <f>IFERROR(__xludf.DUMMYFUNCTION("""COMPUTED_VALUE"""),"Cirebon")</f>
        <v>Cirebon</v>
      </c>
      <c r="Z890" s="85" t="str">
        <f>IFERROR(__xludf.DUMMYFUNCTION("""COMPUTED_VALUE"""),"Jawa Barat")</f>
        <v>Jawa Barat</v>
      </c>
      <c r="AA890" s="85" t="str">
        <f>IFERROR(__xludf.DUMMYFUNCTION("""COMPUTED_VALUE"""),"45164")</f>
        <v>45164</v>
      </c>
      <c r="AB890" s="85" t="str">
        <f>IFERROR(__xludf.DUMMYFUNCTION("""COMPUTED_VALUE"""),"3209281604730007")</f>
        <v>3209281604730007</v>
      </c>
      <c r="AC890" s="85" t="str">
        <f>IFERROR(__xludf.DUMMYFUNCTION("""COMPUTED_VALUE"""),"91.368.547.5-455.000")</f>
        <v>91.368.547.5-455.000</v>
      </c>
      <c r="AD890" s="85" t="str">
        <f>IFERROR(__xludf.DUMMYFUNCTION("""COMPUTED_VALUE"""),"CUM - NDS")</f>
        <v>CUM - NDS</v>
      </c>
      <c r="AE890" s="85" t="str">
        <f>IFERROR(__xludf.DUMMYFUNCTION("""COMPUTED_VALUE"""),"SUB NURUL DIMAS")</f>
        <v>SUB NURUL DIMAS</v>
      </c>
      <c r="AF890" s="85" t="str">
        <f>IFERROR(__xludf.DUMMYFUNCTION("""COMPUTED_VALUE"""),"087810139734")</f>
        <v>087810139734</v>
      </c>
      <c r="AG890" s="85"/>
      <c r="AH890" s="85" t="str">
        <f>IFERROR(__xludf.DUMMYFUNCTION("""COMPUTED_VALUE"""),"bontotmustopa2@gmail.com")</f>
        <v>bontotmustopa2@gmail.com</v>
      </c>
      <c r="AI890" s="85" t="str">
        <f>IFERROR(__xludf.DUMMYFUNCTION("""COMPUTED_VALUE"""),"45664S1")</f>
        <v>45664S1</v>
      </c>
      <c r="AJ890" s="85" t="str">
        <f>IFERROR(__xludf.DUMMYFUNCTION("""COMPUTED_VALUE"""),"69d4b7acfdf29e28050f6c30")</f>
        <v>69d4b7acfdf29e28050f6c30</v>
      </c>
      <c r="AK890" s="85" t="str">
        <f>IFERROR(__xludf.DUMMYFUNCTION("""COMPUTED_VALUE"""),"bontotmustopa2@gmail.com")</f>
        <v>bontotmustopa2@gmail.com</v>
      </c>
      <c r="AL890" s="85" t="str">
        <f>IFERROR(__xludf.DUMMYFUNCTION("""COMPUTED_VALUE"""),"#Muc45664S1$")</f>
        <v>#Muc45664S1$</v>
      </c>
      <c r="AM890" s="85" t="str">
        <f>IFERROR(__xludf.DUMMYFUNCTION("""COMPUTED_VALUE"""),"KANTOR REGIONAL III BANDUNG 40004")</f>
        <v>KANTOR REGIONAL III BANDUNG 40004</v>
      </c>
      <c r="AN890" s="85" t="str">
        <f>IFERROR(__xludf.DUMMYFUNCTION("""COMPUTED_VALUE"""),"KCU CIREBON 45100")</f>
        <v>KCU CIREBON 45100</v>
      </c>
      <c r="AO890" s="85" t="str">
        <f>IFERROR(__xludf.DUMMYFUNCTION("""COMPUTED_VALUE"""),"2603260089761")</f>
        <v>2603260089761</v>
      </c>
      <c r="AP890" s="85" t="str">
        <f>IFERROR(__xludf.DUMMYFUNCTION("""COMPUTED_VALUE"""),"26032600897610001")</f>
        <v>26032600897610001</v>
      </c>
      <c r="AQ890" s="93"/>
      <c r="AR890" s="85"/>
      <c r="AS890" s="85"/>
      <c r="AT890" s="85" t="str">
        <f>IFERROR(__xludf.DUMMYFUNCTION("""COMPUTED_VALUE"""),"-6.5420262")</f>
        <v>-6.5420262</v>
      </c>
      <c r="AU890" s="85" t="str">
        <f>IFERROR(__xludf.DUMMYFUNCTION("""COMPUTED_VALUE"""),"108.4271729")</f>
        <v>108.4271729</v>
      </c>
      <c r="AV890" s="85"/>
      <c r="AW890" s="85"/>
      <c r="AX890" s="85"/>
      <c r="AY890" s="85"/>
      <c r="AZ890" s="85"/>
      <c r="BA890" s="85"/>
      <c r="BB890" s="85"/>
      <c r="BC890" s="85"/>
      <c r="BD890" s="85"/>
      <c r="BE890" s="85"/>
      <c r="BF890" s="85"/>
      <c r="BG890" s="85"/>
      <c r="BH890" s="85"/>
      <c r="BI890" s="85"/>
      <c r="BJ890" s="85"/>
      <c r="BK890" s="85"/>
      <c r="BL890" s="85"/>
      <c r="BM890" s="85"/>
      <c r="BN890" s="85"/>
      <c r="BO890" s="85"/>
      <c r="BP890" s="85"/>
      <c r="BQ890" s="85"/>
      <c r="BR890" s="85"/>
      <c r="BS890" s="85"/>
      <c r="BT890" s="85"/>
      <c r="BU890" s="85"/>
      <c r="BV890" s="85"/>
      <c r="BW890" s="85"/>
      <c r="BX890" s="85" t="str">
        <f>IFERROR(__xludf.DUMMYFUNCTION("""COMPUTED_VALUE"""),"NEWBIE")</f>
        <v>NEWBIE</v>
      </c>
      <c r="BY890" s="85"/>
      <c r="BZ890" s="85"/>
      <c r="CA890" s="85"/>
      <c r="CB890" s="85"/>
      <c r="CC890" s="85"/>
      <c r="CD890" s="85"/>
      <c r="CE890" s="85"/>
      <c r="CF890" s="85"/>
      <c r="CG890" s="85"/>
      <c r="CH890" s="85"/>
      <c r="CI890" s="85"/>
      <c r="CJ890" s="85"/>
      <c r="CK890" s="2"/>
    </row>
    <row r="891" ht="12.75" customHeight="1">
      <c r="A891" s="80">
        <f>IFERROR(__xludf.DUMMYFUNCTION("""COMPUTED_VALUE"""),887.0)</f>
        <v>887</v>
      </c>
      <c r="B891" s="80"/>
      <c r="C891" s="80"/>
      <c r="D891" s="81">
        <f>IFERROR(__xludf.DUMMYFUNCTION("""COMPUTED_VALUE"""),46108.0)</f>
        <v>46108</v>
      </c>
      <c r="E891" s="82"/>
      <c r="F891" s="80"/>
      <c r="G891" s="81"/>
      <c r="H891" s="80"/>
      <c r="I891" s="80"/>
      <c r="J891" s="80"/>
      <c r="K891" s="80"/>
      <c r="L891" s="80"/>
      <c r="M891" s="80" t="str">
        <f>IFERROR(__xludf.DUMMYFUNCTION("""COMPUTED_VALUE"""),"ü")</f>
        <v>ü</v>
      </c>
      <c r="N891" s="80"/>
      <c r="O891" s="80"/>
      <c r="P891" s="80" t="str">
        <f>IFERROR(__xludf.DUMMYFUNCTION("""COMPUTED_VALUE"""),"MUCSPA63397PSIND")</f>
        <v>MUCSPA63397PSIND</v>
      </c>
      <c r="Q891" s="80" t="str">
        <f>IFERROR(__xludf.DUMMYFUNCTION("""COMPUTED_VALUE"""),"MUC FADHILA ULFA")</f>
        <v>MUC FADHILA ULFA</v>
      </c>
      <c r="R891" s="80" t="str">
        <f>IFERROR(__xludf.DUMMYFUNCTION("""COMPUTED_VALUE"""),"MUC FADHILA ULFA")</f>
        <v>MUC FADHILA ULFA</v>
      </c>
      <c r="S891" s="80" t="str">
        <f>IFERROR(__xludf.DUMMYFUNCTION("""COMPUTED_VALUE"""),"TRY HIRSAN HARGUSTRA")</f>
        <v>TRY HIRSAN HARGUSTRA</v>
      </c>
      <c r="T891" s="80" t="str">
        <f>IFERROR(__xludf.DUMMYFUNCTION("""COMPUTED_VALUE"""),"JL BARU AMD NO.8 TANJUNG BERINGIN, TANJUANG BARINGIN, LUBUK SIKAPING, KAB. PASAMAN SUMATERA BARAT")</f>
        <v>JL BARU AMD NO.8 TANJUNG BERINGIN, TANJUANG BARINGIN, LUBUK SIKAPING, KAB. PASAMAN SUMATERA BARAT</v>
      </c>
      <c r="U891" s="80" t="str">
        <f>IFERROR(__xludf.DUMMYFUNCTION("""COMPUTED_VALUE"""),"Jl. Baru Amd No 8")</f>
        <v>Jl. Baru Amd No 8</v>
      </c>
      <c r="V891" s="80"/>
      <c r="W891" s="80" t="str">
        <f>IFERROR(__xludf.DUMMYFUNCTION("""COMPUTED_VALUE"""),"Tanjuang Baringin")</f>
        <v>Tanjuang Baringin</v>
      </c>
      <c r="X891" s="80" t="str">
        <f>IFERROR(__xludf.DUMMYFUNCTION("""COMPUTED_VALUE"""),"Lubuk Sikaping")</f>
        <v>Lubuk Sikaping</v>
      </c>
      <c r="Y891" s="80" t="str">
        <f>IFERROR(__xludf.DUMMYFUNCTION("""COMPUTED_VALUE"""),"Pasaman")</f>
        <v>Pasaman</v>
      </c>
      <c r="Z891" s="80" t="str">
        <f>IFERROR(__xludf.DUMMYFUNCTION("""COMPUTED_VALUE"""),"Sumatera Barat")</f>
        <v>Sumatera Barat</v>
      </c>
      <c r="AA891" s="80" t="str">
        <f>IFERROR(__xludf.DUMMYFUNCTION("""COMPUTED_VALUE"""),"26300")</f>
        <v>26300</v>
      </c>
      <c r="AB891" s="80" t="str">
        <f>IFERROR(__xludf.DUMMYFUNCTION("""COMPUTED_VALUE"""),"1308140904850002")</f>
        <v>1308140904850002</v>
      </c>
      <c r="AC891" s="80" t="str">
        <f>IFERROR(__xludf.DUMMYFUNCTION("""COMPUTED_VALUE"""),"91.880.725.6-202.000")</f>
        <v>91.880.725.6-202.000</v>
      </c>
      <c r="AD891" s="80" t="str">
        <f>IFERROR(__xludf.DUMMYFUNCTION("""COMPUTED_VALUE"""),"CUM - PS - ABER")</f>
        <v>CUM - PS - ABER</v>
      </c>
      <c r="AE891" s="80" t="str">
        <f>IFERROR(__xludf.DUMMYFUNCTION("""COMPUTED_VALUE"""),"SUB ALBER ANDESKO")</f>
        <v>SUB ALBER ANDESKO</v>
      </c>
      <c r="AF891" s="80" t="str">
        <f>IFERROR(__xludf.DUMMYFUNCTION("""COMPUTED_VALUE"""),"081901031990")</f>
        <v>081901031990</v>
      </c>
      <c r="AG891" s="80"/>
      <c r="AH891" s="80" t="str">
        <f>IFERROR(__xludf.DUMMYFUNCTION("""COMPUTED_VALUE"""),"fadhillaulfa103@gmail.com")</f>
        <v>fadhillaulfa103@gmail.com</v>
      </c>
      <c r="AI891" s="80"/>
      <c r="AJ891" s="80"/>
      <c r="AK891" s="80"/>
      <c r="AL891" s="80"/>
      <c r="AM891" s="80" t="str">
        <f>IFERROR(__xludf.DUMMYFUNCTION("""COMPUTED_VALUE"""),"KANTOR REGIONAL I MEDAN 20004")</f>
        <v>KANTOR REGIONAL I MEDAN 20004</v>
      </c>
      <c r="AN891" s="80" t="str">
        <f>IFERROR(__xludf.DUMMYFUNCTION("""COMPUTED_VALUE"""),"KC LUBUKSIKAPING")</f>
        <v>KC LUBUKSIKAPING</v>
      </c>
      <c r="AO891" s="80" t="str">
        <f>IFERROR(__xludf.DUMMYFUNCTION("""COMPUTED_VALUE"""),"2703260057788")</f>
        <v>2703260057788</v>
      </c>
      <c r="AP891" s="80" t="str">
        <f>IFERROR(__xludf.DUMMYFUNCTION("""COMPUTED_VALUE"""),"27032600577880001")</f>
        <v>27032600577880001</v>
      </c>
      <c r="AQ891" s="83"/>
      <c r="AR891" s="80"/>
      <c r="AS891" s="80"/>
      <c r="AT891" s="80" t="str">
        <f>IFERROR(__xludf.DUMMYFUNCTION("""COMPUTED_VALUE"""),"0.1109942")</f>
        <v>0.1109942</v>
      </c>
      <c r="AU891" s="80" t="str">
        <f>IFERROR(__xludf.DUMMYFUNCTION("""COMPUTED_VALUE"""),"100.1872286")</f>
        <v>100.1872286</v>
      </c>
      <c r="AV891" s="80"/>
      <c r="AW891" s="80"/>
      <c r="AX891" s="80"/>
      <c r="AY891" s="80"/>
      <c r="AZ891" s="80"/>
      <c r="BA891" s="80"/>
      <c r="BB891" s="80"/>
      <c r="BC891" s="80"/>
      <c r="BD891" s="80"/>
      <c r="BE891" s="80"/>
      <c r="BF891" s="80"/>
      <c r="BG891" s="80"/>
      <c r="BH891" s="80"/>
      <c r="BI891" s="80"/>
      <c r="BJ891" s="80"/>
      <c r="BK891" s="80"/>
      <c r="BL891" s="80"/>
      <c r="BM891" s="80"/>
      <c r="BN891" s="80"/>
      <c r="BO891" s="80"/>
      <c r="BP891" s="80"/>
      <c r="BQ891" s="80"/>
      <c r="BR891" s="80"/>
      <c r="BS891" s="80"/>
      <c r="BT891" s="80"/>
      <c r="BU891" s="80"/>
      <c r="BV891" s="80"/>
      <c r="BW891" s="80"/>
      <c r="BX891" s="80" t="str">
        <f>IFERROR(__xludf.DUMMYFUNCTION("""COMPUTED_VALUE"""),"NEWBIE")</f>
        <v>NEWBIE</v>
      </c>
      <c r="BY891" s="80"/>
      <c r="BZ891" s="80"/>
      <c r="CA891" s="80"/>
      <c r="CB891" s="80"/>
      <c r="CC891" s="80"/>
      <c r="CD891" s="80"/>
      <c r="CE891" s="80"/>
      <c r="CF891" s="80"/>
      <c r="CG891" s="80"/>
      <c r="CH891" s="80"/>
      <c r="CI891" s="80"/>
      <c r="CJ891" s="80"/>
      <c r="CK891" s="2"/>
    </row>
    <row r="892" ht="12.75" customHeight="1">
      <c r="A892" s="85">
        <f>IFERROR(__xludf.DUMMYFUNCTION("""COMPUTED_VALUE"""),888.0)</f>
        <v>888</v>
      </c>
      <c r="B892" s="85"/>
      <c r="C892" s="85"/>
      <c r="D892" s="86">
        <f>IFERROR(__xludf.DUMMYFUNCTION("""COMPUTED_VALUE"""),46111.0)</f>
        <v>46111</v>
      </c>
      <c r="E892" s="88"/>
      <c r="F892" s="85"/>
      <c r="G892" s="86">
        <f>IFERROR(__xludf.DUMMYFUNCTION("""COMPUTED_VALUE"""),46139.0)</f>
        <v>46139</v>
      </c>
      <c r="H892" s="85"/>
      <c r="I892" s="85"/>
      <c r="J892" s="85"/>
      <c r="K892" s="85"/>
      <c r="L892" s="85">
        <f>IFERROR(__xludf.DUMMYFUNCTION("""COMPUTED_VALUE"""),28.0)</f>
        <v>28</v>
      </c>
      <c r="M892" s="85" t="str">
        <f>IFERROR(__xludf.DUMMYFUNCTION("""COMPUTED_VALUE"""),"ü")</f>
        <v>ü</v>
      </c>
      <c r="N892" s="85"/>
      <c r="O892" s="85"/>
      <c r="P892" s="85" t="str">
        <f>IFERROR(__xludf.DUMMYFUNCTION("""COMPUTED_VALUE"""),"53BSPA09953JBEEN")</f>
        <v>53BSPA09953JBEEN</v>
      </c>
      <c r="Q892" s="85" t="str">
        <f>IFERROR(__xludf.DUMMYFUNCTION("""COMPUTED_VALUE"""),"MUC Bulevar Hijau")</f>
        <v>MUC Bulevar Hijau</v>
      </c>
      <c r="R892" s="85" t="str">
        <f>IFERROR(__xludf.DUMMYFUNCTION("""COMPUTED_VALUE"""),"MUC Bulevar Hijau")</f>
        <v>MUC Bulevar Hijau</v>
      </c>
      <c r="S892" s="85" t="str">
        <f>IFERROR(__xludf.DUMMYFUNCTION("""COMPUTED_VALUE"""),"ERLY")</f>
        <v>ERLY</v>
      </c>
      <c r="T892" s="85" t="str">
        <f>IFERROR(__xludf.DUMMYFUNCTION("""COMPUTED_VALUE"""),"BULEVAR HIJAU BLOK F.2/14 RT.001 RW.030, PEJUANG, MEDAN SATRIA, KOTA BEKASI, JAWA BARAT")</f>
        <v>BULEVAR HIJAU BLOK F.2/14 RT.001 RW.030, PEJUANG, MEDAN SATRIA, KOTA BEKASI, JAWA BARAT</v>
      </c>
      <c r="U892" s="85" t="str">
        <f>IFERROR(__xludf.DUMMYFUNCTION("""COMPUTED_VALUE"""),"Jl. Palem Hijau Blok f2 No.11, RT.002/RW.030")</f>
        <v>Jl. Palem Hijau Blok f2 No.11, RT.002/RW.030</v>
      </c>
      <c r="V892" s="85"/>
      <c r="W892" s="85" t="str">
        <f>IFERROR(__xludf.DUMMYFUNCTION("""COMPUTED_VALUE"""),"Pejuang")</f>
        <v>Pejuang</v>
      </c>
      <c r="X892" s="85" t="str">
        <f>IFERROR(__xludf.DUMMYFUNCTION("""COMPUTED_VALUE"""),"Medan Satria")</f>
        <v>Medan Satria</v>
      </c>
      <c r="Y892" s="85" t="str">
        <f>IFERROR(__xludf.DUMMYFUNCTION("""COMPUTED_VALUE"""),"Kota Bekasi")</f>
        <v>Kota Bekasi</v>
      </c>
      <c r="Z892" s="85" t="str">
        <f>IFERROR(__xludf.DUMMYFUNCTION("""COMPUTED_VALUE"""),"Jawa Barat ")</f>
        <v>Jawa Barat </v>
      </c>
      <c r="AA892" s="85" t="str">
        <f>IFERROR(__xludf.DUMMYFUNCTION("""COMPUTED_VALUE"""),"17131")</f>
        <v>17131</v>
      </c>
      <c r="AB892" s="85" t="str">
        <f>IFERROR(__xludf.DUMMYFUNCTION("""COMPUTED_VALUE"""),"3275063112750023")</f>
        <v>3275063112750023</v>
      </c>
      <c r="AC892" s="85" t="str">
        <f>IFERROR(__xludf.DUMMYFUNCTION("""COMPUTED_VALUE"""),"55.515.450.9-407.000")</f>
        <v>55.515.450.9-407.000</v>
      </c>
      <c r="AD892" s="85" t="str">
        <f>IFERROR(__xludf.DUMMYFUNCTION("""COMPUTED_VALUE"""),"CUM - EEN")</f>
        <v>CUM - EEN</v>
      </c>
      <c r="AE892" s="85" t="str">
        <f>IFERROR(__xludf.DUMMYFUNCTION("""COMPUTED_VALUE"""),"SUB EEN")</f>
        <v>SUB EEN</v>
      </c>
      <c r="AF892" s="85" t="str">
        <f>IFERROR(__xludf.DUMMYFUNCTION("""COMPUTED_VALUE"""),"085959115533")</f>
        <v>085959115533</v>
      </c>
      <c r="AG892" s="85"/>
      <c r="AH892" s="85" t="str">
        <f>IFERROR(__xludf.DUMMYFUNCTION("""COMPUTED_VALUE"""),"fudaniyal@yahoo.com")</f>
        <v>fudaniyal@yahoo.com</v>
      </c>
      <c r="AI892" s="85" t="str">
        <f>IFERROR(__xludf.DUMMYFUNCTION("""COMPUTED_VALUE"""),"17181S5")</f>
        <v>17181S5</v>
      </c>
      <c r="AJ892" s="85" t="str">
        <f>IFERROR(__xludf.DUMMYFUNCTION("""COMPUTED_VALUE"""),"69d4ce9245be885bb50b2956")</f>
        <v>69d4ce9245be885bb50b2956</v>
      </c>
      <c r="AK892" s="85" t="str">
        <f>IFERROR(__xludf.DUMMYFUNCTION("""COMPUTED_VALUE"""),"fudaniyal@yahoo.com")</f>
        <v>fudaniyal@yahoo.com</v>
      </c>
      <c r="AL892" s="85" t="str">
        <f>IFERROR(__xludf.DUMMYFUNCTION("""COMPUTED_VALUE"""),"#Muc17181S5$")</f>
        <v>#Muc17181S5$</v>
      </c>
      <c r="AM892" s="85" t="str">
        <f>IFERROR(__xludf.DUMMYFUNCTION("""COMPUTED_VALUE"""),"KANTOR REGIONAL II JAKARTA 10004")</f>
        <v>KANTOR REGIONAL II JAKARTA 10004</v>
      </c>
      <c r="AN892" s="85" t="str">
        <f>IFERROR(__xludf.DUMMYFUNCTION("""COMPUTED_VALUE"""),"KCU BEKASI 17000")</f>
        <v>KCU BEKASI 17000</v>
      </c>
      <c r="AO892" s="85" t="str">
        <f>IFERROR(__xludf.DUMMYFUNCTION("""COMPUTED_VALUE"""),"0244010120685")</f>
        <v>0244010120685</v>
      </c>
      <c r="AP892" s="85" t="str">
        <f>IFERROR(__xludf.DUMMYFUNCTION("""COMPUTED_VALUE"""),"02440101206850002")</f>
        <v>02440101206850002</v>
      </c>
      <c r="AQ892" s="93"/>
      <c r="AR892" s="85"/>
      <c r="AS892" s="85"/>
      <c r="AT892" s="85" t="str">
        <f>IFERROR(__xludf.DUMMYFUNCTION("""COMPUTED_VALUE"""),"-6.188296")</f>
        <v>-6.188296</v>
      </c>
      <c r="AU892" s="85" t="str">
        <f>IFERROR(__xludf.DUMMYFUNCTION("""COMPUTED_VALUE"""),"106.981887")</f>
        <v>106.981887</v>
      </c>
      <c r="AV892" s="85"/>
      <c r="AW892" s="85"/>
      <c r="AX892" s="85"/>
      <c r="AY892" s="85"/>
      <c r="AZ892" s="85"/>
      <c r="BA892" s="85"/>
      <c r="BB892" s="85"/>
      <c r="BC892" s="85"/>
      <c r="BD892" s="85"/>
      <c r="BE892" s="85"/>
      <c r="BF892" s="85"/>
      <c r="BG892" s="85"/>
      <c r="BH892" s="85"/>
      <c r="BI892" s="85"/>
      <c r="BJ892" s="85"/>
      <c r="BK892" s="85"/>
      <c r="BL892" s="85"/>
      <c r="BM892" s="85"/>
      <c r="BN892" s="85"/>
      <c r="BO892" s="85"/>
      <c r="BP892" s="85"/>
      <c r="BQ892" s="85"/>
      <c r="BR892" s="85"/>
      <c r="BS892" s="85"/>
      <c r="BT892" s="85"/>
      <c r="BU892" s="85"/>
      <c r="BV892" s="85"/>
      <c r="BW892" s="85"/>
      <c r="BX892" s="85" t="str">
        <f>IFERROR(__xludf.DUMMYFUNCTION("""COMPUTED_VALUE"""),"NEWBIE")</f>
        <v>NEWBIE</v>
      </c>
      <c r="BY892" s="85"/>
      <c r="BZ892" s="85"/>
      <c r="CA892" s="85"/>
      <c r="CB892" s="85"/>
      <c r="CC892" s="85"/>
      <c r="CD892" s="85"/>
      <c r="CE892" s="85"/>
      <c r="CF892" s="85"/>
      <c r="CG892" s="85"/>
      <c r="CH892" s="85"/>
      <c r="CI892" s="85"/>
      <c r="CJ892" s="85"/>
      <c r="CK892" s="2"/>
    </row>
    <row r="893" ht="12.75" customHeight="1">
      <c r="A893" s="80">
        <f>IFERROR(__xludf.DUMMYFUNCTION("""COMPUTED_VALUE"""),889.0)</f>
        <v>889</v>
      </c>
      <c r="B893" s="80"/>
      <c r="C893" s="80"/>
      <c r="D893" s="81">
        <f>IFERROR(__xludf.DUMMYFUNCTION("""COMPUTED_VALUE"""),46111.0)</f>
        <v>46111</v>
      </c>
      <c r="E893" s="82"/>
      <c r="F893" s="80"/>
      <c r="G893" s="81">
        <f>IFERROR(__xludf.DUMMYFUNCTION("""COMPUTED_VALUE"""),46119.0)</f>
        <v>46119</v>
      </c>
      <c r="H893" s="80"/>
      <c r="I893" s="80"/>
      <c r="J893" s="80"/>
      <c r="K893" s="80"/>
      <c r="L893" s="80">
        <f>IFERROR(__xludf.DUMMYFUNCTION("""COMPUTED_VALUE"""),8.0)</f>
        <v>8</v>
      </c>
      <c r="M893" s="80" t="str">
        <f>IFERROR(__xludf.DUMMYFUNCTION("""COMPUTED_VALUE"""),"ü")</f>
        <v>ü</v>
      </c>
      <c r="N893" s="80"/>
      <c r="O893" s="80"/>
      <c r="P893" s="80" t="str">
        <f>IFERROR(__xludf.DUMMYFUNCTION("""COMPUTED_VALUE"""),"MUCSPA63398PSIND")</f>
        <v>MUCSPA63398PSIND</v>
      </c>
      <c r="Q893" s="80" t="str">
        <f>IFERROR(__xludf.DUMMYFUNCTION("""COMPUTED_VALUE"""),"MUC FunPos 256")</f>
        <v>MUC FunPos 256</v>
      </c>
      <c r="R893" s="80" t="str">
        <f>IFERROR(__xludf.DUMMYFUNCTION("""COMPUTED_VALUE"""),"MUC FunPos 256")</f>
        <v>MUC FunPos 256</v>
      </c>
      <c r="S893" s="80" t="str">
        <f>IFERROR(__xludf.DUMMYFUNCTION("""COMPUTED_VALUE"""),"EDY")</f>
        <v>EDY</v>
      </c>
      <c r="T893" s="80" t="str">
        <f>IFERROR(__xludf.DUMMYFUNCTION("""COMPUTED_VALUE"""),"JL. GALAXI RAYA BLOK A/15 RT.003 RW.014, JAKA SETIA, BEKASI SELATAN, KOTA BEKASI")</f>
        <v>JL. GALAXI RAYA BLOK A/15 RT.003 RW.014, JAKA SETIA, BEKASI SELATAN, KOTA BEKASI</v>
      </c>
      <c r="U893" s="80" t="str">
        <f>IFERROR(__xludf.DUMMYFUNCTION("""COMPUTED_VALUE"""),"JL. GALAXI RAYA BLOK A/15 RT.003 RW.014")</f>
        <v>JL. GALAXI RAYA BLOK A/15 RT.003 RW.014</v>
      </c>
      <c r="V893" s="80"/>
      <c r="W893" s="80" t="str">
        <f>IFERROR(__xludf.DUMMYFUNCTION("""COMPUTED_VALUE"""),"Jaka Setia")</f>
        <v>Jaka Setia</v>
      </c>
      <c r="X893" s="80" t="str">
        <f>IFERROR(__xludf.DUMMYFUNCTION("""COMPUTED_VALUE"""),"Bekasi Selatan")</f>
        <v>Bekasi Selatan</v>
      </c>
      <c r="Y893" s="80" t="str">
        <f>IFERROR(__xludf.DUMMYFUNCTION("""COMPUTED_VALUE"""),"Kota Bekasi")</f>
        <v>Kota Bekasi</v>
      </c>
      <c r="Z893" s="80" t="str">
        <f>IFERROR(__xludf.DUMMYFUNCTION("""COMPUTED_VALUE"""),"Jawa Barat")</f>
        <v>Jawa Barat</v>
      </c>
      <c r="AA893" s="80" t="str">
        <f>IFERROR(__xludf.DUMMYFUNCTION("""COMPUTED_VALUE"""),"17147")</f>
        <v>17147</v>
      </c>
      <c r="AB893" s="80" t="str">
        <f>IFERROR(__xludf.DUMMYFUNCTION("""COMPUTED_VALUE"""),"3275040408730011")</f>
        <v>3275040408730011</v>
      </c>
      <c r="AC893" s="80" t="str">
        <f>IFERROR(__xludf.DUMMYFUNCTION("""COMPUTED_VALUE"""),"24.079.957.7-407.000")</f>
        <v>24.079.957.7-407.000</v>
      </c>
      <c r="AD893" s="80" t="str">
        <f>IFERROR(__xludf.DUMMYFUNCTION("""COMPUTED_VALUE"""),"CUM - PS - AYS")</f>
        <v>CUM - PS - AYS</v>
      </c>
      <c r="AE893" s="80" t="str">
        <f>IFERROR(__xludf.DUMMYFUNCTION("""COMPUTED_VALUE"""),"SUB YUNUS POS")</f>
        <v>SUB YUNUS POS</v>
      </c>
      <c r="AF893" s="80" t="str">
        <f>IFERROR(__xludf.DUMMYFUNCTION("""COMPUTED_VALUE"""),"083890006450")</f>
        <v>083890006450</v>
      </c>
      <c r="AG893" s="80"/>
      <c r="AH893" s="80" t="str">
        <f>IFERROR(__xludf.DUMMYFUNCTION("""COMPUTED_VALUE"""),"edyfunny88@gmail.com")</f>
        <v>edyfunny88@gmail.com</v>
      </c>
      <c r="AI893" s="80" t="str">
        <f>IFERROR(__xludf.DUMMYFUNCTION("""COMPUTED_VALUE"""),"17147S5")</f>
        <v>17147S5</v>
      </c>
      <c r="AJ893" s="80" t="str">
        <f>IFERROR(__xludf.DUMMYFUNCTION("""COMPUTED_VALUE"""),"69d4c4ab9e7bda8b7b013c3a")</f>
        <v>69d4c4ab9e7bda8b7b013c3a</v>
      </c>
      <c r="AK893" s="80" t="str">
        <f>IFERROR(__xludf.DUMMYFUNCTION("""COMPUTED_VALUE"""),"edyfunny88@gmail.com")</f>
        <v>edyfunny88@gmail.com</v>
      </c>
      <c r="AL893" s="80" t="str">
        <f>IFERROR(__xludf.DUMMYFUNCTION("""COMPUTED_VALUE"""),"#Muc17147S5$")</f>
        <v>#Muc17147S5$</v>
      </c>
      <c r="AM893" s="80" t="str">
        <f>IFERROR(__xludf.DUMMYFUNCTION("""COMPUTED_VALUE"""),"KANTOR REGIONAL II JAKARTA 10004")</f>
        <v>KANTOR REGIONAL II JAKARTA 10004</v>
      </c>
      <c r="AN893" s="80" t="str">
        <f>IFERROR(__xludf.DUMMYFUNCTION("""COMPUTED_VALUE"""),"KCU BEKASI 17000")</f>
        <v>KCU BEKASI 17000</v>
      </c>
      <c r="AO893" s="80" t="str">
        <f>IFERROR(__xludf.DUMMYFUNCTION("""COMPUTED_VALUE"""),"0220205232114")</f>
        <v>0220205232114</v>
      </c>
      <c r="AP893" s="80" t="str">
        <f>IFERROR(__xludf.DUMMYFUNCTION("""COMPUTED_VALUE"""),"02202052321140001")</f>
        <v>02202052321140001</v>
      </c>
      <c r="AQ893" s="83"/>
      <c r="AR893" s="80"/>
      <c r="AS893" s="80"/>
      <c r="AT893" s="80" t="str">
        <f>IFERROR(__xludf.DUMMYFUNCTION("""COMPUTED_VALUE"""),"-6.2564025")</f>
        <v>-6.2564025</v>
      </c>
      <c r="AU893" s="80" t="str">
        <f>IFERROR(__xludf.DUMMYFUNCTION("""COMPUTED_VALUE"""),"106.9687236")</f>
        <v>106.9687236</v>
      </c>
      <c r="AV893" s="80"/>
      <c r="AW893" s="80"/>
      <c r="AX893" s="80"/>
      <c r="AY893" s="80"/>
      <c r="AZ893" s="80"/>
      <c r="BA893" s="80"/>
      <c r="BB893" s="80"/>
      <c r="BC893" s="80"/>
      <c r="BD893" s="80"/>
      <c r="BE893" s="80"/>
      <c r="BF893" s="80"/>
      <c r="BG893" s="80"/>
      <c r="BH893" s="80"/>
      <c r="BI893" s="80"/>
      <c r="BJ893" s="80"/>
      <c r="BK893" s="80"/>
      <c r="BL893" s="80"/>
      <c r="BM893" s="80"/>
      <c r="BN893" s="80"/>
      <c r="BO893" s="80"/>
      <c r="BP893" s="80"/>
      <c r="BQ893" s="80"/>
      <c r="BR893" s="80"/>
      <c r="BS893" s="80"/>
      <c r="BT893" s="80"/>
      <c r="BU893" s="80"/>
      <c r="BV893" s="80"/>
      <c r="BW893" s="80"/>
      <c r="BX893" s="80" t="str">
        <f>IFERROR(__xludf.DUMMYFUNCTION("""COMPUTED_VALUE"""),"MULTIKURIR - TIKI")</f>
        <v>MULTIKURIR - TIKI</v>
      </c>
      <c r="BY893" s="80"/>
      <c r="BZ893" s="80"/>
      <c r="CA893" s="80"/>
      <c r="CB893" s="80"/>
      <c r="CC893" s="80"/>
      <c r="CD893" s="80"/>
      <c r="CE893" s="80"/>
      <c r="CF893" s="80"/>
      <c r="CG893" s="80"/>
      <c r="CH893" s="80"/>
      <c r="CI893" s="80"/>
      <c r="CJ893" s="80"/>
      <c r="CK893" s="2"/>
    </row>
    <row r="894" ht="12.75" customHeight="1">
      <c r="A894" s="85">
        <f>IFERROR(__xludf.DUMMYFUNCTION("""COMPUTED_VALUE"""),890.0)</f>
        <v>890</v>
      </c>
      <c r="B894" s="85"/>
      <c r="C894" s="85"/>
      <c r="D894" s="86">
        <f>IFERROR(__xludf.DUMMYFUNCTION("""COMPUTED_VALUE"""),46112.0)</f>
        <v>46112</v>
      </c>
      <c r="E894" s="88"/>
      <c r="F894" s="85"/>
      <c r="G894" s="86"/>
      <c r="H894" s="85"/>
      <c r="I894" s="85"/>
      <c r="J894" s="85"/>
      <c r="K894" s="85"/>
      <c r="L894" s="85"/>
      <c r="M894" s="85"/>
      <c r="N894" s="85" t="str">
        <f>IFERROR(__xludf.DUMMYFUNCTION("""COMPUTED_VALUE"""),"ü")</f>
        <v>ü</v>
      </c>
      <c r="O894" s="85"/>
      <c r="P894" s="85" t="str">
        <f>IFERROR(__xludf.DUMMYFUNCTION("""COMPUTED_VALUE"""),"MUCSPA63399PSIND")</f>
        <v>MUCSPA63399PSIND</v>
      </c>
      <c r="Q894" s="85" t="str">
        <f>IFERROR(__xludf.DUMMYFUNCTION("""COMPUTED_VALUE"""),"MUC ANDIKA")</f>
        <v>MUC ANDIKA</v>
      </c>
      <c r="R894" s="85" t="str">
        <f>IFERROR(__xludf.DUMMYFUNCTION("""COMPUTED_VALUE"""),"MUC ANDIKA")</f>
        <v>MUC ANDIKA</v>
      </c>
      <c r="S894" s="85" t="str">
        <f>IFERROR(__xludf.DUMMYFUNCTION("""COMPUTED_VALUE"""),"ENENG NURHAYATI BADRIAH")</f>
        <v>ENENG NURHAYATI BADRIAH</v>
      </c>
      <c r="T894" s="85" t="str">
        <f>IFERROR(__xludf.DUMMYFUNCTION("""COMPUTED_VALUE"""),"CLUSTER PASAWAHAN REGENCY BLOK B5 RT 23 RW 12")</f>
        <v>CLUSTER PASAWAHAN REGENCY BLOK B5 RT 23 RW 12</v>
      </c>
      <c r="U894" s="85" t="str">
        <f>IFERROR(__xludf.DUMMYFUNCTION("""COMPUTED_VALUE"""),"CLUSTER PASAWAHAN REGENCY BLOK B5 RT 23 RW 12")</f>
        <v>CLUSTER PASAWAHAN REGENCY BLOK B5 RT 23 RW 12</v>
      </c>
      <c r="V894" s="85"/>
      <c r="W894" s="85" t="str">
        <f>IFERROR(__xludf.DUMMYFUNCTION("""COMPUTED_VALUE"""),"PASAWAHAN")</f>
        <v>PASAWAHAN</v>
      </c>
      <c r="X894" s="85" t="str">
        <f>IFERROR(__xludf.DUMMYFUNCTION("""COMPUTED_VALUE"""),"PASAWAHAN")</f>
        <v>PASAWAHAN</v>
      </c>
      <c r="Y894" s="85" t="str">
        <f>IFERROR(__xludf.DUMMYFUNCTION("""COMPUTED_VALUE"""),"KAB. PURWAKARTA")</f>
        <v>KAB. PURWAKARTA</v>
      </c>
      <c r="Z894" s="85" t="str">
        <f>IFERROR(__xludf.DUMMYFUNCTION("""COMPUTED_VALUE"""),"JAWA BARAT")</f>
        <v>JAWA BARAT</v>
      </c>
      <c r="AA894" s="85" t="str">
        <f>IFERROR(__xludf.DUMMYFUNCTION("""COMPUTED_VALUE"""),"41172")</f>
        <v>41172</v>
      </c>
      <c r="AB894" s="85" t="str">
        <f>IFERROR(__xludf.DUMMYFUNCTION("""COMPUTED_VALUE"""),"3214016403710002")</f>
        <v>3214016403710002</v>
      </c>
      <c r="AC894" s="85" t="str">
        <f>IFERROR(__xludf.DUMMYFUNCTION("""COMPUTED_VALUE"""),"09.302.681.3-409.000")</f>
        <v>09.302.681.3-409.000</v>
      </c>
      <c r="AD894" s="85" t="str">
        <f>IFERROR(__xludf.DUMMYFUNCTION("""COMPUTED_VALUE"""),"CUM - PS - MRY")</f>
        <v>CUM - PS - MRY</v>
      </c>
      <c r="AE894" s="85" t="str">
        <f>IFERROR(__xludf.DUMMYFUNCTION("""COMPUTED_VALUE"""),"SUB RIZKI YAKIN POS")</f>
        <v>SUB RIZKI YAKIN POS</v>
      </c>
      <c r="AF894" s="85" t="str">
        <f>IFERROR(__xludf.DUMMYFUNCTION("""COMPUTED_VALUE"""),"081293900669")</f>
        <v>081293900669</v>
      </c>
      <c r="AG894" s="85"/>
      <c r="AH894" s="85" t="str">
        <f>IFERROR(__xludf.DUMMYFUNCTION("""COMPUTED_VALUE"""),"adipurwanto160371@gmail.com")</f>
        <v>adipurwanto160371@gmail.com</v>
      </c>
      <c r="AI894" s="85"/>
      <c r="AJ894" s="85"/>
      <c r="AK894" s="85"/>
      <c r="AL894" s="85"/>
      <c r="AM894" s="85" t="str">
        <f>IFERROR(__xludf.DUMMYFUNCTION("""COMPUTED_VALUE"""),"KANTOR REGIONAL III BANDUNG 40004")</f>
        <v>KANTOR REGIONAL III BANDUNG 40004</v>
      </c>
      <c r="AN894" s="85" t="str">
        <f>IFERROR(__xludf.DUMMYFUNCTION("""COMPUTED_VALUE"""),"KC PURWAKARTA 41100")</f>
        <v>KC PURWAKARTA 41100</v>
      </c>
      <c r="AO894" s="85" t="str">
        <f>IFERROR(__xludf.DUMMYFUNCTION("""COMPUTED_VALUE"""),"3003260044447")</f>
        <v>3003260044447</v>
      </c>
      <c r="AP894" s="85" t="str">
        <f>IFERROR(__xludf.DUMMYFUNCTION("""COMPUTED_VALUE"""),"30032600444470001")</f>
        <v>30032600444470001</v>
      </c>
      <c r="AQ894" s="93"/>
      <c r="AR894" s="85"/>
      <c r="AS894" s="85"/>
      <c r="AT894" s="85" t="str">
        <f>IFERROR(__xludf.DUMMYFUNCTION("""COMPUTED_VALUE"""),"-6.58580")</f>
        <v>-6.58580</v>
      </c>
      <c r="AU894" s="85" t="str">
        <f>IFERROR(__xludf.DUMMYFUNCTION("""COMPUTED_VALUE"""),"107.47257")</f>
        <v>107.47257</v>
      </c>
      <c r="AV894" s="85"/>
      <c r="AW894" s="85"/>
      <c r="AX894" s="85"/>
      <c r="AY894" s="85"/>
      <c r="AZ894" s="85"/>
      <c r="BA894" s="85"/>
      <c r="BB894" s="85"/>
      <c r="BC894" s="85"/>
      <c r="BD894" s="85"/>
      <c r="BE894" s="85"/>
      <c r="BF894" s="85"/>
      <c r="BG894" s="85"/>
      <c r="BH894" s="85"/>
      <c r="BI894" s="85"/>
      <c r="BJ894" s="85"/>
      <c r="BK894" s="85"/>
      <c r="BL894" s="85"/>
      <c r="BM894" s="85"/>
      <c r="BN894" s="85"/>
      <c r="BO894" s="85"/>
      <c r="BP894" s="85"/>
      <c r="BQ894" s="85"/>
      <c r="BR894" s="85"/>
      <c r="BS894" s="85"/>
      <c r="BT894" s="85"/>
      <c r="BU894" s="85"/>
      <c r="BV894" s="85"/>
      <c r="BW894" s="85"/>
      <c r="BX894" s="85" t="str">
        <f>IFERROR(__xludf.DUMMYFUNCTION("""COMPUTED_VALUE"""),"NEWBIE")</f>
        <v>NEWBIE</v>
      </c>
      <c r="BY894" s="85"/>
      <c r="BZ894" s="85"/>
      <c r="CA894" s="85"/>
      <c r="CB894" s="85"/>
      <c r="CC894" s="85"/>
      <c r="CD894" s="85"/>
      <c r="CE894" s="85"/>
      <c r="CF894" s="85"/>
      <c r="CG894" s="85"/>
      <c r="CH894" s="85"/>
      <c r="CI894" s="85"/>
      <c r="CJ894" s="85"/>
      <c r="CK894" s="2"/>
    </row>
    <row r="895" ht="12.75" customHeight="1">
      <c r="A895" s="80">
        <f>IFERROR(__xludf.DUMMYFUNCTION("""COMPUTED_VALUE"""),891.0)</f>
        <v>891</v>
      </c>
      <c r="B895" s="80"/>
      <c r="C895" s="80"/>
      <c r="D895" s="81">
        <f>IFERROR(__xludf.DUMMYFUNCTION("""COMPUTED_VALUE"""),46112.0)</f>
        <v>46112</v>
      </c>
      <c r="E895" s="82"/>
      <c r="F895" s="80"/>
      <c r="G895" s="81"/>
      <c r="H895" s="80"/>
      <c r="I895" s="80"/>
      <c r="J895" s="80"/>
      <c r="K895" s="80"/>
      <c r="L895" s="80"/>
      <c r="M895" s="80" t="str">
        <f>IFERROR(__xludf.DUMMYFUNCTION("""COMPUTED_VALUE"""),"ü")</f>
        <v>ü</v>
      </c>
      <c r="N895" s="80"/>
      <c r="O895" s="80"/>
      <c r="P895" s="80" t="str">
        <f>IFERROR(__xludf.DUMMYFUNCTION("""COMPUTED_VALUE"""),"MUCSPA63401PSIND")</f>
        <v>MUCSPA63401PSIND</v>
      </c>
      <c r="Q895" s="80" t="str">
        <f>IFERROR(__xludf.DUMMYFUNCTION("""COMPUTED_VALUE"""),"MUC KPDK MART")</f>
        <v>MUC KPDK MART</v>
      </c>
      <c r="R895" s="80" t="str">
        <f>IFERROR(__xludf.DUMMYFUNCTION("""COMPUTED_VALUE"""),"MUC KPDK MART")</f>
        <v>MUC KPDK MART</v>
      </c>
      <c r="S895" s="80" t="str">
        <f>IFERROR(__xludf.DUMMYFUNCTION("""COMPUTED_VALUE"""),"NURDIAH SAFITRI")</f>
        <v>NURDIAH SAFITRI</v>
      </c>
      <c r="T895" s="80" t="str">
        <f>IFERROR(__xludf.DUMMYFUNCTION("""COMPUTED_VALUE"""),"CIDODOL RT.012 RW.012, GROGOL SELATAN, KEBAYORAN LAMA, JAKARTA SELATAN")</f>
        <v>CIDODOL RT.012 RW.012, GROGOL SELATAN, KEBAYORAN LAMA, JAKARTA SELATAN</v>
      </c>
      <c r="U895" s="80" t="str">
        <f>IFERROR(__xludf.DUMMYFUNCTION("""COMPUTED_VALUE"""),"Jl. H. R. Rasuna Said No.Kav. 3 4, RT.6/RW.7, Kuningan")</f>
        <v>Jl. H. R. Rasuna Said No.Kav. 3 4, RT.6/RW.7, Kuningan</v>
      </c>
      <c r="V895" s="80"/>
      <c r="W895" s="80" t="str">
        <f>IFERROR(__xludf.DUMMYFUNCTION("""COMPUTED_VALUE"""),"Karet Kuningan")</f>
        <v>Karet Kuningan</v>
      </c>
      <c r="X895" s="80" t="str">
        <f>IFERROR(__xludf.DUMMYFUNCTION("""COMPUTED_VALUE"""),"Setiabudi")</f>
        <v>Setiabudi</v>
      </c>
      <c r="Y895" s="80" t="str">
        <f>IFERROR(__xludf.DUMMYFUNCTION("""COMPUTED_VALUE"""),"Jakarta Selatan")</f>
        <v>Jakarta Selatan</v>
      </c>
      <c r="Z895" s="80" t="str">
        <f>IFERROR(__xludf.DUMMYFUNCTION("""COMPUTED_VALUE"""),"DKI Jakarta ")</f>
        <v>DKI Jakarta </v>
      </c>
      <c r="AA895" s="80" t="str">
        <f>IFERROR(__xludf.DUMMYFUNCTION("""COMPUTED_VALUE"""),"12940")</f>
        <v>12940</v>
      </c>
      <c r="AB895" s="80" t="str">
        <f>IFERROR(__xludf.DUMMYFUNCTION("""COMPUTED_VALUE"""),"3174056302970003")</f>
        <v>3174056302970003</v>
      </c>
      <c r="AC895" s="80" t="str">
        <f>IFERROR(__xludf.DUMMYFUNCTION("""COMPUTED_VALUE"""),"42.354.406.3-013.000")</f>
        <v>42.354.406.3-013.000</v>
      </c>
      <c r="AD895" s="80" t="str">
        <f>IFERROR(__xludf.DUMMYFUNCTION("""COMPUTED_VALUE"""),"CUM - PS - MIRS")</f>
        <v>CUM - PS - MIRS</v>
      </c>
      <c r="AE895" s="80" t="str">
        <f>IFERROR(__xludf.DUMMYFUNCTION("""COMPUTED_VALUE"""),"SUB ANGGA POS")</f>
        <v>SUB ANGGA POS</v>
      </c>
      <c r="AF895" s="80" t="str">
        <f>IFERROR(__xludf.DUMMYFUNCTION("""COMPUTED_VALUE"""),"081584526802")</f>
        <v>081584526802</v>
      </c>
      <c r="AG895" s="80"/>
      <c r="AH895" s="80" t="str">
        <f>IFERROR(__xludf.DUMMYFUNCTION("""COMPUTED_VALUE"""),"ndiahsafitri890@gmail.com")</f>
        <v>ndiahsafitri890@gmail.com</v>
      </c>
      <c r="AI895" s="80"/>
      <c r="AJ895" s="80"/>
      <c r="AK895" s="80"/>
      <c r="AL895" s="80"/>
      <c r="AM895" s="80" t="str">
        <f>IFERROR(__xludf.DUMMYFUNCTION("""COMPUTED_VALUE"""),"KANTOR REGIONAL II JAKARTA 10004")</f>
        <v>KANTOR REGIONAL II JAKARTA 10004</v>
      </c>
      <c r="AN895" s="80" t="str">
        <f>IFERROR(__xludf.DUMMYFUNCTION("""COMPUTED_VALUE"""),"KCU JAKARTAFLORA 12000")</f>
        <v>KCU JAKARTAFLORA 12000</v>
      </c>
      <c r="AO895" s="80" t="str">
        <f>IFERROR(__xludf.DUMMYFUNCTION("""COMPUTED_VALUE"""),"3103260027326")</f>
        <v>3103260027326</v>
      </c>
      <c r="AP895" s="80" t="str">
        <f>IFERROR(__xludf.DUMMYFUNCTION("""COMPUTED_VALUE"""),"31032600273260001")</f>
        <v>31032600273260001</v>
      </c>
      <c r="AQ895" s="83"/>
      <c r="AR895" s="80"/>
      <c r="AS895" s="80"/>
      <c r="AT895" s="80" t="str">
        <f>IFERROR(__xludf.DUMMYFUNCTION("""COMPUTED_VALUE"""),"-6.2205849")</f>
        <v>-6.2205849</v>
      </c>
      <c r="AU895" s="80" t="str">
        <f>IFERROR(__xludf.DUMMYFUNCTION("""COMPUTED_VALUE"""),"106.8296124")</f>
        <v>106.8296124</v>
      </c>
      <c r="AV895" s="80"/>
      <c r="AW895" s="80"/>
      <c r="AX895" s="80"/>
      <c r="AY895" s="80"/>
      <c r="AZ895" s="80"/>
      <c r="BA895" s="80"/>
      <c r="BB895" s="80"/>
      <c r="BC895" s="80"/>
      <c r="BD895" s="80"/>
      <c r="BE895" s="80"/>
      <c r="BF895" s="80"/>
      <c r="BG895" s="80"/>
      <c r="BH895" s="80"/>
      <c r="BI895" s="80"/>
      <c r="BJ895" s="80"/>
      <c r="BK895" s="80"/>
      <c r="BL895" s="80"/>
      <c r="BM895" s="80"/>
      <c r="BN895" s="80"/>
      <c r="BO895" s="80"/>
      <c r="BP895" s="80"/>
      <c r="BQ895" s="80"/>
      <c r="BR895" s="80"/>
      <c r="BS895" s="80"/>
      <c r="BT895" s="80"/>
      <c r="BU895" s="80"/>
      <c r="BV895" s="80"/>
      <c r="BW895" s="80"/>
      <c r="BX895" s="80" t="str">
        <f>IFERROR(__xludf.DUMMYFUNCTION("""COMPUTED_VALUE"""),"NEWBIE")</f>
        <v>NEWBIE</v>
      </c>
      <c r="BY895" s="80"/>
      <c r="BZ895" s="80"/>
      <c r="CA895" s="80"/>
      <c r="CB895" s="80"/>
      <c r="CC895" s="80"/>
      <c r="CD895" s="80"/>
      <c r="CE895" s="80"/>
      <c r="CF895" s="80"/>
      <c r="CG895" s="80"/>
      <c r="CH895" s="80"/>
      <c r="CI895" s="80"/>
      <c r="CJ895" s="80"/>
      <c r="CK895" s="2"/>
    </row>
    <row r="896" ht="12.75" customHeight="1">
      <c r="A896" s="85">
        <f>IFERROR(__xludf.DUMMYFUNCTION("""COMPUTED_VALUE"""),892.0)</f>
        <v>892</v>
      </c>
      <c r="B896" s="85"/>
      <c r="C896" s="85"/>
      <c r="D896" s="86">
        <f>IFERROR(__xludf.DUMMYFUNCTION("""COMPUTED_VALUE"""),46112.0)</f>
        <v>46112</v>
      </c>
      <c r="E896" s="88"/>
      <c r="F896" s="85"/>
      <c r="G896" s="86">
        <f>IFERROR(__xludf.DUMMYFUNCTION("""COMPUTED_VALUE"""),46135.0)</f>
        <v>46135</v>
      </c>
      <c r="H896" s="85"/>
      <c r="I896" s="85"/>
      <c r="J896" s="85"/>
      <c r="K896" s="85"/>
      <c r="L896" s="85">
        <f>IFERROR(__xludf.DUMMYFUNCTION("""COMPUTED_VALUE"""),23.0)</f>
        <v>23</v>
      </c>
      <c r="M896" s="85"/>
      <c r="N896" s="85" t="str">
        <f>IFERROR(__xludf.DUMMYFUNCTION("""COMPUTED_VALUE"""),"ü")</f>
        <v>ü</v>
      </c>
      <c r="O896" s="85"/>
      <c r="P896" s="85" t="str">
        <f>IFERROR(__xludf.DUMMYFUNCTION("""COMPUTED_VALUE"""),"MUCSPA63402PSIND")</f>
        <v>MUCSPA63402PSIND</v>
      </c>
      <c r="Q896" s="85" t="str">
        <f>IFERROR(__xludf.DUMMYFUNCTION("""COMPUTED_VALUE"""),"MUC AMANAH CENTRE")</f>
        <v>MUC AMANAH CENTRE</v>
      </c>
      <c r="R896" s="85" t="str">
        <f>IFERROR(__xludf.DUMMYFUNCTION("""COMPUTED_VALUE"""),"MUC AMANAH CENTRE")</f>
        <v>MUC AMANAH CENTRE</v>
      </c>
      <c r="S896" s="85" t="str">
        <f>IFERROR(__xludf.DUMMYFUNCTION("""COMPUTED_VALUE"""),"ASEP RACHMAT HIDAYAT ")</f>
        <v>ASEP RACHMAT HIDAYAT </v>
      </c>
      <c r="T896" s="85" t="str">
        <f>IFERROR(__xludf.DUMMYFUNCTION("""COMPUTED_VALUE"""),"KP. LONGKEWANG RT 5 RW 5 ")</f>
        <v>KP. LONGKEWANG RT 5 RW 5 </v>
      </c>
      <c r="U896" s="85" t="str">
        <f>IFERROR(__xludf.DUMMYFUNCTION("""COMPUTED_VALUE"""),"KP. GASOL WETAN RT 1 RW 4")</f>
        <v>KP. GASOL WETAN RT 1 RW 4</v>
      </c>
      <c r="V896" s="85"/>
      <c r="W896" s="85" t="str">
        <f>IFERROR(__xludf.DUMMYFUNCTION("""COMPUTED_VALUE"""),"GASOL")</f>
        <v>GASOL</v>
      </c>
      <c r="X896" s="85" t="str">
        <f>IFERROR(__xludf.DUMMYFUNCTION("""COMPUTED_VALUE"""),"CUGENANG ")</f>
        <v>CUGENANG </v>
      </c>
      <c r="Y896" s="85" t="str">
        <f>IFERROR(__xludf.DUMMYFUNCTION("""COMPUTED_VALUE"""),"KAB. CIANJUR ")</f>
        <v>KAB. CIANJUR </v>
      </c>
      <c r="Z896" s="85" t="str">
        <f>IFERROR(__xludf.DUMMYFUNCTION("""COMPUTED_VALUE"""),"JAWA BARAT ")</f>
        <v>JAWA BARAT </v>
      </c>
      <c r="AA896" s="85" t="str">
        <f>IFERROR(__xludf.DUMMYFUNCTION("""COMPUTED_VALUE"""),"43252")</f>
        <v>43252</v>
      </c>
      <c r="AB896" s="85" t="str">
        <f>IFERROR(__xludf.DUMMYFUNCTION("""COMPUTED_VALUE"""),"3276100201710004")</f>
        <v>3276100201710004</v>
      </c>
      <c r="AC896" s="85" t="str">
        <f>IFERROR(__xludf.DUMMYFUNCTION("""COMPUTED_VALUE"""),"25.512.377.0-406.000")</f>
        <v>25.512.377.0-406.000</v>
      </c>
      <c r="AD896" s="85" t="str">
        <f>IFERROR(__xludf.DUMMYFUNCTION("""COMPUTED_VALUE"""),"PAK ANDRE KC CIANJUR")</f>
        <v>PAK ANDRE KC CIANJUR</v>
      </c>
      <c r="AE896" s="85" t="str">
        <f>IFERROR(__xludf.DUMMYFUNCTION("""COMPUTED_VALUE"""),"PAK ANDRE KC CIANJUR")</f>
        <v>PAK ANDRE KC CIANJUR</v>
      </c>
      <c r="AF896" s="85" t="str">
        <f>IFERROR(__xludf.DUMMYFUNCTION("""COMPUTED_VALUE"""),"081219034656")</f>
        <v>081219034656</v>
      </c>
      <c r="AG896" s="85"/>
      <c r="AH896" s="85" t="str">
        <f>IFERROR(__xludf.DUMMYFUNCTION("""COMPUTED_VALUE"""),"aseprachmathidayat2171@gmail.com")</f>
        <v>aseprachmathidayat2171@gmail.com</v>
      </c>
      <c r="AI896" s="85" t="str">
        <f>IFERROR(__xludf.DUMMYFUNCTION("""COMPUTED_VALUE"""),"43252S2")</f>
        <v>43252S2</v>
      </c>
      <c r="AJ896" s="85" t="str">
        <f>IFERROR(__xludf.DUMMYFUNCTION("""COMPUTED_VALUE"""),"69e9ce7c28b298d1060d0b4c")</f>
        <v>69e9ce7c28b298d1060d0b4c</v>
      </c>
      <c r="AK896" s="85" t="str">
        <f>IFERROR(__xludf.DUMMYFUNCTION("""COMPUTED_VALUE"""),"aseprachmathidayat2171@gmail.com")</f>
        <v>aseprachmathidayat2171@gmail.com</v>
      </c>
      <c r="AL896" s="85" t="str">
        <f>IFERROR(__xludf.DUMMYFUNCTION("""COMPUTED_VALUE"""),"#Muc43252S2$")</f>
        <v>#Muc43252S2$</v>
      </c>
      <c r="AM896" s="85" t="str">
        <f>IFERROR(__xludf.DUMMYFUNCTION("""COMPUTED_VALUE"""),"KANTOR REGIONAL III BANDUNG 40004")</f>
        <v>KANTOR REGIONAL III BANDUNG 40004</v>
      </c>
      <c r="AN896" s="85" t="str">
        <f>IFERROR(__xludf.DUMMYFUNCTION("""COMPUTED_VALUE"""),"KC CIANJUR")</f>
        <v>KC CIANJUR</v>
      </c>
      <c r="AO896" s="85" t="str">
        <f>IFERROR(__xludf.DUMMYFUNCTION("""COMPUTED_VALUE"""),"3103260027203")</f>
        <v>3103260027203</v>
      </c>
      <c r="AP896" s="85" t="str">
        <f>IFERROR(__xludf.DUMMYFUNCTION("""COMPUTED_VALUE"""),"31032600272030001")</f>
        <v>31032600272030001</v>
      </c>
      <c r="AQ896" s="93"/>
      <c r="AR896" s="85"/>
      <c r="AS896" s="85"/>
      <c r="AT896" s="85" t="str">
        <f>IFERROR(__xludf.DUMMYFUNCTION("""COMPUTED_VALUE"""),"-6.8092714")</f>
        <v>-6.8092714</v>
      </c>
      <c r="AU896" s="85" t="str">
        <f>IFERROR(__xludf.DUMMYFUNCTION("""COMPUTED_VALUE"""),"107.0995419")</f>
        <v>107.0995419</v>
      </c>
      <c r="AV896" s="85"/>
      <c r="AW896" s="85"/>
      <c r="AX896" s="85"/>
      <c r="AY896" s="85"/>
      <c r="AZ896" s="85"/>
      <c r="BA896" s="85"/>
      <c r="BB896" s="85"/>
      <c r="BC896" s="85"/>
      <c r="BD896" s="85"/>
      <c r="BE896" s="85"/>
      <c r="BF896" s="85"/>
      <c r="BG896" s="85"/>
      <c r="BH896" s="85"/>
      <c r="BI896" s="85"/>
      <c r="BJ896" s="85"/>
      <c r="BK896" s="85"/>
      <c r="BL896" s="85"/>
      <c r="BM896" s="85"/>
      <c r="BN896" s="85"/>
      <c r="BO896" s="85"/>
      <c r="BP896" s="85"/>
      <c r="BQ896" s="85"/>
      <c r="BR896" s="85"/>
      <c r="BS896" s="85"/>
      <c r="BT896" s="85"/>
      <c r="BU896" s="85"/>
      <c r="BV896" s="85"/>
      <c r="BW896" s="85"/>
      <c r="BX896" s="85" t="str">
        <f>IFERROR(__xludf.DUMMYFUNCTION("""COMPUTED_VALUE"""),"NEWBIE")</f>
        <v>NEWBIE</v>
      </c>
      <c r="BY896" s="85"/>
      <c r="BZ896" s="85"/>
      <c r="CA896" s="85"/>
      <c r="CB896" s="85"/>
      <c r="CC896" s="85"/>
      <c r="CD896" s="85"/>
      <c r="CE896" s="85"/>
      <c r="CF896" s="85"/>
      <c r="CG896" s="85"/>
      <c r="CH896" s="85"/>
      <c r="CI896" s="85"/>
      <c r="CJ896" s="85"/>
      <c r="CK896" s="2"/>
    </row>
    <row r="897" ht="12.75" customHeight="1">
      <c r="A897" s="80">
        <f>IFERROR(__xludf.DUMMYFUNCTION("""COMPUTED_VALUE"""),893.0)</f>
        <v>893</v>
      </c>
      <c r="B897" s="80"/>
      <c r="C897" s="80"/>
      <c r="D897" s="81">
        <f>IFERROR(__xludf.DUMMYFUNCTION("""COMPUTED_VALUE"""),46118.0)</f>
        <v>46118</v>
      </c>
      <c r="E897" s="82"/>
      <c r="F897" s="80"/>
      <c r="G897" s="81"/>
      <c r="H897" s="80"/>
      <c r="I897" s="80"/>
      <c r="J897" s="80"/>
      <c r="K897" s="80"/>
      <c r="L897" s="80"/>
      <c r="M897" s="80"/>
      <c r="N897" s="80" t="str">
        <f>IFERROR(__xludf.DUMMYFUNCTION("""COMPUTED_VALUE"""),"ü")</f>
        <v>ü</v>
      </c>
      <c r="O897" s="80"/>
      <c r="P897" s="80" t="str">
        <f>IFERROR(__xludf.DUMMYFUNCTION("""COMPUTED_VALUE"""),"SINGRESI027SOLPT")</f>
        <v>SINGRESI027SOLPT</v>
      </c>
      <c r="Q897" s="80" t="str">
        <f>IFERROR(__xludf.DUMMYFUNCTION("""COMPUTED_VALUE"""),"MUC SOLUSI PAKET - SINGRES")</f>
        <v>MUC SOLUSI PAKET - SINGRES</v>
      </c>
      <c r="R897" s="80" t="str">
        <f>IFERROR(__xludf.DUMMYFUNCTION("""COMPUTED_VALUE"""),"MUC SOLUSI PAKET - SINGRES")</f>
        <v>MUC SOLUSI PAKET - SINGRES</v>
      </c>
      <c r="S897" s="80" t="str">
        <f>IFERROR(__xludf.DUMMYFUNCTION("""COMPUTED_VALUE"""),"Eka Aditia")</f>
        <v>Eka Aditia</v>
      </c>
      <c r="T897" s="80" t="str">
        <f>IFERROR(__xludf.DUMMYFUNCTION("""COMPUTED_VALUE"""),"Griya Buaran Indah C53, Kradenan, Pekalongan.")</f>
        <v>Griya Buaran Indah C53, Kradenan, Pekalongan.</v>
      </c>
      <c r="U897" s="80" t="str">
        <f>IFERROR(__xludf.DUMMYFUNCTION("""COMPUTED_VALUE"""),"Jln. Hos Cokroaminoto no.324, Kuripan Lor, Yosorejo RT02 RW05.")</f>
        <v>Jln. Hos Cokroaminoto no.324, Kuripan Lor, Yosorejo RT02 RW05.</v>
      </c>
      <c r="V897" s="80"/>
      <c r="W897" s="80" t="str">
        <f>IFERROR(__xludf.DUMMYFUNCTION("""COMPUTED_VALUE"""),"Kuripan Lor")</f>
        <v>Kuripan Lor</v>
      </c>
      <c r="X897" s="80" t="str">
        <f>IFERROR(__xludf.DUMMYFUNCTION("""COMPUTED_VALUE"""),"Pekalongan Selatan ")</f>
        <v>Pekalongan Selatan </v>
      </c>
      <c r="Y897" s="80" t="str">
        <f>IFERROR(__xludf.DUMMYFUNCTION("""COMPUTED_VALUE"""),"Pekalongan")</f>
        <v>Pekalongan</v>
      </c>
      <c r="Z897" s="80" t="str">
        <f>IFERROR(__xludf.DUMMYFUNCTION("""COMPUTED_VALUE"""),"Jawa Tengah")</f>
        <v>Jawa Tengah</v>
      </c>
      <c r="AA897" s="80" t="str">
        <f>IFERROR(__xludf.DUMMYFUNCTION("""COMPUTED_VALUE"""),"51136")</f>
        <v>51136</v>
      </c>
      <c r="AB897" s="80" t="str">
        <f>IFERROR(__xludf.DUMMYFUNCTION("""COMPUTED_VALUE"""),"3375032806870004")</f>
        <v>3375032806870004</v>
      </c>
      <c r="AC897" s="80" t="str">
        <f>IFERROR(__xludf.DUMMYFUNCTION("""COMPUTED_VALUE"""),"57.376.934.6-502.000")</f>
        <v>57.376.934.6-502.000</v>
      </c>
      <c r="AD897" s="80" t="str">
        <f>IFERROR(__xludf.DUMMYFUNCTION("""COMPUTED_VALUE"""),"NON KORGEN")</f>
        <v>NON KORGEN</v>
      </c>
      <c r="AE897" s="80" t="str">
        <f>IFERROR(__xludf.DUMMYFUNCTION("""COMPUTED_VALUE"""),"BU RISKA KCU PEKALONGAN")</f>
        <v>BU RISKA KCU PEKALONGAN</v>
      </c>
      <c r="AF897" s="80" t="str">
        <f>IFERROR(__xludf.DUMMYFUNCTION("""COMPUTED_VALUE"""),"085642872721")</f>
        <v>085642872721</v>
      </c>
      <c r="AG897" s="80"/>
      <c r="AH897" s="80" t="str">
        <f>IFERROR(__xludf.DUMMYFUNCTION("""COMPUTED_VALUE"""),"fortuneaditia@yahoo.co.id ")</f>
        <v>fortuneaditia@yahoo.co.id </v>
      </c>
      <c r="AI897" s="80" t="str">
        <f>IFERROR(__xludf.DUMMYFUNCTION("""COMPUTED_VALUE"""),"51136S1")</f>
        <v>51136S1</v>
      </c>
      <c r="AJ897" s="80" t="str">
        <f>IFERROR(__xludf.DUMMYFUNCTION("""COMPUTED_VALUE"""),"6997aac358b91d87bc02c507")</f>
        <v>6997aac358b91d87bc02c507</v>
      </c>
      <c r="AK897" s="80" t="str">
        <f>IFERROR(__xludf.DUMMYFUNCTION("""COMPUTED_VALUE"""),"fortuneaditia@yahoo.co.id")</f>
        <v>fortuneaditia@yahoo.co.id</v>
      </c>
      <c r="AL897" s="80" t="str">
        <f>IFERROR(__xludf.DUMMYFUNCTION("""COMPUTED_VALUE"""),"#Muc51136S1$")</f>
        <v>#Muc51136S1$</v>
      </c>
      <c r="AM897" s="80" t="str">
        <f>IFERROR(__xludf.DUMMYFUNCTION("""COMPUTED_VALUE"""),"KANTOR REGIONAL IV SEMARANG 50004")</f>
        <v>KANTOR REGIONAL IV SEMARANG 50004</v>
      </c>
      <c r="AN897" s="80" t="str">
        <f>IFERROR(__xludf.DUMMYFUNCTION("""COMPUTED_VALUE"""),"KCU PEKALONGAN")</f>
        <v>KCU PEKALONGAN</v>
      </c>
      <c r="AO897" s="80" t="str">
        <f>IFERROR(__xludf.DUMMYFUNCTION("""COMPUTED_VALUE"""),"MENYUSUL")</f>
        <v>MENYUSUL</v>
      </c>
      <c r="AP897" s="80" t="str">
        <f>IFERROR(__xludf.DUMMYFUNCTION("""COMPUTED_VALUE"""),"MENYUSUL")</f>
        <v>MENYUSUL</v>
      </c>
      <c r="AQ897" s="83"/>
      <c r="AR897" s="80"/>
      <c r="AS897" s="80"/>
      <c r="AT897" s="80" t="str">
        <f>IFERROR(__xludf.DUMMYFUNCTION("""COMPUTED_VALUE"""),"-6.919227")</f>
        <v>-6.919227</v>
      </c>
      <c r="AU897" s="80" t="str">
        <f>IFERROR(__xludf.DUMMYFUNCTION("""COMPUTED_VALUE"""),"109.676195")</f>
        <v>109.676195</v>
      </c>
      <c r="AV897" s="80"/>
      <c r="AW897" s="80"/>
      <c r="AX897" s="80"/>
      <c r="AY897" s="80"/>
      <c r="AZ897" s="80"/>
      <c r="BA897" s="80"/>
      <c r="BB897" s="80"/>
      <c r="BC897" s="80"/>
      <c r="BD897" s="80"/>
      <c r="BE897" s="80"/>
      <c r="BF897" s="80"/>
      <c r="BG897" s="80"/>
      <c r="BH897" s="80"/>
      <c r="BI897" s="80"/>
      <c r="BJ897" s="80"/>
      <c r="BK897" s="80"/>
      <c r="BL897" s="80"/>
      <c r="BM897" s="80"/>
      <c r="BN897" s="80"/>
      <c r="BO897" s="80"/>
      <c r="BP897" s="80"/>
      <c r="BQ897" s="80"/>
      <c r="BR897" s="80"/>
      <c r="BS897" s="80"/>
      <c r="BT897" s="80"/>
      <c r="BU897" s="80"/>
      <c r="BV897" s="80"/>
      <c r="BW897" s="80"/>
      <c r="BX897" s="80" t="str">
        <f>IFERROR(__xludf.DUMMYFUNCTION("""COMPUTED_VALUE"""),"MULTIKURIR")</f>
        <v>MULTIKURIR</v>
      </c>
      <c r="BY897" s="80"/>
      <c r="BZ897" s="80"/>
      <c r="CA897" s="80"/>
      <c r="CB897" s="80"/>
      <c r="CC897" s="80"/>
      <c r="CD897" s="80"/>
      <c r="CE897" s="80"/>
      <c r="CF897" s="80"/>
      <c r="CG897" s="80"/>
      <c r="CH897" s="80"/>
      <c r="CI897" s="80"/>
      <c r="CJ897" s="80"/>
      <c r="CK897" s="2"/>
    </row>
    <row r="898" ht="12.75" customHeight="1">
      <c r="A898" s="85">
        <f>IFERROR(__xludf.DUMMYFUNCTION("""COMPUTED_VALUE"""),894.0)</f>
        <v>894</v>
      </c>
      <c r="B898" s="85"/>
      <c r="C898" s="85"/>
      <c r="D898" s="86">
        <f>IFERROR(__xludf.DUMMYFUNCTION("""COMPUTED_VALUE"""),46118.0)</f>
        <v>46118</v>
      </c>
      <c r="E898" s="88"/>
      <c r="F898" s="85"/>
      <c r="G898" s="86">
        <f>IFERROR(__xludf.DUMMYFUNCTION("""COMPUTED_VALUE"""),46132.0)</f>
        <v>46132</v>
      </c>
      <c r="H898" s="85"/>
      <c r="I898" s="85"/>
      <c r="J898" s="85"/>
      <c r="K898" s="85"/>
      <c r="L898" s="85">
        <f>IFERROR(__xludf.DUMMYFUNCTION("""COMPUTED_VALUE"""),14.0)</f>
        <v>14</v>
      </c>
      <c r="M898" s="85" t="str">
        <f>IFERROR(__xludf.DUMMYFUNCTION("""COMPUTED_VALUE"""),"ü")</f>
        <v>ü</v>
      </c>
      <c r="N898" s="85"/>
      <c r="O898" s="85"/>
      <c r="P898" s="85" t="str">
        <f>IFERROR(__xludf.DUMMYFUNCTION("""COMPUTED_VALUE"""),"MUCSPA63403PSIND")</f>
        <v>MUCSPA63403PSIND</v>
      </c>
      <c r="Q898" s="85" t="str">
        <f>IFERROR(__xludf.DUMMYFUNCTION("""COMPUTED_VALUE"""),"MUC Koperasi Imigrasi Bogor")</f>
        <v>MUC Koperasi Imigrasi Bogor</v>
      </c>
      <c r="R898" s="85" t="str">
        <f>IFERROR(__xludf.DUMMYFUNCTION("""COMPUTED_VALUE"""),"MUC Koperasi Imigrasi Bogor")</f>
        <v>MUC Koperasi Imigrasi Bogor</v>
      </c>
      <c r="S898" s="85" t="str">
        <f>IFERROR(__xludf.DUMMYFUNCTION("""COMPUTED_VALUE"""),"Finansius Yudha Kurniawan ")</f>
        <v>Finansius Yudha Kurniawan </v>
      </c>
      <c r="T898" s="85" t="str">
        <f>IFERROR(__xludf.DUMMYFUNCTION("""COMPUTED_VALUE"""),"kp Pancoran mas no 5")</f>
        <v>kp Pancoran mas no 5</v>
      </c>
      <c r="U898" s="85" t="str">
        <f>IFERROR(__xludf.DUMMYFUNCTION("""COMPUTED_VALUE"""),"jl Ayani no 19 Tanah Sareal kota bogor")</f>
        <v>jl Ayani no 19 Tanah Sareal kota bogor</v>
      </c>
      <c r="V898" s="85"/>
      <c r="W898" s="85" t="str">
        <f>IFERROR(__xludf.DUMMYFUNCTION("""COMPUTED_VALUE"""),"Tanah sareal")</f>
        <v>Tanah sareal</v>
      </c>
      <c r="X898" s="85" t="str">
        <f>IFERROR(__xludf.DUMMYFUNCTION("""COMPUTED_VALUE"""),"Tanah Sareal ")</f>
        <v>Tanah Sareal </v>
      </c>
      <c r="Y898" s="85" t="str">
        <f>IFERROR(__xludf.DUMMYFUNCTION("""COMPUTED_VALUE"""),"Bogor")</f>
        <v>Bogor</v>
      </c>
      <c r="Z898" s="85" t="str">
        <f>IFERROR(__xludf.DUMMYFUNCTION("""COMPUTED_VALUE"""),"Jawa barat")</f>
        <v>Jawa barat</v>
      </c>
      <c r="AA898" s="85" t="str">
        <f>IFERROR(__xludf.DUMMYFUNCTION("""COMPUTED_VALUE"""),"16161")</f>
        <v>16161</v>
      </c>
      <c r="AB898" s="85" t="str">
        <f>IFERROR(__xludf.DUMMYFUNCTION("""COMPUTED_VALUE"""),"3276012903810004")</f>
        <v>3276012903810004</v>
      </c>
      <c r="AC898" s="85" t="str">
        <f>IFERROR(__xludf.DUMMYFUNCTION("""COMPUTED_VALUE"""),"0023 6975 0140 4000")</f>
        <v>0023 6975 0140 4000</v>
      </c>
      <c r="AD898" s="85" t="str">
        <f>IFERROR(__xludf.DUMMYFUNCTION("""COMPUTED_VALUE"""),"CUM - PS - ASEPN")</f>
        <v>CUM - PS - ASEPN</v>
      </c>
      <c r="AE898" s="85" t="str">
        <f>IFERROR(__xludf.DUMMYFUNCTION("""COMPUTED_VALUE"""),"PAK ASEP KCU BOGOR")</f>
        <v>PAK ASEP KCU BOGOR</v>
      </c>
      <c r="AF898" s="85" t="str">
        <f>IFERROR(__xludf.DUMMYFUNCTION("""COMPUTED_VALUE"""),"081517474746")</f>
        <v>081517474746</v>
      </c>
      <c r="AG898" s="85"/>
      <c r="AH898" s="85" t="str">
        <f>IFERROR(__xludf.DUMMYFUNCTION("""COMPUTED_VALUE"""),"kppdk.kanimbogor@gmail.com")</f>
        <v>kppdk.kanimbogor@gmail.com</v>
      </c>
      <c r="AI898" s="85" t="str">
        <f>IFERROR(__xludf.DUMMYFUNCTION("""COMPUTED_VALUE"""),"16161S1")</f>
        <v>16161S1</v>
      </c>
      <c r="AJ898" s="85" t="str">
        <f>IFERROR(__xludf.DUMMYFUNCTION("""COMPUTED_VALUE"""),"69e4a3f805c58ababe01e578")</f>
        <v>69e4a3f805c58ababe01e578</v>
      </c>
      <c r="AK898" s="85" t="str">
        <f>IFERROR(__xludf.DUMMYFUNCTION("""COMPUTED_VALUE"""),"kppdk.kanimbogor@gmail.com")</f>
        <v>kppdk.kanimbogor@gmail.com</v>
      </c>
      <c r="AL898" s="85" t="str">
        <f>IFERROR(__xludf.DUMMYFUNCTION("""COMPUTED_VALUE"""),"#Muc16161S1$")</f>
        <v>#Muc16161S1$</v>
      </c>
      <c r="AM898" s="85" t="str">
        <f>IFERROR(__xludf.DUMMYFUNCTION("""COMPUTED_VALUE"""),"KANTOR REGIONAL II JAKARTA 10004")</f>
        <v>KANTOR REGIONAL II JAKARTA 10004</v>
      </c>
      <c r="AN898" s="85" t="str">
        <f>IFERROR(__xludf.DUMMYFUNCTION("""COMPUTED_VALUE"""),"KCU BOGOR 16000")</f>
        <v>KCU BOGOR 16000</v>
      </c>
      <c r="AO898" s="85" t="str">
        <f>IFERROR(__xludf.DUMMYFUNCTION("""COMPUTED_VALUE"""),"1102250062159")</f>
        <v>1102250062159</v>
      </c>
      <c r="AP898" s="85" t="str">
        <f>IFERROR(__xludf.DUMMYFUNCTION("""COMPUTED_VALUE"""),"11022500621590002")</f>
        <v>11022500621590002</v>
      </c>
      <c r="AQ898" s="93" t="str">
        <f>IFERROR(__xludf.DUMMYFUNCTION("""COMPUTED_VALUE"""),"DEPOSIT")</f>
        <v>DEPOSIT</v>
      </c>
      <c r="AR898" s="85"/>
      <c r="AS898" s="85"/>
      <c r="AT898" s="85" t="str">
        <f>IFERROR(__xludf.DUMMYFUNCTION("""COMPUTED_VALUE"""),"-6.574728")</f>
        <v>-6.574728</v>
      </c>
      <c r="AU898" s="85" t="str">
        <f>IFERROR(__xludf.DUMMYFUNCTION("""COMPUTED_VALUE"""),"106.800338")</f>
        <v>106.800338</v>
      </c>
      <c r="AV898" s="85"/>
      <c r="AW898" s="85"/>
      <c r="AX898" s="85"/>
      <c r="AY898" s="85"/>
      <c r="AZ898" s="85"/>
      <c r="BA898" s="85"/>
      <c r="BB898" s="85"/>
      <c r="BC898" s="85"/>
      <c r="BD898" s="85"/>
      <c r="BE898" s="85"/>
      <c r="BF898" s="85"/>
      <c r="BG898" s="85"/>
      <c r="BH898" s="85"/>
      <c r="BI898" s="85"/>
      <c r="BJ898" s="85"/>
      <c r="BK898" s="85"/>
      <c r="BL898" s="85"/>
      <c r="BM898" s="85"/>
      <c r="BN898" s="85"/>
      <c r="BO898" s="85"/>
      <c r="BP898" s="85"/>
      <c r="BQ898" s="85"/>
      <c r="BR898" s="85"/>
      <c r="BS898" s="85"/>
      <c r="BT898" s="85"/>
      <c r="BU898" s="85"/>
      <c r="BV898" s="85"/>
      <c r="BW898" s="85"/>
      <c r="BX898" s="85" t="str">
        <f>IFERROR(__xludf.DUMMYFUNCTION("""COMPUTED_VALUE"""),"NEWBIE KANTOR IMIGRASI")</f>
        <v>NEWBIE KANTOR IMIGRASI</v>
      </c>
      <c r="BY898" s="85"/>
      <c r="BZ898" s="85"/>
      <c r="CA898" s="85"/>
      <c r="CB898" s="85"/>
      <c r="CC898" s="85"/>
      <c r="CD898" s="85"/>
      <c r="CE898" s="85"/>
      <c r="CF898" s="85"/>
      <c r="CG898" s="85"/>
      <c r="CH898" s="85"/>
      <c r="CI898" s="85"/>
      <c r="CJ898" s="85"/>
      <c r="CK898" s="2"/>
    </row>
    <row r="899" ht="12.75" customHeight="1">
      <c r="A899" s="80">
        <f>IFERROR(__xludf.DUMMYFUNCTION("""COMPUTED_VALUE"""),895.0)</f>
        <v>895</v>
      </c>
      <c r="B899" s="80"/>
      <c r="C899" s="80"/>
      <c r="D899" s="81">
        <f>IFERROR(__xludf.DUMMYFUNCTION("""COMPUTED_VALUE"""),46119.0)</f>
        <v>46119</v>
      </c>
      <c r="E899" s="82"/>
      <c r="F899" s="80"/>
      <c r="G899" s="81">
        <f>IFERROR(__xludf.DUMMYFUNCTION("""COMPUTED_VALUE"""),46272.0)</f>
        <v>46272</v>
      </c>
      <c r="H899" s="80"/>
      <c r="I899" s="80"/>
      <c r="J899" s="80"/>
      <c r="K899" s="80"/>
      <c r="L899" s="80">
        <f>IFERROR(__xludf.DUMMYFUNCTION("""COMPUTED_VALUE"""),153.0)</f>
        <v>153</v>
      </c>
      <c r="M899" s="80" t="str">
        <f>IFERROR(__xludf.DUMMYFUNCTION("""COMPUTED_VALUE"""),"ü")</f>
        <v>ü</v>
      </c>
      <c r="N899" s="80"/>
      <c r="O899" s="80"/>
      <c r="P899" s="80" t="str">
        <f>IFERROR(__xludf.DUMMYFUNCTION("""COMPUTED_VALUE"""),"MUCSPA63404PSIND")</f>
        <v>MUCSPA63404PSIND</v>
      </c>
      <c r="Q899" s="80" t="str">
        <f>IFERROR(__xludf.DUMMYFUNCTION("""COMPUTED_VALUE"""),"MUC KUD TANI MULYA")</f>
        <v>MUC KUD TANI MULYA</v>
      </c>
      <c r="R899" s="80" t="str">
        <f>IFERROR(__xludf.DUMMYFUNCTION("""COMPUTED_VALUE"""),"MUC KUD TANI MULYA")</f>
        <v>MUC KUD TANI MULYA</v>
      </c>
      <c r="S899" s="80" t="str">
        <f>IFERROR(__xludf.DUMMYFUNCTION("""COMPUTED_VALUE"""),"SUTONO")</f>
        <v>SUTONO</v>
      </c>
      <c r="T899" s="80" t="str">
        <f>IFERROR(__xludf.DUMMYFUNCTION("""COMPUTED_VALUE"""),"DESA SAMBIREJO, SAMBIREJO SELUPU REJANG, KAB. REJANG LEBONG, BENGKULU")</f>
        <v>DESA SAMBIREJO, SAMBIREJO SELUPU REJANG, KAB. REJANG LEBONG, BENGKULU</v>
      </c>
      <c r="U899" s="80" t="str">
        <f>IFERROR(__xludf.DUMMYFUNCTION("""COMPUTED_VALUE"""),"Jl. Raya Curup - Lubuk Linggau No.13")</f>
        <v>Jl. Raya Curup - Lubuk Linggau No.13</v>
      </c>
      <c r="V899" s="80"/>
      <c r="W899" s="80" t="str">
        <f>IFERROR(__xludf.DUMMYFUNCTION("""COMPUTED_VALUE"""),"Kalipadang")</f>
        <v>Kalipadang</v>
      </c>
      <c r="X899" s="80" t="str">
        <f>IFERROR(__xludf.DUMMYFUNCTION("""COMPUTED_VALUE"""),"Selupu Rejang")</f>
        <v>Selupu Rejang</v>
      </c>
      <c r="Y899" s="80" t="str">
        <f>IFERROR(__xludf.DUMMYFUNCTION("""COMPUTED_VALUE"""),"Rejang Lebong")</f>
        <v>Rejang Lebong</v>
      </c>
      <c r="Z899" s="80" t="str">
        <f>IFERROR(__xludf.DUMMYFUNCTION("""COMPUTED_VALUE"""),"Bengkulu")</f>
        <v>Bengkulu</v>
      </c>
      <c r="AA899" s="80" t="str">
        <f>IFERROR(__xludf.DUMMYFUNCTION("""COMPUTED_VALUE"""),"39153")</f>
        <v>39153</v>
      </c>
      <c r="AB899" s="80" t="str">
        <f>IFERROR(__xludf.DUMMYFUNCTION("""COMPUTED_VALUE"""),"1702111208860001")</f>
        <v>1702111208860001</v>
      </c>
      <c r="AC899" s="80" t="str">
        <f>IFERROR(__xludf.DUMMYFUNCTION("""COMPUTED_VALUE"""),"09.458.042.0-327.000")</f>
        <v>09.458.042.0-327.000</v>
      </c>
      <c r="AD899" s="80" t="str">
        <f>IFERROR(__xludf.DUMMYFUNCTION("""COMPUTED_VALUE"""),"BU SILVIA KC CURUP")</f>
        <v>BU SILVIA KC CURUP</v>
      </c>
      <c r="AE899" s="80" t="str">
        <f>IFERROR(__xludf.DUMMYFUNCTION("""COMPUTED_VALUE"""),"BU SILVIA KC CURUP")</f>
        <v>BU SILVIA KC CURUP</v>
      </c>
      <c r="AF899" s="80" t="str">
        <f>IFERROR(__xludf.DUMMYFUNCTION("""COMPUTED_VALUE"""),"08531024901")</f>
        <v>08531024901</v>
      </c>
      <c r="AG899" s="80"/>
      <c r="AH899" s="80" t="str">
        <f>IFERROR(__xludf.DUMMYFUNCTION("""COMPUTED_VALUE"""),"diasoetono7@gmail.com")</f>
        <v>diasoetono7@gmail.com</v>
      </c>
      <c r="AI899" s="80" t="str">
        <f>IFERROR(__xludf.DUMMYFUNCTION("""COMPUTED_VALUE"""),"39153S2")</f>
        <v>39153S2</v>
      </c>
      <c r="AJ899" s="80" t="str">
        <f>IFERROR(__xludf.DUMMYFUNCTION("""COMPUTED_VALUE"""),"6a9bafba38488f3a230e69b7")</f>
        <v>6a9bafba38488f3a230e69b7</v>
      </c>
      <c r="AK899" s="80" t="str">
        <f>IFERROR(__xludf.DUMMYFUNCTION("""COMPUTED_VALUE"""),"diasoetono7@gmail.com")</f>
        <v>diasoetono7@gmail.com</v>
      </c>
      <c r="AL899" s="80" t="str">
        <f>IFERROR(__xludf.DUMMYFUNCTION("""COMPUTED_VALUE"""),"#Muc39153S2$")</f>
        <v>#Muc39153S2$</v>
      </c>
      <c r="AM899" s="80" t="str">
        <f>IFERROR(__xludf.DUMMYFUNCTION("""COMPUTED_VALUE"""),"KANTOR REGIONAL I MEDAN 20004")</f>
        <v>KANTOR REGIONAL I MEDAN 20004</v>
      </c>
      <c r="AN899" s="80" t="str">
        <f>IFERROR(__xludf.DUMMYFUNCTION("""COMPUTED_VALUE"""),"KC CURUP")</f>
        <v>KC CURUP</v>
      </c>
      <c r="AO899" s="80" t="str">
        <f>IFERROR(__xludf.DUMMYFUNCTION("""COMPUTED_VALUE"""),"0604260092625")</f>
        <v>0604260092625</v>
      </c>
      <c r="AP899" s="80" t="str">
        <f>IFERROR(__xludf.DUMMYFUNCTION("""COMPUTED_VALUE"""),"0604260092625")</f>
        <v>0604260092625</v>
      </c>
      <c r="AQ899" s="83" t="str">
        <f>IFERROR(__xludf.DUMMYFUNCTION("""COMPUTED_VALUE"""),"BRI / 562601011269531 / SUTONO")</f>
        <v>BRI / 562601011269531 / SUTONO</v>
      </c>
      <c r="AR899" s="80"/>
      <c r="AS899" s="80"/>
      <c r="AT899" s="80" t="str">
        <f>IFERROR(__xludf.DUMMYFUNCTION("""COMPUTED_VALUE"""),"-3.4562034")</f>
        <v>-3.4562034</v>
      </c>
      <c r="AU899" s="80" t="str">
        <f>IFERROR(__xludf.DUMMYFUNCTION("""COMPUTED_VALUE"""),"102.6095014")</f>
        <v>102.6095014</v>
      </c>
      <c r="AV899" s="80"/>
      <c r="AW899" s="80"/>
      <c r="AX899" s="80"/>
      <c r="AY899" s="80"/>
      <c r="AZ899" s="80"/>
      <c r="BA899" s="80"/>
      <c r="BB899" s="80"/>
      <c r="BC899" s="80"/>
      <c r="BD899" s="80"/>
      <c r="BE899" s="80"/>
      <c r="BF899" s="80"/>
      <c r="BG899" s="80"/>
      <c r="BH899" s="80"/>
      <c r="BI899" s="80"/>
      <c r="BJ899" s="80"/>
      <c r="BK899" s="80"/>
      <c r="BL899" s="80"/>
      <c r="BM899" s="80"/>
      <c r="BN899" s="80"/>
      <c r="BO899" s="80"/>
      <c r="BP899" s="80"/>
      <c r="BQ899" s="80"/>
      <c r="BR899" s="80"/>
      <c r="BS899" s="80"/>
      <c r="BT899" s="80"/>
      <c r="BU899" s="80"/>
      <c r="BV899" s="80"/>
      <c r="BW899" s="80"/>
      <c r="BX899" s="80" t="str">
        <f>IFERROR(__xludf.DUMMYFUNCTION("""COMPUTED_VALUE"""),"NEWBIE")</f>
        <v>NEWBIE</v>
      </c>
      <c r="BY899" s="80"/>
      <c r="BZ899" s="80"/>
      <c r="CA899" s="80"/>
      <c r="CB899" s="80"/>
      <c r="CC899" s="80"/>
      <c r="CD899" s="80"/>
      <c r="CE899" s="80"/>
      <c r="CF899" s="80"/>
      <c r="CG899" s="80"/>
      <c r="CH899" s="80"/>
      <c r="CI899" s="80"/>
      <c r="CJ899" s="80"/>
      <c r="CK899" s="2"/>
    </row>
    <row r="900" ht="12.75" customHeight="1">
      <c r="A900" s="85">
        <f>IFERROR(__xludf.DUMMYFUNCTION("""COMPUTED_VALUE"""),896.0)</f>
        <v>896</v>
      </c>
      <c r="B900" s="85"/>
      <c r="C900" s="85"/>
      <c r="D900" s="86">
        <f>IFERROR(__xludf.DUMMYFUNCTION("""COMPUTED_VALUE"""),46119.0)</f>
        <v>46119</v>
      </c>
      <c r="E900" s="88"/>
      <c r="F900" s="85"/>
      <c r="G900" s="86"/>
      <c r="H900" s="85"/>
      <c r="I900" s="85"/>
      <c r="J900" s="85"/>
      <c r="K900" s="85"/>
      <c r="L900" s="85"/>
      <c r="M900" s="85" t="str">
        <f>IFERROR(__xludf.DUMMYFUNCTION("""COMPUTED_VALUE"""),"ü")</f>
        <v>ü</v>
      </c>
      <c r="N900" s="85"/>
      <c r="O900" s="85"/>
      <c r="P900" s="85" t="str">
        <f>IFERROR(__xludf.DUMMYFUNCTION("""COMPUTED_VALUE"""),"MUCSPA63426PSIND")</f>
        <v>MUCSPA63426PSIND</v>
      </c>
      <c r="Q900" s="85" t="str">
        <f>IFERROR(__xludf.DUMMYFUNCTION("""COMPUTED_VALUE"""),"MUC FARIHA EXPRESS ")</f>
        <v>MUC FARIHA EXPRESS </v>
      </c>
      <c r="R900" s="85" t="str">
        <f>IFERROR(__xludf.DUMMYFUNCTION("""COMPUTED_VALUE"""),"MUC FARIHA EXPRESS ")</f>
        <v>MUC FARIHA EXPRESS </v>
      </c>
      <c r="S900" s="85" t="str">
        <f>IFERROR(__xludf.DUMMYFUNCTION("""COMPUTED_VALUE"""),"SALSABILA FARIHA MASYFIYAH ")</f>
        <v>SALSABILA FARIHA MASYFIYAH </v>
      </c>
      <c r="T900" s="85" t="str">
        <f>IFERROR(__xludf.DUMMYFUNCTION("""COMPUTED_VALUE"""),"PERUM TEGAL SARI VIEW NO. 4 RT 7 RW 7 KLANGKAPAN 2 ")</f>
        <v>PERUM TEGAL SARI VIEW NO. 4 RT 7 RW 7 KLANGKAPAN 2 </v>
      </c>
      <c r="U900" s="85" t="str">
        <f>IFERROR(__xludf.DUMMYFUNCTION("""COMPUTED_VALUE"""),"JL. GODEAN - SEYEGAN KLACI 1 (samping apotek kurnia farma) ")</f>
        <v>JL. GODEAN - SEYEGAN KLACI 1 (samping apotek kurnia farma) </v>
      </c>
      <c r="V900" s="85"/>
      <c r="W900" s="85" t="str">
        <f>IFERROR(__xludf.DUMMYFUNCTION("""COMPUTED_VALUE"""),"MARGOLUWIH  ")</f>
        <v>MARGOLUWIH  </v>
      </c>
      <c r="X900" s="85" t="str">
        <f>IFERROR(__xludf.DUMMYFUNCTION("""COMPUTED_VALUE"""),"SEYEGAN ")</f>
        <v>SEYEGAN </v>
      </c>
      <c r="Y900" s="85" t="str">
        <f>IFERROR(__xludf.DUMMYFUNCTION("""COMPUTED_VALUE"""),"KAB. SLEMAN ")</f>
        <v>KAB. SLEMAN </v>
      </c>
      <c r="Z900" s="85" t="str">
        <f>IFERROR(__xludf.DUMMYFUNCTION("""COMPUTED_VALUE"""),"DIY")</f>
        <v>DIY</v>
      </c>
      <c r="AA900" s="85" t="str">
        <f>IFERROR(__xludf.DUMMYFUNCTION("""COMPUTED_VALUE"""),"55561")</f>
        <v>55561</v>
      </c>
      <c r="AB900" s="85" t="str">
        <f>IFERROR(__xludf.DUMMYFUNCTION("""COMPUTED_VALUE"""),"3404054605040003 ")</f>
        <v>3404054605040003 </v>
      </c>
      <c r="AC900" s="85" t="str">
        <f>IFERROR(__xludf.DUMMYFUNCTION("""COMPUTED_VALUE"""),"24.114.338.7-528.000")</f>
        <v>24.114.338.7-528.000</v>
      </c>
      <c r="AD900" s="85" t="str">
        <f>IFERROR(__xludf.DUMMYFUNCTION("""COMPUTED_VALUE"""),"BU RIRIN KCU YOGYA")</f>
        <v>BU RIRIN KCU YOGYA</v>
      </c>
      <c r="AE900" s="85" t="str">
        <f>IFERROR(__xludf.DUMMYFUNCTION("""COMPUTED_VALUE"""),"BU RIRIN KCU YOGYA")</f>
        <v>BU RIRIN KCU YOGYA</v>
      </c>
      <c r="AF900" s="85" t="str">
        <f>IFERROR(__xludf.DUMMYFUNCTION("""COMPUTED_VALUE"""),"08179060979 ")</f>
        <v>08179060979 </v>
      </c>
      <c r="AG900" s="85"/>
      <c r="AH900" s="85" t="str">
        <f>IFERROR(__xludf.DUMMYFUNCTION("""COMPUTED_VALUE"""),"salsabilasalsabila459@gmail.com")</f>
        <v>salsabilasalsabila459@gmail.com</v>
      </c>
      <c r="AI900" s="85"/>
      <c r="AJ900" s="85"/>
      <c r="AK900" s="85"/>
      <c r="AL900" s="85"/>
      <c r="AM900" s="85" t="str">
        <f>IFERROR(__xludf.DUMMYFUNCTION("""COMPUTED_VALUE"""),"KANTOR REGIONAL IV SEMARANG 50004")</f>
        <v>KANTOR REGIONAL IV SEMARANG 50004</v>
      </c>
      <c r="AN900" s="85" t="str">
        <f>IFERROR(__xludf.DUMMYFUNCTION("""COMPUTED_VALUE"""),"KCU YOGYAKARTA 55000")</f>
        <v>KCU YOGYAKARTA 55000</v>
      </c>
      <c r="AO900" s="85" t="str">
        <f>IFERROR(__xludf.DUMMYFUNCTION("""COMPUTED_VALUE"""),"0404260039275")</f>
        <v>0404260039275</v>
      </c>
      <c r="AP900" s="85" t="str">
        <f>IFERROR(__xludf.DUMMYFUNCTION("""COMPUTED_VALUE"""),"04042600392750001")</f>
        <v>04042600392750001</v>
      </c>
      <c r="AQ900" s="93" t="str">
        <f>IFERROR(__xludf.DUMMYFUNCTION("""COMPUTED_VALUE"""),"BCA / 802-070-5664  / SALSABILA FARIHA MASYFIYAH")</f>
        <v>BCA / 802-070-5664  / SALSABILA FARIHA MASYFIYAH</v>
      </c>
      <c r="AR900" s="85"/>
      <c r="AS900" s="85"/>
      <c r="AT900" s="85" t="str">
        <f>IFERROR(__xludf.DUMMYFUNCTION("""COMPUTED_VALUE"""),"-7.751367")</f>
        <v>-7.751367</v>
      </c>
      <c r="AU900" s="85" t="str">
        <f>IFERROR(__xludf.DUMMYFUNCTION("""COMPUTED_VALUE"""),"110.293137")</f>
        <v>110.293137</v>
      </c>
      <c r="AV900" s="85"/>
      <c r="AW900" s="85"/>
      <c r="AX900" s="85"/>
      <c r="AY900" s="85"/>
      <c r="AZ900" s="85"/>
      <c r="BA900" s="85"/>
      <c r="BB900" s="85"/>
      <c r="BC900" s="85"/>
      <c r="BD900" s="85"/>
      <c r="BE900" s="85"/>
      <c r="BF900" s="85"/>
      <c r="BG900" s="85"/>
      <c r="BH900" s="85"/>
      <c r="BI900" s="85"/>
      <c r="BJ900" s="85"/>
      <c r="BK900" s="85"/>
      <c r="BL900" s="85"/>
      <c r="BM900" s="85"/>
      <c r="BN900" s="85"/>
      <c r="BO900" s="85"/>
      <c r="BP900" s="85"/>
      <c r="BQ900" s="85"/>
      <c r="BR900" s="85"/>
      <c r="BS900" s="85"/>
      <c r="BT900" s="85"/>
      <c r="BU900" s="85"/>
      <c r="BV900" s="85"/>
      <c r="BW900" s="85"/>
      <c r="BX900" s="85" t="str">
        <f>IFERROR(__xludf.DUMMYFUNCTION("""COMPUTED_VALUE"""),"NEWBIE")</f>
        <v>NEWBIE</v>
      </c>
      <c r="BY900" s="85"/>
      <c r="BZ900" s="85"/>
      <c r="CA900" s="85"/>
      <c r="CB900" s="85"/>
      <c r="CC900" s="85"/>
      <c r="CD900" s="85"/>
      <c r="CE900" s="85"/>
      <c r="CF900" s="85"/>
      <c r="CG900" s="85"/>
      <c r="CH900" s="85"/>
      <c r="CI900" s="85"/>
      <c r="CJ900" s="85"/>
      <c r="CK900" s="2"/>
    </row>
    <row r="901" ht="12.75" customHeight="1">
      <c r="A901" s="80">
        <f>IFERROR(__xludf.DUMMYFUNCTION("""COMPUTED_VALUE"""),897.0)</f>
        <v>897</v>
      </c>
      <c r="B901" s="80"/>
      <c r="C901" s="80"/>
      <c r="D901" s="81">
        <f>IFERROR(__xludf.DUMMYFUNCTION("""COMPUTED_VALUE"""),46119.0)</f>
        <v>46119</v>
      </c>
      <c r="E901" s="82"/>
      <c r="F901" s="80"/>
      <c r="G901" s="81"/>
      <c r="H901" s="80"/>
      <c r="I901" s="80"/>
      <c r="J901" s="80"/>
      <c r="K901" s="80"/>
      <c r="L901" s="80"/>
      <c r="M901" s="80" t="str">
        <f>IFERROR(__xludf.DUMMYFUNCTION("""COMPUTED_VALUE"""),"ü")</f>
        <v>ü</v>
      </c>
      <c r="N901" s="80"/>
      <c r="O901" s="80"/>
      <c r="P901" s="80" t="str">
        <f>IFERROR(__xludf.DUMMYFUNCTION("""COMPUTED_VALUE"""),"MUCSPA63427PSIND")</f>
        <v>MUCSPA63427PSIND</v>
      </c>
      <c r="Q901" s="80" t="str">
        <f>IFERROR(__xludf.DUMMYFUNCTION("""COMPUTED_VALUE"""),"MUC Defence")</f>
        <v>MUC Defence</v>
      </c>
      <c r="R901" s="80" t="str">
        <f>IFERROR(__xludf.DUMMYFUNCTION("""COMPUTED_VALUE"""),"MUC Defence")</f>
        <v>MUC Defence</v>
      </c>
      <c r="S901" s="80" t="str">
        <f>IFERROR(__xludf.DUMMYFUNCTION("""COMPUTED_VALUE"""),"DHENNY PERMANA PUTRA")</f>
        <v>DHENNY PERMANA PUTRA</v>
      </c>
      <c r="T901" s="80" t="str">
        <f>IFERROR(__xludf.DUMMYFUNCTION("""COMPUTED_VALUE"""),"JL. SYAHBANDAR NO.40 LUBUK BAIK, JR-INDUK GAD, JAMBAK, LUBUK SIKAPING,PASAMAN, SUMATERA BARAT")</f>
        <v>JL. SYAHBANDAR NO.40 LUBUK BAIK, JR-INDUK GAD, JAMBAK, LUBUK SIKAPING,PASAMAN, SUMATERA BARAT</v>
      </c>
      <c r="U901" s="80" t="str">
        <f>IFERROR(__xludf.DUMMYFUNCTION("""COMPUTED_VALUE"""),"Jl. Prof Hamka Jor III")</f>
        <v>Jl. Prof Hamka Jor III</v>
      </c>
      <c r="V901" s="80"/>
      <c r="W901" s="80" t="str">
        <f>IFERROR(__xludf.DUMMYFUNCTION("""COMPUTED_VALUE"""),"Tanjuang Baringin")</f>
        <v>Tanjuang Baringin</v>
      </c>
      <c r="X901" s="80" t="str">
        <f>IFERROR(__xludf.DUMMYFUNCTION("""COMPUTED_VALUE"""),"Lubuk Sikaping")</f>
        <v>Lubuk Sikaping</v>
      </c>
      <c r="Y901" s="80" t="str">
        <f>IFERROR(__xludf.DUMMYFUNCTION("""COMPUTED_VALUE"""),"Pasaman")</f>
        <v>Pasaman</v>
      </c>
      <c r="Z901" s="80" t="str">
        <f>IFERROR(__xludf.DUMMYFUNCTION("""COMPUTED_VALUE"""),"Sumatera Barat")</f>
        <v>Sumatera Barat</v>
      </c>
      <c r="AA901" s="80" t="str">
        <f>IFERROR(__xludf.DUMMYFUNCTION("""COMPUTED_VALUE"""),"26300")</f>
        <v>26300</v>
      </c>
      <c r="AB901" s="80" t="str">
        <f>IFERROR(__xludf.DUMMYFUNCTION("""COMPUTED_VALUE"""),"1308050808870002")</f>
        <v>1308050808870002</v>
      </c>
      <c r="AC901" s="80" t="str">
        <f>IFERROR(__xludf.DUMMYFUNCTION("""COMPUTED_VALUE"""),"1308 0508 0887 0002")</f>
        <v>1308 0508 0887 0002</v>
      </c>
      <c r="AD901" s="80" t="str">
        <f>IFERROR(__xludf.DUMMYFUNCTION("""COMPUTED_VALUE"""),"CUM - PS - ABER")</f>
        <v>CUM - PS - ABER</v>
      </c>
      <c r="AE901" s="80" t="str">
        <f>IFERROR(__xludf.DUMMYFUNCTION("""COMPUTED_VALUE"""),"SUB ALBER ANDESKO")</f>
        <v>SUB ALBER ANDESKO</v>
      </c>
      <c r="AF901" s="80" t="str">
        <f>IFERROR(__xludf.DUMMYFUNCTION("""COMPUTED_VALUE"""),"085263903700")</f>
        <v>085263903700</v>
      </c>
      <c r="AG901" s="80"/>
      <c r="AH901" s="80" t="str">
        <f>IFERROR(__xludf.DUMMYFUNCTION("""COMPUTED_VALUE"""),"defencetourtravel@gmail.com")</f>
        <v>defencetourtravel@gmail.com</v>
      </c>
      <c r="AI901" s="80"/>
      <c r="AJ901" s="80"/>
      <c r="AK901" s="80"/>
      <c r="AL901" s="80"/>
      <c r="AM901" s="80" t="str">
        <f>IFERROR(__xludf.DUMMYFUNCTION("""COMPUTED_VALUE"""),"KANTOR REGIONAL I MEDAN 20004")</f>
        <v>KANTOR REGIONAL I MEDAN 20004</v>
      </c>
      <c r="AN901" s="80" t="str">
        <f>IFERROR(__xludf.DUMMYFUNCTION("""COMPUTED_VALUE"""),"KC LUBUKSIKAPING")</f>
        <v>KC LUBUKSIKAPING</v>
      </c>
      <c r="AO901" s="80" t="str">
        <f>IFERROR(__xludf.DUMMYFUNCTION("""COMPUTED_VALUE"""),"0704260023539")</f>
        <v>0704260023539</v>
      </c>
      <c r="AP901" s="80" t="str">
        <f>IFERROR(__xludf.DUMMYFUNCTION("""COMPUTED_VALUE"""),"07042600235390001")</f>
        <v>07042600235390001</v>
      </c>
      <c r="AQ901" s="83" t="str">
        <f>IFERROR(__xludf.DUMMYFUNCTION("""COMPUTED_VALUE"""),"BRI / 5448-0101-9909-531 / DHENNY PERMANA PUTRA")</f>
        <v>BRI / 5448-0101-9909-531 / DHENNY PERMANA PUTRA</v>
      </c>
      <c r="AR901" s="80"/>
      <c r="AS901" s="80"/>
      <c r="AT901" s="80" t="str">
        <f>IFERROR(__xludf.DUMMYFUNCTION("""COMPUTED_VALUE"""),"0.1090088")</f>
        <v>0.1090088</v>
      </c>
      <c r="AU901" s="80" t="str">
        <f>IFERROR(__xludf.DUMMYFUNCTION("""COMPUTED_VALUE"""),"100.1817161")</f>
        <v>100.1817161</v>
      </c>
      <c r="AV901" s="80"/>
      <c r="AW901" s="80"/>
      <c r="AX901" s="80"/>
      <c r="AY901" s="80"/>
      <c r="AZ901" s="80"/>
      <c r="BA901" s="80"/>
      <c r="BB901" s="80"/>
      <c r="BC901" s="80"/>
      <c r="BD901" s="80"/>
      <c r="BE901" s="80"/>
      <c r="BF901" s="80"/>
      <c r="BG901" s="80"/>
      <c r="BH901" s="80"/>
      <c r="BI901" s="80"/>
      <c r="BJ901" s="80"/>
      <c r="BK901" s="80"/>
      <c r="BL901" s="80"/>
      <c r="BM901" s="80"/>
      <c r="BN901" s="80"/>
      <c r="BO901" s="80"/>
      <c r="BP901" s="80"/>
      <c r="BQ901" s="80"/>
      <c r="BR901" s="80"/>
      <c r="BS901" s="80"/>
      <c r="BT901" s="80"/>
      <c r="BU901" s="80"/>
      <c r="BV901" s="80"/>
      <c r="BW901" s="80"/>
      <c r="BX901" s="80" t="str">
        <f>IFERROR(__xludf.DUMMYFUNCTION("""COMPUTED_VALUE"""),"NEWBIE")</f>
        <v>NEWBIE</v>
      </c>
      <c r="BY901" s="80"/>
      <c r="BZ901" s="80"/>
      <c r="CA901" s="80"/>
      <c r="CB901" s="80"/>
      <c r="CC901" s="80"/>
      <c r="CD901" s="80"/>
      <c r="CE901" s="80"/>
      <c r="CF901" s="80"/>
      <c r="CG901" s="80"/>
      <c r="CH901" s="80"/>
      <c r="CI901" s="80"/>
      <c r="CJ901" s="80"/>
      <c r="CK901" s="2"/>
    </row>
    <row r="902" ht="12.75" customHeight="1">
      <c r="A902" s="85">
        <f>IFERROR(__xludf.DUMMYFUNCTION("""COMPUTED_VALUE"""),898.0)</f>
        <v>898</v>
      </c>
      <c r="B902" s="85"/>
      <c r="C902" s="85"/>
      <c r="D902" s="86">
        <f>IFERROR(__xludf.DUMMYFUNCTION("""COMPUTED_VALUE"""),46120.0)</f>
        <v>46120</v>
      </c>
      <c r="E902" s="88"/>
      <c r="F902" s="85"/>
      <c r="G902" s="86">
        <f>IFERROR(__xludf.DUMMYFUNCTION("""COMPUTED_VALUE"""),46266.0)</f>
        <v>46266</v>
      </c>
      <c r="H902" s="85"/>
      <c r="I902" s="85"/>
      <c r="J902" s="85"/>
      <c r="K902" s="85"/>
      <c r="L902" s="85">
        <f>IFERROR(__xludf.DUMMYFUNCTION("""COMPUTED_VALUE"""),146.0)</f>
        <v>146</v>
      </c>
      <c r="M902" s="85" t="str">
        <f>IFERROR(__xludf.DUMMYFUNCTION("""COMPUTED_VALUE"""),"ü")</f>
        <v>ü</v>
      </c>
      <c r="N902" s="85"/>
      <c r="O902" s="85"/>
      <c r="P902" s="85" t="str">
        <f>IFERROR(__xludf.DUMMYFUNCTION("""COMPUTED_VALUE"""),"MUCSPA63428PSIND")</f>
        <v>MUCSPA63428PSIND</v>
      </c>
      <c r="Q902" s="85" t="str">
        <f>IFERROR(__xludf.DUMMYFUNCTION("""COMPUTED_VALUE"""),"MUC NASYA")</f>
        <v>MUC NASYA</v>
      </c>
      <c r="R902" s="85" t="str">
        <f>IFERROR(__xludf.DUMMYFUNCTION("""COMPUTED_VALUE"""),"MUC NASYA")</f>
        <v>MUC NASYA</v>
      </c>
      <c r="S902" s="85" t="str">
        <f>IFERROR(__xludf.DUMMYFUNCTION("""COMPUTED_VALUE"""),"HAPSARI YANTI")</f>
        <v>HAPSARI YANTI</v>
      </c>
      <c r="T902" s="85" t="str">
        <f>IFERROR(__xludf.DUMMYFUNCTION("""COMPUTED_VALUE"""),"JL PRAMUKA DUSUN I, AIR MELES ATAS, SELUPU REJANG, KAB REJANG LEBONG, BENGKULU")</f>
        <v>JL PRAMUKA DUSUN I, AIR MELES ATAS, SELUPU REJANG, KAB REJANG LEBONG, BENGKULU</v>
      </c>
      <c r="U902" s="85" t="str">
        <f>IFERROR(__xludf.DUMMYFUNCTION("""COMPUTED_VALUE"""),"JL. PRAMUKA ")</f>
        <v>JL. PRAMUKA </v>
      </c>
      <c r="V902" s="85"/>
      <c r="W902" s="85" t="str">
        <f>IFERROR(__xludf.DUMMYFUNCTION("""COMPUTED_VALUE"""),"AIR MELES ATAS ")</f>
        <v>AIR MELES ATAS </v>
      </c>
      <c r="X902" s="85" t="str">
        <f>IFERROR(__xludf.DUMMYFUNCTION("""COMPUTED_VALUE"""),"SELUPU REJANG ")</f>
        <v>SELUPU REJANG </v>
      </c>
      <c r="Y902" s="85" t="str">
        <f>IFERROR(__xludf.DUMMYFUNCTION("""COMPUTED_VALUE"""),"REJANG LEBONG")</f>
        <v>REJANG LEBONG</v>
      </c>
      <c r="Z902" s="85" t="str">
        <f>IFERROR(__xludf.DUMMYFUNCTION("""COMPUTED_VALUE"""),"BENGKULU")</f>
        <v>BENGKULU</v>
      </c>
      <c r="AA902" s="85" t="str">
        <f>IFERROR(__xludf.DUMMYFUNCTION("""COMPUTED_VALUE"""),"39153")</f>
        <v>39153</v>
      </c>
      <c r="AB902" s="85" t="str">
        <f>IFERROR(__xludf.DUMMYFUNCTION("""COMPUTED_VALUE"""),"1603095312960001")</f>
        <v>1603095312960001</v>
      </c>
      <c r="AC902" s="85" t="str">
        <f>IFERROR(__xludf.DUMMYFUNCTION("""COMPUTED_VALUE"""),"76.716.331.1-327.000")</f>
        <v>76.716.331.1-327.000</v>
      </c>
      <c r="AD902" s="85" t="str">
        <f>IFERROR(__xludf.DUMMYFUNCTION("""COMPUTED_VALUE"""),"BU SILVIA KC CURUP")</f>
        <v>BU SILVIA KC CURUP</v>
      </c>
      <c r="AE902" s="85" t="str">
        <f>IFERROR(__xludf.DUMMYFUNCTION("""COMPUTED_VALUE"""),"BU SILVIA KC CURUP")</f>
        <v>BU SILVIA KC CURUP</v>
      </c>
      <c r="AF902" s="85" t="str">
        <f>IFERROR(__xludf.DUMMYFUNCTION("""COMPUTED_VALUE"""),"081279660240")</f>
        <v>081279660240</v>
      </c>
      <c r="AG902" s="85"/>
      <c r="AH902" s="85" t="str">
        <f>IFERROR(__xludf.DUMMYFUNCTION("""COMPUTED_VALUE"""),"nasya39153@outlook.com")</f>
        <v>nasya39153@outlook.com</v>
      </c>
      <c r="AI902" s="85" t="str">
        <f>IFERROR(__xludf.DUMMYFUNCTION("""COMPUTED_VALUE"""),"39153S1")</f>
        <v>39153S1</v>
      </c>
      <c r="AJ902" s="85" t="str">
        <f>IFERROR(__xludf.DUMMYFUNCTION("""COMPUTED_VALUE"""),"6a818fa2e8e37e9cd8054a4d")</f>
        <v>6a818fa2e8e37e9cd8054a4d</v>
      </c>
      <c r="AK902" s="85" t="str">
        <f>IFERROR(__xludf.DUMMYFUNCTION("""COMPUTED_VALUE"""),"nasya39153@outlook.com")</f>
        <v>nasya39153@outlook.com</v>
      </c>
      <c r="AL902" s="85" t="str">
        <f>IFERROR(__xludf.DUMMYFUNCTION("""COMPUTED_VALUE"""),"#Muc39153S1$")</f>
        <v>#Muc39153S1$</v>
      </c>
      <c r="AM902" s="85" t="str">
        <f>IFERROR(__xludf.DUMMYFUNCTION("""COMPUTED_VALUE"""),"KANTOR REGIONAL I MEDAN 20004")</f>
        <v>KANTOR REGIONAL I MEDAN 20004</v>
      </c>
      <c r="AN902" s="85" t="str">
        <f>IFERROR(__xludf.DUMMYFUNCTION("""COMPUTED_VALUE"""),"KC CURUP")</f>
        <v>KC CURUP</v>
      </c>
      <c r="AO902" s="85" t="str">
        <f>IFERROR(__xludf.DUMMYFUNCTION("""COMPUTED_VALUE"""),"0704260114599")</f>
        <v>0704260114599</v>
      </c>
      <c r="AP902" s="85" t="str">
        <f>IFERROR(__xludf.DUMMYFUNCTION("""COMPUTED_VALUE"""),"07042601145990001")</f>
        <v>07042601145990001</v>
      </c>
      <c r="AQ902" s="93" t="str">
        <f>IFERROR(__xludf.DUMMYFUNCTION("""COMPUTED_VALUE"""),"DEPOSIT")</f>
        <v>DEPOSIT</v>
      </c>
      <c r="AR902" s="85"/>
      <c r="AS902" s="85"/>
      <c r="AT902" s="85" t="str">
        <f>IFERROR(__xludf.DUMMYFUNCTION("""COMPUTED_VALUE"""),"-3.471426")</f>
        <v>-3.471426</v>
      </c>
      <c r="AU902" s="85" t="str">
        <f>IFERROR(__xludf.DUMMYFUNCTION("""COMPUTED_VALUE"""),"102.553588")</f>
        <v>102.553588</v>
      </c>
      <c r="AV902" s="85"/>
      <c r="AW902" s="85"/>
      <c r="AX902" s="85"/>
      <c r="AY902" s="85"/>
      <c r="AZ902" s="85"/>
      <c r="BA902" s="85"/>
      <c r="BB902" s="85"/>
      <c r="BC902" s="85"/>
      <c r="BD902" s="85"/>
      <c r="BE902" s="85"/>
      <c r="BF902" s="85"/>
      <c r="BG902" s="85"/>
      <c r="BH902" s="85"/>
      <c r="BI902" s="85"/>
      <c r="BJ902" s="85"/>
      <c r="BK902" s="85"/>
      <c r="BL902" s="85"/>
      <c r="BM902" s="85"/>
      <c r="BN902" s="85"/>
      <c r="BO902" s="85"/>
      <c r="BP902" s="85"/>
      <c r="BQ902" s="85"/>
      <c r="BR902" s="85"/>
      <c r="BS902" s="85"/>
      <c r="BT902" s="85"/>
      <c r="BU902" s="85"/>
      <c r="BV902" s="85"/>
      <c r="BW902" s="85"/>
      <c r="BX902" s="85" t="str">
        <f>IFERROR(__xludf.DUMMYFUNCTION("""COMPUTED_VALUE"""),"NEWBIE")</f>
        <v>NEWBIE</v>
      </c>
      <c r="BY902" s="85"/>
      <c r="BZ902" s="85"/>
      <c r="CA902" s="85"/>
      <c r="CB902" s="85"/>
      <c r="CC902" s="85"/>
      <c r="CD902" s="85"/>
      <c r="CE902" s="85"/>
      <c r="CF902" s="85"/>
      <c r="CG902" s="85"/>
      <c r="CH902" s="85"/>
      <c r="CI902" s="85"/>
      <c r="CJ902" s="85"/>
      <c r="CK902" s="2"/>
    </row>
    <row r="903" ht="12.75" customHeight="1">
      <c r="A903" s="80">
        <f>IFERROR(__xludf.DUMMYFUNCTION("""COMPUTED_VALUE"""),899.0)</f>
        <v>899</v>
      </c>
      <c r="B903" s="80"/>
      <c r="C903" s="80"/>
      <c r="D903" s="81">
        <f>IFERROR(__xludf.DUMMYFUNCTION("""COMPUTED_VALUE"""),46120.0)</f>
        <v>46120</v>
      </c>
      <c r="E903" s="82"/>
      <c r="F903" s="80"/>
      <c r="G903" s="81"/>
      <c r="H903" s="80"/>
      <c r="I903" s="80"/>
      <c r="J903" s="80"/>
      <c r="K903" s="80"/>
      <c r="L903" s="80"/>
      <c r="M903" s="80" t="str">
        <f>IFERROR(__xludf.DUMMYFUNCTION("""COMPUTED_VALUE"""),"ü")</f>
        <v>ü</v>
      </c>
      <c r="N903" s="80"/>
      <c r="O903" s="80"/>
      <c r="P903" s="80" t="str">
        <f>IFERROR(__xludf.DUMMYFUNCTION("""COMPUTED_VALUE"""),"53BSPA09954JBEEN")</f>
        <v>53BSPA09954JBEEN</v>
      </c>
      <c r="Q903" s="80" t="str">
        <f>IFERROR(__xludf.DUMMYFUNCTION("""COMPUTED_VALUE"""),"MUC JimnyPintar ")</f>
        <v>MUC JimnyPintar </v>
      </c>
      <c r="R903" s="80" t="str">
        <f>IFERROR(__xludf.DUMMYFUNCTION("""COMPUTED_VALUE"""),"MUC JimnyPintar ")</f>
        <v>MUC JimnyPintar </v>
      </c>
      <c r="S903" s="80" t="str">
        <f>IFERROR(__xludf.DUMMYFUNCTION("""COMPUTED_VALUE"""),"Nicolaus Bayu Arvian Perdana")</f>
        <v>Nicolaus Bayu Arvian Perdana</v>
      </c>
      <c r="T903" s="80" t="str">
        <f>IFERROR(__xludf.DUMMYFUNCTION("""COMPUTED_VALUE"""),"GANG CEMARA NO.96 RT.003 RW.004, PONDOK KACANG TIMUR, PONDOK AREN, KOTA TANGERANG SELATAN, BANTEN")</f>
        <v>GANG CEMARA NO.96 RT.003 RW.004, PONDOK KACANG TIMUR, PONDOK AREN, KOTA TANGERANG SELATAN, BANTEN</v>
      </c>
      <c r="U903" s="80" t="str">
        <f>IFERROR(__xludf.DUMMYFUNCTION("""COMPUTED_VALUE"""),"Jl. Pulo Macan IV No.54 ")</f>
        <v>Jl. Pulo Macan IV No.54 </v>
      </c>
      <c r="V903" s="80"/>
      <c r="W903" s="80" t="str">
        <f>IFERROR(__xludf.DUMMYFUNCTION("""COMPUTED_VALUE"""),"Tomang")</f>
        <v>Tomang</v>
      </c>
      <c r="X903" s="80" t="str">
        <f>IFERROR(__xludf.DUMMYFUNCTION("""COMPUTED_VALUE"""),"Grogol Petamburan")</f>
        <v>Grogol Petamburan</v>
      </c>
      <c r="Y903" s="80" t="str">
        <f>IFERROR(__xludf.DUMMYFUNCTION("""COMPUTED_VALUE"""),"Jakarta Barat")</f>
        <v>Jakarta Barat</v>
      </c>
      <c r="Z903" s="80" t="str">
        <f>IFERROR(__xludf.DUMMYFUNCTION("""COMPUTED_VALUE"""),"DKI JAKARTA")</f>
        <v>DKI JAKARTA</v>
      </c>
      <c r="AA903" s="80" t="str">
        <f>IFERROR(__xludf.DUMMYFUNCTION("""COMPUTED_VALUE"""),"11440")</f>
        <v>11440</v>
      </c>
      <c r="AB903" s="80" t="str">
        <f>IFERROR(__xludf.DUMMYFUNCTION("""COMPUTED_VALUE"""),"3674030612970004")</f>
        <v>3674030612970004</v>
      </c>
      <c r="AC903" s="80" t="str">
        <f>IFERROR(__xludf.DUMMYFUNCTION("""COMPUTED_VALUE"""),"91.528.078.8-453.000")</f>
        <v>91.528.078.8-453.000</v>
      </c>
      <c r="AD903" s="80" t="str">
        <f>IFERROR(__xludf.DUMMYFUNCTION("""COMPUTED_VALUE"""),"CUM - EEN")</f>
        <v>CUM - EEN</v>
      </c>
      <c r="AE903" s="80" t="str">
        <f>IFERROR(__xludf.DUMMYFUNCTION("""COMPUTED_VALUE"""),"SUB EEN")</f>
        <v>SUB EEN</v>
      </c>
      <c r="AF903" s="80" t="str">
        <f>IFERROR(__xludf.DUMMYFUNCTION("""COMPUTED_VALUE"""),"082299697105")</f>
        <v>082299697105</v>
      </c>
      <c r="AG903" s="80"/>
      <c r="AH903" s="80" t="str">
        <f>IFERROR(__xludf.DUMMYFUNCTION("""COMPUTED_VALUE"""),"booksgluglu@gmail.com")</f>
        <v>booksgluglu@gmail.com</v>
      </c>
      <c r="AI903" s="80"/>
      <c r="AJ903" s="80"/>
      <c r="AK903" s="80"/>
      <c r="AL903" s="80"/>
      <c r="AM903" s="80" t="str">
        <f>IFERROR(__xludf.DUMMYFUNCTION("""COMPUTED_VALUE"""),"KANTOR REGIONAL II JAKARTA 10004")</f>
        <v>KANTOR REGIONAL II JAKARTA 10004</v>
      </c>
      <c r="AN903" s="80" t="str">
        <f>IFERROR(__xludf.DUMMYFUNCTION("""COMPUTED_VALUE"""),"KCU JAKARTAOCEANIA 11000")</f>
        <v>KCU JAKARTAOCEANIA 11000</v>
      </c>
      <c r="AO903" s="80" t="str">
        <f>IFERROR(__xludf.DUMMYFUNCTION("""COMPUTED_VALUE"""),"0804260034915")</f>
        <v>0804260034915</v>
      </c>
      <c r="AP903" s="80" t="str">
        <f>IFERROR(__xludf.DUMMYFUNCTION("""COMPUTED_VALUE"""),"08042600349150001")</f>
        <v>08042600349150001</v>
      </c>
      <c r="AQ903" s="83" t="str">
        <f>IFERROR(__xludf.DUMMYFUNCTION("""COMPUTED_VALUE"""),"BCA / 6041110322 / Nicolaus Bayu Arvian perdana")</f>
        <v>BCA / 6041110322 / Nicolaus Bayu Arvian perdana</v>
      </c>
      <c r="AR903" s="80"/>
      <c r="AS903" s="80"/>
      <c r="AT903" s="80" t="str">
        <f>IFERROR(__xludf.DUMMYFUNCTION("""COMPUTED_VALUE"""),"-6.1749276")</f>
        <v>-6.1749276</v>
      </c>
      <c r="AU903" s="80" t="str">
        <f>IFERROR(__xludf.DUMMYFUNCTION("""COMPUTED_VALUE"""),"106.8009101")</f>
        <v>106.8009101</v>
      </c>
      <c r="AV903" s="80"/>
      <c r="AW903" s="80"/>
      <c r="AX903" s="80"/>
      <c r="AY903" s="80"/>
      <c r="AZ903" s="80"/>
      <c r="BA903" s="80"/>
      <c r="BB903" s="80"/>
      <c r="BC903" s="80"/>
      <c r="BD903" s="80"/>
      <c r="BE903" s="80"/>
      <c r="BF903" s="80"/>
      <c r="BG903" s="80"/>
      <c r="BH903" s="80"/>
      <c r="BI903" s="80"/>
      <c r="BJ903" s="80"/>
      <c r="BK903" s="80"/>
      <c r="BL903" s="80"/>
      <c r="BM903" s="80"/>
      <c r="BN903" s="80"/>
      <c r="BO903" s="80"/>
      <c r="BP903" s="80"/>
      <c r="BQ903" s="80"/>
      <c r="BR903" s="80"/>
      <c r="BS903" s="80"/>
      <c r="BT903" s="80"/>
      <c r="BU903" s="80"/>
      <c r="BV903" s="80"/>
      <c r="BW903" s="80"/>
      <c r="BX903" s="80" t="str">
        <f>IFERROR(__xludf.DUMMYFUNCTION("""COMPUTED_VALUE"""),"NEWBIE")</f>
        <v>NEWBIE</v>
      </c>
      <c r="BY903" s="80"/>
      <c r="BZ903" s="80"/>
      <c r="CA903" s="80"/>
      <c r="CB903" s="80"/>
      <c r="CC903" s="80"/>
      <c r="CD903" s="80"/>
      <c r="CE903" s="80"/>
      <c r="CF903" s="80"/>
      <c r="CG903" s="80"/>
      <c r="CH903" s="80"/>
      <c r="CI903" s="80"/>
      <c r="CJ903" s="80"/>
      <c r="CK903" s="2"/>
    </row>
    <row r="904" ht="12.75" customHeight="1">
      <c r="A904" s="85">
        <f>IFERROR(__xludf.DUMMYFUNCTION("""COMPUTED_VALUE"""),900.0)</f>
        <v>900</v>
      </c>
      <c r="B904" s="85"/>
      <c r="C904" s="85"/>
      <c r="D904" s="86">
        <f>IFERROR(__xludf.DUMMYFUNCTION("""COMPUTED_VALUE"""),46120.0)</f>
        <v>46120</v>
      </c>
      <c r="E904" s="88"/>
      <c r="F904" s="85"/>
      <c r="G904" s="86"/>
      <c r="H904" s="85"/>
      <c r="I904" s="85"/>
      <c r="J904" s="85"/>
      <c r="K904" s="85"/>
      <c r="L904" s="85"/>
      <c r="M904" s="85"/>
      <c r="N904" s="85" t="str">
        <f>IFERROR(__xludf.DUMMYFUNCTION("""COMPUTED_VALUE"""),"ü")</f>
        <v>ü</v>
      </c>
      <c r="O904" s="85"/>
      <c r="P904" s="85" t="str">
        <f>IFERROR(__xludf.DUMMYFUNCTION("""COMPUTED_VALUE"""),"MUCSPA63429PSIND")</f>
        <v>MUCSPA63429PSIND</v>
      </c>
      <c r="Q904" s="85" t="str">
        <f>IFERROR(__xludf.DUMMYFUNCTION("""COMPUTED_VALUE"""),"MUC MERPATI EXPRESS")</f>
        <v>MUC MERPATI EXPRESS</v>
      </c>
      <c r="R904" s="85" t="str">
        <f>IFERROR(__xludf.DUMMYFUNCTION("""COMPUTED_VALUE"""),"MUC MERPATI EXPRESS")</f>
        <v>MUC MERPATI EXPRESS</v>
      </c>
      <c r="S904" s="85" t="str">
        <f>IFERROR(__xludf.DUMMYFUNCTION("""COMPUTED_VALUE"""),"RAECHAN AGUS SAPUTRO")</f>
        <v>RAECHAN AGUS SAPUTRO</v>
      </c>
      <c r="T904" s="85" t="str">
        <f>IFERROR(__xludf.DUMMYFUNCTION("""COMPUTED_VALUE"""),"JL. RAYA KAUMAN RT 4 RW 5 DUSUN KABONGAN")</f>
        <v>JL. RAYA KAUMAN RT 4 RW 5 DUSUN KABONGAN</v>
      </c>
      <c r="U904" s="85" t="str">
        <f>IFERROR(__xludf.DUMMYFUNCTION("""COMPUTED_VALUE"""),"JL. RAYA KAUMAN RT 4 RW 5")</f>
        <v>JL. RAYA KAUMAN RT 4 RW 5</v>
      </c>
      <c r="V904" s="85"/>
      <c r="W904" s="85" t="str">
        <f>IFERROR(__xludf.DUMMYFUNCTION("""COMPUTED_VALUE"""),"SUSUKAN")</f>
        <v>SUSUKAN</v>
      </c>
      <c r="X904" s="85" t="str">
        <f>IFERROR(__xludf.DUMMYFUNCTION("""COMPUTED_VALUE"""),"COMAL")</f>
        <v>COMAL</v>
      </c>
      <c r="Y904" s="85" t="str">
        <f>IFERROR(__xludf.DUMMYFUNCTION("""COMPUTED_VALUE"""),"KAB. PEMALANG")</f>
        <v>KAB. PEMALANG</v>
      </c>
      <c r="Z904" s="85" t="str">
        <f>IFERROR(__xludf.DUMMYFUNCTION("""COMPUTED_VALUE"""),"JAWA TENGAH")</f>
        <v>JAWA TENGAH</v>
      </c>
      <c r="AA904" s="85" t="str">
        <f>IFERROR(__xludf.DUMMYFUNCTION("""COMPUTED_VALUE"""),"52363")</f>
        <v>52363</v>
      </c>
      <c r="AB904" s="85" t="str">
        <f>IFERROR(__xludf.DUMMYFUNCTION("""COMPUTED_VALUE"""),"3327121708040004")</f>
        <v>3327121708040004</v>
      </c>
      <c r="AC904" s="85" t="str">
        <f>IFERROR(__xludf.DUMMYFUNCTION("""COMPUTED_VALUE"""),"67.733.122.5-413.000")</f>
        <v>67.733.122.5-413.000</v>
      </c>
      <c r="AD904" s="85" t="str">
        <f>IFERROR(__xludf.DUMMYFUNCTION("""COMPUTED_VALUE"""),"CUM - PS - ANALIS")</f>
        <v>CUM - PS - ANALIS</v>
      </c>
      <c r="AE904" s="85" t="str">
        <f>IFERROR(__xludf.DUMMYFUNCTION("""COMPUTED_VALUE"""),"SUB ANALIS FAJAR PEMALANG")</f>
        <v>SUB ANALIS FAJAR PEMALANG</v>
      </c>
      <c r="AF904" s="85" t="str">
        <f>IFERROR(__xludf.DUMMYFUNCTION("""COMPUTED_VALUE"""),"085135327563")</f>
        <v>085135327563</v>
      </c>
      <c r="AG904" s="85"/>
      <c r="AH904" s="85" t="str">
        <f>IFERROR(__xludf.DUMMYFUNCTION("""COMPUTED_VALUE"""),"raechanbae1@gmail.com")</f>
        <v>raechanbae1@gmail.com</v>
      </c>
      <c r="AI904" s="85"/>
      <c r="AJ904" s="85"/>
      <c r="AK904" s="85"/>
      <c r="AL904" s="85"/>
      <c r="AM904" s="85" t="str">
        <f>IFERROR(__xludf.DUMMYFUNCTION("""COMPUTED_VALUE"""),"KANTOR REGIONAL IV SEMARANG 50004")</f>
        <v>KANTOR REGIONAL IV SEMARANG 50004</v>
      </c>
      <c r="AN904" s="85" t="str">
        <f>IFERROR(__xludf.DUMMYFUNCTION("""COMPUTED_VALUE"""),"KC PEMALANG")</f>
        <v>KC PEMALANG</v>
      </c>
      <c r="AO904" s="85" t="str">
        <f>IFERROR(__xludf.DUMMYFUNCTION("""COMPUTED_VALUE"""),"0804260031124")</f>
        <v>0804260031124</v>
      </c>
      <c r="AP904" s="85" t="str">
        <f>IFERROR(__xludf.DUMMYFUNCTION("""COMPUTED_VALUE"""),"08042600311240001")</f>
        <v>08042600311240001</v>
      </c>
      <c r="AQ904" s="93" t="str">
        <f>IFERROR(__xludf.DUMMYFUNCTION("""COMPUTED_VALUE"""),"BRI / 5990 0103 2397 538 / RAECHAN AGUS SAPUTRO")</f>
        <v>BRI / 5990 0103 2397 538 / RAECHAN AGUS SAPUTRO</v>
      </c>
      <c r="AR904" s="85"/>
      <c r="AS904" s="85"/>
      <c r="AT904" s="85" t="str">
        <f>IFERROR(__xludf.DUMMYFUNCTION("""COMPUTED_VALUE"""),"-6.870685")</f>
        <v>-6.870685</v>
      </c>
      <c r="AU904" s="85" t="str">
        <f>IFERROR(__xludf.DUMMYFUNCTION("""COMPUTED_VALUE"""),"109.5216892")</f>
        <v>109.5216892</v>
      </c>
      <c r="AV904" s="85"/>
      <c r="AW904" s="85"/>
      <c r="AX904" s="85"/>
      <c r="AY904" s="85"/>
      <c r="AZ904" s="85"/>
      <c r="BA904" s="85"/>
      <c r="BB904" s="85"/>
      <c r="BC904" s="85"/>
      <c r="BD904" s="85"/>
      <c r="BE904" s="85"/>
      <c r="BF904" s="85"/>
      <c r="BG904" s="85"/>
      <c r="BH904" s="85"/>
      <c r="BI904" s="85"/>
      <c r="BJ904" s="85"/>
      <c r="BK904" s="85"/>
      <c r="BL904" s="85"/>
      <c r="BM904" s="85"/>
      <c r="BN904" s="85"/>
      <c r="BO904" s="85"/>
      <c r="BP904" s="85"/>
      <c r="BQ904" s="85"/>
      <c r="BR904" s="85"/>
      <c r="BS904" s="85"/>
      <c r="BT904" s="85"/>
      <c r="BU904" s="85"/>
      <c r="BV904" s="85"/>
      <c r="BW904" s="85"/>
      <c r="BX904" s="85" t="str">
        <f>IFERROR(__xludf.DUMMYFUNCTION("""COMPUTED_VALUE"""),"NEWBIE")</f>
        <v>NEWBIE</v>
      </c>
      <c r="BY904" s="85"/>
      <c r="BZ904" s="85"/>
      <c r="CA904" s="85"/>
      <c r="CB904" s="85"/>
      <c r="CC904" s="85"/>
      <c r="CD904" s="85"/>
      <c r="CE904" s="85"/>
      <c r="CF904" s="85"/>
      <c r="CG904" s="85"/>
      <c r="CH904" s="85"/>
      <c r="CI904" s="85"/>
      <c r="CJ904" s="85"/>
      <c r="CK904" s="2"/>
    </row>
    <row r="905" ht="12.75" customHeight="1">
      <c r="A905" s="80">
        <f>IFERROR(__xludf.DUMMYFUNCTION("""COMPUTED_VALUE"""),901.0)</f>
        <v>901</v>
      </c>
      <c r="B905" s="80"/>
      <c r="C905" s="80"/>
      <c r="D905" s="81">
        <f>IFERROR(__xludf.DUMMYFUNCTION("""COMPUTED_VALUE"""),46120.0)</f>
        <v>46120</v>
      </c>
      <c r="E905" s="82"/>
      <c r="F905" s="80"/>
      <c r="G905" s="81"/>
      <c r="H905" s="80"/>
      <c r="I905" s="80"/>
      <c r="J905" s="80"/>
      <c r="K905" s="80"/>
      <c r="L905" s="80"/>
      <c r="M905" s="80" t="str">
        <f>IFERROR(__xludf.DUMMYFUNCTION("""COMPUTED_VALUE"""),"ü")</f>
        <v>ü</v>
      </c>
      <c r="N905" s="80"/>
      <c r="O905" s="80"/>
      <c r="P905" s="80" t="str">
        <f>IFERROR(__xludf.DUMMYFUNCTION("""COMPUTED_VALUE"""),"53BSPA09955JBEEN")</f>
        <v>53BSPA09955JBEEN</v>
      </c>
      <c r="Q905" s="80" t="str">
        <f>IFERROR(__xludf.DUMMYFUNCTION("""COMPUTED_VALUE"""),"MUC BOSIH CIBITUNG ")</f>
        <v>MUC BOSIH CIBITUNG </v>
      </c>
      <c r="R905" s="80" t="str">
        <f>IFERROR(__xludf.DUMMYFUNCTION("""COMPUTED_VALUE"""),"MUC BOSIH CIBITUNG ")</f>
        <v>MUC BOSIH CIBITUNG </v>
      </c>
      <c r="S905" s="80" t="str">
        <f>IFERROR(__xludf.DUMMYFUNCTION("""COMPUTED_VALUE"""),"MUHAMAD ADIFIA")</f>
        <v>MUHAMAD ADIFIA</v>
      </c>
      <c r="T905" s="80" t="str">
        <f>IFERROR(__xludf.DUMMYFUNCTION("""COMPUTED_VALUE"""),"JL. KP. SELANG CAU RT.004 RW.013, WANASARI, CIBITUNG, KAB. BEKASI")</f>
        <v>JL. KP. SELANG CAU RT.004 RW.013, WANASARI, CIBITUNG, KAB. BEKASI</v>
      </c>
      <c r="U905" s="80" t="str">
        <f>IFERROR(__xludf.DUMMYFUNCTION("""COMPUTED_VALUE"""),"KP SELANG CAU RT004 RW013 SEBRANG, Gg. Nagan")</f>
        <v>KP SELANG CAU RT004 RW013 SEBRANG, Gg. Nagan</v>
      </c>
      <c r="V905" s="80"/>
      <c r="W905" s="80" t="str">
        <f>IFERROR(__xludf.DUMMYFUNCTION("""COMPUTED_VALUE"""),"Wanasari")</f>
        <v>Wanasari</v>
      </c>
      <c r="X905" s="80" t="str">
        <f>IFERROR(__xludf.DUMMYFUNCTION("""COMPUTED_VALUE"""),"Cibitung")</f>
        <v>Cibitung</v>
      </c>
      <c r="Y905" s="80" t="str">
        <f>IFERROR(__xludf.DUMMYFUNCTION("""COMPUTED_VALUE"""),"Kabupaten Bekasi")</f>
        <v>Kabupaten Bekasi</v>
      </c>
      <c r="Z905" s="80" t="str">
        <f>IFERROR(__xludf.DUMMYFUNCTION("""COMPUTED_VALUE"""),"Jawa Barat ")</f>
        <v>Jawa Barat </v>
      </c>
      <c r="AA905" s="80" t="str">
        <f>IFERROR(__xludf.DUMMYFUNCTION("""COMPUTED_VALUE"""),"17520")</f>
        <v>17520</v>
      </c>
      <c r="AB905" s="80" t="str">
        <f>IFERROR(__xludf.DUMMYFUNCTION("""COMPUTED_VALUE"""),"3216070304900006")</f>
        <v>3216070304900006</v>
      </c>
      <c r="AC905" s="80" t="str">
        <f>IFERROR(__xludf.DUMMYFUNCTION("""COMPUTED_VALUE"""),"42.815.987.5-435.000")</f>
        <v>42.815.987.5-435.000</v>
      </c>
      <c r="AD905" s="80" t="str">
        <f>IFERROR(__xludf.DUMMYFUNCTION("""COMPUTED_VALUE"""),"CUM - EEN")</f>
        <v>CUM - EEN</v>
      </c>
      <c r="AE905" s="80" t="str">
        <f>IFERROR(__xludf.DUMMYFUNCTION("""COMPUTED_VALUE"""),"SUB EEN")</f>
        <v>SUB EEN</v>
      </c>
      <c r="AF905" s="80" t="str">
        <f>IFERROR(__xludf.DUMMYFUNCTION("""COMPUTED_VALUE"""),"082113065578")</f>
        <v>082113065578</v>
      </c>
      <c r="AG905" s="80"/>
      <c r="AH905" s="80" t="str">
        <f>IFERROR(__xludf.DUMMYFUNCTION("""COMPUTED_VALUE"""),"muhamadadifia23@gmail.com")</f>
        <v>muhamadadifia23@gmail.com</v>
      </c>
      <c r="AI905" s="80"/>
      <c r="AJ905" s="80"/>
      <c r="AK905" s="80"/>
      <c r="AL905" s="80"/>
      <c r="AM905" s="80" t="str">
        <f>IFERROR(__xludf.DUMMYFUNCTION("""COMPUTED_VALUE"""),"KANTOR REGIONAL II JAKARTA 10004")</f>
        <v>KANTOR REGIONAL II JAKARTA 10004</v>
      </c>
      <c r="AN905" s="80" t="str">
        <f>IFERROR(__xludf.DUMMYFUNCTION("""COMPUTED_VALUE"""),"KC CIKARANG 17500")</f>
        <v>KC CIKARANG 17500</v>
      </c>
      <c r="AO905" s="80" t="str">
        <f>IFERROR(__xludf.DUMMYFUNCTION("""COMPUTED_VALUE"""),"0804260039935")</f>
        <v>0804260039935</v>
      </c>
      <c r="AP905" s="80" t="str">
        <f>IFERROR(__xludf.DUMMYFUNCTION("""COMPUTED_VALUE"""),"08042600399350001")</f>
        <v>08042600399350001</v>
      </c>
      <c r="AQ905" s="83" t="str">
        <f>IFERROR(__xludf.DUMMYFUNCTION("""COMPUTED_VALUE"""),"BCA / 4860276947 / MUHAMAD ADIFIA")</f>
        <v>BCA / 4860276947 / MUHAMAD ADIFIA</v>
      </c>
      <c r="AR905" s="80"/>
      <c r="AS905" s="80"/>
      <c r="AT905" s="80" t="str">
        <f>IFERROR(__xludf.DUMMYFUNCTION("""COMPUTED_VALUE"""),"-6.252124")</f>
        <v>-6.252124</v>
      </c>
      <c r="AU905" s="80" t="str">
        <f>IFERROR(__xludf.DUMMYFUNCTION("""COMPUTED_VALUE"""),"107.086768")</f>
        <v>107.086768</v>
      </c>
      <c r="AV905" s="80"/>
      <c r="AW905" s="80"/>
      <c r="AX905" s="80"/>
      <c r="AY905" s="80"/>
      <c r="AZ905" s="80"/>
      <c r="BA905" s="80"/>
      <c r="BB905" s="80"/>
      <c r="BC905" s="80"/>
      <c r="BD905" s="80"/>
      <c r="BE905" s="80"/>
      <c r="BF905" s="80"/>
      <c r="BG905" s="80"/>
      <c r="BH905" s="80"/>
      <c r="BI905" s="80"/>
      <c r="BJ905" s="80"/>
      <c r="BK905" s="80"/>
      <c r="BL905" s="80"/>
      <c r="BM905" s="80"/>
      <c r="BN905" s="80"/>
      <c r="BO905" s="80"/>
      <c r="BP905" s="80"/>
      <c r="BQ905" s="80"/>
      <c r="BR905" s="80"/>
      <c r="BS905" s="80"/>
      <c r="BT905" s="80"/>
      <c r="BU905" s="80"/>
      <c r="BV905" s="80"/>
      <c r="BW905" s="80"/>
      <c r="BX905" s="80" t="str">
        <f>IFERROR(__xludf.DUMMYFUNCTION("""COMPUTED_VALUE"""),"MULTIKURIR - LION PARCEL")</f>
        <v>MULTIKURIR - LION PARCEL</v>
      </c>
      <c r="BY905" s="80"/>
      <c r="BZ905" s="80"/>
      <c r="CA905" s="80"/>
      <c r="CB905" s="80"/>
      <c r="CC905" s="80"/>
      <c r="CD905" s="80"/>
      <c r="CE905" s="80"/>
      <c r="CF905" s="80"/>
      <c r="CG905" s="80"/>
      <c r="CH905" s="80"/>
      <c r="CI905" s="80"/>
      <c r="CJ905" s="80"/>
      <c r="CK905" s="2"/>
    </row>
    <row r="906" ht="12.75" customHeight="1">
      <c r="A906" s="85">
        <f>IFERROR(__xludf.DUMMYFUNCTION("""COMPUTED_VALUE"""),902.0)</f>
        <v>902</v>
      </c>
      <c r="B906" s="85"/>
      <c r="C906" s="85"/>
      <c r="D906" s="86">
        <f>IFERROR(__xludf.DUMMYFUNCTION("""COMPUTED_VALUE"""),46120.0)</f>
        <v>46120</v>
      </c>
      <c r="E906" s="88"/>
      <c r="F906" s="85"/>
      <c r="G906" s="86"/>
      <c r="H906" s="85"/>
      <c r="I906" s="85"/>
      <c r="J906" s="85"/>
      <c r="K906" s="85"/>
      <c r="L906" s="85"/>
      <c r="M906" s="85" t="str">
        <f>IFERROR(__xludf.DUMMYFUNCTION("""COMPUTED_VALUE"""),"ü")</f>
        <v>ü</v>
      </c>
      <c r="N906" s="85"/>
      <c r="O906" s="85"/>
      <c r="P906" s="85" t="str">
        <f>IFERROR(__xludf.DUMMYFUNCTION("""COMPUTED_VALUE"""),"53BSPA09956JBEEN")</f>
        <v>53BSPA09956JBEEN</v>
      </c>
      <c r="Q906" s="85" t="str">
        <f>IFERROR(__xludf.DUMMYFUNCTION("""COMPUTED_VALUE"""),"MUC ZAHIRAEXPRESS")</f>
        <v>MUC ZAHIRAEXPRESS</v>
      </c>
      <c r="R906" s="85" t="str">
        <f>IFERROR(__xludf.DUMMYFUNCTION("""COMPUTED_VALUE"""),"MUC ZAHIRAEXPRESS")</f>
        <v>MUC ZAHIRAEXPRESS</v>
      </c>
      <c r="S906" s="85" t="str">
        <f>IFERROR(__xludf.DUMMYFUNCTION("""COMPUTED_VALUE"""),"HERMAN SANI")</f>
        <v>HERMAN SANI</v>
      </c>
      <c r="T906" s="85" t="str">
        <f>IFERROR(__xludf.DUMMYFUNCTION("""COMPUTED_VALUE"""),"KP. SELANG CAU GG. NAGAN NO.104 RT.003 RW.013, WANASARI, CIBITUNG, KAB.BEKASI")</f>
        <v>KP. SELANG CAU GG. NAGAN NO.104 RT.003 RW.013, WANASARI, CIBITUNG, KAB.BEKASI</v>
      </c>
      <c r="U906" s="85" t="str">
        <f>IFERROR(__xludf.DUMMYFUNCTION("""COMPUTED_VALUE"""),"Jl. Karang Satria, RT.005/RW.006")</f>
        <v>Jl. Karang Satria, RT.005/RW.006</v>
      </c>
      <c r="V906" s="85"/>
      <c r="W906" s="85" t="str">
        <f>IFERROR(__xludf.DUMMYFUNCTION("""COMPUTED_VALUE"""),"Karangsatria")</f>
        <v>Karangsatria</v>
      </c>
      <c r="X906" s="85" t="str">
        <f>IFERROR(__xludf.DUMMYFUNCTION("""COMPUTED_VALUE"""),"Tambun Utara")</f>
        <v>Tambun Utara</v>
      </c>
      <c r="Y906" s="85" t="str">
        <f>IFERROR(__xludf.DUMMYFUNCTION("""COMPUTED_VALUE"""),"Kabupaten Bekasi")</f>
        <v>Kabupaten Bekasi</v>
      </c>
      <c r="Z906" s="85" t="str">
        <f>IFERROR(__xludf.DUMMYFUNCTION("""COMPUTED_VALUE"""),"Jawa Barat ")</f>
        <v>Jawa Barat </v>
      </c>
      <c r="AA906" s="85" t="str">
        <f>IFERROR(__xludf.DUMMYFUNCTION("""COMPUTED_VALUE"""),"17510")</f>
        <v>17510</v>
      </c>
      <c r="AB906" s="85" t="str">
        <f>IFERROR(__xludf.DUMMYFUNCTION("""COMPUTED_VALUE"""),"3216072001910005")</f>
        <v>3216072001910005</v>
      </c>
      <c r="AC906" s="85" t="str">
        <f>IFERROR(__xludf.DUMMYFUNCTION("""COMPUTED_VALUE"""),"46.245.734.2-435.000")</f>
        <v>46.245.734.2-435.000</v>
      </c>
      <c r="AD906" s="85" t="str">
        <f>IFERROR(__xludf.DUMMYFUNCTION("""COMPUTED_VALUE"""),"CUM - EEN")</f>
        <v>CUM - EEN</v>
      </c>
      <c r="AE906" s="85" t="str">
        <f>IFERROR(__xludf.DUMMYFUNCTION("""COMPUTED_VALUE"""),"SUB EEN")</f>
        <v>SUB EEN</v>
      </c>
      <c r="AF906" s="85" t="str">
        <f>IFERROR(__xludf.DUMMYFUNCTION("""COMPUTED_VALUE"""),"082228414811")</f>
        <v>082228414811</v>
      </c>
      <c r="AG906" s="85"/>
      <c r="AH906" s="85" t="str">
        <f>IFERROR(__xludf.DUMMYFUNCTION("""COMPUTED_VALUE"""),"hermansani97@gmail.com")</f>
        <v>hermansani97@gmail.com</v>
      </c>
      <c r="AI906" s="85"/>
      <c r="AJ906" s="85"/>
      <c r="AK906" s="85"/>
      <c r="AL906" s="85"/>
      <c r="AM906" s="85" t="str">
        <f>IFERROR(__xludf.DUMMYFUNCTION("""COMPUTED_VALUE"""),"KANTOR REGIONAL II JAKARTA 10004")</f>
        <v>KANTOR REGIONAL II JAKARTA 10004</v>
      </c>
      <c r="AN906" s="85" t="str">
        <f>IFERROR(__xludf.DUMMYFUNCTION("""COMPUTED_VALUE"""),"KC CIKARANG 17500")</f>
        <v>KC CIKARANG 17500</v>
      </c>
      <c r="AO906" s="85" t="str">
        <f>IFERROR(__xludf.DUMMYFUNCTION("""COMPUTED_VALUE"""),"0804260045673")</f>
        <v>0804260045673</v>
      </c>
      <c r="AP906" s="85" t="str">
        <f>IFERROR(__xludf.DUMMYFUNCTION("""COMPUTED_VALUE"""),"08042600456730001")</f>
        <v>08042600456730001</v>
      </c>
      <c r="AQ906" s="93" t="str">
        <f>IFERROR(__xludf.DUMMYFUNCTION("""COMPUTED_VALUE"""),"BCA / 0663577112 / ayu bunga trias damara")</f>
        <v>BCA / 0663577112 / ayu bunga trias damara</v>
      </c>
      <c r="AR906" s="85"/>
      <c r="AS906" s="85"/>
      <c r="AT906" s="85" t="str">
        <f>IFERROR(__xludf.DUMMYFUNCTION("""COMPUTED_VALUE"""),"-6.2230553")</f>
        <v>-6.2230553</v>
      </c>
      <c r="AU906" s="85" t="str">
        <f>IFERROR(__xludf.DUMMYFUNCTION("""COMPUTED_VALUE"""),"107.0353378")</f>
        <v>107.0353378</v>
      </c>
      <c r="AV906" s="85"/>
      <c r="AW906" s="85"/>
      <c r="AX906" s="85"/>
      <c r="AY906" s="85"/>
      <c r="AZ906" s="85"/>
      <c r="BA906" s="85"/>
      <c r="BB906" s="85"/>
      <c r="BC906" s="85"/>
      <c r="BD906" s="85"/>
      <c r="BE906" s="85"/>
      <c r="BF906" s="85"/>
      <c r="BG906" s="85"/>
      <c r="BH906" s="85"/>
      <c r="BI906" s="85"/>
      <c r="BJ906" s="85"/>
      <c r="BK906" s="85"/>
      <c r="BL906" s="85"/>
      <c r="BM906" s="85"/>
      <c r="BN906" s="85"/>
      <c r="BO906" s="85"/>
      <c r="BP906" s="85"/>
      <c r="BQ906" s="85"/>
      <c r="BR906" s="85"/>
      <c r="BS906" s="85"/>
      <c r="BT906" s="85"/>
      <c r="BU906" s="85"/>
      <c r="BV906" s="85"/>
      <c r="BW906" s="85"/>
      <c r="BX906" s="85" t="str">
        <f>IFERROR(__xludf.DUMMYFUNCTION("""COMPUTED_VALUE"""),"MULTIKURIR - LION PARCEL")</f>
        <v>MULTIKURIR - LION PARCEL</v>
      </c>
      <c r="BY906" s="85"/>
      <c r="BZ906" s="85"/>
      <c r="CA906" s="85"/>
      <c r="CB906" s="85"/>
      <c r="CC906" s="85"/>
      <c r="CD906" s="85"/>
      <c r="CE906" s="85"/>
      <c r="CF906" s="85"/>
      <c r="CG906" s="85"/>
      <c r="CH906" s="85"/>
      <c r="CI906" s="85"/>
      <c r="CJ906" s="85"/>
      <c r="CK906" s="2"/>
    </row>
    <row r="907" ht="12.75" customHeight="1">
      <c r="A907" s="80">
        <f>IFERROR(__xludf.DUMMYFUNCTION("""COMPUTED_VALUE"""),903.0)</f>
        <v>903</v>
      </c>
      <c r="B907" s="80"/>
      <c r="C907" s="80"/>
      <c r="D907" s="81">
        <f>IFERROR(__xludf.DUMMYFUNCTION("""COMPUTED_VALUE"""),46120.0)</f>
        <v>46120</v>
      </c>
      <c r="E907" s="82"/>
      <c r="F907" s="80"/>
      <c r="G907" s="81"/>
      <c r="H907" s="80"/>
      <c r="I907" s="80"/>
      <c r="J907" s="80"/>
      <c r="K907" s="80"/>
      <c r="L907" s="80"/>
      <c r="M907" s="80" t="str">
        <f>IFERROR(__xludf.DUMMYFUNCTION("""COMPUTED_VALUE"""),"ü")</f>
        <v>ü</v>
      </c>
      <c r="N907" s="80"/>
      <c r="O907" s="80"/>
      <c r="P907" s="80" t="str">
        <f>IFERROR(__xludf.DUMMYFUNCTION("""COMPUTED_VALUE"""),"53BSPA09915JBNDS ")</f>
        <v>53BSPA09915JBNDS </v>
      </c>
      <c r="Q907" s="80" t="str">
        <f>IFERROR(__xludf.DUMMYFUNCTION("""COMPUTED_VALUE"""),"MUC WARUNG MELLCIN")</f>
        <v>MUC WARUNG MELLCIN</v>
      </c>
      <c r="R907" s="80" t="str">
        <f>IFERROR(__xludf.DUMMYFUNCTION("""COMPUTED_VALUE"""),"MUC WARUNG MELLCIN")</f>
        <v>MUC WARUNG MELLCIN</v>
      </c>
      <c r="S907" s="80" t="str">
        <f>IFERROR(__xludf.DUMMYFUNCTION("""COMPUTED_VALUE"""),"IMAM SUPRATMAN")</f>
        <v>IMAM SUPRATMAN</v>
      </c>
      <c r="T907" s="80" t="str">
        <f>IFERROR(__xludf.DUMMYFUNCTION("""COMPUTED_VALUE"""),"CIKEMPAR NO 57 RT01 RW05 KADIPATEN MAJALENGKA")</f>
        <v>CIKEMPAR NO 57 RT01 RW05 KADIPATEN MAJALENGKA</v>
      </c>
      <c r="U907" s="80" t="str">
        <f>IFERROR(__xludf.DUMMYFUNCTION("""COMPUTED_VALUE"""),"cikempar 01/05")</f>
        <v>cikempar 01/05</v>
      </c>
      <c r="V907" s="80"/>
      <c r="W907" s="80" t="str">
        <f>IFERROR(__xludf.DUMMYFUNCTION("""COMPUTED_VALUE"""),"kadipaten")</f>
        <v>kadipaten</v>
      </c>
      <c r="X907" s="80" t="str">
        <f>IFERROR(__xludf.DUMMYFUNCTION("""COMPUTED_VALUE"""),"kadipaten")</f>
        <v>kadipaten</v>
      </c>
      <c r="Y907" s="80" t="str">
        <f>IFERROR(__xludf.DUMMYFUNCTION("""COMPUTED_VALUE"""),"majalengka")</f>
        <v>majalengka</v>
      </c>
      <c r="Z907" s="80" t="str">
        <f>IFERROR(__xludf.DUMMYFUNCTION("""COMPUTED_VALUE"""),"jawabarat")</f>
        <v>jawabarat</v>
      </c>
      <c r="AA907" s="80" t="str">
        <f>IFERROR(__xludf.DUMMYFUNCTION("""COMPUTED_VALUE"""),"45452")</f>
        <v>45452</v>
      </c>
      <c r="AB907" s="80" t="str">
        <f>IFERROR(__xludf.DUMMYFUNCTION("""COMPUTED_VALUE"""),"3210130707810041")</f>
        <v>3210130707810041</v>
      </c>
      <c r="AC907" s="80" t="str">
        <f>IFERROR(__xludf.DUMMYFUNCTION("""COMPUTED_VALUE"""),"73.205.213.9-438.000")</f>
        <v>73.205.213.9-438.000</v>
      </c>
      <c r="AD907" s="80" t="str">
        <f>IFERROR(__xludf.DUMMYFUNCTION("""COMPUTED_VALUE"""),"CUM - NDS")</f>
        <v>CUM - NDS</v>
      </c>
      <c r="AE907" s="80" t="str">
        <f>IFERROR(__xludf.DUMMYFUNCTION("""COMPUTED_VALUE"""),"SUB NURUL DIMAS")</f>
        <v>SUB NURUL DIMAS</v>
      </c>
      <c r="AF907" s="80" t="str">
        <f>IFERROR(__xludf.DUMMYFUNCTION("""COMPUTED_VALUE"""),"085324865254")</f>
        <v>085324865254</v>
      </c>
      <c r="AG907" s="80"/>
      <c r="AH907" s="80" t="str">
        <f>IFERROR(__xludf.DUMMYFUNCTION("""COMPUTED_VALUE"""),"bulux.skinhead@gmail.com")</f>
        <v>bulux.skinhead@gmail.com</v>
      </c>
      <c r="AI907" s="80"/>
      <c r="AJ907" s="80"/>
      <c r="AK907" s="80"/>
      <c r="AL907" s="80"/>
      <c r="AM907" s="80" t="str">
        <f>IFERROR(__xludf.DUMMYFUNCTION("""COMPUTED_VALUE"""),"KANTOR REGIONAL III BANDUNG 40004")</f>
        <v>KANTOR REGIONAL III BANDUNG 40004</v>
      </c>
      <c r="AN907" s="80" t="str">
        <f>IFERROR(__xludf.DUMMYFUNCTION("""COMPUTED_VALUE"""),"KC MAJALENGKA")</f>
        <v>KC MAJALENGKA</v>
      </c>
      <c r="AO907" s="80" t="str">
        <f>IFERROR(__xludf.DUMMYFUNCTION("""COMPUTED_VALUE"""),"MENYUSUL")</f>
        <v>MENYUSUL</v>
      </c>
      <c r="AP907" s="80" t="str">
        <f>IFERROR(__xludf.DUMMYFUNCTION("""COMPUTED_VALUE"""),"MENYUSUL")</f>
        <v>MENYUSUL</v>
      </c>
      <c r="AQ907" s="83"/>
      <c r="AR907" s="80"/>
      <c r="AS907" s="80"/>
      <c r="AT907" s="80"/>
      <c r="AU907" s="80"/>
      <c r="AV907" s="80"/>
      <c r="AW907" s="80"/>
      <c r="AX907" s="80"/>
      <c r="AY907" s="80"/>
      <c r="AZ907" s="80"/>
      <c r="BA907" s="80"/>
      <c r="BB907" s="80"/>
      <c r="BC907" s="80"/>
      <c r="BD907" s="80"/>
      <c r="BE907" s="80"/>
      <c r="BF907" s="80"/>
      <c r="BG907" s="80"/>
      <c r="BH907" s="80"/>
      <c r="BI907" s="80"/>
      <c r="BJ907" s="80"/>
      <c r="BK907" s="80"/>
      <c r="BL907" s="80"/>
      <c r="BM907" s="80"/>
      <c r="BN907" s="80"/>
      <c r="BO907" s="80"/>
      <c r="BP907" s="80"/>
      <c r="BQ907" s="80"/>
      <c r="BR907" s="80"/>
      <c r="BS907" s="80"/>
      <c r="BT907" s="80"/>
      <c r="BU907" s="80"/>
      <c r="BV907" s="80"/>
      <c r="BW907" s="80"/>
      <c r="BX907" s="80" t="str">
        <f>IFERROR(__xludf.DUMMYFUNCTION("""COMPUTED_VALUE"""),"NEWBIE")</f>
        <v>NEWBIE</v>
      </c>
      <c r="BY907" s="80"/>
      <c r="BZ907" s="80"/>
      <c r="CA907" s="80"/>
      <c r="CB907" s="80"/>
      <c r="CC907" s="80"/>
      <c r="CD907" s="80"/>
      <c r="CE907" s="80"/>
      <c r="CF907" s="80"/>
      <c r="CG907" s="80"/>
      <c r="CH907" s="80"/>
      <c r="CI907" s="80"/>
      <c r="CJ907" s="80"/>
      <c r="CK907" s="2"/>
    </row>
    <row r="908" ht="12.75" customHeight="1">
      <c r="A908" s="85">
        <f>IFERROR(__xludf.DUMMYFUNCTION("""COMPUTED_VALUE"""),904.0)</f>
        <v>904</v>
      </c>
      <c r="B908" s="85"/>
      <c r="C908" s="85"/>
      <c r="D908" s="86">
        <f>IFERROR(__xludf.DUMMYFUNCTION("""COMPUTED_VALUE"""),46122.0)</f>
        <v>46122</v>
      </c>
      <c r="E908" s="88"/>
      <c r="F908" s="85"/>
      <c r="G908" s="86">
        <f>IFERROR(__xludf.DUMMYFUNCTION("""COMPUTED_VALUE"""),46132.0)</f>
        <v>46132</v>
      </c>
      <c r="H908" s="85"/>
      <c r="I908" s="85"/>
      <c r="J908" s="85"/>
      <c r="K908" s="85"/>
      <c r="L908" s="85">
        <f>IFERROR(__xludf.DUMMYFUNCTION("""COMPUTED_VALUE"""),10.0)</f>
        <v>10</v>
      </c>
      <c r="M908" s="85" t="str">
        <f>IFERROR(__xludf.DUMMYFUNCTION("""COMPUTED_VALUE"""),"ü")</f>
        <v>ü</v>
      </c>
      <c r="N908" s="85"/>
      <c r="O908" s="85"/>
      <c r="P908" s="85" t="str">
        <f>IFERROR(__xludf.DUMMYFUNCTION("""COMPUTED_VALUE"""),"MUCSPA63430PSIND")</f>
        <v>MUCSPA63430PSIND</v>
      </c>
      <c r="Q908" s="85" t="str">
        <f>IFERROR(__xludf.DUMMYFUNCTION("""COMPUTED_VALUE"""),"MUC Desima")</f>
        <v>MUC Desima</v>
      </c>
      <c r="R908" s="85" t="str">
        <f>IFERROR(__xludf.DUMMYFUNCTION("""COMPUTED_VALUE"""),"MUC Desima")</f>
        <v>MUC Desima</v>
      </c>
      <c r="S908" s="85" t="str">
        <f>IFERROR(__xludf.DUMMYFUNCTION("""COMPUTED_VALUE"""),"Desima Pasaribu")</f>
        <v>Desima Pasaribu</v>
      </c>
      <c r="T908" s="85" t="str">
        <f>IFERROR(__xludf.DUMMYFUNCTION("""COMPUTED_VALUE"""),"Perum Aspol Tambun Timur, Tambun Nabolon, Siantar Martoba, kota pematangsiantar, sumatera utara")</f>
        <v>Perum Aspol Tambun Timur, Tambun Nabolon, Siantar Martoba, kota pematangsiantar, sumatera utara</v>
      </c>
      <c r="U908" s="85" t="str">
        <f>IFERROR(__xludf.DUMMYFUNCTION("""COMPUTED_VALUE"""),"Perumahan Tambun Timur")</f>
        <v>Perumahan Tambun Timur</v>
      </c>
      <c r="V908" s="85"/>
      <c r="W908" s="85" t="str">
        <f>IFERROR(__xludf.DUMMYFUNCTION("""COMPUTED_VALUE"""),"Tambun Nabolon")</f>
        <v>Tambun Nabolon</v>
      </c>
      <c r="X908" s="85" t="str">
        <f>IFERROR(__xludf.DUMMYFUNCTION("""COMPUTED_VALUE"""),"Siantar Martoba")</f>
        <v>Siantar Martoba</v>
      </c>
      <c r="Y908" s="85" t="str">
        <f>IFERROR(__xludf.DUMMYFUNCTION("""COMPUTED_VALUE"""),"Pematang Siantar")</f>
        <v>Pematang Siantar</v>
      </c>
      <c r="Z908" s="85" t="str">
        <f>IFERROR(__xludf.DUMMYFUNCTION("""COMPUTED_VALUE"""),"Sumatera Utara")</f>
        <v>Sumatera Utara</v>
      </c>
      <c r="AA908" s="85" t="str">
        <f>IFERROR(__xludf.DUMMYFUNCTION("""COMPUTED_VALUE"""),"21154")</f>
        <v>21154</v>
      </c>
      <c r="AB908" s="85" t="str">
        <f>IFERROR(__xludf.DUMMYFUNCTION("""COMPUTED_VALUE"""),"1272065104750004")</f>
        <v>1272065104750004</v>
      </c>
      <c r="AC908" s="85" t="str">
        <f>IFERROR(__xludf.DUMMYFUNCTION("""COMPUTED_VALUE"""),"81.864.446.0-117.000")</f>
        <v>81.864.446.0-117.000</v>
      </c>
      <c r="AD908" s="85" t="str">
        <f>IFERROR(__xludf.DUMMYFUNCTION("""COMPUTED_VALUE"""),"BU DEVI KC PEMATANGSIANTAR")</f>
        <v>BU DEVI KC PEMATANGSIANTAR</v>
      </c>
      <c r="AE908" s="85" t="str">
        <f>IFERROR(__xludf.DUMMYFUNCTION("""COMPUTED_VALUE"""),"BU DEVI KC PEMATANGSIANTAR")</f>
        <v>BU DEVI KC PEMATANGSIANTAR</v>
      </c>
      <c r="AF908" s="85" t="str">
        <f>IFERROR(__xludf.DUMMYFUNCTION("""COMPUTED_VALUE"""),"085262504414")</f>
        <v>085262504414</v>
      </c>
      <c r="AG908" s="85"/>
      <c r="AH908" s="85" t="str">
        <f>IFERROR(__xludf.DUMMYFUNCTION("""COMPUTED_VALUE"""),"desipasaribu834@gmail.com")</f>
        <v>desipasaribu834@gmail.com</v>
      </c>
      <c r="AI908" s="85" t="str">
        <f>IFERROR(__xludf.DUMMYFUNCTION("""COMPUTED_VALUE"""),"21137S1")</f>
        <v>21137S1</v>
      </c>
      <c r="AJ908" s="85" t="str">
        <f>IFERROR(__xludf.DUMMYFUNCTION("""COMPUTED_VALUE"""),"69e595509db5e15bbd0d17e5")</f>
        <v>69e595509db5e15bbd0d17e5</v>
      </c>
      <c r="AK908" s="85" t="str">
        <f>IFERROR(__xludf.DUMMYFUNCTION("""COMPUTED_VALUE"""),"desipasaribu834@gmail.com")</f>
        <v>desipasaribu834@gmail.com</v>
      </c>
      <c r="AL908" s="85" t="str">
        <f>IFERROR(__xludf.DUMMYFUNCTION("""COMPUTED_VALUE"""),"#Muc21137S1$")</f>
        <v>#Muc21137S1$</v>
      </c>
      <c r="AM908" s="85" t="str">
        <f>IFERROR(__xludf.DUMMYFUNCTION("""COMPUTED_VALUE"""),"KANTOR REGIONAL I MEDAN 20004")</f>
        <v>KANTOR REGIONAL I MEDAN 20004</v>
      </c>
      <c r="AN908" s="85" t="str">
        <f>IFERROR(__xludf.DUMMYFUNCTION("""COMPUTED_VALUE"""),"KC PEMATANGSIANTAR")</f>
        <v>KC PEMATANGSIANTAR</v>
      </c>
      <c r="AO908" s="85" t="str">
        <f>IFERROR(__xludf.DUMMYFUNCTION("""COMPUTED_VALUE"""),"MENYUSUL")</f>
        <v>MENYUSUL</v>
      </c>
      <c r="AP908" s="85" t="str">
        <f>IFERROR(__xludf.DUMMYFUNCTION("""COMPUTED_VALUE"""),"MENYUSUL")</f>
        <v>MENYUSUL</v>
      </c>
      <c r="AQ908" s="93" t="str">
        <f>IFERROR(__xludf.DUMMYFUNCTION("""COMPUTED_VALUE"""),"BRI / 5342 0103 1774 538 / Desima Pasaribu")</f>
        <v>BRI / 5342 0103 1774 538 / Desima Pasaribu</v>
      </c>
      <c r="AR908" s="85"/>
      <c r="AS908" s="85"/>
      <c r="AT908" s="85" t="str">
        <f>IFERROR(__xludf.DUMMYFUNCTION("""COMPUTED_VALUE"""),"3.0138591")</f>
        <v>3.0138591</v>
      </c>
      <c r="AU908" s="85" t="str">
        <f>IFERROR(__xludf.DUMMYFUNCTION("""COMPUTED_VALUE"""),"99.0937226")</f>
        <v>99.0937226</v>
      </c>
      <c r="AV908" s="85"/>
      <c r="AW908" s="85"/>
      <c r="AX908" s="85"/>
      <c r="AY908" s="85"/>
      <c r="AZ908" s="85"/>
      <c r="BA908" s="85"/>
      <c r="BB908" s="85"/>
      <c r="BC908" s="85"/>
      <c r="BD908" s="85"/>
      <c r="BE908" s="85"/>
      <c r="BF908" s="85"/>
      <c r="BG908" s="85"/>
      <c r="BH908" s="85"/>
      <c r="BI908" s="85"/>
      <c r="BJ908" s="85"/>
      <c r="BK908" s="85"/>
      <c r="BL908" s="85"/>
      <c r="BM908" s="85"/>
      <c r="BN908" s="85"/>
      <c r="BO908" s="85"/>
      <c r="BP908" s="85"/>
      <c r="BQ908" s="85"/>
      <c r="BR908" s="85"/>
      <c r="BS908" s="85"/>
      <c r="BT908" s="85"/>
      <c r="BU908" s="85"/>
      <c r="BV908" s="85"/>
      <c r="BW908" s="85"/>
      <c r="BX908" s="85" t="str">
        <f>IFERROR(__xludf.DUMMYFUNCTION("""COMPUTED_VALUE"""),"NEWBIE")</f>
        <v>NEWBIE</v>
      </c>
      <c r="BY908" s="85"/>
      <c r="BZ908" s="85"/>
      <c r="CA908" s="85"/>
      <c r="CB908" s="85"/>
      <c r="CC908" s="85"/>
      <c r="CD908" s="85"/>
      <c r="CE908" s="85"/>
      <c r="CF908" s="85"/>
      <c r="CG908" s="85"/>
      <c r="CH908" s="85"/>
      <c r="CI908" s="85"/>
      <c r="CJ908" s="85"/>
      <c r="CK908" s="2"/>
    </row>
    <row r="909" ht="12.75" customHeight="1">
      <c r="A909" s="80">
        <f>IFERROR(__xludf.DUMMYFUNCTION("""COMPUTED_VALUE"""),905.0)</f>
        <v>905</v>
      </c>
      <c r="B909" s="80"/>
      <c r="C909" s="80"/>
      <c r="D909" s="81">
        <f>IFERROR(__xludf.DUMMYFUNCTION("""COMPUTED_VALUE"""),46122.0)</f>
        <v>46122</v>
      </c>
      <c r="E909" s="82"/>
      <c r="F909" s="80"/>
      <c r="G909" s="81">
        <f>IFERROR(__xludf.DUMMYFUNCTION("""COMPUTED_VALUE"""),46139.0)</f>
        <v>46139</v>
      </c>
      <c r="H909" s="80"/>
      <c r="I909" s="80"/>
      <c r="J909" s="80"/>
      <c r="K909" s="80"/>
      <c r="L909" s="80">
        <f>IFERROR(__xludf.DUMMYFUNCTION("""COMPUTED_VALUE"""),17.0)</f>
        <v>17</v>
      </c>
      <c r="M909" s="80" t="str">
        <f>IFERROR(__xludf.DUMMYFUNCTION("""COMPUTED_VALUE"""),"ü")</f>
        <v>ü</v>
      </c>
      <c r="N909" s="80"/>
      <c r="O909" s="80"/>
      <c r="P909" s="80" t="str">
        <f>IFERROR(__xludf.DUMMYFUNCTION("""COMPUTED_VALUE"""),"53BSPA09958JBEEN")</f>
        <v>53BSPA09958JBEEN</v>
      </c>
      <c r="Q909" s="80" t="str">
        <f>IFERROR(__xludf.DUMMYFUNCTION("""COMPUTED_VALUE"""),"MUC WIDURAN")</f>
        <v>MUC WIDURAN</v>
      </c>
      <c r="R909" s="80" t="str">
        <f>IFERROR(__xludf.DUMMYFUNCTION("""COMPUTED_VALUE"""),"MUC WIDURAN")</f>
        <v>MUC WIDURAN</v>
      </c>
      <c r="S909" s="80" t="str">
        <f>IFERROR(__xludf.DUMMYFUNCTION("""COMPUTED_VALUE"""),"ANDY SETIAWAN WIJAYA")</f>
        <v>ANDY SETIAWAN WIJAYA</v>
      </c>
      <c r="T909" s="80" t="str">
        <f>IFERROR(__xludf.DUMMYFUNCTION("""COMPUTED_VALUE"""),"KLECO RT.004 RW.006, KADIPIRO, BANJARSARI, KOTA SURAKARTA JAWA TENGAH")</f>
        <v>KLECO RT.004 RW.006, KADIPIRO, BANJARSARI, KOTA SURAKARTA JAWA TENGAH</v>
      </c>
      <c r="U909" s="80" t="str">
        <f>IFERROR(__xludf.DUMMYFUNCTION("""COMPUTED_VALUE"""),"Jl. Sutan Syahrir No.34")</f>
        <v>Jl. Sutan Syahrir No.34</v>
      </c>
      <c r="V909" s="80"/>
      <c r="W909" s="80" t="str">
        <f>IFERROR(__xludf.DUMMYFUNCTION("""COMPUTED_VALUE"""),"Kepatihan Wetan")</f>
        <v>Kepatihan Wetan</v>
      </c>
      <c r="X909" s="80" t="str">
        <f>IFERROR(__xludf.DUMMYFUNCTION("""COMPUTED_VALUE"""),"Jebres")</f>
        <v>Jebres</v>
      </c>
      <c r="Y909" s="80" t="str">
        <f>IFERROR(__xludf.DUMMYFUNCTION("""COMPUTED_VALUE"""),"Kota Surakarta")</f>
        <v>Kota Surakarta</v>
      </c>
      <c r="Z909" s="80" t="str">
        <f>IFERROR(__xludf.DUMMYFUNCTION("""COMPUTED_VALUE"""),"Jawa Tengah ")</f>
        <v>Jawa Tengah </v>
      </c>
      <c r="AA909" s="80" t="str">
        <f>IFERROR(__xludf.DUMMYFUNCTION("""COMPUTED_VALUE"""),"57129")</f>
        <v>57129</v>
      </c>
      <c r="AB909" s="80" t="str">
        <f>IFERROR(__xludf.DUMMYFUNCTION("""COMPUTED_VALUE"""),"3372042311950001")</f>
        <v>3372042311950001</v>
      </c>
      <c r="AC909" s="80" t="str">
        <f>IFERROR(__xludf.DUMMYFUNCTION("""COMPUTED_VALUE"""),"3372042311950001")</f>
        <v>3372042311950001</v>
      </c>
      <c r="AD909" s="80" t="str">
        <f>IFERROR(__xludf.DUMMYFUNCTION("""COMPUTED_VALUE"""),"CUM - EEN")</f>
        <v>CUM - EEN</v>
      </c>
      <c r="AE909" s="80" t="str">
        <f>IFERROR(__xludf.DUMMYFUNCTION("""COMPUTED_VALUE"""),"SUB EEN")</f>
        <v>SUB EEN</v>
      </c>
      <c r="AF909" s="80" t="str">
        <f>IFERROR(__xludf.DUMMYFUNCTION("""COMPUTED_VALUE"""),"087838968604")</f>
        <v>087838968604</v>
      </c>
      <c r="AG909" s="80"/>
      <c r="AH909" s="80" t="str">
        <f>IFERROR(__xludf.DUMMYFUNCTION("""COMPUTED_VALUE"""),"andymochin21@gmail.com")</f>
        <v>andymochin21@gmail.com</v>
      </c>
      <c r="AI909" s="80" t="str">
        <f>IFERROR(__xludf.DUMMYFUNCTION("""COMPUTED_VALUE"""),"57129S1")</f>
        <v>57129S1</v>
      </c>
      <c r="AJ909" s="80" t="str">
        <f>IFERROR(__xludf.DUMMYFUNCTION("""COMPUTED_VALUE"""),"andymochin21@gmail.com")</f>
        <v>andymochin21@gmail.com</v>
      </c>
      <c r="AK909" s="80" t="str">
        <f>IFERROR(__xludf.DUMMYFUNCTION("""COMPUTED_VALUE"""),"andymochin21@gmail.com")</f>
        <v>andymochin21@gmail.com</v>
      </c>
      <c r="AL909" s="80" t="str">
        <f>IFERROR(__xludf.DUMMYFUNCTION("""COMPUTED_VALUE"""),"#Muc57129S1$")</f>
        <v>#Muc57129S1$</v>
      </c>
      <c r="AM909" s="80" t="str">
        <f>IFERROR(__xludf.DUMMYFUNCTION("""COMPUTED_VALUE"""),"KANTOR REGIONAL IV SEMARANG 50004")</f>
        <v>KANTOR REGIONAL IV SEMARANG 50004</v>
      </c>
      <c r="AN909" s="80" t="str">
        <f>IFERROR(__xludf.DUMMYFUNCTION("""COMPUTED_VALUE"""),"KCU SOLO 57100")</f>
        <v>KCU SOLO 57100</v>
      </c>
      <c r="AO909" s="80" t="str">
        <f>IFERROR(__xludf.DUMMYFUNCTION("""COMPUTED_VALUE"""),"MENYUSUL")</f>
        <v>MENYUSUL</v>
      </c>
      <c r="AP909" s="80" t="str">
        <f>IFERROR(__xludf.DUMMYFUNCTION("""COMPUTED_VALUE"""),"MENYUSUL")</f>
        <v>MENYUSUL</v>
      </c>
      <c r="AQ909" s="83" t="str">
        <f>IFERROR(__xludf.DUMMYFUNCTION("""COMPUTED_VALUE"""),"BCA / 8175483604 / andy setiawan wijaya")</f>
        <v>BCA / 8175483604 / andy setiawan wijaya</v>
      </c>
      <c r="AR909" s="80"/>
      <c r="AS909" s="80"/>
      <c r="AT909" s="80" t="str">
        <f>IFERROR(__xludf.DUMMYFUNCTION("""COMPUTED_VALUE"""),"-7.5657139")</f>
        <v>-7.5657139</v>
      </c>
      <c r="AU909" s="80" t="str">
        <f>IFERROR(__xludf.DUMMYFUNCTION("""COMPUTED_VALUE"""),"110.8315614")</f>
        <v>110.8315614</v>
      </c>
      <c r="AV909" s="80"/>
      <c r="AW909" s="80"/>
      <c r="AX909" s="80"/>
      <c r="AY909" s="80"/>
      <c r="AZ909" s="80"/>
      <c r="BA909" s="80"/>
      <c r="BB909" s="80"/>
      <c r="BC909" s="80"/>
      <c r="BD909" s="80"/>
      <c r="BE909" s="80"/>
      <c r="BF909" s="80"/>
      <c r="BG909" s="80"/>
      <c r="BH909" s="80"/>
      <c r="BI909" s="80"/>
      <c r="BJ909" s="80"/>
      <c r="BK909" s="80"/>
      <c r="BL909" s="80"/>
      <c r="BM909" s="80"/>
      <c r="BN909" s="80"/>
      <c r="BO909" s="80"/>
      <c r="BP909" s="80"/>
      <c r="BQ909" s="80"/>
      <c r="BR909" s="80"/>
      <c r="BS909" s="80"/>
      <c r="BT909" s="80"/>
      <c r="BU909" s="80"/>
      <c r="BV909" s="80"/>
      <c r="BW909" s="80"/>
      <c r="BX909" s="80" t="str">
        <f>IFERROR(__xludf.DUMMYFUNCTION("""COMPUTED_VALUE"""),"NEWBIE")</f>
        <v>NEWBIE</v>
      </c>
      <c r="BY909" s="80"/>
      <c r="BZ909" s="80"/>
      <c r="CA909" s="80"/>
      <c r="CB909" s="80"/>
      <c r="CC909" s="80"/>
      <c r="CD909" s="80"/>
      <c r="CE909" s="80"/>
      <c r="CF909" s="80"/>
      <c r="CG909" s="80"/>
      <c r="CH909" s="80"/>
      <c r="CI909" s="80"/>
      <c r="CJ909" s="80"/>
      <c r="CK909" s="2"/>
    </row>
    <row r="910" ht="12.75" customHeight="1">
      <c r="A910" s="85">
        <f>IFERROR(__xludf.DUMMYFUNCTION("""COMPUTED_VALUE"""),906.0)</f>
        <v>906</v>
      </c>
      <c r="B910" s="85"/>
      <c r="C910" s="85"/>
      <c r="D910" s="86">
        <f>IFERROR(__xludf.DUMMYFUNCTION("""COMPUTED_VALUE"""),46122.0)</f>
        <v>46122</v>
      </c>
      <c r="E910" s="88"/>
      <c r="F910" s="85"/>
      <c r="G910" s="86">
        <f>IFERROR(__xludf.DUMMYFUNCTION("""COMPUTED_VALUE"""),46125.0)</f>
        <v>46125</v>
      </c>
      <c r="H910" s="85"/>
      <c r="I910" s="85"/>
      <c r="J910" s="85"/>
      <c r="K910" s="85"/>
      <c r="L910" s="85">
        <f>IFERROR(__xludf.DUMMYFUNCTION("""COMPUTED_VALUE"""),3.0)</f>
        <v>3</v>
      </c>
      <c r="M910" s="85"/>
      <c r="N910" s="85" t="str">
        <f>IFERROR(__xludf.DUMMYFUNCTION("""COMPUTED_VALUE"""),"ü")</f>
        <v>ü</v>
      </c>
      <c r="O910" s="85"/>
      <c r="P910" s="85" t="str">
        <f>IFERROR(__xludf.DUMMYFUNCTION("""COMPUTED_VALUE"""),"MUCSPA63431PSIND")</f>
        <v>MUCSPA63431PSIND</v>
      </c>
      <c r="Q910" s="85" t="str">
        <f>IFERROR(__xludf.DUMMYFUNCTION("""COMPUTED_VALUE"""),"MUC JK")</f>
        <v>MUC JK</v>
      </c>
      <c r="R910" s="85" t="str">
        <f>IFERROR(__xludf.DUMMYFUNCTION("""COMPUTED_VALUE"""),"MUC JK")</f>
        <v>MUC JK</v>
      </c>
      <c r="S910" s="85" t="str">
        <f>IFERROR(__xludf.DUMMYFUNCTION("""COMPUTED_VALUE"""),"EVA MARLINA")</f>
        <v>EVA MARLINA</v>
      </c>
      <c r="T910" s="85" t="str">
        <f>IFERROR(__xludf.DUMMYFUNCTION("""COMPUTED_VALUE"""),"PERUM MAYANG PRATAMA H9/10")</f>
        <v>PERUM MAYANG PRATAMA H9/10</v>
      </c>
      <c r="U910" s="85" t="str">
        <f>IFERROR(__xludf.DUMMYFUNCTION("""COMPUTED_VALUE"""),"JL.RAYA KODAU")</f>
        <v>JL.RAYA KODAU</v>
      </c>
      <c r="V910" s="85" t="str">
        <f>IFERROR(__xludf.DUMMYFUNCTION("""COMPUTED_VALUE"""),"NO.1 RT 03 RW 07")</f>
        <v>NO.1 RT 03 RW 07</v>
      </c>
      <c r="W910" s="85" t="str">
        <f>IFERROR(__xludf.DUMMYFUNCTION("""COMPUTED_VALUE"""),"JATIMEKAR")</f>
        <v>JATIMEKAR</v>
      </c>
      <c r="X910" s="85" t="str">
        <f>IFERROR(__xludf.DUMMYFUNCTION("""COMPUTED_VALUE"""),"JATIASIH")</f>
        <v>JATIASIH</v>
      </c>
      <c r="Y910" s="85" t="str">
        <f>IFERROR(__xludf.DUMMYFUNCTION("""COMPUTED_VALUE"""),"KOTA BEKASI")</f>
        <v>KOTA BEKASI</v>
      </c>
      <c r="Z910" s="85" t="str">
        <f>IFERROR(__xludf.DUMMYFUNCTION("""COMPUTED_VALUE"""),"JAWA BARAT")</f>
        <v>JAWA BARAT</v>
      </c>
      <c r="AA910" s="85" t="str">
        <f>IFERROR(__xludf.DUMMYFUNCTION("""COMPUTED_VALUE"""),"17422")</f>
        <v>17422</v>
      </c>
      <c r="AB910" s="85" t="str">
        <f>IFERROR(__xludf.DUMMYFUNCTION("""COMPUTED_VALUE"""),"1508036707850003")</f>
        <v>1508036707850003</v>
      </c>
      <c r="AC910" s="85" t="str">
        <f>IFERROR(__xludf.DUMMYFUNCTION("""COMPUTED_VALUE"""),"70.827.449.3-439.000")</f>
        <v>70.827.449.3-439.000</v>
      </c>
      <c r="AD910" s="85" t="str">
        <f>IFERROR(__xludf.DUMMYFUNCTION("""COMPUTED_VALUE"""),"CUM - PS - AYS")</f>
        <v>CUM - PS - AYS</v>
      </c>
      <c r="AE910" s="85" t="str">
        <f>IFERROR(__xludf.DUMMYFUNCTION("""COMPUTED_VALUE"""),"SUB YUNUS POS")</f>
        <v>SUB YUNUS POS</v>
      </c>
      <c r="AF910" s="85" t="str">
        <f>IFERROR(__xludf.DUMMYFUNCTION("""COMPUTED_VALUE"""),"081223704643")</f>
        <v>081223704643</v>
      </c>
      <c r="AG910" s="85"/>
      <c r="AH910" s="85" t="str">
        <f>IFERROR(__xludf.DUMMYFUNCTION("""COMPUTED_VALUE"""),"avanza2008kakek@gmail.com")</f>
        <v>avanza2008kakek@gmail.com</v>
      </c>
      <c r="AI910" s="85" t="str">
        <f>IFERROR(__xludf.DUMMYFUNCTION("""COMPUTED_VALUE"""),"17422S1")</f>
        <v>17422S1</v>
      </c>
      <c r="AJ910" s="85" t="str">
        <f>IFERROR(__xludf.DUMMYFUNCTION("""COMPUTED_VALUE"""),"69dca2a7ac7b3136280b60aa")</f>
        <v>69dca2a7ac7b3136280b60aa</v>
      </c>
      <c r="AK910" s="85" t="str">
        <f>IFERROR(__xludf.DUMMYFUNCTION("""COMPUTED_VALUE"""),"avanza2008kakek@gmail.com")</f>
        <v>avanza2008kakek@gmail.com</v>
      </c>
      <c r="AL910" s="85" t="str">
        <f>IFERROR(__xludf.DUMMYFUNCTION("""COMPUTED_VALUE"""),"#Muc17422S1$")</f>
        <v>#Muc17422S1$</v>
      </c>
      <c r="AM910" s="85" t="str">
        <f>IFERROR(__xludf.DUMMYFUNCTION("""COMPUTED_VALUE"""),"KANTOR REGIONAL II JAKARTA 10004")</f>
        <v>KANTOR REGIONAL II JAKARTA 10004</v>
      </c>
      <c r="AN910" s="85" t="str">
        <f>IFERROR(__xludf.DUMMYFUNCTION("""COMPUTED_VALUE"""),"KCU BEKASI 17000")</f>
        <v>KCU BEKASI 17000</v>
      </c>
      <c r="AO910" s="85" t="str">
        <f>IFERROR(__xludf.DUMMYFUNCTION("""COMPUTED_VALUE"""),"1004260028819")</f>
        <v>1004260028819</v>
      </c>
      <c r="AP910" s="85" t="str">
        <f>IFERROR(__xludf.DUMMYFUNCTION("""COMPUTED_VALUE"""),"10042600288190001")</f>
        <v>10042600288190001</v>
      </c>
      <c r="AQ910" s="93" t="str">
        <f>IFERROR(__xludf.DUMMYFUNCTION("""COMPUTED_VALUE"""),"BNI / 0373927789 / EVA MARLINA")</f>
        <v>BNI / 0373927789 / EVA MARLINA</v>
      </c>
      <c r="AR910" s="85"/>
      <c r="AS910" s="85"/>
      <c r="AT910" s="85" t="str">
        <f>IFERROR(__xludf.DUMMYFUNCTION("""COMPUTED_VALUE"""),"-6.302495")</f>
        <v>-6.302495</v>
      </c>
      <c r="AU910" s="85" t="str">
        <f>IFERROR(__xludf.DUMMYFUNCTION("""COMPUTED_VALUE"""),"106.9377926")</f>
        <v>106.9377926</v>
      </c>
      <c r="AV910" s="85"/>
      <c r="AW910" s="85"/>
      <c r="AX910" s="85"/>
      <c r="AY910" s="85"/>
      <c r="AZ910" s="85"/>
      <c r="BA910" s="85"/>
      <c r="BB910" s="85"/>
      <c r="BC910" s="85"/>
      <c r="BD910" s="85"/>
      <c r="BE910" s="85"/>
      <c r="BF910" s="85"/>
      <c r="BG910" s="85"/>
      <c r="BH910" s="85"/>
      <c r="BI910" s="85"/>
      <c r="BJ910" s="85"/>
      <c r="BK910" s="85"/>
      <c r="BL910" s="85"/>
      <c r="BM910" s="85"/>
      <c r="BN910" s="85"/>
      <c r="BO910" s="85"/>
      <c r="BP910" s="85"/>
      <c r="BQ910" s="85"/>
      <c r="BR910" s="85"/>
      <c r="BS910" s="85"/>
      <c r="BT910" s="85"/>
      <c r="BU910" s="85"/>
      <c r="BV910" s="85"/>
      <c r="BW910" s="85"/>
      <c r="BX910" s="85" t="str">
        <f>IFERROR(__xludf.DUMMYFUNCTION("""COMPUTED_VALUE"""),"POS")</f>
        <v>POS</v>
      </c>
      <c r="BY910" s="85"/>
      <c r="BZ910" s="85"/>
      <c r="CA910" s="85"/>
      <c r="CB910" s="85"/>
      <c r="CC910" s="85"/>
      <c r="CD910" s="85"/>
      <c r="CE910" s="85"/>
      <c r="CF910" s="85"/>
      <c r="CG910" s="85"/>
      <c r="CH910" s="85"/>
      <c r="CI910" s="85"/>
      <c r="CJ910" s="85"/>
      <c r="CK910" s="2"/>
    </row>
    <row r="911" ht="12.75" customHeight="1">
      <c r="A911" s="80">
        <f>IFERROR(__xludf.DUMMYFUNCTION("""COMPUTED_VALUE"""),907.0)</f>
        <v>907</v>
      </c>
      <c r="B911" s="80"/>
      <c r="C911" s="80"/>
      <c r="D911" s="81">
        <f>IFERROR(__xludf.DUMMYFUNCTION("""COMPUTED_VALUE"""),46122.0)</f>
        <v>46122</v>
      </c>
      <c r="E911" s="82"/>
      <c r="F911" s="80"/>
      <c r="G911" s="81">
        <f>IFERROR(__xludf.DUMMYFUNCTION("""COMPUTED_VALUE"""),46139.0)</f>
        <v>46139</v>
      </c>
      <c r="H911" s="80"/>
      <c r="I911" s="80"/>
      <c r="J911" s="80"/>
      <c r="K911" s="80"/>
      <c r="L911" s="80">
        <f>IFERROR(__xludf.DUMMYFUNCTION("""COMPUTED_VALUE"""),17.0)</f>
        <v>17</v>
      </c>
      <c r="M911" s="80"/>
      <c r="N911" s="80" t="str">
        <f>IFERROR(__xludf.DUMMYFUNCTION("""COMPUTED_VALUE"""),"ü")</f>
        <v>ü</v>
      </c>
      <c r="O911" s="80"/>
      <c r="P911" s="80" t="str">
        <f>IFERROR(__xludf.DUMMYFUNCTION("""COMPUTED_VALUE"""),"MUCSPA63432PSIND")</f>
        <v>MUCSPA63432PSIND</v>
      </c>
      <c r="Q911" s="80" t="str">
        <f>IFERROR(__xludf.DUMMYFUNCTION("""COMPUTED_VALUE"""),"MUC EVLIN")</f>
        <v>MUC EVLIN</v>
      </c>
      <c r="R911" s="80" t="str">
        <f>IFERROR(__xludf.DUMMYFUNCTION("""COMPUTED_VALUE"""),"MUC EVLIN")</f>
        <v>MUC EVLIN</v>
      </c>
      <c r="S911" s="80" t="str">
        <f>IFERROR(__xludf.DUMMYFUNCTION("""COMPUTED_VALUE"""),"TAMPA NAIBAHO")</f>
        <v>TAMPA NAIBAHO</v>
      </c>
      <c r="T911" s="80" t="str">
        <f>IFERROR(__xludf.DUMMYFUNCTION("""COMPUTED_VALUE"""),"JL. KOTA MAS INDAH NO. 37 RT 4 RW 2")</f>
        <v>JL. KOTA MAS INDAH NO. 37 RT 4 RW 2</v>
      </c>
      <c r="U911" s="80" t="str">
        <f>IFERROR(__xludf.DUMMYFUNCTION("""COMPUTED_VALUE"""),"JL. MAHAR MARTANEGARA NO. 117")</f>
        <v>JL. MAHAR MARTANEGARA NO. 117</v>
      </c>
      <c r="V911" s="80"/>
      <c r="W911" s="80" t="str">
        <f>IFERROR(__xludf.DUMMYFUNCTION("""COMPUTED_VALUE"""),"UTAMA")</f>
        <v>UTAMA</v>
      </c>
      <c r="X911" s="80" t="str">
        <f>IFERROR(__xludf.DUMMYFUNCTION("""COMPUTED_VALUE"""),"CIMAHI SELATAN")</f>
        <v>CIMAHI SELATAN</v>
      </c>
      <c r="Y911" s="80" t="str">
        <f>IFERROR(__xludf.DUMMYFUNCTION("""COMPUTED_VALUE"""),"CIMAHI")</f>
        <v>CIMAHI</v>
      </c>
      <c r="Z911" s="80" t="str">
        <f>IFERROR(__xludf.DUMMYFUNCTION("""COMPUTED_VALUE"""),"JAWA BARAT")</f>
        <v>JAWA BARAT</v>
      </c>
      <c r="AA911" s="80" t="str">
        <f>IFERROR(__xludf.DUMMYFUNCTION("""COMPUTED_VALUE"""),"40522")</f>
        <v>40522</v>
      </c>
      <c r="AB911" s="80" t="str">
        <f>IFERROR(__xludf.DUMMYFUNCTION("""COMPUTED_VALUE"""),"3277021007670019")</f>
        <v>3277021007670019</v>
      </c>
      <c r="AC911" s="80" t="str">
        <f>IFERROR(__xludf.DUMMYFUNCTION("""COMPUTED_VALUE"""),"81.347.503.5-421.000")</f>
        <v>81.347.503.5-421.000</v>
      </c>
      <c r="AD911" s="80" t="str">
        <f>IFERROR(__xludf.DUMMYFUNCTION("""COMPUTED_VALUE"""),"CUM - PS - GUMLR")</f>
        <v>CUM - PS - GUMLR</v>
      </c>
      <c r="AE911" s="80" t="str">
        <f>IFERROR(__xludf.DUMMYFUNCTION("""COMPUTED_VALUE"""),"PAK GUMILAR KC CIMAHI")</f>
        <v>PAK GUMILAR KC CIMAHI</v>
      </c>
      <c r="AF911" s="80" t="str">
        <f>IFERROR(__xludf.DUMMYFUNCTION("""COMPUTED_VALUE"""),"082115622154")</f>
        <v>082115622154</v>
      </c>
      <c r="AG911" s="80"/>
      <c r="AH911" s="80" t="str">
        <f>IFERROR(__xludf.DUMMYFUNCTION("""COMPUTED_VALUE"""),"Bhjcollection8@gmail.com")</f>
        <v>Bhjcollection8@gmail.com</v>
      </c>
      <c r="AI911" s="80" t="str">
        <f>IFERROR(__xludf.DUMMYFUNCTION("""COMPUTED_VALUE"""),"40533S3")</f>
        <v>40533S3</v>
      </c>
      <c r="AJ911" s="80" t="str">
        <f>IFERROR(__xludf.DUMMYFUNCTION("""COMPUTED_VALUE"""),"69ec23478a22c09466099001")</f>
        <v>69ec23478a22c09466099001</v>
      </c>
      <c r="AK911" s="80" t="str">
        <f>IFERROR(__xludf.DUMMYFUNCTION("""COMPUTED_VALUE"""),"Bhjcollection8@gmail.com")</f>
        <v>Bhjcollection8@gmail.com</v>
      </c>
      <c r="AL911" s="80" t="str">
        <f>IFERROR(__xludf.DUMMYFUNCTION("""COMPUTED_VALUE"""),"#Muc40533S3$")</f>
        <v>#Muc40533S3$</v>
      </c>
      <c r="AM911" s="80" t="str">
        <f>IFERROR(__xludf.DUMMYFUNCTION("""COMPUTED_VALUE"""),"KANTOR REGIONAL III BANDUNG 40004")</f>
        <v>KANTOR REGIONAL III BANDUNG 40004</v>
      </c>
      <c r="AN911" s="80" t="str">
        <f>IFERROR(__xludf.DUMMYFUNCTION("""COMPUTED_VALUE"""),"KC CIMAHI ")</f>
        <v>KC CIMAHI </v>
      </c>
      <c r="AO911" s="80" t="str">
        <f>IFERROR(__xludf.DUMMYFUNCTION("""COMPUTED_VALUE"""),"0904260034049")</f>
        <v>0904260034049</v>
      </c>
      <c r="AP911" s="80" t="str">
        <f>IFERROR(__xludf.DUMMYFUNCTION("""COMPUTED_VALUE"""),"0904260034049")</f>
        <v>0904260034049</v>
      </c>
      <c r="AQ911" s="83" t="str">
        <f>IFERROR(__xludf.DUMMYFUNCTION("""COMPUTED_VALUE"""),"BCA / 1390375669 / EVLIN HITMAULI SINAGA")</f>
        <v>BCA / 1390375669 / EVLIN HITMAULI SINAGA</v>
      </c>
      <c r="AR911" s="80"/>
      <c r="AS911" s="80"/>
      <c r="AT911" s="80" t="str">
        <f>IFERROR(__xludf.DUMMYFUNCTION("""COMPUTED_VALUE"""),"-6.8996958")</f>
        <v>-6.8996958</v>
      </c>
      <c r="AU911" s="80" t="str">
        <f>IFERROR(__xludf.DUMMYFUNCTION("""COMPUTED_VALUE"""),"107.5499506")</f>
        <v>107.5499506</v>
      </c>
      <c r="AV911" s="80"/>
      <c r="AW911" s="80"/>
      <c r="AX911" s="80"/>
      <c r="AY911" s="80"/>
      <c r="AZ911" s="80"/>
      <c r="BA911" s="80"/>
      <c r="BB911" s="80"/>
      <c r="BC911" s="80"/>
      <c r="BD911" s="80"/>
      <c r="BE911" s="80"/>
      <c r="BF911" s="80"/>
      <c r="BG911" s="80"/>
      <c r="BH911" s="80"/>
      <c r="BI911" s="80"/>
      <c r="BJ911" s="80"/>
      <c r="BK911" s="80"/>
      <c r="BL911" s="80"/>
      <c r="BM911" s="80"/>
      <c r="BN911" s="80"/>
      <c r="BO911" s="80"/>
      <c r="BP911" s="80"/>
      <c r="BQ911" s="80"/>
      <c r="BR911" s="80"/>
      <c r="BS911" s="80"/>
      <c r="BT911" s="80"/>
      <c r="BU911" s="80"/>
      <c r="BV911" s="80"/>
      <c r="BW911" s="80"/>
      <c r="BX911" s="80" t="str">
        <f>IFERROR(__xludf.DUMMYFUNCTION("""COMPUTED_VALUE"""),"MULTIKURIR - LION PARCEL")</f>
        <v>MULTIKURIR - LION PARCEL</v>
      </c>
      <c r="BY911" s="80"/>
      <c r="BZ911" s="80"/>
      <c r="CA911" s="80"/>
      <c r="CB911" s="80"/>
      <c r="CC911" s="80"/>
      <c r="CD911" s="80"/>
      <c r="CE911" s="80"/>
      <c r="CF911" s="80"/>
      <c r="CG911" s="80"/>
      <c r="CH911" s="80"/>
      <c r="CI911" s="80"/>
      <c r="CJ911" s="80"/>
      <c r="CK911" s="2"/>
    </row>
    <row r="912" ht="12.75" customHeight="1">
      <c r="A912" s="85">
        <f>IFERROR(__xludf.DUMMYFUNCTION("""COMPUTED_VALUE"""),908.0)</f>
        <v>908</v>
      </c>
      <c r="B912" s="85"/>
      <c r="C912" s="85"/>
      <c r="D912" s="86">
        <f>IFERROR(__xludf.DUMMYFUNCTION("""COMPUTED_VALUE"""),46122.0)</f>
        <v>46122</v>
      </c>
      <c r="E912" s="88"/>
      <c r="F912" s="85"/>
      <c r="G912" s="86"/>
      <c r="H912" s="85"/>
      <c r="I912" s="85"/>
      <c r="J912" s="85"/>
      <c r="K912" s="85"/>
      <c r="L912" s="85"/>
      <c r="M912" s="85" t="str">
        <f>IFERROR(__xludf.DUMMYFUNCTION("""COMPUTED_VALUE"""),"ü")</f>
        <v>ü</v>
      </c>
      <c r="N912" s="85"/>
      <c r="O912" s="85"/>
      <c r="P912" s="85" t="str">
        <f>IFERROR(__xludf.DUMMYFUNCTION("""COMPUTED_VALUE"""),"53BSPA09959JBEEN")</f>
        <v>53BSPA09959JBEEN</v>
      </c>
      <c r="Q912" s="85" t="str">
        <f>IFERROR(__xludf.DUMMYFUNCTION("""COMPUTED_VALUE"""),"MUC TELAJUNG SETU")</f>
        <v>MUC TELAJUNG SETU</v>
      </c>
      <c r="R912" s="85" t="str">
        <f>IFERROR(__xludf.DUMMYFUNCTION("""COMPUTED_VALUE"""),"MUC TELAJUNG SETU")</f>
        <v>MUC TELAJUNG SETU</v>
      </c>
      <c r="S912" s="85" t="str">
        <f>IFERROR(__xludf.DUMMYFUNCTION("""COMPUTED_VALUE"""),"GUNTUR")</f>
        <v>GUNTUR</v>
      </c>
      <c r="T912" s="85" t="str">
        <f>IFERROR(__xludf.DUMMYFUNCTION("""COMPUTED_VALUE"""),"KP SELANG CAU RT.003 RW.013, WANASARI, CIBITUNG KAB. BEKASI JAWA BARAT")</f>
        <v>KP SELANG CAU RT.003 RW.013, WANASARI, CIBITUNG KAB. BEKASI JAWA BARAT</v>
      </c>
      <c r="U912" s="85" t="str">
        <f>IFERROR(__xludf.DUMMYFUNCTION("""COMPUTED_VALUE"""),"Jl. Raya Setu")</f>
        <v>Jl. Raya Setu</v>
      </c>
      <c r="V912" s="85"/>
      <c r="W912" s="85" t="str">
        <f>IFERROR(__xludf.DUMMYFUNCTION("""COMPUTED_VALUE"""),"Lubangbuaya")</f>
        <v>Lubangbuaya</v>
      </c>
      <c r="X912" s="85" t="str">
        <f>IFERROR(__xludf.DUMMYFUNCTION("""COMPUTED_VALUE"""),"Setu")</f>
        <v>Setu</v>
      </c>
      <c r="Y912" s="85" t="str">
        <f>IFERROR(__xludf.DUMMYFUNCTION("""COMPUTED_VALUE"""),"Kabupaten Bekasi")</f>
        <v>Kabupaten Bekasi</v>
      </c>
      <c r="Z912" s="85" t="str">
        <f>IFERROR(__xludf.DUMMYFUNCTION("""COMPUTED_VALUE"""),"Jawa Barat")</f>
        <v>Jawa Barat</v>
      </c>
      <c r="AA912" s="85" t="str">
        <f>IFERROR(__xludf.DUMMYFUNCTION("""COMPUTED_VALUE"""),"17320")</f>
        <v>17320</v>
      </c>
      <c r="AB912" s="85" t="str">
        <f>IFERROR(__xludf.DUMMYFUNCTION("""COMPUTED_VALUE"""),"3216072412990014")</f>
        <v>3216072412990014</v>
      </c>
      <c r="AC912" s="85" t="str">
        <f>IFERROR(__xludf.DUMMYFUNCTION("""COMPUTED_VALUE"""),"85.069.659.2-435.000")</f>
        <v>85.069.659.2-435.000</v>
      </c>
      <c r="AD912" s="85" t="str">
        <f>IFERROR(__xludf.DUMMYFUNCTION("""COMPUTED_VALUE"""),"CUM - EEN")</f>
        <v>CUM - EEN</v>
      </c>
      <c r="AE912" s="85" t="str">
        <f>IFERROR(__xludf.DUMMYFUNCTION("""COMPUTED_VALUE"""),"SUB EEN")</f>
        <v>SUB EEN</v>
      </c>
      <c r="AF912" s="85" t="str">
        <f>IFERROR(__xludf.DUMMYFUNCTION("""COMPUTED_VALUE"""),"0881025020806")</f>
        <v>0881025020806</v>
      </c>
      <c r="AG912" s="85"/>
      <c r="AH912" s="85" t="str">
        <f>IFERROR(__xludf.DUMMYFUNCTION("""COMPUTED_VALUE"""),"gunturrgunturr80@gmail.com")</f>
        <v>gunturrgunturr80@gmail.com</v>
      </c>
      <c r="AI912" s="85"/>
      <c r="AJ912" s="85"/>
      <c r="AK912" s="85"/>
      <c r="AL912" s="85"/>
      <c r="AM912" s="85" t="str">
        <f>IFERROR(__xludf.DUMMYFUNCTION("""COMPUTED_VALUE"""),"KANTOR REGIONAL II JAKARTA 10004")</f>
        <v>KANTOR REGIONAL II JAKARTA 10004</v>
      </c>
      <c r="AN912" s="85" t="str">
        <f>IFERROR(__xludf.DUMMYFUNCTION("""COMPUTED_VALUE"""),"KC CIKARANG 17500")</f>
        <v>KC CIKARANG 17500</v>
      </c>
      <c r="AO912" s="85" t="str">
        <f>IFERROR(__xludf.DUMMYFUNCTION("""COMPUTED_VALUE"""),"MENYUSUL")</f>
        <v>MENYUSUL</v>
      </c>
      <c r="AP912" s="85" t="str">
        <f>IFERROR(__xludf.DUMMYFUNCTION("""COMPUTED_VALUE"""),"MENYUSUL")</f>
        <v>MENYUSUL</v>
      </c>
      <c r="AQ912" s="93" t="str">
        <f>IFERROR(__xludf.DUMMYFUNCTION("""COMPUTED_VALUE"""),"BCA / 5776429020 / GUNTUR")</f>
        <v>BCA / 5776429020 / GUNTUR</v>
      </c>
      <c r="AR912" s="85"/>
      <c r="AS912" s="85"/>
      <c r="AT912" s="85" t="str">
        <f>IFERROR(__xludf.DUMMYFUNCTION("""COMPUTED_VALUE"""),"-6.334342")</f>
        <v>-6.334342</v>
      </c>
      <c r="AU912" s="85" t="str">
        <f>IFERROR(__xludf.DUMMYFUNCTION("""COMPUTED_VALUE"""),"107.0462799")</f>
        <v>107.0462799</v>
      </c>
      <c r="AV912" s="85"/>
      <c r="AW912" s="85"/>
      <c r="AX912" s="85"/>
      <c r="AY912" s="85"/>
      <c r="AZ912" s="85"/>
      <c r="BA912" s="85"/>
      <c r="BB912" s="85"/>
      <c r="BC912" s="85"/>
      <c r="BD912" s="85"/>
      <c r="BE912" s="85"/>
      <c r="BF912" s="85"/>
      <c r="BG912" s="85"/>
      <c r="BH912" s="85"/>
      <c r="BI912" s="85"/>
      <c r="BJ912" s="85"/>
      <c r="BK912" s="85"/>
      <c r="BL912" s="85"/>
      <c r="BM912" s="85"/>
      <c r="BN912" s="85"/>
      <c r="BO912" s="85"/>
      <c r="BP912" s="85"/>
      <c r="BQ912" s="85"/>
      <c r="BR912" s="85"/>
      <c r="BS912" s="85"/>
      <c r="BT912" s="85"/>
      <c r="BU912" s="85"/>
      <c r="BV912" s="85"/>
      <c r="BW912" s="85"/>
      <c r="BX912" s="85" t="str">
        <f>IFERROR(__xludf.DUMMYFUNCTION("""COMPUTED_VALUE"""),"MULTIKURIR - LION PARCEL")</f>
        <v>MULTIKURIR - LION PARCEL</v>
      </c>
      <c r="BY912" s="85"/>
      <c r="BZ912" s="85"/>
      <c r="CA912" s="85"/>
      <c r="CB912" s="85"/>
      <c r="CC912" s="85"/>
      <c r="CD912" s="85"/>
      <c r="CE912" s="85"/>
      <c r="CF912" s="85"/>
      <c r="CG912" s="85"/>
      <c r="CH912" s="85"/>
      <c r="CI912" s="85"/>
      <c r="CJ912" s="85"/>
      <c r="CK912" s="2"/>
    </row>
    <row r="913" ht="12.75" customHeight="1">
      <c r="A913" s="80">
        <f>IFERROR(__xludf.DUMMYFUNCTION("""COMPUTED_VALUE"""),909.0)</f>
        <v>909</v>
      </c>
      <c r="B913" s="80"/>
      <c r="C913" s="80"/>
      <c r="D913" s="81">
        <f>IFERROR(__xludf.DUMMYFUNCTION("""COMPUTED_VALUE"""),46122.0)</f>
        <v>46122</v>
      </c>
      <c r="E913" s="82"/>
      <c r="F913" s="80"/>
      <c r="G913" s="81">
        <f>IFERROR(__xludf.DUMMYFUNCTION("""COMPUTED_VALUE"""),46272.0)</f>
        <v>46272</v>
      </c>
      <c r="H913" s="80"/>
      <c r="I913" s="80"/>
      <c r="J913" s="80"/>
      <c r="K913" s="80"/>
      <c r="L913" s="80">
        <f>IFERROR(__xludf.DUMMYFUNCTION("""COMPUTED_VALUE"""),150.0)</f>
        <v>150</v>
      </c>
      <c r="M913" s="80" t="str">
        <f>IFERROR(__xludf.DUMMYFUNCTION("""COMPUTED_VALUE"""),"ü")</f>
        <v>ü</v>
      </c>
      <c r="N913" s="80"/>
      <c r="O913" s="80"/>
      <c r="P913" s="80" t="str">
        <f>IFERROR(__xludf.DUMMYFUNCTION("""COMPUTED_VALUE"""),"53BSPA09916JBNDS ")</f>
        <v>53BSPA09916JBNDS </v>
      </c>
      <c r="Q913" s="80" t="str">
        <f>IFERROR(__xludf.DUMMYFUNCTION("""COMPUTED_VALUE"""),"MUC AL BAROKAH 1020")</f>
        <v>MUC AL BAROKAH 1020</v>
      </c>
      <c r="R913" s="80" t="str">
        <f>IFERROR(__xludf.DUMMYFUNCTION("""COMPUTED_VALUE"""),"MUC AL BAROKAH 1020")</f>
        <v>MUC AL BAROKAH 1020</v>
      </c>
      <c r="S913" s="80" t="str">
        <f>IFERROR(__xludf.DUMMYFUNCTION("""COMPUTED_VALUE"""),"WANITO ")</f>
        <v>WANITO </v>
      </c>
      <c r="T913" s="80" t="str">
        <f>IFERROR(__xludf.DUMMYFUNCTION("""COMPUTED_VALUE"""),"BLOK TENGAH RT.010 RW.003, LORBENER LOR, JATIBARANG, KAB. INDRAMAYU, JAWA BARAT")</f>
        <v>BLOK TENGAH RT.010 RW.003, LORBENER LOR, JATIBARANG, KAB. INDRAMAYU, JAWA BARAT</v>
      </c>
      <c r="U913" s="80" t="str">
        <f>IFERROR(__xludf.DUMMYFUNCTION("""COMPUTED_VALUE"""),"Desa Ujungaris, Blok Buyut No.03, RT.02, ")</f>
        <v>Desa Ujungaris, Blok Buyut No.03, RT.02, </v>
      </c>
      <c r="V913" s="80"/>
      <c r="W913" s="80" t="str">
        <f>IFERROR(__xludf.DUMMYFUNCTION("""COMPUTED_VALUE"""),"Kesrot ")</f>
        <v>Kesrot </v>
      </c>
      <c r="X913" s="80" t="str">
        <f>IFERROR(__xludf.DUMMYFUNCTION("""COMPUTED_VALUE"""),"Widasari")</f>
        <v>Widasari</v>
      </c>
      <c r="Y913" s="80" t="str">
        <f>IFERROR(__xludf.DUMMYFUNCTION("""COMPUTED_VALUE"""),"Indramayu")</f>
        <v>Indramayu</v>
      </c>
      <c r="Z913" s="80" t="str">
        <f>IFERROR(__xludf.DUMMYFUNCTION("""COMPUTED_VALUE"""),"Jawa Barat")</f>
        <v>Jawa Barat</v>
      </c>
      <c r="AA913" s="80" t="str">
        <f>IFERROR(__xludf.DUMMYFUNCTION("""COMPUTED_VALUE"""),"45271")</f>
        <v>45271</v>
      </c>
      <c r="AB913" s="80" t="str">
        <f>IFERROR(__xludf.DUMMYFUNCTION("""COMPUTED_VALUE"""),"3212071002830009")</f>
        <v>3212071002830009</v>
      </c>
      <c r="AC913" s="80" t="str">
        <f>IFERROR(__xludf.DUMMYFUNCTION("""COMPUTED_VALUE"""),"35.455.207.7-437.000")</f>
        <v>35.455.207.7-437.000</v>
      </c>
      <c r="AD913" s="80" t="str">
        <f>IFERROR(__xludf.DUMMYFUNCTION("""COMPUTED_VALUE"""),"CUM - NDS")</f>
        <v>CUM - NDS</v>
      </c>
      <c r="AE913" s="80" t="str">
        <f>IFERROR(__xludf.DUMMYFUNCTION("""COMPUTED_VALUE"""),"SUB NURUL DIMAS")</f>
        <v>SUB NURUL DIMAS</v>
      </c>
      <c r="AF913" s="80" t="str">
        <f>IFERROR(__xludf.DUMMYFUNCTION("""COMPUTED_VALUE"""),"081802355803")</f>
        <v>081802355803</v>
      </c>
      <c r="AG913" s="80"/>
      <c r="AH913" s="80" t="str">
        <f>IFERROR(__xludf.DUMMYFUNCTION("""COMPUTED_VALUE"""),"otekhan@gmail.com")</f>
        <v>otekhan@gmail.com</v>
      </c>
      <c r="AI913" s="80" t="str">
        <f>IFERROR(__xludf.DUMMYFUNCTION("""COMPUTED_VALUE"""),"45271S1")</f>
        <v>45271S1</v>
      </c>
      <c r="AJ913" s="80" t="str">
        <f>IFERROR(__xludf.DUMMYFUNCTION("""COMPUTED_VALUE"""),"6a9bc57b2bd504620a026978")</f>
        <v>6a9bc57b2bd504620a026978</v>
      </c>
      <c r="AK913" s="80" t="str">
        <f>IFERROR(__xludf.DUMMYFUNCTION("""COMPUTED_VALUE"""),"otekhan@gmail.com")</f>
        <v>otekhan@gmail.com</v>
      </c>
      <c r="AL913" s="80" t="str">
        <f>IFERROR(__xludf.DUMMYFUNCTION("""COMPUTED_VALUE"""),"#Muc45271S1$")</f>
        <v>#Muc45271S1$</v>
      </c>
      <c r="AM913" s="80" t="str">
        <f>IFERROR(__xludf.DUMMYFUNCTION("""COMPUTED_VALUE"""),"KANTOR REGIONAL III BANDUNG 40004")</f>
        <v>KANTOR REGIONAL III BANDUNG 40004</v>
      </c>
      <c r="AN913" s="80" t="str">
        <f>IFERROR(__xludf.DUMMYFUNCTION("""COMPUTED_VALUE"""),"KC INDRAMAYU")</f>
        <v>KC INDRAMAYU</v>
      </c>
      <c r="AO913" s="80" t="str">
        <f>IFERROR(__xludf.DUMMYFUNCTION("""COMPUTED_VALUE"""),"MENYUSUL")</f>
        <v>MENYUSUL</v>
      </c>
      <c r="AP913" s="80" t="str">
        <f>IFERROR(__xludf.DUMMYFUNCTION("""COMPUTED_VALUE"""),"MENYUSUL")</f>
        <v>MENYUSUL</v>
      </c>
      <c r="AQ913" s="83" t="str">
        <f>IFERROR(__xludf.DUMMYFUNCTION("""COMPUTED_VALUE"""),"seabank / 901727225775 / Wanito")</f>
        <v>seabank / 901727225775 / Wanito</v>
      </c>
      <c r="AR913" s="80"/>
      <c r="AS913" s="80"/>
      <c r="AT913" s="80" t="str">
        <f>IFERROR(__xludf.DUMMYFUNCTION("""COMPUTED_VALUE"""),"-6.4591297")</f>
        <v>-6.4591297</v>
      </c>
      <c r="AU913" s="80" t="str">
        <f>IFERROR(__xludf.DUMMYFUNCTION("""COMPUTED_VALUE"""),"108.286242")</f>
        <v>108.286242</v>
      </c>
      <c r="AV913" s="80"/>
      <c r="AW913" s="80"/>
      <c r="AX913" s="80"/>
      <c r="AY913" s="80"/>
      <c r="AZ913" s="80"/>
      <c r="BA913" s="80"/>
      <c r="BB913" s="80"/>
      <c r="BC913" s="80"/>
      <c r="BD913" s="80"/>
      <c r="BE913" s="80"/>
      <c r="BF913" s="80"/>
      <c r="BG913" s="80"/>
      <c r="BH913" s="80"/>
      <c r="BI913" s="80"/>
      <c r="BJ913" s="80"/>
      <c r="BK913" s="80"/>
      <c r="BL913" s="80"/>
      <c r="BM913" s="80"/>
      <c r="BN913" s="80"/>
      <c r="BO913" s="80"/>
      <c r="BP913" s="80"/>
      <c r="BQ913" s="80"/>
      <c r="BR913" s="80"/>
      <c r="BS913" s="80"/>
      <c r="BT913" s="80"/>
      <c r="BU913" s="80"/>
      <c r="BV913" s="80"/>
      <c r="BW913" s="80"/>
      <c r="BX913" s="80" t="str">
        <f>IFERROR(__xludf.DUMMYFUNCTION("""COMPUTED_VALUE"""),"NEWBIE")</f>
        <v>NEWBIE</v>
      </c>
      <c r="BY913" s="80"/>
      <c r="BZ913" s="80"/>
      <c r="CA913" s="80"/>
      <c r="CB913" s="80"/>
      <c r="CC913" s="80"/>
      <c r="CD913" s="80"/>
      <c r="CE913" s="80"/>
      <c r="CF913" s="80"/>
      <c r="CG913" s="80"/>
      <c r="CH913" s="80"/>
      <c r="CI913" s="80"/>
      <c r="CJ913" s="80"/>
      <c r="CK913" s="2"/>
    </row>
    <row r="914" ht="12.75" customHeight="1">
      <c r="A914" s="85">
        <f>IFERROR(__xludf.DUMMYFUNCTION("""COMPUTED_VALUE"""),910.0)</f>
        <v>910</v>
      </c>
      <c r="B914" s="85"/>
      <c r="C914" s="85"/>
      <c r="D914" s="86">
        <f>IFERROR(__xludf.DUMMYFUNCTION("""COMPUTED_VALUE"""),46126.0)</f>
        <v>46126</v>
      </c>
      <c r="E914" s="88"/>
      <c r="F914" s="85"/>
      <c r="G914" s="86">
        <f>IFERROR(__xludf.DUMMYFUNCTION("""COMPUTED_VALUE"""),46139.0)</f>
        <v>46139</v>
      </c>
      <c r="H914" s="85"/>
      <c r="I914" s="85"/>
      <c r="J914" s="85"/>
      <c r="K914" s="85"/>
      <c r="L914" s="85">
        <f>IFERROR(__xludf.DUMMYFUNCTION("""COMPUTED_VALUE"""),13.0)</f>
        <v>13</v>
      </c>
      <c r="M914" s="85" t="str">
        <f>IFERROR(__xludf.DUMMYFUNCTION("""COMPUTED_VALUE"""),"ü")</f>
        <v>ü</v>
      </c>
      <c r="N914" s="85"/>
      <c r="O914" s="85"/>
      <c r="P914" s="85" t="str">
        <f>IFERROR(__xludf.DUMMYFUNCTION("""COMPUTED_VALUE"""),"MUCSPA63433PSIND")</f>
        <v>MUCSPA63433PSIND</v>
      </c>
      <c r="Q914" s="85" t="str">
        <f>IFERROR(__xludf.DUMMYFUNCTION("""COMPUTED_VALUE"""),"MUC GAHARU")</f>
        <v>MUC GAHARU</v>
      </c>
      <c r="R914" s="85" t="str">
        <f>IFERROR(__xludf.DUMMYFUNCTION("""COMPUTED_VALUE"""),"MUC GAHARU")</f>
        <v>MUC GAHARU</v>
      </c>
      <c r="S914" s="85" t="str">
        <f>IFERROR(__xludf.DUMMYFUNCTION("""COMPUTED_VALUE"""),"RENSISKA HANDAYANI")</f>
        <v>RENSISKA HANDAYANI</v>
      </c>
      <c r="T914" s="85" t="str">
        <f>IFERROR(__xludf.DUMMYFUNCTION("""COMPUTED_VALUE"""),"JL. GAHARU, JATI MAKMUR, BINJAI UTARA, KOTA BINJAI SUMATERA UTARA")</f>
        <v>JL. GAHARU, JATI MAKMUR, BINJAI UTARA, KOTA BINJAI SUMATERA UTARA</v>
      </c>
      <c r="U914" s="85" t="str">
        <f>IFERROR(__xludf.DUMMYFUNCTION("""COMPUTED_VALUE"""),"Jln Gaharu Lingk V ")</f>
        <v>Jln Gaharu Lingk V </v>
      </c>
      <c r="V914" s="85"/>
      <c r="W914" s="85" t="str">
        <f>IFERROR(__xludf.DUMMYFUNCTION("""COMPUTED_VALUE"""),"Jati Makmur")</f>
        <v>Jati Makmur</v>
      </c>
      <c r="X914" s="85" t="str">
        <f>IFERROR(__xludf.DUMMYFUNCTION("""COMPUTED_VALUE"""),"Binjai Utara")</f>
        <v>Binjai Utara</v>
      </c>
      <c r="Y914" s="85" t="str">
        <f>IFERROR(__xludf.DUMMYFUNCTION("""COMPUTED_VALUE"""),"Kota Binjai")</f>
        <v>Kota Binjai</v>
      </c>
      <c r="Z914" s="85" t="str">
        <f>IFERROR(__xludf.DUMMYFUNCTION("""COMPUTED_VALUE"""),"Sumatera Utara")</f>
        <v>Sumatera Utara</v>
      </c>
      <c r="AA914" s="85" t="str">
        <f>IFERROR(__xludf.DUMMYFUNCTION("""COMPUTED_VALUE"""),"20746")</f>
        <v>20746</v>
      </c>
      <c r="AB914" s="85" t="str">
        <f>IFERROR(__xludf.DUMMYFUNCTION("""COMPUTED_VALUE"""),"1275015303900009")</f>
        <v>1275015303900009</v>
      </c>
      <c r="AC914" s="85" t="str">
        <f>IFERROR(__xludf.DUMMYFUNCTION("""COMPUTED_VALUE"""),"93.585.599.9-116.000")</f>
        <v>93.585.599.9-116.000</v>
      </c>
      <c r="AD914" s="85" t="str">
        <f>IFERROR(__xludf.DUMMYFUNCTION("""COMPUTED_VALUE"""),"CUM - PS - ARFI")</f>
        <v>CUM - PS - ARFI</v>
      </c>
      <c r="AE914" s="85" t="str">
        <f>IFERROR(__xludf.DUMMYFUNCTION("""COMPUTED_VALUE"""),"SUB ARIEF POS")</f>
        <v>SUB ARIEF POS</v>
      </c>
      <c r="AF914" s="85" t="str">
        <f>IFERROR(__xludf.DUMMYFUNCTION("""COMPUTED_VALUE"""),"082255693773")</f>
        <v>082255693773</v>
      </c>
      <c r="AG914" s="85"/>
      <c r="AH914" s="85" t="str">
        <f>IFERROR(__xludf.DUMMYFUNCTION("""COMPUTED_VALUE"""),"andyarief79@gmail.com")</f>
        <v>andyarief79@gmail.com</v>
      </c>
      <c r="AI914" s="85" t="str">
        <f>IFERROR(__xludf.DUMMYFUNCTION("""COMPUTED_VALUE"""),"20748S1")</f>
        <v>20748S1</v>
      </c>
      <c r="AJ914" s="85" t="str">
        <f>IFERROR(__xludf.DUMMYFUNCTION("""COMPUTED_VALUE"""),"69ef07ddac86acc8cc07fdfd")</f>
        <v>69ef07ddac86acc8cc07fdfd</v>
      </c>
      <c r="AK914" s="85" t="str">
        <f>IFERROR(__xludf.DUMMYFUNCTION("""COMPUTED_VALUE"""),"andyarief79@gmail.com")</f>
        <v>andyarief79@gmail.com</v>
      </c>
      <c r="AL914" s="85" t="str">
        <f>IFERROR(__xludf.DUMMYFUNCTION("""COMPUTED_VALUE"""),"#Muc20748S1$")</f>
        <v>#Muc20748S1$</v>
      </c>
      <c r="AM914" s="85" t="str">
        <f>IFERROR(__xludf.DUMMYFUNCTION("""COMPUTED_VALUE"""),"KANTOR REGIONAL I MEDAN 20004")</f>
        <v>KANTOR REGIONAL I MEDAN 20004</v>
      </c>
      <c r="AN914" s="85" t="str">
        <f>IFERROR(__xludf.DUMMYFUNCTION("""COMPUTED_VALUE"""),"KC BINJAI")</f>
        <v>KC BINJAI</v>
      </c>
      <c r="AO914" s="85" t="str">
        <f>IFERROR(__xludf.DUMMYFUNCTION("""COMPUTED_VALUE"""),"2407250039654")</f>
        <v>2407250039654</v>
      </c>
      <c r="AP914" s="85" t="str">
        <f>IFERROR(__xludf.DUMMYFUNCTION("""COMPUTED_VALUE"""),"24072500396540001")</f>
        <v>24072500396540001</v>
      </c>
      <c r="AQ914" s="93" t="str">
        <f>IFERROR(__xludf.DUMMYFUNCTION("""COMPUTED_VALUE"""),"Pospay / 0188852230 / RENSISKA HANDAYANI")</f>
        <v>Pospay / 0188852230 / RENSISKA HANDAYANI</v>
      </c>
      <c r="AR914" s="85"/>
      <c r="AS914" s="85"/>
      <c r="AT914" s="85" t="str">
        <f>IFERROR(__xludf.DUMMYFUNCTION("""COMPUTED_VALUE"""),"3.635779")</f>
        <v>3.635779</v>
      </c>
      <c r="AU914" s="85" t="str">
        <f>IFERROR(__xludf.DUMMYFUNCTION("""COMPUTED_VALUE"""),"98.508126")</f>
        <v>98.508126</v>
      </c>
      <c r="AV914" s="85"/>
      <c r="AW914" s="85"/>
      <c r="AX914" s="85"/>
      <c r="AY914" s="85"/>
      <c r="AZ914" s="85"/>
      <c r="BA914" s="85"/>
      <c r="BB914" s="85"/>
      <c r="BC914" s="85"/>
      <c r="BD914" s="85"/>
      <c r="BE914" s="85"/>
      <c r="BF914" s="85"/>
      <c r="BG914" s="85"/>
      <c r="BH914" s="85"/>
      <c r="BI914" s="85"/>
      <c r="BJ914" s="85"/>
      <c r="BK914" s="85"/>
      <c r="BL914" s="85"/>
      <c r="BM914" s="85"/>
      <c r="BN914" s="85"/>
      <c r="BO914" s="85"/>
      <c r="BP914" s="85"/>
      <c r="BQ914" s="85"/>
      <c r="BR914" s="85"/>
      <c r="BS914" s="85"/>
      <c r="BT914" s="85"/>
      <c r="BU914" s="85"/>
      <c r="BV914" s="85"/>
      <c r="BW914" s="85"/>
      <c r="BX914" s="85" t="str">
        <f>IFERROR(__xludf.DUMMYFUNCTION("""COMPUTED_VALUE"""),"NEWBIE")</f>
        <v>NEWBIE</v>
      </c>
      <c r="BY914" s="85"/>
      <c r="BZ914" s="85"/>
      <c r="CA914" s="85"/>
      <c r="CB914" s="85"/>
      <c r="CC914" s="85"/>
      <c r="CD914" s="85"/>
      <c r="CE914" s="85"/>
      <c r="CF914" s="85"/>
      <c r="CG914" s="85"/>
      <c r="CH914" s="85"/>
      <c r="CI914" s="85"/>
      <c r="CJ914" s="85"/>
      <c r="CK914" s="2"/>
    </row>
    <row r="915" ht="12.75" customHeight="1">
      <c r="A915" s="80">
        <f>IFERROR(__xludf.DUMMYFUNCTION("""COMPUTED_VALUE"""),911.0)</f>
        <v>911</v>
      </c>
      <c r="B915" s="80"/>
      <c r="C915" s="80"/>
      <c r="D915" s="81">
        <f>IFERROR(__xludf.DUMMYFUNCTION("""COMPUTED_VALUE"""),46126.0)</f>
        <v>46126</v>
      </c>
      <c r="E915" s="82"/>
      <c r="F915" s="80"/>
      <c r="G915" s="81"/>
      <c r="H915" s="80"/>
      <c r="I915" s="80"/>
      <c r="J915" s="80"/>
      <c r="K915" s="80"/>
      <c r="L915" s="80"/>
      <c r="M915" s="80" t="str">
        <f>IFERROR(__xludf.DUMMYFUNCTION("""COMPUTED_VALUE"""),"ü")</f>
        <v>ü</v>
      </c>
      <c r="N915" s="80"/>
      <c r="O915" s="80"/>
      <c r="P915" s="80" t="str">
        <f>IFERROR(__xludf.DUMMYFUNCTION("""COMPUTED_VALUE"""),"MUCSPA63434PSIND")</f>
        <v>MUCSPA63434PSIND</v>
      </c>
      <c r="Q915" s="80" t="str">
        <f>IFERROR(__xludf.DUMMYFUNCTION("""COMPUTED_VALUE"""),"MUC INUNG")</f>
        <v>MUC INUNG</v>
      </c>
      <c r="R915" s="80" t="str">
        <f>IFERROR(__xludf.DUMMYFUNCTION("""COMPUTED_VALUE"""),"MUC INUNG")</f>
        <v>MUC INUNG</v>
      </c>
      <c r="S915" s="80" t="str">
        <f>IFERROR(__xludf.DUMMYFUNCTION("""COMPUTED_VALUE"""),"NUR AZIZAH")</f>
        <v>NUR AZIZAH</v>
      </c>
      <c r="T915" s="80" t="str">
        <f>IFERROR(__xludf.DUMMYFUNCTION("""COMPUTED_VALUE"""),"JL. KAMBOJA 1/CD1 NO.23 MJI RT.009 RW.011, MANGUNJAYA, TAMBUN SELATAN, KAB. BEKASI")</f>
        <v>JL. KAMBOJA 1/CD1 NO.23 MJI RT.009 RW.011, MANGUNJAYA, TAMBUN SELATAN, KAB. BEKASI</v>
      </c>
      <c r="U915" s="80" t="str">
        <f>IFERROR(__xludf.DUMMYFUNCTION("""COMPUTED_VALUE"""),"Jl. Villa Bekasi Indah No.78, Kp.Gongrong, Ds, Jl. Jalen Raya")</f>
        <v>Jl. Villa Bekasi Indah No.78, Kp.Gongrong, Ds, Jl. Jalen Raya</v>
      </c>
      <c r="V915" s="80"/>
      <c r="W915" s="80" t="str">
        <f>IFERROR(__xludf.DUMMYFUNCTION("""COMPUTED_VALUE"""),"Jejalenjaya")</f>
        <v>Jejalenjaya</v>
      </c>
      <c r="X915" s="80" t="str">
        <f>IFERROR(__xludf.DUMMYFUNCTION("""COMPUTED_VALUE"""),"Tambun Utara")</f>
        <v>Tambun Utara</v>
      </c>
      <c r="Y915" s="80" t="str">
        <f>IFERROR(__xludf.DUMMYFUNCTION("""COMPUTED_VALUE"""),"Kabupaten Bekasi")</f>
        <v>Kabupaten Bekasi</v>
      </c>
      <c r="Z915" s="80" t="str">
        <f>IFERROR(__xludf.DUMMYFUNCTION("""COMPUTED_VALUE"""),"Jawa Barat ")</f>
        <v>Jawa Barat </v>
      </c>
      <c r="AA915" s="80" t="str">
        <f>IFERROR(__xludf.DUMMYFUNCTION("""COMPUTED_VALUE"""),"17510")</f>
        <v>17510</v>
      </c>
      <c r="AB915" s="80" t="str">
        <f>IFERROR(__xludf.DUMMYFUNCTION("""COMPUTED_VALUE"""),";3216066002850019")</f>
        <v>;3216066002850019</v>
      </c>
      <c r="AC915" s="80" t="str">
        <f>IFERROR(__xludf.DUMMYFUNCTION("""COMPUTED_VALUE"""),"45.131.255.7-435.000")</f>
        <v>45.131.255.7-435.000</v>
      </c>
      <c r="AD915" s="80" t="str">
        <f>IFERROR(__xludf.DUMMYFUNCTION("""COMPUTED_VALUE"""),"CUM - PS - JMN")</f>
        <v>CUM - PS - JMN</v>
      </c>
      <c r="AE915" s="80" t="str">
        <f>IFERROR(__xludf.DUMMYFUNCTION("""COMPUTED_VALUE"""),"SUB JAMJAM POS")</f>
        <v>SUB JAMJAM POS</v>
      </c>
      <c r="AF915" s="80" t="str">
        <f>IFERROR(__xludf.DUMMYFUNCTION("""COMPUTED_VALUE"""),"08567700969")</f>
        <v>08567700969</v>
      </c>
      <c r="AG915" s="80"/>
      <c r="AH915" s="80" t="str">
        <f>IFERROR(__xludf.DUMMYFUNCTION("""COMPUTED_VALUE"""),"nunugnoenk@gmail.com")</f>
        <v>nunugnoenk@gmail.com</v>
      </c>
      <c r="AI915" s="80"/>
      <c r="AJ915" s="80"/>
      <c r="AK915" s="80"/>
      <c r="AL915" s="80"/>
      <c r="AM915" s="80" t="str">
        <f>IFERROR(__xludf.DUMMYFUNCTION("""COMPUTED_VALUE"""),"KANTOR REGIONAL II JAKARTA 10004")</f>
        <v>KANTOR REGIONAL II JAKARTA 10004</v>
      </c>
      <c r="AN915" s="80" t="str">
        <f>IFERROR(__xludf.DUMMYFUNCTION("""COMPUTED_VALUE"""),"KC CIKARANG 17500")</f>
        <v>KC CIKARANG 17500</v>
      </c>
      <c r="AO915" s="80" t="str">
        <f>IFERROR(__xludf.DUMMYFUNCTION("""COMPUTED_VALUE"""),"1404260041774")</f>
        <v>1404260041774</v>
      </c>
      <c r="AP915" s="80" t="str">
        <f>IFERROR(__xludf.DUMMYFUNCTION("""COMPUTED_VALUE"""),"14042600417740001")</f>
        <v>14042600417740001</v>
      </c>
      <c r="AQ915" s="83" t="str">
        <f>IFERROR(__xludf.DUMMYFUNCTION("""COMPUTED_VALUE"""),"MANDIRI / 1560019655010 / Nur Azizah")</f>
        <v>MANDIRI / 1560019655010 / Nur Azizah</v>
      </c>
      <c r="AR915" s="80"/>
      <c r="AS915" s="80"/>
      <c r="AT915" s="80" t="str">
        <f>IFERROR(__xludf.DUMMYFUNCTION("""COMPUTED_VALUE"""),"-6.224707")</f>
        <v>-6.224707</v>
      </c>
      <c r="AU915" s="80" t="str">
        <f>IFERROR(__xludf.DUMMYFUNCTION("""COMPUTED_VALUE"""),"107.066383")</f>
        <v>107.066383</v>
      </c>
      <c r="AV915" s="80"/>
      <c r="AW915" s="80"/>
      <c r="AX915" s="80"/>
      <c r="AY915" s="80"/>
      <c r="AZ915" s="80"/>
      <c r="BA915" s="80"/>
      <c r="BB915" s="80"/>
      <c r="BC915" s="80"/>
      <c r="BD915" s="80"/>
      <c r="BE915" s="80"/>
      <c r="BF915" s="80"/>
      <c r="BG915" s="80"/>
      <c r="BH915" s="80"/>
      <c r="BI915" s="80"/>
      <c r="BJ915" s="80"/>
      <c r="BK915" s="80"/>
      <c r="BL915" s="80"/>
      <c r="BM915" s="80"/>
      <c r="BN915" s="80"/>
      <c r="BO915" s="80"/>
      <c r="BP915" s="80"/>
      <c r="BQ915" s="80"/>
      <c r="BR915" s="80"/>
      <c r="BS915" s="80"/>
      <c r="BT915" s="80"/>
      <c r="BU915" s="80"/>
      <c r="BV915" s="80"/>
      <c r="BW915" s="80"/>
      <c r="BX915" s="80" t="str">
        <f>IFERROR(__xludf.DUMMYFUNCTION("""COMPUTED_VALUE"""),"NEWBIE")</f>
        <v>NEWBIE</v>
      </c>
      <c r="BY915" s="80"/>
      <c r="BZ915" s="80"/>
      <c r="CA915" s="80"/>
      <c r="CB915" s="80"/>
      <c r="CC915" s="80"/>
      <c r="CD915" s="80"/>
      <c r="CE915" s="80"/>
      <c r="CF915" s="80"/>
      <c r="CG915" s="80"/>
      <c r="CH915" s="80"/>
      <c r="CI915" s="80"/>
      <c r="CJ915" s="80"/>
      <c r="CK915" s="2"/>
    </row>
    <row r="916" ht="12.75" customHeight="1">
      <c r="A916" s="85">
        <f>IFERROR(__xludf.DUMMYFUNCTION("""COMPUTED_VALUE"""),912.0)</f>
        <v>912</v>
      </c>
      <c r="B916" s="85"/>
      <c r="C916" s="85"/>
      <c r="D916" s="86">
        <f>IFERROR(__xludf.DUMMYFUNCTION("""COMPUTED_VALUE"""),46126.0)</f>
        <v>46126</v>
      </c>
      <c r="E916" s="88"/>
      <c r="F916" s="85"/>
      <c r="G916" s="86">
        <f>IFERROR(__xludf.DUMMYFUNCTION("""COMPUTED_VALUE"""),46135.0)</f>
        <v>46135</v>
      </c>
      <c r="H916" s="85"/>
      <c r="I916" s="85"/>
      <c r="J916" s="85"/>
      <c r="K916" s="85"/>
      <c r="L916" s="85">
        <f>IFERROR(__xludf.DUMMYFUNCTION("""COMPUTED_VALUE"""),9.0)</f>
        <v>9</v>
      </c>
      <c r="M916" s="85" t="str">
        <f>IFERROR(__xludf.DUMMYFUNCTION("""COMPUTED_VALUE"""),"ü")</f>
        <v>ü</v>
      </c>
      <c r="N916" s="85"/>
      <c r="O916" s="85"/>
      <c r="P916" s="85" t="str">
        <f>IFERROR(__xludf.DUMMYFUNCTION("""COMPUTED_VALUE"""),"53BSPA09960JBEEN")</f>
        <v>53BSPA09960JBEEN</v>
      </c>
      <c r="Q916" s="85" t="str">
        <f>IFERROR(__xludf.DUMMYFUNCTION("""COMPUTED_VALUE"""),"MUC Grand Sukajadi")</f>
        <v>MUC Grand Sukajadi</v>
      </c>
      <c r="R916" s="85" t="str">
        <f>IFERROR(__xludf.DUMMYFUNCTION("""COMPUTED_VALUE"""),"MUC Grand Sukajadi")</f>
        <v>MUC Grand Sukajadi</v>
      </c>
      <c r="S916" s="85" t="str">
        <f>IFERROR(__xludf.DUMMYFUNCTION("""COMPUTED_VALUE"""),"JOICE FAUSTINA MULIASI")</f>
        <v>JOICE FAUSTINA MULIASI</v>
      </c>
      <c r="T916" s="85" t="str">
        <f>IFERROR(__xludf.DUMMYFUNCTION("""COMPUTED_VALUE"""),"JL KACAPIRING NO.98/122 RT.004 RW.002, KACAPIRING, BATUNUNGGAL, KOTA BANDUNG, JAWA BARAT")</f>
        <v>JL KACAPIRING NO.98/122 RT.004 RW.002, KACAPIRING, BATUNUNGGAL, KOTA BANDUNG, JAWA BARAT</v>
      </c>
      <c r="U916" s="85" t="str">
        <f>IFERROR(__xludf.DUMMYFUNCTION("""COMPUTED_VALUE"""),"Jl. Sukajadi No.88")</f>
        <v>Jl. Sukajadi No.88</v>
      </c>
      <c r="V916" s="85"/>
      <c r="W916" s="85" t="str">
        <f>IFERROR(__xludf.DUMMYFUNCTION("""COMPUTED_VALUE"""),"Pasteur")</f>
        <v>Pasteur</v>
      </c>
      <c r="X916" s="85" t="str">
        <f>IFERROR(__xludf.DUMMYFUNCTION("""COMPUTED_VALUE"""),"Sukajadi")</f>
        <v>Sukajadi</v>
      </c>
      <c r="Y916" s="85" t="str">
        <f>IFERROR(__xludf.DUMMYFUNCTION("""COMPUTED_VALUE"""),"Kota Bandung")</f>
        <v>Kota Bandung</v>
      </c>
      <c r="Z916" s="85" t="str">
        <f>IFERROR(__xludf.DUMMYFUNCTION("""COMPUTED_VALUE"""),"Jawa Barat  ")</f>
        <v>Jawa Barat  </v>
      </c>
      <c r="AA916" s="85" t="str">
        <f>IFERROR(__xludf.DUMMYFUNCTION("""COMPUTED_VALUE"""),"40162")</f>
        <v>40162</v>
      </c>
      <c r="AB916" s="85" t="str">
        <f>IFERROR(__xludf.DUMMYFUNCTION("""COMPUTED_VALUE"""),"3273125209790002")</f>
        <v>3273125209790002</v>
      </c>
      <c r="AC916" s="85" t="str">
        <f>IFERROR(__xludf.DUMMYFUNCTION("""COMPUTED_VALUE"""),"3273 1252 0979 0002")</f>
        <v>3273 1252 0979 0002</v>
      </c>
      <c r="AD916" s="85" t="str">
        <f>IFERROR(__xludf.DUMMYFUNCTION("""COMPUTED_VALUE"""),"CUM - EEN")</f>
        <v>CUM - EEN</v>
      </c>
      <c r="AE916" s="85" t="str">
        <f>IFERROR(__xludf.DUMMYFUNCTION("""COMPUTED_VALUE"""),"SUB EEN")</f>
        <v>SUB EEN</v>
      </c>
      <c r="AF916" s="85" t="str">
        <f>IFERROR(__xludf.DUMMYFUNCTION("""COMPUTED_VALUE"""),"081322127070")</f>
        <v>081322127070</v>
      </c>
      <c r="AG916" s="85"/>
      <c r="AH916" s="85" t="str">
        <f>IFERROR(__xludf.DUMMYFUNCTION("""COMPUTED_VALUE"""),"grandstorebdg@gmail.com")</f>
        <v>grandstorebdg@gmail.com</v>
      </c>
      <c r="AI916" s="85" t="str">
        <f>IFERROR(__xludf.DUMMYFUNCTION("""COMPUTED_VALUE"""),"40161S3")</f>
        <v>40161S3</v>
      </c>
      <c r="AJ916" s="85" t="str">
        <f>IFERROR(__xludf.DUMMYFUNCTION("""COMPUTED_VALUE"""),"69e9dcb2d9fe22f62407c2ff")</f>
        <v>69e9dcb2d9fe22f62407c2ff</v>
      </c>
      <c r="AK916" s="85" t="str">
        <f>IFERROR(__xludf.DUMMYFUNCTION("""COMPUTED_VALUE"""),"grandstorebdg@gmail.com")</f>
        <v>grandstorebdg@gmail.com</v>
      </c>
      <c r="AL916" s="85" t="str">
        <f>IFERROR(__xludf.DUMMYFUNCTION("""COMPUTED_VALUE"""),"#Muc40161S3$")</f>
        <v>#Muc40161S3$</v>
      </c>
      <c r="AM916" s="85" t="str">
        <f>IFERROR(__xludf.DUMMYFUNCTION("""COMPUTED_VALUE"""),"KANTOR REGIONAL III BANDUNG 40004")</f>
        <v>KANTOR REGIONAL III BANDUNG 40004</v>
      </c>
      <c r="AN916" s="85" t="str">
        <f>IFERROR(__xludf.DUMMYFUNCTION("""COMPUTED_VALUE"""),"KCU BANDUNG 40000")</f>
        <v>KCU BANDUNG 40000</v>
      </c>
      <c r="AO916" s="85" t="str">
        <f>IFERROR(__xludf.DUMMYFUNCTION("""COMPUTED_VALUE"""),"2712240026069")</f>
        <v>2712240026069</v>
      </c>
      <c r="AP916" s="85" t="str">
        <f>IFERROR(__xludf.DUMMYFUNCTION("""COMPUTED_VALUE"""),"27122400260690001")</f>
        <v>27122400260690001</v>
      </c>
      <c r="AQ916" s="93" t="str">
        <f>IFERROR(__xludf.DUMMYFUNCTION("""COMPUTED_VALUE"""),"BNI / 1909291966 / JOICE FAUSTINA MULIASI")</f>
        <v>BNI / 1909291966 / JOICE FAUSTINA MULIASI</v>
      </c>
      <c r="AR916" s="85"/>
      <c r="AS916" s="85"/>
      <c r="AT916" s="85" t="str">
        <f>IFERROR(__xludf.DUMMYFUNCTION("""COMPUTED_VALUE"""),"-6.891735")</f>
        <v>-6.891735</v>
      </c>
      <c r="AU916" s="85" t="str">
        <f>IFERROR(__xludf.DUMMYFUNCTION("""COMPUTED_VALUE"""),"107.597076")</f>
        <v>107.597076</v>
      </c>
      <c r="AV916" s="85"/>
      <c r="AW916" s="85"/>
      <c r="AX916" s="85"/>
      <c r="AY916" s="85"/>
      <c r="AZ916" s="85"/>
      <c r="BA916" s="85"/>
      <c r="BB916" s="85"/>
      <c r="BC916" s="85"/>
      <c r="BD916" s="85"/>
      <c r="BE916" s="85"/>
      <c r="BF916" s="85"/>
      <c r="BG916" s="85"/>
      <c r="BH916" s="85"/>
      <c r="BI916" s="85"/>
      <c r="BJ916" s="85"/>
      <c r="BK916" s="85"/>
      <c r="BL916" s="85"/>
      <c r="BM916" s="85"/>
      <c r="BN916" s="85"/>
      <c r="BO916" s="85"/>
      <c r="BP916" s="85"/>
      <c r="BQ916" s="85"/>
      <c r="BR916" s="85"/>
      <c r="BS916" s="85"/>
      <c r="BT916" s="85"/>
      <c r="BU916" s="85"/>
      <c r="BV916" s="85"/>
      <c r="BW916" s="85"/>
      <c r="BX916" s="85" t="str">
        <f>IFERROR(__xludf.DUMMYFUNCTION("""COMPUTED_VALUE"""),"NEWBIE")</f>
        <v>NEWBIE</v>
      </c>
      <c r="BY916" s="85"/>
      <c r="BZ916" s="85"/>
      <c r="CA916" s="85"/>
      <c r="CB916" s="85"/>
      <c r="CC916" s="85"/>
      <c r="CD916" s="85"/>
      <c r="CE916" s="85"/>
      <c r="CF916" s="85"/>
      <c r="CG916" s="85"/>
      <c r="CH916" s="85"/>
      <c r="CI916" s="85"/>
      <c r="CJ916" s="85"/>
      <c r="CK916" s="2"/>
    </row>
    <row r="917" ht="12.75" customHeight="1">
      <c r="A917" s="80">
        <f>IFERROR(__xludf.DUMMYFUNCTION("""COMPUTED_VALUE"""),913.0)</f>
        <v>913</v>
      </c>
      <c r="B917" s="80"/>
      <c r="C917" s="80"/>
      <c r="D917" s="81">
        <f>IFERROR(__xludf.DUMMYFUNCTION("""COMPUTED_VALUE"""),46126.0)</f>
        <v>46126</v>
      </c>
      <c r="E917" s="82"/>
      <c r="F917" s="80"/>
      <c r="G917" s="81"/>
      <c r="H917" s="80"/>
      <c r="I917" s="80"/>
      <c r="J917" s="80"/>
      <c r="K917" s="80"/>
      <c r="L917" s="80"/>
      <c r="M917" s="80" t="str">
        <f>IFERROR(__xludf.DUMMYFUNCTION("""COMPUTED_VALUE"""),"ü")</f>
        <v>ü</v>
      </c>
      <c r="N917" s="80"/>
      <c r="O917" s="80"/>
      <c r="P917" s="80" t="str">
        <f>IFERROR(__xludf.DUMMYFUNCTION("""COMPUTED_VALUE"""),"MUCSPA63435PSIND")</f>
        <v>MUCSPA63435PSIND</v>
      </c>
      <c r="Q917" s="80" t="str">
        <f>IFERROR(__xludf.DUMMYFUNCTION("""COMPUTED_VALUE"""),"MUC MUSTIKA WANASARI")</f>
        <v>MUC MUSTIKA WANASARI</v>
      </c>
      <c r="R917" s="80" t="str">
        <f>IFERROR(__xludf.DUMMYFUNCTION("""COMPUTED_VALUE"""),"MUC MUSTIKA WANASARI")</f>
        <v>MUC MUSTIKA WANASARI</v>
      </c>
      <c r="S917" s="80" t="str">
        <f>IFERROR(__xludf.DUMMYFUNCTION("""COMPUTED_VALUE"""),"DELA ROSITA DELVIANI")</f>
        <v>DELA ROSITA DELVIANI</v>
      </c>
      <c r="T917" s="80" t="str">
        <f>IFERROR(__xludf.DUMMYFUNCTION("""COMPUTED_VALUE"""),"KP TAMBELANG RT.009 RW.005, SUKARAPIH, TAMBELANG, KAB. BEKASI")</f>
        <v>KP TAMBELANG RT.009 RW.005, SUKARAPIH, TAMBELANG, KAB. BEKASI</v>
      </c>
      <c r="U917" s="80" t="str">
        <f>IFERROR(__xludf.DUMMYFUNCTION("""COMPUTED_VALUE"""),"Jl. Perum Mustika")</f>
        <v>Jl. Perum Mustika</v>
      </c>
      <c r="V917" s="80"/>
      <c r="W917" s="80" t="str">
        <f>IFERROR(__xludf.DUMMYFUNCTION("""COMPUTED_VALUE"""),"Wanasari")</f>
        <v>Wanasari</v>
      </c>
      <c r="X917" s="80" t="str">
        <f>IFERROR(__xludf.DUMMYFUNCTION("""COMPUTED_VALUE"""),"Cibitung")</f>
        <v>Cibitung</v>
      </c>
      <c r="Y917" s="80" t="str">
        <f>IFERROR(__xludf.DUMMYFUNCTION("""COMPUTED_VALUE"""),"Kabupaten Bekasi")</f>
        <v>Kabupaten Bekasi</v>
      </c>
      <c r="Z917" s="80" t="str">
        <f>IFERROR(__xludf.DUMMYFUNCTION("""COMPUTED_VALUE"""),"Jawa Barat ")</f>
        <v>Jawa Barat </v>
      </c>
      <c r="AA917" s="80" t="str">
        <f>IFERROR(__xludf.DUMMYFUNCTION("""COMPUTED_VALUE"""),"17520")</f>
        <v>17520</v>
      </c>
      <c r="AB917" s="80" t="str">
        <f>IFERROR(__xludf.DUMMYFUNCTION("""COMPUTED_VALUE"""),"3216045212960005")</f>
        <v>3216045212960005</v>
      </c>
      <c r="AC917" s="80" t="str">
        <f>IFERROR(__xludf.DUMMYFUNCTION("""COMPUTED_VALUE"""),"96.440.329.9-435.000")</f>
        <v>96.440.329.9-435.000</v>
      </c>
      <c r="AD917" s="80" t="str">
        <f>IFERROR(__xludf.DUMMYFUNCTION("""COMPUTED_VALUE"""),"CUM - PS - JMN")</f>
        <v>CUM - PS - JMN</v>
      </c>
      <c r="AE917" s="80" t="str">
        <f>IFERROR(__xludf.DUMMYFUNCTION("""COMPUTED_VALUE"""),"SUB JAMJAM POS")</f>
        <v>SUB JAMJAM POS</v>
      </c>
      <c r="AF917" s="80" t="str">
        <f>IFERROR(__xludf.DUMMYFUNCTION("""COMPUTED_VALUE"""),"082211370422")</f>
        <v>082211370422</v>
      </c>
      <c r="AG917" s="80"/>
      <c r="AH917" s="80" t="str">
        <f>IFERROR(__xludf.DUMMYFUNCTION("""COMPUTED_VALUE"""),"delarositadelviani@gmail.com")</f>
        <v>delarositadelviani@gmail.com</v>
      </c>
      <c r="AI917" s="80"/>
      <c r="AJ917" s="80"/>
      <c r="AK917" s="80"/>
      <c r="AL917" s="80"/>
      <c r="AM917" s="80" t="str">
        <f>IFERROR(__xludf.DUMMYFUNCTION("""COMPUTED_VALUE"""),"KANTOR REGIONAL II JAKARTA 10004")</f>
        <v>KANTOR REGIONAL II JAKARTA 10004</v>
      </c>
      <c r="AN917" s="80" t="str">
        <f>IFERROR(__xludf.DUMMYFUNCTION("""COMPUTED_VALUE"""),"KC CIKARANG 17500")</f>
        <v>KC CIKARANG 17500</v>
      </c>
      <c r="AO917" s="80" t="str">
        <f>IFERROR(__xludf.DUMMYFUNCTION("""COMPUTED_VALUE"""),"2402260057736")</f>
        <v>2402260057736</v>
      </c>
      <c r="AP917" s="80" t="str">
        <f>IFERROR(__xludf.DUMMYFUNCTION("""COMPUTED_VALUE"""),"24022600577360003")</f>
        <v>24022600577360003</v>
      </c>
      <c r="AQ917" s="83" t="str">
        <f>IFERROR(__xludf.DUMMYFUNCTION("""COMPUTED_VALUE"""),"MANDIRI / 156-00-1293266-3 / DELA ROSITA DELVIANI")</f>
        <v>MANDIRI / 156-00-1293266-3 / DELA ROSITA DELVIANI</v>
      </c>
      <c r="AR917" s="80"/>
      <c r="AS917" s="80"/>
      <c r="AT917" s="80" t="str">
        <f>IFERROR(__xludf.DUMMYFUNCTION("""COMPUTED_VALUE"""),"-6.252326")</f>
        <v>-6.252326</v>
      </c>
      <c r="AU917" s="80" t="str">
        <f>IFERROR(__xludf.DUMMYFUNCTION("""COMPUTED_VALUE"""),"107.090864")</f>
        <v>107.090864</v>
      </c>
      <c r="AV917" s="80"/>
      <c r="AW917" s="80"/>
      <c r="AX917" s="80"/>
      <c r="AY917" s="80"/>
      <c r="AZ917" s="80"/>
      <c r="BA917" s="80"/>
      <c r="BB917" s="80"/>
      <c r="BC917" s="80"/>
      <c r="BD917" s="80"/>
      <c r="BE917" s="80"/>
      <c r="BF917" s="80"/>
      <c r="BG917" s="80"/>
      <c r="BH917" s="80"/>
      <c r="BI917" s="80"/>
      <c r="BJ917" s="80"/>
      <c r="BK917" s="80"/>
      <c r="BL917" s="80"/>
      <c r="BM917" s="80"/>
      <c r="BN917" s="80"/>
      <c r="BO917" s="80"/>
      <c r="BP917" s="80"/>
      <c r="BQ917" s="80"/>
      <c r="BR917" s="80"/>
      <c r="BS917" s="80"/>
      <c r="BT917" s="80"/>
      <c r="BU917" s="80"/>
      <c r="BV917" s="80"/>
      <c r="BW917" s="80"/>
      <c r="BX917" s="80" t="str">
        <f>IFERROR(__xludf.DUMMYFUNCTION("""COMPUTED_VALUE"""),"MULTIKURIR")</f>
        <v>MULTIKURIR</v>
      </c>
      <c r="BY917" s="80"/>
      <c r="BZ917" s="80"/>
      <c r="CA917" s="80"/>
      <c r="CB917" s="80"/>
      <c r="CC917" s="80"/>
      <c r="CD917" s="80"/>
      <c r="CE917" s="80"/>
      <c r="CF917" s="80"/>
      <c r="CG917" s="80"/>
      <c r="CH917" s="80"/>
      <c r="CI917" s="80"/>
      <c r="CJ917" s="80"/>
      <c r="CK917" s="2"/>
    </row>
    <row r="918" ht="12.75" customHeight="1">
      <c r="A918" s="85">
        <f>IFERROR(__xludf.DUMMYFUNCTION("""COMPUTED_VALUE"""),914.0)</f>
        <v>914</v>
      </c>
      <c r="B918" s="85"/>
      <c r="C918" s="85"/>
      <c r="D918" s="86">
        <f>IFERROR(__xludf.DUMMYFUNCTION("""COMPUTED_VALUE"""),46126.0)</f>
        <v>46126</v>
      </c>
      <c r="E918" s="88"/>
      <c r="F918" s="85"/>
      <c r="G918" s="86">
        <f>IFERROR(__xludf.DUMMYFUNCTION("""COMPUTED_VALUE"""),46147.0)</f>
        <v>46147</v>
      </c>
      <c r="H918" s="85"/>
      <c r="I918" s="85"/>
      <c r="J918" s="85"/>
      <c r="K918" s="85"/>
      <c r="L918" s="85">
        <f>IFERROR(__xludf.DUMMYFUNCTION("""COMPUTED_VALUE"""),21.0)</f>
        <v>21</v>
      </c>
      <c r="M918" s="85" t="str">
        <f>IFERROR(__xludf.DUMMYFUNCTION("""COMPUTED_VALUE"""),"ü")</f>
        <v>ü</v>
      </c>
      <c r="N918" s="85"/>
      <c r="O918" s="85"/>
      <c r="P918" s="85" t="str">
        <f>IFERROR(__xludf.DUMMYFUNCTION("""COMPUTED_VALUE"""),"53BSPA09961JBEEN")</f>
        <v>53BSPA09961JBEEN</v>
      </c>
      <c r="Q918" s="85" t="str">
        <f>IFERROR(__xludf.DUMMYFUNCTION("""COMPUTED_VALUE"""),"MUC CIRACAS")</f>
        <v>MUC CIRACAS</v>
      </c>
      <c r="R918" s="85" t="str">
        <f>IFERROR(__xludf.DUMMYFUNCTION("""COMPUTED_VALUE"""),"MUC CIRACAS")</f>
        <v>MUC CIRACAS</v>
      </c>
      <c r="S918" s="85" t="str">
        <f>IFERROR(__xludf.DUMMYFUNCTION("""COMPUTED_VALUE"""),"NUNING HERMAWATI")</f>
        <v>NUNING HERMAWATI</v>
      </c>
      <c r="T918" s="85" t="str">
        <f>IFERROR(__xludf.DUMMYFUNCTION("""COMPUTED_VALUE"""),"JL CANTEX GG KRAMAT NO.34 RT.010 RW.010, CIRACAS, CIRACAS, JAKARTA TIMUR")</f>
        <v>JL CANTEX GG KRAMAT NO.34 RT.010 RW.010, CIRACAS, CIRACAS, JAKARTA TIMUR</v>
      </c>
      <c r="U918" s="85" t="str">
        <f>IFERROR(__xludf.DUMMYFUNCTION("""COMPUTED_VALUE"""),"JL RAYA CENTEX GG KRAMAT RT. 010/010 NO. 34 ")</f>
        <v>JL RAYA CENTEX GG KRAMAT RT. 010/010 NO. 34 </v>
      </c>
      <c r="V918" s="85"/>
      <c r="W918" s="85" t="str">
        <f>IFERROR(__xludf.DUMMYFUNCTION("""COMPUTED_VALUE"""),"CIRACAS")</f>
        <v>CIRACAS</v>
      </c>
      <c r="X918" s="85" t="str">
        <f>IFERROR(__xludf.DUMMYFUNCTION("""COMPUTED_VALUE"""),"CIRACAS")</f>
        <v>CIRACAS</v>
      </c>
      <c r="Y918" s="85" t="str">
        <f>IFERROR(__xludf.DUMMYFUNCTION("""COMPUTED_VALUE"""),"JAKARTA TIMUR")</f>
        <v>JAKARTA TIMUR</v>
      </c>
      <c r="Z918" s="85" t="str">
        <f>IFERROR(__xludf.DUMMYFUNCTION("""COMPUTED_VALUE"""),"DKI JAKARTA")</f>
        <v>DKI JAKARTA</v>
      </c>
      <c r="AA918" s="85" t="str">
        <f>IFERROR(__xludf.DUMMYFUNCTION("""COMPUTED_VALUE"""),"13740")</f>
        <v>13740</v>
      </c>
      <c r="AB918" s="85" t="str">
        <f>IFERROR(__xludf.DUMMYFUNCTION("""COMPUTED_VALUE"""),"3174076906880005")</f>
        <v>3174076906880005</v>
      </c>
      <c r="AC918" s="85" t="str">
        <f>IFERROR(__xludf.DUMMYFUNCTION("""COMPUTED_VALUE"""),"3174076906880005")</f>
        <v>3174076906880005</v>
      </c>
      <c r="AD918" s="85" t="str">
        <f>IFERROR(__xludf.DUMMYFUNCTION("""COMPUTED_VALUE"""),"CUM - EEN")</f>
        <v>CUM - EEN</v>
      </c>
      <c r="AE918" s="85" t="str">
        <f>IFERROR(__xludf.DUMMYFUNCTION("""COMPUTED_VALUE"""),"SUB EEN")</f>
        <v>SUB EEN</v>
      </c>
      <c r="AF918" s="85" t="str">
        <f>IFERROR(__xludf.DUMMYFUNCTION("""COMPUTED_VALUE"""),"087847972288")</f>
        <v>087847972288</v>
      </c>
      <c r="AG918" s="85"/>
      <c r="AH918" s="85" t="str">
        <f>IFERROR(__xludf.DUMMYFUNCTION("""COMPUTED_VALUE"""),"jntcentexkramat@gmail.com")</f>
        <v>jntcentexkramat@gmail.com</v>
      </c>
      <c r="AI918" s="85" t="str">
        <f>IFERROR(__xludf.DUMMYFUNCTION("""COMPUTED_VALUE"""),"13740S3")</f>
        <v>13740S3</v>
      </c>
      <c r="AJ918" s="85" t="str">
        <f>IFERROR(__xludf.DUMMYFUNCTION("""COMPUTED_VALUE"""),"69f955fb93b000aab60358bf")</f>
        <v>69f955fb93b000aab60358bf</v>
      </c>
      <c r="AK918" s="85" t="str">
        <f>IFERROR(__xludf.DUMMYFUNCTION("""COMPUTED_VALUE"""),"jntcentexkramat@gmail.com")</f>
        <v>jntcentexkramat@gmail.com</v>
      </c>
      <c r="AL918" s="85" t="str">
        <f>IFERROR(__xludf.DUMMYFUNCTION("""COMPUTED_VALUE"""),"#Muc13740S3$")</f>
        <v>#Muc13740S3$</v>
      </c>
      <c r="AM918" s="85" t="str">
        <f>IFERROR(__xludf.DUMMYFUNCTION("""COMPUTED_VALUE"""),"KANTOR REGIONAL II JAKARTA 10004")</f>
        <v>KANTOR REGIONAL II JAKARTA 10004</v>
      </c>
      <c r="AN918" s="85" t="str">
        <f>IFERROR(__xludf.DUMMYFUNCTION("""COMPUTED_VALUE"""),"KCU JAKARTAPREMIER 13000")</f>
        <v>KCU JAKARTAPREMIER 13000</v>
      </c>
      <c r="AO918" s="85" t="str">
        <f>IFERROR(__xludf.DUMMYFUNCTION("""COMPUTED_VALUE"""),"2605220026869")</f>
        <v>2605220026869</v>
      </c>
      <c r="AP918" s="85" t="str">
        <f>IFERROR(__xludf.DUMMYFUNCTION("""COMPUTED_VALUE"""),"26052200268690001")</f>
        <v>26052200268690001</v>
      </c>
      <c r="AQ918" s="93" t="str">
        <f>IFERROR(__xludf.DUMMYFUNCTION("""COMPUTED_VALUE"""),"BCA / 2191423463 / NUNING HERMAWATI")</f>
        <v>BCA / 2191423463 / NUNING HERMAWATI</v>
      </c>
      <c r="AR918" s="85"/>
      <c r="AS918" s="85"/>
      <c r="AT918" s="85" t="str">
        <f>IFERROR(__xludf.DUMMYFUNCTION("""COMPUTED_VALUE"""),"-6.318320580339731")</f>
        <v>-6.318320580339731</v>
      </c>
      <c r="AU918" s="85" t="str">
        <f>IFERROR(__xludf.DUMMYFUNCTION("""COMPUTED_VALUE"""),"106.87689188890677")</f>
        <v>106.87689188890677</v>
      </c>
      <c r="AV918" s="85"/>
      <c r="AW918" s="85"/>
      <c r="AX918" s="85"/>
      <c r="AY918" s="85"/>
      <c r="AZ918" s="85"/>
      <c r="BA918" s="85"/>
      <c r="BB918" s="85"/>
      <c r="BC918" s="85"/>
      <c r="BD918" s="85"/>
      <c r="BE918" s="85"/>
      <c r="BF918" s="85"/>
      <c r="BG918" s="85"/>
      <c r="BH918" s="85"/>
      <c r="BI918" s="85"/>
      <c r="BJ918" s="85"/>
      <c r="BK918" s="85"/>
      <c r="BL918" s="85"/>
      <c r="BM918" s="85"/>
      <c r="BN918" s="85"/>
      <c r="BO918" s="85"/>
      <c r="BP918" s="85"/>
      <c r="BQ918" s="85"/>
      <c r="BR918" s="85"/>
      <c r="BS918" s="85"/>
      <c r="BT918" s="85"/>
      <c r="BU918" s="85"/>
      <c r="BV918" s="85"/>
      <c r="BW918" s="85"/>
      <c r="BX918" s="85" t="str">
        <f>IFERROR(__xludf.DUMMYFUNCTION("""COMPUTED_VALUE"""),"MULTIKURIR")</f>
        <v>MULTIKURIR</v>
      </c>
      <c r="BY918" s="85"/>
      <c r="BZ918" s="85"/>
      <c r="CA918" s="85"/>
      <c r="CB918" s="85"/>
      <c r="CC918" s="85"/>
      <c r="CD918" s="85"/>
      <c r="CE918" s="85"/>
      <c r="CF918" s="85"/>
      <c r="CG918" s="85"/>
      <c r="CH918" s="85"/>
      <c r="CI918" s="85"/>
      <c r="CJ918" s="85"/>
      <c r="CK918" s="2"/>
    </row>
    <row r="919" ht="12.75" customHeight="1">
      <c r="A919" s="80">
        <f>IFERROR(__xludf.DUMMYFUNCTION("""COMPUTED_VALUE"""),915.0)</f>
        <v>915</v>
      </c>
      <c r="B919" s="80"/>
      <c r="C919" s="80"/>
      <c r="D919" s="81">
        <f>IFERROR(__xludf.DUMMYFUNCTION("""COMPUTED_VALUE"""),46127.0)</f>
        <v>46127</v>
      </c>
      <c r="E919" s="82"/>
      <c r="F919" s="80"/>
      <c r="G919" s="81"/>
      <c r="H919" s="80"/>
      <c r="I919" s="80"/>
      <c r="J919" s="80"/>
      <c r="K919" s="80"/>
      <c r="L919" s="80"/>
      <c r="M919" s="80" t="str">
        <f>IFERROR(__xludf.DUMMYFUNCTION("""COMPUTED_VALUE"""),"ü")</f>
        <v>ü</v>
      </c>
      <c r="N919" s="80"/>
      <c r="O919" s="80"/>
      <c r="P919" s="80" t="str">
        <f>IFERROR(__xludf.DUMMYFUNCTION("""COMPUTED_VALUE"""),"53BSPA09963JBEEN")</f>
        <v>53BSPA09963JBEEN</v>
      </c>
      <c r="Q919" s="80" t="str">
        <f>IFERROR(__xludf.DUMMYFUNCTION("""COMPUTED_VALUE"""),"MUC AA Fotocopy")</f>
        <v>MUC AA Fotocopy</v>
      </c>
      <c r="R919" s="80" t="str">
        <f>IFERROR(__xludf.DUMMYFUNCTION("""COMPUTED_VALUE"""),"MUC AA Fotocopy")</f>
        <v>MUC AA Fotocopy</v>
      </c>
      <c r="S919" s="80" t="str">
        <f>IFERROR(__xludf.DUMMYFUNCTION("""COMPUTED_VALUE"""),"WAWAN SETIAWAN")</f>
        <v>WAWAN SETIAWAN</v>
      </c>
      <c r="T919" s="80" t="str">
        <f>IFERROR(__xludf.DUMMYFUNCTION("""COMPUTED_VALUE"""),"KP WATES RT.002 RW.003, PAKULONAN, SERPONG UTARA, KOTA TANGERANG SELATAN")</f>
        <v>KP WATES RT.002 RW.003, PAKULONAN, SERPONG UTARA, KOTA TANGERANG SELATAN</v>
      </c>
      <c r="U919" s="80" t="str">
        <f>IFERROR(__xludf.DUMMYFUNCTION("""COMPUTED_VALUE"""),"Batalyon Kavaleri 9 SDK, Jl. Raya Serpong No.KM.8")</f>
        <v>Batalyon Kavaleri 9 SDK, Jl. Raya Serpong No.KM.8</v>
      </c>
      <c r="V919" s="80"/>
      <c r="W919" s="80" t="str">
        <f>IFERROR(__xludf.DUMMYFUNCTION("""COMPUTED_VALUE"""),"Pondok Jagung")</f>
        <v>Pondok Jagung</v>
      </c>
      <c r="X919" s="80" t="str">
        <f>IFERROR(__xludf.DUMMYFUNCTION("""COMPUTED_VALUE"""),"Serpong Utara")</f>
        <v>Serpong Utara</v>
      </c>
      <c r="Y919" s="80" t="str">
        <f>IFERROR(__xludf.DUMMYFUNCTION("""COMPUTED_VALUE"""),"Tangerang Selatan")</f>
        <v>Tangerang Selatan</v>
      </c>
      <c r="Z919" s="80" t="str">
        <f>IFERROR(__xludf.DUMMYFUNCTION("""COMPUTED_VALUE"""),"Banten ")</f>
        <v>Banten </v>
      </c>
      <c r="AA919" s="80" t="str">
        <f>IFERROR(__xludf.DUMMYFUNCTION("""COMPUTED_VALUE"""),"15326")</f>
        <v>15326</v>
      </c>
      <c r="AB919" s="80" t="str">
        <f>IFERROR(__xludf.DUMMYFUNCTION("""COMPUTED_VALUE"""),"3674024708840005")</f>
        <v>3674024708840005</v>
      </c>
      <c r="AC919" s="80" t="str">
        <f>IFERROR(__xludf.DUMMYFUNCTION("""COMPUTED_VALUE"""),"58.599.636.6-411.000")</f>
        <v>58.599.636.6-411.000</v>
      </c>
      <c r="AD919" s="80" t="str">
        <f>IFERROR(__xludf.DUMMYFUNCTION("""COMPUTED_VALUE"""),"CUM - EEN")</f>
        <v>CUM - EEN</v>
      </c>
      <c r="AE919" s="80" t="str">
        <f>IFERROR(__xludf.DUMMYFUNCTION("""COMPUTED_VALUE"""),"SUB EEN")</f>
        <v>SUB EEN</v>
      </c>
      <c r="AF919" s="80" t="str">
        <f>IFERROR(__xludf.DUMMYFUNCTION("""COMPUTED_VALUE"""),"081234590606")</f>
        <v>081234590606</v>
      </c>
      <c r="AG919" s="80"/>
      <c r="AH919" s="80" t="str">
        <f>IFERROR(__xludf.DUMMYFUNCTION("""COMPUTED_VALUE"""),"Wsetiawan.0784@gmail.com")</f>
        <v>Wsetiawan.0784@gmail.com</v>
      </c>
      <c r="AI919" s="80"/>
      <c r="AJ919" s="80"/>
      <c r="AK919" s="80"/>
      <c r="AL919" s="80"/>
      <c r="AM919" s="80" t="str">
        <f>IFERROR(__xludf.DUMMYFUNCTION("""COMPUTED_VALUE"""),"KANTOR REGIONAL II JAKARTA 10004")</f>
        <v>KANTOR REGIONAL II JAKARTA 10004</v>
      </c>
      <c r="AN919" s="80" t="str">
        <f>IFERROR(__xludf.DUMMYFUNCTION("""COMPUTED_VALUE"""),"KC TANGERANG SELATAN")</f>
        <v>KC TANGERANG SELATAN</v>
      </c>
      <c r="AO919" s="80" t="str">
        <f>IFERROR(__xludf.DUMMYFUNCTION("""COMPUTED_VALUE"""),"2311230077014")</f>
        <v>2311230077014</v>
      </c>
      <c r="AP919" s="80" t="str">
        <f>IFERROR(__xludf.DUMMYFUNCTION("""COMPUTED_VALUE"""),"23112300770140001")</f>
        <v>23112300770140001</v>
      </c>
      <c r="AQ919" s="83" t="str">
        <f>IFERROR(__xludf.DUMMYFUNCTION("""COMPUTED_VALUE"""),"Blu BCA / 106.6503233 / wawan setiawan")</f>
        <v>Blu BCA / 106.6503233 / wawan setiawan</v>
      </c>
      <c r="AR919" s="80"/>
      <c r="AS919" s="80"/>
      <c r="AT919" s="80" t="str">
        <f>IFERROR(__xludf.DUMMYFUNCTION("""COMPUTED_VALUE"""),"-6.2531074")</f>
        <v>-6.2531074</v>
      </c>
      <c r="AU919" s="80" t="str">
        <f>IFERROR(__xludf.DUMMYFUNCTION("""COMPUTED_VALUE"""),"106.6503233")</f>
        <v>106.6503233</v>
      </c>
      <c r="AV919" s="80"/>
      <c r="AW919" s="80"/>
      <c r="AX919" s="80"/>
      <c r="AY919" s="80"/>
      <c r="AZ919" s="80"/>
      <c r="BA919" s="80"/>
      <c r="BB919" s="80"/>
      <c r="BC919" s="80"/>
      <c r="BD919" s="80"/>
      <c r="BE919" s="80"/>
      <c r="BF919" s="80"/>
      <c r="BG919" s="80"/>
      <c r="BH919" s="80"/>
      <c r="BI919" s="80"/>
      <c r="BJ919" s="80"/>
      <c r="BK919" s="80"/>
      <c r="BL919" s="80"/>
      <c r="BM919" s="80"/>
      <c r="BN919" s="80"/>
      <c r="BO919" s="80"/>
      <c r="BP919" s="80"/>
      <c r="BQ919" s="80"/>
      <c r="BR919" s="80"/>
      <c r="BS919" s="80"/>
      <c r="BT919" s="80"/>
      <c r="BU919" s="80"/>
      <c r="BV919" s="80"/>
      <c r="BW919" s="80"/>
      <c r="BX919" s="80" t="str">
        <f>IFERROR(__xludf.DUMMYFUNCTION("""COMPUTED_VALUE"""),"NEWBIE")</f>
        <v>NEWBIE</v>
      </c>
      <c r="BY919" s="80"/>
      <c r="BZ919" s="80"/>
      <c r="CA919" s="80"/>
      <c r="CB919" s="80"/>
      <c r="CC919" s="80"/>
      <c r="CD919" s="80"/>
      <c r="CE919" s="80"/>
      <c r="CF919" s="80"/>
      <c r="CG919" s="80"/>
      <c r="CH919" s="80"/>
      <c r="CI919" s="80"/>
      <c r="CJ919" s="80"/>
      <c r="CK919" s="2"/>
    </row>
    <row r="920" ht="12.75" customHeight="1">
      <c r="A920" s="85">
        <f>IFERROR(__xludf.DUMMYFUNCTION("""COMPUTED_VALUE"""),916.0)</f>
        <v>916</v>
      </c>
      <c r="B920" s="85"/>
      <c r="C920" s="85"/>
      <c r="D920" s="86">
        <f>IFERROR(__xludf.DUMMYFUNCTION("""COMPUTED_VALUE"""),46127.0)</f>
        <v>46127</v>
      </c>
      <c r="E920" s="88"/>
      <c r="F920" s="85"/>
      <c r="G920" s="86"/>
      <c r="H920" s="85"/>
      <c r="I920" s="85"/>
      <c r="J920" s="85"/>
      <c r="K920" s="85"/>
      <c r="L920" s="85"/>
      <c r="M920" s="85" t="str">
        <f>IFERROR(__xludf.DUMMYFUNCTION("""COMPUTED_VALUE"""),"ü")</f>
        <v>ü</v>
      </c>
      <c r="N920" s="85"/>
      <c r="O920" s="85"/>
      <c r="P920" s="85" t="str">
        <f>IFERROR(__xludf.DUMMYFUNCTION("""COMPUTED_VALUE"""),"53BSPA09919JBNDS ")</f>
        <v>53BSPA09919JBNDS </v>
      </c>
      <c r="Q920" s="85" t="str">
        <f>IFERROR(__xludf.DUMMYFUNCTION("""COMPUTED_VALUE"""),"MUC HD PAKET")</f>
        <v>MUC HD PAKET</v>
      </c>
      <c r="R920" s="85" t="str">
        <f>IFERROR(__xludf.DUMMYFUNCTION("""COMPUTED_VALUE"""),"MUC HD PAKET")</f>
        <v>MUC HD PAKET</v>
      </c>
      <c r="S920" s="85" t="str">
        <f>IFERROR(__xludf.DUMMYFUNCTION("""COMPUTED_VALUE"""),"Rachmad Diponegoro ")</f>
        <v>Rachmad Diponegoro </v>
      </c>
      <c r="T920" s="85" t="str">
        <f>IFERROR(__xludf.DUMMYFUNCTION("""COMPUTED_VALUE"""),"JL. CILIWUNG 1 No. 78, TAMAN CIBODAS, LIPPO CIKARANG RT 002/017 CIBATU, CIKARANG SELATAN, KAB. BEKASI")</f>
        <v>JL. CILIWUNG 1 No. 78, TAMAN CIBODAS, LIPPO CIKARANG RT 002/017 CIBATU, CIKARANG SELATAN, KAB. BEKASI</v>
      </c>
      <c r="U920" s="85" t="str">
        <f>IFERROR(__xludf.DUMMYFUNCTION("""COMPUTED_VALUE"""),"VILLA BOGOR INDAH G2 No. 9")</f>
        <v>VILLA BOGOR INDAH G2 No. 9</v>
      </c>
      <c r="V920" s="85"/>
      <c r="W920" s="85" t="str">
        <f>IFERROR(__xludf.DUMMYFUNCTION("""COMPUTED_VALUE"""),"CIPARIGI ")</f>
        <v>CIPARIGI </v>
      </c>
      <c r="X920" s="85" t="str">
        <f>IFERROR(__xludf.DUMMYFUNCTION("""COMPUTED_VALUE"""),"BOGOR UTARA ")</f>
        <v>BOGOR UTARA </v>
      </c>
      <c r="Y920" s="85" t="str">
        <f>IFERROR(__xludf.DUMMYFUNCTION("""COMPUTED_VALUE"""),"BOGOR")</f>
        <v>BOGOR</v>
      </c>
      <c r="Z920" s="85" t="str">
        <f>IFERROR(__xludf.DUMMYFUNCTION("""COMPUTED_VALUE"""),"JAWA BARAT ")</f>
        <v>JAWA BARAT </v>
      </c>
      <c r="AA920" s="85" t="str">
        <f>IFERROR(__xludf.DUMMYFUNCTION("""COMPUTED_VALUE"""),"16171")</f>
        <v>16171</v>
      </c>
      <c r="AB920" s="85" t="str">
        <f>IFERROR(__xludf.DUMMYFUNCTION("""COMPUTED_VALUE"""),"3216192108700003")</f>
        <v>3216192108700003</v>
      </c>
      <c r="AC920" s="85" t="str">
        <f>IFERROR(__xludf.DUMMYFUNCTION("""COMPUTED_VALUE"""),"3216192108700003")</f>
        <v>3216192108700003</v>
      </c>
      <c r="AD920" s="85" t="str">
        <f>IFERROR(__xludf.DUMMYFUNCTION("""COMPUTED_VALUE"""),"CUM - NDS")</f>
        <v>CUM - NDS</v>
      </c>
      <c r="AE920" s="85" t="str">
        <f>IFERROR(__xludf.DUMMYFUNCTION("""COMPUTED_VALUE"""),"SUB NURUL DIMAS")</f>
        <v>SUB NURUL DIMAS</v>
      </c>
      <c r="AF920" s="85" t="str">
        <f>IFERROR(__xludf.DUMMYFUNCTION("""COMPUTED_VALUE"""),"081807041728")</f>
        <v>081807041728</v>
      </c>
      <c r="AG920" s="85"/>
      <c r="AH920" s="85" t="str">
        <f>IFERROR(__xludf.DUMMYFUNCTION("""COMPUTED_VALUE"""),"radipriyatno@gmail.com")</f>
        <v>radipriyatno@gmail.com</v>
      </c>
      <c r="AI920" s="85"/>
      <c r="AJ920" s="85"/>
      <c r="AK920" s="85"/>
      <c r="AL920" s="85"/>
      <c r="AM920" s="85" t="str">
        <f>IFERROR(__xludf.DUMMYFUNCTION("""COMPUTED_VALUE"""),"KANTOR REGIONAL II JAKARTA 10004")</f>
        <v>KANTOR REGIONAL II JAKARTA 10004</v>
      </c>
      <c r="AN920" s="85" t="str">
        <f>IFERROR(__xludf.DUMMYFUNCTION("""COMPUTED_VALUE"""),"KCU BOGOR 16000")</f>
        <v>KCU BOGOR 16000</v>
      </c>
      <c r="AO920" s="85" t="str">
        <f>IFERROR(__xludf.DUMMYFUNCTION("""COMPUTED_VALUE"""),"1604260041146")</f>
        <v>1604260041146</v>
      </c>
      <c r="AP920" s="85" t="str">
        <f>IFERROR(__xludf.DUMMYFUNCTION("""COMPUTED_VALUE"""),"16042600411460001")</f>
        <v>16042600411460001</v>
      </c>
      <c r="AQ920" s="93" t="str">
        <f>IFERROR(__xludf.DUMMYFUNCTION("""COMPUTED_VALUE"""),"BCA / 5220748814 / Rachmad Diponegoro ")</f>
        <v>BCA / 5220748814 / Rachmad Diponegoro </v>
      </c>
      <c r="AR920" s="85"/>
      <c r="AS920" s="85"/>
      <c r="AT920" s="85" t="str">
        <f>IFERROR(__xludf.DUMMYFUNCTION("""COMPUTED_VALUE"""),"-6.544210")</f>
        <v>-6.544210</v>
      </c>
      <c r="AU920" s="85" t="str">
        <f>IFERROR(__xludf.DUMMYFUNCTION("""COMPUTED_VALUE"""),"106.818363")</f>
        <v>106.818363</v>
      </c>
      <c r="AV920" s="85"/>
      <c r="AW920" s="85"/>
      <c r="AX920" s="85"/>
      <c r="AY920" s="85"/>
      <c r="AZ920" s="85"/>
      <c r="BA920" s="85"/>
      <c r="BB920" s="85"/>
      <c r="BC920" s="85"/>
      <c r="BD920" s="85"/>
      <c r="BE920" s="85"/>
      <c r="BF920" s="85"/>
      <c r="BG920" s="85"/>
      <c r="BH920" s="85"/>
      <c r="BI920" s="85"/>
      <c r="BJ920" s="85"/>
      <c r="BK920" s="85"/>
      <c r="BL920" s="85"/>
      <c r="BM920" s="85"/>
      <c r="BN920" s="85"/>
      <c r="BO920" s="85"/>
      <c r="BP920" s="85"/>
      <c r="BQ920" s="85"/>
      <c r="BR920" s="85"/>
      <c r="BS920" s="85"/>
      <c r="BT920" s="85"/>
      <c r="BU920" s="85"/>
      <c r="BV920" s="85"/>
      <c r="BW920" s="85"/>
      <c r="BX920" s="85" t="str">
        <f>IFERROR(__xludf.DUMMYFUNCTION("""COMPUTED_VALUE"""),"MULTIKURIR - WAHANA")</f>
        <v>MULTIKURIR - WAHANA</v>
      </c>
      <c r="BY920" s="85"/>
      <c r="BZ920" s="85"/>
      <c r="CA920" s="85"/>
      <c r="CB920" s="85"/>
      <c r="CC920" s="85"/>
      <c r="CD920" s="85"/>
      <c r="CE920" s="85"/>
      <c r="CF920" s="85"/>
      <c r="CG920" s="85"/>
      <c r="CH920" s="85"/>
      <c r="CI920" s="85"/>
      <c r="CJ920" s="85"/>
      <c r="CK920" s="2"/>
    </row>
    <row r="921" ht="12.75" customHeight="1">
      <c r="A921" s="80">
        <f>IFERROR(__xludf.DUMMYFUNCTION("""COMPUTED_VALUE"""),917.0)</f>
        <v>917</v>
      </c>
      <c r="B921" s="80"/>
      <c r="C921" s="80"/>
      <c r="D921" s="81">
        <f>IFERROR(__xludf.DUMMYFUNCTION("""COMPUTED_VALUE"""),46132.0)</f>
        <v>46132</v>
      </c>
      <c r="E921" s="82"/>
      <c r="F921" s="80"/>
      <c r="G921" s="81">
        <f>IFERROR(__xludf.DUMMYFUNCTION("""COMPUTED_VALUE"""),46135.0)</f>
        <v>46135</v>
      </c>
      <c r="H921" s="80"/>
      <c r="I921" s="80"/>
      <c r="J921" s="80"/>
      <c r="K921" s="80"/>
      <c r="L921" s="80">
        <f>IFERROR(__xludf.DUMMYFUNCTION("""COMPUTED_VALUE"""),3.0)</f>
        <v>3</v>
      </c>
      <c r="M921" s="80" t="str">
        <f>IFERROR(__xludf.DUMMYFUNCTION("""COMPUTED_VALUE"""),"ü")</f>
        <v>ü</v>
      </c>
      <c r="N921" s="80"/>
      <c r="O921" s="80"/>
      <c r="P921" s="80" t="str">
        <f>IFERROR(__xludf.DUMMYFUNCTION("""COMPUTED_VALUE"""),"53BSPA09918JBNDS ")</f>
        <v>53BSPA09918JBNDS </v>
      </c>
      <c r="Q921" s="80" t="str">
        <f>IFERROR(__xludf.DUMMYFUNCTION("""COMPUTED_VALUE"""),"MUC MITRA KURIR SEJATI")</f>
        <v>MUC MITRA KURIR SEJATI</v>
      </c>
      <c r="R921" s="80" t="str">
        <f>IFERROR(__xludf.DUMMYFUNCTION("""COMPUTED_VALUE"""),"MUC MITRA KURIR SEJATI")</f>
        <v>MUC MITRA KURIR SEJATI</v>
      </c>
      <c r="S921" s="80" t="str">
        <f>IFERROR(__xludf.DUMMYFUNCTION("""COMPUTED_VALUE"""),"ZULKIFLI NASUTION")</f>
        <v>ZULKIFLI NASUTION</v>
      </c>
      <c r="T921" s="80" t="str">
        <f>IFERROR(__xludf.DUMMYFUNCTION("""COMPUTED_VALUE"""),"KP DAYEUH RT.001 RW.001, SUKANEGARA, JONGGOL, KAB. BOGOR JAWA BARAT")</f>
        <v>KP DAYEUH RT.001 RW.001, SUKANEGARA, JONGGOL, KAB. BOGOR JAWA BARAT</v>
      </c>
      <c r="U921" s="80" t="str">
        <f>IFERROR(__xludf.DUMMYFUNCTION("""COMPUTED_VALUE"""),"RUKO CIREBON LESTARI JLN. IR. SUKARNO RUKO NO. A1")</f>
        <v>RUKO CIREBON LESTARI JLN. IR. SUKARNO RUKO NO. A1</v>
      </c>
      <c r="V921" s="80"/>
      <c r="W921" s="80" t="str">
        <f>IFERROR(__xludf.DUMMYFUNCTION("""COMPUTED_VALUE"""),"KECOMBRRAN ")</f>
        <v>KECOMBRRAN </v>
      </c>
      <c r="X921" s="80" t="str">
        <f>IFERROR(__xludf.DUMMYFUNCTION("""COMPUTED_VALUE"""),"TALUN")</f>
        <v>TALUN</v>
      </c>
      <c r="Y921" s="80" t="str">
        <f>IFERROR(__xludf.DUMMYFUNCTION("""COMPUTED_VALUE"""),"KAB CIREBON ")</f>
        <v>KAB CIREBON </v>
      </c>
      <c r="Z921" s="80" t="str">
        <f>IFERROR(__xludf.DUMMYFUNCTION("""COMPUTED_VALUE"""),"JAWA BARAT")</f>
        <v>JAWA BARAT</v>
      </c>
      <c r="AA921" s="80" t="str">
        <f>IFERROR(__xludf.DUMMYFUNCTION("""COMPUTED_VALUE"""),"45171")</f>
        <v>45171</v>
      </c>
      <c r="AB921" s="80" t="str">
        <f>IFERROR(__xludf.DUMMYFUNCTION("""COMPUTED_VALUE"""),"1271051611570002")</f>
        <v>1271051611570002</v>
      </c>
      <c r="AC921" s="80" t="str">
        <f>IFERROR(__xludf.DUMMYFUNCTION("""COMPUTED_VALUE"""),"68.756.404.7-111.000")</f>
        <v>68.756.404.7-111.000</v>
      </c>
      <c r="AD921" s="80" t="str">
        <f>IFERROR(__xludf.DUMMYFUNCTION("""COMPUTED_VALUE"""),"CUM - NDS")</f>
        <v>CUM - NDS</v>
      </c>
      <c r="AE921" s="80" t="str">
        <f>IFERROR(__xludf.DUMMYFUNCTION("""COMPUTED_VALUE"""),"SUB NURUL DIMAS")</f>
        <v>SUB NURUL DIMAS</v>
      </c>
      <c r="AF921" s="80" t="str">
        <f>IFERROR(__xludf.DUMMYFUNCTION("""COMPUTED_VALUE"""),"08138117858")</f>
        <v>08138117858</v>
      </c>
      <c r="AG921" s="80"/>
      <c r="AH921" s="80" t="str">
        <f>IFERROR(__xludf.DUMMYFUNCTION("""COMPUTED_VALUE"""),"dzn061102@gmail.com")</f>
        <v>dzn061102@gmail.com</v>
      </c>
      <c r="AI921" s="80" t="str">
        <f>IFERROR(__xludf.DUMMYFUNCTION("""COMPUTED_VALUE"""),"45671S4")</f>
        <v>45671S4</v>
      </c>
      <c r="AJ921" s="80" t="str">
        <f>IFERROR(__xludf.DUMMYFUNCTION("""COMPUTED_VALUE"""),"69e9c9374d95837c2e0dbe09")</f>
        <v>69e9c9374d95837c2e0dbe09</v>
      </c>
      <c r="AK921" s="80" t="str">
        <f>IFERROR(__xludf.DUMMYFUNCTION("""COMPUTED_VALUE"""),"dzn061102@gmail.com")</f>
        <v>dzn061102@gmail.com</v>
      </c>
      <c r="AL921" s="80" t="str">
        <f>IFERROR(__xludf.DUMMYFUNCTION("""COMPUTED_VALUE"""),"#Muc45671S4$")</f>
        <v>#Muc45671S4$</v>
      </c>
      <c r="AM921" s="80" t="str">
        <f>IFERROR(__xludf.DUMMYFUNCTION("""COMPUTED_VALUE"""),"KANTOR REGIONAL III BANDUNG 40004")</f>
        <v>KANTOR REGIONAL III BANDUNG 40004</v>
      </c>
      <c r="AN921" s="80" t="str">
        <f>IFERROR(__xludf.DUMMYFUNCTION("""COMPUTED_VALUE"""),"KCU CIREBON 45100")</f>
        <v>KCU CIREBON 45100</v>
      </c>
      <c r="AO921" s="80" t="str">
        <f>IFERROR(__xludf.DUMMYFUNCTION("""COMPUTED_VALUE"""),"2004260020924")</f>
        <v>2004260020924</v>
      </c>
      <c r="AP921" s="80" t="str">
        <f>IFERROR(__xludf.DUMMYFUNCTION("""COMPUTED_VALUE"""),"20042600209240001")</f>
        <v>20042600209240001</v>
      </c>
      <c r="AQ921" s="83" t="str">
        <f>IFERROR(__xludf.DUMMYFUNCTION("""COMPUTED_VALUE"""),"BCA  / 0954810751 / DIAN RAHAYUNINGTYAS")</f>
        <v>BCA  / 0954810751 / DIAN RAHAYUNINGTYAS</v>
      </c>
      <c r="AR921" s="80"/>
      <c r="AS921" s="80"/>
      <c r="AT921" s="80" t="str">
        <f>IFERROR(__xludf.DUMMYFUNCTION("""COMPUTED_VALUE"""),"-6.756366")</f>
        <v>-6.756366</v>
      </c>
      <c r="AU921" s="80" t="str">
        <f>IFERROR(__xludf.DUMMYFUNCTION("""COMPUTED_VALUE"""),"108.509868")</f>
        <v>108.509868</v>
      </c>
      <c r="AV921" s="80"/>
      <c r="AW921" s="80"/>
      <c r="AX921" s="80"/>
      <c r="AY921" s="80"/>
      <c r="AZ921" s="80"/>
      <c r="BA921" s="80"/>
      <c r="BB921" s="80"/>
      <c r="BC921" s="80"/>
      <c r="BD921" s="80"/>
      <c r="BE921" s="80"/>
      <c r="BF921" s="80"/>
      <c r="BG921" s="80"/>
      <c r="BH921" s="80"/>
      <c r="BI921" s="80"/>
      <c r="BJ921" s="80"/>
      <c r="BK921" s="80"/>
      <c r="BL921" s="80"/>
      <c r="BM921" s="80"/>
      <c r="BN921" s="80"/>
      <c r="BO921" s="80"/>
      <c r="BP921" s="80"/>
      <c r="BQ921" s="80"/>
      <c r="BR921" s="80"/>
      <c r="BS921" s="80"/>
      <c r="BT921" s="80"/>
      <c r="BU921" s="80"/>
      <c r="BV921" s="80"/>
      <c r="BW921" s="80"/>
      <c r="BX921" s="80" t="str">
        <f>IFERROR(__xludf.DUMMYFUNCTION("""COMPUTED_VALUE"""),"NEWBIE")</f>
        <v>NEWBIE</v>
      </c>
      <c r="BY921" s="80"/>
      <c r="BZ921" s="80"/>
      <c r="CA921" s="80"/>
      <c r="CB921" s="80"/>
      <c r="CC921" s="80"/>
      <c r="CD921" s="80"/>
      <c r="CE921" s="80"/>
      <c r="CF921" s="80"/>
      <c r="CG921" s="80"/>
      <c r="CH921" s="80"/>
      <c r="CI921" s="80"/>
      <c r="CJ921" s="80"/>
      <c r="CK921" s="2"/>
    </row>
    <row r="922" ht="12.75" customHeight="1">
      <c r="A922" s="85">
        <f>IFERROR(__xludf.DUMMYFUNCTION("""COMPUTED_VALUE"""),918.0)</f>
        <v>918</v>
      </c>
      <c r="B922" s="85"/>
      <c r="C922" s="85"/>
      <c r="D922" s="86">
        <f>IFERROR(__xludf.DUMMYFUNCTION("""COMPUTED_VALUE"""),46132.0)</f>
        <v>46132</v>
      </c>
      <c r="E922" s="88"/>
      <c r="F922" s="85"/>
      <c r="G922" s="86"/>
      <c r="H922" s="85"/>
      <c r="I922" s="85"/>
      <c r="J922" s="85"/>
      <c r="K922" s="85"/>
      <c r="L922" s="85"/>
      <c r="M922" s="85" t="str">
        <f>IFERROR(__xludf.DUMMYFUNCTION("""COMPUTED_VALUE"""),"ü")</f>
        <v>ü</v>
      </c>
      <c r="N922" s="85"/>
      <c r="O922" s="85"/>
      <c r="P922" s="85" t="str">
        <f>IFERROR(__xludf.DUMMYFUNCTION("""COMPUTED_VALUE"""),"53BSPA09920JBNDS ")</f>
        <v>53BSPA09920JBNDS </v>
      </c>
      <c r="Q922" s="85" t="str">
        <f>IFERROR(__xludf.DUMMYFUNCTION("""COMPUTED_VALUE"""),"MUC DD Link")</f>
        <v>MUC DD Link</v>
      </c>
      <c r="R922" s="85" t="str">
        <f>IFERROR(__xludf.DUMMYFUNCTION("""COMPUTED_VALUE"""),"MUC DD Link")</f>
        <v>MUC DD Link</v>
      </c>
      <c r="S922" s="85" t="str">
        <f>IFERROR(__xludf.DUMMYFUNCTION("""COMPUTED_VALUE"""),"Dodik Prasetya Wahyudi ")</f>
        <v>Dodik Prasetya Wahyudi </v>
      </c>
      <c r="T922" s="85" t="str">
        <f>IFERROR(__xludf.DUMMYFUNCTION("""COMPUTED_VALUE"""),"Gg Rahmat 19/1, Wedi, Kapas, Kab Bojonegoro, Jawa timur")</f>
        <v>Gg Rahmat 19/1, Wedi, Kapas, Kab Bojonegoro, Jawa timur</v>
      </c>
      <c r="U922" s="85" t="str">
        <f>IFERROR(__xludf.DUMMYFUNCTION("""COMPUTED_VALUE"""),"Jl. Monginsidi")</f>
        <v>Jl. Monginsidi</v>
      </c>
      <c r="V922" s="85"/>
      <c r="W922" s="85" t="str">
        <f>IFERROR(__xludf.DUMMYFUNCTION("""COMPUTED_VALUE"""),"Sembung")</f>
        <v>Sembung</v>
      </c>
      <c r="X922" s="85" t="str">
        <f>IFERROR(__xludf.DUMMYFUNCTION("""COMPUTED_VALUE"""),"kapas")</f>
        <v>kapas</v>
      </c>
      <c r="Y922" s="85" t="str">
        <f>IFERROR(__xludf.DUMMYFUNCTION("""COMPUTED_VALUE"""),"Bojonegoro")</f>
        <v>Bojonegoro</v>
      </c>
      <c r="Z922" s="85" t="str">
        <f>IFERROR(__xludf.DUMMYFUNCTION("""COMPUTED_VALUE"""),"Jawa Timur")</f>
        <v>Jawa Timur</v>
      </c>
      <c r="AA922" s="85" t="str">
        <f>IFERROR(__xludf.DUMMYFUNCTION("""COMPUTED_VALUE"""),"62181")</f>
        <v>62181</v>
      </c>
      <c r="AB922" s="85" t="str">
        <f>IFERROR(__xludf.DUMMYFUNCTION("""COMPUTED_VALUE"""),"3522140305850002")</f>
        <v>3522140305850002</v>
      </c>
      <c r="AC922" s="85" t="str">
        <f>IFERROR(__xludf.DUMMYFUNCTION("""COMPUTED_VALUE"""),"40.665.458.2-601.000")</f>
        <v>40.665.458.2-601.000</v>
      </c>
      <c r="AD922" s="85" t="str">
        <f>IFERROR(__xludf.DUMMYFUNCTION("""COMPUTED_VALUE"""),"CUM - NDS")</f>
        <v>CUM - NDS</v>
      </c>
      <c r="AE922" s="85" t="str">
        <f>IFERROR(__xludf.DUMMYFUNCTION("""COMPUTED_VALUE"""),"SUB NURUL DIMAS")</f>
        <v>SUB NURUL DIMAS</v>
      </c>
      <c r="AF922" s="85" t="str">
        <f>IFERROR(__xludf.DUMMYFUNCTION("""COMPUTED_VALUE"""),"082301733544")</f>
        <v>082301733544</v>
      </c>
      <c r="AG922" s="85"/>
      <c r="AH922" s="85" t="str">
        <f>IFERROR(__xludf.DUMMYFUNCTION("""COMPUTED_VALUE"""),"dodikwahyudi30@gmail.com")</f>
        <v>dodikwahyudi30@gmail.com</v>
      </c>
      <c r="AI922" s="85"/>
      <c r="AJ922" s="85"/>
      <c r="AK922" s="85"/>
      <c r="AL922" s="85"/>
      <c r="AM922" s="85" t="str">
        <f>IFERROR(__xludf.DUMMYFUNCTION("""COMPUTED_VALUE"""),"KANTOR REGIONAL V SURABAYA 60004")</f>
        <v>KANTOR REGIONAL V SURABAYA 60004</v>
      </c>
      <c r="AN922" s="85" t="str">
        <f>IFERROR(__xludf.DUMMYFUNCTION("""COMPUTED_VALUE"""),"KC BOJONEGORO")</f>
        <v>KC BOJONEGORO</v>
      </c>
      <c r="AO922" s="85" t="str">
        <f>IFERROR(__xludf.DUMMYFUNCTION("""COMPUTED_VALUE"""),"2004260030517")</f>
        <v>2004260030517</v>
      </c>
      <c r="AP922" s="85" t="str">
        <f>IFERROR(__xludf.DUMMYFUNCTION("""COMPUTED_VALUE"""),"20042600305170001")</f>
        <v>20042600305170001</v>
      </c>
      <c r="AQ922" s="93" t="str">
        <f>IFERROR(__xludf.DUMMYFUNCTION("""COMPUTED_VALUE"""),"Sea bank / 901099368425 / Dodik Prasetya Wahyudi ")</f>
        <v>Sea bank / 901099368425 / Dodik Prasetya Wahyudi </v>
      </c>
      <c r="AR922" s="85"/>
      <c r="AS922" s="85"/>
      <c r="AT922" s="85" t="str">
        <f>IFERROR(__xludf.DUMMYFUNCTION("""COMPUTED_VALUE"""),"-7.188370")</f>
        <v>-7.188370</v>
      </c>
      <c r="AU922" s="85" t="str">
        <f>IFERROR(__xludf.DUMMYFUNCTION("""COMPUTED_VALUE"""),"111.875162")</f>
        <v>111.875162</v>
      </c>
      <c r="AV922" s="85"/>
      <c r="AW922" s="85"/>
      <c r="AX922" s="85"/>
      <c r="AY922" s="85"/>
      <c r="AZ922" s="85"/>
      <c r="BA922" s="85"/>
      <c r="BB922" s="85"/>
      <c r="BC922" s="85"/>
      <c r="BD922" s="85"/>
      <c r="BE922" s="85"/>
      <c r="BF922" s="85"/>
      <c r="BG922" s="85"/>
      <c r="BH922" s="85"/>
      <c r="BI922" s="85"/>
      <c r="BJ922" s="85"/>
      <c r="BK922" s="85"/>
      <c r="BL922" s="85"/>
      <c r="BM922" s="85"/>
      <c r="BN922" s="85"/>
      <c r="BO922" s="85"/>
      <c r="BP922" s="85"/>
      <c r="BQ922" s="85"/>
      <c r="BR922" s="85"/>
      <c r="BS922" s="85"/>
      <c r="BT922" s="85"/>
      <c r="BU922" s="85"/>
      <c r="BV922" s="85"/>
      <c r="BW922" s="85"/>
      <c r="BX922" s="85" t="str">
        <f>IFERROR(__xludf.DUMMYFUNCTION("""COMPUTED_VALUE"""),"NEWBIE")</f>
        <v>NEWBIE</v>
      </c>
      <c r="BY922" s="85"/>
      <c r="BZ922" s="85"/>
      <c r="CA922" s="85"/>
      <c r="CB922" s="85"/>
      <c r="CC922" s="85"/>
      <c r="CD922" s="85"/>
      <c r="CE922" s="85"/>
      <c r="CF922" s="85"/>
      <c r="CG922" s="85"/>
      <c r="CH922" s="85"/>
      <c r="CI922" s="85"/>
      <c r="CJ922" s="85"/>
      <c r="CK922" s="2"/>
    </row>
    <row r="923" ht="12.75" customHeight="1">
      <c r="A923" s="80">
        <f>IFERROR(__xludf.DUMMYFUNCTION("""COMPUTED_VALUE"""),919.0)</f>
        <v>919</v>
      </c>
      <c r="B923" s="80"/>
      <c r="C923" s="80"/>
      <c r="D923" s="81">
        <f>IFERROR(__xludf.DUMMYFUNCTION("""COMPUTED_VALUE"""),46132.0)</f>
        <v>46132</v>
      </c>
      <c r="E923" s="82"/>
      <c r="F923" s="80"/>
      <c r="G923" s="81"/>
      <c r="H923" s="80"/>
      <c r="I923" s="80"/>
      <c r="J923" s="80"/>
      <c r="K923" s="80"/>
      <c r="L923" s="80"/>
      <c r="M923" s="80" t="str">
        <f>IFERROR(__xludf.DUMMYFUNCTION("""COMPUTED_VALUE"""),"ü")</f>
        <v>ü</v>
      </c>
      <c r="N923" s="80"/>
      <c r="O923" s="80"/>
      <c r="P923" s="80" t="str">
        <f>IFERROR(__xludf.DUMMYFUNCTION("""COMPUTED_VALUE"""),"MUCSPA63436PSIND")</f>
        <v>MUCSPA63436PSIND</v>
      </c>
      <c r="Q923" s="80" t="str">
        <f>IFERROR(__xludf.DUMMYFUNCTION("""COMPUTED_VALUE"""),"MUC BERKAHCELL")</f>
        <v>MUC BERKAHCELL</v>
      </c>
      <c r="R923" s="80" t="str">
        <f>IFERROR(__xludf.DUMMYFUNCTION("""COMPUTED_VALUE"""),"MUC BERKAHCELL")</f>
        <v>MUC BERKAHCELL</v>
      </c>
      <c r="S923" s="80" t="str">
        <f>IFERROR(__xludf.DUMMYFUNCTION("""COMPUTED_VALUE"""),"MUKARIMAH")</f>
        <v>MUKARIMAH</v>
      </c>
      <c r="T923" s="80" t="str">
        <f>IFERROR(__xludf.DUMMYFUNCTION("""COMPUTED_VALUE"""),"MERJOYO RT 1 RW 4")</f>
        <v>MERJOYO RT 1 RW 4</v>
      </c>
      <c r="U923" s="80" t="str">
        <f>IFERROR(__xludf.DUMMYFUNCTION("""COMPUTED_VALUE"""),"MERJOYO RT 1 RW 4")</f>
        <v>MERJOYO RT 1 RW 4</v>
      </c>
      <c r="V923" s="80"/>
      <c r="W923" s="80" t="str">
        <f>IFERROR(__xludf.DUMMYFUNCTION("""COMPUTED_VALUE"""),"BANJARAGUNG")</f>
        <v>BANJARAGUNG</v>
      </c>
      <c r="X923" s="80" t="str">
        <f>IFERROR(__xludf.DUMMYFUNCTION("""COMPUTED_VALUE"""),"KAJORAN")</f>
        <v>KAJORAN</v>
      </c>
      <c r="Y923" s="80" t="str">
        <f>IFERROR(__xludf.DUMMYFUNCTION("""COMPUTED_VALUE"""),"KAB. MAGELANG")</f>
        <v>KAB. MAGELANG</v>
      </c>
      <c r="Z923" s="80" t="str">
        <f>IFERROR(__xludf.DUMMYFUNCTION("""COMPUTED_VALUE"""),"JAWA TENGAH")</f>
        <v>JAWA TENGAH</v>
      </c>
      <c r="AA923" s="80" t="str">
        <f>IFERROR(__xludf.DUMMYFUNCTION("""COMPUTED_VALUE"""),"56163")</f>
        <v>56163</v>
      </c>
      <c r="AB923" s="80" t="str">
        <f>IFERROR(__xludf.DUMMYFUNCTION("""COMPUTED_VALUE"""),"3307024407900003")</f>
        <v>3307024407900003</v>
      </c>
      <c r="AC923" s="80" t="str">
        <f>IFERROR(__xludf.DUMMYFUNCTION("""COMPUTED_VALUE"""),"60.735.813.2-524.000")</f>
        <v>60.735.813.2-524.000</v>
      </c>
      <c r="AD923" s="80" t="str">
        <f>IFERROR(__xludf.DUMMYFUNCTION("""COMPUTED_VALUE"""),"BU ADILLA KC MAGELANG")</f>
        <v>BU ADILLA KC MAGELANG</v>
      </c>
      <c r="AE923" s="80" t="str">
        <f>IFERROR(__xludf.DUMMYFUNCTION("""COMPUTED_VALUE"""),"BU ADILLA KC MAGELANG")</f>
        <v>BU ADILLA KC MAGELANG</v>
      </c>
      <c r="AF923" s="80" t="str">
        <f>IFERROR(__xludf.DUMMYFUNCTION("""COMPUTED_VALUE"""),"081372223767")</f>
        <v>081372223767</v>
      </c>
      <c r="AG923" s="80"/>
      <c r="AH923" s="80" t="str">
        <f>IFERROR(__xludf.DUMMYFUNCTION("""COMPUTED_VALUE"""),"hanifuddink@yahoo.co.id")</f>
        <v>hanifuddink@yahoo.co.id</v>
      </c>
      <c r="AI923" s="80"/>
      <c r="AJ923" s="80"/>
      <c r="AK923" s="80"/>
      <c r="AL923" s="80"/>
      <c r="AM923" s="80" t="str">
        <f>IFERROR(__xludf.DUMMYFUNCTION("""COMPUTED_VALUE"""),"KANTOR REGIONAL IV SEMARANG 50004")</f>
        <v>KANTOR REGIONAL IV SEMARANG 50004</v>
      </c>
      <c r="AN923" s="80" t="str">
        <f>IFERROR(__xludf.DUMMYFUNCTION("""COMPUTED_VALUE"""),"KC MAGELANG 56100")</f>
        <v>KC MAGELANG 56100</v>
      </c>
      <c r="AO923" s="80" t="str">
        <f>IFERROR(__xludf.DUMMYFUNCTION("""COMPUTED_VALUE"""),"1604260067889")</f>
        <v>1604260067889</v>
      </c>
      <c r="AP923" s="80" t="str">
        <f>IFERROR(__xludf.DUMMYFUNCTION("""COMPUTED_VALUE"""),"16042600678890001")</f>
        <v>16042600678890001</v>
      </c>
      <c r="AQ923" s="83" t="str">
        <f>IFERROR(__xludf.DUMMYFUNCTION("""COMPUTED_VALUE"""),"BRI / 676701013619539 / KHOIRUL HANIFUDDIN")</f>
        <v>BRI / 676701013619539 / KHOIRUL HANIFUDDIN</v>
      </c>
      <c r="AR923" s="80"/>
      <c r="AS923" s="80"/>
      <c r="AT923" s="80" t="str">
        <f>IFERROR(__xludf.DUMMYFUNCTION("""COMPUTED_VALUE"""),"-7.4810432")</f>
        <v>-7.4810432</v>
      </c>
      <c r="AU923" s="80" t="str">
        <f>IFERROR(__xludf.DUMMYFUNCTION("""COMPUTED_VALUE"""),"110.1147824")</f>
        <v>110.1147824</v>
      </c>
      <c r="AV923" s="80"/>
      <c r="AW923" s="80"/>
      <c r="AX923" s="80"/>
      <c r="AY923" s="80"/>
      <c r="AZ923" s="80"/>
      <c r="BA923" s="80"/>
      <c r="BB923" s="80"/>
      <c r="BC923" s="80"/>
      <c r="BD923" s="80"/>
      <c r="BE923" s="80"/>
      <c r="BF923" s="80"/>
      <c r="BG923" s="80"/>
      <c r="BH923" s="80"/>
      <c r="BI923" s="80"/>
      <c r="BJ923" s="80"/>
      <c r="BK923" s="80"/>
      <c r="BL923" s="80"/>
      <c r="BM923" s="80"/>
      <c r="BN923" s="80"/>
      <c r="BO923" s="80"/>
      <c r="BP923" s="80"/>
      <c r="BQ923" s="80"/>
      <c r="BR923" s="80"/>
      <c r="BS923" s="80"/>
      <c r="BT923" s="80"/>
      <c r="BU923" s="80"/>
      <c r="BV923" s="80"/>
      <c r="BW923" s="80"/>
      <c r="BX923" s="80" t="str">
        <f>IFERROR(__xludf.DUMMYFUNCTION("""COMPUTED_VALUE"""),"NEWBIE")</f>
        <v>NEWBIE</v>
      </c>
      <c r="BY923" s="80"/>
      <c r="BZ923" s="80"/>
      <c r="CA923" s="80"/>
      <c r="CB923" s="80"/>
      <c r="CC923" s="80"/>
      <c r="CD923" s="80"/>
      <c r="CE923" s="80"/>
      <c r="CF923" s="80"/>
      <c r="CG923" s="80"/>
      <c r="CH923" s="80"/>
      <c r="CI923" s="80"/>
      <c r="CJ923" s="80"/>
      <c r="CK923" s="2"/>
    </row>
    <row r="924" ht="12.75" customHeight="1">
      <c r="A924" s="85">
        <f>IFERROR(__xludf.DUMMYFUNCTION("""COMPUTED_VALUE"""),920.0)</f>
        <v>920</v>
      </c>
      <c r="B924" s="85"/>
      <c r="C924" s="85"/>
      <c r="D924" s="86">
        <f>IFERROR(__xludf.DUMMYFUNCTION("""COMPUTED_VALUE"""),46132.0)</f>
        <v>46132</v>
      </c>
      <c r="E924" s="88"/>
      <c r="F924" s="85"/>
      <c r="G924" s="86"/>
      <c r="H924" s="85"/>
      <c r="I924" s="85"/>
      <c r="J924" s="85"/>
      <c r="K924" s="85"/>
      <c r="L924" s="85"/>
      <c r="M924" s="85" t="str">
        <f>IFERROR(__xludf.DUMMYFUNCTION("""COMPUTED_VALUE"""),"ü")</f>
        <v>ü</v>
      </c>
      <c r="N924" s="85"/>
      <c r="O924" s="85"/>
      <c r="P924" s="85" t="str">
        <f>IFERROR(__xludf.DUMMYFUNCTION("""COMPUTED_VALUE"""),"MUCSPA63437PSIND")</f>
        <v>MUCSPA63437PSIND</v>
      </c>
      <c r="Q924" s="85" t="str">
        <f>IFERROR(__xludf.DUMMYFUNCTION("""COMPUTED_VALUE"""),"MUC TOKO MAJU KUDUS")</f>
        <v>MUC TOKO MAJU KUDUS</v>
      </c>
      <c r="R924" s="85" t="str">
        <f>IFERROR(__xludf.DUMMYFUNCTION("""COMPUTED_VALUE"""),"MUC TOKO MAJU KUDUS")</f>
        <v>MUC TOKO MAJU KUDUS</v>
      </c>
      <c r="S924" s="85" t="str">
        <f>IFERROR(__xludf.DUMMYFUNCTION("""COMPUTED_VALUE"""),"RUDY KURNIAWAN SUTANTO")</f>
        <v>RUDY KURNIAWAN SUTANTO</v>
      </c>
      <c r="T924" s="85" t="str">
        <f>IFERROR(__xludf.DUMMYFUNCTION("""COMPUTED_VALUE"""),"JL. SUNAN KUDUS NO 57 RT.004 RW.007. DEMAAN, KOTA KUDUS, KAB. KUDUS, JAWA TENGAH")</f>
        <v>JL. SUNAN KUDUS NO 57 RT.004 RW.007. DEMAAN, KOTA KUDUS, KAB. KUDUS, JAWA TENGAH</v>
      </c>
      <c r="U924" s="85" t="str">
        <f>IFERROR(__xludf.DUMMYFUNCTION("""COMPUTED_VALUE"""),"Jln. Sunan Kudus no 57")</f>
        <v>Jln. Sunan Kudus no 57</v>
      </c>
      <c r="V924" s="85"/>
      <c r="W924" s="85" t="str">
        <f>IFERROR(__xludf.DUMMYFUNCTION("""COMPUTED_VALUE"""),"Demaan")</f>
        <v>Demaan</v>
      </c>
      <c r="X924" s="85" t="str">
        <f>IFERROR(__xludf.DUMMYFUNCTION("""COMPUTED_VALUE"""),"Kota Kudus")</f>
        <v>Kota Kudus</v>
      </c>
      <c r="Y924" s="85" t="str">
        <f>IFERROR(__xludf.DUMMYFUNCTION("""COMPUTED_VALUE"""),"Kab. Kudus")</f>
        <v>Kab. Kudus</v>
      </c>
      <c r="Z924" s="85" t="str">
        <f>IFERROR(__xludf.DUMMYFUNCTION("""COMPUTED_VALUE"""),"Jawa Tengah")</f>
        <v>Jawa Tengah</v>
      </c>
      <c r="AA924" s="85" t="str">
        <f>IFERROR(__xludf.DUMMYFUNCTION("""COMPUTED_VALUE"""),"59313")</f>
        <v>59313</v>
      </c>
      <c r="AB924" s="85" t="str">
        <f>IFERROR(__xludf.DUMMYFUNCTION("""COMPUTED_VALUE"""),"3319021611790002")</f>
        <v>3319021611790002</v>
      </c>
      <c r="AC924" s="85" t="str">
        <f>IFERROR(__xludf.DUMMYFUNCTION("""COMPUTED_VALUE"""),"76.731.513.8-506.000")</f>
        <v>76.731.513.8-506.000</v>
      </c>
      <c r="AD924" s="85" t="str">
        <f>IFERROR(__xludf.DUMMYFUNCTION("""COMPUTED_VALUE"""),"NON KORGEN")</f>
        <v>NON KORGEN</v>
      </c>
      <c r="AE924" s="85" t="str">
        <f>IFERROR(__xludf.DUMMYFUNCTION("""COMPUTED_VALUE"""),"KC KUDUS")</f>
        <v>KC KUDUS</v>
      </c>
      <c r="AF924" s="85" t="str">
        <f>IFERROR(__xludf.DUMMYFUNCTION("""COMPUTED_VALUE"""),"085325338778")</f>
        <v>085325338778</v>
      </c>
      <c r="AG924" s="85"/>
      <c r="AH924" s="85" t="str">
        <f>IFERROR(__xludf.DUMMYFUNCTION("""COMPUTED_VALUE"""),"rudyks@gmail.com")</f>
        <v>rudyks@gmail.com</v>
      </c>
      <c r="AI924" s="85"/>
      <c r="AJ924" s="85"/>
      <c r="AK924" s="85"/>
      <c r="AL924" s="85"/>
      <c r="AM924" s="85" t="str">
        <f>IFERROR(__xludf.DUMMYFUNCTION("""COMPUTED_VALUE"""),"KANTOR REGIONAL IV SEMARANG 50004")</f>
        <v>KANTOR REGIONAL IV SEMARANG 50004</v>
      </c>
      <c r="AN924" s="85" t="str">
        <f>IFERROR(__xludf.DUMMYFUNCTION("""COMPUTED_VALUE"""),"KC KUDUS")</f>
        <v>KC KUDUS</v>
      </c>
      <c r="AO924" s="85" t="str">
        <f>IFERROR(__xludf.DUMMYFUNCTION("""COMPUTED_VALUE"""),"2104260181237")</f>
        <v>2104260181237</v>
      </c>
      <c r="AP924" s="85" t="str">
        <f>IFERROR(__xludf.DUMMYFUNCTION("""COMPUTED_VALUE"""),"20042600458210001")</f>
        <v>20042600458210001</v>
      </c>
      <c r="AQ924" s="93" t="str">
        <f>IFERROR(__xludf.DUMMYFUNCTION("""COMPUTED_VALUE"""),"BCA / 0312657234 / Rudy Kurniawan Sutanto")</f>
        <v>BCA / 0312657234 / Rudy Kurniawan Sutanto</v>
      </c>
      <c r="AR924" s="85"/>
      <c r="AS924" s="85"/>
      <c r="AT924" s="85" t="str">
        <f>IFERROR(__xludf.DUMMYFUNCTION("""COMPUTED_VALUE"""),"-6.8077215")</f>
        <v>-6.8077215</v>
      </c>
      <c r="AU924" s="85" t="str">
        <f>IFERROR(__xludf.DUMMYFUNCTION("""COMPUTED_VALUE"""),"110.8394172")</f>
        <v>110.8394172</v>
      </c>
      <c r="AV924" s="85"/>
      <c r="AW924" s="85"/>
      <c r="AX924" s="85"/>
      <c r="AY924" s="85"/>
      <c r="AZ924" s="85"/>
      <c r="BA924" s="85"/>
      <c r="BB924" s="85"/>
      <c r="BC924" s="85"/>
      <c r="BD924" s="85"/>
      <c r="BE924" s="85"/>
      <c r="BF924" s="85"/>
      <c r="BG924" s="85"/>
      <c r="BH924" s="85"/>
      <c r="BI924" s="85"/>
      <c r="BJ924" s="85"/>
      <c r="BK924" s="85"/>
      <c r="BL924" s="85"/>
      <c r="BM924" s="85"/>
      <c r="BN924" s="85"/>
      <c r="BO924" s="85"/>
      <c r="BP924" s="85"/>
      <c r="BQ924" s="85"/>
      <c r="BR924" s="85"/>
      <c r="BS924" s="85"/>
      <c r="BT924" s="85"/>
      <c r="BU924" s="85"/>
      <c r="BV924" s="85"/>
      <c r="BW924" s="85"/>
      <c r="BX924" s="85" t="str">
        <f>IFERROR(__xludf.DUMMYFUNCTION("""COMPUTED_VALUE"""),"MULTIKURIR - LION PARCEL")</f>
        <v>MULTIKURIR - LION PARCEL</v>
      </c>
      <c r="BY924" s="85"/>
      <c r="BZ924" s="85"/>
      <c r="CA924" s="85"/>
      <c r="CB924" s="85"/>
      <c r="CC924" s="85"/>
      <c r="CD924" s="85"/>
      <c r="CE924" s="85"/>
      <c r="CF924" s="85"/>
      <c r="CG924" s="85"/>
      <c r="CH924" s="85"/>
      <c r="CI924" s="85"/>
      <c r="CJ924" s="85"/>
      <c r="CK924" s="2"/>
    </row>
    <row r="925" ht="12.75" customHeight="1">
      <c r="A925" s="80">
        <f>IFERROR(__xludf.DUMMYFUNCTION("""COMPUTED_VALUE"""),921.0)</f>
        <v>921</v>
      </c>
      <c r="B925" s="80"/>
      <c r="C925" s="80"/>
      <c r="D925" s="81">
        <f>IFERROR(__xludf.DUMMYFUNCTION("""COMPUTED_VALUE"""),46133.0)</f>
        <v>46133</v>
      </c>
      <c r="E925" s="82"/>
      <c r="F925" s="80"/>
      <c r="G925" s="81">
        <f>IFERROR(__xludf.DUMMYFUNCTION("""COMPUTED_VALUE"""),46170.0)</f>
        <v>46170</v>
      </c>
      <c r="H925" s="80"/>
      <c r="I925" s="80"/>
      <c r="J925" s="80"/>
      <c r="K925" s="80"/>
      <c r="L925" s="80">
        <f>IFERROR(__xludf.DUMMYFUNCTION("""COMPUTED_VALUE"""),37.0)</f>
        <v>37</v>
      </c>
      <c r="M925" s="80" t="str">
        <f>IFERROR(__xludf.DUMMYFUNCTION("""COMPUTED_VALUE"""),"ü")</f>
        <v>ü</v>
      </c>
      <c r="N925" s="80"/>
      <c r="O925" s="80"/>
      <c r="P925" s="80" t="str">
        <f>IFERROR(__xludf.DUMMYFUNCTION("""COMPUTED_VALUE"""),"53BSPA09588JBNDS  ")</f>
        <v>53BSPA09588JBNDS  </v>
      </c>
      <c r="Q925" s="80" t="str">
        <f>IFERROR(__xludf.DUMMYFUNCTION("""COMPUTED_VALUE"""),"MUC RAFARRAS ")</f>
        <v>MUC RAFARRAS </v>
      </c>
      <c r="R925" s="80" t="str">
        <f>IFERROR(__xludf.DUMMYFUNCTION("""COMPUTED_VALUE"""),"MUC RAFARRAS ")</f>
        <v>MUC RAFARRAS </v>
      </c>
      <c r="S925" s="80" t="str">
        <f>IFERROR(__xludf.DUMMYFUNCTION("""COMPUTED_VALUE"""),"Firmansyah ")</f>
        <v>Firmansyah </v>
      </c>
      <c r="T925" s="80" t="str">
        <f>IFERROR(__xludf.DUMMYFUNCTION("""COMPUTED_VALUE"""),"JL CIBUBUR 1 NO 100, RT.011 RW.001, CIBUBUR, CIRACAS, JAKARTA TIMUR")</f>
        <v>JL CIBUBUR 1 NO 100, RT.011 RW.001, CIBUBUR, CIRACAS, JAKARTA TIMUR</v>
      </c>
      <c r="U925" s="80" t="str">
        <f>IFERROR(__xludf.DUMMYFUNCTION("""COMPUTED_VALUE"""),"Jl Cibubur Raya 1 ")</f>
        <v>Jl Cibubur Raya 1 </v>
      </c>
      <c r="V925" s="80"/>
      <c r="W925" s="80" t="str">
        <f>IFERROR(__xludf.DUMMYFUNCTION("""COMPUTED_VALUE"""),"Cibubur ")</f>
        <v>Cibubur </v>
      </c>
      <c r="X925" s="80" t="str">
        <f>IFERROR(__xludf.DUMMYFUNCTION("""COMPUTED_VALUE"""),"Ciracas")</f>
        <v>Ciracas</v>
      </c>
      <c r="Y925" s="80" t="str">
        <f>IFERROR(__xludf.DUMMYFUNCTION("""COMPUTED_VALUE"""),"Jakarta Timur")</f>
        <v>Jakarta Timur</v>
      </c>
      <c r="Z925" s="80" t="str">
        <f>IFERROR(__xludf.DUMMYFUNCTION("""COMPUTED_VALUE"""),"DKI jakarta")</f>
        <v>DKI jakarta</v>
      </c>
      <c r="AA925" s="80" t="str">
        <f>IFERROR(__xludf.DUMMYFUNCTION("""COMPUTED_VALUE"""),"13720")</f>
        <v>13720</v>
      </c>
      <c r="AB925" s="80" t="str">
        <f>IFERROR(__xludf.DUMMYFUNCTION("""COMPUTED_VALUE"""),"3175091311710005")</f>
        <v>3175091311710005</v>
      </c>
      <c r="AC925" s="80" t="str">
        <f>IFERROR(__xludf.DUMMYFUNCTION("""COMPUTED_VALUE"""),"35.164.961.1-009.000")</f>
        <v>35.164.961.1-009.000</v>
      </c>
      <c r="AD925" s="80" t="str">
        <f>IFERROR(__xludf.DUMMYFUNCTION("""COMPUTED_VALUE"""),"CUM - NDS")</f>
        <v>CUM - NDS</v>
      </c>
      <c r="AE925" s="80" t="str">
        <f>IFERROR(__xludf.DUMMYFUNCTION("""COMPUTED_VALUE"""),"SUB NURUL DIMAS")</f>
        <v>SUB NURUL DIMAS</v>
      </c>
      <c r="AF925" s="80" t="str">
        <f>IFERROR(__xludf.DUMMYFUNCTION("""COMPUTED_VALUE"""),"081288819944")</f>
        <v>081288819944</v>
      </c>
      <c r="AG925" s="80"/>
      <c r="AH925" s="80" t="str">
        <f>IFERROR(__xludf.DUMMYFUNCTION("""COMPUTED_VALUE"""),"firmansyah131171@gmail.com")</f>
        <v>firmansyah131171@gmail.com</v>
      </c>
      <c r="AI925" s="80" t="str">
        <f>IFERROR(__xludf.DUMMYFUNCTION("""COMPUTED_VALUE"""),"13720S5")</f>
        <v>13720S5</v>
      </c>
      <c r="AJ925" s="80" t="str">
        <f>IFERROR(__xludf.DUMMYFUNCTION("""COMPUTED_VALUE"""),"6a0428882035349c5e091cf6")</f>
        <v>6a0428882035349c5e091cf6</v>
      </c>
      <c r="AK925" s="80" t="str">
        <f>IFERROR(__xludf.DUMMYFUNCTION("""COMPUTED_VALUE"""),"firmansyah131171@gmail.com")</f>
        <v>firmansyah131171@gmail.com</v>
      </c>
      <c r="AL925" s="80" t="str">
        <f>IFERROR(__xludf.DUMMYFUNCTION("""COMPUTED_VALUE"""),"#Muc13720S5$")</f>
        <v>#Muc13720S5$</v>
      </c>
      <c r="AM925" s="80" t="str">
        <f>IFERROR(__xludf.DUMMYFUNCTION("""COMPUTED_VALUE"""),"KANTOR REGIONAL II JAKARTA 10004")</f>
        <v>KANTOR REGIONAL II JAKARTA 10004</v>
      </c>
      <c r="AN925" s="80" t="str">
        <f>IFERROR(__xludf.DUMMYFUNCTION("""COMPUTED_VALUE"""),"KCU JAKARTAPREMIER 13000")</f>
        <v>KCU JAKARTAPREMIER 13000</v>
      </c>
      <c r="AO925" s="80" t="str">
        <f>IFERROR(__xludf.DUMMYFUNCTION("""COMPUTED_VALUE"""),"2104260181237")</f>
        <v>2104260181237</v>
      </c>
      <c r="AP925" s="80" t="str">
        <f>IFERROR(__xludf.DUMMYFUNCTION("""COMPUTED_VALUE"""),"21042601812370001")</f>
        <v>21042601812370001</v>
      </c>
      <c r="AQ925" s="83" t="str">
        <f>IFERROR(__xludf.DUMMYFUNCTION("""COMPUTED_VALUE"""),"BCA / 6280425999 / Firmansyah")</f>
        <v>BCA / 6280425999 / Firmansyah</v>
      </c>
      <c r="AR925" s="80"/>
      <c r="AS925" s="80"/>
      <c r="AT925" s="80" t="str">
        <f>IFERROR(__xludf.DUMMYFUNCTION("""COMPUTED_VALUE"""),"-6.3428637")</f>
        <v>-6.3428637</v>
      </c>
      <c r="AU925" s="80" t="str">
        <f>IFERROR(__xludf.DUMMYFUNCTION("""COMPUTED_VALUE"""),"106.8735719")</f>
        <v>106.8735719</v>
      </c>
      <c r="AV925" s="80"/>
      <c r="AW925" s="80"/>
      <c r="AX925" s="80"/>
      <c r="AY925" s="80"/>
      <c r="AZ925" s="80"/>
      <c r="BA925" s="80"/>
      <c r="BB925" s="80"/>
      <c r="BC925" s="80"/>
      <c r="BD925" s="80"/>
      <c r="BE925" s="80"/>
      <c r="BF925" s="80"/>
      <c r="BG925" s="80"/>
      <c r="BH925" s="80"/>
      <c r="BI925" s="80"/>
      <c r="BJ925" s="80"/>
      <c r="BK925" s="80"/>
      <c r="BL925" s="80"/>
      <c r="BM925" s="80"/>
      <c r="BN925" s="80"/>
      <c r="BO925" s="80"/>
      <c r="BP925" s="80"/>
      <c r="BQ925" s="80"/>
      <c r="BR925" s="80"/>
      <c r="BS925" s="80"/>
      <c r="BT925" s="80"/>
      <c r="BU925" s="80"/>
      <c r="BV925" s="80"/>
      <c r="BW925" s="80"/>
      <c r="BX925" s="80" t="str">
        <f>IFERROR(__xludf.DUMMYFUNCTION("""COMPUTED_VALUE"""),"NEWBIE OLSHOP")</f>
        <v>NEWBIE OLSHOP</v>
      </c>
      <c r="BY925" s="80"/>
      <c r="BZ925" s="80"/>
      <c r="CA925" s="80"/>
      <c r="CB925" s="80"/>
      <c r="CC925" s="80"/>
      <c r="CD925" s="80"/>
      <c r="CE925" s="80"/>
      <c r="CF925" s="80"/>
      <c r="CG925" s="80"/>
      <c r="CH925" s="80"/>
      <c r="CI925" s="80"/>
      <c r="CJ925" s="80"/>
      <c r="CK925" s="2"/>
    </row>
    <row r="926" ht="12.75" customHeight="1">
      <c r="A926" s="85">
        <f>IFERROR(__xludf.DUMMYFUNCTION("""COMPUTED_VALUE"""),922.0)</f>
        <v>922</v>
      </c>
      <c r="B926" s="85"/>
      <c r="C926" s="85"/>
      <c r="D926" s="86">
        <f>IFERROR(__xludf.DUMMYFUNCTION("""COMPUTED_VALUE"""),46133.0)</f>
        <v>46133</v>
      </c>
      <c r="E926" s="88"/>
      <c r="F926" s="85"/>
      <c r="G926" s="86"/>
      <c r="H926" s="85"/>
      <c r="I926" s="85"/>
      <c r="J926" s="85"/>
      <c r="K926" s="85"/>
      <c r="L926" s="85"/>
      <c r="M926" s="85" t="str">
        <f>IFERROR(__xludf.DUMMYFUNCTION("""COMPUTED_VALUE"""),"ü")</f>
        <v>ü</v>
      </c>
      <c r="N926" s="85"/>
      <c r="O926" s="85"/>
      <c r="P926" s="85" t="str">
        <f>IFERROR(__xludf.DUMMYFUNCTION("""COMPUTED_VALUE"""),"MUCSPA63438PSIND")</f>
        <v>MUCSPA63438PSIND</v>
      </c>
      <c r="Q926" s="85" t="str">
        <f>IFERROR(__xludf.DUMMYFUNCTION("""COMPUTED_VALUE"""),"MUC EL HIKAM")</f>
        <v>MUC EL HIKAM</v>
      </c>
      <c r="R926" s="85" t="str">
        <f>IFERROR(__xludf.DUMMYFUNCTION("""COMPUTED_VALUE"""),"MUC EL HIKAM")</f>
        <v>MUC EL HIKAM</v>
      </c>
      <c r="S926" s="85" t="str">
        <f>IFERROR(__xludf.DUMMYFUNCTION("""COMPUTED_VALUE"""),"ANDHITA MAURIELL JASMINE")</f>
        <v>ANDHITA MAURIELL JASMINE</v>
      </c>
      <c r="T926" s="85" t="str">
        <f>IFERROR(__xludf.DUMMYFUNCTION("""COMPUTED_VALUE"""),"BABAKAN LIMUUSNUNGGAL NO. 2 RT 1 RW 1")</f>
        <v>BABAKAN LIMUUSNUNGGAL NO. 2 RT 1 RW 1</v>
      </c>
      <c r="U926" s="85" t="str">
        <f>IFERROR(__xludf.DUMMYFUNCTION("""COMPUTED_VALUE"""),"PERUM TAMAN GENTENG PURI BLOK B1 NO. 5")</f>
        <v>PERUM TAMAN GENTENG PURI BLOK B1 NO. 5</v>
      </c>
      <c r="V926" s="85"/>
      <c r="W926" s="85" t="str">
        <f>IFERROR(__xludf.DUMMYFUNCTION("""COMPUTED_VALUE"""),"BAROS ")</f>
        <v>BAROS </v>
      </c>
      <c r="X926" s="85" t="str">
        <f>IFERROR(__xludf.DUMMYFUNCTION("""COMPUTED_VALUE"""),"BAROS ")</f>
        <v>BAROS </v>
      </c>
      <c r="Y926" s="85" t="str">
        <f>IFERROR(__xludf.DUMMYFUNCTION("""COMPUTED_VALUE"""),"KOTA SUKABUMI")</f>
        <v>KOTA SUKABUMI</v>
      </c>
      <c r="Z926" s="85" t="str">
        <f>IFERROR(__xludf.DUMMYFUNCTION("""COMPUTED_VALUE"""),"JAWA BARAT")</f>
        <v>JAWA BARAT</v>
      </c>
      <c r="AA926" s="85" t="str">
        <f>IFERROR(__xludf.DUMMYFUNCTION("""COMPUTED_VALUE"""),"43161")</f>
        <v>43161</v>
      </c>
      <c r="AB926" s="85" t="str">
        <f>IFERROR(__xludf.DUMMYFUNCTION("""COMPUTED_VALUE"""),"3272076112030904")</f>
        <v>3272076112030904</v>
      </c>
      <c r="AC926" s="85" t="str">
        <f>IFERROR(__xludf.DUMMYFUNCTION("""COMPUTED_VALUE"""),"3272076112030904")</f>
        <v>3272076112030904</v>
      </c>
      <c r="AD926" s="85" t="str">
        <f>IFERROR(__xludf.DUMMYFUNCTION("""COMPUTED_VALUE"""),"CUM - NOVI")</f>
        <v>CUM - NOVI</v>
      </c>
      <c r="AE926" s="85" t="str">
        <f>IFERROR(__xludf.DUMMYFUNCTION("""COMPUTED_VALUE"""),"SUB NOVI")</f>
        <v>SUB NOVI</v>
      </c>
      <c r="AF926" s="85" t="str">
        <f>IFERROR(__xludf.DUMMYFUNCTION("""COMPUTED_VALUE"""),"081318045052")</f>
        <v>081318045052</v>
      </c>
      <c r="AG926" s="85"/>
      <c r="AH926" s="85" t="str">
        <f>IFERROR(__xludf.DUMMYFUNCTION("""COMPUTED_VALUE"""),"sejahterasitukawi@gmail.com")</f>
        <v>sejahterasitukawi@gmail.com</v>
      </c>
      <c r="AI926" s="85"/>
      <c r="AJ926" s="85"/>
      <c r="AK926" s="85"/>
      <c r="AL926" s="85"/>
      <c r="AM926" s="85" t="str">
        <f>IFERROR(__xludf.DUMMYFUNCTION("""COMPUTED_VALUE"""),"KANTOR REGIONAL III BANDUNG 40004")</f>
        <v>KANTOR REGIONAL III BANDUNG 40004</v>
      </c>
      <c r="AN926" s="85" t="str">
        <f>IFERROR(__xludf.DUMMYFUNCTION("""COMPUTED_VALUE"""),"KC SUKABUMI")</f>
        <v>KC SUKABUMI</v>
      </c>
      <c r="AO926" s="85" t="str">
        <f>IFERROR(__xludf.DUMMYFUNCTION("""COMPUTED_VALUE"""),"2004260063966")</f>
        <v>2004260063966</v>
      </c>
      <c r="AP926" s="85" t="str">
        <f>IFERROR(__xludf.DUMMYFUNCTION("""COMPUTED_VALUE"""),"20042600639660001")</f>
        <v>20042600639660001</v>
      </c>
      <c r="AQ926" s="93" t="str">
        <f>IFERROR(__xludf.DUMMYFUNCTION("""COMPUTED_VALUE"""),"BSI / 7213551293 / ANDHITA MAURIELL JASMINE")</f>
        <v>BSI / 7213551293 / ANDHITA MAURIELL JASMINE</v>
      </c>
      <c r="AR926" s="85"/>
      <c r="AS926" s="85"/>
      <c r="AT926" s="85" t="str">
        <f>IFERROR(__xludf.DUMMYFUNCTION("""COMPUTED_VALUE"""),"-6.9630227")</f>
        <v>-6.9630227</v>
      </c>
      <c r="AU926" s="85" t="str">
        <f>IFERROR(__xludf.DUMMYFUNCTION("""COMPUTED_VALUE"""),"106.9461367")</f>
        <v>106.9461367</v>
      </c>
      <c r="AV926" s="85"/>
      <c r="AW926" s="85"/>
      <c r="AX926" s="85"/>
      <c r="AY926" s="85"/>
      <c r="AZ926" s="85"/>
      <c r="BA926" s="85"/>
      <c r="BB926" s="85"/>
      <c r="BC926" s="85"/>
      <c r="BD926" s="85"/>
      <c r="BE926" s="85"/>
      <c r="BF926" s="85"/>
      <c r="BG926" s="85"/>
      <c r="BH926" s="85"/>
      <c r="BI926" s="85"/>
      <c r="BJ926" s="85"/>
      <c r="BK926" s="85"/>
      <c r="BL926" s="85"/>
      <c r="BM926" s="85"/>
      <c r="BN926" s="85"/>
      <c r="BO926" s="85"/>
      <c r="BP926" s="85"/>
      <c r="BQ926" s="85"/>
      <c r="BR926" s="85"/>
      <c r="BS926" s="85"/>
      <c r="BT926" s="85"/>
      <c r="BU926" s="85"/>
      <c r="BV926" s="85"/>
      <c r="BW926" s="85"/>
      <c r="BX926" s="85" t="str">
        <f>IFERROR(__xludf.DUMMYFUNCTION("""COMPUTED_VALUE"""),"NEWBIE")</f>
        <v>NEWBIE</v>
      </c>
      <c r="BY926" s="85"/>
      <c r="BZ926" s="85"/>
      <c r="CA926" s="85"/>
      <c r="CB926" s="85"/>
      <c r="CC926" s="85"/>
      <c r="CD926" s="85"/>
      <c r="CE926" s="85"/>
      <c r="CF926" s="85"/>
      <c r="CG926" s="85"/>
      <c r="CH926" s="85"/>
      <c r="CI926" s="85"/>
      <c r="CJ926" s="85"/>
      <c r="CK926" s="2"/>
    </row>
    <row r="927" ht="12.75" customHeight="1">
      <c r="A927" s="80">
        <f>IFERROR(__xludf.DUMMYFUNCTION("""COMPUTED_VALUE"""),923.0)</f>
        <v>923</v>
      </c>
      <c r="B927" s="80"/>
      <c r="C927" s="80"/>
      <c r="D927" s="81">
        <f>IFERROR(__xludf.DUMMYFUNCTION("""COMPUTED_VALUE"""),46139.0)</f>
        <v>46139</v>
      </c>
      <c r="E927" s="82"/>
      <c r="F927" s="80"/>
      <c r="G927" s="81"/>
      <c r="H927" s="80"/>
      <c r="I927" s="80"/>
      <c r="J927" s="80"/>
      <c r="K927" s="80"/>
      <c r="L927" s="80"/>
      <c r="M927" s="80" t="str">
        <f>IFERROR(__xludf.DUMMYFUNCTION("""COMPUTED_VALUE"""),"ü")</f>
        <v>ü</v>
      </c>
      <c r="N927" s="80"/>
      <c r="O927" s="80"/>
      <c r="P927" s="80" t="str">
        <f>IFERROR(__xludf.DUMMYFUNCTION("""COMPUTED_VALUE"""),"53BSPA09587JBNDS ")</f>
        <v>53BSPA09587JBNDS </v>
      </c>
      <c r="Q927" s="80" t="str">
        <f>IFERROR(__xludf.DUMMYFUNCTION("""COMPUTED_VALUE"""),"MUC Myesha Putri Mandiri")</f>
        <v>MUC Myesha Putri Mandiri</v>
      </c>
      <c r="R927" s="80" t="str">
        <f>IFERROR(__xludf.DUMMYFUNCTION("""COMPUTED_VALUE"""),"MUC Myesha Putri Mandiri")</f>
        <v>MUC Myesha Putri Mandiri</v>
      </c>
      <c r="S927" s="80" t="str">
        <f>IFERROR(__xludf.DUMMYFUNCTION("""COMPUTED_VALUE"""),"Jen Siswoyo Wibowo")</f>
        <v>Jen Siswoyo Wibowo</v>
      </c>
      <c r="T927" s="80" t="str">
        <f>IFERROR(__xludf.DUMMYFUNCTION("""COMPUTED_VALUE"""),"Jalan Waringin Rt.02 Rw.07 Desa Jungjang Kec. Arjawinangun kab. Cirebon")</f>
        <v>Jalan Waringin Rt.02 Rw.07 Desa Jungjang Kec. Arjawinangun kab. Cirebon</v>
      </c>
      <c r="U927" s="80" t="str">
        <f>IFERROR(__xludf.DUMMYFUNCTION("""COMPUTED_VALUE"""),"Jalan Pahlawan No. 33")</f>
        <v>Jalan Pahlawan No. 33</v>
      </c>
      <c r="V927" s="80"/>
      <c r="W927" s="80" t="str">
        <f>IFERROR(__xludf.DUMMYFUNCTION("""COMPUTED_VALUE"""),"Arjawinangun")</f>
        <v>Arjawinangun</v>
      </c>
      <c r="X927" s="80" t="str">
        <f>IFERROR(__xludf.DUMMYFUNCTION("""COMPUTED_VALUE"""),"Arjawinangun")</f>
        <v>Arjawinangun</v>
      </c>
      <c r="Y927" s="80" t="str">
        <f>IFERROR(__xludf.DUMMYFUNCTION("""COMPUTED_VALUE"""),"Kab. Cirebon")</f>
        <v>Kab. Cirebon</v>
      </c>
      <c r="Z927" s="80" t="str">
        <f>IFERROR(__xludf.DUMMYFUNCTION("""COMPUTED_VALUE"""),"Jawabarat")</f>
        <v>Jawabarat</v>
      </c>
      <c r="AA927" s="80" t="str">
        <f>IFERROR(__xludf.DUMMYFUNCTION("""COMPUTED_VALUE"""),"45162")</f>
        <v>45162</v>
      </c>
      <c r="AB927" s="80" t="str">
        <f>IFERROR(__xludf.DUMMYFUNCTION("""COMPUTED_VALUE"""),"3209241911940008")</f>
        <v>3209241911940008</v>
      </c>
      <c r="AC927" s="80" t="str">
        <f>IFERROR(__xludf.DUMMYFUNCTION("""COMPUTED_VALUE"""),"46.130.674.8.426.000")</f>
        <v>46.130.674.8.426.000</v>
      </c>
      <c r="AD927" s="80" t="str">
        <f>IFERROR(__xludf.DUMMYFUNCTION("""COMPUTED_VALUE"""),"CUM - NDS")</f>
        <v>CUM - NDS</v>
      </c>
      <c r="AE927" s="80" t="str">
        <f>IFERROR(__xludf.DUMMYFUNCTION("""COMPUTED_VALUE"""),"SUB NURUL DIMAS")</f>
        <v>SUB NURUL DIMAS</v>
      </c>
      <c r="AF927" s="80" t="str">
        <f>IFERROR(__xludf.DUMMYFUNCTION("""COMPUTED_VALUE"""),"082210108229")</f>
        <v>082210108229</v>
      </c>
      <c r="AG927" s="80"/>
      <c r="AH927" s="80" t="str">
        <f>IFERROR(__xludf.DUMMYFUNCTION("""COMPUTED_VALUE"""),"jensiswoyowibowo@gmail.com")</f>
        <v>jensiswoyowibowo@gmail.com</v>
      </c>
      <c r="AI927" s="80"/>
      <c r="AJ927" s="80"/>
      <c r="AK927" s="80"/>
      <c r="AL927" s="80"/>
      <c r="AM927" s="80" t="str">
        <f>IFERROR(__xludf.DUMMYFUNCTION("""COMPUTED_VALUE"""),"KANTOR REGIONAL III BANDUNG 40004")</f>
        <v>KANTOR REGIONAL III BANDUNG 40004</v>
      </c>
      <c r="AN927" s="80" t="str">
        <f>IFERROR(__xludf.DUMMYFUNCTION("""COMPUTED_VALUE"""),"KCU CIREBON 45100")</f>
        <v>KCU CIREBON 45100</v>
      </c>
      <c r="AO927" s="80" t="str">
        <f>IFERROR(__xludf.DUMMYFUNCTION("""COMPUTED_VALUE"""),"1102220009756")</f>
        <v>1102220009756</v>
      </c>
      <c r="AP927" s="80" t="str">
        <f>IFERROR(__xludf.DUMMYFUNCTION("""COMPUTED_VALUE"""),"11022200097560002")</f>
        <v>11022200097560002</v>
      </c>
      <c r="AQ927" s="83" t="str">
        <f>IFERROR(__xludf.DUMMYFUNCTION("""COMPUTED_VALUE"""),"BCA / 7745606334 / Jen Siswoyo Wibowo")</f>
        <v>BCA / 7745606334 / Jen Siswoyo Wibowo</v>
      </c>
      <c r="AR927" s="80"/>
      <c r="AS927" s="80"/>
      <c r="AT927" s="80" t="str">
        <f>IFERROR(__xludf.DUMMYFUNCTION("""COMPUTED_VALUE"""),"-6.642777")</f>
        <v>-6.642777</v>
      </c>
      <c r="AU927" s="80" t="str">
        <f>IFERROR(__xludf.DUMMYFUNCTION("""COMPUTED_VALUE"""),"108.401923")</f>
        <v>108.401923</v>
      </c>
      <c r="AV927" s="80"/>
      <c r="AW927" s="80"/>
      <c r="AX927" s="80"/>
      <c r="AY927" s="80"/>
      <c r="AZ927" s="80"/>
      <c r="BA927" s="80"/>
      <c r="BB927" s="80"/>
      <c r="BC927" s="80"/>
      <c r="BD927" s="80"/>
      <c r="BE927" s="80"/>
      <c r="BF927" s="80"/>
      <c r="BG927" s="80"/>
      <c r="BH927" s="80"/>
      <c r="BI927" s="80"/>
      <c r="BJ927" s="80"/>
      <c r="BK927" s="80"/>
      <c r="BL927" s="80"/>
      <c r="BM927" s="80"/>
      <c r="BN927" s="80"/>
      <c r="BO927" s="80"/>
      <c r="BP927" s="80"/>
      <c r="BQ927" s="80"/>
      <c r="BR927" s="80"/>
      <c r="BS927" s="80"/>
      <c r="BT927" s="80"/>
      <c r="BU927" s="80"/>
      <c r="BV927" s="80"/>
      <c r="BW927" s="80"/>
      <c r="BX927" s="80" t="str">
        <f>IFERROR(__xludf.DUMMYFUNCTION("""COMPUTED_VALUE"""),"NEWBIE")</f>
        <v>NEWBIE</v>
      </c>
      <c r="BY927" s="80"/>
      <c r="BZ927" s="80"/>
      <c r="CA927" s="80"/>
      <c r="CB927" s="80"/>
      <c r="CC927" s="80"/>
      <c r="CD927" s="80"/>
      <c r="CE927" s="80"/>
      <c r="CF927" s="80"/>
      <c r="CG927" s="80"/>
      <c r="CH927" s="80"/>
      <c r="CI927" s="80"/>
      <c r="CJ927" s="80"/>
      <c r="CK927" s="2"/>
    </row>
    <row r="928" ht="12.75" customHeight="1">
      <c r="A928" s="85">
        <f>IFERROR(__xludf.DUMMYFUNCTION("""COMPUTED_VALUE"""),924.0)</f>
        <v>924</v>
      </c>
      <c r="B928" s="85"/>
      <c r="C928" s="85"/>
      <c r="D928" s="86">
        <f>IFERROR(__xludf.DUMMYFUNCTION("""COMPUTED_VALUE"""),46139.0)</f>
        <v>46139</v>
      </c>
      <c r="E928" s="88"/>
      <c r="F928" s="85"/>
      <c r="G928" s="86">
        <f>IFERROR(__xludf.DUMMYFUNCTION("""COMPUTED_VALUE"""),46168.0)</f>
        <v>46168</v>
      </c>
      <c r="H928" s="85"/>
      <c r="I928" s="85"/>
      <c r="J928" s="85"/>
      <c r="K928" s="85"/>
      <c r="L928" s="85">
        <f>IFERROR(__xludf.DUMMYFUNCTION("""COMPUTED_VALUE"""),29.0)</f>
        <v>29</v>
      </c>
      <c r="M928" s="85" t="str">
        <f>IFERROR(__xludf.DUMMYFUNCTION("""COMPUTED_VALUE"""),"ü")</f>
        <v>ü</v>
      </c>
      <c r="N928" s="85"/>
      <c r="O928" s="85"/>
      <c r="P928" s="85" t="str">
        <f>IFERROR(__xludf.DUMMYFUNCTION("""COMPUTED_VALUE"""),"MUCSPA63439PSIND")</f>
        <v>MUCSPA63439PSIND</v>
      </c>
      <c r="Q928" s="85" t="str">
        <f>IFERROR(__xludf.DUMMYFUNCTION("""COMPUTED_VALUE"""),"MUC RPRGaluh")</f>
        <v>MUC RPRGaluh</v>
      </c>
      <c r="R928" s="85" t="str">
        <f>IFERROR(__xludf.DUMMYFUNCTION("""COMPUTED_VALUE"""),"MUC RPRGaluh")</f>
        <v>MUC RPRGaluh</v>
      </c>
      <c r="S928" s="85" t="str">
        <f>IFERROR(__xludf.DUMMYFUNCTION("""COMPUTED_VALUE"""),"RENO PUTRI RATNA GALUH")</f>
        <v>RENO PUTRI RATNA GALUH</v>
      </c>
      <c r="T928" s="85" t="str">
        <f>IFERROR(__xludf.DUMMYFUNCTION("""COMPUTED_VALUE"""),"PERUM TAMAN ALAMANDA 2 ED.5 / 14 RT.004 RW.010, MUSTIKASARI, MUSTIKA JAYA, KOTA BEKASI")</f>
        <v>PERUM TAMAN ALAMANDA 2 ED.5 / 14 RT.004 RW.010, MUSTIKASARI, MUSTIKA JAYA, KOTA BEKASI</v>
      </c>
      <c r="U928" s="85" t="str">
        <f>IFERROR(__xludf.DUMMYFUNCTION("""COMPUTED_VALUE"""),"Perumahan Taman Alamanda 2 ED 5/14")</f>
        <v>Perumahan Taman Alamanda 2 ED 5/14</v>
      </c>
      <c r="V928" s="85"/>
      <c r="W928" s="85" t="str">
        <f>IFERROR(__xludf.DUMMYFUNCTION("""COMPUTED_VALUE"""),"Mustikasari")</f>
        <v>Mustikasari</v>
      </c>
      <c r="X928" s="85" t="str">
        <f>IFERROR(__xludf.DUMMYFUNCTION("""COMPUTED_VALUE"""),"Mustika Jaya")</f>
        <v>Mustika Jaya</v>
      </c>
      <c r="Y928" s="85" t="str">
        <f>IFERROR(__xludf.DUMMYFUNCTION("""COMPUTED_VALUE"""),"Kota Bekasi")</f>
        <v>Kota Bekasi</v>
      </c>
      <c r="Z928" s="85" t="str">
        <f>IFERROR(__xludf.DUMMYFUNCTION("""COMPUTED_VALUE"""),"Jawa Barat")</f>
        <v>Jawa Barat</v>
      </c>
      <c r="AA928" s="85" t="str">
        <f>IFERROR(__xludf.DUMMYFUNCTION("""COMPUTED_VALUE"""),"17157")</f>
        <v>17157</v>
      </c>
      <c r="AB928" s="85" t="str">
        <f>IFERROR(__xludf.DUMMYFUNCTION("""COMPUTED_VALUE"""),"3275116005770013")</f>
        <v>3275116005770013</v>
      </c>
      <c r="AC928" s="85" t="str">
        <f>IFERROR(__xludf.DUMMYFUNCTION("""COMPUTED_VALUE"""),"68.675.179.1-432.000")</f>
        <v>68.675.179.1-432.000</v>
      </c>
      <c r="AD928" s="85" t="str">
        <f>IFERROR(__xludf.DUMMYFUNCTION("""COMPUTED_VALUE"""),"CUM - PS - AYS")</f>
        <v>CUM - PS - AYS</v>
      </c>
      <c r="AE928" s="85" t="str">
        <f>IFERROR(__xludf.DUMMYFUNCTION("""COMPUTED_VALUE"""),"SUB YUNUS POS")</f>
        <v>SUB YUNUS POS</v>
      </c>
      <c r="AF928" s="85" t="str">
        <f>IFERROR(__xludf.DUMMYFUNCTION("""COMPUTED_VALUE"""),"081283814765")</f>
        <v>081283814765</v>
      </c>
      <c r="AG928" s="85"/>
      <c r="AH928" s="85" t="str">
        <f>IFERROR(__xludf.DUMMYFUNCTION("""COMPUTED_VALUE"""),"pgaloeh@gmail.com")</f>
        <v>pgaloeh@gmail.com</v>
      </c>
      <c r="AI928" s="85" t="str">
        <f>IFERROR(__xludf.DUMMYFUNCTION("""COMPUTED_VALUE"""),"17167S2")</f>
        <v>17167S2</v>
      </c>
      <c r="AJ928" s="85" t="str">
        <f>IFERROR(__xludf.DUMMYFUNCTION("""COMPUTED_VALUE"""),"69faf598bf0293b21503637c")</f>
        <v>69faf598bf0293b21503637c</v>
      </c>
      <c r="AK928" s="85" t="str">
        <f>IFERROR(__xludf.DUMMYFUNCTION("""COMPUTED_VALUE"""),"pgaloeh@gmail.com")</f>
        <v>pgaloeh@gmail.com</v>
      </c>
      <c r="AL928" s="85" t="str">
        <f>IFERROR(__xludf.DUMMYFUNCTION("""COMPUTED_VALUE"""),"#Muc17167S2$")</f>
        <v>#Muc17167S2$</v>
      </c>
      <c r="AM928" s="85" t="str">
        <f>IFERROR(__xludf.DUMMYFUNCTION("""COMPUTED_VALUE"""),"KANTOR REGIONAL II JAKARTA 10004")</f>
        <v>KANTOR REGIONAL II JAKARTA 10004</v>
      </c>
      <c r="AN928" s="85" t="str">
        <f>IFERROR(__xludf.DUMMYFUNCTION("""COMPUTED_VALUE"""),"KCU BEKASI 17000")</f>
        <v>KCU BEKASI 17000</v>
      </c>
      <c r="AO928" s="85" t="str">
        <f>IFERROR(__xludf.DUMMYFUNCTION("""COMPUTED_VALUE"""),"2804260038385")</f>
        <v>2804260038385</v>
      </c>
      <c r="AP928" s="85" t="str">
        <f>IFERROR(__xludf.DUMMYFUNCTION("""COMPUTED_VALUE"""),"28042600383850001")</f>
        <v>28042600383850001</v>
      </c>
      <c r="AQ928" s="93" t="str">
        <f>IFERROR(__xludf.DUMMYFUNCTION("""COMPUTED_VALUE"""),"BCA / 6340183515 / RENO PUTRI RATNA GALUH")</f>
        <v>BCA / 6340183515 / RENO PUTRI RATNA GALUH</v>
      </c>
      <c r="AR928" s="85"/>
      <c r="AS928" s="85"/>
      <c r="AT928" s="85" t="str">
        <f>IFERROR(__xludf.DUMMYFUNCTION("""COMPUTED_VALUE"""),"-6.297882")</f>
        <v>-6.297882</v>
      </c>
      <c r="AU928" s="85" t="str">
        <f>IFERROR(__xludf.DUMMYFUNCTION("""COMPUTED_VALUE"""),"107.018467")</f>
        <v>107.018467</v>
      </c>
      <c r="AV928" s="85"/>
      <c r="AW928" s="85"/>
      <c r="AX928" s="85"/>
      <c r="AY928" s="85"/>
      <c r="AZ928" s="85"/>
      <c r="BA928" s="85"/>
      <c r="BB928" s="85"/>
      <c r="BC928" s="85"/>
      <c r="BD928" s="85"/>
      <c r="BE928" s="85"/>
      <c r="BF928" s="85"/>
      <c r="BG928" s="85"/>
      <c r="BH928" s="85"/>
      <c r="BI928" s="85"/>
      <c r="BJ928" s="85"/>
      <c r="BK928" s="85"/>
      <c r="BL928" s="85"/>
      <c r="BM928" s="85"/>
      <c r="BN928" s="85"/>
      <c r="BO928" s="85"/>
      <c r="BP928" s="85"/>
      <c r="BQ928" s="85"/>
      <c r="BR928" s="85"/>
      <c r="BS928" s="85"/>
      <c r="BT928" s="85"/>
      <c r="BU928" s="85"/>
      <c r="BV928" s="85"/>
      <c r="BW928" s="85"/>
      <c r="BX928" s="85" t="str">
        <f>IFERROR(__xludf.DUMMYFUNCTION("""COMPUTED_VALUE"""),"NEWBIE")</f>
        <v>NEWBIE</v>
      </c>
      <c r="BY928" s="85"/>
      <c r="BZ928" s="85"/>
      <c r="CA928" s="85"/>
      <c r="CB928" s="85"/>
      <c r="CC928" s="85"/>
      <c r="CD928" s="85"/>
      <c r="CE928" s="85"/>
      <c r="CF928" s="85"/>
      <c r="CG928" s="85"/>
      <c r="CH928" s="85"/>
      <c r="CI928" s="85"/>
      <c r="CJ928" s="85"/>
      <c r="CK928" s="2"/>
    </row>
    <row r="929" ht="12.75" customHeight="1">
      <c r="A929" s="80">
        <f>IFERROR(__xludf.DUMMYFUNCTION("""COMPUTED_VALUE"""),925.0)</f>
        <v>925</v>
      </c>
      <c r="B929" s="80"/>
      <c r="C929" s="80"/>
      <c r="D929" s="81">
        <f>IFERROR(__xludf.DUMMYFUNCTION("""COMPUTED_VALUE"""),46139.0)</f>
        <v>46139</v>
      </c>
      <c r="E929" s="82"/>
      <c r="F929" s="80"/>
      <c r="G929" s="81"/>
      <c r="H929" s="80"/>
      <c r="I929" s="80"/>
      <c r="J929" s="80"/>
      <c r="K929" s="80"/>
      <c r="L929" s="80"/>
      <c r="M929" s="80" t="str">
        <f>IFERROR(__xludf.DUMMYFUNCTION("""COMPUTED_VALUE"""),"ü")</f>
        <v>ü</v>
      </c>
      <c r="N929" s="80"/>
      <c r="O929" s="80"/>
      <c r="P929" s="80" t="str">
        <f>IFERROR(__xludf.DUMMYFUNCTION("""COMPUTED_VALUE"""),"53BSPA09966JBEEN")</f>
        <v>53BSPA09966JBEEN</v>
      </c>
      <c r="Q929" s="80" t="str">
        <f>IFERROR(__xludf.DUMMYFUNCTION("""COMPUTED_VALUE"""),"MUC CNmart")</f>
        <v>MUC CNmart</v>
      </c>
      <c r="R929" s="80" t="str">
        <f>IFERROR(__xludf.DUMMYFUNCTION("""COMPUTED_VALUE"""),"MUC CNmart")</f>
        <v>MUC CNmart</v>
      </c>
      <c r="S929" s="80" t="str">
        <f>IFERROR(__xludf.DUMMYFUNCTION("""COMPUTED_VALUE"""),"NG JOHAN")</f>
        <v>NG JOHAN</v>
      </c>
      <c r="T929" s="80" t="str">
        <f>IFERROR(__xludf.DUMMYFUNCTION("""COMPUTED_VALUE"""),"JL. SAWAH LIO GG 10 NO.10 RT.008 RW.006, JEMBATAN LIMA, TAMBORA, JAKARTA BARAT")</f>
        <v>JL. SAWAH LIO GG 10 NO.10 RT.008 RW.006, JEMBATAN LIMA, TAMBORA, JAKARTA BARAT</v>
      </c>
      <c r="U929" s="80" t="str">
        <f>IFERROR(__xludf.DUMMYFUNCTION("""COMPUTED_VALUE"""),"Jl. Indraloka 2 No 88A RT.06 RW.06 ")</f>
        <v>Jl. Indraloka 2 No 88A RT.06 RW.06 </v>
      </c>
      <c r="V929" s="80"/>
      <c r="W929" s="80" t="str">
        <f>IFERROR(__xludf.DUMMYFUNCTION("""COMPUTED_VALUE"""),"Wijaya Kusuma ")</f>
        <v>Wijaya Kusuma </v>
      </c>
      <c r="X929" s="80" t="str">
        <f>IFERROR(__xludf.DUMMYFUNCTION("""COMPUTED_VALUE"""),"Grogol Petamburan ")</f>
        <v>Grogol Petamburan </v>
      </c>
      <c r="Y929" s="80" t="str">
        <f>IFERROR(__xludf.DUMMYFUNCTION("""COMPUTED_VALUE"""),"Jakarta barat")</f>
        <v>Jakarta barat</v>
      </c>
      <c r="Z929" s="80" t="str">
        <f>IFERROR(__xludf.DUMMYFUNCTION("""COMPUTED_VALUE"""),"DKI Jakarta")</f>
        <v>DKI Jakarta</v>
      </c>
      <c r="AA929" s="80" t="str">
        <f>IFERROR(__xludf.DUMMYFUNCTION("""COMPUTED_VALUE"""),"14460")</f>
        <v>14460</v>
      </c>
      <c r="AB929" s="80" t="str">
        <f>IFERROR(__xludf.DUMMYFUNCTION("""COMPUTED_VALUE"""),"3173041103840010")</f>
        <v>3173041103840010</v>
      </c>
      <c r="AC929" s="80" t="str">
        <f>IFERROR(__xludf.DUMMYFUNCTION("""COMPUTED_VALUE"""),"55.636.459.4-033.000")</f>
        <v>55.636.459.4-033.000</v>
      </c>
      <c r="AD929" s="80" t="str">
        <f>IFERROR(__xludf.DUMMYFUNCTION("""COMPUTED_VALUE"""),"CUM - EEN")</f>
        <v>CUM - EEN</v>
      </c>
      <c r="AE929" s="80" t="str">
        <f>IFERROR(__xludf.DUMMYFUNCTION("""COMPUTED_VALUE"""),"SUB EEN")</f>
        <v>SUB EEN</v>
      </c>
      <c r="AF929" s="80" t="str">
        <f>IFERROR(__xludf.DUMMYFUNCTION("""COMPUTED_VALUE"""),"081317969090")</f>
        <v>081317969090</v>
      </c>
      <c r="AG929" s="80"/>
      <c r="AH929" s="80" t="str">
        <f>IFERROR(__xludf.DUMMYFUNCTION("""COMPUTED_VALUE"""),"claritaval230713@gmail.com")</f>
        <v>claritaval230713@gmail.com</v>
      </c>
      <c r="AI929" s="80"/>
      <c r="AJ929" s="80"/>
      <c r="AK929" s="80"/>
      <c r="AL929" s="80"/>
      <c r="AM929" s="80" t="str">
        <f>IFERROR(__xludf.DUMMYFUNCTION("""COMPUTED_VALUE"""),"KANTOR REGIONAL II JAKARTA 10004")</f>
        <v>KANTOR REGIONAL II JAKARTA 10004</v>
      </c>
      <c r="AN929" s="80" t="str">
        <f>IFERROR(__xludf.DUMMYFUNCTION("""COMPUTED_VALUE"""),"KCU JAKARTAOCEANIA 11000")</f>
        <v>KCU JAKARTAOCEANIA 11000</v>
      </c>
      <c r="AO929" s="80" t="str">
        <f>IFERROR(__xludf.DUMMYFUNCTION("""COMPUTED_VALUE"""),"2311210002534")</f>
        <v>2311210002534</v>
      </c>
      <c r="AP929" s="80" t="str">
        <f>IFERROR(__xludf.DUMMYFUNCTION("""COMPUTED_VALUE"""),"23112100025340002")</f>
        <v>23112100025340002</v>
      </c>
      <c r="AQ929" s="83" t="str">
        <f>IFERROR(__xludf.DUMMYFUNCTION("""COMPUTED_VALUE"""),"BCA / 1970324000 / Ng Johan")</f>
        <v>BCA / 1970324000 / Ng Johan</v>
      </c>
      <c r="AR929" s="80"/>
      <c r="AS929" s="80"/>
      <c r="AT929" s="80" t="str">
        <f>IFERROR(__xludf.DUMMYFUNCTION("""COMPUTED_VALUE"""),"-6.1556336")</f>
        <v>-6.1556336</v>
      </c>
      <c r="AU929" s="80" t="str">
        <f>IFERROR(__xludf.DUMMYFUNCTION("""COMPUTED_VALUE"""),"106.7751697")</f>
        <v>106.7751697</v>
      </c>
      <c r="AV929" s="80"/>
      <c r="AW929" s="80"/>
      <c r="AX929" s="80"/>
      <c r="AY929" s="80"/>
      <c r="AZ929" s="80"/>
      <c r="BA929" s="80"/>
      <c r="BB929" s="80"/>
      <c r="BC929" s="80"/>
      <c r="BD929" s="80"/>
      <c r="BE929" s="80"/>
      <c r="BF929" s="80"/>
      <c r="BG929" s="80"/>
      <c r="BH929" s="80"/>
      <c r="BI929" s="80"/>
      <c r="BJ929" s="80"/>
      <c r="BK929" s="80"/>
      <c r="BL929" s="80"/>
      <c r="BM929" s="80"/>
      <c r="BN929" s="80"/>
      <c r="BO929" s="80"/>
      <c r="BP929" s="80"/>
      <c r="BQ929" s="80"/>
      <c r="BR929" s="80"/>
      <c r="BS929" s="80"/>
      <c r="BT929" s="80"/>
      <c r="BU929" s="80"/>
      <c r="BV929" s="80"/>
      <c r="BW929" s="80"/>
      <c r="BX929" s="80" t="str">
        <f>IFERROR(__xludf.DUMMYFUNCTION("""COMPUTED_VALUE"""),"MULTIKURIR - JNT E - SICEPAT - ANTERAJA")</f>
        <v>MULTIKURIR - JNT E - SICEPAT - ANTERAJA</v>
      </c>
      <c r="BY929" s="80"/>
      <c r="BZ929" s="80"/>
      <c r="CA929" s="80"/>
      <c r="CB929" s="80"/>
      <c r="CC929" s="80"/>
      <c r="CD929" s="80"/>
      <c r="CE929" s="80"/>
      <c r="CF929" s="80"/>
      <c r="CG929" s="80"/>
      <c r="CH929" s="80"/>
      <c r="CI929" s="80"/>
      <c r="CJ929" s="80"/>
      <c r="CK929" s="2"/>
    </row>
    <row r="930" ht="12.75" customHeight="1">
      <c r="A930" s="85">
        <f>IFERROR(__xludf.DUMMYFUNCTION("""COMPUTED_VALUE"""),926.0)</f>
        <v>926</v>
      </c>
      <c r="B930" s="85"/>
      <c r="C930" s="85"/>
      <c r="D930" s="86">
        <f>IFERROR(__xludf.DUMMYFUNCTION("""COMPUTED_VALUE"""),46139.0)</f>
        <v>46139</v>
      </c>
      <c r="E930" s="88"/>
      <c r="F930" s="85"/>
      <c r="G930" s="86"/>
      <c r="H930" s="85"/>
      <c r="I930" s="85"/>
      <c r="J930" s="85"/>
      <c r="K930" s="85"/>
      <c r="L930" s="85"/>
      <c r="M930" s="85" t="str">
        <f>IFERROR(__xludf.DUMMYFUNCTION("""COMPUTED_VALUE"""),"ü")</f>
        <v>ü</v>
      </c>
      <c r="N930" s="85"/>
      <c r="O930" s="85"/>
      <c r="P930" s="85" t="str">
        <f>IFERROR(__xludf.DUMMYFUNCTION("""COMPUTED_VALUE"""),"MUCSPA63440PSIND")</f>
        <v>MUCSPA63440PSIND</v>
      </c>
      <c r="Q930" s="85" t="str">
        <f>IFERROR(__xludf.DUMMYFUNCTION("""COMPUTED_VALUE"""),"MUC REZKY")</f>
        <v>MUC REZKY</v>
      </c>
      <c r="R930" s="85" t="str">
        <f>IFERROR(__xludf.DUMMYFUNCTION("""COMPUTED_VALUE"""),"MUC REZKY")</f>
        <v>MUC REZKY</v>
      </c>
      <c r="S930" s="85" t="str">
        <f>IFERROR(__xludf.DUMMYFUNCTION("""COMPUTED_VALUE"""),"Anwar Dahlan sabar ")</f>
        <v>Anwar Dahlan sabar </v>
      </c>
      <c r="T930" s="85" t="str">
        <f>IFERROR(__xludf.DUMMYFUNCTION("""COMPUTED_VALUE"""),"jl sorumba lrg kelapa kuning no 36/18  RT 01 Rw01 kendari")</f>
        <v>jl sorumba lrg kelapa kuning no 36/18  RT 01 Rw01 kendari</v>
      </c>
      <c r="U930" s="85" t="str">
        <f>IFERROR(__xludf.DUMMYFUNCTION("""COMPUTED_VALUE"""),"jl sorumba lrg kelapa kuning no 36/18 ")</f>
        <v>jl sorumba lrg kelapa kuning no 36/18 </v>
      </c>
      <c r="V930" s="85"/>
      <c r="W930" s="85" t="str">
        <f>IFERROR(__xludf.DUMMYFUNCTION("""COMPUTED_VALUE"""),"wowawanggu")</f>
        <v>wowawanggu</v>
      </c>
      <c r="X930" s="85" t="str">
        <f>IFERROR(__xludf.DUMMYFUNCTION("""COMPUTED_VALUE"""),"kadia")</f>
        <v>kadia</v>
      </c>
      <c r="Y930" s="85" t="str">
        <f>IFERROR(__xludf.DUMMYFUNCTION("""COMPUTED_VALUE"""),"kendari")</f>
        <v>kendari</v>
      </c>
      <c r="Z930" s="85" t="str">
        <f>IFERROR(__xludf.DUMMYFUNCTION("""COMPUTED_VALUE"""),"Sulawesi tenggara")</f>
        <v>Sulawesi tenggara</v>
      </c>
      <c r="AA930" s="85" t="str">
        <f>IFERROR(__xludf.DUMMYFUNCTION("""COMPUTED_VALUE"""),"93117")</f>
        <v>93117</v>
      </c>
      <c r="AB930" s="85" t="str">
        <f>IFERROR(__xludf.DUMMYFUNCTION("""COMPUTED_VALUE"""),"7471050107790029")</f>
        <v>7471050107790029</v>
      </c>
      <c r="AC930" s="85" t="str">
        <f>IFERROR(__xludf.DUMMYFUNCTION("""COMPUTED_VALUE"""),"15.753.331.6.811.000")</f>
        <v>15.753.331.6.811.000</v>
      </c>
      <c r="AD930" s="85" t="str">
        <f>IFERROR(__xludf.DUMMYFUNCTION("""COMPUTED_VALUE"""),"NON KORGEN")</f>
        <v>NON KORGEN</v>
      </c>
      <c r="AE930" s="85" t="str">
        <f>IFERROR(__xludf.DUMMYFUNCTION("""COMPUTED_VALUE"""),"PAK SIGIT KCU KENDARI")</f>
        <v>PAK SIGIT KCU KENDARI</v>
      </c>
      <c r="AF930" s="85" t="str">
        <f>IFERROR(__xludf.DUMMYFUNCTION("""COMPUTED_VALUE"""),"085178957145")</f>
        <v>085178957145</v>
      </c>
      <c r="AG930" s="85"/>
      <c r="AH930" s="85" t="str">
        <f>IFERROR(__xludf.DUMMYFUNCTION("""COMPUTED_VALUE"""),"anwardahlan025@gmail.com")</f>
        <v>anwardahlan025@gmail.com</v>
      </c>
      <c r="AI930" s="85"/>
      <c r="AJ930" s="85"/>
      <c r="AK930" s="85"/>
      <c r="AL930" s="85"/>
      <c r="AM930" s="85" t="str">
        <f>IFERROR(__xludf.DUMMYFUNCTION("""COMPUTED_VALUE"""),"KANTOR REGIONAL VI MAKASAR 90004")</f>
        <v>KANTOR REGIONAL VI MAKASAR 90004</v>
      </c>
      <c r="AN930" s="85" t="str">
        <f>IFERROR(__xludf.DUMMYFUNCTION("""COMPUTED_VALUE"""),"KCU KENDARI")</f>
        <v>KCU KENDARI</v>
      </c>
      <c r="AO930" s="85" t="str">
        <f>IFERROR(__xludf.DUMMYFUNCTION("""COMPUTED_VALUE"""),"2804260088177")</f>
        <v>2804260088177</v>
      </c>
      <c r="AP930" s="85" t="str">
        <f>IFERROR(__xludf.DUMMYFUNCTION("""COMPUTED_VALUE"""),"28042600881770001")</f>
        <v>28042600881770001</v>
      </c>
      <c r="AQ930" s="93" t="str">
        <f>IFERROR(__xludf.DUMMYFUNCTION("""COMPUTED_VALUE"""),"Bri / 7183 0102 9905 537 / Anwar Dahlan sabar")</f>
        <v>Bri / 7183 0102 9905 537 / Anwar Dahlan sabar</v>
      </c>
      <c r="AR930" s="85"/>
      <c r="AS930" s="85"/>
      <c r="AT930" s="85" t="str">
        <f>IFERROR(__xludf.DUMMYFUNCTION("""COMPUTED_VALUE"""),"3.9975391S")</f>
        <v>3.9975391S</v>
      </c>
      <c r="AU930" s="85" t="str">
        <f>IFERROR(__xludf.DUMMYFUNCTION("""COMPUTED_VALUE"""),"122.5067186E")</f>
        <v>122.5067186E</v>
      </c>
      <c r="AV930" s="85"/>
      <c r="AW930" s="85"/>
      <c r="AX930" s="85"/>
      <c r="AY930" s="85"/>
      <c r="AZ930" s="85"/>
      <c r="BA930" s="85"/>
      <c r="BB930" s="85"/>
      <c r="BC930" s="85"/>
      <c r="BD930" s="85"/>
      <c r="BE930" s="85"/>
      <c r="BF930" s="85"/>
      <c r="BG930" s="85"/>
      <c r="BH930" s="85"/>
      <c r="BI930" s="85"/>
      <c r="BJ930" s="85"/>
      <c r="BK930" s="85"/>
      <c r="BL930" s="85"/>
      <c r="BM930" s="85"/>
      <c r="BN930" s="85"/>
      <c r="BO930" s="85"/>
      <c r="BP930" s="85"/>
      <c r="BQ930" s="85"/>
      <c r="BR930" s="85"/>
      <c r="BS930" s="85"/>
      <c r="BT930" s="85"/>
      <c r="BU930" s="85"/>
      <c r="BV930" s="85"/>
      <c r="BW930" s="85"/>
      <c r="BX930" s="85" t="str">
        <f>IFERROR(__xludf.DUMMYFUNCTION("""COMPUTED_VALUE"""),"NEWBIE")</f>
        <v>NEWBIE</v>
      </c>
      <c r="BY930" s="85"/>
      <c r="BZ930" s="85"/>
      <c r="CA930" s="85"/>
      <c r="CB930" s="85"/>
      <c r="CC930" s="85"/>
      <c r="CD930" s="85"/>
      <c r="CE930" s="85"/>
      <c r="CF930" s="85"/>
      <c r="CG930" s="85"/>
      <c r="CH930" s="85"/>
      <c r="CI930" s="85"/>
      <c r="CJ930" s="85"/>
      <c r="CK930" s="2"/>
    </row>
    <row r="931" ht="12.75" customHeight="1">
      <c r="A931" s="80">
        <f>IFERROR(__xludf.DUMMYFUNCTION("""COMPUTED_VALUE"""),927.0)</f>
        <v>927</v>
      </c>
      <c r="B931" s="80"/>
      <c r="C931" s="80"/>
      <c r="D931" s="81">
        <f>IFERROR(__xludf.DUMMYFUNCTION("""COMPUTED_VALUE"""),46140.0)</f>
        <v>46140</v>
      </c>
      <c r="E931" s="82"/>
      <c r="F931" s="80"/>
      <c r="G931" s="81">
        <f>IFERROR(__xludf.DUMMYFUNCTION("""COMPUTED_VALUE"""),46276.0)</f>
        <v>46276</v>
      </c>
      <c r="H931" s="80"/>
      <c r="I931" s="80"/>
      <c r="J931" s="80"/>
      <c r="K931" s="80"/>
      <c r="L931" s="80">
        <f>IFERROR(__xludf.DUMMYFUNCTION("""COMPUTED_VALUE"""),136.0)</f>
        <v>136</v>
      </c>
      <c r="M931" s="80" t="str">
        <f>IFERROR(__xludf.DUMMYFUNCTION("""COMPUTED_VALUE"""),"ü")</f>
        <v>ü</v>
      </c>
      <c r="N931" s="80"/>
      <c r="O931" s="80"/>
      <c r="P931" s="80" t="str">
        <f>IFERROR(__xludf.DUMMYFUNCTION("""COMPUTED_VALUE"""),"53BSPA09681JBABD")</f>
        <v>53BSPA09681JBABD</v>
      </c>
      <c r="Q931" s="80" t="str">
        <f>IFERROR(__xludf.DUMMYFUNCTION("""COMPUTED_VALUE"""),"MUC Kewes")</f>
        <v>MUC Kewes</v>
      </c>
      <c r="R931" s="80" t="str">
        <f>IFERROR(__xludf.DUMMYFUNCTION("""COMPUTED_VALUE"""),"MUC Kewes")</f>
        <v>MUC Kewes</v>
      </c>
      <c r="S931" s="80" t="str">
        <f>IFERROR(__xludf.DUMMYFUNCTION("""COMPUTED_VALUE"""),"Anas Ma'ruf")</f>
        <v>Anas Ma'ruf</v>
      </c>
      <c r="T931" s="80" t="str">
        <f>IFERROR(__xludf.DUMMYFUNCTION("""COMPUTED_VALUE"""),"JL TUGU TIMUR NO.26 RT.003 RW.003 SAMPANG, SAMPANG, KAB. CILACAP, JAWA TENGAH")</f>
        <v>JL TUGU TIMUR NO.26 RT.003 RW.003 SAMPANG, SAMPANG, KAB. CILACAP, JAWA TENGAH</v>
      </c>
      <c r="U931" s="80" t="str">
        <f>IFERROR(__xludf.DUMMYFUNCTION("""COMPUTED_VALUE"""),"Jl. Raya Tugu Timur No. 26 RT/W 003/003")</f>
        <v>Jl. Raya Tugu Timur No. 26 RT/W 003/003</v>
      </c>
      <c r="V931" s="80"/>
      <c r="W931" s="80" t="str">
        <f>IFERROR(__xludf.DUMMYFUNCTION("""COMPUTED_VALUE"""),"Sampang")</f>
        <v>Sampang</v>
      </c>
      <c r="X931" s="80" t="str">
        <f>IFERROR(__xludf.DUMMYFUNCTION("""COMPUTED_VALUE"""),"Sampang")</f>
        <v>Sampang</v>
      </c>
      <c r="Y931" s="80" t="str">
        <f>IFERROR(__xludf.DUMMYFUNCTION("""COMPUTED_VALUE"""),"Cilacap")</f>
        <v>Cilacap</v>
      </c>
      <c r="Z931" s="80" t="str">
        <f>IFERROR(__xludf.DUMMYFUNCTION("""COMPUTED_VALUE"""),"Jawa Tengah")</f>
        <v>Jawa Tengah</v>
      </c>
      <c r="AA931" s="80" t="str">
        <f>IFERROR(__xludf.DUMMYFUNCTION("""COMPUTED_VALUE"""),"53273")</f>
        <v>53273</v>
      </c>
      <c r="AB931" s="80" t="str">
        <f>IFERROR(__xludf.DUMMYFUNCTION("""COMPUTED_VALUE"""),"3175040201690001")</f>
        <v>3175040201690001</v>
      </c>
      <c r="AC931" s="80" t="str">
        <f>IFERROR(__xludf.DUMMYFUNCTION("""COMPUTED_VALUE"""),"78.019.100.3-005.000")</f>
        <v>78.019.100.3-005.000</v>
      </c>
      <c r="AD931" s="80" t="str">
        <f>IFERROR(__xludf.DUMMYFUNCTION("""COMPUTED_VALUE"""),"CUM - ABD")</f>
        <v>CUM - ABD</v>
      </c>
      <c r="AE931" s="80" t="str">
        <f>IFERROR(__xludf.DUMMYFUNCTION("""COMPUTED_VALUE"""),"SUB ABDUL QODIR")</f>
        <v>SUB ABDUL QODIR</v>
      </c>
      <c r="AF931" s="80" t="str">
        <f>IFERROR(__xludf.DUMMYFUNCTION("""COMPUTED_VALUE"""),"081314626518")</f>
        <v>081314626518</v>
      </c>
      <c r="AG931" s="80"/>
      <c r="AH931" s="80" t="str">
        <f>IFERROR(__xludf.DUMMYFUNCTION("""COMPUTED_VALUE"""),"anandasarif@yahoo.com")</f>
        <v>anandasarif@yahoo.com</v>
      </c>
      <c r="AI931" s="80" t="str">
        <f>IFERROR(__xludf.DUMMYFUNCTION("""COMPUTED_VALUE"""),"53273S2 ")</f>
        <v>53273S2 </v>
      </c>
      <c r="AJ931" s="80" t="str">
        <f>IFERROR(__xludf.DUMMYFUNCTION("""COMPUTED_VALUE"""),"6aa2c490980184f1200406e8 ")</f>
        <v>6aa2c490980184f1200406e8 </v>
      </c>
      <c r="AK931" s="80" t="str">
        <f>IFERROR(__xludf.DUMMYFUNCTION("""COMPUTED_VALUE"""),"tired489@emalupe.com")</f>
        <v>tired489@emalupe.com</v>
      </c>
      <c r="AL931" s="80" t="str">
        <f>IFERROR(__xludf.DUMMYFUNCTION("""COMPUTED_VALUE"""),"#Muc53273S2$")</f>
        <v>#Muc53273S2$</v>
      </c>
      <c r="AM931" s="80" t="str">
        <f>IFERROR(__xludf.DUMMYFUNCTION("""COMPUTED_VALUE"""),"KANTOR REGIONAL IV SEMARANG 50004")</f>
        <v>KANTOR REGIONAL IV SEMARANG 50004</v>
      </c>
      <c r="AN931" s="80" t="str">
        <f>IFERROR(__xludf.DUMMYFUNCTION("""COMPUTED_VALUE"""),"KC CILACAP ")</f>
        <v>KC CILACAP </v>
      </c>
      <c r="AO931" s="80" t="str">
        <f>IFERROR(__xludf.DUMMYFUNCTION("""COMPUTED_VALUE"""),"2804260039634")</f>
        <v>2804260039634</v>
      </c>
      <c r="AP931" s="80" t="str">
        <f>IFERROR(__xludf.DUMMYFUNCTION("""COMPUTED_VALUE"""),"28042600396340001")</f>
        <v>28042600396340001</v>
      </c>
      <c r="AQ931" s="83" t="str">
        <f>IFERROR(__xludf.DUMMYFUNCTION("""COMPUTED_VALUE"""),"Mandiri / 1290007321579 / Anas Ma'ruf")</f>
        <v>Mandiri / 1290007321579 / Anas Ma'ruf</v>
      </c>
      <c r="AR931" s="80"/>
      <c r="AS931" s="80"/>
      <c r="AT931" s="80" t="str">
        <f>IFERROR(__xludf.DUMMYFUNCTION("""COMPUTED_VALUE"""),"-7.5619071")</f>
        <v>-7.5619071</v>
      </c>
      <c r="AU931" s="80" t="str">
        <f>IFERROR(__xludf.DUMMYFUNCTION("""COMPUTED_VALUE"""),"109.2022086")</f>
        <v>109.2022086</v>
      </c>
      <c r="AV931" s="80"/>
      <c r="AW931" s="80"/>
      <c r="AX931" s="80"/>
      <c r="AY931" s="80"/>
      <c r="AZ931" s="80"/>
      <c r="BA931" s="80"/>
      <c r="BB931" s="80"/>
      <c r="BC931" s="80"/>
      <c r="BD931" s="80"/>
      <c r="BE931" s="80"/>
      <c r="BF931" s="80"/>
      <c r="BG931" s="80"/>
      <c r="BH931" s="80"/>
      <c r="BI931" s="80"/>
      <c r="BJ931" s="80"/>
      <c r="BK931" s="80"/>
      <c r="BL931" s="80"/>
      <c r="BM931" s="80"/>
      <c r="BN931" s="80"/>
      <c r="BO931" s="80"/>
      <c r="BP931" s="80"/>
      <c r="BQ931" s="80"/>
      <c r="BR931" s="80"/>
      <c r="BS931" s="80"/>
      <c r="BT931" s="80"/>
      <c r="BU931" s="80"/>
      <c r="BV931" s="80"/>
      <c r="BW931" s="80"/>
      <c r="BX931" s="80" t="str">
        <f>IFERROR(__xludf.DUMMYFUNCTION("""COMPUTED_VALUE"""),"NEWBIE")</f>
        <v>NEWBIE</v>
      </c>
      <c r="BY931" s="80"/>
      <c r="BZ931" s="80"/>
      <c r="CA931" s="80"/>
      <c r="CB931" s="80"/>
      <c r="CC931" s="80"/>
      <c r="CD931" s="80"/>
      <c r="CE931" s="80"/>
      <c r="CF931" s="80"/>
      <c r="CG931" s="80"/>
      <c r="CH931" s="80"/>
      <c r="CI931" s="80"/>
      <c r="CJ931" s="80"/>
      <c r="CK931" s="2"/>
    </row>
    <row r="932" ht="12.75" customHeight="1">
      <c r="A932" s="85">
        <f>IFERROR(__xludf.DUMMYFUNCTION("""COMPUTED_VALUE"""),928.0)</f>
        <v>928</v>
      </c>
      <c r="B932" s="85"/>
      <c r="C932" s="85"/>
      <c r="D932" s="86">
        <f>IFERROR(__xludf.DUMMYFUNCTION("""COMPUTED_VALUE"""),46140.0)</f>
        <v>46140</v>
      </c>
      <c r="E932" s="88"/>
      <c r="F932" s="85"/>
      <c r="G932" s="86">
        <f>IFERROR(__xludf.DUMMYFUNCTION("""COMPUTED_VALUE"""),46157.0)</f>
        <v>46157</v>
      </c>
      <c r="H932" s="85"/>
      <c r="I932" s="85"/>
      <c r="J932" s="85"/>
      <c r="K932" s="85"/>
      <c r="L932" s="85">
        <f>IFERROR(__xludf.DUMMYFUNCTION("""COMPUTED_VALUE"""),17.0)</f>
        <v>17</v>
      </c>
      <c r="M932" s="85" t="str">
        <f>IFERROR(__xludf.DUMMYFUNCTION("""COMPUTED_VALUE"""),"ü")</f>
        <v>ü</v>
      </c>
      <c r="N932" s="85"/>
      <c r="O932" s="85"/>
      <c r="P932" s="85" t="str">
        <f>IFERROR(__xludf.DUMMYFUNCTION("""COMPUTED_VALUE"""),"53BSPA09888JBKTK")</f>
        <v>53BSPA09888JBKTK</v>
      </c>
      <c r="Q932" s="85" t="str">
        <f>IFERROR(__xludf.DUMMYFUNCTION("""COMPUTED_VALUE"""),"MUC The Transporter Indonesia")</f>
        <v>MUC The Transporter Indonesia</v>
      </c>
      <c r="R932" s="85" t="str">
        <f>IFERROR(__xludf.DUMMYFUNCTION("""COMPUTED_VALUE"""),"MUC The Transporter Indonesia")</f>
        <v>MUC The Transporter Indonesia</v>
      </c>
      <c r="S932" s="85" t="str">
        <f>IFERROR(__xludf.DUMMYFUNCTION("""COMPUTED_VALUE"""),"Yuli Permana Putra")</f>
        <v>Yuli Permana Putra</v>
      </c>
      <c r="T932" s="85" t="str">
        <f>IFERROR(__xludf.DUMMYFUNCTION("""COMPUTED_VALUE"""),"kp cipondok rt002/005 desa lebakagung kec karangpawitan kab garut")</f>
        <v>kp cipondok rt002/005 desa lebakagung kec karangpawitan kab garut</v>
      </c>
      <c r="U932" s="85" t="str">
        <f>IFERROR(__xludf.DUMMYFUNCTION("""COMPUTED_VALUE"""),"kp cipondok rt002/005")</f>
        <v>kp cipondok rt002/005</v>
      </c>
      <c r="V932" s="85"/>
      <c r="W932" s="85" t="str">
        <f>IFERROR(__xludf.DUMMYFUNCTION("""COMPUTED_VALUE"""),"lebakagung")</f>
        <v>lebakagung</v>
      </c>
      <c r="X932" s="85" t="str">
        <f>IFERROR(__xludf.DUMMYFUNCTION("""COMPUTED_VALUE"""),"karangpawitan")</f>
        <v>karangpawitan</v>
      </c>
      <c r="Y932" s="85" t="str">
        <f>IFERROR(__xludf.DUMMYFUNCTION("""COMPUTED_VALUE"""),"kab garut")</f>
        <v>kab garut</v>
      </c>
      <c r="Z932" s="85" t="str">
        <f>IFERROR(__xludf.DUMMYFUNCTION("""COMPUTED_VALUE"""),"jawa barat")</f>
        <v>jawa barat</v>
      </c>
      <c r="AA932" s="85" t="str">
        <f>IFERROR(__xludf.DUMMYFUNCTION("""COMPUTED_VALUE"""),"44182")</f>
        <v>44182</v>
      </c>
      <c r="AB932" s="85" t="str">
        <f>IFERROR(__xludf.DUMMYFUNCTION("""COMPUTED_VALUE"""),"3205024808870003")</f>
        <v>3205024808870003</v>
      </c>
      <c r="AC932" s="85" t="str">
        <f>IFERROR(__xludf.DUMMYFUNCTION("""COMPUTED_VALUE"""),"61.687.938.3.443.000")</f>
        <v>61.687.938.3.443.000</v>
      </c>
      <c r="AD932" s="85" t="str">
        <f>IFERROR(__xludf.DUMMYFUNCTION("""COMPUTED_VALUE"""),"CUM - KTK")</f>
        <v>CUM - KTK</v>
      </c>
      <c r="AE932" s="85" t="str">
        <f>IFERROR(__xludf.DUMMYFUNCTION("""COMPUTED_VALUE"""),"SUB KARTIKA")</f>
        <v>SUB KARTIKA</v>
      </c>
      <c r="AF932" s="85" t="str">
        <f>IFERROR(__xludf.DUMMYFUNCTION("""COMPUTED_VALUE"""),"081381706003")</f>
        <v>081381706003</v>
      </c>
      <c r="AG932" s="85"/>
      <c r="AH932" s="85" t="str">
        <f>IFERROR(__xludf.DUMMYFUNCTION("""COMPUTED_VALUE"""),"thetransporterindonesia@gmail.com")</f>
        <v>thetransporterindonesia@gmail.com</v>
      </c>
      <c r="AI932" s="85" t="str">
        <f>IFERROR(__xludf.DUMMYFUNCTION("""COMPUTED_VALUE"""),"44182S5")</f>
        <v>44182S5</v>
      </c>
      <c r="AJ932" s="85" t="str">
        <f>IFERROR(__xludf.DUMMYFUNCTION("""COMPUTED_VALUE"""),"6a056b9c7b78069ec9071a5c")</f>
        <v>6a056b9c7b78069ec9071a5c</v>
      </c>
      <c r="AK932" s="85" t="str">
        <f>IFERROR(__xludf.DUMMYFUNCTION("""COMPUTED_VALUE"""),"thetransporterindonesia@gmail.com")</f>
        <v>thetransporterindonesia@gmail.com</v>
      </c>
      <c r="AL932" s="85" t="str">
        <f>IFERROR(__xludf.DUMMYFUNCTION("""COMPUTED_VALUE"""),"#Muc44182S5$")</f>
        <v>#Muc44182S5$</v>
      </c>
      <c r="AM932" s="85" t="str">
        <f>IFERROR(__xludf.DUMMYFUNCTION("""COMPUTED_VALUE"""),"KANTOR REGIONAL III BANDUNG 40004")</f>
        <v>KANTOR REGIONAL III BANDUNG 40004</v>
      </c>
      <c r="AN932" s="85" t="str">
        <f>IFERROR(__xludf.DUMMYFUNCTION("""COMPUTED_VALUE"""),"KC GARUT ")</f>
        <v>KC GARUT </v>
      </c>
      <c r="AO932" s="85" t="str">
        <f>IFERROR(__xludf.DUMMYFUNCTION("""COMPUTED_VALUE"""),"1111220205414")</f>
        <v>1111220205414</v>
      </c>
      <c r="AP932" s="85" t="str">
        <f>IFERROR(__xludf.DUMMYFUNCTION("""COMPUTED_VALUE"""),"11112202054140002")</f>
        <v>11112202054140002</v>
      </c>
      <c r="AQ932" s="93" t="str">
        <f>IFERROR(__xludf.DUMMYFUNCTION("""COMPUTED_VALUE"""),"BRI / 4168-0103-7548-500 / yuli permana putra")</f>
        <v>BRI / 4168-0103-7548-500 / yuli permana putra</v>
      </c>
      <c r="AR932" s="85"/>
      <c r="AS932" s="85"/>
      <c r="AT932" s="85" t="str">
        <f>IFERROR(__xludf.DUMMYFUNCTION("""COMPUTED_VALUE"""),"-7.238669")</f>
        <v>-7.238669</v>
      </c>
      <c r="AU932" s="85" t="str">
        <f>IFERROR(__xludf.DUMMYFUNCTION("""COMPUTED_VALUE"""),"107.941915")</f>
        <v>107.941915</v>
      </c>
      <c r="AV932" s="85"/>
      <c r="AW932" s="85"/>
      <c r="AX932" s="85"/>
      <c r="AY932" s="85"/>
      <c r="AZ932" s="85"/>
      <c r="BA932" s="85"/>
      <c r="BB932" s="85"/>
      <c r="BC932" s="85"/>
      <c r="BD932" s="85"/>
      <c r="BE932" s="85"/>
      <c r="BF932" s="85"/>
      <c r="BG932" s="85"/>
      <c r="BH932" s="85"/>
      <c r="BI932" s="85"/>
      <c r="BJ932" s="85"/>
      <c r="BK932" s="85"/>
      <c r="BL932" s="85"/>
      <c r="BM932" s="85"/>
      <c r="BN932" s="85"/>
      <c r="BO932" s="85"/>
      <c r="BP932" s="85"/>
      <c r="BQ932" s="85"/>
      <c r="BR932" s="85"/>
      <c r="BS932" s="85"/>
      <c r="BT932" s="85"/>
      <c r="BU932" s="85"/>
      <c r="BV932" s="85"/>
      <c r="BW932" s="85"/>
      <c r="BX932" s="85" t="str">
        <f>IFERROR(__xludf.DUMMYFUNCTION("""COMPUTED_VALUE"""),"MULTIKURIR - ANTERAJA - SPX")</f>
        <v>MULTIKURIR - ANTERAJA - SPX</v>
      </c>
      <c r="BY932" s="85"/>
      <c r="BZ932" s="85"/>
      <c r="CA932" s="85"/>
      <c r="CB932" s="85"/>
      <c r="CC932" s="85"/>
      <c r="CD932" s="85"/>
      <c r="CE932" s="85"/>
      <c r="CF932" s="85"/>
      <c r="CG932" s="85"/>
      <c r="CH932" s="85"/>
      <c r="CI932" s="85"/>
      <c r="CJ932" s="85"/>
      <c r="CK932" s="2"/>
    </row>
    <row r="933" ht="12.75" customHeight="1">
      <c r="A933" s="80">
        <f>IFERROR(__xludf.DUMMYFUNCTION("""COMPUTED_VALUE"""),929.0)</f>
        <v>929</v>
      </c>
      <c r="B933" s="80"/>
      <c r="C933" s="80"/>
      <c r="D933" s="81">
        <f>IFERROR(__xludf.DUMMYFUNCTION("""COMPUTED_VALUE"""),46141.0)</f>
        <v>46141</v>
      </c>
      <c r="E933" s="82"/>
      <c r="F933" s="80"/>
      <c r="G933" s="81">
        <f>IFERROR(__xludf.DUMMYFUNCTION("""COMPUTED_VALUE"""),46178.0)</f>
        <v>46178</v>
      </c>
      <c r="H933" s="80"/>
      <c r="I933" s="80"/>
      <c r="J933" s="80"/>
      <c r="K933" s="80"/>
      <c r="L933" s="80">
        <f>IFERROR(__xludf.DUMMYFUNCTION("""COMPUTED_VALUE"""),37.0)</f>
        <v>37</v>
      </c>
      <c r="M933" s="80" t="str">
        <f>IFERROR(__xludf.DUMMYFUNCTION("""COMPUTED_VALUE"""),"ü")</f>
        <v>ü</v>
      </c>
      <c r="N933" s="80"/>
      <c r="O933" s="80"/>
      <c r="P933" s="80" t="str">
        <f>IFERROR(__xludf.DUMMYFUNCTION("""COMPUTED_VALUE"""),"MUCSPA63441PSIND")</f>
        <v>MUCSPA63441PSIND</v>
      </c>
      <c r="Q933" s="80" t="str">
        <f>IFERROR(__xludf.DUMMYFUNCTION("""COMPUTED_VALUE"""),"MUC Teras Kania Global")</f>
        <v>MUC Teras Kania Global</v>
      </c>
      <c r="R933" s="80" t="str">
        <f>IFERROR(__xludf.DUMMYFUNCTION("""COMPUTED_VALUE"""),"MUC Teras Kania Global")</f>
        <v>MUC Teras Kania Global</v>
      </c>
      <c r="S933" s="80" t="str">
        <f>IFERROR(__xludf.DUMMYFUNCTION("""COMPUTED_VALUE"""),"Eni Maryani ")</f>
        <v>Eni Maryani </v>
      </c>
      <c r="T933" s="80" t="str">
        <f>IFERROR(__xludf.DUMMYFUNCTION("""COMPUTED_VALUE"""),"Ciburial Village A5 RT 04 RW 04, CIPARIGI, BOGOR UTARA, KOTA BOGOR")</f>
        <v>Ciburial Village A5 RT 04 RW 04, CIPARIGI, BOGOR UTARA, KOTA BOGOR</v>
      </c>
      <c r="U933" s="80" t="str">
        <f>IFERROR(__xludf.DUMMYFUNCTION("""COMPUTED_VALUE"""),"Ciburial Village A5 RT 04 RW 04 ")</f>
        <v>Ciburial Village A5 RT 04 RW 04 </v>
      </c>
      <c r="V933" s="80"/>
      <c r="W933" s="80" t="str">
        <f>IFERROR(__xludf.DUMMYFUNCTION("""COMPUTED_VALUE"""),"Ciparigi ")</f>
        <v>Ciparigi </v>
      </c>
      <c r="X933" s="80" t="str">
        <f>IFERROR(__xludf.DUMMYFUNCTION("""COMPUTED_VALUE"""),"Bogor Utara ")</f>
        <v>Bogor Utara </v>
      </c>
      <c r="Y933" s="80" t="str">
        <f>IFERROR(__xludf.DUMMYFUNCTION("""COMPUTED_VALUE"""),"Bogor ")</f>
        <v>Bogor </v>
      </c>
      <c r="Z933" s="80" t="str">
        <f>IFERROR(__xludf.DUMMYFUNCTION("""COMPUTED_VALUE"""),"Jawa Barat ")</f>
        <v>Jawa Barat </v>
      </c>
      <c r="AA933" s="80" t="str">
        <f>IFERROR(__xludf.DUMMYFUNCTION("""COMPUTED_VALUE"""),"16157")</f>
        <v>16157</v>
      </c>
      <c r="AB933" s="80" t="str">
        <f>IFERROR(__xludf.DUMMYFUNCTION("""COMPUTED_VALUE"""),"3201046312890003")</f>
        <v>3201046312890003</v>
      </c>
      <c r="AC933" s="80" t="str">
        <f>IFERROR(__xludf.DUMMYFUNCTION("""COMPUTED_VALUE"""),"1000 0000 0497 8287")</f>
        <v>1000 0000 0497 8287</v>
      </c>
      <c r="AD933" s="80" t="str">
        <f>IFERROR(__xludf.DUMMYFUNCTION("""COMPUTED_VALUE"""),"CUM - PS - ASEPN")</f>
        <v>CUM - PS - ASEPN</v>
      </c>
      <c r="AE933" s="80" t="str">
        <f>IFERROR(__xludf.DUMMYFUNCTION("""COMPUTED_VALUE"""),"SUB ASEP NANO")</f>
        <v>SUB ASEP NANO</v>
      </c>
      <c r="AF933" s="80" t="str">
        <f>IFERROR(__xludf.DUMMYFUNCTION("""COMPUTED_VALUE"""),"088809021834")</f>
        <v>088809021834</v>
      </c>
      <c r="AG933" s="80"/>
      <c r="AH933" s="80" t="str">
        <f>IFERROR(__xludf.DUMMYFUNCTION("""COMPUTED_VALUE"""),"teraskaniaglobal@gmail.com")</f>
        <v>teraskaniaglobal@gmail.com</v>
      </c>
      <c r="AI933" s="80" t="str">
        <f>IFERROR(__xludf.DUMMYFUNCTION("""COMPUTED_VALUE"""),"16157S2")</f>
        <v>16157S2</v>
      </c>
      <c r="AJ933" s="80" t="str">
        <f>IFERROR(__xludf.DUMMYFUNCTION("""COMPUTED_VALUE"""),"6a224d6ff8c7c04107086aaa")</f>
        <v>6a224d6ff8c7c04107086aaa</v>
      </c>
      <c r="AK933" s="80" t="str">
        <f>IFERROR(__xludf.DUMMYFUNCTION("""COMPUTED_VALUE"""),"teraskaniaglobal@gmail.com")</f>
        <v>teraskaniaglobal@gmail.com</v>
      </c>
      <c r="AL933" s="80" t="str">
        <f>IFERROR(__xludf.DUMMYFUNCTION("""COMPUTED_VALUE"""),"#Muc16157S2$")</f>
        <v>#Muc16157S2$</v>
      </c>
      <c r="AM933" s="80" t="str">
        <f>IFERROR(__xludf.DUMMYFUNCTION("""COMPUTED_VALUE"""),"KANTOR REGIONAL II JAKARTA 10004")</f>
        <v>KANTOR REGIONAL II JAKARTA 10004</v>
      </c>
      <c r="AN933" s="80" t="str">
        <f>IFERROR(__xludf.DUMMYFUNCTION("""COMPUTED_VALUE"""),"KCU BOGOR 16000")</f>
        <v>KCU BOGOR 16000</v>
      </c>
      <c r="AO933" s="80" t="str">
        <f>IFERROR(__xludf.DUMMYFUNCTION("""COMPUTED_VALUE"""),"MENYUSUL")</f>
        <v>MENYUSUL</v>
      </c>
      <c r="AP933" s="80" t="str">
        <f>IFERROR(__xludf.DUMMYFUNCTION("""COMPUTED_VALUE"""),"MENYUSUL")</f>
        <v>MENYUSUL</v>
      </c>
      <c r="AQ933" s="83" t="str">
        <f>IFERROR(__xludf.DUMMYFUNCTION("""COMPUTED_VALUE"""),"Mandiri / 133-00 3244394-7 / CV Teras Kania Global ")</f>
        <v>Mandiri / 133-00 3244394-7 / CV Teras Kania Global </v>
      </c>
      <c r="AR933" s="80"/>
      <c r="AS933" s="80"/>
      <c r="AT933" s="80" t="str">
        <f>IFERROR(__xludf.DUMMYFUNCTION("""COMPUTED_VALUE"""),"-6.5462426")</f>
        <v>-6.5462426</v>
      </c>
      <c r="AU933" s="80" t="str">
        <f>IFERROR(__xludf.DUMMYFUNCTION("""COMPUTED_VALUE"""),"106.8138258")</f>
        <v>106.8138258</v>
      </c>
      <c r="AV933" s="80"/>
      <c r="AW933" s="80"/>
      <c r="AX933" s="80"/>
      <c r="AY933" s="80"/>
      <c r="AZ933" s="80"/>
      <c r="BA933" s="80"/>
      <c r="BB933" s="80"/>
      <c r="BC933" s="80"/>
      <c r="BD933" s="80"/>
      <c r="BE933" s="80"/>
      <c r="BF933" s="80"/>
      <c r="BG933" s="80"/>
      <c r="BH933" s="80"/>
      <c r="BI933" s="80"/>
      <c r="BJ933" s="80"/>
      <c r="BK933" s="80"/>
      <c r="BL933" s="80"/>
      <c r="BM933" s="80"/>
      <c r="BN933" s="80"/>
      <c r="BO933" s="80"/>
      <c r="BP933" s="80"/>
      <c r="BQ933" s="80"/>
      <c r="BR933" s="80"/>
      <c r="BS933" s="80"/>
      <c r="BT933" s="80"/>
      <c r="BU933" s="80"/>
      <c r="BV933" s="80"/>
      <c r="BW933" s="80"/>
      <c r="BX933" s="80" t="str">
        <f>IFERROR(__xludf.DUMMYFUNCTION("""COMPUTED_VALUE"""),"NEWBIE")</f>
        <v>NEWBIE</v>
      </c>
      <c r="BY933" s="80"/>
      <c r="BZ933" s="80"/>
      <c r="CA933" s="80"/>
      <c r="CB933" s="80"/>
      <c r="CC933" s="80"/>
      <c r="CD933" s="80"/>
      <c r="CE933" s="80"/>
      <c r="CF933" s="80"/>
      <c r="CG933" s="80"/>
      <c r="CH933" s="80"/>
      <c r="CI933" s="80"/>
      <c r="CJ933" s="80"/>
      <c r="CK933" s="2"/>
    </row>
    <row r="934" ht="12.75" customHeight="1">
      <c r="A934" s="85">
        <f>IFERROR(__xludf.DUMMYFUNCTION("""COMPUTED_VALUE"""),930.0)</f>
        <v>930</v>
      </c>
      <c r="B934" s="85"/>
      <c r="C934" s="85"/>
      <c r="D934" s="86">
        <f>IFERROR(__xludf.DUMMYFUNCTION("""COMPUTED_VALUE"""),46141.0)</f>
        <v>46141</v>
      </c>
      <c r="E934" s="88"/>
      <c r="F934" s="85"/>
      <c r="G934" s="86">
        <f>IFERROR(__xludf.DUMMYFUNCTION("""COMPUTED_VALUE"""),46157.0)</f>
        <v>46157</v>
      </c>
      <c r="H934" s="85"/>
      <c r="I934" s="85"/>
      <c r="J934" s="85"/>
      <c r="K934" s="85"/>
      <c r="L934" s="85">
        <f>IFERROR(__xludf.DUMMYFUNCTION("""COMPUTED_VALUE"""),16.0)</f>
        <v>16</v>
      </c>
      <c r="M934" s="85" t="str">
        <f>IFERROR(__xludf.DUMMYFUNCTION("""COMPUTED_VALUE"""),"ü")</f>
        <v>ü</v>
      </c>
      <c r="N934" s="85"/>
      <c r="O934" s="85"/>
      <c r="P934" s="85" t="str">
        <f>IFERROR(__xludf.DUMMYFUNCTION("""COMPUTED_VALUE"""),"53BSPA09968JBEEN")</f>
        <v>53BSPA09968JBEEN</v>
      </c>
      <c r="Q934" s="85" t="str">
        <f>IFERROR(__xludf.DUMMYFUNCTION("""COMPUTED_VALUE"""),"MUC DFamily")</f>
        <v>MUC DFamily</v>
      </c>
      <c r="R934" s="85" t="str">
        <f>IFERROR(__xludf.DUMMYFUNCTION("""COMPUTED_VALUE"""),"MUC DFamily")</f>
        <v>MUC DFamily</v>
      </c>
      <c r="S934" s="85" t="str">
        <f>IFERROR(__xludf.DUMMYFUNCTION("""COMPUTED_VALUE"""),"DELVI KASYDY")</f>
        <v>DELVI KASYDY</v>
      </c>
      <c r="T934" s="85" t="str">
        <f>IFERROR(__xludf.DUMMYFUNCTION("""COMPUTED_VALUE"""),"CITRA RAYA BLOK. D3/42 RT.002 RW.005, CIKUPA, CIKUPA, KAB. TANGERANG")</f>
        <v>CITRA RAYA BLOK. D3/42 RT.002 RW.005, CIKUPA, CIKUPA, KAB. TANGERANG</v>
      </c>
      <c r="U934" s="85" t="str">
        <f>IFERROR(__xludf.DUMMYFUNCTION("""COMPUTED_VALUE"""),"RUKO ECOPOLIS BLOK VD 03 NO. 12")</f>
        <v>RUKO ECOPOLIS BLOK VD 03 NO. 12</v>
      </c>
      <c r="V934" s="85"/>
      <c r="W934" s="85" t="str">
        <f>IFERROR(__xludf.DUMMYFUNCTION("""COMPUTED_VALUE"""),"Mekar Bakti")</f>
        <v>Mekar Bakti</v>
      </c>
      <c r="X934" s="85" t="str">
        <f>IFERROR(__xludf.DUMMYFUNCTION("""COMPUTED_VALUE"""),"Panongan")</f>
        <v>Panongan</v>
      </c>
      <c r="Y934" s="85" t="str">
        <f>IFERROR(__xludf.DUMMYFUNCTION("""COMPUTED_VALUE"""),"Kab. Tangerang")</f>
        <v>Kab. Tangerang</v>
      </c>
      <c r="Z934" s="85" t="str">
        <f>IFERROR(__xludf.DUMMYFUNCTION("""COMPUTED_VALUE"""),"Banten ")</f>
        <v>Banten </v>
      </c>
      <c r="AA934" s="85" t="str">
        <f>IFERROR(__xludf.DUMMYFUNCTION("""COMPUTED_VALUE"""),"15710")</f>
        <v>15710</v>
      </c>
      <c r="AB934" s="85" t="str">
        <f>IFERROR(__xludf.DUMMYFUNCTION("""COMPUTED_VALUE"""),"3173020505820018")</f>
        <v>3173020505820018</v>
      </c>
      <c r="AC934" s="85" t="str">
        <f>IFERROR(__xludf.DUMMYFUNCTION("""COMPUTED_VALUE"""),"48.021.732.2-033.000")</f>
        <v>48.021.732.2-033.000</v>
      </c>
      <c r="AD934" s="85" t="str">
        <f>IFERROR(__xludf.DUMMYFUNCTION("""COMPUTED_VALUE"""),"CUM - EEN")</f>
        <v>CUM - EEN</v>
      </c>
      <c r="AE934" s="85" t="str">
        <f>IFERROR(__xludf.DUMMYFUNCTION("""COMPUTED_VALUE"""),"SUB EEN")</f>
        <v>SUB EEN</v>
      </c>
      <c r="AF934" s="85" t="str">
        <f>IFERROR(__xludf.DUMMYFUNCTION("""COMPUTED_VALUE"""),"081807968618")</f>
        <v>081807968618</v>
      </c>
      <c r="AG934" s="85"/>
      <c r="AH934" s="85" t="str">
        <f>IFERROR(__xludf.DUMMYFUNCTION("""COMPUTED_VALUE"""),"delvikasydy@gmail.com")</f>
        <v>delvikasydy@gmail.com</v>
      </c>
      <c r="AI934" s="85" t="str">
        <f>IFERROR(__xludf.DUMMYFUNCTION("""COMPUTED_VALUE"""),"15757S1")</f>
        <v>15757S1</v>
      </c>
      <c r="AJ934" s="85" t="str">
        <f>IFERROR(__xludf.DUMMYFUNCTION("""COMPUTED_VALUE"""),"6a068f044f05599af20835ae")</f>
        <v>6a068f044f05599af20835ae</v>
      </c>
      <c r="AK934" s="85" t="str">
        <f>IFERROR(__xludf.DUMMYFUNCTION("""COMPUTED_VALUE"""),"delvikasydy@gmail.com")</f>
        <v>delvikasydy@gmail.com</v>
      </c>
      <c r="AL934" s="85" t="str">
        <f>IFERROR(__xludf.DUMMYFUNCTION("""COMPUTED_VALUE"""),"#Muc15757S1$")</f>
        <v>#Muc15757S1$</v>
      </c>
      <c r="AM934" s="85" t="str">
        <f>IFERROR(__xludf.DUMMYFUNCTION("""COMPUTED_VALUE"""),"KANTOR REGIONAL II JAKARTA 10004")</f>
        <v>KANTOR REGIONAL II JAKARTA 10004</v>
      </c>
      <c r="AN934" s="85" t="str">
        <f>IFERROR(__xludf.DUMMYFUNCTION("""COMPUTED_VALUE"""),"KCU TANGERANG 15000")</f>
        <v>KCU TANGERANG 15000</v>
      </c>
      <c r="AO934" s="85" t="str">
        <f>IFERROR(__xludf.DUMMYFUNCTION("""COMPUTED_VALUE"""),"1703220020982")</f>
        <v>1703220020982</v>
      </c>
      <c r="AP934" s="85" t="str">
        <f>IFERROR(__xludf.DUMMYFUNCTION("""COMPUTED_VALUE"""),"17032200209820001")</f>
        <v>17032200209820001</v>
      </c>
      <c r="AQ934" s="93" t="str">
        <f>IFERROR(__xludf.DUMMYFUNCTION("""COMPUTED_VALUE"""),"BCA / 0350868160 / Delvi Kasydy")</f>
        <v>BCA / 0350868160 / Delvi Kasydy</v>
      </c>
      <c r="AR934" s="85"/>
      <c r="AS934" s="85"/>
      <c r="AT934" s="85" t="str">
        <f>IFERROR(__xludf.DUMMYFUNCTION("""COMPUTED_VALUE"""),"-6.250200")</f>
        <v>-6.250200</v>
      </c>
      <c r="AU934" s="85" t="str">
        <f>IFERROR(__xludf.DUMMYFUNCTION("""COMPUTED_VALUE"""),"106.523731")</f>
        <v>106.523731</v>
      </c>
      <c r="AV934" s="85"/>
      <c r="AW934" s="85"/>
      <c r="AX934" s="85"/>
      <c r="AY934" s="85"/>
      <c r="AZ934" s="85"/>
      <c r="BA934" s="85"/>
      <c r="BB934" s="85"/>
      <c r="BC934" s="85"/>
      <c r="BD934" s="85"/>
      <c r="BE934" s="85"/>
      <c r="BF934" s="85"/>
      <c r="BG934" s="85"/>
      <c r="BH934" s="85"/>
      <c r="BI934" s="85"/>
      <c r="BJ934" s="85"/>
      <c r="BK934" s="85"/>
      <c r="BL934" s="85"/>
      <c r="BM934" s="85"/>
      <c r="BN934" s="85"/>
      <c r="BO934" s="85"/>
      <c r="BP934" s="85"/>
      <c r="BQ934" s="85"/>
      <c r="BR934" s="85"/>
      <c r="BS934" s="85"/>
      <c r="BT934" s="85"/>
      <c r="BU934" s="85"/>
      <c r="BV934" s="85"/>
      <c r="BW934" s="85"/>
      <c r="BX934" s="85" t="str">
        <f>IFERROR(__xludf.DUMMYFUNCTION("""COMPUTED_VALUE"""),"MULTIKURIR - LION PARCEL - SPX")</f>
        <v>MULTIKURIR - LION PARCEL - SPX</v>
      </c>
      <c r="BY934" s="85"/>
      <c r="BZ934" s="85"/>
      <c r="CA934" s="85"/>
      <c r="CB934" s="85"/>
      <c r="CC934" s="85"/>
      <c r="CD934" s="85"/>
      <c r="CE934" s="85"/>
      <c r="CF934" s="85"/>
      <c r="CG934" s="85"/>
      <c r="CH934" s="85"/>
      <c r="CI934" s="85"/>
      <c r="CJ934" s="85"/>
      <c r="CK934" s="2"/>
    </row>
    <row r="935" ht="12.75" customHeight="1">
      <c r="A935" s="80">
        <f>IFERROR(__xludf.DUMMYFUNCTION("""COMPUTED_VALUE"""),931.0)</f>
        <v>931</v>
      </c>
      <c r="B935" s="80"/>
      <c r="C935" s="80"/>
      <c r="D935" s="81">
        <f>IFERROR(__xludf.DUMMYFUNCTION("""COMPUTED_VALUE"""),46146.0)</f>
        <v>46146</v>
      </c>
      <c r="E935" s="82"/>
      <c r="F935" s="80"/>
      <c r="G935" s="81">
        <f>IFERROR(__xludf.DUMMYFUNCTION("""COMPUTED_VALUE"""),46185.0)</f>
        <v>46185</v>
      </c>
      <c r="H935" s="80"/>
      <c r="I935" s="80"/>
      <c r="J935" s="80"/>
      <c r="K935" s="80"/>
      <c r="L935" s="80">
        <f>IFERROR(__xludf.DUMMYFUNCTION("""COMPUTED_VALUE"""),39.0)</f>
        <v>39</v>
      </c>
      <c r="M935" s="80" t="str">
        <f>IFERROR(__xludf.DUMMYFUNCTION("""COMPUTED_VALUE"""),"ü")</f>
        <v>ü</v>
      </c>
      <c r="N935" s="80"/>
      <c r="O935" s="80"/>
      <c r="P935" s="80" t="str">
        <f>IFERROR(__xludf.DUMMYFUNCTION("""COMPUTED_VALUE"""),"53BSPA09967JBEEN")</f>
        <v>53BSPA09967JBEEN</v>
      </c>
      <c r="Q935" s="80" t="str">
        <f>IFERROR(__xludf.DUMMYFUNCTION("""COMPUTED_VALUE"""),"MUC Lontar")</f>
        <v>MUC Lontar</v>
      </c>
      <c r="R935" s="80" t="str">
        <f>IFERROR(__xludf.DUMMYFUNCTION("""COMPUTED_VALUE"""),"MUC Lontar")</f>
        <v>MUC Lontar</v>
      </c>
      <c r="S935" s="80" t="str">
        <f>IFERROR(__xludf.DUMMYFUNCTION("""COMPUTED_VALUE"""),"ANA MEILIANA")</f>
        <v>ANA MEILIANA</v>
      </c>
      <c r="T935" s="80" t="str">
        <f>IFERROR(__xludf.DUMMYFUNCTION("""COMPUTED_VALUE"""),"JL. LONTAR RT.011 RW.003, LENTENG AGUNG, JAGAKARSA, JAKARTA SELATAN")</f>
        <v>JL. LONTAR RT.011 RW.003, LENTENG AGUNG, JAGAKARSA, JAKARTA SELATAN</v>
      </c>
      <c r="U935" s="80" t="str">
        <f>IFERROR(__xludf.DUMMYFUNCTION("""COMPUTED_VALUE"""),"Jl. Lontar rt 11/03 No 8/1")</f>
        <v>Jl. Lontar rt 11/03 No 8/1</v>
      </c>
      <c r="V935" s="80" t="str">
        <f>IFERROR(__xludf.DUMMYFUNCTION("""COMPUTED_VALUE"""),"RT.011 \ RW.003")</f>
        <v>RT.011 \ RW.003</v>
      </c>
      <c r="W935" s="80" t="str">
        <f>IFERROR(__xludf.DUMMYFUNCTION("""COMPUTED_VALUE"""),"Lenteng Agung")</f>
        <v>Lenteng Agung</v>
      </c>
      <c r="X935" s="80" t="str">
        <f>IFERROR(__xludf.DUMMYFUNCTION("""COMPUTED_VALUE"""),"Jagakarsa")</f>
        <v>Jagakarsa</v>
      </c>
      <c r="Y935" s="80" t="str">
        <f>IFERROR(__xludf.DUMMYFUNCTION("""COMPUTED_VALUE"""),"Jakarta Selatan")</f>
        <v>Jakarta Selatan</v>
      </c>
      <c r="Z935" s="80" t="str">
        <f>IFERROR(__xludf.DUMMYFUNCTION("""COMPUTED_VALUE"""),"DKI Jakarta")</f>
        <v>DKI Jakarta</v>
      </c>
      <c r="AA935" s="80" t="str">
        <f>IFERROR(__xludf.DUMMYFUNCTION("""COMPUTED_VALUE"""),"12610")</f>
        <v>12610</v>
      </c>
      <c r="AB935" s="80" t="str">
        <f>IFERROR(__xludf.DUMMYFUNCTION("""COMPUTED_VALUE"""),"3174095705790010")</f>
        <v>3174095705790010</v>
      </c>
      <c r="AC935" s="80" t="str">
        <f>IFERROR(__xludf.DUMMYFUNCTION("""COMPUTED_VALUE"""),"31.740.957.0-579.0010")</f>
        <v>31.740.957.0-579.0010</v>
      </c>
      <c r="AD935" s="80" t="str">
        <f>IFERROR(__xludf.DUMMYFUNCTION("""COMPUTED_VALUE"""),"CUM - EEN")</f>
        <v>CUM - EEN</v>
      </c>
      <c r="AE935" s="80" t="str">
        <f>IFERROR(__xludf.DUMMYFUNCTION("""COMPUTED_VALUE"""),"CUM - EEN")</f>
        <v>CUM - EEN</v>
      </c>
      <c r="AF935" s="80" t="str">
        <f>IFERROR(__xludf.DUMMYFUNCTION("""COMPUTED_VALUE"""),"087782190422")</f>
        <v>087782190422</v>
      </c>
      <c r="AG935" s="80" t="str">
        <f>IFERROR(__xludf.DUMMYFUNCTION("""COMPUTED_VALUE"""),"87782190422")</f>
        <v>87782190422</v>
      </c>
      <c r="AH935" s="80" t="str">
        <f>IFERROR(__xludf.DUMMYFUNCTION("""COMPUTED_VALUE"""),"anameiliana17@gmail.com")</f>
        <v>anameiliana17@gmail.com</v>
      </c>
      <c r="AI935" s="80" t="str">
        <f>IFERROR(__xludf.DUMMYFUNCTION("""COMPUTED_VALUE"""),"12610S5")</f>
        <v>12610S5</v>
      </c>
      <c r="AJ935" s="80" t="str">
        <f>IFERROR(__xludf.DUMMYFUNCTION("""COMPUTED_VALUE"""),"6a1f9c6a928935daab0e7f67")</f>
        <v>6a1f9c6a928935daab0e7f67</v>
      </c>
      <c r="AK935" s="80" t="str">
        <f>IFERROR(__xludf.DUMMYFUNCTION("""COMPUTED_VALUE"""),"anameiliana17@gmail.com")</f>
        <v>anameiliana17@gmail.com</v>
      </c>
      <c r="AL935" s="80" t="str">
        <f>IFERROR(__xludf.DUMMYFUNCTION("""COMPUTED_VALUE"""),"#Muc12610S5$")</f>
        <v>#Muc12610S5$</v>
      </c>
      <c r="AM935" s="80" t="str">
        <f>IFERROR(__xludf.DUMMYFUNCTION("""COMPUTED_VALUE"""),"KANTOR REGIONAL II JAKARTA 10004")</f>
        <v>KANTOR REGIONAL II JAKARTA 10004</v>
      </c>
      <c r="AN935" s="80" t="str">
        <f>IFERROR(__xludf.DUMMYFUNCTION("""COMPUTED_VALUE"""),"KCU JAKARTAFLORA 12000")</f>
        <v>KCU JAKARTAFLORA 12000</v>
      </c>
      <c r="AO935" s="80" t="str">
        <f>IFERROR(__xludf.DUMMYFUNCTION("""COMPUTED_VALUE"""),"0102250045003")</f>
        <v>0102250045003</v>
      </c>
      <c r="AP935" s="80" t="str">
        <f>IFERROR(__xludf.DUMMYFUNCTION("""COMPUTED_VALUE"""),"01022500450030001")</f>
        <v>01022500450030001</v>
      </c>
      <c r="AQ935" s="83" t="str">
        <f>IFERROR(__xludf.DUMMYFUNCTION("""COMPUTED_VALUE"""),"5470003881")</f>
        <v>5470003881</v>
      </c>
      <c r="AR935" s="80" t="str">
        <f>IFERROR(__xludf.DUMMYFUNCTION("""COMPUTED_VALUE"""),"BCA")</f>
        <v>BCA</v>
      </c>
      <c r="AS935" s="80" t="str">
        <f>IFERROR(__xludf.DUMMYFUNCTION("""COMPUTED_VALUE"""),"Ana Meiliana")</f>
        <v>Ana Meiliana</v>
      </c>
      <c r="AT935" s="80" t="str">
        <f>IFERROR(__xludf.DUMMYFUNCTION("""COMPUTED_VALUE"""),"-6,324,880")</f>
        <v>-6,324,880</v>
      </c>
      <c r="AU935" s="80" t="str">
        <f>IFERROR(__xludf.DUMMYFUNCTION("""COMPUTED_VALUE"""),"106,838,596")</f>
        <v>106,838,596</v>
      </c>
      <c r="AV935" s="80"/>
      <c r="AW935" s="80"/>
      <c r="AX935" s="80"/>
      <c r="AY935" s="80"/>
      <c r="AZ935" s="80"/>
      <c r="BA935" s="80"/>
      <c r="BB935" s="80"/>
      <c r="BC935" s="80"/>
      <c r="BD935" s="80"/>
      <c r="BE935" s="80"/>
      <c r="BF935" s="80"/>
      <c r="BG935" s="80"/>
      <c r="BH935" s="80"/>
      <c r="BI935" s="80"/>
      <c r="BJ935" s="80"/>
      <c r="BK935" s="80"/>
      <c r="BL935" s="80"/>
      <c r="BM935" s="80"/>
      <c r="BN935" s="80"/>
      <c r="BO935" s="80"/>
      <c r="BP935" s="80"/>
      <c r="BQ935" s="80"/>
      <c r="BR935" s="80"/>
      <c r="BS935" s="80"/>
      <c r="BT935" s="80"/>
      <c r="BU935" s="80"/>
      <c r="BV935" s="80"/>
      <c r="BW935" s="80"/>
      <c r="BX935" s="80"/>
      <c r="BY935" s="80"/>
      <c r="BZ935" s="80"/>
      <c r="CA935" s="80"/>
      <c r="CB935" s="80"/>
      <c r="CC935" s="80"/>
      <c r="CD935" s="80"/>
      <c r="CE935" s="80"/>
      <c r="CF935" s="80"/>
      <c r="CG935" s="80"/>
      <c r="CH935" s="80"/>
      <c r="CI935" s="80"/>
      <c r="CJ935" s="80"/>
      <c r="CK935" s="2"/>
    </row>
    <row r="936" ht="12.75" customHeight="1">
      <c r="A936" s="85">
        <f>IFERROR(__xludf.DUMMYFUNCTION("""COMPUTED_VALUE"""),932.0)</f>
        <v>932</v>
      </c>
      <c r="B936" s="85"/>
      <c r="C936" s="85"/>
      <c r="D936" s="86">
        <f>IFERROR(__xludf.DUMMYFUNCTION("""COMPUTED_VALUE"""),46146.0)</f>
        <v>46146</v>
      </c>
      <c r="E936" s="88"/>
      <c r="F936" s="85"/>
      <c r="G936" s="86">
        <f>IFERROR(__xludf.DUMMYFUNCTION("""COMPUTED_VALUE"""),46168.0)</f>
        <v>46168</v>
      </c>
      <c r="H936" s="85"/>
      <c r="I936" s="85"/>
      <c r="J936" s="85"/>
      <c r="K936" s="85"/>
      <c r="L936" s="85">
        <f>IFERROR(__xludf.DUMMYFUNCTION("""COMPUTED_VALUE"""),22.0)</f>
        <v>22</v>
      </c>
      <c r="M936" s="85" t="str">
        <f>IFERROR(__xludf.DUMMYFUNCTION("""COMPUTED_VALUE"""),"ü")</f>
        <v>ü</v>
      </c>
      <c r="N936" s="85"/>
      <c r="O936" s="85"/>
      <c r="P936" s="85" t="str">
        <f>IFERROR(__xludf.DUMMYFUNCTION("""COMPUTED_VALUE"""),"53BSPA09969JBEEN")</f>
        <v>53BSPA09969JBEEN</v>
      </c>
      <c r="Q936" s="85" t="str">
        <f>IFERROR(__xludf.DUMMYFUNCTION("""COMPUTED_VALUE"""),"MUC Veteran Kadu Jaya")</f>
        <v>MUC Veteran Kadu Jaya</v>
      </c>
      <c r="R936" s="85" t="str">
        <f>IFERROR(__xludf.DUMMYFUNCTION("""COMPUTED_VALUE"""),"MUC Veteran Kadu Jaya")</f>
        <v>MUC Veteran Kadu Jaya</v>
      </c>
      <c r="S936" s="85" t="str">
        <f>IFERROR(__xludf.DUMMYFUNCTION("""COMPUTED_VALUE"""),"NURLELA")</f>
        <v>NURLELA</v>
      </c>
      <c r="T936" s="85" t="str">
        <f>IFERROR(__xludf.DUMMYFUNCTION("""COMPUTED_VALUE""")," KP. BITUNG RT.002 RW.004, KADU JAYA, CURUG, KAB. TANGERANG, BANTEN")</f>
        <v> KP. BITUNG RT.002 RW.004, KADU JAYA, CURUG, KAB. TANGERANG, BANTEN</v>
      </c>
      <c r="U936" s="85" t="str">
        <f>IFERROR(__xludf.DUMMYFUNCTION("""COMPUTED_VALUE"""),"Jl veteran kp bitung, RT.002/RW.004")</f>
        <v>Jl veteran kp bitung, RT.002/RW.004</v>
      </c>
      <c r="V936" s="85" t="str">
        <f>IFERROR(__xludf.DUMMYFUNCTION("""COMPUTED_VALUE"""),"Kadu Jaya")</f>
        <v>Kadu Jaya</v>
      </c>
      <c r="W936" s="85" t="str">
        <f>IFERROR(__xludf.DUMMYFUNCTION("""COMPUTED_VALUE"""),"Kadu Jaya")</f>
        <v>Kadu Jaya</v>
      </c>
      <c r="X936" s="85" t="str">
        <f>IFERROR(__xludf.DUMMYFUNCTION("""COMPUTED_VALUE"""),"Curug")</f>
        <v>Curug</v>
      </c>
      <c r="Y936" s="85" t="str">
        <f>IFERROR(__xludf.DUMMYFUNCTION("""COMPUTED_VALUE"""),"Kabupaten Tangerang")</f>
        <v>Kabupaten Tangerang</v>
      </c>
      <c r="Z936" s="85" t="str">
        <f>IFERROR(__xludf.DUMMYFUNCTION("""COMPUTED_VALUE"""),"Banten ")</f>
        <v>Banten </v>
      </c>
      <c r="AA936" s="85" t="str">
        <f>IFERROR(__xludf.DUMMYFUNCTION("""COMPUTED_VALUE"""),"15810")</f>
        <v>15810</v>
      </c>
      <c r="AB936" s="85" t="str">
        <f>IFERROR(__xludf.DUMMYFUNCTION("""COMPUTED_VALUE"""),"3603174906740003")</f>
        <v>3603174906740003</v>
      </c>
      <c r="AC936" s="85" t="str">
        <f>IFERROR(__xludf.DUMMYFUNCTION("""COMPUTED_VALUE"""),"36.771.809.5-451.000")</f>
        <v>36.771.809.5-451.000</v>
      </c>
      <c r="AD936" s="85" t="str">
        <f>IFERROR(__xludf.DUMMYFUNCTION("""COMPUTED_VALUE"""),"CUM - EEN")</f>
        <v>CUM - EEN</v>
      </c>
      <c r="AE936" s="85" t="str">
        <f>IFERROR(__xludf.DUMMYFUNCTION("""COMPUTED_VALUE"""),"CUM - EEN")</f>
        <v>CUM - EEN</v>
      </c>
      <c r="AF936" s="85" t="str">
        <f>IFERROR(__xludf.DUMMYFUNCTION("""COMPUTED_VALUE"""),"087712171996")</f>
        <v>087712171996</v>
      </c>
      <c r="AG936" s="85" t="str">
        <f>IFERROR(__xludf.DUMMYFUNCTION("""COMPUTED_VALUE"""),"087712171996")</f>
        <v>087712171996</v>
      </c>
      <c r="AH936" s="85" t="str">
        <f>IFERROR(__xludf.DUMMYFUNCTION("""COMPUTED_VALUE"""),"theo.senasln@gmail.com")</f>
        <v>theo.senasln@gmail.com</v>
      </c>
      <c r="AI936" s="85" t="str">
        <f>IFERROR(__xludf.DUMMYFUNCTION("""COMPUTED_VALUE"""),"15816S9")</f>
        <v>15816S9</v>
      </c>
      <c r="AJ936" s="85" t="str">
        <f>IFERROR(__xludf.DUMMYFUNCTION("""COMPUTED_VALUE"""),"6a151ab526035b1fee06f80f")</f>
        <v>6a151ab526035b1fee06f80f</v>
      </c>
      <c r="AK936" s="85" t="str">
        <f>IFERROR(__xludf.DUMMYFUNCTION("""COMPUTED_VALUE"""),"theo.senasln@gmail.com")</f>
        <v>theo.senasln@gmail.com</v>
      </c>
      <c r="AL936" s="85" t="str">
        <f>IFERROR(__xludf.DUMMYFUNCTION("""COMPUTED_VALUE"""),"#Muc15816S9$")</f>
        <v>#Muc15816S9$</v>
      </c>
      <c r="AM936" s="85" t="str">
        <f>IFERROR(__xludf.DUMMYFUNCTION("""COMPUTED_VALUE"""),"KANTOR REGIONAL II JAKARTA 10004")</f>
        <v>KANTOR REGIONAL II JAKARTA 10004</v>
      </c>
      <c r="AN936" s="85" t="str">
        <f>IFERROR(__xludf.DUMMYFUNCTION("""COMPUTED_VALUE"""),"KCU TANGERANG 15000")</f>
        <v>KCU TANGERANG 15000</v>
      </c>
      <c r="AO936" s="85" t="str">
        <f>IFERROR(__xludf.DUMMYFUNCTION("""COMPUTED_VALUE"""),"0405260086563")</f>
        <v>0405260086563</v>
      </c>
      <c r="AP936" s="85" t="str">
        <f>IFERROR(__xludf.DUMMYFUNCTION("""COMPUTED_VALUE"""),"04052600865630001")</f>
        <v>04052600865630001</v>
      </c>
      <c r="AQ936" s="93" t="str">
        <f>IFERROR(__xludf.DUMMYFUNCTION("""COMPUTED_VALUE"""),"BCA / 764 - 234 - 5772 / THEO SENA SULIANO")</f>
        <v>BCA / 764 - 234 - 5772 / THEO SENA SULIANO</v>
      </c>
      <c r="AR936" s="85"/>
      <c r="AS936" s="85"/>
      <c r="AT936" s="85" t="str">
        <f>IFERROR(__xludf.DUMMYFUNCTION("""COMPUTED_VALUE"""),"-6.2280044")</f>
        <v>-6.2280044</v>
      </c>
      <c r="AU936" s="85" t="str">
        <f>IFERROR(__xludf.DUMMYFUNCTION("""COMPUTED_VALUE"""),"106.5537077")</f>
        <v>106.5537077</v>
      </c>
      <c r="AV936" s="85"/>
      <c r="AW936" s="85"/>
      <c r="AX936" s="85"/>
      <c r="AY936" s="85"/>
      <c r="AZ936" s="85"/>
      <c r="BA936" s="85"/>
      <c r="BB936" s="85"/>
      <c r="BC936" s="85"/>
      <c r="BD936" s="85"/>
      <c r="BE936" s="85"/>
      <c r="BF936" s="85"/>
      <c r="BG936" s="85"/>
      <c r="BH936" s="85"/>
      <c r="BI936" s="85"/>
      <c r="BJ936" s="85"/>
      <c r="BK936" s="85"/>
      <c r="BL936" s="85"/>
      <c r="BM936" s="85"/>
      <c r="BN936" s="85"/>
      <c r="BO936" s="85"/>
      <c r="BP936" s="85"/>
      <c r="BQ936" s="85"/>
      <c r="BR936" s="85"/>
      <c r="BS936" s="85"/>
      <c r="BT936" s="85"/>
      <c r="BU936" s="85"/>
      <c r="BV936" s="85"/>
      <c r="BW936" s="85"/>
      <c r="BX936" s="85"/>
      <c r="BY936" s="85"/>
      <c r="BZ936" s="85"/>
      <c r="CA936" s="85"/>
      <c r="CB936" s="85"/>
      <c r="CC936" s="85"/>
      <c r="CD936" s="85"/>
      <c r="CE936" s="85"/>
      <c r="CF936" s="85"/>
      <c r="CG936" s="85"/>
      <c r="CH936" s="85"/>
      <c r="CI936" s="85"/>
      <c r="CJ936" s="85"/>
      <c r="CK936" s="2"/>
    </row>
    <row r="937" ht="12.75" customHeight="1">
      <c r="A937" s="80">
        <f>IFERROR(__xludf.DUMMYFUNCTION("""COMPUTED_VALUE"""),933.0)</f>
        <v>933</v>
      </c>
      <c r="B937" s="80"/>
      <c r="C937" s="80"/>
      <c r="D937" s="81">
        <f>IFERROR(__xludf.DUMMYFUNCTION("""COMPUTED_VALUE"""),46146.0)</f>
        <v>46146</v>
      </c>
      <c r="E937" s="82"/>
      <c r="F937" s="80"/>
      <c r="G937" s="81">
        <f>IFERROR(__xludf.DUMMYFUNCTION("""COMPUTED_VALUE"""),46272.0)</f>
        <v>46272</v>
      </c>
      <c r="H937" s="80"/>
      <c r="I937" s="80"/>
      <c r="J937" s="80"/>
      <c r="K937" s="80"/>
      <c r="L937" s="80">
        <f>IFERROR(__xludf.DUMMYFUNCTION("""COMPUTED_VALUE"""),126.0)</f>
        <v>126</v>
      </c>
      <c r="M937" s="80" t="str">
        <f>IFERROR(__xludf.DUMMYFUNCTION("""COMPUTED_VALUE"""),"ü")</f>
        <v>ü</v>
      </c>
      <c r="N937" s="80"/>
      <c r="O937" s="80"/>
      <c r="P937" s="80" t="str">
        <f>IFERROR(__xludf.DUMMYFUNCTION("""COMPUTED_VALUE"""),"53BSPA17051JBNDS")</f>
        <v>53BSPA17051JBNDS</v>
      </c>
      <c r="Q937" s="80" t="str">
        <f>IFERROR(__xludf.DUMMYFUNCTION("""COMPUTED_VALUE"""),"MUC Rumah Tsabit")</f>
        <v>MUC Rumah Tsabit</v>
      </c>
      <c r="R937" s="80" t="str">
        <f>IFERROR(__xludf.DUMMYFUNCTION("""COMPUTED_VALUE"""),"MUC Rumah Tsabit")</f>
        <v>MUC Rumah Tsabit</v>
      </c>
      <c r="S937" s="80" t="str">
        <f>IFERROR(__xludf.DUMMYFUNCTION("""COMPUTED_VALUE"""),"Dwi Gunawan")</f>
        <v>Dwi Gunawan</v>
      </c>
      <c r="T937" s="80" t="str">
        <f>IFERROR(__xludf.DUMMYFUNCTION("""COMPUTED_VALUE""")," Jl. Raya Jangga Terisi Blok. Kaliwaru RT. 001 RW. 001 Desa Jangga Kec. Losarang Indramayu")</f>
        <v> Jl. Raya Jangga Terisi Blok. Kaliwaru RT. 001 RW. 001 Desa Jangga Kec. Losarang Indramayu</v>
      </c>
      <c r="U937" s="80" t="str">
        <f>IFERROR(__xludf.DUMMYFUNCTION("""COMPUTED_VALUE"""),"Jl. Raya Jangga Terisi Blok. Kaliwaru RT. 001 RW. 001 ")</f>
        <v>Jl. Raya Jangga Terisi Blok. Kaliwaru RT. 001 RW. 001 </v>
      </c>
      <c r="V937" s="80" t="str">
        <f>IFERROR(__xludf.DUMMYFUNCTION("""COMPUTED_VALUE"""),"Jangga")</f>
        <v>Jangga</v>
      </c>
      <c r="W937" s="80" t="str">
        <f>IFERROR(__xludf.DUMMYFUNCTION("""COMPUTED_VALUE"""),"Jangga")</f>
        <v>Jangga</v>
      </c>
      <c r="X937" s="80" t="str">
        <f>IFERROR(__xludf.DUMMYFUNCTION("""COMPUTED_VALUE"""),"Losarang")</f>
        <v>Losarang</v>
      </c>
      <c r="Y937" s="80" t="str">
        <f>IFERROR(__xludf.DUMMYFUNCTION("""COMPUTED_VALUE"""),"Indramayu")</f>
        <v>Indramayu</v>
      </c>
      <c r="Z937" s="80" t="str">
        <f>IFERROR(__xludf.DUMMYFUNCTION("""COMPUTED_VALUE"""),"Jawa Barat")</f>
        <v>Jawa Barat</v>
      </c>
      <c r="AA937" s="80" t="str">
        <f>IFERROR(__xludf.DUMMYFUNCTION("""COMPUTED_VALUE"""),"45253")</f>
        <v>45253</v>
      </c>
      <c r="AB937" s="80" t="str">
        <f>IFERROR(__xludf.DUMMYFUNCTION("""COMPUTED_VALUE"""),"3212211109790005")</f>
        <v>3212211109790005</v>
      </c>
      <c r="AC937" s="80" t="str">
        <f>IFERROR(__xludf.DUMMYFUNCTION("""COMPUTED_VALUE"""),"60.816.885.2-437.000")</f>
        <v>60.816.885.2-437.000</v>
      </c>
      <c r="AD937" s="80" t="str">
        <f>IFERROR(__xludf.DUMMYFUNCTION("""COMPUTED_VALUE"""),"CUM - NDS")</f>
        <v>CUM - NDS</v>
      </c>
      <c r="AE937" s="80" t="str">
        <f>IFERROR(__xludf.DUMMYFUNCTION("""COMPUTED_VALUE"""),"CUM - NDS")</f>
        <v>CUM - NDS</v>
      </c>
      <c r="AF937" s="80" t="str">
        <f>IFERROR(__xludf.DUMMYFUNCTION("""COMPUTED_VALUE"""),"082119578889")</f>
        <v>082119578889</v>
      </c>
      <c r="AG937" s="80" t="str">
        <f>IFERROR(__xludf.DUMMYFUNCTION("""COMPUTED_VALUE"""),"082119578889")</f>
        <v>082119578889</v>
      </c>
      <c r="AH937" s="80" t="str">
        <f>IFERROR(__xludf.DUMMYFUNCTION("""COMPUTED_VALUE"""),"dwi.guna31@gmail.com")</f>
        <v>dwi.guna31@gmail.com</v>
      </c>
      <c r="AI937" s="80" t="str">
        <f>IFERROR(__xludf.DUMMYFUNCTION("""COMPUTED_VALUE"""),"45253S1")</f>
        <v>45253S1</v>
      </c>
      <c r="AJ937" s="80" t="str">
        <f>IFERROR(__xludf.DUMMYFUNCTION("""COMPUTED_VALUE"""),"6a9ad26c7bee9ab582022d69")</f>
        <v>6a9ad26c7bee9ab582022d69</v>
      </c>
      <c r="AK937" s="80" t="str">
        <f>IFERROR(__xludf.DUMMYFUNCTION("""COMPUTED_VALUE"""),"dwi.guna31@gmail.com")</f>
        <v>dwi.guna31@gmail.com</v>
      </c>
      <c r="AL937" s="80" t="str">
        <f>IFERROR(__xludf.DUMMYFUNCTION("""COMPUTED_VALUE"""),"#Muc45253S1$")</f>
        <v>#Muc45253S1$</v>
      </c>
      <c r="AM937" s="80" t="str">
        <f>IFERROR(__xludf.DUMMYFUNCTION("""COMPUTED_VALUE"""),"KANTOR REGIONAL III BANDUNG 40004")</f>
        <v>KANTOR REGIONAL III BANDUNG 40004</v>
      </c>
      <c r="AN937" s="80" t="str">
        <f>IFERROR(__xludf.DUMMYFUNCTION("""COMPUTED_VALUE"""),"KC INDRAMAYU 45200")</f>
        <v>KC INDRAMAYU 45200</v>
      </c>
      <c r="AO937" s="80" t="str">
        <f>IFERROR(__xludf.DUMMYFUNCTION("""COMPUTED_VALUE""")," 3008220060615")</f>
        <v> 3008220060615</v>
      </c>
      <c r="AP937" s="80" t="str">
        <f>IFERROR(__xludf.DUMMYFUNCTION("""COMPUTED_VALUE""")," 30082200606150001")</f>
        <v> 30082200606150001</v>
      </c>
      <c r="AQ937" s="83" t="str">
        <f>IFERROR(__xludf.DUMMYFUNCTION("""COMPUTED_VALUE"""),"#REF!")</f>
        <v>#REF!</v>
      </c>
      <c r="AR937" s="80"/>
      <c r="AS937" s="80"/>
      <c r="AT937" s="80" t="str">
        <f>IFERROR(__xludf.DUMMYFUNCTION("""COMPUTED_VALUE"""),"-6.422542")</f>
        <v>-6.422542</v>
      </c>
      <c r="AU937" s="80" t="str">
        <f>IFERROR(__xludf.DUMMYFUNCTION("""COMPUTED_VALUE"""),"108.169313")</f>
        <v>108.169313</v>
      </c>
      <c r="AV937" s="80"/>
      <c r="AW937" s="80"/>
      <c r="AX937" s="80"/>
      <c r="AY937" s="80"/>
      <c r="AZ937" s="80"/>
      <c r="BA937" s="80"/>
      <c r="BB937" s="80"/>
      <c r="BC937" s="80"/>
      <c r="BD937" s="80"/>
      <c r="BE937" s="80"/>
      <c r="BF937" s="80"/>
      <c r="BG937" s="80"/>
      <c r="BH937" s="80"/>
      <c r="BI937" s="80"/>
      <c r="BJ937" s="80"/>
      <c r="BK937" s="80"/>
      <c r="BL937" s="80"/>
      <c r="BM937" s="80"/>
      <c r="BN937" s="80"/>
      <c r="BO937" s="80"/>
      <c r="BP937" s="80"/>
      <c r="BQ937" s="80"/>
      <c r="BR937" s="80"/>
      <c r="BS937" s="80"/>
      <c r="BT937" s="80"/>
      <c r="BU937" s="80"/>
      <c r="BV937" s="80"/>
      <c r="BW937" s="80"/>
      <c r="BX937" s="80"/>
      <c r="BY937" s="80"/>
      <c r="BZ937" s="80"/>
      <c r="CA937" s="80"/>
      <c r="CB937" s="80"/>
      <c r="CC937" s="80"/>
      <c r="CD937" s="80"/>
      <c r="CE937" s="80"/>
      <c r="CF937" s="80"/>
      <c r="CG937" s="80"/>
      <c r="CH937" s="80"/>
      <c r="CI937" s="80"/>
      <c r="CJ937" s="80"/>
      <c r="CK937" s="2"/>
    </row>
    <row r="938" ht="12.75" customHeight="1">
      <c r="A938" s="85">
        <f>IFERROR(__xludf.DUMMYFUNCTION("""COMPUTED_VALUE"""),934.0)</f>
        <v>934</v>
      </c>
      <c r="B938" s="85"/>
      <c r="C938" s="85"/>
      <c r="D938" s="86">
        <f>IFERROR(__xludf.DUMMYFUNCTION("""COMPUTED_VALUE"""),46146.0)</f>
        <v>46146</v>
      </c>
      <c r="E938" s="88"/>
      <c r="F938" s="85"/>
      <c r="G938" s="86">
        <f>IFERROR(__xludf.DUMMYFUNCTION("""COMPUTED_VALUE"""),46161.0)</f>
        <v>46161</v>
      </c>
      <c r="H938" s="85"/>
      <c r="I938" s="85"/>
      <c r="J938" s="85"/>
      <c r="K938" s="85"/>
      <c r="L938" s="85">
        <f>IFERROR(__xludf.DUMMYFUNCTION("""COMPUTED_VALUE"""),15.0)</f>
        <v>15</v>
      </c>
      <c r="M938" s="85" t="str">
        <f>IFERROR(__xludf.DUMMYFUNCTION("""COMPUTED_VALUE"""),"ü")</f>
        <v>ü</v>
      </c>
      <c r="N938" s="85"/>
      <c r="O938" s="85"/>
      <c r="P938" s="85" t="str">
        <f>IFERROR(__xludf.DUMMYFUNCTION("""COMPUTED_VALUE"""),"53BSPA17052JBNDS")</f>
        <v>53BSPA17052JBNDS</v>
      </c>
      <c r="Q938" s="85" t="str">
        <f>IFERROR(__xludf.DUMMYFUNCTION("""COMPUTED_VALUE"""),"MUC ALMI SEND")</f>
        <v>MUC ALMI SEND</v>
      </c>
      <c r="R938" s="85" t="str">
        <f>IFERROR(__xludf.DUMMYFUNCTION("""COMPUTED_VALUE"""),"MUC ALMI SEND")</f>
        <v>MUC ALMI SEND</v>
      </c>
      <c r="S938" s="85" t="str">
        <f>IFERROR(__xludf.DUMMYFUNCTION("""COMPUTED_VALUE"""),"Fahmi Al Anshori")</f>
        <v>Fahmi Al Anshori</v>
      </c>
      <c r="T938" s="85" t="str">
        <f>IFERROR(__xludf.DUMMYFUNCTION("""COMPUTED_VALUE""")," KP SRENGSENG RT.004 RW.002, SUKAMULYA, SUKATANI, KAB. BEKASI, JAWA BARAT")</f>
        <v> KP SRENGSENG RT.004 RW.002, SUKAMULYA, SUKATANI, KAB. BEKASI, JAWA BARAT</v>
      </c>
      <c r="U938" s="85" t="str">
        <f>IFERROR(__xludf.DUMMYFUNCTION("""COMPUTED_VALUE"""),"Kp. Srengseng, Rt/Rw. 04/02")</f>
        <v>Kp. Srengseng, Rt/Rw. 04/02</v>
      </c>
      <c r="V938" s="85" t="str">
        <f>IFERROR(__xludf.DUMMYFUNCTION("""COMPUTED_VALUE"""),"Sukamulya")</f>
        <v>Sukamulya</v>
      </c>
      <c r="W938" s="85" t="str">
        <f>IFERROR(__xludf.DUMMYFUNCTION("""COMPUTED_VALUE"""),"Sukamulya")</f>
        <v>Sukamulya</v>
      </c>
      <c r="X938" s="85" t="str">
        <f>IFERROR(__xludf.DUMMYFUNCTION("""COMPUTED_VALUE"""),"Sukatani")</f>
        <v>Sukatani</v>
      </c>
      <c r="Y938" s="85" t="str">
        <f>IFERROR(__xludf.DUMMYFUNCTION("""COMPUTED_VALUE"""),"Bekasi")</f>
        <v>Bekasi</v>
      </c>
      <c r="Z938" s="85" t="str">
        <f>IFERROR(__xludf.DUMMYFUNCTION("""COMPUTED_VALUE"""),"Jawa Barat")</f>
        <v>Jawa Barat</v>
      </c>
      <c r="AA938" s="85" t="str">
        <f>IFERROR(__xludf.DUMMYFUNCTION("""COMPUTED_VALUE"""),"17631 ")</f>
        <v>17631 </v>
      </c>
      <c r="AB938" s="85" t="str">
        <f>IFERROR(__xludf.DUMMYFUNCTION("""COMPUTED_VALUE"""),"3216151103950005")</f>
        <v>3216151103950005</v>
      </c>
      <c r="AC938" s="85" t="str">
        <f>IFERROR(__xludf.DUMMYFUNCTION("""COMPUTED_VALUE"""),"93.058.037.8-414.000")</f>
        <v>93.058.037.8-414.000</v>
      </c>
      <c r="AD938" s="85" t="str">
        <f>IFERROR(__xludf.DUMMYFUNCTION("""COMPUTED_VALUE"""),"CUM - NDS")</f>
        <v>CUM - NDS</v>
      </c>
      <c r="AE938" s="85" t="str">
        <f>IFERROR(__xludf.DUMMYFUNCTION("""COMPUTED_VALUE"""),"CUM - NDS")</f>
        <v>CUM - NDS</v>
      </c>
      <c r="AF938" s="85" t="str">
        <f>IFERROR(__xludf.DUMMYFUNCTION("""COMPUTED_VALUE"""),"085883330799")</f>
        <v>085883330799</v>
      </c>
      <c r="AG938" s="85" t="str">
        <f>IFERROR(__xludf.DUMMYFUNCTION("""COMPUTED_VALUE"""),"085883330799")</f>
        <v>085883330799</v>
      </c>
      <c r="AH938" s="85" t="str">
        <f>IFERROR(__xludf.DUMMYFUNCTION("""COMPUTED_VALUE"""),"fahmyalanshory@gmail.com")</f>
        <v>fahmyalanshory@gmail.com</v>
      </c>
      <c r="AI938" s="85" t="str">
        <f>IFERROR(__xludf.DUMMYFUNCTION("""COMPUTED_VALUE"""),"17631S2")</f>
        <v>17631S2</v>
      </c>
      <c r="AJ938" s="85" t="str">
        <f>IFERROR(__xludf.DUMMYFUNCTION("""COMPUTED_VALUE"""),"6a0c2e4fb85d6b3b330dba45")</f>
        <v>6a0c2e4fb85d6b3b330dba45</v>
      </c>
      <c r="AK938" s="85" t="str">
        <f>IFERROR(__xludf.DUMMYFUNCTION("""COMPUTED_VALUE"""),"fahmyalanshory@gmail.com")</f>
        <v>fahmyalanshory@gmail.com</v>
      </c>
      <c r="AL938" s="85" t="str">
        <f>IFERROR(__xludf.DUMMYFUNCTION("""COMPUTED_VALUE"""),"#Muc17631S2$")</f>
        <v>#Muc17631S2$</v>
      </c>
      <c r="AM938" s="85" t="str">
        <f>IFERROR(__xludf.DUMMYFUNCTION("""COMPUTED_VALUE"""),"KANTOR REGIONAL II JAKARTA 10004")</f>
        <v>KANTOR REGIONAL II JAKARTA 10004</v>
      </c>
      <c r="AN938" s="85" t="str">
        <f>IFERROR(__xludf.DUMMYFUNCTION("""COMPUTED_VALUE"""),"KC CIKARANG 17500")</f>
        <v>KC CIKARANG 17500</v>
      </c>
      <c r="AO938" s="85" t="str">
        <f>IFERROR(__xludf.DUMMYFUNCTION("""COMPUTED_VALUE""")," 0405260103514")</f>
        <v> 0405260103514</v>
      </c>
      <c r="AP938" s="85" t="str">
        <f>IFERROR(__xludf.DUMMYFUNCTION("""COMPUTED_VALUE""")," 04052601035140001")</f>
        <v> 04052601035140001</v>
      </c>
      <c r="AQ938" s="93" t="str">
        <f>IFERROR(__xludf.DUMMYFUNCTION("""COMPUTED_VALUE"""),"#REF!")</f>
        <v>#REF!</v>
      </c>
      <c r="AR938" s="85"/>
      <c r="AS938" s="85"/>
      <c r="AT938" s="85" t="str">
        <f>IFERROR(__xludf.DUMMYFUNCTION("""COMPUTED_VALUE"""),"-6.160787")</f>
        <v>-6.160787</v>
      </c>
      <c r="AU938" s="85" t="str">
        <f>IFERROR(__xludf.DUMMYFUNCTION("""COMPUTED_VALUE"""),"107.172160")</f>
        <v>107.172160</v>
      </c>
      <c r="AV938" s="85"/>
      <c r="AW938" s="85"/>
      <c r="AX938" s="85"/>
      <c r="AY938" s="85"/>
      <c r="AZ938" s="85"/>
      <c r="BA938" s="85"/>
      <c r="BB938" s="85"/>
      <c r="BC938" s="85"/>
      <c r="BD938" s="85"/>
      <c r="BE938" s="85"/>
      <c r="BF938" s="85"/>
      <c r="BG938" s="85"/>
      <c r="BH938" s="85"/>
      <c r="BI938" s="85"/>
      <c r="BJ938" s="85"/>
      <c r="BK938" s="85"/>
      <c r="BL938" s="85"/>
      <c r="BM938" s="85"/>
      <c r="BN938" s="85"/>
      <c r="BO938" s="85"/>
      <c r="BP938" s="85"/>
      <c r="BQ938" s="85"/>
      <c r="BR938" s="85"/>
      <c r="BS938" s="85"/>
      <c r="BT938" s="85"/>
      <c r="BU938" s="85"/>
      <c r="BV938" s="85"/>
      <c r="BW938" s="85"/>
      <c r="BX938" s="85"/>
      <c r="BY938" s="85"/>
      <c r="BZ938" s="85"/>
      <c r="CA938" s="85"/>
      <c r="CB938" s="85"/>
      <c r="CC938" s="85"/>
      <c r="CD938" s="85"/>
      <c r="CE938" s="85"/>
      <c r="CF938" s="85"/>
      <c r="CG938" s="85"/>
      <c r="CH938" s="85"/>
      <c r="CI938" s="85"/>
      <c r="CJ938" s="85"/>
      <c r="CK938" s="2"/>
    </row>
    <row r="939" ht="12.75" customHeight="1">
      <c r="A939" s="80">
        <f>IFERROR(__xludf.DUMMYFUNCTION("""COMPUTED_VALUE"""),935.0)</f>
        <v>935</v>
      </c>
      <c r="B939" s="80"/>
      <c r="C939" s="80"/>
      <c r="D939" s="81">
        <f>IFERROR(__xludf.DUMMYFUNCTION("""COMPUTED_VALUE"""),46146.0)</f>
        <v>46146</v>
      </c>
      <c r="E939" s="82"/>
      <c r="F939" s="80"/>
      <c r="G939" s="81">
        <f>IFERROR(__xludf.DUMMYFUNCTION("""COMPUTED_VALUE"""),46210.0)</f>
        <v>46210</v>
      </c>
      <c r="H939" s="80"/>
      <c r="I939" s="80"/>
      <c r="J939" s="80"/>
      <c r="K939" s="80"/>
      <c r="L939" s="80">
        <f>IFERROR(__xludf.DUMMYFUNCTION("""COMPUTED_VALUE"""),64.0)</f>
        <v>64</v>
      </c>
      <c r="M939" s="80" t="str">
        <f>IFERROR(__xludf.DUMMYFUNCTION("""COMPUTED_VALUE"""),"ü")</f>
        <v>ü</v>
      </c>
      <c r="N939" s="80"/>
      <c r="O939" s="80"/>
      <c r="P939" s="80" t="str">
        <f>IFERROR(__xludf.DUMMYFUNCTION("""COMPUTED_VALUE"""),"MUCSPA63442PSIND")</f>
        <v>MUCSPA63442PSIND</v>
      </c>
      <c r="Q939" s="80" t="str">
        <f>IFERROR(__xludf.DUMMYFUNCTION("""COMPUTED_VALUE"""),"MUC FCALHASANI")</f>
        <v>MUC FCALHASANI</v>
      </c>
      <c r="R939" s="80" t="str">
        <f>IFERROR(__xludf.DUMMYFUNCTION("""COMPUTED_VALUE"""),"MUC FCALHASANI")</f>
        <v>MUC FCALHASANI</v>
      </c>
      <c r="S939" s="80" t="str">
        <f>IFERROR(__xludf.DUMMYFUNCTION("""COMPUTED_VALUE"""),"MARYANTO")</f>
        <v>MARYANTO</v>
      </c>
      <c r="T939" s="80" t="str">
        <f>IFERROR(__xludf.DUMMYFUNCTION("""COMPUTED_VALUE""")," PERUM GRIYA SUKADAMI B.5 NO.18 RT.001 RW.007, SUKADAMI, CIKARANG SELATAN, KAB. BEKASI JAWA BARAT")</f>
        <v> PERUM GRIYA SUKADAMI B.5 NO.18 RT.001 RW.007, SUKADAMI, CIKARANG SELATAN, KAB. BEKASI JAWA BARAT</v>
      </c>
      <c r="U939" s="80" t="str">
        <f>IFERROR(__xludf.DUMMYFUNCTION("""COMPUTED_VALUE"""),"Jl. Raya Serang - Setu RT.005 RW.003 Depan Gedung Serba Guna/sebelah Kiri Turki Futsal")</f>
        <v>Jl. Raya Serang - Setu RT.005 RW.003 Depan Gedung Serba Guna/sebelah Kiri Turki Futsal</v>
      </c>
      <c r="V939" s="80" t="str">
        <f>IFERROR(__xludf.DUMMYFUNCTION("""COMPUTED_VALUE"""),"Sukadami")</f>
        <v>Sukadami</v>
      </c>
      <c r="W939" s="80" t="str">
        <f>IFERROR(__xludf.DUMMYFUNCTION("""COMPUTED_VALUE"""),"Sukadami")</f>
        <v>Sukadami</v>
      </c>
      <c r="X939" s="80" t="str">
        <f>IFERROR(__xludf.DUMMYFUNCTION("""COMPUTED_VALUE"""),"Cikarang Selatan")</f>
        <v>Cikarang Selatan</v>
      </c>
      <c r="Y939" s="80" t="str">
        <f>IFERROR(__xludf.DUMMYFUNCTION("""COMPUTED_VALUE"""),"Kab. Bekasi")</f>
        <v>Kab. Bekasi</v>
      </c>
      <c r="Z939" s="80" t="str">
        <f>IFERROR(__xludf.DUMMYFUNCTION("""COMPUTED_VALUE"""),"Jawa Barat")</f>
        <v>Jawa Barat</v>
      </c>
      <c r="AA939" s="80" t="str">
        <f>IFERROR(__xludf.DUMMYFUNCTION("""COMPUTED_VALUE"""),"17530")</f>
        <v>17530</v>
      </c>
      <c r="AB939" s="80" t="str">
        <f>IFERROR(__xludf.DUMMYFUNCTION("""COMPUTED_VALUE"""),"3216191506740022")</f>
        <v>3216191506740022</v>
      </c>
      <c r="AC939" s="80" t="str">
        <f>IFERROR(__xludf.DUMMYFUNCTION("""COMPUTED_VALUE"""),"57.543.973.2-413.000")</f>
        <v>57.543.973.2-413.000</v>
      </c>
      <c r="AD939" s="80" t="str">
        <f>IFERROR(__xludf.DUMMYFUNCTION("""COMPUTED_VALUE"""),"CUM - PS - JMN")</f>
        <v>CUM - PS - JMN</v>
      </c>
      <c r="AE939" s="80" t="str">
        <f>IFERROR(__xludf.DUMMYFUNCTION("""COMPUTED_VALUE"""),"CUM - PS - JMN")</f>
        <v>CUM - PS - JMN</v>
      </c>
      <c r="AF939" s="80" t="str">
        <f>IFERROR(__xludf.DUMMYFUNCTION("""COMPUTED_VALUE"""),"081212017850 ")</f>
        <v>081212017850 </v>
      </c>
      <c r="AG939" s="80" t="str">
        <f>IFERROR(__xludf.DUMMYFUNCTION("""COMPUTED_VALUE"""),"081212017850 ")</f>
        <v>081212017850 </v>
      </c>
      <c r="AH939" s="80" t="str">
        <f>IFERROR(__xludf.DUMMYFUNCTION("""COMPUTED_VALUE"""),"maryanto15061974@gmail.com")</f>
        <v>maryanto15061974@gmail.com</v>
      </c>
      <c r="AI939" s="80" t="str">
        <f>IFERROR(__xludf.DUMMYFUNCTION("""COMPUTED_VALUE"""),"17851S7")</f>
        <v>17851S7</v>
      </c>
      <c r="AJ939" s="80" t="str">
        <f>IFERROR(__xludf.DUMMYFUNCTION("""COMPUTED_VALUE"""),"6a0d1d792f82f552310e6117")</f>
        <v>6a0d1d792f82f552310e6117</v>
      </c>
      <c r="AK939" s="80" t="str">
        <f>IFERROR(__xludf.DUMMYFUNCTION("""COMPUTED_VALUE"""),"maryanto15061974@gmail.com")</f>
        <v>maryanto15061974@gmail.com</v>
      </c>
      <c r="AL939" s="80" t="str">
        <f>IFERROR(__xludf.DUMMYFUNCTION("""COMPUTED_VALUE"""),"#Muc17851S7$")</f>
        <v>#Muc17851S7$</v>
      </c>
      <c r="AM939" s="80" t="str">
        <f>IFERROR(__xludf.DUMMYFUNCTION("""COMPUTED_VALUE"""),"KANTOR REGIONAL III BANDUNG 40004")</f>
        <v>KANTOR REGIONAL III BANDUNG 40004</v>
      </c>
      <c r="AN939" s="80" t="str">
        <f>IFERROR(__xludf.DUMMYFUNCTION("""COMPUTED_VALUE"""),"KC CIKARANG 17500")</f>
        <v>KC CIKARANG 17500</v>
      </c>
      <c r="AO939" s="80" t="str">
        <f>IFERROR(__xludf.DUMMYFUNCTION("""COMPUTED_VALUE"""),"0405260097734")</f>
        <v>0405260097734</v>
      </c>
      <c r="AP939" s="80" t="str">
        <f>IFERROR(__xludf.DUMMYFUNCTION("""COMPUTED_VALUE"""),"04052600977340001")</f>
        <v>04052600977340001</v>
      </c>
      <c r="AQ939" s="83" t="str">
        <f>IFERROR(__xludf.DUMMYFUNCTION("""COMPUTED_VALUE"""),"#REF!")</f>
        <v>#REF!</v>
      </c>
      <c r="AR939" s="80"/>
      <c r="AS939" s="80"/>
      <c r="AT939" s="80" t="str">
        <f>IFERROR(__xludf.DUMMYFUNCTION("""COMPUTED_VALUE"""),"-6.364800")</f>
        <v>-6.364800</v>
      </c>
      <c r="AU939" s="80" t="str">
        <f>IFERROR(__xludf.DUMMYFUNCTION("""COMPUTED_VALUE"""),"107.114295")</f>
        <v>107.114295</v>
      </c>
      <c r="AV939" s="80"/>
      <c r="AW939" s="80"/>
      <c r="AX939" s="80"/>
      <c r="AY939" s="80"/>
      <c r="AZ939" s="80"/>
      <c r="BA939" s="80"/>
      <c r="BB939" s="80"/>
      <c r="BC939" s="80"/>
      <c r="BD939" s="80"/>
      <c r="BE939" s="80"/>
      <c r="BF939" s="80"/>
      <c r="BG939" s="80"/>
      <c r="BH939" s="80"/>
      <c r="BI939" s="80"/>
      <c r="BJ939" s="80"/>
      <c r="BK939" s="80"/>
      <c r="BL939" s="80"/>
      <c r="BM939" s="80"/>
      <c r="BN939" s="80"/>
      <c r="BO939" s="80"/>
      <c r="BP939" s="80"/>
      <c r="BQ939" s="80"/>
      <c r="BR939" s="80"/>
      <c r="BS939" s="80"/>
      <c r="BT939" s="80"/>
      <c r="BU939" s="80"/>
      <c r="BV939" s="80"/>
      <c r="BW939" s="80"/>
      <c r="BX939" s="80"/>
      <c r="BY939" s="80"/>
      <c r="BZ939" s="80"/>
      <c r="CA939" s="80"/>
      <c r="CB939" s="80"/>
      <c r="CC939" s="80"/>
      <c r="CD939" s="80"/>
      <c r="CE939" s="80"/>
      <c r="CF939" s="80"/>
      <c r="CG939" s="80"/>
      <c r="CH939" s="80"/>
      <c r="CI939" s="80"/>
      <c r="CJ939" s="80"/>
      <c r="CK939" s="2"/>
    </row>
    <row r="940" ht="12.75" customHeight="1">
      <c r="A940" s="85">
        <f>IFERROR(__xludf.DUMMYFUNCTION("""COMPUTED_VALUE"""),936.0)</f>
        <v>936</v>
      </c>
      <c r="B940" s="85"/>
      <c r="C940" s="85"/>
      <c r="D940" s="86">
        <f>IFERROR(__xludf.DUMMYFUNCTION("""COMPUTED_VALUE"""),46146.0)</f>
        <v>46146</v>
      </c>
      <c r="E940" s="88"/>
      <c r="F940" s="85"/>
      <c r="G940" s="86">
        <f>IFERROR(__xludf.DUMMYFUNCTION("""COMPUTED_VALUE"""),46168.0)</f>
        <v>46168</v>
      </c>
      <c r="H940" s="85"/>
      <c r="I940" s="85"/>
      <c r="J940" s="85"/>
      <c r="K940" s="85"/>
      <c r="L940" s="85">
        <f>IFERROR(__xludf.DUMMYFUNCTION("""COMPUTED_VALUE"""),22.0)</f>
        <v>22</v>
      </c>
      <c r="M940" s="85" t="str">
        <f>IFERROR(__xludf.DUMMYFUNCTION("""COMPUTED_VALUE"""),"ü")</f>
        <v>ü</v>
      </c>
      <c r="N940" s="85"/>
      <c r="O940" s="85"/>
      <c r="P940" s="85" t="str">
        <f>IFERROR(__xludf.DUMMYFUNCTION("""COMPUTED_VALUE"""),"MUCSPA63443PSIND")</f>
        <v>MUCSPA63443PSIND</v>
      </c>
      <c r="Q940" s="85" t="str">
        <f>IFERROR(__xludf.DUMMYFUNCTION("""COMPUTED_VALUE"""),"MUC Cikoleang")</f>
        <v>MUC Cikoleang</v>
      </c>
      <c r="R940" s="85" t="str">
        <f>IFERROR(__xludf.DUMMYFUNCTION("""COMPUTED_VALUE"""),"MUC Cikoleang")</f>
        <v>MUC Cikoleang</v>
      </c>
      <c r="S940" s="85" t="str">
        <f>IFERROR(__xludf.DUMMYFUNCTION("""COMPUTED_VALUE"""),"Asra Patrian")</f>
        <v>Asra Patrian</v>
      </c>
      <c r="T940" s="85" t="str">
        <f>IFERROR(__xludf.DUMMYFUNCTION("""COMPUTED_VALUE""")," Kp. Cikoleang RT 001 RW 004, Desa Sukamulya, Kecamatan Rumpin Kabupaten Bogor 16350")</f>
        <v> Kp. Cikoleang RT 001 RW 004, Desa Sukamulya, Kecamatan Rumpin Kabupaten Bogor 16350</v>
      </c>
      <c r="U940" s="85" t="str">
        <f>IFERROR(__xludf.DUMMYFUNCTION("""COMPUTED_VALUE"""),"Agen Kurir")</f>
        <v>Agen Kurir</v>
      </c>
      <c r="V940" s="85" t="str">
        <f>IFERROR(__xludf.DUMMYFUNCTION("""COMPUTED_VALUE"""),"Sukamulya")</f>
        <v>Sukamulya</v>
      </c>
      <c r="W940" s="85" t="str">
        <f>IFERROR(__xludf.DUMMYFUNCTION("""COMPUTED_VALUE"""),"Sukamulya")</f>
        <v>Sukamulya</v>
      </c>
      <c r="X940" s="85" t="str">
        <f>IFERROR(__xludf.DUMMYFUNCTION("""COMPUTED_VALUE"""),"Rumpin")</f>
        <v>Rumpin</v>
      </c>
      <c r="Y940" s="85" t="str">
        <f>IFERROR(__xludf.DUMMYFUNCTION("""COMPUTED_VALUE"""),"Bogor")</f>
        <v>Bogor</v>
      </c>
      <c r="Z940" s="85" t="str">
        <f>IFERROR(__xludf.DUMMYFUNCTION("""COMPUTED_VALUE"""),"Jawa Barat")</f>
        <v>Jawa Barat</v>
      </c>
      <c r="AA940" s="85" t="str">
        <f>IFERROR(__xludf.DUMMYFUNCTION("""COMPUTED_VALUE"""),"16350")</f>
        <v>16350</v>
      </c>
      <c r="AB940" s="85" t="str">
        <f>IFERROR(__xludf.DUMMYFUNCTION("""COMPUTED_VALUE"""),"3602271706970001")</f>
        <v>3602271706970001</v>
      </c>
      <c r="AC940" s="85" t="str">
        <f>IFERROR(__xludf.DUMMYFUNCTION("""COMPUTED_VALUE"""),"74.291.543.2-419.000")</f>
        <v>74.291.543.2-419.000</v>
      </c>
      <c r="AD940" s="85" t="str">
        <f>IFERROR(__xludf.DUMMYFUNCTION("""COMPUTED_VALUE"""),"CUM - PS - ASEPN")</f>
        <v>CUM - PS - ASEPN</v>
      </c>
      <c r="AE940" s="85" t="str">
        <f>IFERROR(__xludf.DUMMYFUNCTION("""COMPUTED_VALUE"""),"CUM - PS - ASEPN")</f>
        <v>CUM - PS - ASEPN</v>
      </c>
      <c r="AF940" s="85" t="str">
        <f>IFERROR(__xludf.DUMMYFUNCTION("""COMPUTED_VALUE"""),"08997706751")</f>
        <v>08997706751</v>
      </c>
      <c r="AG940" s="85" t="str">
        <f>IFERROR(__xludf.DUMMYFUNCTION("""COMPUTED_VALUE"""),"08997706751")</f>
        <v>08997706751</v>
      </c>
      <c r="AH940" s="85" t="str">
        <f>IFERROR(__xludf.DUMMYFUNCTION("""COMPUTED_VALUE"""),"rasamjupatrian97@gmail.com")</f>
        <v>rasamjupatrian97@gmail.com</v>
      </c>
      <c r="AI940" s="85" t="str">
        <f>IFERROR(__xludf.DUMMYFUNCTION("""COMPUTED_VALUE"""),"16353S2")</f>
        <v>16353S2</v>
      </c>
      <c r="AJ940" s="85" t="str">
        <f>IFERROR(__xludf.DUMMYFUNCTION("""COMPUTED_VALUE"""),"6a06cfe83fd5ee2a8302db0e")</f>
        <v>6a06cfe83fd5ee2a8302db0e</v>
      </c>
      <c r="AK940" s="85" t="str">
        <f>IFERROR(__xludf.DUMMYFUNCTION("""COMPUTED_VALUE"""),"rasamjupatrian97@gmail.com")</f>
        <v>rasamjupatrian97@gmail.com</v>
      </c>
      <c r="AL940" s="85" t="str">
        <f>IFERROR(__xludf.DUMMYFUNCTION("""COMPUTED_VALUE"""),"#Muc16353S2$")</f>
        <v>#Muc16353S2$</v>
      </c>
      <c r="AM940" s="85" t="str">
        <f>IFERROR(__xludf.DUMMYFUNCTION("""COMPUTED_VALUE"""),"KANTOR REGIONAL II JAKARTA 10004")</f>
        <v>KANTOR REGIONAL II JAKARTA 10004</v>
      </c>
      <c r="AN940" s="85" t="str">
        <f>IFERROR(__xludf.DUMMYFUNCTION("""COMPUTED_VALUE"""),"KCU BOGOR 16000")</f>
        <v>KCU BOGOR 16000</v>
      </c>
      <c r="AO940" s="85" t="str">
        <f>IFERROR(__xludf.DUMMYFUNCTION("""COMPUTED_VALUE"""),"2211230084854")</f>
        <v>2211230084854</v>
      </c>
      <c r="AP940" s="85" t="str">
        <f>IFERROR(__xludf.DUMMYFUNCTION("""COMPUTED_VALUE"""),"22112300848540001")</f>
        <v>22112300848540001</v>
      </c>
      <c r="AQ940" s="93" t="str">
        <f>IFERROR(__xludf.DUMMYFUNCTION("""COMPUTED_VALUE"""),"BCA / 6080721003 / Asra Patrian")</f>
        <v>BCA / 6080721003 / Asra Patrian</v>
      </c>
      <c r="AR940" s="85"/>
      <c r="AS940" s="85"/>
      <c r="AT940" s="85" t="str">
        <f>IFERROR(__xludf.DUMMYFUNCTION("""COMPUTED_VALUE"""),"-6.367893")</f>
        <v>-6.367893</v>
      </c>
      <c r="AU940" s="85" t="str">
        <f>IFERROR(__xludf.DUMMYFUNCTION("""COMPUTED_VALUE"""),"106.635951")</f>
        <v>106.635951</v>
      </c>
      <c r="AV940" s="85"/>
      <c r="AW940" s="85"/>
      <c r="AX940" s="85"/>
      <c r="AY940" s="85"/>
      <c r="AZ940" s="85"/>
      <c r="BA940" s="85"/>
      <c r="BB940" s="85"/>
      <c r="BC940" s="85"/>
      <c r="BD940" s="85"/>
      <c r="BE940" s="85"/>
      <c r="BF940" s="85"/>
      <c r="BG940" s="85"/>
      <c r="BH940" s="85"/>
      <c r="BI940" s="85"/>
      <c r="BJ940" s="85"/>
      <c r="BK940" s="85"/>
      <c r="BL940" s="85"/>
      <c r="BM940" s="85"/>
      <c r="BN940" s="85"/>
      <c r="BO940" s="85"/>
      <c r="BP940" s="85"/>
      <c r="BQ940" s="85"/>
      <c r="BR940" s="85"/>
      <c r="BS940" s="85"/>
      <c r="BT940" s="85"/>
      <c r="BU940" s="85"/>
      <c r="BV940" s="85"/>
      <c r="BW940" s="85"/>
      <c r="BX940" s="85"/>
      <c r="BY940" s="85"/>
      <c r="BZ940" s="85"/>
      <c r="CA940" s="85"/>
      <c r="CB940" s="85"/>
      <c r="CC940" s="85"/>
      <c r="CD940" s="85"/>
      <c r="CE940" s="85"/>
      <c r="CF940" s="85"/>
      <c r="CG940" s="85"/>
      <c r="CH940" s="85"/>
      <c r="CI940" s="85"/>
      <c r="CJ940" s="85"/>
      <c r="CK940" s="2"/>
    </row>
    <row r="941" ht="12.75" customHeight="1">
      <c r="A941" s="80">
        <f>IFERROR(__xludf.DUMMYFUNCTION("""COMPUTED_VALUE"""),937.0)</f>
        <v>937</v>
      </c>
      <c r="B941" s="80"/>
      <c r="C941" s="80"/>
      <c r="D941" s="81">
        <f>IFERROR(__xludf.DUMMYFUNCTION("""COMPUTED_VALUE"""),46146.0)</f>
        <v>46146</v>
      </c>
      <c r="E941" s="82"/>
      <c r="F941" s="80"/>
      <c r="G941" s="81"/>
      <c r="H941" s="80"/>
      <c r="I941" s="80"/>
      <c r="J941" s="80"/>
      <c r="K941" s="80"/>
      <c r="L941" s="80"/>
      <c r="M941" s="80" t="str">
        <f>IFERROR(__xludf.DUMMYFUNCTION("""COMPUTED_VALUE"""),"ü")</f>
        <v>ü</v>
      </c>
      <c r="N941" s="80"/>
      <c r="O941" s="80"/>
      <c r="P941" s="80" t="str">
        <f>IFERROR(__xludf.DUMMYFUNCTION("""COMPUTED_VALUE"""),"MUCSPA63444PSIND")</f>
        <v>MUCSPA63444PSIND</v>
      </c>
      <c r="Q941" s="80" t="str">
        <f>IFERROR(__xludf.DUMMYFUNCTION("""COMPUTED_VALUE"""),"MUC ELANG")</f>
        <v>MUC ELANG</v>
      </c>
      <c r="R941" s="80" t="str">
        <f>IFERROR(__xludf.DUMMYFUNCTION("""COMPUTED_VALUE"""),"MUC ELANG")</f>
        <v>MUC ELANG</v>
      </c>
      <c r="S941" s="80" t="str">
        <f>IFERROR(__xludf.DUMMYFUNCTION("""COMPUTED_VALUE"""),"H. HARISA")</f>
        <v>H. HARISA</v>
      </c>
      <c r="T941" s="80" t="str">
        <f>IFERROR(__xludf.DUMMYFUNCTION("""COMPUTED_VALUE""")," PATTIRO RT 2 RW 2 KEL. PATTIRO KEC. DUA BOCCOE")</f>
        <v> PATTIRO RT 2 RW 2 KEL. PATTIRO KEC. DUA BOCCOE</v>
      </c>
      <c r="U941" s="80" t="str">
        <f>IFERROR(__xludf.DUMMYFUNCTION("""COMPUTED_VALUE"""),"JL. POROS BONE - WAJO")</f>
        <v>JL. POROS BONE - WAJO</v>
      </c>
      <c r="V941" s="80" t="str">
        <f>IFERROR(__xludf.DUMMYFUNCTION("""COMPUTED_VALUE"""),"PATTIRO")</f>
        <v>PATTIRO</v>
      </c>
      <c r="W941" s="80" t="str">
        <f>IFERROR(__xludf.DUMMYFUNCTION("""COMPUTED_VALUE"""),"PATTIRO")</f>
        <v>PATTIRO</v>
      </c>
      <c r="X941" s="80" t="str">
        <f>IFERROR(__xludf.DUMMYFUNCTION("""COMPUTED_VALUE"""),"DUA BOCCOE")</f>
        <v>DUA BOCCOE</v>
      </c>
      <c r="Y941" s="80" t="str">
        <f>IFERROR(__xludf.DUMMYFUNCTION("""COMPUTED_VALUE"""),"KAB. BONE")</f>
        <v>KAB. BONE</v>
      </c>
      <c r="Z941" s="80" t="str">
        <f>IFERROR(__xludf.DUMMYFUNCTION("""COMPUTED_VALUE"""),"SULAWESI SELATAN")</f>
        <v>SULAWESI SELATAN</v>
      </c>
      <c r="AA941" s="80" t="str">
        <f>IFERROR(__xludf.DUMMYFUNCTION("""COMPUTED_VALUE"""),"92752")</f>
        <v>92752</v>
      </c>
      <c r="AB941" s="80" t="str">
        <f>IFERROR(__xludf.DUMMYFUNCTION("""COMPUTED_VALUE"""),"7308193112540003")</f>
        <v>7308193112540003</v>
      </c>
      <c r="AC941" s="80" t="str">
        <f>IFERROR(__xludf.DUMMYFUNCTION("""COMPUTED_VALUE"""),"7308 1931 1254 0003")</f>
        <v>7308 1931 1254 0003</v>
      </c>
      <c r="AD941" s="80" t="str">
        <f>IFERROR(__xludf.DUMMYFUNCTION("""COMPUTED_VALUE"""),"CUM - PS - MRUSL")</f>
        <v>CUM - PS - MRUSL</v>
      </c>
      <c r="AE941" s="80" t="str">
        <f>IFERROR(__xludf.DUMMYFUNCTION("""COMPUTED_VALUE"""),"REKOMENDASI PAK YUDI KC WATAMPONE")</f>
        <v>REKOMENDASI PAK YUDI KC WATAMPONE</v>
      </c>
      <c r="AF941" s="80" t="str">
        <f>IFERROR(__xludf.DUMMYFUNCTION("""COMPUTED_VALUE"""),"085230855420")</f>
        <v>085230855420</v>
      </c>
      <c r="AG941" s="80" t="str">
        <f>IFERROR(__xludf.DUMMYFUNCTION("""COMPUTED_VALUE"""),"085230855420")</f>
        <v>085230855420</v>
      </c>
      <c r="AH941" s="80" t="str">
        <f>IFERROR(__xludf.DUMMYFUNCTION("""COMPUTED_VALUE"""),"ruslanstikes@yahoo.co.id")</f>
        <v>ruslanstikes@yahoo.co.id</v>
      </c>
      <c r="AI941" s="80"/>
      <c r="AJ941" s="80"/>
      <c r="AK941" s="80"/>
      <c r="AL941" s="80"/>
      <c r="AM941" s="80" t="str">
        <f>IFERROR(__xludf.DUMMYFUNCTION("""COMPUTED_VALUE"""),"KANTOR REGIONAL II JAKARTA 10004")</f>
        <v>KANTOR REGIONAL II JAKARTA 10004</v>
      </c>
      <c r="AN941" s="80" t="str">
        <f>IFERROR(__xludf.DUMMYFUNCTION("""COMPUTED_VALUE"""),"KC WATAMPONE 92700")</f>
        <v>KC WATAMPONE 92700</v>
      </c>
      <c r="AO941" s="80" t="str">
        <f>IFERROR(__xludf.DUMMYFUNCTION("""COMPUTED_VALUE"""),"0405260042007")</f>
        <v>0405260042007</v>
      </c>
      <c r="AP941" s="80" t="str">
        <f>IFERROR(__xludf.DUMMYFUNCTION("""COMPUTED_VALUE"""),"04052600420070001")</f>
        <v>04052600420070001</v>
      </c>
      <c r="AQ941" s="83" t="str">
        <f>IFERROR(__xludf.DUMMYFUNCTION("""COMPUTED_VALUE"""),"#REF!")</f>
        <v>#REF!</v>
      </c>
      <c r="AR941" s="80"/>
      <c r="AS941" s="80"/>
      <c r="AT941" s="80" t="str">
        <f>IFERROR(__xludf.DUMMYFUNCTION("""COMPUTED_VALUE"""),"-4.3326532")</f>
        <v>-4.3326532</v>
      </c>
      <c r="AU941" s="80" t="str">
        <f>IFERROR(__xludf.DUMMYFUNCTION("""COMPUTED_VALUE"""),"120.2511656")</f>
        <v>120.2511656</v>
      </c>
      <c r="AV941" s="80"/>
      <c r="AW941" s="80"/>
      <c r="AX941" s="80"/>
      <c r="AY941" s="80"/>
      <c r="AZ941" s="80"/>
      <c r="BA941" s="80"/>
      <c r="BB941" s="80"/>
      <c r="BC941" s="80"/>
      <c r="BD941" s="80"/>
      <c r="BE941" s="80"/>
      <c r="BF941" s="80"/>
      <c r="BG941" s="80"/>
      <c r="BH941" s="80"/>
      <c r="BI941" s="80"/>
      <c r="BJ941" s="80"/>
      <c r="BK941" s="80"/>
      <c r="BL941" s="80"/>
      <c r="BM941" s="80"/>
      <c r="BN941" s="80"/>
      <c r="BO941" s="80"/>
      <c r="BP941" s="80"/>
      <c r="BQ941" s="80"/>
      <c r="BR941" s="80"/>
      <c r="BS941" s="80"/>
      <c r="BT941" s="80"/>
      <c r="BU941" s="80"/>
      <c r="BV941" s="80"/>
      <c r="BW941" s="80"/>
      <c r="BX941" s="80"/>
      <c r="BY941" s="80"/>
      <c r="BZ941" s="80"/>
      <c r="CA941" s="80"/>
      <c r="CB941" s="80"/>
      <c r="CC941" s="80"/>
      <c r="CD941" s="80"/>
      <c r="CE941" s="80"/>
      <c r="CF941" s="80"/>
      <c r="CG941" s="80"/>
      <c r="CH941" s="80"/>
      <c r="CI941" s="80"/>
      <c r="CJ941" s="80"/>
      <c r="CK941" s="2"/>
    </row>
    <row r="942" ht="12.75" customHeight="1">
      <c r="A942" s="85">
        <f>IFERROR(__xludf.DUMMYFUNCTION("""COMPUTED_VALUE"""),938.0)</f>
        <v>938</v>
      </c>
      <c r="B942" s="85"/>
      <c r="C942" s="85"/>
      <c r="D942" s="86">
        <f>IFERROR(__xludf.DUMMYFUNCTION("""COMPUTED_VALUE"""),46147.0)</f>
        <v>46147</v>
      </c>
      <c r="E942" s="88"/>
      <c r="F942" s="85"/>
      <c r="G942" s="86">
        <f>IFERROR(__xludf.DUMMYFUNCTION("""COMPUTED_VALUE"""),46183.0)</f>
        <v>46183</v>
      </c>
      <c r="H942" s="85"/>
      <c r="I942" s="85"/>
      <c r="J942" s="85"/>
      <c r="K942" s="85"/>
      <c r="L942" s="85">
        <f>IFERROR(__xludf.DUMMYFUNCTION("""COMPUTED_VALUE"""),36.0)</f>
        <v>36</v>
      </c>
      <c r="M942" s="85" t="str">
        <f>IFERROR(__xludf.DUMMYFUNCTION("""COMPUTED_VALUE"""),"ü")</f>
        <v>ü</v>
      </c>
      <c r="N942" s="85"/>
      <c r="O942" s="85"/>
      <c r="P942" s="85" t="str">
        <f>IFERROR(__xludf.DUMMYFUNCTION("""COMPUTED_VALUE"""),"53BSPA17053JBNDS")</f>
        <v>53BSPA17053JBNDS</v>
      </c>
      <c r="Q942" s="85" t="str">
        <f>IFERROR(__xludf.DUMMYFUNCTION("""COMPUTED_VALUE"""),"MUC SALUYU ABADI")</f>
        <v>MUC SALUYU ABADI</v>
      </c>
      <c r="R942" s="85" t="str">
        <f>IFERROR(__xludf.DUMMYFUNCTION("""COMPUTED_VALUE"""),"MUC SALUYU ABADI")</f>
        <v>MUC SALUYU ABADI</v>
      </c>
      <c r="S942" s="85" t="str">
        <f>IFERROR(__xludf.DUMMYFUNCTION("""COMPUTED_VALUE"""),"Nandang Mohamad Ridwan")</f>
        <v>Nandang Mohamad Ridwan</v>
      </c>
      <c r="T942" s="85" t="str">
        <f>IFERROR(__xludf.DUMMYFUNCTION("""COMPUTED_VALUE""")," KAMPUNG HAREMPOY RT.002 RW.010, SUKARAME, PACET, KAB. BANDUNG, JAWA BARAT")</f>
        <v> KAMPUNG HAREMPOY RT.002 RW.010, SUKARAME, PACET, KAB. BANDUNG, JAWA BARAT</v>
      </c>
      <c r="U942" s="85" t="str">
        <f>IFERROR(__xludf.DUMMYFUNCTION("""COMPUTED_VALUE"""),"Kp pamupukan jl pinggir sari banjaran ")</f>
        <v>Kp pamupukan jl pinggir sari banjaran </v>
      </c>
      <c r="V942" s="85" t="str">
        <f>IFERROR(__xludf.DUMMYFUNCTION("""COMPUTED_VALUE"""),"mekar laksana")</f>
        <v>mekar laksana</v>
      </c>
      <c r="W942" s="85" t="str">
        <f>IFERROR(__xludf.DUMMYFUNCTION("""COMPUTED_VALUE"""),"mekar laksana")</f>
        <v>mekar laksana</v>
      </c>
      <c r="X942" s="85" t="str">
        <f>IFERROR(__xludf.DUMMYFUNCTION("""COMPUTED_VALUE"""),"ciparay")</f>
        <v>ciparay</v>
      </c>
      <c r="Y942" s="85" t="str">
        <f>IFERROR(__xludf.DUMMYFUNCTION("""COMPUTED_VALUE"""),"kab Bandung")</f>
        <v>kab Bandung</v>
      </c>
      <c r="Z942" s="85" t="str">
        <f>IFERROR(__xludf.DUMMYFUNCTION("""COMPUTED_VALUE"""),"Jawa Barat")</f>
        <v>Jawa Barat</v>
      </c>
      <c r="AA942" s="85" t="str">
        <f>IFERROR(__xludf.DUMMYFUNCTION("""COMPUTED_VALUE"""),"40381")</f>
        <v>40381</v>
      </c>
      <c r="AB942" s="85" t="str">
        <f>IFERROR(__xludf.DUMMYFUNCTION("""COMPUTED_VALUE"""),"3204302105730009")</f>
        <v>3204302105730009</v>
      </c>
      <c r="AC942" s="85" t="str">
        <f>IFERROR(__xludf.DUMMYFUNCTION("""COMPUTED_VALUE"""),"43.126.528.9-444.000")</f>
        <v>43.126.528.9-444.000</v>
      </c>
      <c r="AD942" s="85" t="str">
        <f>IFERROR(__xludf.DUMMYFUNCTION("""COMPUTED_VALUE"""),"CUM - NDS")</f>
        <v>CUM - NDS</v>
      </c>
      <c r="AE942" s="85" t="str">
        <f>IFERROR(__xludf.DUMMYFUNCTION("""COMPUTED_VALUE"""),"CUM - NDS")</f>
        <v>CUM - NDS</v>
      </c>
      <c r="AF942" s="85" t="str">
        <f>IFERROR(__xludf.DUMMYFUNCTION("""COMPUTED_VALUE"""),"081573394207")</f>
        <v>081573394207</v>
      </c>
      <c r="AG942" s="85" t="str">
        <f>IFERROR(__xludf.DUMMYFUNCTION("""COMPUTED_VALUE"""),"081573394207")</f>
        <v>081573394207</v>
      </c>
      <c r="AH942" s="85" t="str">
        <f>IFERROR(__xludf.DUMMYFUNCTION("""COMPUTED_VALUE"""),"ridwannoer7@gmail.com")</f>
        <v>ridwannoer7@gmail.com</v>
      </c>
      <c r="AI942" s="85" t="str">
        <f>IFERROR(__xludf.DUMMYFUNCTION("""COMPUTED_VALUE"""),"40381S4")</f>
        <v>40381S4</v>
      </c>
      <c r="AJ942" s="85" t="str">
        <f>IFERROR(__xludf.DUMMYFUNCTION("""COMPUTED_VALUE"""),"6a27bf82d64886be4d0d4b00")</f>
        <v>6a27bf82d64886be4d0d4b00</v>
      </c>
      <c r="AK942" s="85" t="str">
        <f>IFERROR(__xludf.DUMMYFUNCTION("""COMPUTED_VALUE"""),"ridwannoer7@gmail.com")</f>
        <v>ridwannoer7@gmail.com</v>
      </c>
      <c r="AL942" s="85" t="str">
        <f>IFERROR(__xludf.DUMMYFUNCTION("""COMPUTED_VALUE"""),"#Muc40381S4")</f>
        <v>#Muc40381S4</v>
      </c>
      <c r="AM942" s="85" t="str">
        <f>IFERROR(__xludf.DUMMYFUNCTION("""COMPUTED_VALUE"""),"KANTOR REGIONAL II JAKARTA 10004")</f>
        <v>KANTOR REGIONAL II JAKARTA 10004</v>
      </c>
      <c r="AN942" s="85" t="str">
        <f>IFERROR(__xludf.DUMMYFUNCTION("""COMPUTED_VALUE"""),"KC UJUNGBERUNG 40100")</f>
        <v>KC UJUNGBERUNG 40100</v>
      </c>
      <c r="AO942" s="85" t="str">
        <f>IFERROR(__xludf.DUMMYFUNCTION("""COMPUTED_VALUE""")," 0505260041119")</f>
        <v> 0505260041119</v>
      </c>
      <c r="AP942" s="85" t="str">
        <f>IFERROR(__xludf.DUMMYFUNCTION("""COMPUTED_VALUE""")," 05052600411190001")</f>
        <v> 05052600411190001</v>
      </c>
      <c r="AQ942" s="93" t="str">
        <f>IFERROR(__xludf.DUMMYFUNCTION("""COMPUTED_VALUE"""),"#REF!")</f>
        <v>#REF!</v>
      </c>
      <c r="AR942" s="85"/>
      <c r="AS942" s="85"/>
      <c r="AT942" s="85" t="str">
        <f>IFERROR(__xludf.DUMMYFUNCTION("""COMPUTED_VALUE"""),"-7.0650319")</f>
        <v>-7.0650319</v>
      </c>
      <c r="AU942" s="85" t="str">
        <f>IFERROR(__xludf.DUMMYFUNCTION("""COMPUTED_VALUE"""),"107.6867499")</f>
        <v>107.6867499</v>
      </c>
      <c r="AV942" s="85"/>
      <c r="AW942" s="85"/>
      <c r="AX942" s="85"/>
      <c r="AY942" s="85"/>
      <c r="AZ942" s="85"/>
      <c r="BA942" s="85"/>
      <c r="BB942" s="85"/>
      <c r="BC942" s="85"/>
      <c r="BD942" s="85"/>
      <c r="BE942" s="85"/>
      <c r="BF942" s="85"/>
      <c r="BG942" s="85"/>
      <c r="BH942" s="85"/>
      <c r="BI942" s="85"/>
      <c r="BJ942" s="85"/>
      <c r="BK942" s="85"/>
      <c r="BL942" s="85"/>
      <c r="BM942" s="85"/>
      <c r="BN942" s="85"/>
      <c r="BO942" s="85"/>
      <c r="BP942" s="85"/>
      <c r="BQ942" s="85"/>
      <c r="BR942" s="85"/>
      <c r="BS942" s="85"/>
      <c r="BT942" s="85"/>
      <c r="BU942" s="85"/>
      <c r="BV942" s="85"/>
      <c r="BW942" s="85"/>
      <c r="BX942" s="85"/>
      <c r="BY942" s="85"/>
      <c r="BZ942" s="85"/>
      <c r="CA942" s="85"/>
      <c r="CB942" s="85"/>
      <c r="CC942" s="85"/>
      <c r="CD942" s="85"/>
      <c r="CE942" s="85"/>
      <c r="CF942" s="85"/>
      <c r="CG942" s="85"/>
      <c r="CH942" s="85"/>
      <c r="CI942" s="85"/>
      <c r="CJ942" s="85"/>
      <c r="CK942" s="2"/>
    </row>
    <row r="943" ht="12.75" customHeight="1">
      <c r="A943" s="80">
        <f>IFERROR(__xludf.DUMMYFUNCTION("""COMPUTED_VALUE"""),939.0)</f>
        <v>939</v>
      </c>
      <c r="B943" s="80"/>
      <c r="C943" s="80"/>
      <c r="D943" s="81">
        <f>IFERROR(__xludf.DUMMYFUNCTION("""COMPUTED_VALUE"""),46147.0)</f>
        <v>46147</v>
      </c>
      <c r="E943" s="82"/>
      <c r="F943" s="80"/>
      <c r="G943" s="81"/>
      <c r="H943" s="80"/>
      <c r="I943" s="80"/>
      <c r="J943" s="80"/>
      <c r="K943" s="80"/>
      <c r="L943" s="80"/>
      <c r="M943" s="80" t="str">
        <f>IFERROR(__xludf.DUMMYFUNCTION("""COMPUTED_VALUE"""),"ü")</f>
        <v>ü</v>
      </c>
      <c r="N943" s="80"/>
      <c r="O943" s="80"/>
      <c r="P943" s="80" t="str">
        <f>IFERROR(__xludf.DUMMYFUNCTION("""COMPUTED_VALUE"""),"MUCSPA63445PSIND")</f>
        <v>MUCSPA63445PSIND</v>
      </c>
      <c r="Q943" s="80" t="str">
        <f>IFERROR(__xludf.DUMMYFUNCTION("""COMPUTED_VALUE"""),"MUC CAHAYA ")</f>
        <v>MUC CAHAYA </v>
      </c>
      <c r="R943" s="80" t="str">
        <f>IFERROR(__xludf.DUMMYFUNCTION("""COMPUTED_VALUE"""),"MUC CAHAYA ")</f>
        <v>MUC CAHAYA </v>
      </c>
      <c r="S943" s="80" t="str">
        <f>IFERROR(__xludf.DUMMYFUNCTION("""COMPUTED_VALUE"""),"RIDUAN SIANTURI A.MD")</f>
        <v>RIDUAN SIANTURI A.MD</v>
      </c>
      <c r="T943" s="80" t="str">
        <f>IFERROR(__xludf.DUMMYFUNCTION("""COMPUTED_VALUE""")," PLUMPANG B RT.006 RW.004, RAWA BADAK SELATAN, KOJA, JAKARTA UTARA DKI JAKARTA")</f>
        <v> PLUMPANG B RT.006 RW.004, RAWA BADAK SELATAN, KOJA, JAKARTA UTARA DKI JAKARTA</v>
      </c>
      <c r="U943" s="80" t="str">
        <f>IFERROR(__xludf.DUMMYFUNCTION("""COMPUTED_VALUE"""),"JL. Alur Laut 1 no 3 RT.006 ")</f>
        <v>JL. Alur Laut 1 no 3 RT.006 </v>
      </c>
      <c r="V943" s="80" t="str">
        <f>IFERROR(__xludf.DUMMYFUNCTION("""COMPUTED_VALUE"""),"Rawa Badak Selatan ")</f>
        <v>Rawa Badak Selatan </v>
      </c>
      <c r="W943" s="80" t="str">
        <f>IFERROR(__xludf.DUMMYFUNCTION("""COMPUTED_VALUE"""),"Rawa Badak Selatan ")</f>
        <v>Rawa Badak Selatan </v>
      </c>
      <c r="X943" s="80" t="str">
        <f>IFERROR(__xludf.DUMMYFUNCTION("""COMPUTED_VALUE"""),"koja ")</f>
        <v>koja </v>
      </c>
      <c r="Y943" s="80" t="str">
        <f>IFERROR(__xludf.DUMMYFUNCTION("""COMPUTED_VALUE"""),"Jakarta Utara")</f>
        <v>Jakarta Utara</v>
      </c>
      <c r="Z943" s="80" t="str">
        <f>IFERROR(__xludf.DUMMYFUNCTION("""COMPUTED_VALUE"""),"DKI Jakarta")</f>
        <v>DKI Jakarta</v>
      </c>
      <c r="AA943" s="80" t="str">
        <f>IFERROR(__xludf.DUMMYFUNCTION("""COMPUTED_VALUE"""),"14230")</f>
        <v>14230</v>
      </c>
      <c r="AB943" s="80" t="str">
        <f>IFERROR(__xludf.DUMMYFUNCTION("""COMPUTED_VALUE"""),"3172032911790013")</f>
        <v>3172032911790013</v>
      </c>
      <c r="AC943" s="80" t="str">
        <f>IFERROR(__xludf.DUMMYFUNCTION("""COMPUTED_VALUE"""),"3172 0329 1179 0013")</f>
        <v>3172 0329 1179 0013</v>
      </c>
      <c r="AD943" s="80" t="str">
        <f>IFERROR(__xludf.DUMMYFUNCTION("""COMPUTED_VALUE"""),"CUM - PS - ARKT")</f>
        <v>CUM - PS - ARKT</v>
      </c>
      <c r="AE943" s="80" t="str">
        <f>IFERROR(__xludf.DUMMYFUNCTION("""COMPUTED_VALUE"""),"CUM - PS - ARKT")</f>
        <v>CUM - PS - ARKT</v>
      </c>
      <c r="AF943" s="80" t="str">
        <f>IFERROR(__xludf.DUMMYFUNCTION("""COMPUTED_VALUE"""),"081282310025")</f>
        <v>081282310025</v>
      </c>
      <c r="AG943" s="80" t="str">
        <f>IFERROR(__xludf.DUMMYFUNCTION("""COMPUTED_VALUE"""),"081282310025")</f>
        <v>081282310025</v>
      </c>
      <c r="AH943" s="80" t="str">
        <f>IFERROR(__xludf.DUMMYFUNCTION("""COMPUTED_VALUE"""),"sianturiduan92@gmail.com")</f>
        <v>sianturiduan92@gmail.com</v>
      </c>
      <c r="AI943" s="80"/>
      <c r="AJ943" s="80"/>
      <c r="AK943" s="80"/>
      <c r="AL943" s="80"/>
      <c r="AM943" s="80" t="str">
        <f>IFERROR(__xludf.DUMMYFUNCTION("""COMPUTED_VALUE"""),"KANTOR REGIONAL II JAKARTA 10004")</f>
        <v>KANTOR REGIONAL II JAKARTA 10004</v>
      </c>
      <c r="AN943" s="80" t="str">
        <f>IFERROR(__xludf.DUMMYFUNCTION("""COMPUTED_VALUE"""),"KCU JAKARTAPREMIER 13000")</f>
        <v>KCU JAKARTAPREMIER 13000</v>
      </c>
      <c r="AO943" s="80" t="str">
        <f>IFERROR(__xludf.DUMMYFUNCTION("""COMPUTED_VALUE"""),"1103230008173")</f>
        <v>1103230008173</v>
      </c>
      <c r="AP943" s="80" t="str">
        <f>IFERROR(__xludf.DUMMYFUNCTION("""COMPUTED_VALUE"""),"11032300081730002")</f>
        <v>11032300081730002</v>
      </c>
      <c r="AQ943" s="83" t="str">
        <f>IFERROR(__xludf.DUMMYFUNCTION("""COMPUTED_VALUE"""),"Mandiri / 1200011602773 / Riduan Sianturi")</f>
        <v>Mandiri / 1200011602773 / Riduan Sianturi</v>
      </c>
      <c r="AR943" s="80"/>
      <c r="AS943" s="80"/>
      <c r="AT943" s="80" t="str">
        <f>IFERROR(__xludf.DUMMYFUNCTION("""COMPUTED_VALUE"""),"-6.128494")</f>
        <v>-6.128494</v>
      </c>
      <c r="AU943" s="80" t="str">
        <f>IFERROR(__xludf.DUMMYFUNCTION("""COMPUTED_VALUE"""),"106.8991816")</f>
        <v>106.8991816</v>
      </c>
      <c r="AV943" s="80"/>
      <c r="AW943" s="80"/>
      <c r="AX943" s="80"/>
      <c r="AY943" s="80"/>
      <c r="AZ943" s="80"/>
      <c r="BA943" s="80"/>
      <c r="BB943" s="80"/>
      <c r="BC943" s="80"/>
      <c r="BD943" s="80"/>
      <c r="BE943" s="80"/>
      <c r="BF943" s="80"/>
      <c r="BG943" s="80"/>
      <c r="BH943" s="80"/>
      <c r="BI943" s="80"/>
      <c r="BJ943" s="80"/>
      <c r="BK943" s="80"/>
      <c r="BL943" s="80"/>
      <c r="BM943" s="80"/>
      <c r="BN943" s="80"/>
      <c r="BO943" s="80"/>
      <c r="BP943" s="80"/>
      <c r="BQ943" s="80"/>
      <c r="BR943" s="80"/>
      <c r="BS943" s="80"/>
      <c r="BT943" s="80"/>
      <c r="BU943" s="80"/>
      <c r="BV943" s="80"/>
      <c r="BW943" s="80"/>
      <c r="BX943" s="80"/>
      <c r="BY943" s="80"/>
      <c r="BZ943" s="80"/>
      <c r="CA943" s="80"/>
      <c r="CB943" s="80"/>
      <c r="CC943" s="80"/>
      <c r="CD943" s="80"/>
      <c r="CE943" s="80"/>
      <c r="CF943" s="80"/>
      <c r="CG943" s="80"/>
      <c r="CH943" s="80"/>
      <c r="CI943" s="80"/>
      <c r="CJ943" s="80"/>
      <c r="CK943" s="2"/>
    </row>
    <row r="944" ht="12.75" customHeight="1">
      <c r="A944" s="85">
        <f>IFERROR(__xludf.DUMMYFUNCTION("""COMPUTED_VALUE"""),940.0)</f>
        <v>940</v>
      </c>
      <c r="B944" s="85"/>
      <c r="C944" s="85"/>
      <c r="D944" s="86">
        <f>IFERROR(__xludf.DUMMYFUNCTION("""COMPUTED_VALUE"""),46147.0)</f>
        <v>46147</v>
      </c>
      <c r="E944" s="88"/>
      <c r="F944" s="85"/>
      <c r="G944" s="86">
        <f>IFERROR(__xludf.DUMMYFUNCTION("""COMPUTED_VALUE"""),46252.0)</f>
        <v>46252</v>
      </c>
      <c r="H944" s="85"/>
      <c r="I944" s="85"/>
      <c r="J944" s="85"/>
      <c r="K944" s="85"/>
      <c r="L944" s="85">
        <f>IFERROR(__xludf.DUMMYFUNCTION("""COMPUTED_VALUE"""),105.0)</f>
        <v>105</v>
      </c>
      <c r="M944" s="85" t="str">
        <f>IFERROR(__xludf.DUMMYFUNCTION("""COMPUTED_VALUE"""),"ü")</f>
        <v>ü</v>
      </c>
      <c r="N944" s="85"/>
      <c r="O944" s="85"/>
      <c r="P944" s="85" t="str">
        <f>IFERROR(__xludf.DUMMYFUNCTION("""COMPUTED_VALUE"""),"53BSPA17054JBNDS")</f>
        <v>53BSPA17054JBNDS</v>
      </c>
      <c r="Q944" s="85" t="str">
        <f>IFERROR(__xludf.DUMMYFUNCTION("""COMPUTED_VALUE"""),"MUC Purwono")</f>
        <v>MUC Purwono</v>
      </c>
      <c r="R944" s="85" t="str">
        <f>IFERROR(__xludf.DUMMYFUNCTION("""COMPUTED_VALUE"""),"MUC Purwono")</f>
        <v>MUC Purwono</v>
      </c>
      <c r="S944" s="85" t="str">
        <f>IFERROR(__xludf.DUMMYFUNCTION("""COMPUTED_VALUE"""),"Purwono")</f>
        <v>Purwono</v>
      </c>
      <c r="T944" s="85" t="str">
        <f>IFERROR(__xludf.DUMMYFUNCTION("""COMPUTED_VALUE""")," Mojokopek RT 009 Kel. Sambirejo Kec. Plupuh Kab. Sragen")</f>
        <v> Mojokopek RT 009 Kel. Sambirejo Kec. Plupuh Kab. Sragen</v>
      </c>
      <c r="U944" s="85" t="str">
        <f>IFERROR(__xludf.DUMMYFUNCTION("""COMPUTED_VALUE"""),"Mojokopek RT 009 ")</f>
        <v>Mojokopek RT 009 </v>
      </c>
      <c r="V944" s="85" t="str">
        <f>IFERROR(__xludf.DUMMYFUNCTION("""COMPUTED_VALUE"""),"Sambirejo")</f>
        <v>Sambirejo</v>
      </c>
      <c r="W944" s="85" t="str">
        <f>IFERROR(__xludf.DUMMYFUNCTION("""COMPUTED_VALUE"""),"Sambirejo")</f>
        <v>Sambirejo</v>
      </c>
      <c r="X944" s="85" t="str">
        <f>IFERROR(__xludf.DUMMYFUNCTION("""COMPUTED_VALUE"""),"Plupuh")</f>
        <v>Plupuh</v>
      </c>
      <c r="Y944" s="85" t="str">
        <f>IFERROR(__xludf.DUMMYFUNCTION("""COMPUTED_VALUE"""),"Sragen")</f>
        <v>Sragen</v>
      </c>
      <c r="Z944" s="85" t="str">
        <f>IFERROR(__xludf.DUMMYFUNCTION("""COMPUTED_VALUE"""),"Jawa Tengan")</f>
        <v>Jawa Tengan</v>
      </c>
      <c r="AA944" s="85" t="str">
        <f>IFERROR(__xludf.DUMMYFUNCTION("""COMPUTED_VALUE"""),"57283")</f>
        <v>57283</v>
      </c>
      <c r="AB944" s="85" t="str">
        <f>IFERROR(__xludf.DUMMYFUNCTION("""COMPUTED_VALUE"""),"3314022809860005")</f>
        <v>3314022809860005</v>
      </c>
      <c r="AC944" s="85" t="str">
        <f>IFERROR(__xludf.DUMMYFUNCTION("""COMPUTED_VALUE"""),"953985132528000")</f>
        <v>953985132528000</v>
      </c>
      <c r="AD944" s="85" t="str">
        <f>IFERROR(__xludf.DUMMYFUNCTION("""COMPUTED_VALUE"""),"CUM NDS")</f>
        <v>CUM NDS</v>
      </c>
      <c r="AE944" s="85" t="str">
        <f>IFERROR(__xludf.DUMMYFUNCTION("""COMPUTED_VALUE"""),"CUM NDS")</f>
        <v>CUM NDS</v>
      </c>
      <c r="AF944" s="85" t="str">
        <f>IFERROR(__xludf.DUMMYFUNCTION("""COMPUTED_VALUE"""),"081357811426")</f>
        <v>081357811426</v>
      </c>
      <c r="AG944" s="85" t="str">
        <f>IFERROR(__xludf.DUMMYFUNCTION("""COMPUTED_VALUE"""),"081357811426")</f>
        <v>081357811426</v>
      </c>
      <c r="AH944" s="85" t="str">
        <f>IFERROR(__xludf.DUMMYFUNCTION("""COMPUTED_VALUE"""),"purwono01@gmail.com")</f>
        <v>purwono01@gmail.com</v>
      </c>
      <c r="AI944" s="85" t="str">
        <f>IFERROR(__xludf.DUMMYFUNCTION("""COMPUTED_VALUE"""),"57283S7")</f>
        <v>57283S7</v>
      </c>
      <c r="AJ944" s="85" t="str">
        <f>IFERROR(__xludf.DUMMYFUNCTION("""COMPUTED_VALUE"""),"6a8124ba5fe1d2f00b07774c")</f>
        <v>6a8124ba5fe1d2f00b07774c</v>
      </c>
      <c r="AK944" s="85" t="str">
        <f>IFERROR(__xludf.DUMMYFUNCTION("""COMPUTED_VALUE"""),"purwono01@gmail.com")</f>
        <v>purwono01@gmail.com</v>
      </c>
      <c r="AL944" s="85" t="str">
        <f>IFERROR(__xludf.DUMMYFUNCTION("""COMPUTED_VALUE"""),"#Muc57283S7$")</f>
        <v>#Muc57283S7$</v>
      </c>
      <c r="AM944" s="85" t="str">
        <f>IFERROR(__xludf.DUMMYFUNCTION("""COMPUTED_VALUE"""),"KANTOR REGIONAL IV SEMARANG 50004")</f>
        <v>KANTOR REGIONAL IV SEMARANG 50004</v>
      </c>
      <c r="AN944" s="85" t="str">
        <f>IFERROR(__xludf.DUMMYFUNCTION("""COMPUTED_VALUE"""),"KC SRAGEN 57200")</f>
        <v>KC SRAGEN 57200</v>
      </c>
      <c r="AO944" s="85" t="str">
        <f>IFERROR(__xludf.DUMMYFUNCTION("""COMPUTED_VALUE""")," 0505260048503")</f>
        <v> 0505260048503</v>
      </c>
      <c r="AP944" s="85" t="str">
        <f>IFERROR(__xludf.DUMMYFUNCTION("""COMPUTED_VALUE""")," 05052600485030001")</f>
        <v> 05052600485030001</v>
      </c>
      <c r="AQ944" s="93" t="str">
        <f>IFERROR(__xludf.DUMMYFUNCTION("""COMPUTED_VALUE"""),"BRI / 761601009518539 / Purwono")</f>
        <v>BRI / 761601009518539 / Purwono</v>
      </c>
      <c r="AR944" s="85"/>
      <c r="AS944" s="85"/>
      <c r="AT944" s="85" t="str">
        <f>IFERROR(__xludf.DUMMYFUNCTION("""COMPUTED_VALUE"""),"-7.4201433")</f>
        <v>-7.4201433</v>
      </c>
      <c r="AU944" s="85" t="str">
        <f>IFERROR(__xludf.DUMMYFUNCTION("""COMPUTED_VALUE"""),"110.8819347")</f>
        <v>110.8819347</v>
      </c>
      <c r="AV944" s="85"/>
      <c r="AW944" s="85"/>
      <c r="AX944" s="85"/>
      <c r="AY944" s="85"/>
      <c r="AZ944" s="85"/>
      <c r="BA944" s="85"/>
      <c r="BB944" s="85"/>
      <c r="BC944" s="85"/>
      <c r="BD944" s="85"/>
      <c r="BE944" s="85"/>
      <c r="BF944" s="85"/>
      <c r="BG944" s="85"/>
      <c r="BH944" s="85"/>
      <c r="BI944" s="85"/>
      <c r="BJ944" s="85"/>
      <c r="BK944" s="85"/>
      <c r="BL944" s="85"/>
      <c r="BM944" s="85"/>
      <c r="BN944" s="85"/>
      <c r="BO944" s="85"/>
      <c r="BP944" s="85"/>
      <c r="BQ944" s="85"/>
      <c r="BR944" s="85"/>
      <c r="BS944" s="85"/>
      <c r="BT944" s="85"/>
      <c r="BU944" s="85"/>
      <c r="BV944" s="85"/>
      <c r="BW944" s="85"/>
      <c r="BX944" s="85"/>
      <c r="BY944" s="85"/>
      <c r="BZ944" s="85"/>
      <c r="CA944" s="85"/>
      <c r="CB944" s="85"/>
      <c r="CC944" s="85"/>
      <c r="CD944" s="85"/>
      <c r="CE944" s="85"/>
      <c r="CF944" s="85"/>
      <c r="CG944" s="85"/>
      <c r="CH944" s="85"/>
      <c r="CI944" s="85"/>
      <c r="CJ944" s="85"/>
      <c r="CK944" s="2"/>
    </row>
    <row r="945" ht="12.75" customHeight="1">
      <c r="A945" s="80">
        <f>IFERROR(__xludf.DUMMYFUNCTION("""COMPUTED_VALUE"""),941.0)</f>
        <v>941</v>
      </c>
      <c r="B945" s="80"/>
      <c r="C945" s="80"/>
      <c r="D945" s="81">
        <f>IFERROR(__xludf.DUMMYFUNCTION("""COMPUTED_VALUE"""),46147.0)</f>
        <v>46147</v>
      </c>
      <c r="E945" s="82"/>
      <c r="F945" s="80"/>
      <c r="G945" s="81"/>
      <c r="H945" s="80"/>
      <c r="I945" s="80"/>
      <c r="J945" s="80"/>
      <c r="K945" s="80"/>
      <c r="L945" s="80"/>
      <c r="M945" s="80" t="str">
        <f>IFERROR(__xludf.DUMMYFUNCTION("""COMPUTED_VALUE"""),"ü")</f>
        <v>ü</v>
      </c>
      <c r="N945" s="80"/>
      <c r="O945" s="80"/>
      <c r="P945" s="80" t="str">
        <f>IFERROR(__xludf.DUMMYFUNCTION("""COMPUTED_VALUE"""),"MUCSPA63406PSIND")</f>
        <v>MUCSPA63406PSIND</v>
      </c>
      <c r="Q945" s="80" t="str">
        <f>IFERROR(__xludf.DUMMYFUNCTION("""COMPUTED_VALUE"""),"MUC ALFA")</f>
        <v>MUC ALFA</v>
      </c>
      <c r="R945" s="80" t="str">
        <f>IFERROR(__xludf.DUMMYFUNCTION("""COMPUTED_VALUE"""),"MUC ALFA")</f>
        <v>MUC ALFA</v>
      </c>
      <c r="S945" s="80" t="str">
        <f>IFERROR(__xludf.DUMMYFUNCTION("""COMPUTED_VALUE"""),"MUJIWATI ")</f>
        <v>MUJIWATI </v>
      </c>
      <c r="T945" s="80" t="str">
        <f>IFERROR(__xludf.DUMMYFUNCTION("""COMPUTED_VALUE""")," GG SENO 382 RT.010 RW.002, JATIWETAN, JATI, KAB. KUDUS, JAWA TENGAH")</f>
        <v> GG SENO 382 RT.010 RW.002, JATIWETAN, JATI, KAB. KUDUS, JAWA TENGAH</v>
      </c>
      <c r="U945" s="80" t="str">
        <f>IFERROR(__xludf.DUMMYFUNCTION("""COMPUTED_VALUE"""),"Jl Budi Utomo RT 1 RW 4 Pekeng Gulang Mejobo")</f>
        <v>Jl Budi Utomo RT 1 RW 4 Pekeng Gulang Mejobo</v>
      </c>
      <c r="V945" s="80" t="str">
        <f>IFERROR(__xludf.DUMMYFUNCTION("""COMPUTED_VALUE""")," Gulang")</f>
        <v> Gulang</v>
      </c>
      <c r="W945" s="80" t="str">
        <f>IFERROR(__xludf.DUMMYFUNCTION("""COMPUTED_VALUE""")," Gulang")</f>
        <v> Gulang</v>
      </c>
      <c r="X945" s="80" t="str">
        <f>IFERROR(__xludf.DUMMYFUNCTION("""COMPUTED_VALUE""")," Mejobo")</f>
        <v> Mejobo</v>
      </c>
      <c r="Y945" s="80" t="str">
        <f>IFERROR(__xludf.DUMMYFUNCTION("""COMPUTED_VALUE"""),"Kudus")</f>
        <v>Kudus</v>
      </c>
      <c r="Z945" s="80" t="str">
        <f>IFERROR(__xludf.DUMMYFUNCTION("""COMPUTED_VALUE"""),"Jawa Tengah")</f>
        <v>Jawa Tengah</v>
      </c>
      <c r="AA945" s="80" t="str">
        <f>IFERROR(__xludf.DUMMYFUNCTION("""COMPUTED_VALUE"""),"59381")</f>
        <v>59381</v>
      </c>
      <c r="AB945" s="80" t="str">
        <f>IFERROR(__xludf.DUMMYFUNCTION("""COMPUTED_VALUE"""),"3319034101710002")</f>
        <v>3319034101710002</v>
      </c>
      <c r="AC945" s="80" t="str">
        <f>IFERROR(__xludf.DUMMYFUNCTION("""COMPUTED_VALUE"""),"46.621.125.7-506.000")</f>
        <v>46.621.125.7-506.000</v>
      </c>
      <c r="AD945" s="80" t="str">
        <f>IFERROR(__xludf.DUMMYFUNCTION("""COMPUTED_VALUE"""),"BU FILI KC KUDUS")</f>
        <v>BU FILI KC KUDUS</v>
      </c>
      <c r="AE945" s="80" t="str">
        <f>IFERROR(__xludf.DUMMYFUNCTION("""COMPUTED_VALUE"""),"BU FILI KC KUDUS")</f>
        <v>BU FILI KC KUDUS</v>
      </c>
      <c r="AF945" s="80" t="str">
        <f>IFERROR(__xludf.DUMMYFUNCTION("""COMPUTED_VALUE""")," 085225791422")</f>
        <v> 085225791422</v>
      </c>
      <c r="AG945" s="80" t="str">
        <f>IFERROR(__xludf.DUMMYFUNCTION("""COMPUTED_VALUE""")," 085225791422")</f>
        <v> 085225791422</v>
      </c>
      <c r="AH945" s="80" t="str">
        <f>IFERROR(__xludf.DUMMYFUNCTION("""COMPUTED_VALUE"""),"Alfapaket24@gmail.com")</f>
        <v>Alfapaket24@gmail.com</v>
      </c>
      <c r="AI945" s="80"/>
      <c r="AJ945" s="80"/>
      <c r="AK945" s="80"/>
      <c r="AL945" s="80"/>
      <c r="AM945" s="80" t="str">
        <f>IFERROR(__xludf.DUMMYFUNCTION("""COMPUTED_VALUE"""),"KANTOR REGIONAL IV SEMARANG 50004")</f>
        <v>KANTOR REGIONAL IV SEMARANG 50004</v>
      </c>
      <c r="AN945" s="80" t="str">
        <f>IFERROR(__xludf.DUMMYFUNCTION("""COMPUTED_VALUE"""),"KC KUDUS 59300")</f>
        <v>KC KUDUS 59300</v>
      </c>
      <c r="AO945" s="80" t="str">
        <f>IFERROR(__xludf.DUMMYFUNCTION("""COMPUTED_VALUE"""),"0505260086979")</f>
        <v>0505260086979</v>
      </c>
      <c r="AP945" s="80" t="str">
        <f>IFERROR(__xludf.DUMMYFUNCTION("""COMPUTED_VALUE"""),"05052600869790001")</f>
        <v>05052600869790001</v>
      </c>
      <c r="AQ945" s="83" t="str">
        <f>IFERROR(__xludf.DUMMYFUNCTION("""COMPUTED_VALUE"""),"BSI, Bank Jateng / 3024031902 / MUJIWATI")</f>
        <v>BSI, Bank Jateng / 3024031902 / MUJIWATI</v>
      </c>
      <c r="AR945" s="80"/>
      <c r="AS945" s="80"/>
      <c r="AT945" s="80" t="str">
        <f>IFERROR(__xludf.DUMMYFUNCTION("""COMPUTED_VALUE""")," -6.8329435")</f>
        <v> -6.8329435</v>
      </c>
      <c r="AU945" s="80" t="str">
        <f>IFERROR(__xludf.DUMMYFUNCTION("""COMPUTED_VALUE"""),"110.8640261")</f>
        <v>110.8640261</v>
      </c>
      <c r="AV945" s="80"/>
      <c r="AW945" s="80"/>
      <c r="AX945" s="80"/>
      <c r="AY945" s="80"/>
      <c r="AZ945" s="80"/>
      <c r="BA945" s="80"/>
      <c r="BB945" s="80"/>
      <c r="BC945" s="80"/>
      <c r="BD945" s="80"/>
      <c r="BE945" s="80"/>
      <c r="BF945" s="80"/>
      <c r="BG945" s="80"/>
      <c r="BH945" s="80"/>
      <c r="BI945" s="80"/>
      <c r="BJ945" s="80"/>
      <c r="BK945" s="80"/>
      <c r="BL945" s="80"/>
      <c r="BM945" s="80"/>
      <c r="BN945" s="80"/>
      <c r="BO945" s="80"/>
      <c r="BP945" s="80"/>
      <c r="BQ945" s="80"/>
      <c r="BR945" s="80"/>
      <c r="BS945" s="80"/>
      <c r="BT945" s="80"/>
      <c r="BU945" s="80"/>
      <c r="BV945" s="80"/>
      <c r="BW945" s="80"/>
      <c r="BX945" s="80"/>
      <c r="BY945" s="80"/>
      <c r="BZ945" s="80"/>
      <c r="CA945" s="80"/>
      <c r="CB945" s="80"/>
      <c r="CC945" s="80"/>
      <c r="CD945" s="80"/>
      <c r="CE945" s="80"/>
      <c r="CF945" s="80"/>
      <c r="CG945" s="80"/>
      <c r="CH945" s="80"/>
      <c r="CI945" s="80"/>
      <c r="CJ945" s="80"/>
      <c r="CK945" s="2"/>
    </row>
    <row r="946" ht="12.75" customHeight="1">
      <c r="A946" s="85">
        <f>IFERROR(__xludf.DUMMYFUNCTION("""COMPUTED_VALUE"""),942.0)</f>
        <v>942</v>
      </c>
      <c r="B946" s="85"/>
      <c r="C946" s="85"/>
      <c r="D946" s="86">
        <f>IFERROR(__xludf.DUMMYFUNCTION("""COMPUTED_VALUE"""),46147.0)</f>
        <v>46147</v>
      </c>
      <c r="E946" s="88"/>
      <c r="F946" s="85"/>
      <c r="G946" s="86"/>
      <c r="H946" s="85"/>
      <c r="I946" s="85"/>
      <c r="J946" s="85"/>
      <c r="K946" s="85"/>
      <c r="L946" s="85"/>
      <c r="M946" s="85" t="str">
        <f>IFERROR(__xludf.DUMMYFUNCTION("""COMPUTED_VALUE"""),"ü")</f>
        <v>ü</v>
      </c>
      <c r="N946" s="85"/>
      <c r="O946" s="85"/>
      <c r="P946" s="85" t="str">
        <f>IFERROR(__xludf.DUMMYFUNCTION("""COMPUTED_VALUE"""),"53BSPA17056JBNDS")</f>
        <v>53BSPA17056JBNDS</v>
      </c>
      <c r="Q946" s="85" t="str">
        <f>IFERROR(__xludf.DUMMYFUNCTION("""COMPUTED_VALUE"""),"MUC KIOS KIRIM")</f>
        <v>MUC KIOS KIRIM</v>
      </c>
      <c r="R946" s="85" t="str">
        <f>IFERROR(__xludf.DUMMYFUNCTION("""COMPUTED_VALUE"""),"MUC KIOS KIRIM")</f>
        <v>MUC KIOS KIRIM</v>
      </c>
      <c r="S946" s="85" t="str">
        <f>IFERROR(__xludf.DUMMYFUNCTION("""COMPUTED_VALUE"""),"Sidqi Faturahman")</f>
        <v>Sidqi Faturahman</v>
      </c>
      <c r="T946" s="85" t="str">
        <f>IFERROR(__xludf.DUMMYFUNCTION("""COMPUTED_VALUE""")," JLN MAYANG SARI 1 BLOK C NO 1 KEL TUGU UTARA KEC KOJA JAKARTA UTARA")</f>
        <v> JLN MAYANG SARI 1 BLOK C NO 1 KEL TUGU UTARA KEC KOJA JAKARTA UTARA</v>
      </c>
      <c r="U946" s="85" t="str">
        <f>IFERROR(__xludf.DUMMYFUNCTION("""COMPUTED_VALUE"""),"Jl Raya Bogor KM 32")</f>
        <v>Jl Raya Bogor KM 32</v>
      </c>
      <c r="V946" s="85" t="str">
        <f>IFERROR(__xludf.DUMMYFUNCTION("""COMPUTED_VALUE"""),"Curug")</f>
        <v>Curug</v>
      </c>
      <c r="W946" s="85" t="str">
        <f>IFERROR(__xludf.DUMMYFUNCTION("""COMPUTED_VALUE"""),"Curug")</f>
        <v>Curug</v>
      </c>
      <c r="X946" s="85" t="str">
        <f>IFERROR(__xludf.DUMMYFUNCTION("""COMPUTED_VALUE"""),"Cimanggis")</f>
        <v>Cimanggis</v>
      </c>
      <c r="Y946" s="85" t="str">
        <f>IFERROR(__xludf.DUMMYFUNCTION("""COMPUTED_VALUE"""),"Depok")</f>
        <v>Depok</v>
      </c>
      <c r="Z946" s="85" t="str">
        <f>IFERROR(__xludf.DUMMYFUNCTION("""COMPUTED_VALUE"""),"Jawa Barat")</f>
        <v>Jawa Barat</v>
      </c>
      <c r="AA946" s="85" t="str">
        <f>IFERROR(__xludf.DUMMYFUNCTION("""COMPUTED_VALUE"""),"16453")</f>
        <v>16453</v>
      </c>
      <c r="AB946" s="85" t="str">
        <f>IFERROR(__xludf.DUMMYFUNCTION("""COMPUTED_VALUE"""),"3174010507770005")</f>
        <v>3174010507770005</v>
      </c>
      <c r="AC946" s="85" t="str">
        <f>IFERROR(__xludf.DUMMYFUNCTION("""COMPUTED_VALUE"""),"47.553.764.3-015.000")</f>
        <v>47.553.764.3-015.000</v>
      </c>
      <c r="AD946" s="85" t="str">
        <f>IFERROR(__xludf.DUMMYFUNCTION("""COMPUTED_VALUE"""),"CUM - NDS")</f>
        <v>CUM - NDS</v>
      </c>
      <c r="AE946" s="85" t="str">
        <f>IFERROR(__xludf.DUMMYFUNCTION("""COMPUTED_VALUE"""),"CUM - NDS")</f>
        <v>CUM - NDS</v>
      </c>
      <c r="AF946" s="85" t="str">
        <f>IFERROR(__xludf.DUMMYFUNCTION("""COMPUTED_VALUE"""),"08811212014")</f>
        <v>08811212014</v>
      </c>
      <c r="AG946" s="85" t="str">
        <f>IFERROR(__xludf.DUMMYFUNCTION("""COMPUTED_VALUE"""),"08811212014")</f>
        <v>08811212014</v>
      </c>
      <c r="AH946" s="85" t="str">
        <f>IFERROR(__xludf.DUMMYFUNCTION("""COMPUTED_VALUE"""),"marhabamajuindonesia@gmail.com")</f>
        <v>marhabamajuindonesia@gmail.com</v>
      </c>
      <c r="AI946" s="85"/>
      <c r="AJ946" s="85"/>
      <c r="AK946" s="85"/>
      <c r="AL946" s="85"/>
      <c r="AM946" s="85" t="str">
        <f>IFERROR(__xludf.DUMMYFUNCTION("""COMPUTED_VALUE"""),"KANTOR REGIONAL II JAKARTA 10004")</f>
        <v>KANTOR REGIONAL II JAKARTA 10004</v>
      </c>
      <c r="AN946" s="85" t="str">
        <f>IFERROR(__xludf.DUMMYFUNCTION("""COMPUTED_VALUE"""),"KC DEPOK 16400")</f>
        <v>KC DEPOK 16400</v>
      </c>
      <c r="AO946" s="85" t="str">
        <f>IFERROR(__xludf.DUMMYFUNCTION("""COMPUTED_VALUE"""),"1106240088176")</f>
        <v>1106240088176</v>
      </c>
      <c r="AP946" s="85" t="str">
        <f>IFERROR(__xludf.DUMMYFUNCTION("""COMPUTED_VALUE""")," 11062400881760001")</f>
        <v> 11062400881760001</v>
      </c>
      <c r="AQ946" s="93" t="str">
        <f>IFERROR(__xludf.DUMMYFUNCTION("""COMPUTED_VALUE"""),"BCA / 6270135747 / SIDQI FATURAHMAN")</f>
        <v>BCA / 6270135747 / SIDQI FATURAHMAN</v>
      </c>
      <c r="AR946" s="85"/>
      <c r="AS946" s="85"/>
      <c r="AT946" s="85" t="str">
        <f>IFERROR(__xludf.DUMMYFUNCTION("""COMPUTED_VALUE"""),"-6.3844922")</f>
        <v>-6.3844922</v>
      </c>
      <c r="AU946" s="85" t="str">
        <f>IFERROR(__xludf.DUMMYFUNCTION("""COMPUTED_VALUE"""),"106.8646841")</f>
        <v>106.8646841</v>
      </c>
      <c r="AV946" s="85"/>
      <c r="AW946" s="85"/>
      <c r="AX946" s="85"/>
      <c r="AY946" s="85"/>
      <c r="AZ946" s="85"/>
      <c r="BA946" s="85"/>
      <c r="BB946" s="85"/>
      <c r="BC946" s="85"/>
      <c r="BD946" s="85"/>
      <c r="BE946" s="85"/>
      <c r="BF946" s="85"/>
      <c r="BG946" s="85"/>
      <c r="BH946" s="85"/>
      <c r="BI946" s="85"/>
      <c r="BJ946" s="85"/>
      <c r="BK946" s="85"/>
      <c r="BL946" s="85"/>
      <c r="BM946" s="85"/>
      <c r="BN946" s="85"/>
      <c r="BO946" s="85"/>
      <c r="BP946" s="85"/>
      <c r="BQ946" s="85"/>
      <c r="BR946" s="85"/>
      <c r="BS946" s="85"/>
      <c r="BT946" s="85"/>
      <c r="BU946" s="85"/>
      <c r="BV946" s="85"/>
      <c r="BW946" s="85"/>
      <c r="BX946" s="85"/>
      <c r="BY946" s="85"/>
      <c r="BZ946" s="85"/>
      <c r="CA946" s="85"/>
      <c r="CB946" s="85"/>
      <c r="CC946" s="85"/>
      <c r="CD946" s="85"/>
      <c r="CE946" s="85"/>
      <c r="CF946" s="85"/>
      <c r="CG946" s="85"/>
      <c r="CH946" s="85"/>
      <c r="CI946" s="85"/>
      <c r="CJ946" s="85"/>
      <c r="CK946" s="2"/>
    </row>
    <row r="947" ht="12.75" customHeight="1">
      <c r="A947" s="80">
        <f>IFERROR(__xludf.DUMMYFUNCTION("""COMPUTED_VALUE"""),943.0)</f>
        <v>943</v>
      </c>
      <c r="B947" s="80"/>
      <c r="C947" s="80"/>
      <c r="D947" s="81">
        <f>IFERROR(__xludf.DUMMYFUNCTION("""COMPUTED_VALUE"""),46147.0)</f>
        <v>46147</v>
      </c>
      <c r="E947" s="82"/>
      <c r="F947" s="80"/>
      <c r="G947" s="81">
        <f>IFERROR(__xludf.DUMMYFUNCTION("""COMPUTED_VALUE"""),46162.0)</f>
        <v>46162</v>
      </c>
      <c r="H947" s="80"/>
      <c r="I947" s="80"/>
      <c r="J947" s="80"/>
      <c r="K947" s="80"/>
      <c r="L947" s="80">
        <f>IFERROR(__xludf.DUMMYFUNCTION("""COMPUTED_VALUE"""),15.0)</f>
        <v>15</v>
      </c>
      <c r="M947" s="80" t="str">
        <f>IFERROR(__xludf.DUMMYFUNCTION("""COMPUTED_VALUE"""),"ü")</f>
        <v>ü</v>
      </c>
      <c r="N947" s="80"/>
      <c r="O947" s="80"/>
      <c r="P947" s="80" t="str">
        <f>IFERROR(__xludf.DUMMYFUNCTION("""COMPUTED_VALUE"""),"MUCSPA63408PSIND")</f>
        <v>MUCSPA63408PSIND</v>
      </c>
      <c r="Q947" s="80" t="str">
        <f>IFERROR(__xludf.DUMMYFUNCTION("""COMPUTED_VALUE"""),"MUC Faiz ponsel")</f>
        <v>MUC Faiz ponsel</v>
      </c>
      <c r="R947" s="80" t="str">
        <f>IFERROR(__xludf.DUMMYFUNCTION("""COMPUTED_VALUE"""),"MUC Faiz ponsel")</f>
        <v>MUC Faiz ponsel</v>
      </c>
      <c r="S947" s="80" t="str">
        <f>IFERROR(__xludf.DUMMYFUNCTION("""COMPUTED_VALUE"""),"Bambang lesmana")</f>
        <v>Bambang lesmana</v>
      </c>
      <c r="T947" s="80" t="str">
        <f>IFERROR(__xludf.DUMMYFUNCTION("""COMPUTED_VALUE""")," Dusun Amal, Desa Suka raya, kecamatan Pancur batu")</f>
        <v> Dusun Amal, Desa Suka raya, kecamatan Pancur batu</v>
      </c>
      <c r="U947" s="80" t="str">
        <f>IFERROR(__xludf.DUMMYFUNCTION("""COMPUTED_VALUE"""),"Dusun Amal")</f>
        <v>Dusun Amal</v>
      </c>
      <c r="V947" s="80" t="str">
        <f>IFERROR(__xludf.DUMMYFUNCTION("""COMPUTED_VALUE"""),"Suka raya")</f>
        <v>Suka raya</v>
      </c>
      <c r="W947" s="80" t="str">
        <f>IFERROR(__xludf.DUMMYFUNCTION("""COMPUTED_VALUE"""),"Suka raya")</f>
        <v>Suka raya</v>
      </c>
      <c r="X947" s="80" t="str">
        <f>IFERROR(__xludf.DUMMYFUNCTION("""COMPUTED_VALUE"""),"Pancur Batu")</f>
        <v>Pancur Batu</v>
      </c>
      <c r="Y947" s="80" t="str">
        <f>IFERROR(__xludf.DUMMYFUNCTION("""COMPUTED_VALUE"""),"Deli serdang")</f>
        <v>Deli serdang</v>
      </c>
      <c r="Z947" s="80" t="str">
        <f>IFERROR(__xludf.DUMMYFUNCTION("""COMPUTED_VALUE"""),"Sumatera utara")</f>
        <v>Sumatera utara</v>
      </c>
      <c r="AA947" s="80" t="str">
        <f>IFERROR(__xludf.DUMMYFUNCTION("""COMPUTED_VALUE"""),"20353")</f>
        <v>20353</v>
      </c>
      <c r="AB947" s="80" t="str">
        <f>IFERROR(__xludf.DUMMYFUNCTION("""COMPUTED_VALUE"""),"1207050610860001")</f>
        <v>1207050610860001</v>
      </c>
      <c r="AC947" s="80" t="str">
        <f>IFERROR(__xludf.DUMMYFUNCTION("""COMPUTED_VALUE"""),"1207050619860001")</f>
        <v>1207050619860001</v>
      </c>
      <c r="AD947" s="80" t="str">
        <f>IFERROR(__xludf.DUMMYFUNCTION("""COMPUTED_VALUE"""),"PAK HARUL KCU MEDAN")</f>
        <v>PAK HARUL KCU MEDAN</v>
      </c>
      <c r="AE947" s="80" t="str">
        <f>IFERROR(__xludf.DUMMYFUNCTION("""COMPUTED_VALUE"""),"PAK HARUL KCU MEDAN")</f>
        <v>PAK HARUL KCU MEDAN</v>
      </c>
      <c r="AF947" s="80" t="str">
        <f>IFERROR(__xludf.DUMMYFUNCTION("""COMPUTED_VALUE"""),"085470887686")</f>
        <v>085470887686</v>
      </c>
      <c r="AG947" s="80" t="str">
        <f>IFERROR(__xludf.DUMMYFUNCTION("""COMPUTED_VALUE"""),"085470887686")</f>
        <v>085470887686</v>
      </c>
      <c r="AH947" s="80" t="str">
        <f>IFERROR(__xludf.DUMMYFUNCTION("""COMPUTED_VALUE"""),"naufalfaiz13@gmail.com")</f>
        <v>naufalfaiz13@gmail.com</v>
      </c>
      <c r="AI947" s="80" t="str">
        <f>IFERROR(__xludf.DUMMYFUNCTION("""COMPUTED_VALUE"""),"20353S5")</f>
        <v>20353S5</v>
      </c>
      <c r="AJ947" s="80" t="str">
        <f>IFERROR(__xludf.DUMMYFUNCTION("""COMPUTED_VALUE"""),"6a0d305bedffcca22f04c2e7")</f>
        <v>6a0d305bedffcca22f04c2e7</v>
      </c>
      <c r="AK947" s="80" t="str">
        <f>IFERROR(__xludf.DUMMYFUNCTION("""COMPUTED_VALUE"""),"naufalfaiz13@gmail.com")</f>
        <v>naufalfaiz13@gmail.com</v>
      </c>
      <c r="AL947" s="80" t="str">
        <f>IFERROR(__xludf.DUMMYFUNCTION("""COMPUTED_VALUE"""),"#Muc20353S5$")</f>
        <v>#Muc20353S5$</v>
      </c>
      <c r="AM947" s="80" t="str">
        <f>IFERROR(__xludf.DUMMYFUNCTION("""COMPUTED_VALUE"""),"KANTOR REGIONAL I MEDAN 20004")</f>
        <v>KANTOR REGIONAL I MEDAN 20004</v>
      </c>
      <c r="AN947" s="80" t="str">
        <f>IFERROR(__xludf.DUMMYFUNCTION("""COMPUTED_VALUE"""),"KCU MEDAN 20000")</f>
        <v>KCU MEDAN 20000</v>
      </c>
      <c r="AO947" s="80" t="str">
        <f>IFERROR(__xludf.DUMMYFUNCTION("""COMPUTED_VALUE"""),"0503230015894")</f>
        <v>0503230015894</v>
      </c>
      <c r="AP947" s="80" t="str">
        <f>IFERROR(__xludf.DUMMYFUNCTION("""COMPUTED_VALUE"""),"05032300158940001")</f>
        <v>05032300158940001</v>
      </c>
      <c r="AQ947" s="83" t="str">
        <f>IFERROR(__xludf.DUMMYFUNCTION("""COMPUTED_VALUE"""),"BRI / 033601002885564 / Bambang lesmana")</f>
        <v>BRI / 033601002885564 / Bambang lesmana</v>
      </c>
      <c r="AR947" s="80"/>
      <c r="AS947" s="80"/>
      <c r="AT947" s="80" t="str">
        <f>IFERROR(__xludf.DUMMYFUNCTION("""COMPUTED_VALUE"""),"3.517499")</f>
        <v>3.517499</v>
      </c>
      <c r="AU947" s="80" t="str">
        <f>IFERROR(__xludf.DUMMYFUNCTION("""COMPUTED_VALUE"""),"98.551075")</f>
        <v>98.551075</v>
      </c>
      <c r="AV947" s="80"/>
      <c r="AW947" s="80"/>
      <c r="AX947" s="80"/>
      <c r="AY947" s="80"/>
      <c r="AZ947" s="80"/>
      <c r="BA947" s="80"/>
      <c r="BB947" s="80"/>
      <c r="BC947" s="80"/>
      <c r="BD947" s="80"/>
      <c r="BE947" s="80"/>
      <c r="BF947" s="80"/>
      <c r="BG947" s="80"/>
      <c r="BH947" s="80"/>
      <c r="BI947" s="80"/>
      <c r="BJ947" s="80"/>
      <c r="BK947" s="80"/>
      <c r="BL947" s="80"/>
      <c r="BM947" s="80"/>
      <c r="BN947" s="80"/>
      <c r="BO947" s="80"/>
      <c r="BP947" s="80"/>
      <c r="BQ947" s="80"/>
      <c r="BR947" s="80"/>
      <c r="BS947" s="80"/>
      <c r="BT947" s="80"/>
      <c r="BU947" s="80"/>
      <c r="BV947" s="80"/>
      <c r="BW947" s="80"/>
      <c r="BX947" s="80"/>
      <c r="BY947" s="80"/>
      <c r="BZ947" s="80"/>
      <c r="CA947" s="80"/>
      <c r="CB947" s="80"/>
      <c r="CC947" s="80"/>
      <c r="CD947" s="80"/>
      <c r="CE947" s="80"/>
      <c r="CF947" s="80"/>
      <c r="CG947" s="80"/>
      <c r="CH947" s="80"/>
      <c r="CI947" s="80"/>
      <c r="CJ947" s="80"/>
      <c r="CK947" s="2"/>
    </row>
    <row r="948" ht="12.75" customHeight="1">
      <c r="A948" s="85">
        <f>IFERROR(__xludf.DUMMYFUNCTION("""COMPUTED_VALUE"""),944.0)</f>
        <v>944</v>
      </c>
      <c r="B948" s="85"/>
      <c r="C948" s="85"/>
      <c r="D948" s="86">
        <f>IFERROR(__xludf.DUMMYFUNCTION("""COMPUTED_VALUE"""),46147.0)</f>
        <v>46147</v>
      </c>
      <c r="E948" s="88"/>
      <c r="F948" s="85"/>
      <c r="G948" s="86">
        <f>IFERROR(__xludf.DUMMYFUNCTION("""COMPUTED_VALUE"""),46160.0)</f>
        <v>46160</v>
      </c>
      <c r="H948" s="85"/>
      <c r="I948" s="85"/>
      <c r="J948" s="85"/>
      <c r="K948" s="85"/>
      <c r="L948" s="85">
        <f>IFERROR(__xludf.DUMMYFUNCTION("""COMPUTED_VALUE"""),13.0)</f>
        <v>13</v>
      </c>
      <c r="M948" s="85" t="str">
        <f>IFERROR(__xludf.DUMMYFUNCTION("""COMPUTED_VALUE"""),"ü")</f>
        <v>ü</v>
      </c>
      <c r="N948" s="85"/>
      <c r="O948" s="85"/>
      <c r="P948" s="85" t="str">
        <f>IFERROR(__xludf.DUMMYFUNCTION("""COMPUTED_VALUE"""),"53BSPA17041JBEEN")</f>
        <v>53BSPA17041JBEEN</v>
      </c>
      <c r="Q948" s="85" t="str">
        <f>IFERROR(__xludf.DUMMYFUNCTION("""COMPUTED_VALUE"""),"MUC PURI KARAWACI")</f>
        <v>MUC PURI KARAWACI</v>
      </c>
      <c r="R948" s="85" t="str">
        <f>IFERROR(__xludf.DUMMYFUNCTION("""COMPUTED_VALUE"""),"MUC PURI KARAWACI")</f>
        <v>MUC PURI KARAWACI</v>
      </c>
      <c r="S948" s="85" t="str">
        <f>IFERROR(__xludf.DUMMYFUNCTION("""COMPUTED_VALUE"""),"MUTMAINNAH")</f>
        <v>MUTMAINNAH</v>
      </c>
      <c r="T948" s="85" t="str">
        <f>IFERROR(__xludf.DUMMYFUNCTION("""COMPUTED_VALUE""")," PERUMAHAN PURI KARAWACI BLOK A.3 NO.2 RT.005 RW.003 BOJONG NANGKA, KELAPA DUA, KAB. TANGERANG BANTEN")</f>
        <v> PERUMAHAN PURI KARAWACI BLOK A.3 NO.2 RT.005 RW.003 BOJONG NANGKA, KELAPA DUA, KAB. TANGERANG BANTEN</v>
      </c>
      <c r="U948" s="85" t="str">
        <f>IFERROR(__xludf.DUMMYFUNCTION("""COMPUTED_VALUE"""),"Jalan diklat pemda, Perumahan puri karawaci, blok A3 No 2")</f>
        <v>Jalan diklat pemda, Perumahan puri karawaci, blok A3 No 2</v>
      </c>
      <c r="V948" s="85" t="str">
        <f>IFERROR(__xludf.DUMMYFUNCTION("""COMPUTED_VALUE"""),"Bojong Nangka")</f>
        <v>Bojong Nangka</v>
      </c>
      <c r="W948" s="85" t="str">
        <f>IFERROR(__xludf.DUMMYFUNCTION("""COMPUTED_VALUE"""),"Bojong Nangka")</f>
        <v>Bojong Nangka</v>
      </c>
      <c r="X948" s="85" t="str">
        <f>IFERROR(__xludf.DUMMYFUNCTION("""COMPUTED_VALUE"""),"Kelapa Dua")</f>
        <v>Kelapa Dua</v>
      </c>
      <c r="Y948" s="85" t="str">
        <f>IFERROR(__xludf.DUMMYFUNCTION("""COMPUTED_VALUE"""),"Kab. Tangerang")</f>
        <v>Kab. Tangerang</v>
      </c>
      <c r="Z948" s="85" t="str">
        <f>IFERROR(__xludf.DUMMYFUNCTION("""COMPUTED_VALUE"""),"Banten")</f>
        <v>Banten</v>
      </c>
      <c r="AA948" s="85" t="str">
        <f>IFERROR(__xludf.DUMMYFUNCTION("""COMPUTED_VALUE"""),"15810")</f>
        <v>15810</v>
      </c>
      <c r="AB948" s="85" t="str">
        <f>IFERROR(__xludf.DUMMYFUNCTION("""COMPUTED_VALUE"""),"3603285109780002")</f>
        <v>3603285109780002</v>
      </c>
      <c r="AC948" s="85" t="str">
        <f>IFERROR(__xludf.DUMMYFUNCTION("""COMPUTED_VALUE"""),"70.739.440.9-451.000")</f>
        <v>70.739.440.9-451.000</v>
      </c>
      <c r="AD948" s="85" t="str">
        <f>IFERROR(__xludf.DUMMYFUNCTION("""COMPUTED_VALUE"""),"CUM - EEN")</f>
        <v>CUM - EEN</v>
      </c>
      <c r="AE948" s="85" t="str">
        <f>IFERROR(__xludf.DUMMYFUNCTION("""COMPUTED_VALUE"""),"CUM - EEN")</f>
        <v>CUM - EEN</v>
      </c>
      <c r="AF948" s="85" t="str">
        <f>IFERROR(__xludf.DUMMYFUNCTION("""COMPUTED_VALUE"""),"082111959039")</f>
        <v>082111959039</v>
      </c>
      <c r="AG948" s="85" t="str">
        <f>IFERROR(__xludf.DUMMYFUNCTION("""COMPUTED_VALUE"""),"082111959039")</f>
        <v>082111959039</v>
      </c>
      <c r="AH948" s="85" t="str">
        <f>IFERROR(__xludf.DUMMYFUNCTION("""COMPUTED_VALUE"""),"muthmainnahneni@gmail.com")</f>
        <v>muthmainnahneni@gmail.com</v>
      </c>
      <c r="AI948" s="85" t="str">
        <f>IFERROR(__xludf.DUMMYFUNCTION("""COMPUTED_VALUE"""),"15833S4")</f>
        <v>15833S4</v>
      </c>
      <c r="AJ948" s="85" t="str">
        <f>IFERROR(__xludf.DUMMYFUNCTION("""COMPUTED_VALUE"""),"6a0abe7a4c5521ea990ae8e5")</f>
        <v>6a0abe7a4c5521ea990ae8e5</v>
      </c>
      <c r="AK948" s="85" t="str">
        <f>IFERROR(__xludf.DUMMYFUNCTION("""COMPUTED_VALUE"""),"muthmainnahneni@gmail.com")</f>
        <v>muthmainnahneni@gmail.com</v>
      </c>
      <c r="AL948" s="85" t="str">
        <f>IFERROR(__xludf.DUMMYFUNCTION("""COMPUTED_VALUE"""),"#Muc15833S4$")</f>
        <v>#Muc15833S4$</v>
      </c>
      <c r="AM948" s="85" t="str">
        <f>IFERROR(__xludf.DUMMYFUNCTION("""COMPUTED_VALUE"""),"KANTOR REGIONAL II JAKARTA 10004")</f>
        <v>KANTOR REGIONAL II JAKARTA 10004</v>
      </c>
      <c r="AN948" s="85" t="str">
        <f>IFERROR(__xludf.DUMMYFUNCTION("""COMPUTED_VALUE"""),"KCU TANGERANG 15000")</f>
        <v>KCU TANGERANG 15000</v>
      </c>
      <c r="AO948" s="85" t="str">
        <f>IFERROR(__xludf.DUMMYFUNCTION("""COMPUTED_VALUE"""),"0505260097476")</f>
        <v>0505260097476</v>
      </c>
      <c r="AP948" s="85" t="str">
        <f>IFERROR(__xludf.DUMMYFUNCTION("""COMPUTED_VALUE"""),"05052600974760001")</f>
        <v>05052600974760001</v>
      </c>
      <c r="AQ948" s="93" t="str">
        <f>IFERROR(__xludf.DUMMYFUNCTION("""COMPUTED_VALUE"""),"Mandiri / 1760007268251 / Mutmainnah")</f>
        <v>Mandiri / 1760007268251 / Mutmainnah</v>
      </c>
      <c r="AR948" s="85"/>
      <c r="AS948" s="85"/>
      <c r="AT948" s="85" t="str">
        <f>IFERROR(__xludf.DUMMYFUNCTION("""COMPUTED_VALUE"""),"-6.263618")</f>
        <v>-6.263618</v>
      </c>
      <c r="AU948" s="85" t="str">
        <f>IFERROR(__xludf.DUMMYFUNCTION("""COMPUTED_VALUE"""),"106.591344")</f>
        <v>106.591344</v>
      </c>
      <c r="AV948" s="85"/>
      <c r="AW948" s="85"/>
      <c r="AX948" s="85"/>
      <c r="AY948" s="85"/>
      <c r="AZ948" s="85"/>
      <c r="BA948" s="85"/>
      <c r="BB948" s="85"/>
      <c r="BC948" s="85"/>
      <c r="BD948" s="85"/>
      <c r="BE948" s="85"/>
      <c r="BF948" s="85"/>
      <c r="BG948" s="85"/>
      <c r="BH948" s="85"/>
      <c r="BI948" s="85"/>
      <c r="BJ948" s="85"/>
      <c r="BK948" s="85"/>
      <c r="BL948" s="85"/>
      <c r="BM948" s="85"/>
      <c r="BN948" s="85"/>
      <c r="BO948" s="85"/>
      <c r="BP948" s="85"/>
      <c r="BQ948" s="85"/>
      <c r="BR948" s="85"/>
      <c r="BS948" s="85"/>
      <c r="BT948" s="85"/>
      <c r="BU948" s="85"/>
      <c r="BV948" s="85"/>
      <c r="BW948" s="85"/>
      <c r="BX948" s="85"/>
      <c r="BY948" s="85"/>
      <c r="BZ948" s="85"/>
      <c r="CA948" s="85"/>
      <c r="CB948" s="85"/>
      <c r="CC948" s="85"/>
      <c r="CD948" s="85"/>
      <c r="CE948" s="85"/>
      <c r="CF948" s="85"/>
      <c r="CG948" s="85"/>
      <c r="CH948" s="85"/>
      <c r="CI948" s="85"/>
      <c r="CJ948" s="85"/>
      <c r="CK948" s="2"/>
    </row>
    <row r="949" ht="12.75" customHeight="1">
      <c r="A949" s="80">
        <f>IFERROR(__xludf.DUMMYFUNCTION("""COMPUTED_VALUE"""),945.0)</f>
        <v>945</v>
      </c>
      <c r="B949" s="80"/>
      <c r="C949" s="80"/>
      <c r="D949" s="81">
        <f>IFERROR(__xludf.DUMMYFUNCTION("""COMPUTED_VALUE"""),46147.0)</f>
        <v>46147</v>
      </c>
      <c r="E949" s="82"/>
      <c r="F949" s="80"/>
      <c r="G949" s="81">
        <f>IFERROR(__xludf.DUMMYFUNCTION("""COMPUTED_VALUE"""),46193.0)</f>
        <v>46193</v>
      </c>
      <c r="H949" s="80"/>
      <c r="I949" s="80"/>
      <c r="J949" s="80"/>
      <c r="K949" s="80"/>
      <c r="L949" s="80">
        <f>IFERROR(__xludf.DUMMYFUNCTION("""COMPUTED_VALUE"""),46.0)</f>
        <v>46</v>
      </c>
      <c r="M949" s="80" t="str">
        <f>IFERROR(__xludf.DUMMYFUNCTION("""COMPUTED_VALUE"""),"ü")</f>
        <v>ü</v>
      </c>
      <c r="N949" s="80"/>
      <c r="O949" s="99"/>
      <c r="P949" s="80" t="str">
        <f>IFERROR(__xludf.DUMMYFUNCTION("""COMPUTED_VALUE"""),"MUCSPA63409PSIND")</f>
        <v>MUCSPA63409PSIND</v>
      </c>
      <c r="Q949" s="80" t="str">
        <f>IFERROR(__xludf.DUMMYFUNCTION("""COMPUTED_VALUE"""),"MUC MERPATI JAYA")</f>
        <v>MUC MERPATI JAYA</v>
      </c>
      <c r="R949" s="80" t="str">
        <f>IFERROR(__xludf.DUMMYFUNCTION("""COMPUTED_VALUE"""),"MUC MERPATI JAYA")</f>
        <v>MUC MERPATI JAYA</v>
      </c>
      <c r="S949" s="80" t="str">
        <f>IFERROR(__xludf.DUMMYFUNCTION("""COMPUTED_VALUE"""),"Natanael Setiawan")</f>
        <v>Natanael Setiawan</v>
      </c>
      <c r="T949" s="80" t="str">
        <f>IFERROR(__xludf.DUMMYFUNCTION("""COMPUTED_VALUE""")," Gg Bader 19b rt.14 rw.03 ds.ngrowo kec./kab. bojonegoro jawa timur")</f>
        <v> Gg Bader 19b rt.14 rw.03 ds.ngrowo kec./kab. bojonegoro jawa timur</v>
      </c>
      <c r="U949" s="80" t="str">
        <f>IFERROR(__xludf.DUMMYFUNCTION("""COMPUTED_VALUE"""),"JL. LETTU SUWOLO NO.59 GG. MODIN RT.17 RW.03")</f>
        <v>JL. LETTU SUWOLO NO.59 GG. MODIN RT.17 RW.03</v>
      </c>
      <c r="V949" s="80" t="str">
        <f>IFERROR(__xludf.DUMMYFUNCTION("""COMPUTED_VALUE"""),"NGROWO")</f>
        <v>NGROWO</v>
      </c>
      <c r="W949" s="80" t="str">
        <f>IFERROR(__xludf.DUMMYFUNCTION("""COMPUTED_VALUE"""),"NGROWO")</f>
        <v>NGROWO</v>
      </c>
      <c r="X949" s="80" t="str">
        <f>IFERROR(__xludf.DUMMYFUNCTION("""COMPUTED_VALUE"""),"BOJONEGORO")</f>
        <v>BOJONEGORO</v>
      </c>
      <c r="Y949" s="80" t="str">
        <f>IFERROR(__xludf.DUMMYFUNCTION("""COMPUTED_VALUE"""),"BOJONEGORO")</f>
        <v>BOJONEGORO</v>
      </c>
      <c r="Z949" s="80" t="str">
        <f>IFERROR(__xludf.DUMMYFUNCTION("""COMPUTED_VALUE"""),"JAWA TIMUR")</f>
        <v>JAWA TIMUR</v>
      </c>
      <c r="AA949" s="80" t="str">
        <f>IFERROR(__xludf.DUMMYFUNCTION("""COMPUTED_VALUE"""),"62116")</f>
        <v>62116</v>
      </c>
      <c r="AB949" s="80" t="str">
        <f>IFERROR(__xludf.DUMMYFUNCTION("""COMPUTED_VALUE"""),"3523040505820008")</f>
        <v>3523040505820008</v>
      </c>
      <c r="AC949" s="80" t="str">
        <f>IFERROR(__xludf.DUMMYFUNCTION("""COMPUTED_VALUE"""),"818585432601000")</f>
        <v>818585432601000</v>
      </c>
      <c r="AD949" s="80" t="str">
        <f>IFERROR(__xludf.DUMMYFUNCTION("""COMPUTED_VALUE"""),"BU RINDA KC BOJONEGORO")</f>
        <v>BU RINDA KC BOJONEGORO</v>
      </c>
      <c r="AE949" s="80" t="str">
        <f>IFERROR(__xludf.DUMMYFUNCTION("""COMPUTED_VALUE"""),"BU RINDA KC BOJONEGORO")</f>
        <v>BU RINDA KC BOJONEGORO</v>
      </c>
      <c r="AF949" s="80" t="str">
        <f>IFERROR(__xludf.DUMMYFUNCTION("""COMPUTED_VALUE"""),"08993754305")</f>
        <v>08993754305</v>
      </c>
      <c r="AG949" s="80" t="str">
        <f>IFERROR(__xludf.DUMMYFUNCTION("""COMPUTED_VALUE"""),"08993754305")</f>
        <v>08993754305</v>
      </c>
      <c r="AH949" s="80" t="str">
        <f>IFERROR(__xludf.DUMMYFUNCTION("""COMPUTED_VALUE"""),"pos.merpatijaya@gmail.com")</f>
        <v>pos.merpatijaya@gmail.com</v>
      </c>
      <c r="AI949" s="80" t="str">
        <f>IFERROR(__xludf.DUMMYFUNCTION("""COMPUTED_VALUE"""),"62116S5")</f>
        <v>62116S5</v>
      </c>
      <c r="AJ949" s="80" t="str">
        <f>IFERROR(__xludf.DUMMYFUNCTION("""COMPUTED_VALUE"""),"6a354238152eba30fe0e50d6")</f>
        <v>6a354238152eba30fe0e50d6</v>
      </c>
      <c r="AK949" s="80" t="str">
        <f>IFERROR(__xludf.DUMMYFUNCTION("""COMPUTED_VALUE"""),"pos.merpatijaya@gmail.com")</f>
        <v>pos.merpatijaya@gmail.com</v>
      </c>
      <c r="AL949" s="80" t="str">
        <f>IFERROR(__xludf.DUMMYFUNCTION("""COMPUTED_VALUE"""),"#Muc62116S5$")</f>
        <v>#Muc62116S5$</v>
      </c>
      <c r="AM949" s="80" t="str">
        <f>IFERROR(__xludf.DUMMYFUNCTION("""COMPUTED_VALUE"""),"KANTOR REGIONAL V SURABAYA 60004")</f>
        <v>KANTOR REGIONAL V SURABAYA 60004</v>
      </c>
      <c r="AN949" s="80" t="str">
        <f>IFERROR(__xludf.DUMMYFUNCTION("""COMPUTED_VALUE"""),"KC BOJONEGORO 62100")</f>
        <v>KC BOJONEGORO 62100</v>
      </c>
      <c r="AO949" s="80" t="str">
        <f>IFERROR(__xludf.DUMMYFUNCTION("""COMPUTED_VALUE"""),"2307220008541")</f>
        <v>2307220008541</v>
      </c>
      <c r="AP949" s="80" t="str">
        <f>IFERROR(__xludf.DUMMYFUNCTION("""COMPUTED_VALUE"""),"23072200085410001")</f>
        <v>23072200085410001</v>
      </c>
      <c r="AQ949" s="83" t="str">
        <f>IFERROR(__xludf.DUMMYFUNCTION("""COMPUTED_VALUE"""),"Mandiri / 1780002906879 / Natanael Setiawan")</f>
        <v>Mandiri / 1780002906879 / Natanael Setiawan</v>
      </c>
      <c r="AR949" s="80"/>
      <c r="AS949" s="80"/>
      <c r="AT949" s="80" t="str">
        <f>IFERROR(__xludf.DUMMYFUNCTION("""COMPUTED_VALUE"""),"-7.148010711942975 ")</f>
        <v>-7.148010711942975 </v>
      </c>
      <c r="AU949" s="80" t="str">
        <f>IFERROR(__xludf.DUMMYFUNCTION("""COMPUTED_VALUE"""),"111.89900882461149")</f>
        <v>111.89900882461149</v>
      </c>
      <c r="AV949" s="80"/>
      <c r="AW949" s="80"/>
      <c r="AX949" s="80"/>
      <c r="AY949" s="80"/>
      <c r="AZ949" s="80"/>
      <c r="BA949" s="80"/>
      <c r="BB949" s="80"/>
      <c r="BC949" s="80"/>
      <c r="BD949" s="80"/>
      <c r="BE949" s="80"/>
      <c r="BF949" s="80"/>
      <c r="BG949" s="80"/>
      <c r="BH949" s="80"/>
      <c r="BI949" s="80"/>
      <c r="BJ949" s="80"/>
      <c r="BK949" s="80"/>
      <c r="BL949" s="80"/>
      <c r="BM949" s="80"/>
      <c r="BN949" s="80"/>
      <c r="BO949" s="80"/>
      <c r="BP949" s="80"/>
      <c r="BQ949" s="80"/>
      <c r="BR949" s="80"/>
      <c r="BS949" s="80"/>
      <c r="BT949" s="80"/>
      <c r="BU949" s="80"/>
      <c r="BV949" s="80"/>
      <c r="BW949" s="80"/>
      <c r="BX949" s="80"/>
      <c r="BY949" s="80"/>
      <c r="BZ949" s="80"/>
      <c r="CA949" s="80"/>
      <c r="CB949" s="80"/>
      <c r="CC949" s="80"/>
      <c r="CD949" s="80"/>
      <c r="CE949" s="80"/>
      <c r="CF949" s="80"/>
      <c r="CG949" s="80"/>
      <c r="CH949" s="80"/>
      <c r="CI949" s="80"/>
      <c r="CJ949" s="80"/>
      <c r="CK949" s="2"/>
    </row>
    <row r="950" ht="12.75" customHeight="1">
      <c r="A950" s="85">
        <f>IFERROR(__xludf.DUMMYFUNCTION("""COMPUTED_VALUE"""),946.0)</f>
        <v>946</v>
      </c>
      <c r="B950" s="85"/>
      <c r="C950" s="85"/>
      <c r="D950" s="86">
        <f>IFERROR(__xludf.DUMMYFUNCTION("""COMPUTED_VALUE"""),46148.0)</f>
        <v>46148</v>
      </c>
      <c r="E950" s="88"/>
      <c r="F950" s="85"/>
      <c r="G950" s="86">
        <f>IFERROR(__xludf.DUMMYFUNCTION("""COMPUTED_VALUE"""),46157.0)</f>
        <v>46157</v>
      </c>
      <c r="H950" s="85"/>
      <c r="I950" s="85"/>
      <c r="J950" s="85"/>
      <c r="K950" s="85"/>
      <c r="L950" s="85">
        <f>IFERROR(__xludf.DUMMYFUNCTION("""COMPUTED_VALUE"""),9.0)</f>
        <v>9</v>
      </c>
      <c r="M950" s="85" t="str">
        <f>IFERROR(__xludf.DUMMYFUNCTION("""COMPUTED_VALUE"""),"ü")</f>
        <v>ü</v>
      </c>
      <c r="N950" s="85"/>
      <c r="O950" s="85"/>
      <c r="P950" s="85" t="str">
        <f>IFERROR(__xludf.DUMMYFUNCTION("""COMPUTED_VALUE"""),"53BSPA09991JBKTK")</f>
        <v>53BSPA09991JBKTK</v>
      </c>
      <c r="Q950" s="85" t="str">
        <f>IFERROR(__xludf.DUMMYFUNCTION("""COMPUTED_VALUE"""),"MUC Alkabsi Ekspedisi")</f>
        <v>MUC Alkabsi Ekspedisi</v>
      </c>
      <c r="R950" s="85" t="str">
        <f>IFERROR(__xludf.DUMMYFUNCTION("""COMPUTED_VALUE"""),"MUC Alkabsi Ekspedisi")</f>
        <v>MUC Alkabsi Ekspedisi</v>
      </c>
      <c r="S950" s="85" t="str">
        <f>IFERROR(__xludf.DUMMYFUNCTION("""COMPUTED_VALUE"""),"SYAHRUDDIN")</f>
        <v>SYAHRUDDIN</v>
      </c>
      <c r="T950" s="85" t="str">
        <f>IFERROR(__xludf.DUMMYFUNCTION("""COMPUTED_VALUE""")," PERUM PURI PAMULANG BLOK D-8 NO.29 RT.002 RW.009, BAMBU APUS, PAMULANG, KOTA TANGERANG SELATAN BANTEN")</f>
        <v> PERUM PURI PAMULANG BLOK D-8 NO.29 RT.002 RW.009, BAMBU APUS, PAMULANG, KOTA TANGERANG SELATAN BANTEN</v>
      </c>
      <c r="U950" s="85" t="str">
        <f>IFERROR(__xludf.DUMMYFUNCTION("""COMPUTED_VALUE"""),"Ruko Puri Pamulang Blok A2 No.7")</f>
        <v>Ruko Puri Pamulang Blok A2 No.7</v>
      </c>
      <c r="V950" s="85" t="str">
        <f>IFERROR(__xludf.DUMMYFUNCTION("""COMPUTED_VALUE"""),"Pamulang Barat")</f>
        <v>Pamulang Barat</v>
      </c>
      <c r="W950" s="85" t="str">
        <f>IFERROR(__xludf.DUMMYFUNCTION("""COMPUTED_VALUE"""),"Pamulang Barat")</f>
        <v>Pamulang Barat</v>
      </c>
      <c r="X950" s="85" t="str">
        <f>IFERROR(__xludf.DUMMYFUNCTION("""COMPUTED_VALUE"""),"Pamulang")</f>
        <v>Pamulang</v>
      </c>
      <c r="Y950" s="85" t="str">
        <f>IFERROR(__xludf.DUMMYFUNCTION("""COMPUTED_VALUE"""),"Kota Tangerang")</f>
        <v>Kota Tangerang</v>
      </c>
      <c r="Z950" s="85" t="str">
        <f>IFERROR(__xludf.DUMMYFUNCTION("""COMPUTED_VALUE"""),"Banten")</f>
        <v>Banten</v>
      </c>
      <c r="AA950" s="85" t="str">
        <f>IFERROR(__xludf.DUMMYFUNCTION("""COMPUTED_VALUE"""),"15417")</f>
        <v>15417</v>
      </c>
      <c r="AB950" s="85" t="str">
        <f>IFERROR(__xludf.DUMMYFUNCTION("""COMPUTED_VALUE"""),"3674061003750018")</f>
        <v>3674061003750018</v>
      </c>
      <c r="AC950" s="85" t="str">
        <f>IFERROR(__xludf.DUMMYFUNCTION("""COMPUTED_VALUE"""),"47.123.720.6-411.000")</f>
        <v>47.123.720.6-411.000</v>
      </c>
      <c r="AD950" s="85" t="str">
        <f>IFERROR(__xludf.DUMMYFUNCTION("""COMPUTED_VALUE"""),"CUM - KTK")</f>
        <v>CUM - KTK</v>
      </c>
      <c r="AE950" s="85" t="str">
        <f>IFERROR(__xludf.DUMMYFUNCTION("""COMPUTED_VALUE"""),"CUM - KTK")</f>
        <v>CUM - KTK</v>
      </c>
      <c r="AF950" s="85" t="str">
        <f>IFERROR(__xludf.DUMMYFUNCTION("""COMPUTED_VALUE"""),"08128828114")</f>
        <v>08128828114</v>
      </c>
      <c r="AG950" s="85" t="str">
        <f>IFERROR(__xludf.DUMMYFUNCTION("""COMPUTED_VALUE"""),"08128828114")</f>
        <v>08128828114</v>
      </c>
      <c r="AH950" s="85" t="str">
        <f>IFERROR(__xludf.DUMMYFUNCTION("""COMPUTED_VALUE"""),"alkabsiutama@gmail.com")</f>
        <v>alkabsiutama@gmail.com</v>
      </c>
      <c r="AI950" s="85"/>
      <c r="AJ950" s="85"/>
      <c r="AK950" s="85"/>
      <c r="AL950" s="85"/>
      <c r="AM950" s="85" t="str">
        <f>IFERROR(__xludf.DUMMYFUNCTION("""COMPUTED_VALUE"""),"KANTOR REGIONAL II JAKARTA 10004")</f>
        <v>KANTOR REGIONAL II JAKARTA 10004</v>
      </c>
      <c r="AN950" s="85" t="str">
        <f>IFERROR(__xludf.DUMMYFUNCTION("""COMPUTED_VALUE"""),"KC TANGERANGSELATAN 15400")</f>
        <v>KC TANGERANGSELATAN 15400</v>
      </c>
      <c r="AO950" s="85" t="str">
        <f>IFERROR(__xludf.DUMMYFUNCTION("""COMPUTED_VALUE"""),"0411250090684")</f>
        <v>0411250090684</v>
      </c>
      <c r="AP950" s="85" t="str">
        <f>IFERROR(__xludf.DUMMYFUNCTION("""COMPUTED_VALUE"""),"04112500906840001")</f>
        <v>04112500906840001</v>
      </c>
      <c r="AQ950" s="93" t="str">
        <f>IFERROR(__xludf.DUMMYFUNCTION("""COMPUTED_VALUE"""),"MANDIRI / 1230005226750 / SYAHRUDDIN")</f>
        <v>MANDIRI / 1230005226750 / SYAHRUDDIN</v>
      </c>
      <c r="AR950" s="85"/>
      <c r="AS950" s="85"/>
      <c r="AT950" s="85" t="str">
        <f>IFERROR(__xludf.DUMMYFUNCTION("""COMPUTED_VALUE"""),"-6.3416496")</f>
        <v>-6.3416496</v>
      </c>
      <c r="AU950" s="85" t="str">
        <f>IFERROR(__xludf.DUMMYFUNCTION("""COMPUTED_VALUE"""),"106.7210068")</f>
        <v>106.7210068</v>
      </c>
      <c r="AV950" s="85"/>
      <c r="AW950" s="85"/>
      <c r="AX950" s="85"/>
      <c r="AY950" s="85"/>
      <c r="AZ950" s="85"/>
      <c r="BA950" s="85"/>
      <c r="BB950" s="85"/>
      <c r="BC950" s="85"/>
      <c r="BD950" s="85"/>
      <c r="BE950" s="85"/>
      <c r="BF950" s="85"/>
      <c r="BG950" s="85"/>
      <c r="BH950" s="85"/>
      <c r="BI950" s="85"/>
      <c r="BJ950" s="85"/>
      <c r="BK950" s="85"/>
      <c r="BL950" s="85"/>
      <c r="BM950" s="85"/>
      <c r="BN950" s="85"/>
      <c r="BO950" s="85"/>
      <c r="BP950" s="85"/>
      <c r="BQ950" s="85"/>
      <c r="BR950" s="85"/>
      <c r="BS950" s="85"/>
      <c r="BT950" s="85"/>
      <c r="BU950" s="85"/>
      <c r="BV950" s="85"/>
      <c r="BW950" s="85"/>
      <c r="BX950" s="85"/>
      <c r="BY950" s="85"/>
      <c r="BZ950" s="85"/>
      <c r="CA950" s="85"/>
      <c r="CB950" s="85"/>
      <c r="CC950" s="85"/>
      <c r="CD950" s="85"/>
      <c r="CE950" s="85"/>
      <c r="CF950" s="85"/>
      <c r="CG950" s="85"/>
      <c r="CH950" s="85"/>
      <c r="CI950" s="85"/>
      <c r="CJ950" s="85"/>
      <c r="CK950" s="2"/>
    </row>
    <row r="951" ht="12.75" customHeight="1">
      <c r="A951" s="80">
        <f>IFERROR(__xludf.DUMMYFUNCTION("""COMPUTED_VALUE"""),947.0)</f>
        <v>947</v>
      </c>
      <c r="B951" s="80"/>
      <c r="C951" s="80"/>
      <c r="D951" s="81">
        <f>IFERROR(__xludf.DUMMYFUNCTION("""COMPUTED_VALUE"""),46148.0)</f>
        <v>46148</v>
      </c>
      <c r="E951" s="82"/>
      <c r="F951" s="80"/>
      <c r="G951" s="81">
        <f>IFERROR(__xludf.DUMMYFUNCTION("""COMPUTED_VALUE"""),46163.0)</f>
        <v>46163</v>
      </c>
      <c r="H951" s="80"/>
      <c r="I951" s="80"/>
      <c r="J951" s="80"/>
      <c r="K951" s="80"/>
      <c r="L951" s="80">
        <f>IFERROR(__xludf.DUMMYFUNCTION("""COMPUTED_VALUE"""),15.0)</f>
        <v>15</v>
      </c>
      <c r="M951" s="80" t="str">
        <f>IFERROR(__xludf.DUMMYFUNCTION("""COMPUTED_VALUE"""),"ü")</f>
        <v>ü</v>
      </c>
      <c r="N951" s="80"/>
      <c r="O951" s="80"/>
      <c r="P951" s="80" t="str">
        <f>IFERROR(__xludf.DUMMYFUNCTION("""COMPUTED_VALUE"""),"MUCSPA63411PSIND")</f>
        <v>MUCSPA63411PSIND</v>
      </c>
      <c r="Q951" s="80" t="str">
        <f>IFERROR(__xludf.DUMMYFUNCTION("""COMPUTED_VALUE"""),"MUC KEBALEN")</f>
        <v>MUC KEBALEN</v>
      </c>
      <c r="R951" s="80" t="str">
        <f>IFERROR(__xludf.DUMMYFUNCTION("""COMPUTED_VALUE"""),"MUC KEBALEN")</f>
        <v>MUC KEBALEN</v>
      </c>
      <c r="S951" s="80" t="str">
        <f>IFERROR(__xludf.DUMMYFUNCTION("""COMPUTED_VALUE"""),"M. TAUFIK HIDAYAT")</f>
        <v>M. TAUFIK HIDAYAT</v>
      </c>
      <c r="T951" s="80" t="str">
        <f>IFERROR(__xludf.DUMMYFUNCTION("""COMPUTED_VALUE"""),"BABELAN INDAH BLOK C 722 RT.005 RW.010, KEBALEN, BABELAN, KAB. BEKASI JAWA BARAT")</f>
        <v>BABELAN INDAH BLOK C 722 RT.005 RW.010, KEBALEN, BABELAN, KAB. BEKASI JAWA BARAT</v>
      </c>
      <c r="U951" s="80" t="str">
        <f>IFERROR(__xludf.DUMMYFUNCTION("""COMPUTED_VALUE"""),"JL RAYA BABELAN RT.02 RW.02 NO.46")</f>
        <v>JL RAYA BABELAN RT.02 RW.02 NO.46</v>
      </c>
      <c r="V951" s="80" t="str">
        <f>IFERROR(__xludf.DUMMYFUNCTION("""COMPUTED_VALUE"""),"RT.005 \ RW.010")</f>
        <v>RT.005 \ RW.010</v>
      </c>
      <c r="W951" s="80" t="str">
        <f>IFERROR(__xludf.DUMMYFUNCTION("""COMPUTED_VALUE"""),"KEBALEN")</f>
        <v>KEBALEN</v>
      </c>
      <c r="X951" s="80" t="str">
        <f>IFERROR(__xludf.DUMMYFUNCTION("""COMPUTED_VALUE"""),"BABELAN")</f>
        <v>BABELAN</v>
      </c>
      <c r="Y951" s="80" t="str">
        <f>IFERROR(__xludf.DUMMYFUNCTION("""COMPUTED_VALUE"""),"BEKASI")</f>
        <v>BEKASI</v>
      </c>
      <c r="Z951" s="80" t="str">
        <f>IFERROR(__xludf.DUMMYFUNCTION("""COMPUTED_VALUE"""),"JAWA BARAT")</f>
        <v>JAWA BARAT</v>
      </c>
      <c r="AA951" s="80" t="str">
        <f>IFERROR(__xludf.DUMMYFUNCTION("""COMPUTED_VALUE"""),"17610")</f>
        <v>17610</v>
      </c>
      <c r="AB951" s="80" t="str">
        <f>IFERROR(__xludf.DUMMYFUNCTION("""COMPUTED_VALUE"""),"3216020608660008")</f>
        <v>3216020608660008</v>
      </c>
      <c r="AC951" s="80" t="str">
        <f>IFERROR(__xludf.DUMMYFUNCTION("""COMPUTED_VALUE"""),"73.288.869.8-435.000")</f>
        <v>73.288.869.8-435.000</v>
      </c>
      <c r="AD951" s="80" t="str">
        <f>IFERROR(__xludf.DUMMYFUNCTION("""COMPUTED_VALUE"""),"CUM - PS - AYS")</f>
        <v>CUM - PS - AYS</v>
      </c>
      <c r="AE951" s="80" t="str">
        <f>IFERROR(__xludf.DUMMYFUNCTION("""COMPUTED_VALUE"""),"CUM - PS - AYS")</f>
        <v>CUM - PS - AYS</v>
      </c>
      <c r="AF951" s="80" t="str">
        <f>IFERROR(__xludf.DUMMYFUNCTION("""COMPUTED_VALUE"""),"085711891472")</f>
        <v>085711891472</v>
      </c>
      <c r="AG951" s="80" t="str">
        <f>IFERROR(__xludf.DUMMYFUNCTION("""COMPUTED_VALUE"""),"085711891472")</f>
        <v>085711891472</v>
      </c>
      <c r="AH951" s="80" t="str">
        <f>IFERROR(__xludf.DUMMYFUNCTION("""COMPUTED_VALUE"""),"tokobetawi49@gmail.com")</f>
        <v>tokobetawi49@gmail.com</v>
      </c>
      <c r="AI951" s="80" t="str">
        <f>IFERROR(__xludf.DUMMYFUNCTION("""COMPUTED_VALUE"""),"17613S3")</f>
        <v>17613S3</v>
      </c>
      <c r="AJ951" s="80" t="str">
        <f>IFERROR(__xludf.DUMMYFUNCTION("""COMPUTED_VALUE"""),"6a0ed283f3b12528ab038663")</f>
        <v>6a0ed283f3b12528ab038663</v>
      </c>
      <c r="AK951" s="80" t="str">
        <f>IFERROR(__xludf.DUMMYFUNCTION("""COMPUTED_VALUE"""),"tokobetawi49@gmail.com")</f>
        <v>tokobetawi49@gmail.com</v>
      </c>
      <c r="AL951" s="80" t="str">
        <f>IFERROR(__xludf.DUMMYFUNCTION("""COMPUTED_VALUE"""),"#Muc17613S3$")</f>
        <v>#Muc17613S3$</v>
      </c>
      <c r="AM951" s="80" t="str">
        <f>IFERROR(__xludf.DUMMYFUNCTION("""COMPUTED_VALUE"""),"KANTOR REGIONAL II JAKARTA 10004")</f>
        <v>KANTOR REGIONAL II JAKARTA 10004</v>
      </c>
      <c r="AN951" s="80" t="str">
        <f>IFERROR(__xludf.DUMMYFUNCTION("""COMPUTED_VALUE"""),"KCU BEKASI 17000")</f>
        <v>KCU BEKASI 17000</v>
      </c>
      <c r="AO951" s="80" t="str">
        <f>IFERROR(__xludf.DUMMYFUNCTION("""COMPUTED_VALUE"""),"0605260063635")</f>
        <v>0605260063635</v>
      </c>
      <c r="AP951" s="80" t="str">
        <f>IFERROR(__xludf.DUMMYFUNCTION("""COMPUTED_VALUE"""),"06052600636350001")</f>
        <v>06052600636350001</v>
      </c>
      <c r="AQ951" s="83" t="str">
        <f>IFERROR(__xludf.DUMMYFUNCTION("""COMPUTED_VALUE"""),"7410385494")</f>
        <v>7410385494</v>
      </c>
      <c r="AR951" s="80" t="str">
        <f>IFERROR(__xludf.DUMMYFUNCTION("""COMPUTED_VALUE"""),"BCA")</f>
        <v>BCA</v>
      </c>
      <c r="AS951" s="80" t="str">
        <f>IFERROR(__xludf.DUMMYFUNCTION("""COMPUTED_VALUE"""),"M TAUFIK HIDAYAT")</f>
        <v>M TAUFIK HIDAYAT</v>
      </c>
      <c r="AT951" s="80" t="str">
        <f>IFERROR(__xludf.DUMMYFUNCTION("""COMPUTED_VALUE"""),"-6,183,620")</f>
        <v>-6,183,620</v>
      </c>
      <c r="AU951" s="80" t="str">
        <f>IFERROR(__xludf.DUMMYFUNCTION("""COMPUTED_VALUE"""),"107,039,246")</f>
        <v>107,039,246</v>
      </c>
      <c r="AV951" s="80"/>
      <c r="AW951" s="80"/>
      <c r="AX951" s="80"/>
      <c r="AY951" s="80"/>
      <c r="AZ951" s="80"/>
      <c r="BA951" s="80"/>
      <c r="BB951" s="80"/>
      <c r="BC951" s="80"/>
      <c r="BD951" s="80"/>
      <c r="BE951" s="80"/>
      <c r="BF951" s="80"/>
      <c r="BG951" s="80"/>
      <c r="BH951" s="80"/>
      <c r="BI951" s="80"/>
      <c r="BJ951" s="80"/>
      <c r="BK951" s="80"/>
      <c r="BL951" s="80"/>
      <c r="BM951" s="80"/>
      <c r="BN951" s="80"/>
      <c r="BO951" s="80"/>
      <c r="BP951" s="80"/>
      <c r="BQ951" s="80"/>
      <c r="BR951" s="80"/>
      <c r="BS951" s="80"/>
      <c r="BT951" s="80"/>
      <c r="BU951" s="80"/>
      <c r="BV951" s="80"/>
      <c r="BW951" s="80"/>
      <c r="BX951" s="80"/>
      <c r="BY951" s="80"/>
      <c r="BZ951" s="80"/>
      <c r="CA951" s="80"/>
      <c r="CB951" s="80"/>
      <c r="CC951" s="80"/>
      <c r="CD951" s="80"/>
      <c r="CE951" s="80"/>
      <c r="CF951" s="80"/>
      <c r="CG951" s="80"/>
      <c r="CH951" s="80"/>
      <c r="CI951" s="80"/>
      <c r="CJ951" s="80"/>
      <c r="CK951" s="2"/>
    </row>
    <row r="952" ht="12.75" customHeight="1">
      <c r="A952" s="85">
        <f>IFERROR(__xludf.DUMMYFUNCTION("""COMPUTED_VALUE"""),948.0)</f>
        <v>948</v>
      </c>
      <c r="B952" s="85"/>
      <c r="C952" s="85"/>
      <c r="D952" s="86">
        <f>IFERROR(__xludf.DUMMYFUNCTION("""COMPUTED_VALUE"""),46148.0)</f>
        <v>46148</v>
      </c>
      <c r="E952" s="88"/>
      <c r="F952" s="85"/>
      <c r="G952" s="86">
        <f>IFERROR(__xludf.DUMMYFUNCTION("""COMPUTED_VALUE"""),46168.0)</f>
        <v>46168</v>
      </c>
      <c r="H952" s="85"/>
      <c r="I952" s="85"/>
      <c r="J952" s="85"/>
      <c r="K952" s="85"/>
      <c r="L952" s="85">
        <f>IFERROR(__xludf.DUMMYFUNCTION("""COMPUTED_VALUE"""),20.0)</f>
        <v>20</v>
      </c>
      <c r="M952" s="85" t="str">
        <f>IFERROR(__xludf.DUMMYFUNCTION("""COMPUTED_VALUE"""),"ü")</f>
        <v>ü</v>
      </c>
      <c r="N952" s="85"/>
      <c r="O952" s="85"/>
      <c r="P952" s="85" t="str">
        <f>IFERROR(__xludf.DUMMYFUNCTION("""COMPUTED_VALUE"""),"MUCSPA63410PSIND")</f>
        <v>MUCSPA63410PSIND</v>
      </c>
      <c r="Q952" s="85" t="str">
        <f>IFERROR(__xludf.DUMMYFUNCTION("""COMPUTED_VALUE"""),"MUC CILEDUG INDAH2")</f>
        <v>MUC CILEDUG INDAH2</v>
      </c>
      <c r="R952" s="85" t="str">
        <f>IFERROR(__xludf.DUMMYFUNCTION("""COMPUTED_VALUE"""),"MUC CILEDUG INDAH2")</f>
        <v>MUC CILEDUG INDAH2</v>
      </c>
      <c r="S952" s="85" t="str">
        <f>IFERROR(__xludf.DUMMYFUNCTION("""COMPUTED_VALUE"""),"MARKUS HARTOMO")</f>
        <v>MARKUS HARTOMO</v>
      </c>
      <c r="T952" s="85" t="str">
        <f>IFERROR(__xludf.DUMMYFUNCTION("""COMPUTED_VALUE"""),"CILEDUG INDAH II DB 10A/6 RT.009 RW.009, PEDURENAN, KARANG TENGAH, KOTA TANGERANG, BANTEN")</f>
        <v>CILEDUG INDAH II DB 10A/6 RT.009 RW.009, PEDURENAN, KARANG TENGAH, KOTA TANGERANG, BANTEN</v>
      </c>
      <c r="U952" s="85" t="str">
        <f>IFERROR(__xludf.DUMMYFUNCTION("""COMPUTED_VALUE"""),"Perum Ciledug Indah 2 JL Utama Perum Ciledug Indah 2 Kios No 26C Samping Gapura Garuda 2 RT 3/9")</f>
        <v>Perum Ciledug Indah 2 JL Utama Perum Ciledug Indah 2 Kios No 26C Samping Gapura Garuda 2 RT 3/9</v>
      </c>
      <c r="V952" s="85" t="str">
        <f>IFERROR(__xludf.DUMMYFUNCTION("""COMPUTED_VALUE"""),"Pedurenan")</f>
        <v>Pedurenan</v>
      </c>
      <c r="W952" s="85" t="str">
        <f>IFERROR(__xludf.DUMMYFUNCTION("""COMPUTED_VALUE"""),"Karang Tengah")</f>
        <v>Karang Tengah</v>
      </c>
      <c r="X952" s="85" t="str">
        <f>IFERROR(__xludf.DUMMYFUNCTION("""COMPUTED_VALUE"""),"Tangerang")</f>
        <v>Tangerang</v>
      </c>
      <c r="Y952" s="85" t="str">
        <f>IFERROR(__xludf.DUMMYFUNCTION("""COMPUTED_VALUE"""),"Banten")</f>
        <v>Banten</v>
      </c>
      <c r="Z952" s="85" t="str">
        <f>IFERROR(__xludf.DUMMYFUNCTION("""COMPUTED_VALUE"""),"Banten")</f>
        <v>Banten</v>
      </c>
      <c r="AA952" s="85" t="str">
        <f>IFERROR(__xludf.DUMMYFUNCTION("""COMPUTED_VALUE"""),"15159")</f>
        <v>15159</v>
      </c>
      <c r="AB952" s="85" t="str">
        <f>IFERROR(__xludf.DUMMYFUNCTION("""COMPUTED_VALUE"""),"3671120603870006")</f>
        <v>3671120603870006</v>
      </c>
      <c r="AC952" s="85" t="str">
        <f>IFERROR(__xludf.DUMMYFUNCTION("""COMPUTED_VALUE"""),"24.920.064.3-416.000")</f>
        <v>24.920.064.3-416.000</v>
      </c>
      <c r="AD952" s="85" t="str">
        <f>IFERROR(__xludf.DUMMYFUNCTION("""COMPUTED_VALUE"""),"CUM - PS - DWIH")</f>
        <v>CUM - PS - DWIH</v>
      </c>
      <c r="AE952" s="85" t="str">
        <f>IFERROR(__xludf.DUMMYFUNCTION("""COMPUTED_VALUE"""),"SUB DWI POS")</f>
        <v>SUB DWI POS</v>
      </c>
      <c r="AF952" s="85" t="str">
        <f>IFERROR(__xludf.DUMMYFUNCTION("""COMPUTED_VALUE"""),"085102257833")</f>
        <v>085102257833</v>
      </c>
      <c r="AG952" s="85" t="str">
        <f>IFERROR(__xludf.DUMMYFUNCTION("""COMPUTED_VALUE"""),"085102257833")</f>
        <v>085102257833</v>
      </c>
      <c r="AH952" s="85" t="str">
        <f>IFERROR(__xludf.DUMMYFUNCTION("""COMPUTED_VALUE"""),"markus.hartomo@gmail.com")</f>
        <v>markus.hartomo@gmail.com</v>
      </c>
      <c r="AI952" s="85" t="str">
        <f>IFERROR(__xludf.DUMMYFUNCTION("""COMPUTED_VALUE"""),"15158S3")</f>
        <v>15158S3</v>
      </c>
      <c r="AJ952" s="85" t="str">
        <f>IFERROR(__xludf.DUMMYFUNCTION("""COMPUTED_VALUE"""),"6a15496539e8bca6280b6bcf")</f>
        <v>6a15496539e8bca6280b6bcf</v>
      </c>
      <c r="AK952" s="85" t="str">
        <f>IFERROR(__xludf.DUMMYFUNCTION("""COMPUTED_VALUE"""),"markus.hartomo@gmail.com")</f>
        <v>markus.hartomo@gmail.com</v>
      </c>
      <c r="AL952" s="85" t="str">
        <f>IFERROR(__xludf.DUMMYFUNCTION("""COMPUTED_VALUE"""),"#Muc15158S3$")</f>
        <v>#Muc15158S3$</v>
      </c>
      <c r="AM952" s="85" t="str">
        <f>IFERROR(__xludf.DUMMYFUNCTION("""COMPUTED_VALUE"""),"KANTOR REGIONAL II JAKARTA 10004")</f>
        <v>KANTOR REGIONAL II JAKARTA 10004</v>
      </c>
      <c r="AN952" s="85" t="str">
        <f>IFERROR(__xludf.DUMMYFUNCTION("""COMPUTED_VALUE"""),"KCU TANGERANG 15000")</f>
        <v>KCU TANGERANG 15000</v>
      </c>
      <c r="AO952" s="85"/>
      <c r="AP952" s="85"/>
      <c r="AQ952" s="93" t="str">
        <f>IFERROR(__xludf.DUMMYFUNCTION("""COMPUTED_VALUE"""),"BCA / 3451801943 / MARKUS HARTOMO")</f>
        <v>BCA / 3451801943 / MARKUS HARTOMO</v>
      </c>
      <c r="AR952" s="85"/>
      <c r="AS952" s="85"/>
      <c r="AT952" s="85" t="str">
        <f>IFERROR(__xludf.DUMMYFUNCTION("""COMPUTED_VALUE"""),"-6.2120507")</f>
        <v>-6.2120507</v>
      </c>
      <c r="AU952" s="85" t="str">
        <f>IFERROR(__xludf.DUMMYFUNCTION("""COMPUTED_VALUE"""),"1,066,930,661")</f>
        <v>1,066,930,661</v>
      </c>
      <c r="AV952" s="85"/>
      <c r="AW952" s="85"/>
      <c r="AX952" s="85"/>
      <c r="AY952" s="85"/>
      <c r="AZ952" s="85"/>
      <c r="BA952" s="85"/>
      <c r="BB952" s="85"/>
      <c r="BC952" s="85"/>
      <c r="BD952" s="85"/>
      <c r="BE952" s="85"/>
      <c r="BF952" s="85"/>
      <c r="BG952" s="85"/>
      <c r="BH952" s="85"/>
      <c r="BI952" s="85"/>
      <c r="BJ952" s="85"/>
      <c r="BK952" s="85"/>
      <c r="BL952" s="85"/>
      <c r="BM952" s="85"/>
      <c r="BN952" s="85"/>
      <c r="BO952" s="85"/>
      <c r="BP952" s="85"/>
      <c r="BQ952" s="85"/>
      <c r="BR952" s="85"/>
      <c r="BS952" s="85"/>
      <c r="BT952" s="85"/>
      <c r="BU952" s="85"/>
      <c r="BV952" s="85"/>
      <c r="BW952" s="85"/>
      <c r="BX952" s="85"/>
      <c r="BY952" s="85"/>
      <c r="BZ952" s="85"/>
      <c r="CA952" s="85"/>
      <c r="CB952" s="85"/>
      <c r="CC952" s="85"/>
      <c r="CD952" s="85"/>
      <c r="CE952" s="85"/>
      <c r="CF952" s="85"/>
      <c r="CG952" s="85"/>
      <c r="CH952" s="85"/>
      <c r="CI952" s="85"/>
      <c r="CJ952" s="85"/>
      <c r="CK952" s="2"/>
    </row>
    <row r="953" ht="12.75" customHeight="1">
      <c r="A953" s="80">
        <f>IFERROR(__xludf.DUMMYFUNCTION("""COMPUTED_VALUE"""),949.0)</f>
        <v>949</v>
      </c>
      <c r="B953" s="80"/>
      <c r="C953" s="80"/>
      <c r="D953" s="81">
        <f>IFERROR(__xludf.DUMMYFUNCTION("""COMPUTED_VALUE"""),46148.0)</f>
        <v>46148</v>
      </c>
      <c r="E953" s="82"/>
      <c r="F953" s="80"/>
      <c r="G953" s="81"/>
      <c r="H953" s="80"/>
      <c r="I953" s="80"/>
      <c r="J953" s="80"/>
      <c r="K953" s="80"/>
      <c r="L953" s="80"/>
      <c r="M953" s="80"/>
      <c r="N953" s="80" t="str">
        <f>IFERROR(__xludf.DUMMYFUNCTION("""COMPUTED_VALUE"""),"ü")</f>
        <v>ü</v>
      </c>
      <c r="O953" s="80"/>
      <c r="P953" s="80" t="str">
        <f>IFERROR(__xludf.DUMMYFUNCTION("""COMPUTED_VALUE"""),"MUCSPA63412PSIND")</f>
        <v>MUCSPA63412PSIND</v>
      </c>
      <c r="Q953" s="80" t="str">
        <f>IFERROR(__xludf.DUMMYFUNCTION("""COMPUTED_VALUE"""),"MUC Solusi Jasa Kirim")</f>
        <v>MUC Solusi Jasa Kirim</v>
      </c>
      <c r="R953" s="80" t="str">
        <f>IFERROR(__xludf.DUMMYFUNCTION("""COMPUTED_VALUE"""),"MUC Solusi Jasa Kirim")</f>
        <v>MUC Solusi Jasa Kirim</v>
      </c>
      <c r="S953" s="80" t="str">
        <f>IFERROR(__xludf.DUMMYFUNCTION("""COMPUTED_VALUE"""),"MEYLINDA RIZKY DAMAYANTI")</f>
        <v>MEYLINDA RIZKY DAMAYANTI</v>
      </c>
      <c r="T953" s="80" t="str">
        <f>IFERROR(__xludf.DUMMYFUNCTION("""COMPUTED_VALUE"""),"NGENTAK RT3RW5 BULAKREJO SUKOHARJO, KAB. SUKOHARJO, JAWA TENGAH")</f>
        <v>NGENTAK RT3RW5 BULAKREJO SUKOHARJO, KAB. SUKOHARJO, JAWA TENGAH</v>
      </c>
      <c r="U953" s="80" t="str">
        <f>IFERROR(__xludf.DUMMYFUNCTION("""COMPUTED_VALUE"""),"DUSUN PEPE RT1RW3 LANGENHARJO, GROGOL, SUKOHARJO")</f>
        <v>DUSUN PEPE RT1RW3 LANGENHARJO, GROGOL, SUKOHARJO</v>
      </c>
      <c r="V953" s="80" t="str">
        <f>IFERROR(__xludf.DUMMYFUNCTION("""COMPUTED_VALUE""")," LANGENHARJO")</f>
        <v> LANGENHARJO</v>
      </c>
      <c r="W953" s="80" t="str">
        <f>IFERROR(__xludf.DUMMYFUNCTION("""COMPUTED_VALUE"""),"GROGOL")</f>
        <v>GROGOL</v>
      </c>
      <c r="X953" s="80" t="str">
        <f>IFERROR(__xludf.DUMMYFUNCTION("""COMPUTED_VALUE"""),"SUKOHARJO")</f>
        <v>SUKOHARJO</v>
      </c>
      <c r="Y953" s="80" t="str">
        <f>IFERROR(__xludf.DUMMYFUNCTION("""COMPUTED_VALUE"""),"JAWA TENGAH")</f>
        <v>JAWA TENGAH</v>
      </c>
      <c r="Z953" s="80" t="str">
        <f>IFERROR(__xludf.DUMMYFUNCTION("""COMPUTED_VALUE"""),"JAWA TENGAH")</f>
        <v>JAWA TENGAH</v>
      </c>
      <c r="AA953" s="80" t="str">
        <f>IFERROR(__xludf.DUMMYFUNCTION("""COMPUTED_VALUE"""),"57552")</f>
        <v>57552</v>
      </c>
      <c r="AB953" s="80" t="str">
        <f>IFERROR(__xludf.DUMMYFUNCTION("""COMPUTED_VALUE"""),"3311045705970004")</f>
        <v>3311045705970004</v>
      </c>
      <c r="AC953" s="80" t="str">
        <f>IFERROR(__xludf.DUMMYFUNCTION("""COMPUTED_VALUE"""),"86.147.014.4-532.000")</f>
        <v>86.147.014.4-532.000</v>
      </c>
      <c r="AD953" s="80" t="str">
        <f>IFERROR(__xludf.DUMMYFUNCTION("""COMPUTED_VALUE"""),"CUM - PS - TSHI")</f>
        <v>CUM - PS - TSHI</v>
      </c>
      <c r="AE953" s="80" t="str">
        <f>IFERROR(__xludf.DUMMYFUNCTION("""COMPUTED_VALUE"""),"SUB TRI SEPTI HANDAYANI POS")</f>
        <v>SUB TRI SEPTI HANDAYANI POS</v>
      </c>
      <c r="AF953" s="80" t="str">
        <f>IFERROR(__xludf.DUMMYFUNCTION("""COMPUTED_VALUE"""),"085721760211")</f>
        <v>085721760211</v>
      </c>
      <c r="AG953" s="80" t="str">
        <f>IFERROR(__xludf.DUMMYFUNCTION("""COMPUTED_VALUE"""),"085721760211")</f>
        <v>085721760211</v>
      </c>
      <c r="AH953" s="80" t="str">
        <f>IFERROR(__xludf.DUMMYFUNCTION("""COMPUTED_VALUE"""),"meylindarisky651@gmail.com")</f>
        <v>meylindarisky651@gmail.com</v>
      </c>
      <c r="AI953" s="80"/>
      <c r="AJ953" s="80"/>
      <c r="AK953" s="80"/>
      <c r="AL953" s="80"/>
      <c r="AM953" s="80"/>
      <c r="AN953" s="80"/>
      <c r="AO953" s="80" t="str">
        <f>IFERROR(__xludf.DUMMYFUNCTION("""COMPUTED_VALUE"""),"-")</f>
        <v>-</v>
      </c>
      <c r="AP953" s="80" t="str">
        <f>IFERROR(__xludf.DUMMYFUNCTION("""COMPUTED_VALUE"""),"-")</f>
        <v>-</v>
      </c>
      <c r="AQ953" s="83" t="str">
        <f>IFERROR(__xludf.DUMMYFUNCTION("""COMPUTED_VALUE"""),"BRI / 359301038999538 / MEYLINDA RIZKI DAMAYANTI")</f>
        <v>BRI / 359301038999538 / MEYLINDA RIZKI DAMAYANTI</v>
      </c>
      <c r="AR953" s="80"/>
      <c r="AS953" s="80"/>
      <c r="AT953" s="80" t="str">
        <f>IFERROR(__xludf.DUMMYFUNCTION("""COMPUTED_VALUE"""),"-7.618922")</f>
        <v>-7.618922</v>
      </c>
      <c r="AU953" s="80" t="str">
        <f>IFERROR(__xludf.DUMMYFUNCTION("""COMPUTED_VALUE"""),"110.806595")</f>
        <v>110.806595</v>
      </c>
      <c r="AV953" s="80"/>
      <c r="AW953" s="80"/>
      <c r="AX953" s="80"/>
      <c r="AY953" s="80"/>
      <c r="AZ953" s="80"/>
      <c r="BA953" s="80"/>
      <c r="BB953" s="80"/>
      <c r="BC953" s="80"/>
      <c r="BD953" s="80"/>
      <c r="BE953" s="80"/>
      <c r="BF953" s="80"/>
      <c r="BG953" s="80"/>
      <c r="BH953" s="80"/>
      <c r="BI953" s="80"/>
      <c r="BJ953" s="80"/>
      <c r="BK953" s="80"/>
      <c r="BL953" s="80"/>
      <c r="BM953" s="80"/>
      <c r="BN953" s="80"/>
      <c r="BO953" s="80"/>
      <c r="BP953" s="80"/>
      <c r="BQ953" s="80"/>
      <c r="BR953" s="80"/>
      <c r="BS953" s="80"/>
      <c r="BT953" s="80"/>
      <c r="BU953" s="80"/>
      <c r="BV953" s="80"/>
      <c r="BW953" s="80"/>
      <c r="BX953" s="80"/>
      <c r="BY953" s="80"/>
      <c r="BZ953" s="80"/>
      <c r="CA953" s="80"/>
      <c r="CB953" s="80"/>
      <c r="CC953" s="80"/>
      <c r="CD953" s="80"/>
      <c r="CE953" s="80"/>
      <c r="CF953" s="80"/>
      <c r="CG953" s="80"/>
      <c r="CH953" s="80"/>
      <c r="CI953" s="80"/>
      <c r="CJ953" s="80"/>
      <c r="CK953" s="2"/>
    </row>
    <row r="954" ht="12.75" customHeight="1">
      <c r="A954" s="85">
        <f>IFERROR(__xludf.DUMMYFUNCTION("""COMPUTED_VALUE"""),950.0)</f>
        <v>950</v>
      </c>
      <c r="B954" s="85"/>
      <c r="C954" s="85"/>
      <c r="D954" s="86">
        <f>IFERROR(__xludf.DUMMYFUNCTION("""COMPUTED_VALUE"""),46148.0)</f>
        <v>46148</v>
      </c>
      <c r="E954" s="88"/>
      <c r="F954" s="85"/>
      <c r="G954" s="86"/>
      <c r="H954" s="85"/>
      <c r="I954" s="85"/>
      <c r="J954" s="85"/>
      <c r="K954" s="85"/>
      <c r="L954" s="85"/>
      <c r="M954" s="85" t="str">
        <f>IFERROR(__xludf.DUMMYFUNCTION("""COMPUTED_VALUE"""),"ü")</f>
        <v>ü</v>
      </c>
      <c r="N954" s="85"/>
      <c r="O954" s="85"/>
      <c r="P954" s="85" t="str">
        <f>IFERROR(__xludf.DUMMYFUNCTION("""COMPUTED_VALUE"""),"MUCSPA63413PSIND")</f>
        <v>MUCSPA63413PSIND</v>
      </c>
      <c r="Q954" s="85" t="str">
        <f>IFERROR(__xludf.DUMMYFUNCTION("""COMPUTED_VALUE"""),"MUC JAYA LESTARI")</f>
        <v>MUC JAYA LESTARI</v>
      </c>
      <c r="R954" s="85" t="str">
        <f>IFERROR(__xludf.DUMMYFUNCTION("""COMPUTED_VALUE"""),"MUC JAYA LESTARI")</f>
        <v>MUC JAYA LESTARI</v>
      </c>
      <c r="S954" s="85" t="str">
        <f>IFERROR(__xludf.DUMMYFUNCTION("""COMPUTED_VALUE"""),"BUDHI SANTOSO")</f>
        <v>BUDHI SANTOSO</v>
      </c>
      <c r="T954" s="85" t="str">
        <f>IFERROR(__xludf.DUMMYFUNCTION("""COMPUTED_VALUE""")," JL. IMAM BONJOL NO 054 B RT.001 RW.004 AIR PAOH, BATURAJA TIMUR, KAB. OGAN KOMERING ULU, SUMATERA SELATAN")</f>
        <v> JL. IMAM BONJOL NO 054 B RT.001 RW.004 AIR PAOH, BATURAJA TIMUR, KAB. OGAN KOMERING ULU, SUMATERA SELATAN</v>
      </c>
      <c r="U954" s="85" t="str">
        <f>IFERROR(__xludf.DUMMYFUNCTION("""COMPUTED_VALUE"""),"JLN. IMAM BONJOL NO.054B RT.001/004")</f>
        <v>JLN. IMAM BONJOL NO.054B RT.001/004</v>
      </c>
      <c r="V954" s="85" t="str">
        <f>IFERROR(__xludf.DUMMYFUNCTION("""COMPUTED_VALUE"""),"Air Pauh")</f>
        <v>Air Pauh</v>
      </c>
      <c r="W954" s="85" t="str">
        <f>IFERROR(__xludf.DUMMYFUNCTION("""COMPUTED_VALUE"""),"Baturaja Timur")</f>
        <v>Baturaja Timur</v>
      </c>
      <c r="X954" s="85" t="str">
        <f>IFERROR(__xludf.DUMMYFUNCTION("""COMPUTED_VALUE"""),"Ogan Komering Ulu")</f>
        <v>Ogan Komering Ulu</v>
      </c>
      <c r="Y954" s="85" t="str">
        <f>IFERROR(__xludf.DUMMYFUNCTION("""COMPUTED_VALUE"""),"Sumatera Selatan")</f>
        <v>Sumatera Selatan</v>
      </c>
      <c r="Z954" s="85" t="str">
        <f>IFERROR(__xludf.DUMMYFUNCTION("""COMPUTED_VALUE"""),"Sumatera Selatan")</f>
        <v>Sumatera Selatan</v>
      </c>
      <c r="AA954" s="85" t="str">
        <f>IFERROR(__xludf.DUMMYFUNCTION("""COMPUTED_VALUE"""),"32111")</f>
        <v>32111</v>
      </c>
      <c r="AB954" s="85" t="str">
        <f>IFERROR(__xludf.DUMMYFUNCTION("""COMPUTED_VALUE"""),"1601140806900007")</f>
        <v>1601140806900007</v>
      </c>
      <c r="AC954" s="85" t="str">
        <f>IFERROR(__xludf.DUMMYFUNCTION("""COMPUTED_VALUE"""),"1601 1408 0690 0007")</f>
        <v>1601 1408 0690 0007</v>
      </c>
      <c r="AD954" s="85" t="str">
        <f>IFERROR(__xludf.DUMMYFUNCTION("""COMPUTED_VALUE"""),"PAK DANU KC BATURAJA")</f>
        <v>PAK DANU KC BATURAJA</v>
      </c>
      <c r="AE954" s="85" t="str">
        <f>IFERROR(__xludf.DUMMYFUNCTION("""COMPUTED_VALUE"""),"PAK DANU KC BATURAJA")</f>
        <v>PAK DANU KC BATURAJA</v>
      </c>
      <c r="AF954" s="85" t="str">
        <f>IFERROR(__xludf.DUMMYFUNCTION("""COMPUTED_VALUE"""),"082317462588")</f>
        <v>082317462588</v>
      </c>
      <c r="AG954" s="85" t="str">
        <f>IFERROR(__xludf.DUMMYFUNCTION("""COMPUTED_VALUE"""),"082317462588")</f>
        <v>082317462588</v>
      </c>
      <c r="AH954" s="85" t="str">
        <f>IFERROR(__xludf.DUMMYFUNCTION("""COMPUTED_VALUE"""),"Budhisantoso733@gmail.com")</f>
        <v>Budhisantoso733@gmail.com</v>
      </c>
      <c r="AI954" s="85"/>
      <c r="AJ954" s="85"/>
      <c r="AK954" s="85"/>
      <c r="AL954" s="85"/>
      <c r="AM954" s="85" t="str">
        <f>IFERROR(__xludf.DUMMYFUNCTION("""COMPUTED_VALUE"""),"KANTOR REGIONAL I MEDAN 20004")</f>
        <v>KANTOR REGIONAL I MEDAN 20004</v>
      </c>
      <c r="AN954" s="85" t="str">
        <f>IFERROR(__xludf.DUMMYFUNCTION("""COMPUTED_VALUE"""),"KC BATURAJA 32100")</f>
        <v>KC BATURAJA 32100</v>
      </c>
      <c r="AO954" s="85" t="str">
        <f>IFERROR(__xludf.DUMMYFUNCTION("""COMPUTED_VALUE"""),"2107220068106")</f>
        <v>2107220068106</v>
      </c>
      <c r="AP954" s="85" t="str">
        <f>IFERROR(__xludf.DUMMYFUNCTION("""COMPUTED_VALUE"""),"21072200681060001")</f>
        <v>21072200681060001</v>
      </c>
      <c r="AQ954" s="93" t="str">
        <f>IFERROR(__xludf.DUMMYFUNCTION("""COMPUTED_VALUE"""),"BRI / 0008-01-023082-53-4 / BUDHI SANTOSO")</f>
        <v>BRI / 0008-01-023082-53-4 / BUDHI SANTOSO</v>
      </c>
      <c r="AR954" s="85"/>
      <c r="AS954" s="85"/>
      <c r="AT954" s="85" t="str">
        <f>IFERROR(__xludf.DUMMYFUNCTION("""COMPUTED_VALUE"""),"-4.1200359")</f>
        <v>-4.1200359</v>
      </c>
      <c r="AU954" s="85" t="str">
        <f>IFERROR(__xludf.DUMMYFUNCTION("""COMPUTED_VALUE"""),"104.1814541")</f>
        <v>104.1814541</v>
      </c>
      <c r="AV954" s="85"/>
      <c r="AW954" s="85"/>
      <c r="AX954" s="85"/>
      <c r="AY954" s="85"/>
      <c r="AZ954" s="85"/>
      <c r="BA954" s="85"/>
      <c r="BB954" s="85"/>
      <c r="BC954" s="85"/>
      <c r="BD954" s="85"/>
      <c r="BE954" s="85"/>
      <c r="BF954" s="85"/>
      <c r="BG954" s="85"/>
      <c r="BH954" s="85"/>
      <c r="BI954" s="85"/>
      <c r="BJ954" s="85"/>
      <c r="BK954" s="85"/>
      <c r="BL954" s="85"/>
      <c r="BM954" s="85"/>
      <c r="BN954" s="85"/>
      <c r="BO954" s="85"/>
      <c r="BP954" s="85"/>
      <c r="BQ954" s="85"/>
      <c r="BR954" s="85"/>
      <c r="BS954" s="85"/>
      <c r="BT954" s="85"/>
      <c r="BU954" s="85"/>
      <c r="BV954" s="85"/>
      <c r="BW954" s="85"/>
      <c r="BX954" s="85"/>
      <c r="BY954" s="85"/>
      <c r="BZ954" s="85"/>
      <c r="CA954" s="85"/>
      <c r="CB954" s="85"/>
      <c r="CC954" s="85"/>
      <c r="CD954" s="85"/>
      <c r="CE954" s="85"/>
      <c r="CF954" s="85"/>
      <c r="CG954" s="85"/>
      <c r="CH954" s="85"/>
      <c r="CI954" s="85"/>
      <c r="CJ954" s="85"/>
      <c r="CK954" s="2"/>
    </row>
    <row r="955" ht="12.75" customHeight="1">
      <c r="A955" s="80">
        <f>IFERROR(__xludf.DUMMYFUNCTION("""COMPUTED_VALUE"""),951.0)</f>
        <v>951</v>
      </c>
      <c r="B955" s="80"/>
      <c r="C955" s="80"/>
      <c r="D955" s="81">
        <f>IFERROR(__xludf.DUMMYFUNCTION("""COMPUTED_VALUE"""),46148.0)</f>
        <v>46148</v>
      </c>
      <c r="E955" s="82"/>
      <c r="F955" s="80"/>
      <c r="G955" s="81"/>
      <c r="H955" s="80"/>
      <c r="I955" s="80"/>
      <c r="J955" s="80"/>
      <c r="K955" s="80"/>
      <c r="L955" s="80"/>
      <c r="M955" s="80" t="str">
        <f>IFERROR(__xludf.DUMMYFUNCTION("""COMPUTED_VALUE"""),"ü")</f>
        <v>ü</v>
      </c>
      <c r="N955" s="80"/>
      <c r="O955" s="80"/>
      <c r="P955" s="80" t="str">
        <f>IFERROR(__xludf.DUMMYFUNCTION("""COMPUTED_VALUE"""),"MUCSPA63414PSIND")</f>
        <v>MUCSPA63414PSIND</v>
      </c>
      <c r="Q955" s="80" t="str">
        <f>IFERROR(__xludf.DUMMYFUNCTION("""COMPUTED_VALUE"""),"MUC JAMIN GROUP")</f>
        <v>MUC JAMIN GROUP</v>
      </c>
      <c r="R955" s="80" t="str">
        <f>IFERROR(__xludf.DUMMYFUNCTION("""COMPUTED_VALUE"""),"MUC JAMIN GROUP")</f>
        <v>MUC JAMIN GROUP</v>
      </c>
      <c r="S955" s="80" t="str">
        <f>IFERROR(__xludf.DUMMYFUNCTION("""COMPUTED_VALUE"""),"FENDI SYAFRIL")</f>
        <v>FENDI SYAFRIL</v>
      </c>
      <c r="T955" s="80" t="str">
        <f>IFERROR(__xludf.DUMMYFUNCTION("""COMPUTED_VALUE"""),"GRAHA INDAH PAMULANG B3/8 RT.009 RW.004, BAMBU APUS, PAMULANG, KOTA TANGERANG SELATAN")</f>
        <v>GRAHA INDAH PAMULANG B3/8 RT.009 RW.004, BAMBU APUS, PAMULANG, KOTA TANGERANG SELATAN</v>
      </c>
      <c r="U955" s="80" t="str">
        <f>IFERROR(__xludf.DUMMYFUNCTION("""COMPUTED_VALUE"""),"graha indah pamulang, Jl. Mujair Raya No.8 blok b3")</f>
        <v>graha indah pamulang, Jl. Mujair Raya No.8 blok b3</v>
      </c>
      <c r="V955" s="80" t="str">
        <f>IFERROR(__xludf.DUMMYFUNCTION("""COMPUTED_VALUE"""),"Bambu Apus")</f>
        <v>Bambu Apus</v>
      </c>
      <c r="W955" s="80" t="str">
        <f>IFERROR(__xludf.DUMMYFUNCTION("""COMPUTED_VALUE"""),"Pamulang")</f>
        <v>Pamulang</v>
      </c>
      <c r="X955" s="80" t="str">
        <f>IFERROR(__xludf.DUMMYFUNCTION("""COMPUTED_VALUE"""),"Kota Tangerang Selatan")</f>
        <v>Kota Tangerang Selatan</v>
      </c>
      <c r="Y955" s="80" t="str">
        <f>IFERROR(__xludf.DUMMYFUNCTION("""COMPUTED_VALUE"""),"Banten ")</f>
        <v>Banten </v>
      </c>
      <c r="Z955" s="80" t="str">
        <f>IFERROR(__xludf.DUMMYFUNCTION("""COMPUTED_VALUE"""),"Banten ")</f>
        <v>Banten </v>
      </c>
      <c r="AA955" s="80" t="str">
        <f>IFERROR(__xludf.DUMMYFUNCTION("""COMPUTED_VALUE"""),"15432")</f>
        <v>15432</v>
      </c>
      <c r="AB955" s="80" t="str">
        <f>IFERROR(__xludf.DUMMYFUNCTION("""COMPUTED_VALUE"""),"3674062001780010")</f>
        <v>3674062001780010</v>
      </c>
      <c r="AC955" s="80" t="str">
        <f>IFERROR(__xludf.DUMMYFUNCTION("""COMPUTED_VALUE"""),"43.664.329.0-453.000")</f>
        <v>43.664.329.0-453.000</v>
      </c>
      <c r="AD955" s="80" t="str">
        <f>IFERROR(__xludf.DUMMYFUNCTION("""COMPUTED_VALUE"""),"PAK HUSNI KC TANGSEL")</f>
        <v>PAK HUSNI KC TANGSEL</v>
      </c>
      <c r="AE955" s="80" t="str">
        <f>IFERROR(__xludf.DUMMYFUNCTION("""COMPUTED_VALUE"""),"PAK HUSNI KC TANGSEL")</f>
        <v>PAK HUSNI KC TANGSEL</v>
      </c>
      <c r="AF955" s="80"/>
      <c r="AG955" s="80"/>
      <c r="AH955" s="80" t="str">
        <f>IFERROR(__xludf.DUMMYFUNCTION("""COMPUTED_VALUE"""),"fendisyafril.jamingroup78@gmail.com")</f>
        <v>fendisyafril.jamingroup78@gmail.com</v>
      </c>
      <c r="AI955" s="80"/>
      <c r="AJ955" s="80"/>
      <c r="AK955" s="80"/>
      <c r="AL955" s="80"/>
      <c r="AM955" s="80" t="str">
        <f>IFERROR(__xludf.DUMMYFUNCTION("""COMPUTED_VALUE"""),"KANTOR REGIONAL II JAKARTA 10004")</f>
        <v>KANTOR REGIONAL II JAKARTA 10004</v>
      </c>
      <c r="AN955" s="80" t="str">
        <f>IFERROR(__xludf.DUMMYFUNCTION("""COMPUTED_VALUE"""),"KC TANGERANGSELATAN 15400")</f>
        <v>KC TANGERANGSELATAN 15400</v>
      </c>
      <c r="AO955" s="80" t="str">
        <f>IFERROR(__xludf.DUMMYFUNCTION("""COMPUTED_VALUE"""),"1303240125762")</f>
        <v>1303240125762</v>
      </c>
      <c r="AP955" s="80" t="str">
        <f>IFERROR(__xludf.DUMMYFUNCTION("""COMPUTED_VALUE"""),"13032401257620001")</f>
        <v>13032401257620001</v>
      </c>
      <c r="AQ955" s="83" t="str">
        <f>IFERROR(__xludf.DUMMYFUNCTION("""COMPUTED_VALUE"""),"BCA / 4730879305 / FENDI SYAFRIL")</f>
        <v>BCA / 4730879305 / FENDI SYAFRIL</v>
      </c>
      <c r="AR955" s="80"/>
      <c r="AS955" s="80"/>
      <c r="AT955" s="80" t="str">
        <f>IFERROR(__xludf.DUMMYFUNCTION("""COMPUTED_VALUE"""),"-6.3260312")</f>
        <v>-6.3260312</v>
      </c>
      <c r="AU955" s="80" t="str">
        <f>IFERROR(__xludf.DUMMYFUNCTION("""COMPUTED_VALUE"""),"106.7246975")</f>
        <v>106.7246975</v>
      </c>
      <c r="AV955" s="80"/>
      <c r="AW955" s="80"/>
      <c r="AX955" s="80"/>
      <c r="AY955" s="80"/>
      <c r="AZ955" s="80"/>
      <c r="BA955" s="80"/>
      <c r="BB955" s="80"/>
      <c r="BC955" s="80"/>
      <c r="BD955" s="80"/>
      <c r="BE955" s="80"/>
      <c r="BF955" s="80"/>
      <c r="BG955" s="80"/>
      <c r="BH955" s="80"/>
      <c r="BI955" s="80"/>
      <c r="BJ955" s="80"/>
      <c r="BK955" s="80"/>
      <c r="BL955" s="80"/>
      <c r="BM955" s="80"/>
      <c r="BN955" s="80"/>
      <c r="BO955" s="80"/>
      <c r="BP955" s="80"/>
      <c r="BQ955" s="80"/>
      <c r="BR955" s="80"/>
      <c r="BS955" s="80"/>
      <c r="BT955" s="80"/>
      <c r="BU955" s="80"/>
      <c r="BV955" s="80"/>
      <c r="BW955" s="80"/>
      <c r="BX955" s="80"/>
      <c r="BY955" s="80"/>
      <c r="BZ955" s="80"/>
      <c r="CA955" s="80"/>
      <c r="CB955" s="80"/>
      <c r="CC955" s="80"/>
      <c r="CD955" s="80"/>
      <c r="CE955" s="80"/>
      <c r="CF955" s="80"/>
      <c r="CG955" s="80"/>
      <c r="CH955" s="80"/>
      <c r="CI955" s="80"/>
      <c r="CJ955" s="80"/>
      <c r="CK955" s="2"/>
    </row>
    <row r="956" ht="12.75" customHeight="1">
      <c r="A956" s="85">
        <f>IFERROR(__xludf.DUMMYFUNCTION("""COMPUTED_VALUE"""),952.0)</f>
        <v>952</v>
      </c>
      <c r="B956" s="85"/>
      <c r="C956" s="85"/>
      <c r="D956" s="86">
        <f>IFERROR(__xludf.DUMMYFUNCTION("""COMPUTED_VALUE"""),46148.0)</f>
        <v>46148</v>
      </c>
      <c r="E956" s="88"/>
      <c r="F956" s="85"/>
      <c r="G956" s="86"/>
      <c r="H956" s="85"/>
      <c r="I956" s="85"/>
      <c r="J956" s="85"/>
      <c r="K956" s="85"/>
      <c r="L956" s="85"/>
      <c r="M956" s="85" t="str">
        <f>IFERROR(__xludf.DUMMYFUNCTION("""COMPUTED_VALUE"""),"ü")</f>
        <v>ü</v>
      </c>
      <c r="N956" s="85"/>
      <c r="O956" s="85"/>
      <c r="P956" s="85" t="str">
        <f>IFERROR(__xludf.DUMMYFUNCTION("""COMPUTED_VALUE"""),"MUCSPA63415PSIND")</f>
        <v>MUCSPA63415PSIND</v>
      </c>
      <c r="Q956" s="85" t="str">
        <f>IFERROR(__xludf.DUMMYFUNCTION("""COMPUTED_VALUE"""),"MUC CME Gumpang ")</f>
        <v>MUC CME Gumpang </v>
      </c>
      <c r="R956" s="85" t="str">
        <f>IFERROR(__xludf.DUMMYFUNCTION("""COMPUTED_VALUE"""),"MUC CME Gumpang ")</f>
        <v>MUC CME Gumpang </v>
      </c>
      <c r="S956" s="85" t="str">
        <f>IFERROR(__xludf.DUMMYFUNCTION("""COMPUTED_VALUE"""),"Ikhya Ulumudin ")</f>
        <v>Ikhya Ulumudin </v>
      </c>
      <c r="T956" s="85" t="str">
        <f>IFERROR(__xludf.DUMMYFUNCTION("""COMPUTED_VALUE"""),"Candirejo RT 13 RW 03 Candigatak, Cepogo Boyolali")</f>
        <v>Candirejo RT 13 RW 03 Candigatak, Cepogo Boyolali</v>
      </c>
      <c r="U956" s="85" t="str">
        <f>IFERROR(__xludf.DUMMYFUNCTION("""COMPUTED_VALUE"""),"Jl. Slamet Riyadi No.250, Dusun II")</f>
        <v>Jl. Slamet Riyadi No.250, Dusun II</v>
      </c>
      <c r="V956" s="85" t="str">
        <f>IFERROR(__xludf.DUMMYFUNCTION("""COMPUTED_VALUE"""),"gumpang")</f>
        <v>gumpang</v>
      </c>
      <c r="W956" s="85" t="str">
        <f>IFERROR(__xludf.DUMMYFUNCTION("""COMPUTED_VALUE"""),"gumpang")</f>
        <v>gumpang</v>
      </c>
      <c r="X956" s="85" t="str">
        <f>IFERROR(__xludf.DUMMYFUNCTION("""COMPUTED_VALUE"""),"kartasura")</f>
        <v>kartasura</v>
      </c>
      <c r="Y956" s="85" t="str">
        <f>IFERROR(__xludf.DUMMYFUNCTION("""COMPUTED_VALUE"""),"Sukoharjo")</f>
        <v>Sukoharjo</v>
      </c>
      <c r="Z956" s="85" t="str">
        <f>IFERROR(__xludf.DUMMYFUNCTION("""COMPUTED_VALUE"""),"Jawatengah")</f>
        <v>Jawatengah</v>
      </c>
      <c r="AA956" s="85" t="str">
        <f>IFERROR(__xludf.DUMMYFUNCTION("""COMPUTED_VALUE"""),"57169")</f>
        <v>57169</v>
      </c>
      <c r="AB956" s="85" t="str">
        <f>IFERROR(__xludf.DUMMYFUNCTION("""COMPUTED_VALUE"""),"3326140402930004")</f>
        <v>3326140402930004</v>
      </c>
      <c r="AC956" s="85" t="str">
        <f>IFERROR(__xludf.DUMMYFUNCTION("""COMPUTED_VALUE"""),"28.809.843.7-532.000")</f>
        <v>28.809.843.7-532.000</v>
      </c>
      <c r="AD956" s="85" t="str">
        <f>IFERROR(__xludf.DUMMYFUNCTION("""COMPUTED_VALUE"""),"CUM - PS - RFSI")</f>
        <v>CUM - PS - RFSI</v>
      </c>
      <c r="AE956" s="85" t="str">
        <f>IFERROR(__xludf.DUMMYFUNCTION("""COMPUTED_VALUE"""),"CUM - PS - RFSI")</f>
        <v>CUM - PS - RFSI</v>
      </c>
      <c r="AF956" s="85" t="str">
        <f>IFERROR(__xludf.DUMMYFUNCTION("""COMPUTED_VALUE"""),"085743280328")</f>
        <v>085743280328</v>
      </c>
      <c r="AG956" s="85" t="str">
        <f>IFERROR(__xludf.DUMMYFUNCTION("""COMPUTED_VALUE"""),"085743280328")</f>
        <v>085743280328</v>
      </c>
      <c r="AH956" s="85" t="str">
        <f>IFERROR(__xludf.DUMMYFUNCTION("""COMPUTED_VALUE"""),"ulumudinikhya90@gmail.com")</f>
        <v>ulumudinikhya90@gmail.com</v>
      </c>
      <c r="AI956" s="85"/>
      <c r="AJ956" s="85"/>
      <c r="AK956" s="85"/>
      <c r="AL956" s="85"/>
      <c r="AM956" s="85"/>
      <c r="AN956" s="85"/>
      <c r="AO956" s="85" t="str">
        <f>IFERROR(__xludf.DUMMYFUNCTION("""COMPUTED_VALUE"""),"-")</f>
        <v>-</v>
      </c>
      <c r="AP956" s="85" t="str">
        <f>IFERROR(__xludf.DUMMYFUNCTION("""COMPUTED_VALUE"""),"-")</f>
        <v>-</v>
      </c>
      <c r="AQ956" s="93" t="str">
        <f>IFERROR(__xludf.DUMMYFUNCTION("""COMPUTED_VALUE"""),"Bank Central Asia / 3930609276 / Ikhya Ulumudin")</f>
        <v>Bank Central Asia / 3930609276 / Ikhya Ulumudin</v>
      </c>
      <c r="AR956" s="85"/>
      <c r="AS956" s="85"/>
      <c r="AT956" s="85" t="str">
        <f>IFERROR(__xludf.DUMMYFUNCTION("""COMPUTED_VALUE""")," -7.563053")</f>
        <v> -7.563053</v>
      </c>
      <c r="AU956" s="85" t="str">
        <f>IFERROR(__xludf.DUMMYFUNCTION("""COMPUTED_VALUE""")," 110.7588174")</f>
        <v> 110.7588174</v>
      </c>
      <c r="AV956" s="85"/>
      <c r="AW956" s="85"/>
      <c r="AX956" s="85"/>
      <c r="AY956" s="85"/>
      <c r="AZ956" s="85"/>
      <c r="BA956" s="85"/>
      <c r="BB956" s="85"/>
      <c r="BC956" s="85"/>
      <c r="BD956" s="85"/>
      <c r="BE956" s="85"/>
      <c r="BF956" s="85"/>
      <c r="BG956" s="85"/>
      <c r="BH956" s="85"/>
      <c r="BI956" s="85"/>
      <c r="BJ956" s="85"/>
      <c r="BK956" s="85"/>
      <c r="BL956" s="85"/>
      <c r="BM956" s="85"/>
      <c r="BN956" s="85"/>
      <c r="BO956" s="85"/>
      <c r="BP956" s="85"/>
      <c r="BQ956" s="85"/>
      <c r="BR956" s="85"/>
      <c r="BS956" s="85"/>
      <c r="BT956" s="85"/>
      <c r="BU956" s="85"/>
      <c r="BV956" s="85"/>
      <c r="BW956" s="85"/>
      <c r="BX956" s="85"/>
      <c r="BY956" s="85"/>
      <c r="BZ956" s="85"/>
      <c r="CA956" s="85"/>
      <c r="CB956" s="85"/>
      <c r="CC956" s="85"/>
      <c r="CD956" s="85"/>
      <c r="CE956" s="85"/>
      <c r="CF956" s="85"/>
      <c r="CG956" s="85"/>
      <c r="CH956" s="85"/>
      <c r="CI956" s="85"/>
      <c r="CJ956" s="85"/>
      <c r="CK956" s="2"/>
    </row>
    <row r="957" ht="12.75" customHeight="1">
      <c r="A957" s="80">
        <f>IFERROR(__xludf.DUMMYFUNCTION("""COMPUTED_VALUE"""),953.0)</f>
        <v>953</v>
      </c>
      <c r="B957" s="80"/>
      <c r="C957" s="80"/>
      <c r="D957" s="81">
        <f>IFERROR(__xludf.DUMMYFUNCTION("""COMPUTED_VALUE"""),46148.0)</f>
        <v>46148</v>
      </c>
      <c r="E957" s="82"/>
      <c r="F957" s="80"/>
      <c r="G957" s="81">
        <f>IFERROR(__xludf.DUMMYFUNCTION("""COMPUTED_VALUE"""),46177.0)</f>
        <v>46177</v>
      </c>
      <c r="H957" s="80"/>
      <c r="I957" s="80"/>
      <c r="J957" s="80"/>
      <c r="K957" s="80"/>
      <c r="L957" s="80">
        <f>IFERROR(__xludf.DUMMYFUNCTION("""COMPUTED_VALUE"""),29.0)</f>
        <v>29</v>
      </c>
      <c r="M957" s="80" t="str">
        <f>IFERROR(__xludf.DUMMYFUNCTION("""COMPUTED_VALUE"""),"ü")</f>
        <v>ü</v>
      </c>
      <c r="N957" s="80"/>
      <c r="O957" s="80"/>
      <c r="P957" s="80" t="str">
        <f>IFERROR(__xludf.DUMMYFUNCTION("""COMPUTED_VALUE"""),"MUCSPA63416PSIND")</f>
        <v>MUCSPA63416PSIND</v>
      </c>
      <c r="Q957" s="80" t="str">
        <f>IFERROR(__xludf.DUMMYFUNCTION("""COMPUTED_VALUE"""),"MUC Khanah Cerdas Pekapuran")</f>
        <v>MUC Khanah Cerdas Pekapuran</v>
      </c>
      <c r="R957" s="80" t="str">
        <f>IFERROR(__xludf.DUMMYFUNCTION("""COMPUTED_VALUE"""),"MUC Khanah Cerdas Pekapuran")</f>
        <v>MUC Khanah Cerdas Pekapuran</v>
      </c>
      <c r="S957" s="80" t="str">
        <f>IFERROR(__xludf.DUMMYFUNCTION("""COMPUTED_VALUE"""),"DRA ANINTA RACHMANDARI")</f>
        <v>DRA ANINTA RACHMANDARI</v>
      </c>
      <c r="T957" s="80" t="str">
        <f>IFERROR(__xludf.DUMMYFUNCTION("""COMPUTED_VALUE""")," JL. H TAIMAN BARAT I RT.003 RW.002 GEDONG PASAR REBO, JAKARTA TIMUR, DKI JAKARTA")</f>
        <v> JL. H TAIMAN BARAT I RT.003 RW.002 GEDONG PASAR REBO, JAKARTA TIMUR, DKI JAKARTA</v>
      </c>
      <c r="U957" s="80" t="str">
        <f>IFERROR(__xludf.DUMMYFUNCTION("""COMPUTED_VALUE"""),"Jl. Raya Pekapuran no 4 A, Rt 04 Rw 01")</f>
        <v>Jl. Raya Pekapuran no 4 A, Rt 04 Rw 01</v>
      </c>
      <c r="V957" s="80" t="str">
        <f>IFERROR(__xludf.DUMMYFUNCTION("""COMPUTED_VALUE"""),"Sukatani")</f>
        <v>Sukatani</v>
      </c>
      <c r="W957" s="80" t="str">
        <f>IFERROR(__xludf.DUMMYFUNCTION("""COMPUTED_VALUE"""),"Tapos")</f>
        <v>Tapos</v>
      </c>
      <c r="X957" s="80" t="str">
        <f>IFERROR(__xludf.DUMMYFUNCTION("""COMPUTED_VALUE"""),"Kota Depok")</f>
        <v>Kota Depok</v>
      </c>
      <c r="Y957" s="80" t="str">
        <f>IFERROR(__xludf.DUMMYFUNCTION("""COMPUTED_VALUE"""),"Depok")</f>
        <v>Depok</v>
      </c>
      <c r="Z957" s="80" t="str">
        <f>IFERROR(__xludf.DUMMYFUNCTION("""COMPUTED_VALUE"""),"Jawa Barat")</f>
        <v>Jawa Barat</v>
      </c>
      <c r="AA957" s="80" t="str">
        <f>IFERROR(__xludf.DUMMYFUNCTION("""COMPUTED_VALUE"""),"16455")</f>
        <v>16455</v>
      </c>
      <c r="AB957" s="80" t="str">
        <f>IFERROR(__xludf.DUMMYFUNCTION("""COMPUTED_VALUE"""),"3175056912660001")</f>
        <v>3175056912660001</v>
      </c>
      <c r="AC957" s="80" t="str">
        <f>IFERROR(__xludf.DUMMYFUNCTION("""COMPUTED_VALUE"""),"05.247.562.1-009.999")</f>
        <v>05.247.562.1-009.999</v>
      </c>
      <c r="AD957" s="80" t="str">
        <f>IFERROR(__xludf.DUMMYFUNCTION("""COMPUTED_VALUE"""),"CUM - PS - HPR")</f>
        <v>CUM - PS - HPR</v>
      </c>
      <c r="AE957" s="80" t="str">
        <f>IFERROR(__xludf.DUMMYFUNCTION("""COMPUTED_VALUE"""),"CUM - PS - HPR")</f>
        <v>CUM - PS - HPR</v>
      </c>
      <c r="AF957" s="80" t="str">
        <f>IFERROR(__xludf.DUMMYFUNCTION("""COMPUTED_VALUE"""),"0816762549")</f>
        <v>0816762549</v>
      </c>
      <c r="AG957" s="80" t="str">
        <f>IFERROR(__xludf.DUMMYFUNCTION("""COMPUTED_VALUE"""),"0816762549")</f>
        <v>0816762549</v>
      </c>
      <c r="AH957" s="80" t="str">
        <f>IFERROR(__xludf.DUMMYFUNCTION("""COMPUTED_VALUE"""),"anintarahmandari@yahoo.com")</f>
        <v>anintarahmandari@yahoo.com</v>
      </c>
      <c r="AI957" s="80" t="str">
        <f>IFERROR(__xludf.DUMMYFUNCTION("""COMPUTED_VALUE"""),"16461S4")</f>
        <v>16461S4</v>
      </c>
      <c r="AJ957" s="80" t="str">
        <f>IFERROR(__xludf.DUMMYFUNCTION("""COMPUTED_VALUE"""),"6a1fe2cfce82de8c190961e0")</f>
        <v>6a1fe2cfce82de8c190961e0</v>
      </c>
      <c r="AK957" s="80" t="str">
        <f>IFERROR(__xludf.DUMMYFUNCTION("""COMPUTED_VALUE"""),"anintarahmandari@yahoo.com")</f>
        <v>anintarahmandari@yahoo.com</v>
      </c>
      <c r="AL957" s="80" t="str">
        <f>IFERROR(__xludf.DUMMYFUNCTION("""COMPUTED_VALUE"""),"#Muc16461S4$")</f>
        <v>#Muc16461S4$</v>
      </c>
      <c r="AM957" s="80" t="str">
        <f>IFERROR(__xludf.DUMMYFUNCTION("""COMPUTED_VALUE"""),"KANTOR REGIONAL II JAKARTA 10004")</f>
        <v>KANTOR REGIONAL II JAKARTA 10004</v>
      </c>
      <c r="AN957" s="80" t="str">
        <f>IFERROR(__xludf.DUMMYFUNCTION("""COMPUTED_VALUE"""),"KC DEPOK 16400")</f>
        <v>KC DEPOK 16400</v>
      </c>
      <c r="AO957" s="80" t="str">
        <f>IFERROR(__xludf.DUMMYFUNCTION("""COMPUTED_VALUE"""),"2803220045249")</f>
        <v>2803220045249</v>
      </c>
      <c r="AP957" s="80" t="str">
        <f>IFERROR(__xludf.DUMMYFUNCTION("""COMPUTED_VALUE"""),"28032200452490001 ")</f>
        <v>28032200452490001 </v>
      </c>
      <c r="AQ957" s="83" t="str">
        <f>IFERROR(__xludf.DUMMYFUNCTION("""COMPUTED_VALUE"""),"BCA / 0351845707 / Dra. Aninta Rachmandari")</f>
        <v>BCA / 0351845707 / Dra. Aninta Rachmandari</v>
      </c>
      <c r="AR957" s="80"/>
      <c r="AS957" s="80"/>
      <c r="AT957" s="80" t="str">
        <f>IFERROR(__xludf.DUMMYFUNCTION("""COMPUTED_VALUE"""),"-6.3913127")</f>
        <v>-6.3913127</v>
      </c>
      <c r="AU957" s="80" t="str">
        <f>IFERROR(__xludf.DUMMYFUNCTION("""COMPUTED_VALUE"""),"106.8730851")</f>
        <v>106.8730851</v>
      </c>
      <c r="AV957" s="80"/>
      <c r="AW957" s="80"/>
      <c r="AX957" s="80"/>
      <c r="AY957" s="80"/>
      <c r="AZ957" s="80"/>
      <c r="BA957" s="80"/>
      <c r="BB957" s="80"/>
      <c r="BC957" s="80"/>
      <c r="BD957" s="80"/>
      <c r="BE957" s="80"/>
      <c r="BF957" s="80"/>
      <c r="BG957" s="80"/>
      <c r="BH957" s="80"/>
      <c r="BI957" s="80"/>
      <c r="BJ957" s="80"/>
      <c r="BK957" s="80"/>
      <c r="BL957" s="80"/>
      <c r="BM957" s="80"/>
      <c r="BN957" s="80"/>
      <c r="BO957" s="80"/>
      <c r="BP957" s="80"/>
      <c r="BQ957" s="80"/>
      <c r="BR957" s="80"/>
      <c r="BS957" s="80"/>
      <c r="BT957" s="80"/>
      <c r="BU957" s="80"/>
      <c r="BV957" s="80"/>
      <c r="BW957" s="80"/>
      <c r="BX957" s="80"/>
      <c r="BY957" s="80"/>
      <c r="BZ957" s="80"/>
      <c r="CA957" s="80"/>
      <c r="CB957" s="80"/>
      <c r="CC957" s="80"/>
      <c r="CD957" s="80"/>
      <c r="CE957" s="80"/>
      <c r="CF957" s="80"/>
      <c r="CG957" s="80"/>
      <c r="CH957" s="80"/>
      <c r="CI957" s="80"/>
      <c r="CJ957" s="80"/>
      <c r="CK957" s="2"/>
    </row>
    <row r="958" ht="12.75" customHeight="1">
      <c r="A958" s="85">
        <f>IFERROR(__xludf.DUMMYFUNCTION("""COMPUTED_VALUE"""),954.0)</f>
        <v>954</v>
      </c>
      <c r="B958" s="85"/>
      <c r="C958" s="85"/>
      <c r="D958" s="86">
        <f>IFERROR(__xludf.DUMMYFUNCTION("""COMPUTED_VALUE"""),46149.0)</f>
        <v>46149</v>
      </c>
      <c r="E958" s="88"/>
      <c r="F958" s="85"/>
      <c r="G958" s="86"/>
      <c r="H958" s="85"/>
      <c r="I958" s="85"/>
      <c r="J958" s="85"/>
      <c r="K958" s="85"/>
      <c r="L958" s="85"/>
      <c r="M958" s="85" t="str">
        <f>IFERROR(__xludf.DUMMYFUNCTION("""COMPUTED_VALUE"""),"ü")</f>
        <v>ü</v>
      </c>
      <c r="N958" s="85"/>
      <c r="O958" s="85"/>
      <c r="P958" s="85" t="str">
        <f>IFERROR(__xludf.DUMMYFUNCTION("""COMPUTED_VALUE"""),"MUCSPA63417PSIND")</f>
        <v>MUCSPA63417PSIND</v>
      </c>
      <c r="Q958" s="85" t="str">
        <f>IFERROR(__xludf.DUMMYFUNCTION("""COMPUTED_VALUE"""),"MUC TAMAM")</f>
        <v>MUC TAMAM</v>
      </c>
      <c r="R958" s="85" t="str">
        <f>IFERROR(__xludf.DUMMYFUNCTION("""COMPUTED_VALUE"""),"MUC TAMAM")</f>
        <v>MUC TAMAM</v>
      </c>
      <c r="S958" s="85" t="str">
        <f>IFERROR(__xludf.DUMMYFUNCTION("""COMPUTED_VALUE"""),"RITA SUSILOWATI")</f>
        <v>RITA SUSILOWATI</v>
      </c>
      <c r="T958" s="85" t="str">
        <f>IFERROR(__xludf.DUMMYFUNCTION("""COMPUTED_VALUE""")," PONDOK PEKAYON INDAH BLOK BB49 NO.24 RT.009 RW.012, PEKAYON JAYA, BEKASI SELATAN, KOTA BEKASI")</f>
        <v> PONDOK PEKAYON INDAH BLOK BB49 NO.24 RT.009 RW.012, PEKAYON JAYA, BEKASI SELATAN, KOTA BEKASI</v>
      </c>
      <c r="U958" s="85" t="str">
        <f>IFERROR(__xludf.DUMMYFUNCTION("""COMPUTED_VALUE"""),"Jl. Pulo Ribung Raya, RT.001/RW.004")</f>
        <v>Jl. Pulo Ribung Raya, RT.001/RW.004</v>
      </c>
      <c r="V958" s="85" t="str">
        <f>IFERROR(__xludf.DUMMYFUNCTION("""COMPUTED_VALUE"""),"Pekayon Jaya")</f>
        <v>Pekayon Jaya</v>
      </c>
      <c r="W958" s="85" t="str">
        <f>IFERROR(__xludf.DUMMYFUNCTION("""COMPUTED_VALUE"""),"Pekayon Jaya")</f>
        <v>Pekayon Jaya</v>
      </c>
      <c r="X958" s="85" t="str">
        <f>IFERROR(__xludf.DUMMYFUNCTION("""COMPUTED_VALUE"""),"Bekasi Selatan")</f>
        <v>Bekasi Selatan</v>
      </c>
      <c r="Y958" s="85" t="str">
        <f>IFERROR(__xludf.DUMMYFUNCTION("""COMPUTED_VALUE"""),"Bekasi")</f>
        <v>Bekasi</v>
      </c>
      <c r="Z958" s="85" t="str">
        <f>IFERROR(__xludf.DUMMYFUNCTION("""COMPUTED_VALUE"""),"Jawa Barat ")</f>
        <v>Jawa Barat </v>
      </c>
      <c r="AA958" s="85" t="str">
        <f>IFERROR(__xludf.DUMMYFUNCTION("""COMPUTED_VALUE"""),"17148")</f>
        <v>17148</v>
      </c>
      <c r="AB958" s="85" t="str">
        <f>IFERROR(__xludf.DUMMYFUNCTION("""COMPUTED_VALUE"""),"3275045106630013")</f>
        <v>3275045106630013</v>
      </c>
      <c r="AC958" s="85" t="str">
        <f>IFERROR(__xludf.DUMMYFUNCTION("""COMPUTED_VALUE"""),"3275 0451 0663 0013")</f>
        <v>3275 0451 0663 0013</v>
      </c>
      <c r="AD958" s="85" t="str">
        <f>IFERROR(__xludf.DUMMYFUNCTION("""COMPUTED_VALUE"""),"CUM - PS - AYS")</f>
        <v>CUM - PS - AYS</v>
      </c>
      <c r="AE958" s="85" t="str">
        <f>IFERROR(__xludf.DUMMYFUNCTION("""COMPUTED_VALUE"""),"CUM - PS - AYS")</f>
        <v>CUM - PS - AYS</v>
      </c>
      <c r="AF958" s="85" t="str">
        <f>IFERROR(__xludf.DUMMYFUNCTION("""COMPUTED_VALUE"""),"08121087202")</f>
        <v>08121087202</v>
      </c>
      <c r="AG958" s="85" t="str">
        <f>IFERROR(__xludf.DUMMYFUNCTION("""COMPUTED_VALUE"""),"08121087202")</f>
        <v>08121087202</v>
      </c>
      <c r="AH958" s="85" t="str">
        <f>IFERROR(__xludf.DUMMYFUNCTION("""COMPUTED_VALUE"""),"ritasusilowt@gmail.com")</f>
        <v>ritasusilowt@gmail.com</v>
      </c>
      <c r="AI958" s="85"/>
      <c r="AJ958" s="85"/>
      <c r="AK958" s="85"/>
      <c r="AL958" s="85"/>
      <c r="AM958" s="85" t="str">
        <f>IFERROR(__xludf.DUMMYFUNCTION("""COMPUTED_VALUE"""),"KANTOR REGIONAL II JAKARTA 10004")</f>
        <v>KANTOR REGIONAL II JAKARTA 10004</v>
      </c>
      <c r="AN958" s="85" t="str">
        <f>IFERROR(__xludf.DUMMYFUNCTION("""COMPUTED_VALUE"""),"KCU BEKASI 17000")</f>
        <v>KCU BEKASI 17000</v>
      </c>
      <c r="AO958" s="85" t="str">
        <f>IFERROR(__xludf.DUMMYFUNCTION("""COMPUTED_VALUE"""),"0503260083555")</f>
        <v>0503260083555</v>
      </c>
      <c r="AP958" s="85" t="str">
        <f>IFERROR(__xludf.DUMMYFUNCTION("""COMPUTED_VALUE"""),"05032600835550001 ")</f>
        <v>05032600835550001 </v>
      </c>
      <c r="AQ958" s="93" t="str">
        <f>IFERROR(__xludf.DUMMYFUNCTION("""COMPUTED_VALUE"""),"MANDIRI / 1250006538664 / RITA SUSILOWATI")</f>
        <v>MANDIRI / 1250006538664 / RITA SUSILOWATI</v>
      </c>
      <c r="AR958" s="85"/>
      <c r="AS958" s="85"/>
      <c r="AT958" s="85" t="str">
        <f>IFERROR(__xludf.DUMMYFUNCTION("""COMPUTED_VALUE"""),"-6.2681122")</f>
        <v>-6.2681122</v>
      </c>
      <c r="AU958" s="85" t="str">
        <f>IFERROR(__xludf.DUMMYFUNCTION("""COMPUTED_VALUE"""),"106.9784013")</f>
        <v>106.9784013</v>
      </c>
      <c r="AV958" s="85"/>
      <c r="AW958" s="85"/>
      <c r="AX958" s="85"/>
      <c r="AY958" s="85"/>
      <c r="AZ958" s="85"/>
      <c r="BA958" s="85"/>
      <c r="BB958" s="85"/>
      <c r="BC958" s="85"/>
      <c r="BD958" s="85"/>
      <c r="BE958" s="85"/>
      <c r="BF958" s="85"/>
      <c r="BG958" s="85"/>
      <c r="BH958" s="85"/>
      <c r="BI958" s="85"/>
      <c r="BJ958" s="85"/>
      <c r="BK958" s="85"/>
      <c r="BL958" s="85"/>
      <c r="BM958" s="85"/>
      <c r="BN958" s="85"/>
      <c r="BO958" s="85"/>
      <c r="BP958" s="85"/>
      <c r="BQ958" s="85"/>
      <c r="BR958" s="85"/>
      <c r="BS958" s="85"/>
      <c r="BT958" s="85"/>
      <c r="BU958" s="85"/>
      <c r="BV958" s="85"/>
      <c r="BW958" s="85"/>
      <c r="BX958" s="85"/>
      <c r="BY958" s="85"/>
      <c r="BZ958" s="85"/>
      <c r="CA958" s="85"/>
      <c r="CB958" s="85"/>
      <c r="CC958" s="85"/>
      <c r="CD958" s="85"/>
      <c r="CE958" s="85"/>
      <c r="CF958" s="85"/>
      <c r="CG958" s="85"/>
      <c r="CH958" s="85"/>
      <c r="CI958" s="85"/>
      <c r="CJ958" s="85"/>
      <c r="CK958" s="2"/>
    </row>
    <row r="959" ht="12.75" customHeight="1">
      <c r="A959" s="80">
        <f>IFERROR(__xludf.DUMMYFUNCTION("""COMPUTED_VALUE"""),955.0)</f>
        <v>955</v>
      </c>
      <c r="B959" s="80"/>
      <c r="C959" s="80"/>
      <c r="D959" s="81">
        <f>IFERROR(__xludf.DUMMYFUNCTION("""COMPUTED_VALUE"""),46149.0)</f>
        <v>46149</v>
      </c>
      <c r="E959" s="82"/>
      <c r="F959" s="80"/>
      <c r="G959" s="81">
        <f>IFERROR(__xludf.DUMMYFUNCTION("""COMPUTED_VALUE"""),46164.0)</f>
        <v>46164</v>
      </c>
      <c r="H959" s="80"/>
      <c r="I959" s="80"/>
      <c r="J959" s="80"/>
      <c r="K959" s="80"/>
      <c r="L959" s="80">
        <f>IFERROR(__xludf.DUMMYFUNCTION("""COMPUTED_VALUE"""),15.0)</f>
        <v>15</v>
      </c>
      <c r="M959" s="80" t="str">
        <f>IFERROR(__xludf.DUMMYFUNCTION("""COMPUTED_VALUE"""),"ü")</f>
        <v>ü</v>
      </c>
      <c r="N959" s="80"/>
      <c r="O959" s="80"/>
      <c r="P959" s="80" t="str">
        <f>IFERROR(__xludf.DUMMYFUNCTION("""COMPUTED_VALUE"""),"MUCSPA63418PSIND")</f>
        <v>MUCSPA63418PSIND</v>
      </c>
      <c r="Q959" s="80" t="str">
        <f>IFERROR(__xludf.DUMMYFUNCTION("""COMPUTED_VALUE"""),"MUC Inpres")</f>
        <v>MUC Inpres</v>
      </c>
      <c r="R959" s="80" t="str">
        <f>IFERROR(__xludf.DUMMYFUNCTION("""COMPUTED_VALUE"""),"MUC Inpres ")</f>
        <v>MUC Inpres </v>
      </c>
      <c r="S959" s="80" t="str">
        <f>IFERROR(__xludf.DUMMYFUNCTION("""COMPUTED_VALUE"""),"WAHYU SARDJONO")</f>
        <v>WAHYU SARDJONO</v>
      </c>
      <c r="T959" s="80" t="str">
        <f>IFERROR(__xludf.DUMMYFUNCTION("""COMPUTED_VALUE""")," JL. MANGGAR IV BLOK 4 NO.9 RT.004 RW.011, LARANGAN SELATAN, LARANGAN KOTA TANGERANG, BANTEN")</f>
        <v> JL. MANGGAR IV BLOK 4 NO.9 RT.004 RW.011, LARANGAN SELATAN, LARANGAN KOTA TANGERANG, BANTEN</v>
      </c>
      <c r="U959" s="80" t="str">
        <f>IFERROR(__xludf.DUMMYFUNCTION("""COMPUTED_VALUE"""),"Jl. Inpres 4 No 53, RT. 2 RW 9")</f>
        <v>Jl. Inpres 4 No 53, RT. 2 RW 9</v>
      </c>
      <c r="V959" s="80" t="str">
        <f>IFERROR(__xludf.DUMMYFUNCTION("""COMPUTED_VALUE"""),"Larangan Utara")</f>
        <v>Larangan Utara</v>
      </c>
      <c r="W959" s="80" t="str">
        <f>IFERROR(__xludf.DUMMYFUNCTION("""COMPUTED_VALUE"""),"Larangan Utara")</f>
        <v>Larangan Utara</v>
      </c>
      <c r="X959" s="80" t="str">
        <f>IFERROR(__xludf.DUMMYFUNCTION("""COMPUTED_VALUE"""),"Larangan")</f>
        <v>Larangan</v>
      </c>
      <c r="Y959" s="80" t="str">
        <f>IFERROR(__xludf.DUMMYFUNCTION("""COMPUTED_VALUE"""),"Tangerang")</f>
        <v>Tangerang</v>
      </c>
      <c r="Z959" s="80" t="str">
        <f>IFERROR(__xludf.DUMMYFUNCTION("""COMPUTED_VALUE"""),"Banten")</f>
        <v>Banten</v>
      </c>
      <c r="AA959" s="80" t="str">
        <f>IFERROR(__xludf.DUMMYFUNCTION("""COMPUTED_VALUE"""),"15154")</f>
        <v>15154</v>
      </c>
      <c r="AB959" s="80" t="str">
        <f>IFERROR(__xludf.DUMMYFUNCTION("""COMPUTED_VALUE"""),"3671133108570001")</f>
        <v>3671133108570001</v>
      </c>
      <c r="AC959" s="80" t="str">
        <f>IFERROR(__xludf.DUMMYFUNCTION("""COMPUTED_VALUE"""),"09.184.836.6-416.000")</f>
        <v>09.184.836.6-416.000</v>
      </c>
      <c r="AD959" s="80" t="str">
        <f>IFERROR(__xludf.DUMMYFUNCTION("""COMPUTED_VALUE"""),"CUM - PS - DWIH")</f>
        <v>CUM - PS - DWIH</v>
      </c>
      <c r="AE959" s="80" t="str">
        <f>IFERROR(__xludf.DUMMYFUNCTION("""COMPUTED_VALUE"""),"CUM - PS - DWIH")</f>
        <v>CUM - PS - DWIH</v>
      </c>
      <c r="AF959" s="80" t="str">
        <f>IFERROR(__xludf.DUMMYFUNCTION("""COMPUTED_VALUE"""),"089630026077")</f>
        <v>089630026077</v>
      </c>
      <c r="AG959" s="80" t="str">
        <f>IFERROR(__xludf.DUMMYFUNCTION("""COMPUTED_VALUE"""),"089630026077")</f>
        <v>089630026077</v>
      </c>
      <c r="AH959" s="80" t="str">
        <f>IFERROR(__xludf.DUMMYFUNCTION("""COMPUTED_VALUE"""),"wahjusardjono@gmail.com")</f>
        <v>wahjusardjono@gmail.com</v>
      </c>
      <c r="AI959" s="80" t="str">
        <f>IFERROR(__xludf.DUMMYFUNCTION("""COMPUTED_VALUE"""),"15154S8")</f>
        <v>15154S8</v>
      </c>
      <c r="AJ959" s="80" t="str">
        <f>IFERROR(__xludf.DUMMYFUNCTION("""COMPUTED_VALUE"""),"6a0fc7c0e558c879190a990f")</f>
        <v>6a0fc7c0e558c879190a990f</v>
      </c>
      <c r="AK959" s="80" t="str">
        <f>IFERROR(__xludf.DUMMYFUNCTION("""COMPUTED_VALUE"""),"wahjusardjono@gmail.com")</f>
        <v>wahjusardjono@gmail.com</v>
      </c>
      <c r="AL959" s="80" t="str">
        <f>IFERROR(__xludf.DUMMYFUNCTION("""COMPUTED_VALUE"""),"#Muc15154S8$")</f>
        <v>#Muc15154S8$</v>
      </c>
      <c r="AM959" s="80"/>
      <c r="AN959" s="80"/>
      <c r="AO959" s="80" t="str">
        <f>IFERROR(__xludf.DUMMYFUNCTION("""COMPUTED_VALUE"""),"2807220035063")</f>
        <v>2807220035063</v>
      </c>
      <c r="AP959" s="80" t="str">
        <f>IFERROR(__xludf.DUMMYFUNCTION("""COMPUTED_VALUE"""),"28072200350630001")</f>
        <v>28072200350630001</v>
      </c>
      <c r="AQ959" s="83" t="str">
        <f>IFERROR(__xludf.DUMMYFUNCTION("""COMPUTED_VALUE"""),"MANDIRI / 1230004702009 / WAHJU SARDJONO")</f>
        <v>MANDIRI / 1230004702009 / WAHJU SARDJONO</v>
      </c>
      <c r="AR959" s="80"/>
      <c r="AS959" s="80"/>
      <c r="AT959" s="80" t="str">
        <f>IFERROR(__xludf.DUMMYFUNCTION("""COMPUTED_VALUE"""),"-6.23405")</f>
        <v>-6.23405</v>
      </c>
      <c r="AU959" s="80" t="str">
        <f>IFERROR(__xludf.DUMMYFUNCTION("""COMPUTED_VALUE"""),"106.72623")</f>
        <v>106.72623</v>
      </c>
      <c r="AV959" s="80"/>
      <c r="AW959" s="80"/>
      <c r="AX959" s="80"/>
      <c r="AY959" s="80"/>
      <c r="AZ959" s="80"/>
      <c r="BA959" s="80"/>
      <c r="BB959" s="80"/>
      <c r="BC959" s="80"/>
      <c r="BD959" s="80"/>
      <c r="BE959" s="80"/>
      <c r="BF959" s="80"/>
      <c r="BG959" s="80"/>
      <c r="BH959" s="80"/>
      <c r="BI959" s="80"/>
      <c r="BJ959" s="80"/>
      <c r="BK959" s="80"/>
      <c r="BL959" s="80"/>
      <c r="BM959" s="80"/>
      <c r="BN959" s="80"/>
      <c r="BO959" s="80"/>
      <c r="BP959" s="80"/>
      <c r="BQ959" s="80"/>
      <c r="BR959" s="80"/>
      <c r="BS959" s="80"/>
      <c r="BT959" s="80"/>
      <c r="BU959" s="80"/>
      <c r="BV959" s="80"/>
      <c r="BW959" s="80"/>
      <c r="BX959" s="80"/>
      <c r="BY959" s="80"/>
      <c r="BZ959" s="80"/>
      <c r="CA959" s="80"/>
      <c r="CB959" s="80"/>
      <c r="CC959" s="80"/>
      <c r="CD959" s="80"/>
      <c r="CE959" s="80"/>
      <c r="CF959" s="80"/>
      <c r="CG959" s="80"/>
      <c r="CH959" s="80"/>
      <c r="CI959" s="80"/>
      <c r="CJ959" s="80"/>
      <c r="CK959" s="2"/>
    </row>
    <row r="960" ht="12.75" customHeight="1">
      <c r="A960" s="85">
        <f>IFERROR(__xludf.DUMMYFUNCTION("""COMPUTED_VALUE"""),956.0)</f>
        <v>956</v>
      </c>
      <c r="B960" s="85"/>
      <c r="C960" s="85"/>
      <c r="D960" s="86">
        <f>IFERROR(__xludf.DUMMYFUNCTION("""COMPUTED_VALUE"""),46149.0)</f>
        <v>46149</v>
      </c>
      <c r="E960" s="88"/>
      <c r="F960" s="85"/>
      <c r="G960" s="86">
        <f>IFERROR(__xludf.DUMMYFUNCTION("""COMPUTED_VALUE"""),46167.0)</f>
        <v>46167</v>
      </c>
      <c r="H960" s="85"/>
      <c r="I960" s="85"/>
      <c r="J960" s="85"/>
      <c r="K960" s="85"/>
      <c r="L960" s="85">
        <f>IFERROR(__xludf.DUMMYFUNCTION("""COMPUTED_VALUE"""),18.0)</f>
        <v>18</v>
      </c>
      <c r="M960" s="85" t="str">
        <f>IFERROR(__xludf.DUMMYFUNCTION("""COMPUTED_VALUE"""),"ü")</f>
        <v>ü</v>
      </c>
      <c r="N960" s="85"/>
      <c r="O960" s="85"/>
      <c r="P960" s="85" t="str">
        <f>IFERROR(__xludf.DUMMYFUNCTION("""COMPUTED_VALUE"""),"MUCSPA63419PSIND")</f>
        <v>MUCSPA63419PSIND</v>
      </c>
      <c r="Q960" s="85" t="str">
        <f>IFERROR(__xludf.DUMMYFUNCTION("""COMPUTED_VALUE"""),"MUC Cibubur")</f>
        <v>MUC Cibubur</v>
      </c>
      <c r="R960" s="85" t="str">
        <f>IFERROR(__xludf.DUMMYFUNCTION("""COMPUTED_VALUE"""),"MUC Cibubur")</f>
        <v>MUC Cibubur</v>
      </c>
      <c r="S960" s="85" t="str">
        <f>IFERROR(__xludf.DUMMYFUNCTION("""COMPUTED_VALUE"""),"LUKAS KACARIBU")</f>
        <v>LUKAS KACARIBU</v>
      </c>
      <c r="T960" s="85" t="str">
        <f>IFERROR(__xludf.DUMMYFUNCTION("""COMPUTED_VALUE""")," JL SEKELOA NO.7 RT.001 RW.001 LEBAKGEDE, COBLONG, KOTA BANDUNG JAWA BARAT")</f>
        <v> JL SEKELOA NO.7 RT.001 RW.001 LEBAKGEDE, COBLONG, KOTA BANDUNG JAWA BARAT</v>
      </c>
      <c r="U960" s="85" t="str">
        <f>IFERROR(__xludf.DUMMYFUNCTION("""COMPUTED_VALUE"""),"Ruko Citra Grand R5 NO. 2, Jalan Alternatif cibubur")</f>
        <v>Ruko Citra Grand R5 NO. 2, Jalan Alternatif cibubur</v>
      </c>
      <c r="V960" s="85" t="str">
        <f>IFERROR(__xludf.DUMMYFUNCTION("""COMPUTED_VALUE"""),"jatikarya")</f>
        <v>jatikarya</v>
      </c>
      <c r="W960" s="85" t="str">
        <f>IFERROR(__xludf.DUMMYFUNCTION("""COMPUTED_VALUE"""),"jatikarya")</f>
        <v>jatikarya</v>
      </c>
      <c r="X960" s="85" t="str">
        <f>IFERROR(__xludf.DUMMYFUNCTION("""COMPUTED_VALUE"""),"jatisampurna")</f>
        <v>jatisampurna</v>
      </c>
      <c r="Y960" s="85" t="str">
        <f>IFERROR(__xludf.DUMMYFUNCTION("""COMPUTED_VALUE"""),"Bekasi")</f>
        <v>Bekasi</v>
      </c>
      <c r="Z960" s="85" t="str">
        <f>IFERROR(__xludf.DUMMYFUNCTION("""COMPUTED_VALUE"""),"Jawa Barat")</f>
        <v>Jawa Barat</v>
      </c>
      <c r="AA960" s="85" t="str">
        <f>IFERROR(__xludf.DUMMYFUNCTION("""COMPUTED_VALUE"""),"17435")</f>
        <v>17435</v>
      </c>
      <c r="AB960" s="85" t="str">
        <f>IFERROR(__xludf.DUMMYFUNCTION("""COMPUTED_VALUE"""),"3273021708740021")</f>
        <v>3273021708740021</v>
      </c>
      <c r="AC960" s="85" t="str">
        <f>IFERROR(__xludf.DUMMYFUNCTION("""COMPUTED_VALUE"""),"49.201.452.7-161.000")</f>
        <v>49.201.452.7-161.000</v>
      </c>
      <c r="AD960" s="85" t="str">
        <f>IFERROR(__xludf.DUMMYFUNCTION("""COMPUTED_VALUE"""),"CUM - PS - AYS")</f>
        <v>CUM - PS - AYS</v>
      </c>
      <c r="AE960" s="85" t="str">
        <f>IFERROR(__xludf.DUMMYFUNCTION("""COMPUTED_VALUE"""),"CUM - PS - AYS")</f>
        <v>CUM - PS - AYS</v>
      </c>
      <c r="AF960" s="85" t="str">
        <f>IFERROR(__xludf.DUMMYFUNCTION("""COMPUTED_VALUE"""),"085262614103")</f>
        <v>085262614103</v>
      </c>
      <c r="AG960" s="85" t="str">
        <f>IFERROR(__xludf.DUMMYFUNCTION("""COMPUTED_VALUE"""),"085262614103")</f>
        <v>085262614103</v>
      </c>
      <c r="AH960" s="85" t="str">
        <f>IFERROR(__xludf.DUMMYFUNCTION("""COMPUTED_VALUE"""),"elish.euodia@gmail.com")</f>
        <v>elish.euodia@gmail.com</v>
      </c>
      <c r="AI960" s="85" t="str">
        <f>IFERROR(__xludf.DUMMYFUNCTION("""COMPUTED_VALUE"""),"17435S4")</f>
        <v>17435S4</v>
      </c>
      <c r="AJ960" s="85" t="str">
        <f>IFERROR(__xludf.DUMMYFUNCTION("""COMPUTED_VALUE"""),"6a141814037f6f8ca708c078")</f>
        <v>6a141814037f6f8ca708c078</v>
      </c>
      <c r="AK960" s="85" t="str">
        <f>IFERROR(__xludf.DUMMYFUNCTION("""COMPUTED_VALUE"""),"elish.euodia@gmail.com")</f>
        <v>elish.euodia@gmail.com</v>
      </c>
      <c r="AL960" s="85" t="str">
        <f>IFERROR(__xludf.DUMMYFUNCTION("""COMPUTED_VALUE"""),"#Muc17435S4$")</f>
        <v>#Muc17435S4$</v>
      </c>
      <c r="AM960" s="85" t="str">
        <f>IFERROR(__xludf.DUMMYFUNCTION("""COMPUTED_VALUE"""),"KANTOR REGIONAL II JAKARTA 10004")</f>
        <v>KANTOR REGIONAL II JAKARTA 10004</v>
      </c>
      <c r="AN960" s="85" t="str">
        <f>IFERROR(__xludf.DUMMYFUNCTION("""COMPUTED_VALUE"""),"KCU BEKASI 17000")</f>
        <v>KCU BEKASI 17000</v>
      </c>
      <c r="AO960" s="85" t="str">
        <f>IFERROR(__xludf.DUMMYFUNCTION("""COMPUTED_VALUE"""),"1309240086813")</f>
        <v>1309240086813</v>
      </c>
      <c r="AP960" s="85" t="str">
        <f>IFERROR(__xludf.DUMMYFUNCTION("""COMPUTED_VALUE"""),"13092400868130001")</f>
        <v>13092400868130001</v>
      </c>
      <c r="AQ960" s="93" t="str">
        <f>IFERROR(__xludf.DUMMYFUNCTION("""COMPUTED_VALUE"""),"BCA / 4491357295 / MEGI SORA PASKARINA G S")</f>
        <v>BCA / 4491357295 / MEGI SORA PASKARINA G S</v>
      </c>
      <c r="AR960" s="85"/>
      <c r="AS960" s="85"/>
      <c r="AT960" s="85" t="str">
        <f>IFERROR(__xludf.DUMMYFUNCTION("""COMPUTED_VALUE"""),"-6.382663")</f>
        <v>-6.382663</v>
      </c>
      <c r="AU960" s="85" t="str">
        <f>IFERROR(__xludf.DUMMYFUNCTION("""COMPUTED_VALUE"""),"106.932159")</f>
        <v>106.932159</v>
      </c>
      <c r="AV960" s="85"/>
      <c r="AW960" s="85"/>
      <c r="AX960" s="85"/>
      <c r="AY960" s="85"/>
      <c r="AZ960" s="85"/>
      <c r="BA960" s="85"/>
      <c r="BB960" s="85"/>
      <c r="BC960" s="85"/>
      <c r="BD960" s="85"/>
      <c r="BE960" s="85"/>
      <c r="BF960" s="85"/>
      <c r="BG960" s="85"/>
      <c r="BH960" s="85"/>
      <c r="BI960" s="85"/>
      <c r="BJ960" s="85"/>
      <c r="BK960" s="85"/>
      <c r="BL960" s="85"/>
      <c r="BM960" s="85"/>
      <c r="BN960" s="85"/>
      <c r="BO960" s="85"/>
      <c r="BP960" s="85"/>
      <c r="BQ960" s="85"/>
      <c r="BR960" s="85"/>
      <c r="BS960" s="85"/>
      <c r="BT960" s="85"/>
      <c r="BU960" s="85"/>
      <c r="BV960" s="85"/>
      <c r="BW960" s="85"/>
      <c r="BX960" s="85"/>
      <c r="BY960" s="85"/>
      <c r="BZ960" s="85"/>
      <c r="CA960" s="85"/>
      <c r="CB960" s="85"/>
      <c r="CC960" s="85"/>
      <c r="CD960" s="85"/>
      <c r="CE960" s="85"/>
      <c r="CF960" s="85"/>
      <c r="CG960" s="85"/>
      <c r="CH960" s="85"/>
      <c r="CI960" s="85"/>
      <c r="CJ960" s="85"/>
      <c r="CK960" s="2"/>
    </row>
    <row r="961" ht="12.75" customHeight="1">
      <c r="A961" s="80">
        <f>IFERROR(__xludf.DUMMYFUNCTION("""COMPUTED_VALUE"""),957.0)</f>
        <v>957</v>
      </c>
      <c r="B961" s="80"/>
      <c r="C961" s="80"/>
      <c r="D961" s="81"/>
      <c r="E961" s="82"/>
      <c r="F961" s="80"/>
      <c r="G961" s="81">
        <f>IFERROR(__xludf.DUMMYFUNCTION("""COMPUTED_VALUE"""),46172.0)</f>
        <v>46172</v>
      </c>
      <c r="H961" s="80"/>
      <c r="I961" s="80"/>
      <c r="J961" s="80"/>
      <c r="K961" s="80"/>
      <c r="L961" s="80">
        <f>IFERROR(__xludf.DUMMYFUNCTION("""COMPUTED_VALUE"""),18.0)</f>
        <v>18</v>
      </c>
      <c r="M961" s="80" t="str">
        <f>IFERROR(__xludf.DUMMYFUNCTION("""COMPUTED_VALUE"""),"ü")</f>
        <v>ü</v>
      </c>
      <c r="N961" s="80"/>
      <c r="O961" s="80"/>
      <c r="P961" s="80" t="str">
        <f>IFERROR(__xludf.DUMMYFUNCTION("""COMPUTED_VALUE"""),"MUCSPA63421PSIND")</f>
        <v>MUCSPA63421PSIND</v>
      </c>
      <c r="Q961" s="80" t="str">
        <f>IFERROR(__xludf.DUMMYFUNCTION("""COMPUTED_VALUE"""),"MUC SYUKUR 5758")</f>
        <v>MUC SYUKUR 5758</v>
      </c>
      <c r="R961" s="80" t="str">
        <f>IFERROR(__xludf.DUMMYFUNCTION("""COMPUTED_VALUE"""),"MUC SYUKUR 5758")</f>
        <v>MUC SYUKUR 5758</v>
      </c>
      <c r="S961" s="80" t="str">
        <f>IFERROR(__xludf.DUMMYFUNCTION("""COMPUTED_VALUE"""),"DEDE ABDUS SYUKUR")</f>
        <v>DEDE ABDUS SYUKUR</v>
      </c>
      <c r="T961" s="80" t="str">
        <f>IFERROR(__xludf.DUMMYFUNCTION("""COMPUTED_VALUE"""),"JL. WARNA SARI 2 NO. 44 RT 5 RW 2 SUKASARI")</f>
        <v>JL. WARNA SARI 2 NO. 44 RT 5 RW 2 SUKASARI</v>
      </c>
      <c r="U961" s="80" t="str">
        <f>IFERROR(__xludf.DUMMYFUNCTION("""COMPUTED_VALUE"""),"JL. WARNA SARI 2 NO. 44 RT 5 RW 2")</f>
        <v>JL. WARNA SARI 2 NO. 44 RT 5 RW 2</v>
      </c>
      <c r="V961" s="80"/>
      <c r="W961" s="80" t="str">
        <f>IFERROR(__xludf.DUMMYFUNCTION("""COMPUTED_VALUE"""),"SUKASARI")</f>
        <v>SUKASARI</v>
      </c>
      <c r="X961" s="80" t="str">
        <f>IFERROR(__xludf.DUMMYFUNCTION("""COMPUTED_VALUE"""),"TANGERANG")</f>
        <v>TANGERANG</v>
      </c>
      <c r="Y961" s="80" t="str">
        <f>IFERROR(__xludf.DUMMYFUNCTION("""COMPUTED_VALUE"""),"TANGERANG")</f>
        <v>TANGERANG</v>
      </c>
      <c r="Z961" s="80" t="str">
        <f>IFERROR(__xludf.DUMMYFUNCTION("""COMPUTED_VALUE"""),"BANTEN")</f>
        <v>BANTEN</v>
      </c>
      <c r="AA961" s="80" t="str">
        <f>IFERROR(__xludf.DUMMYFUNCTION("""COMPUTED_VALUE"""),"15118")</f>
        <v>15118</v>
      </c>
      <c r="AB961" s="80" t="str">
        <f>IFERROR(__xludf.DUMMYFUNCTION("""COMPUTED_VALUE"""),"3671010310810004 ")</f>
        <v>3671010310810004 </v>
      </c>
      <c r="AC961" s="80" t="str">
        <f>IFERROR(__xludf.DUMMYFUNCTION("""COMPUTED_VALUE"""),"89.596.515.0-416.000")</f>
        <v>89.596.515.0-416.000</v>
      </c>
      <c r="AD961" s="80" t="str">
        <f>IFERROR(__xludf.DUMMYFUNCTION("""COMPUTED_VALUE"""),"CUM - PS - DWIH")</f>
        <v>CUM - PS - DWIH</v>
      </c>
      <c r="AE961" s="80" t="str">
        <f>IFERROR(__xludf.DUMMYFUNCTION("""COMPUTED_VALUE"""),"CUM - PS - DWIH")</f>
        <v>CUM - PS - DWIH</v>
      </c>
      <c r="AF961" s="80" t="str">
        <f>IFERROR(__xludf.DUMMYFUNCTION("""COMPUTED_VALUE"""),"083813495758")</f>
        <v>083813495758</v>
      </c>
      <c r="AG961" s="80"/>
      <c r="AH961" s="80" t="str">
        <f>IFERROR(__xludf.DUMMYFUNCTION("""COMPUTED_VALUE"""),"dedeabdussyukur1@gmail.com")</f>
        <v>dedeabdussyukur1@gmail.com</v>
      </c>
      <c r="AI961" s="80" t="str">
        <f>IFERROR(__xludf.DUMMYFUNCTION("""COMPUTED_VALUE"""),"15118S8")</f>
        <v>15118S8</v>
      </c>
      <c r="AJ961" s="80" t="str">
        <f>IFERROR(__xludf.DUMMYFUNCTION("""COMPUTED_VALUE"""),"6a1a48f67dc8cde83e0c5fd0")</f>
        <v>6a1a48f67dc8cde83e0c5fd0</v>
      </c>
      <c r="AK961" s="80" t="str">
        <f>IFERROR(__xludf.DUMMYFUNCTION("""COMPUTED_VALUE"""),"dedeabdussyukur1@gmail.com")</f>
        <v>dedeabdussyukur1@gmail.com</v>
      </c>
      <c r="AL961" s="80" t="str">
        <f>IFERROR(__xludf.DUMMYFUNCTION("""COMPUTED_VALUE"""),"#Muc15118S8$")</f>
        <v>#Muc15118S8$</v>
      </c>
      <c r="AM961" s="80" t="str">
        <f>IFERROR(__xludf.DUMMYFUNCTION("""COMPUTED_VALUE"""),"KANTOR REGIONAL II JAKARTA 10004")</f>
        <v>KANTOR REGIONAL II JAKARTA 10004</v>
      </c>
      <c r="AN961" s="80" t="str">
        <f>IFERROR(__xludf.DUMMYFUNCTION("""COMPUTED_VALUE"""),"KCU TANGERANG 15000")</f>
        <v>KCU TANGERANG 15000</v>
      </c>
      <c r="AO961" s="80"/>
      <c r="AP961" s="80"/>
      <c r="AQ961" s="83"/>
      <c r="AR961" s="80"/>
      <c r="AS961" s="80"/>
      <c r="AT961" s="80"/>
      <c r="AU961" s="80"/>
      <c r="AV961" s="80"/>
      <c r="AW961" s="80"/>
      <c r="AX961" s="80"/>
      <c r="AY961" s="80"/>
      <c r="AZ961" s="80"/>
      <c r="BA961" s="80"/>
      <c r="BB961" s="80"/>
      <c r="BC961" s="80"/>
      <c r="BD961" s="80"/>
      <c r="BE961" s="80"/>
      <c r="BF961" s="80"/>
      <c r="BG961" s="80"/>
      <c r="BH961" s="80"/>
      <c r="BI961" s="80"/>
      <c r="BJ961" s="80"/>
      <c r="BK961" s="80"/>
      <c r="BL961" s="80"/>
      <c r="BM961" s="80"/>
      <c r="BN961" s="80"/>
      <c r="BO961" s="80"/>
      <c r="BP961" s="80"/>
      <c r="BQ961" s="80"/>
      <c r="BR961" s="80"/>
      <c r="BS961" s="80"/>
      <c r="BT961" s="80"/>
      <c r="BU961" s="80"/>
      <c r="BV961" s="80"/>
      <c r="BW961" s="80"/>
      <c r="BX961" s="80"/>
      <c r="BY961" s="80"/>
      <c r="BZ961" s="80"/>
      <c r="CA961" s="80"/>
      <c r="CB961" s="80"/>
      <c r="CC961" s="80"/>
      <c r="CD961" s="80"/>
      <c r="CE961" s="80"/>
      <c r="CF961" s="80"/>
      <c r="CG961" s="80"/>
      <c r="CH961" s="80"/>
      <c r="CI961" s="80"/>
      <c r="CJ961" s="80"/>
      <c r="CK961" s="2"/>
    </row>
    <row r="962" ht="12.75" customHeight="1">
      <c r="A962" s="85">
        <f>IFERROR(__xludf.DUMMYFUNCTION("""COMPUTED_VALUE"""),958.0)</f>
        <v>958</v>
      </c>
      <c r="B962" s="85"/>
      <c r="C962" s="85"/>
      <c r="D962" s="86"/>
      <c r="E962" s="88"/>
      <c r="F962" s="85"/>
      <c r="G962" s="86">
        <f>IFERROR(__xludf.DUMMYFUNCTION("""COMPUTED_VALUE"""),46183.0)</f>
        <v>46183</v>
      </c>
      <c r="H962" s="85"/>
      <c r="I962" s="85"/>
      <c r="J962" s="85"/>
      <c r="K962" s="85"/>
      <c r="L962" s="85">
        <f>IFERROR(__xludf.DUMMYFUNCTION("""COMPUTED_VALUE"""),29.0)</f>
        <v>29</v>
      </c>
      <c r="M962" s="85" t="str">
        <f>IFERROR(__xludf.DUMMYFUNCTION("""COMPUTED_VALUE"""),"ü")</f>
        <v>ü</v>
      </c>
      <c r="N962" s="85"/>
      <c r="O962" s="85"/>
      <c r="P962" s="85" t="str">
        <f>IFERROR(__xludf.DUMMYFUNCTION("""COMPUTED_VALUE"""),"MUCSPA63423PSIND")</f>
        <v>MUCSPA63423PSIND</v>
      </c>
      <c r="Q962" s="85" t="str">
        <f>IFERROR(__xludf.DUMMYFUNCTION("""COMPUTED_VALUE"""),"MUC FAEZA")</f>
        <v>MUC FAEZA</v>
      </c>
      <c r="R962" s="85" t="str">
        <f>IFERROR(__xludf.DUMMYFUNCTION("""COMPUTED_VALUE"""),"MUC FAEZA")</f>
        <v>MUC FAEZA</v>
      </c>
      <c r="S962" s="85" t="str">
        <f>IFERROR(__xludf.DUMMYFUNCTION("""COMPUTED_VALUE"""),"ELITA DYAH KURNIATI")</f>
        <v>ELITA DYAH KURNIATI</v>
      </c>
      <c r="T962" s="85" t="str">
        <f>IFERROR(__xludf.DUMMYFUNCTION("""COMPUTED_VALUE"""),"PERUM PONDOK REJO ASRI RT 3 RW 13")</f>
        <v>PERUM PONDOK REJO ASRI RT 3 RW 13</v>
      </c>
      <c r="U962" s="85" t="str">
        <f>IFERROR(__xludf.DUMMYFUNCTION("""COMPUTED_VALUE"""),"JL. JAPUNAN - GLAGAH RT 1 RW 3")</f>
        <v>JL. JAPUNAN - GLAGAH RT 1 RW 3</v>
      </c>
      <c r="V962" s="85"/>
      <c r="W962" s="85" t="str">
        <f>IFERROR(__xludf.DUMMYFUNCTION("""COMPUTED_VALUE"""),"DANUREJO")</f>
        <v>DANUREJO</v>
      </c>
      <c r="X962" s="85" t="str">
        <f>IFERROR(__xludf.DUMMYFUNCTION("""COMPUTED_VALUE"""),"MERTOYUDAN")</f>
        <v>MERTOYUDAN</v>
      </c>
      <c r="Y962" s="85" t="str">
        <f>IFERROR(__xludf.DUMMYFUNCTION("""COMPUTED_VALUE"""),"KAB. MAGELANG")</f>
        <v>KAB. MAGELANG</v>
      </c>
      <c r="Z962" s="85" t="str">
        <f>IFERROR(__xludf.DUMMYFUNCTION("""COMPUTED_VALUE"""),"JAWA TENGAH")</f>
        <v>JAWA TENGAH</v>
      </c>
      <c r="AA962" s="85" t="str">
        <f>IFERROR(__xludf.DUMMYFUNCTION("""COMPUTED_VALUE"""),"56572")</f>
        <v>56572</v>
      </c>
      <c r="AB962" s="85" t="str">
        <f>IFERROR(__xludf.DUMMYFUNCTION("""COMPUTED_VALUE"""),"3308105607860003")</f>
        <v>3308105607860003</v>
      </c>
      <c r="AC962" s="85" t="str">
        <f>IFERROR(__xludf.DUMMYFUNCTION("""COMPUTED_VALUE"""),"89.102.381.4-532.000")</f>
        <v>89.102.381.4-532.000</v>
      </c>
      <c r="AD962" s="85" t="str">
        <f>IFERROR(__xludf.DUMMYFUNCTION("""COMPUTED_VALUE""")," BU ADILLA KC MAGELANG")</f>
        <v> BU ADILLA KC MAGELANG</v>
      </c>
      <c r="AE962" s="85" t="str">
        <f>IFERROR(__xludf.DUMMYFUNCTION("""COMPUTED_VALUE""")," BU ADILLA KC MAGELANG")</f>
        <v> BU ADILLA KC MAGELANG</v>
      </c>
      <c r="AF962" s="85" t="str">
        <f>IFERROR(__xludf.DUMMYFUNCTION("""COMPUTED_VALUE"""),"087836331343")</f>
        <v>087836331343</v>
      </c>
      <c r="AG962" s="85"/>
      <c r="AH962" s="85" t="str">
        <f>IFERROR(__xludf.DUMMYFUNCTION("""COMPUTED_VALUE"""),"elitadyah86@gmail.com")</f>
        <v>elitadyah86@gmail.com</v>
      </c>
      <c r="AI962" s="85" t="str">
        <f>IFERROR(__xludf.DUMMYFUNCTION("""COMPUTED_VALUE"""),"55655C8")</f>
        <v>55655C8</v>
      </c>
      <c r="AJ962" s="85" t="str">
        <f>IFERROR(__xludf.DUMMYFUNCTION("""COMPUTED_VALUE"""),"6a1cd8f1e829237d1508ec4b")</f>
        <v>6a1cd8f1e829237d1508ec4b</v>
      </c>
      <c r="AK962" s="85" t="str">
        <f>IFERROR(__xludf.DUMMYFUNCTION("""COMPUTED_VALUE"""),"elitadyah86@gmail.com")</f>
        <v>elitadyah86@gmail.com</v>
      </c>
      <c r="AL962" s="85" t="str">
        <f>IFERROR(__xludf.DUMMYFUNCTION("""COMPUTED_VALUE"""),"#Muc55655C8$")</f>
        <v>#Muc55655C8$</v>
      </c>
      <c r="AM962" s="85" t="str">
        <f>IFERROR(__xludf.DUMMYFUNCTION("""COMPUTED_VALUE"""),"KANTOR REGIONAL IV SEMARANG 50004")</f>
        <v>KANTOR REGIONAL IV SEMARANG 50004</v>
      </c>
      <c r="AN962" s="85" t="str">
        <f>IFERROR(__xludf.DUMMYFUNCTION("""COMPUTED_VALUE"""),"KC MAGELANG 56100")</f>
        <v>KC MAGELANG 56100</v>
      </c>
      <c r="AO962" s="85"/>
      <c r="AP962" s="85"/>
      <c r="AQ962" s="93"/>
      <c r="AR962" s="85"/>
      <c r="AS962" s="85"/>
      <c r="AT962" s="85"/>
      <c r="AU962" s="85"/>
      <c r="AV962" s="85"/>
      <c r="AW962" s="85"/>
      <c r="AX962" s="85"/>
      <c r="AY962" s="85"/>
      <c r="AZ962" s="85"/>
      <c r="BA962" s="85"/>
      <c r="BB962" s="85"/>
      <c r="BC962" s="85"/>
      <c r="BD962" s="85"/>
      <c r="BE962" s="85"/>
      <c r="BF962" s="85"/>
      <c r="BG962" s="85"/>
      <c r="BH962" s="85"/>
      <c r="BI962" s="85"/>
      <c r="BJ962" s="85"/>
      <c r="BK962" s="85"/>
      <c r="BL962" s="85"/>
      <c r="BM962" s="85"/>
      <c r="BN962" s="85"/>
      <c r="BO962" s="85"/>
      <c r="BP962" s="85"/>
      <c r="BQ962" s="85"/>
      <c r="BR962" s="85"/>
      <c r="BS962" s="85"/>
      <c r="BT962" s="85"/>
      <c r="BU962" s="85"/>
      <c r="BV962" s="85"/>
      <c r="BW962" s="85"/>
      <c r="BX962" s="85"/>
      <c r="BY962" s="85"/>
      <c r="BZ962" s="85"/>
      <c r="CA962" s="85"/>
      <c r="CB962" s="85"/>
      <c r="CC962" s="85"/>
      <c r="CD962" s="85"/>
      <c r="CE962" s="85"/>
      <c r="CF962" s="85"/>
      <c r="CG962" s="85"/>
      <c r="CH962" s="85"/>
      <c r="CI962" s="85"/>
      <c r="CJ962" s="85"/>
      <c r="CK962" s="2"/>
    </row>
    <row r="963" ht="12.75" customHeight="1">
      <c r="A963" s="80">
        <f>IFERROR(__xludf.DUMMYFUNCTION("""COMPUTED_VALUE"""),959.0)</f>
        <v>959</v>
      </c>
      <c r="B963" s="80"/>
      <c r="C963" s="80"/>
      <c r="D963" s="81"/>
      <c r="E963" s="82"/>
      <c r="F963" s="80"/>
      <c r="G963" s="81"/>
      <c r="H963" s="80"/>
      <c r="I963" s="80"/>
      <c r="J963" s="80"/>
      <c r="K963" s="80"/>
      <c r="L963" s="80"/>
      <c r="M963" s="80" t="str">
        <f>IFERROR(__xludf.DUMMYFUNCTION("""COMPUTED_VALUE"""),"ü")</f>
        <v>ü</v>
      </c>
      <c r="N963" s="80"/>
      <c r="O963" s="80"/>
      <c r="P963" s="80" t="str">
        <f>IFERROR(__xludf.DUMMYFUNCTION("""COMPUTED_VALUE"""),"MUCSPA63424PSIND")</f>
        <v>MUCSPA63424PSIND</v>
      </c>
      <c r="Q963" s="80" t="str">
        <f>IFERROR(__xludf.DUMMYFUNCTION("""COMPUTED_VALUE"""),"MUC AYAHANDA")</f>
        <v>MUC AYAHANDA</v>
      </c>
      <c r="R963" s="80" t="str">
        <f>IFERROR(__xludf.DUMMYFUNCTION("""COMPUTED_VALUE"""),"MUC AYAHANDA")</f>
        <v>MUC AYAHANDA</v>
      </c>
      <c r="S963" s="80" t="str">
        <f>IFERROR(__xludf.DUMMYFUNCTION("""COMPUTED_VALUE"""),"JHON SINAMBELA")</f>
        <v>JHON SINAMBELA</v>
      </c>
      <c r="T963" s="80" t="str">
        <f>IFERROR(__xludf.DUMMYFUNCTION("""COMPUTED_VALUE"""),"JL. MISTAR NO. 76 Sei Putih Barat Medan Petisah")</f>
        <v>JL. MISTAR NO. 76 Sei Putih Barat Medan Petisah</v>
      </c>
      <c r="U963" s="80" t="str">
        <f>IFERROR(__xludf.DUMMYFUNCTION("""COMPUTED_VALUE"""),"JALAN AYAHANDA no. 3   ")</f>
        <v>JALAN AYAHANDA no. 3   </v>
      </c>
      <c r="V963" s="80"/>
      <c r="W963" s="80" t="str">
        <f>IFERROR(__xludf.DUMMYFUNCTION("""COMPUTED_VALUE"""),"SEI PUTIH BARAT")</f>
        <v>SEI PUTIH BARAT</v>
      </c>
      <c r="X963" s="80" t="str">
        <f>IFERROR(__xludf.DUMMYFUNCTION("""COMPUTED_VALUE"""),"MEDAN PETISAH")</f>
        <v>MEDAN PETISAH</v>
      </c>
      <c r="Y963" s="80" t="str">
        <f>IFERROR(__xludf.DUMMYFUNCTION("""COMPUTED_VALUE"""),"MEDAN")</f>
        <v>MEDAN</v>
      </c>
      <c r="Z963" s="80" t="str">
        <f>IFERROR(__xludf.DUMMYFUNCTION("""COMPUTED_VALUE"""),"SUMATERA UTARA")</f>
        <v>SUMATERA UTARA</v>
      </c>
      <c r="AA963" s="80" t="str">
        <f>IFERROR(__xludf.DUMMYFUNCTION("""COMPUTED_VALUE"""),"20118")</f>
        <v>20118</v>
      </c>
      <c r="AB963" s="80" t="str">
        <f>IFERROR(__xludf.DUMMYFUNCTION("""COMPUTED_VALUE"""),"1271191202560002")</f>
        <v>1271191202560002</v>
      </c>
      <c r="AC963" s="80" t="str">
        <f>IFERROR(__xludf.DUMMYFUNCTION("""COMPUTED_VALUE"""),"891660706124000")</f>
        <v>891660706124000</v>
      </c>
      <c r="AD963" s="80" t="str">
        <f>IFERROR(__xludf.DUMMYFUNCTION("""COMPUTED_VALUE"""),"CUM-PS-SAYID")</f>
        <v>CUM-PS-SAYID</v>
      </c>
      <c r="AE963" s="80" t="str">
        <f>IFERROR(__xludf.DUMMYFUNCTION("""COMPUTED_VALUE"""),"CUM-PS-SAYID")</f>
        <v>CUM-PS-SAYID</v>
      </c>
      <c r="AF963" s="80" t="str">
        <f>IFERROR(__xludf.DUMMYFUNCTION("""COMPUTED_VALUE"""),"081365527342")</f>
        <v>081365527342</v>
      </c>
      <c r="AG963" s="80"/>
      <c r="AH963" s="80" t="str">
        <f>IFERROR(__xludf.DUMMYFUNCTION("""COMPUTED_VALUE"""),"jhonsinambela56@gmail.com")</f>
        <v>jhonsinambela56@gmail.com</v>
      </c>
      <c r="AI963" s="80"/>
      <c r="AJ963" s="80"/>
      <c r="AK963" s="80"/>
      <c r="AL963" s="80"/>
      <c r="AM963" s="80" t="str">
        <f>IFERROR(__xludf.DUMMYFUNCTION("""COMPUTED_VALUE"""),"KANTOR REGIONAL I MEDAN 20004")</f>
        <v>KANTOR REGIONAL I MEDAN 20004</v>
      </c>
      <c r="AN963" s="80" t="str">
        <f>IFERROR(__xludf.DUMMYFUNCTION("""COMPUTED_VALUE"""),"KCU MEDAN 20000")</f>
        <v>KCU MEDAN 20000</v>
      </c>
      <c r="AO963" s="80" t="str">
        <f>IFERROR(__xludf.DUMMYFUNCTION("""COMPUTED_VALUE"""),"1205260030771")</f>
        <v>1205260030771</v>
      </c>
      <c r="AP963" s="80" t="str">
        <f>IFERROR(__xludf.DUMMYFUNCTION("""COMPUTED_VALUE"""),"12052600307710001")</f>
        <v>12052600307710001</v>
      </c>
      <c r="AQ963" s="83" t="str">
        <f>IFERROR(__xludf.DUMMYFUNCTION("""COMPUTED_VALUE"""),"MANDIRI / 1050016275780 / JHON JOGIARA SINAMBELA")</f>
        <v>MANDIRI / 1050016275780 / JHON JOGIARA SINAMBELA</v>
      </c>
      <c r="AR963" s="80"/>
      <c r="AS963" s="80"/>
      <c r="AT963" s="80" t="str">
        <f>IFERROR(__xludf.DUMMYFUNCTION("""COMPUTED_VALUE"""),"359,160")</f>
        <v>359,160</v>
      </c>
      <c r="AU963" s="80" t="str">
        <f>IFERROR(__xludf.DUMMYFUNCTION("""COMPUTED_VALUE"""),"9,865,320")</f>
        <v>9,865,320</v>
      </c>
      <c r="AV963" s="80"/>
      <c r="AW963" s="80"/>
      <c r="AX963" s="80"/>
      <c r="AY963" s="80"/>
      <c r="AZ963" s="80"/>
      <c r="BA963" s="80"/>
      <c r="BB963" s="80"/>
      <c r="BC963" s="80"/>
      <c r="BD963" s="80"/>
      <c r="BE963" s="80"/>
      <c r="BF963" s="80"/>
      <c r="BG963" s="80"/>
      <c r="BH963" s="80"/>
      <c r="BI963" s="80"/>
      <c r="BJ963" s="80"/>
      <c r="BK963" s="80"/>
      <c r="BL963" s="80"/>
      <c r="BM963" s="80"/>
      <c r="BN963" s="80"/>
      <c r="BO963" s="80"/>
      <c r="BP963" s="80"/>
      <c r="BQ963" s="80"/>
      <c r="BR963" s="80"/>
      <c r="BS963" s="80"/>
      <c r="BT963" s="80"/>
      <c r="BU963" s="80"/>
      <c r="BV963" s="80"/>
      <c r="BW963" s="80"/>
      <c r="BX963" s="80"/>
      <c r="BY963" s="80"/>
      <c r="BZ963" s="80"/>
      <c r="CA963" s="80"/>
      <c r="CB963" s="80"/>
      <c r="CC963" s="80"/>
      <c r="CD963" s="80"/>
      <c r="CE963" s="80"/>
      <c r="CF963" s="80"/>
      <c r="CG963" s="80"/>
      <c r="CH963" s="80"/>
      <c r="CI963" s="80"/>
      <c r="CJ963" s="80"/>
      <c r="CK963" s="2"/>
    </row>
    <row r="964" ht="12.75" customHeight="1">
      <c r="A964" s="85">
        <f>IFERROR(__xludf.DUMMYFUNCTION("""COMPUTED_VALUE"""),960.0)</f>
        <v>960</v>
      </c>
      <c r="B964" s="85"/>
      <c r="C964" s="85"/>
      <c r="D964" s="86"/>
      <c r="E964" s="88"/>
      <c r="F964" s="85"/>
      <c r="G964" s="86"/>
      <c r="H964" s="85"/>
      <c r="I964" s="85"/>
      <c r="J964" s="85"/>
      <c r="K964" s="85"/>
      <c r="L964" s="85"/>
      <c r="M964" s="85" t="str">
        <f>IFERROR(__xludf.DUMMYFUNCTION("""COMPUTED_VALUE"""),"ü")</f>
        <v>ü</v>
      </c>
      <c r="N964" s="85"/>
      <c r="O964" s="85"/>
      <c r="P964" s="85" t="str">
        <f>IFERROR(__xludf.DUMMYFUNCTION("""COMPUTED_VALUE"""),"MUCSPA63424PSIND")</f>
        <v>MUCSPA63424PSIND</v>
      </c>
      <c r="Q964" s="85" t="str">
        <f>IFERROR(__xludf.DUMMYFUNCTION("""COMPUTED_VALUE"""),"MUC BAMBU 1")</f>
        <v>MUC BAMBU 1</v>
      </c>
      <c r="R964" s="85" t="str">
        <f>IFERROR(__xludf.DUMMYFUNCTION("""COMPUTED_VALUE"""),"MUC BAMBU 1")</f>
        <v>MUC BAMBU 1</v>
      </c>
      <c r="S964" s="85" t="str">
        <f>IFERROR(__xludf.DUMMYFUNCTION("""COMPUTED_VALUE"""),"AKIM RINA")</f>
        <v>AKIM RINA</v>
      </c>
      <c r="T964" s="85" t="str">
        <f>IFERROR(__xludf.DUMMYFUNCTION("""COMPUTED_VALUE"""),"JLN BAMBU I NO 23 RT 002 RW 002 KEL DURIAN KEC MEDAN TIMUR KOTA MEDAN SUMATERA UTARA")</f>
        <v>JLN BAMBU I NO 23 RT 002 RW 002 KEL DURIAN KEC MEDAN TIMUR KOTA MEDAN SUMATERA UTARA</v>
      </c>
      <c r="U964" s="85" t="str">
        <f>IFERROR(__xludf.DUMMYFUNCTION("""COMPUTED_VALUE"""),"JLN BAMBU I NO 23 RT 002 RW 002")</f>
        <v>JLN BAMBU I NO 23 RT 002 RW 002</v>
      </c>
      <c r="V964" s="85"/>
      <c r="W964" s="85" t="str">
        <f>IFERROR(__xludf.DUMMYFUNCTION("""COMPUTED_VALUE"""),"DURIAN ")</f>
        <v>DURIAN </v>
      </c>
      <c r="X964" s="85" t="str">
        <f>IFERROR(__xludf.DUMMYFUNCTION("""COMPUTED_VALUE"""),"MEDAN TIMUR")</f>
        <v>MEDAN TIMUR</v>
      </c>
      <c r="Y964" s="85" t="str">
        <f>IFERROR(__xludf.DUMMYFUNCTION("""COMPUTED_VALUE"""),"MEDAN")</f>
        <v>MEDAN</v>
      </c>
      <c r="Z964" s="85" t="str">
        <f>IFERROR(__xludf.DUMMYFUNCTION("""COMPUTED_VALUE"""),"SUMATERA UTARA")</f>
        <v>SUMATERA UTARA</v>
      </c>
      <c r="AA964" s="85" t="str">
        <f>IFERROR(__xludf.DUMMYFUNCTION("""COMPUTED_VALUE"""),"20235")</f>
        <v>20235</v>
      </c>
      <c r="AB964" s="85" t="str">
        <f>IFERROR(__xludf.DUMMYFUNCTION("""COMPUTED_VALUE"""),"1271200505630004")</f>
        <v>1271200505630004</v>
      </c>
      <c r="AC964" s="85" t="str">
        <f>IFERROR(__xludf.DUMMYFUNCTION("""COMPUTED_VALUE"""),"48.140.096.8-402.000")</f>
        <v>48.140.096.8-402.000</v>
      </c>
      <c r="AD964" s="85" t="str">
        <f>IFERROR(__xludf.DUMMYFUNCTION("""COMPUTED_VALUE"""),"CUM-PS-SAYID")</f>
        <v>CUM-PS-SAYID</v>
      </c>
      <c r="AE964" s="85" t="str">
        <f>IFERROR(__xludf.DUMMYFUNCTION("""COMPUTED_VALUE"""),"CUM-PS-SAYID")</f>
        <v>CUM-PS-SAYID</v>
      </c>
      <c r="AF964" s="85" t="str">
        <f>IFERROR(__xludf.DUMMYFUNCTION("""COMPUTED_VALUE"""),"08129301889")</f>
        <v>08129301889</v>
      </c>
      <c r="AG964" s="85"/>
      <c r="AH964" s="85" t="str">
        <f>IFERROR(__xludf.DUMMYFUNCTION("""COMPUTED_VALUE"""),"kmz0728@gmail.com")</f>
        <v>kmz0728@gmail.com</v>
      </c>
      <c r="AI964" s="85"/>
      <c r="AJ964" s="85"/>
      <c r="AK964" s="85"/>
      <c r="AL964" s="85"/>
      <c r="AM964" s="85" t="str">
        <f>IFERROR(__xludf.DUMMYFUNCTION("""COMPUTED_VALUE"""),"KANTOR REGIONAL I MEDAN 20004")</f>
        <v>KANTOR REGIONAL I MEDAN 20004</v>
      </c>
      <c r="AN964" s="85" t="str">
        <f>IFERROR(__xludf.DUMMYFUNCTION("""COMPUTED_VALUE"""),"KCU MEDAN 20000")</f>
        <v>KCU MEDAN 20000</v>
      </c>
      <c r="AO964" s="85"/>
      <c r="AP964" s="85"/>
      <c r="AQ964" s="93"/>
      <c r="AR964" s="85"/>
      <c r="AS964" s="85"/>
      <c r="AT964" s="85"/>
      <c r="AU964" s="85"/>
      <c r="AV964" s="85"/>
      <c r="AW964" s="85"/>
      <c r="AX964" s="85"/>
      <c r="AY964" s="85"/>
      <c r="AZ964" s="85"/>
      <c r="BA964" s="85"/>
      <c r="BB964" s="85"/>
      <c r="BC964" s="85"/>
      <c r="BD964" s="85"/>
      <c r="BE964" s="85"/>
      <c r="BF964" s="85"/>
      <c r="BG964" s="85"/>
      <c r="BH964" s="85"/>
      <c r="BI964" s="85"/>
      <c r="BJ964" s="85"/>
      <c r="BK964" s="85"/>
      <c r="BL964" s="85"/>
      <c r="BM964" s="85"/>
      <c r="BN964" s="85"/>
      <c r="BO964" s="85"/>
      <c r="BP964" s="85"/>
      <c r="BQ964" s="85"/>
      <c r="BR964" s="85"/>
      <c r="BS964" s="85"/>
      <c r="BT964" s="85"/>
      <c r="BU964" s="85"/>
      <c r="BV964" s="85"/>
      <c r="BW964" s="85"/>
      <c r="BX964" s="85"/>
      <c r="BY964" s="85"/>
      <c r="BZ964" s="85"/>
      <c r="CA964" s="85"/>
      <c r="CB964" s="85"/>
      <c r="CC964" s="85"/>
      <c r="CD964" s="85"/>
      <c r="CE964" s="85"/>
      <c r="CF964" s="85"/>
      <c r="CG964" s="85"/>
      <c r="CH964" s="85"/>
      <c r="CI964" s="85"/>
      <c r="CJ964" s="85"/>
      <c r="CK964" s="2"/>
    </row>
    <row r="965" ht="12.75" customHeight="1">
      <c r="A965" s="80">
        <f>IFERROR(__xludf.DUMMYFUNCTION("""COMPUTED_VALUE"""),961.0)</f>
        <v>961</v>
      </c>
      <c r="B965" s="80"/>
      <c r="C965" s="80"/>
      <c r="D965" s="81"/>
      <c r="E965" s="82"/>
      <c r="F965" s="80"/>
      <c r="G965" s="81"/>
      <c r="H965" s="80"/>
      <c r="I965" s="80"/>
      <c r="J965" s="80"/>
      <c r="K965" s="80"/>
      <c r="L965" s="80"/>
      <c r="M965" s="80" t="str">
        <f>IFERROR(__xludf.DUMMYFUNCTION("""COMPUTED_VALUE"""),"ü")</f>
        <v>ü</v>
      </c>
      <c r="N965" s="80"/>
      <c r="O965" s="80"/>
      <c r="P965" s="80" t="str">
        <f>IFERROR(__xludf.DUMMYFUNCTION("""COMPUTED_VALUE"""),"MUCSPA63446PSIND")</f>
        <v>MUCSPA63446PSIND</v>
      </c>
      <c r="Q965" s="80" t="str">
        <f>IFERROR(__xludf.DUMMYFUNCTION("""COMPUTED_VALUE"""),"MUC BERKAT JAYA")</f>
        <v>MUC BERKAT JAYA</v>
      </c>
      <c r="R965" s="80" t="str">
        <f>IFERROR(__xludf.DUMMYFUNCTION("""COMPUTED_VALUE"""),"MUC BERKAT JAYA")</f>
        <v>MUC BERKAT JAYA</v>
      </c>
      <c r="S965" s="80" t="str">
        <f>IFERROR(__xludf.DUMMYFUNCTION("""COMPUTED_VALUE"""),"RISDA VESTINA SEMBIRING")</f>
        <v>RISDA VESTINA SEMBIRING</v>
      </c>
      <c r="T965" s="80" t="str">
        <f>IFERROR(__xludf.DUMMYFUNCTION("""COMPUTED_VALUE"""),"PERUM TAMAN PESONA INDAH - C8 JLN SEROJA RAYA RT 000 RW 000 KEL TANJUNG SELAMAT  KEC MEDAN TUNTUNGAN KOTA MEDAN SUMATERA UTARA")</f>
        <v>PERUM TAMAN PESONA INDAH - C8 JLN SEROJA RAYA RT 000 RW 000 KEL TANJUNG SELAMAT  KEC MEDAN TUNTUNGAN KOTA MEDAN SUMATERA UTARA</v>
      </c>
      <c r="U965" s="80" t="str">
        <f>IFERROR(__xludf.DUMMYFUNCTION("""COMPUTED_VALUE"""),"PERUM TAMAN PESONA INDAH - C8 JLN SEROJA RAYA RT 000 RW 000")</f>
        <v>PERUM TAMAN PESONA INDAH - C8 JLN SEROJA RAYA RT 000 RW 000</v>
      </c>
      <c r="V965" s="80"/>
      <c r="W965" s="80" t="str">
        <f>IFERROR(__xludf.DUMMYFUNCTION("""COMPUTED_VALUE"""),"TANJUNG SELAMAT")</f>
        <v>TANJUNG SELAMAT</v>
      </c>
      <c r="X965" s="80" t="str">
        <f>IFERROR(__xludf.DUMMYFUNCTION("""COMPUTED_VALUE"""),"MEDAN TUNTUNGAN")</f>
        <v>MEDAN TUNTUNGAN</v>
      </c>
      <c r="Y965" s="80" t="str">
        <f>IFERROR(__xludf.DUMMYFUNCTION("""COMPUTED_VALUE"""),"MEDAN")</f>
        <v>MEDAN</v>
      </c>
      <c r="Z965" s="80" t="str">
        <f>IFERROR(__xludf.DUMMYFUNCTION("""COMPUTED_VALUE"""),"SUMATERA UTARA")</f>
        <v>SUMATERA UTARA</v>
      </c>
      <c r="AA965" s="80" t="str">
        <f>IFERROR(__xludf.DUMMYFUNCTION("""COMPUTED_VALUE"""),"20134")</f>
        <v>20134</v>
      </c>
      <c r="AB965" s="80" t="str">
        <f>IFERROR(__xludf.DUMMYFUNCTION("""COMPUTED_VALUE"""),"1211034906790001")</f>
        <v>1211034906790001</v>
      </c>
      <c r="AC965" s="80" t="str">
        <f>IFERROR(__xludf.DUMMYFUNCTION("""COMPUTED_VALUE"""),"72.150.392.8-125.000")</f>
        <v>72.150.392.8-125.000</v>
      </c>
      <c r="AD965" s="80" t="str">
        <f>IFERROR(__xludf.DUMMYFUNCTION("""COMPUTED_VALUE"""),"CUM-PS-SAYID")</f>
        <v>CUM-PS-SAYID</v>
      </c>
      <c r="AE965" s="80" t="str">
        <f>IFERROR(__xludf.DUMMYFUNCTION("""COMPUTED_VALUE"""),"CUM-PS-SAYID")</f>
        <v>CUM-PS-SAYID</v>
      </c>
      <c r="AF965" s="80" t="str">
        <f>IFERROR(__xludf.DUMMYFUNCTION("""COMPUTED_VALUE"""),"085261160138")</f>
        <v>085261160138</v>
      </c>
      <c r="AG965" s="80"/>
      <c r="AH965" s="80" t="str">
        <f>IFERROR(__xludf.DUMMYFUNCTION("""COMPUTED_VALUE"""),"vestinarisda@gmail.com")</f>
        <v>vestinarisda@gmail.com</v>
      </c>
      <c r="AI965" s="80"/>
      <c r="AJ965" s="80"/>
      <c r="AK965" s="80"/>
      <c r="AL965" s="80"/>
      <c r="AM965" s="80" t="str">
        <f>IFERROR(__xludf.DUMMYFUNCTION("""COMPUTED_VALUE"""),"KANTOR REGIONAL I MEDAN 20004")</f>
        <v>KANTOR REGIONAL I MEDAN 20004</v>
      </c>
      <c r="AN965" s="80" t="str">
        <f>IFERROR(__xludf.DUMMYFUNCTION("""COMPUTED_VALUE"""),"KCU MEDAN 20000")</f>
        <v>KCU MEDAN 20000</v>
      </c>
      <c r="AO965" s="80"/>
      <c r="AP965" s="80"/>
      <c r="AQ965" s="83"/>
      <c r="AR965" s="80"/>
      <c r="AS965" s="80"/>
      <c r="AT965" s="80"/>
      <c r="AU965" s="80"/>
      <c r="AV965" s="80"/>
      <c r="AW965" s="80"/>
      <c r="AX965" s="80"/>
      <c r="AY965" s="80"/>
      <c r="AZ965" s="80"/>
      <c r="BA965" s="80"/>
      <c r="BB965" s="80"/>
      <c r="BC965" s="80"/>
      <c r="BD965" s="80"/>
      <c r="BE965" s="80"/>
      <c r="BF965" s="80"/>
      <c r="BG965" s="80"/>
      <c r="BH965" s="80"/>
      <c r="BI965" s="80"/>
      <c r="BJ965" s="80"/>
      <c r="BK965" s="80"/>
      <c r="BL965" s="80"/>
      <c r="BM965" s="80"/>
      <c r="BN965" s="80"/>
      <c r="BO965" s="80"/>
      <c r="BP965" s="80"/>
      <c r="BQ965" s="80"/>
      <c r="BR965" s="80"/>
      <c r="BS965" s="80"/>
      <c r="BT965" s="80"/>
      <c r="BU965" s="80"/>
      <c r="BV965" s="80"/>
      <c r="BW965" s="80"/>
      <c r="BX965" s="80"/>
      <c r="BY965" s="80"/>
      <c r="BZ965" s="80"/>
      <c r="CA965" s="80"/>
      <c r="CB965" s="80"/>
      <c r="CC965" s="80"/>
      <c r="CD965" s="80"/>
      <c r="CE965" s="80"/>
      <c r="CF965" s="80"/>
      <c r="CG965" s="80"/>
      <c r="CH965" s="80"/>
      <c r="CI965" s="80"/>
      <c r="CJ965" s="80"/>
      <c r="CK965" s="2"/>
    </row>
    <row r="966" ht="12.75" customHeight="1">
      <c r="A966" s="85">
        <f>IFERROR(__xludf.DUMMYFUNCTION("""COMPUTED_VALUE"""),962.0)</f>
        <v>962</v>
      </c>
      <c r="B966" s="85"/>
      <c r="C966" s="85"/>
      <c r="D966" s="86"/>
      <c r="E966" s="88"/>
      <c r="F966" s="85"/>
      <c r="G966" s="86"/>
      <c r="H966" s="85"/>
      <c r="I966" s="85"/>
      <c r="J966" s="85"/>
      <c r="K966" s="85"/>
      <c r="L966" s="85"/>
      <c r="M966" s="85" t="str">
        <f>IFERROR(__xludf.DUMMYFUNCTION("""COMPUTED_VALUE"""),"ü")</f>
        <v>ü</v>
      </c>
      <c r="N966" s="85"/>
      <c r="O966" s="85"/>
      <c r="P966" s="85" t="str">
        <f>IFERROR(__xludf.DUMMYFUNCTION("""COMPUTED_VALUE"""),"MUCSPA63447PSIND")</f>
        <v>MUCSPA63447PSIND</v>
      </c>
      <c r="Q966" s="85" t="str">
        <f>IFERROR(__xludf.DUMMYFUNCTION("""COMPUTED_VALUE"""),"MUC JM 88")</f>
        <v>MUC JM 88</v>
      </c>
      <c r="R966" s="85" t="str">
        <f>IFERROR(__xludf.DUMMYFUNCTION("""COMPUTED_VALUE"""),"MUC JM 88")</f>
        <v>MUC JM 88</v>
      </c>
      <c r="S966" s="85" t="str">
        <f>IFERROR(__xludf.DUMMYFUNCTION("""COMPUTED_VALUE"""),"EDDY HALIM")</f>
        <v>EDDY HALIM</v>
      </c>
      <c r="T966" s="85" t="str">
        <f>IFERROR(__xludf.DUMMYFUNCTION("""COMPUTED_VALUE"""),"JLN SUNGGAL KOMP GREEN MEDITERANIA NO 63 RT 00 RW 00 KEL SUNGGAL KEC MEDAN SUNGGAL KOTA MEDAN SUMATERA UTARA")</f>
        <v>JLN SUNGGAL KOMP GREEN MEDITERANIA NO 63 RT 00 RW 00 KEL SUNGGAL KEC MEDAN SUNGGAL KOTA MEDAN SUMATERA UTARA</v>
      </c>
      <c r="U966" s="85" t="str">
        <f>IFERROR(__xludf.DUMMYFUNCTION("""COMPUTED_VALUE"""),"JLN SUNGGAL KOMP GREEN MEDITERANIA NO 63 RT 00 RW 00")</f>
        <v>JLN SUNGGAL KOMP GREEN MEDITERANIA NO 63 RT 00 RW 00</v>
      </c>
      <c r="V966" s="85"/>
      <c r="W966" s="85" t="str">
        <f>IFERROR(__xludf.DUMMYFUNCTION("""COMPUTED_VALUE"""),"SUNGGAL")</f>
        <v>SUNGGAL</v>
      </c>
      <c r="X966" s="85" t="str">
        <f>IFERROR(__xludf.DUMMYFUNCTION("""COMPUTED_VALUE"""),"MEDAN SUNGGAL")</f>
        <v>MEDAN SUNGGAL</v>
      </c>
      <c r="Y966" s="85" t="str">
        <f>IFERROR(__xludf.DUMMYFUNCTION("""COMPUTED_VALUE"""),"MEDAN")</f>
        <v>MEDAN</v>
      </c>
      <c r="Z966" s="85" t="str">
        <f>IFERROR(__xludf.DUMMYFUNCTION("""COMPUTED_VALUE"""),"SUMATERA UTARA")</f>
        <v>SUMATERA UTARA</v>
      </c>
      <c r="AA966" s="85" t="str">
        <f>IFERROR(__xludf.DUMMYFUNCTION("""COMPUTED_VALUE"""),"20234")</f>
        <v>20234</v>
      </c>
      <c r="AB966" s="85" t="str">
        <f>IFERROR(__xludf.DUMMYFUNCTION("""COMPUTED_VALUE"""),"1271201001880001")</f>
        <v>1271201001880001</v>
      </c>
      <c r="AC966" s="85" t="str">
        <f>IFERROR(__xludf.DUMMYFUNCTION("""COMPUTED_VALUE"""),"44.882.450.8-113.000")</f>
        <v>44.882.450.8-113.000</v>
      </c>
      <c r="AD966" s="85" t="str">
        <f>IFERROR(__xludf.DUMMYFUNCTION("""COMPUTED_VALUE"""),"CUM-PS-SAYID")</f>
        <v>CUM-PS-SAYID</v>
      </c>
      <c r="AE966" s="85" t="str">
        <f>IFERROR(__xludf.DUMMYFUNCTION("""COMPUTED_VALUE"""),"CUM-PS-SAYID")</f>
        <v>CUM-PS-SAYID</v>
      </c>
      <c r="AF966" s="85" t="str">
        <f>IFERROR(__xludf.DUMMYFUNCTION("""COMPUTED_VALUE"""),"0813605590977")</f>
        <v>0813605590977</v>
      </c>
      <c r="AG966" s="85"/>
      <c r="AH966" s="85" t="str">
        <f>IFERROR(__xludf.DUMMYFUNCTION("""COMPUTED_VALUE"""),"juraganmurah88@gmail.com")</f>
        <v>juraganmurah88@gmail.com</v>
      </c>
      <c r="AI966" s="85"/>
      <c r="AJ966" s="85"/>
      <c r="AK966" s="85"/>
      <c r="AL966" s="85"/>
      <c r="AM966" s="85" t="str">
        <f>IFERROR(__xludf.DUMMYFUNCTION("""COMPUTED_VALUE"""),"KANTOR REGIONAL I MEDAN 20004")</f>
        <v>KANTOR REGIONAL I MEDAN 20004</v>
      </c>
      <c r="AN966" s="85" t="str">
        <f>IFERROR(__xludf.DUMMYFUNCTION("""COMPUTED_VALUE"""),"KCU MEDAN 20000")</f>
        <v>KCU MEDAN 20000</v>
      </c>
      <c r="AO966" s="85"/>
      <c r="AP966" s="85"/>
      <c r="AQ966" s="93"/>
      <c r="AR966" s="85"/>
      <c r="AS966" s="85"/>
      <c r="AT966" s="85"/>
      <c r="AU966" s="85"/>
      <c r="AV966" s="85"/>
      <c r="AW966" s="85"/>
      <c r="AX966" s="85"/>
      <c r="AY966" s="85"/>
      <c r="AZ966" s="85"/>
      <c r="BA966" s="85"/>
      <c r="BB966" s="85"/>
      <c r="BC966" s="85"/>
      <c r="BD966" s="85"/>
      <c r="BE966" s="85"/>
      <c r="BF966" s="85"/>
      <c r="BG966" s="85"/>
      <c r="BH966" s="85"/>
      <c r="BI966" s="85"/>
      <c r="BJ966" s="85"/>
      <c r="BK966" s="85"/>
      <c r="BL966" s="85"/>
      <c r="BM966" s="85"/>
      <c r="BN966" s="85"/>
      <c r="BO966" s="85"/>
      <c r="BP966" s="85"/>
      <c r="BQ966" s="85"/>
      <c r="BR966" s="85"/>
      <c r="BS966" s="85"/>
      <c r="BT966" s="85"/>
      <c r="BU966" s="85"/>
      <c r="BV966" s="85"/>
      <c r="BW966" s="85"/>
      <c r="BX966" s="85"/>
      <c r="BY966" s="85"/>
      <c r="BZ966" s="85"/>
      <c r="CA966" s="85"/>
      <c r="CB966" s="85"/>
      <c r="CC966" s="85"/>
      <c r="CD966" s="85"/>
      <c r="CE966" s="85"/>
      <c r="CF966" s="85"/>
      <c r="CG966" s="85"/>
      <c r="CH966" s="85"/>
      <c r="CI966" s="85"/>
      <c r="CJ966" s="85"/>
      <c r="CK966" s="2"/>
    </row>
    <row r="967" ht="12.75" customHeight="1">
      <c r="A967" s="80">
        <f>IFERROR(__xludf.DUMMYFUNCTION("""COMPUTED_VALUE"""),963.0)</f>
        <v>963</v>
      </c>
      <c r="B967" s="80"/>
      <c r="C967" s="80"/>
      <c r="D967" s="81"/>
      <c r="E967" s="82"/>
      <c r="F967" s="80"/>
      <c r="G967" s="81">
        <f>IFERROR(__xludf.DUMMYFUNCTION("""COMPUTED_VALUE"""),46188.0)</f>
        <v>46188</v>
      </c>
      <c r="H967" s="80"/>
      <c r="I967" s="80"/>
      <c r="J967" s="80"/>
      <c r="K967" s="80"/>
      <c r="L967" s="80">
        <f>IFERROR(__xludf.DUMMYFUNCTION("""COMPUTED_VALUE"""),33.0)</f>
        <v>33</v>
      </c>
      <c r="M967" s="80" t="str">
        <f>IFERROR(__xludf.DUMMYFUNCTION("""COMPUTED_VALUE"""),"ü")</f>
        <v>ü</v>
      </c>
      <c r="N967" s="80"/>
      <c r="O967" s="80"/>
      <c r="P967" s="80" t="str">
        <f>IFERROR(__xludf.DUMMYFUNCTION("""COMPUTED_VALUE"""),"MUCSPA63448PSIND")</f>
        <v>MUCSPA63448PSIND</v>
      </c>
      <c r="Q967" s="80" t="str">
        <f>IFERROR(__xludf.DUMMYFUNCTION("""COMPUTED_VALUE"""),"MUC RUMAH ORANGE")</f>
        <v>MUC RUMAH ORANGE</v>
      </c>
      <c r="R967" s="80" t="str">
        <f>IFERROR(__xludf.DUMMYFUNCTION("""COMPUTED_VALUE"""),"MUC RUMAH ORANGE")</f>
        <v>MUC RUMAH ORANGE</v>
      </c>
      <c r="S967" s="80" t="str">
        <f>IFERROR(__xludf.DUMMYFUNCTION("""COMPUTED_VALUE"""),"SAYID DJUNAIDI")</f>
        <v>SAYID DJUNAIDI</v>
      </c>
      <c r="T967" s="80" t="str">
        <f>IFERROR(__xludf.DUMMYFUNCTION("""COMPUTED_VALUE"""),"BENTENG HILIR KOMP BAYU INDAH BLOK B01 TEMBUNG PERCUT SEI TUAN KAB DELI SERDANG SUMATERA UTARA")</f>
        <v>BENTENG HILIR KOMP BAYU INDAH BLOK B01 TEMBUNG PERCUT SEI TUAN KAB DELI SERDANG SUMATERA UTARA</v>
      </c>
      <c r="U967" s="80" t="str">
        <f>IFERROR(__xludf.DUMMYFUNCTION("""COMPUTED_VALUE"""),"Jl Benteng Hilir Komp Banyu Indah Blok B 01")</f>
        <v>Jl Benteng Hilir Komp Banyu Indah Blok B 01</v>
      </c>
      <c r="V967" s="80"/>
      <c r="W967" s="80" t="str">
        <f>IFERROR(__xludf.DUMMYFUNCTION("""COMPUTED_VALUE"""),"Tembung")</f>
        <v>Tembung</v>
      </c>
      <c r="X967" s="80" t="str">
        <f>IFERROR(__xludf.DUMMYFUNCTION("""COMPUTED_VALUE"""),"Percut Sei Tuan")</f>
        <v>Percut Sei Tuan</v>
      </c>
      <c r="Y967" s="80" t="str">
        <f>IFERROR(__xludf.DUMMYFUNCTION("""COMPUTED_VALUE"""),"Deli Serdang")</f>
        <v>Deli Serdang</v>
      </c>
      <c r="Z967" s="80" t="str">
        <f>IFERROR(__xludf.DUMMYFUNCTION("""COMPUTED_VALUE"""),"SUMATERA UTARA")</f>
        <v>SUMATERA UTARA</v>
      </c>
      <c r="AA967" s="80" t="str">
        <f>IFERROR(__xludf.DUMMYFUNCTION("""COMPUTED_VALUE"""),"20371")</f>
        <v>20371</v>
      </c>
      <c r="AB967" s="80" t="str">
        <f>IFERROR(__xludf.DUMMYFUNCTION("""COMPUTED_VALUE"""),"1207262705660006")</f>
        <v>1207262705660006</v>
      </c>
      <c r="AC967" s="80" t="str">
        <f>IFERROR(__xludf.DUMMYFUNCTION("""COMPUTED_VALUE"""),"81.314.602.4-125.000")</f>
        <v>81.314.602.4-125.000</v>
      </c>
      <c r="AD967" s="80" t="str">
        <f>IFERROR(__xludf.DUMMYFUNCTION("""COMPUTED_VALUE"""),"CUM-PS-SAYID")</f>
        <v>CUM-PS-SAYID</v>
      </c>
      <c r="AE967" s="80" t="str">
        <f>IFERROR(__xludf.DUMMYFUNCTION("""COMPUTED_VALUE"""),"CUM-PS-SAYID")</f>
        <v>CUM-PS-SAYID</v>
      </c>
      <c r="AF967" s="80" t="str">
        <f>IFERROR(__xludf.DUMMYFUNCTION("""COMPUTED_VALUE"""),"081360448911")</f>
        <v>081360448911</v>
      </c>
      <c r="AG967" s="80"/>
      <c r="AH967" s="80" t="str">
        <f>IFERROR(__xludf.DUMMYFUNCTION("""COMPUTED_VALUE"""),"sayiddjshahhab@gmail.com")</f>
        <v>sayiddjshahhab@gmail.com</v>
      </c>
      <c r="AI967" s="80" t="str">
        <f>IFERROR(__xludf.DUMMYFUNCTION("""COMPUTED_VALUE"""),"20371S8")</f>
        <v>20371S8</v>
      </c>
      <c r="AJ967" s="80" t="str">
        <f>IFERROR(__xludf.DUMMYFUNCTION("""COMPUTED_VALUE"""),"6a2e5e42f391a17bbf04324a")</f>
        <v>6a2e5e42f391a17bbf04324a</v>
      </c>
      <c r="AK967" s="80" t="str">
        <f>IFERROR(__xludf.DUMMYFUNCTION("""COMPUTED_VALUE"""),"rumahorange28052026@gmail.com")</f>
        <v>rumahorange28052026@gmail.com</v>
      </c>
      <c r="AL967" s="80" t="str">
        <f>IFERROR(__xludf.DUMMYFUNCTION("""COMPUTED_VALUE"""),"#Muc20371S8$")</f>
        <v>#Muc20371S8$</v>
      </c>
      <c r="AM967" s="80" t="str">
        <f>IFERROR(__xludf.DUMMYFUNCTION("""COMPUTED_VALUE"""),"KANTOR REGIONAL I MEDAN 20004")</f>
        <v>KANTOR REGIONAL I MEDAN 20004</v>
      </c>
      <c r="AN967" s="80" t="str">
        <f>IFERROR(__xludf.DUMMYFUNCTION("""COMPUTED_VALUE"""),"KCU MEDAN 20000")</f>
        <v>KCU MEDAN 20000</v>
      </c>
      <c r="AO967" s="80"/>
      <c r="AP967" s="80"/>
      <c r="AQ967" s="83"/>
      <c r="AR967" s="80"/>
      <c r="AS967" s="80"/>
      <c r="AT967" s="80"/>
      <c r="AU967" s="80"/>
      <c r="AV967" s="80"/>
      <c r="AW967" s="80"/>
      <c r="AX967" s="80"/>
      <c r="AY967" s="80"/>
      <c r="AZ967" s="80"/>
      <c r="BA967" s="80"/>
      <c r="BB967" s="80"/>
      <c r="BC967" s="80"/>
      <c r="BD967" s="80"/>
      <c r="BE967" s="80"/>
      <c r="BF967" s="80"/>
      <c r="BG967" s="80"/>
      <c r="BH967" s="80"/>
      <c r="BI967" s="80"/>
      <c r="BJ967" s="80"/>
      <c r="BK967" s="80"/>
      <c r="BL967" s="80"/>
      <c r="BM967" s="80"/>
      <c r="BN967" s="80"/>
      <c r="BO967" s="80"/>
      <c r="BP967" s="80"/>
      <c r="BQ967" s="80"/>
      <c r="BR967" s="80"/>
      <c r="BS967" s="80"/>
      <c r="BT967" s="80"/>
      <c r="BU967" s="80"/>
      <c r="BV967" s="80"/>
      <c r="BW967" s="80"/>
      <c r="BX967" s="80"/>
      <c r="BY967" s="80"/>
      <c r="BZ967" s="80"/>
      <c r="CA967" s="80"/>
      <c r="CB967" s="80"/>
      <c r="CC967" s="80"/>
      <c r="CD967" s="80"/>
      <c r="CE967" s="80"/>
      <c r="CF967" s="80"/>
      <c r="CG967" s="80"/>
      <c r="CH967" s="80"/>
      <c r="CI967" s="80"/>
      <c r="CJ967" s="80"/>
      <c r="CK967" s="2"/>
    </row>
    <row r="968" ht="12.75" customHeight="1">
      <c r="A968" s="85">
        <f>IFERROR(__xludf.DUMMYFUNCTION("""COMPUTED_VALUE"""),964.0)</f>
        <v>964</v>
      </c>
      <c r="B968" s="85"/>
      <c r="C968" s="85"/>
      <c r="D968" s="86"/>
      <c r="E968" s="88"/>
      <c r="F968" s="85"/>
      <c r="G968" s="86"/>
      <c r="H968" s="85"/>
      <c r="I968" s="85"/>
      <c r="J968" s="85"/>
      <c r="K968" s="85"/>
      <c r="L968" s="85"/>
      <c r="M968" s="85" t="str">
        <f>IFERROR(__xludf.DUMMYFUNCTION("""COMPUTED_VALUE"""),"ü")</f>
        <v>ü</v>
      </c>
      <c r="N968" s="85"/>
      <c r="O968" s="85"/>
      <c r="P968" s="85" t="str">
        <f>IFERROR(__xludf.DUMMYFUNCTION("""COMPUTED_VALUE"""),"MUCSPA63449PSIND")</f>
        <v>MUCSPA63449PSIND</v>
      </c>
      <c r="Q968" s="85" t="str">
        <f>IFERROR(__xludf.DUMMYFUNCTION("""COMPUTED_VALUE"""),"MUC RUMAH ORANGE 2")</f>
        <v>MUC RUMAH ORANGE 2</v>
      </c>
      <c r="R968" s="85" t="str">
        <f>IFERROR(__xludf.DUMMYFUNCTION("""COMPUTED_VALUE"""),"MUC RUMAH ORANGE 2")</f>
        <v>MUC RUMAH ORANGE 2</v>
      </c>
      <c r="S968" s="85" t="str">
        <f>IFERROR(__xludf.DUMMYFUNCTION("""COMPUTED_VALUE"""),"SAYID DJUNAIDI")</f>
        <v>SAYID DJUNAIDI</v>
      </c>
      <c r="T968" s="85" t="str">
        <f>IFERROR(__xludf.DUMMYFUNCTION("""COMPUTED_VALUE"""),"BENTENG HILIR KOMP BAYU INDAH BLOK B01 TEMBUNG PERCUT SEI TUAN KAB DELI SERDANG SUMATERA UTARA")</f>
        <v>BENTENG HILIR KOMP BAYU INDAH BLOK B01 TEMBUNG PERCUT SEI TUAN KAB DELI SERDANG SUMATERA UTARA</v>
      </c>
      <c r="U968" s="85" t="str">
        <f>IFERROR(__xludf.DUMMYFUNCTION("""COMPUTED_VALUE"""),"JALAN BERSAMA NO 272")</f>
        <v>JALAN BERSAMA NO 272</v>
      </c>
      <c r="V968" s="85"/>
      <c r="W968" s="85" t="str">
        <f>IFERROR(__xludf.DUMMYFUNCTION("""COMPUTED_VALUE"""),"Bantan")</f>
        <v>Bantan</v>
      </c>
      <c r="X968" s="85" t="str">
        <f>IFERROR(__xludf.DUMMYFUNCTION("""COMPUTED_VALUE"""),"Medan Tembung")</f>
        <v>Medan Tembung</v>
      </c>
      <c r="Y968" s="85" t="str">
        <f>IFERROR(__xludf.DUMMYFUNCTION("""COMPUTED_VALUE"""),"Medan")</f>
        <v>Medan</v>
      </c>
      <c r="Z968" s="85" t="str">
        <f>IFERROR(__xludf.DUMMYFUNCTION("""COMPUTED_VALUE"""),"SUMATERA UTARA")</f>
        <v>SUMATERA UTARA</v>
      </c>
      <c r="AA968" s="85" t="str">
        <f>IFERROR(__xludf.DUMMYFUNCTION("""COMPUTED_VALUE"""),"20225")</f>
        <v>20225</v>
      </c>
      <c r="AB968" s="85" t="str">
        <f>IFERROR(__xludf.DUMMYFUNCTION("""COMPUTED_VALUE"""),"1207262705660006")</f>
        <v>1207262705660006</v>
      </c>
      <c r="AC968" s="85" t="str">
        <f>IFERROR(__xludf.DUMMYFUNCTION("""COMPUTED_VALUE"""),"81.314.602.4-125.000")</f>
        <v>81.314.602.4-125.000</v>
      </c>
      <c r="AD968" s="85" t="str">
        <f>IFERROR(__xludf.DUMMYFUNCTION("""COMPUTED_VALUE"""),"CUM-PS-SAYID")</f>
        <v>CUM-PS-SAYID</v>
      </c>
      <c r="AE968" s="85" t="str">
        <f>IFERROR(__xludf.DUMMYFUNCTION("""COMPUTED_VALUE"""),"CUM-PS-SAYID")</f>
        <v>CUM-PS-SAYID</v>
      </c>
      <c r="AF968" s="85" t="str">
        <f>IFERROR(__xludf.DUMMYFUNCTION("""COMPUTED_VALUE"""),"081360448911")</f>
        <v>081360448911</v>
      </c>
      <c r="AG968" s="85"/>
      <c r="AH968" s="85" t="str">
        <f>IFERROR(__xludf.DUMMYFUNCTION("""COMPUTED_VALUE"""),"sayiddjshahhab@gmail.com")</f>
        <v>sayiddjshahhab@gmail.com</v>
      </c>
      <c r="AI968" s="85"/>
      <c r="AJ968" s="85"/>
      <c r="AK968" s="85"/>
      <c r="AL968" s="85"/>
      <c r="AM968" s="85" t="str">
        <f>IFERROR(__xludf.DUMMYFUNCTION("""COMPUTED_VALUE"""),"KANTOR REGIONAL I MEDAN 20004")</f>
        <v>KANTOR REGIONAL I MEDAN 20004</v>
      </c>
      <c r="AN968" s="85" t="str">
        <f>IFERROR(__xludf.DUMMYFUNCTION("""COMPUTED_VALUE"""),"KCU MEDAN 20000")</f>
        <v>KCU MEDAN 20000</v>
      </c>
      <c r="AO968" s="85"/>
      <c r="AP968" s="85"/>
      <c r="AQ968" s="93"/>
      <c r="AR968" s="85"/>
      <c r="AS968" s="85"/>
      <c r="AT968" s="85"/>
      <c r="AU968" s="85"/>
      <c r="AV968" s="85"/>
      <c r="AW968" s="85"/>
      <c r="AX968" s="85"/>
      <c r="AY968" s="85"/>
      <c r="AZ968" s="85"/>
      <c r="BA968" s="85"/>
      <c r="BB968" s="85"/>
      <c r="BC968" s="85"/>
      <c r="BD968" s="85"/>
      <c r="BE968" s="85"/>
      <c r="BF968" s="85"/>
      <c r="BG968" s="85"/>
      <c r="BH968" s="85"/>
      <c r="BI968" s="85"/>
      <c r="BJ968" s="85"/>
      <c r="BK968" s="85"/>
      <c r="BL968" s="85"/>
      <c r="BM968" s="85"/>
      <c r="BN968" s="85"/>
      <c r="BO968" s="85"/>
      <c r="BP968" s="85"/>
      <c r="BQ968" s="85"/>
      <c r="BR968" s="85"/>
      <c r="BS968" s="85"/>
      <c r="BT968" s="85"/>
      <c r="BU968" s="85"/>
      <c r="BV968" s="85"/>
      <c r="BW968" s="85"/>
      <c r="BX968" s="85"/>
      <c r="BY968" s="85"/>
      <c r="BZ968" s="85"/>
      <c r="CA968" s="85"/>
      <c r="CB968" s="85"/>
      <c r="CC968" s="85"/>
      <c r="CD968" s="85"/>
      <c r="CE968" s="85"/>
      <c r="CF968" s="85"/>
      <c r="CG968" s="85"/>
      <c r="CH968" s="85"/>
      <c r="CI968" s="85"/>
      <c r="CJ968" s="85"/>
      <c r="CK968" s="2"/>
    </row>
    <row r="969" ht="12.75" customHeight="1">
      <c r="A969" s="80">
        <f>IFERROR(__xludf.DUMMYFUNCTION("""COMPUTED_VALUE"""),965.0)</f>
        <v>965</v>
      </c>
      <c r="B969" s="80"/>
      <c r="C969" s="80"/>
      <c r="D969" s="81"/>
      <c r="E969" s="82"/>
      <c r="F969" s="80"/>
      <c r="G969" s="81"/>
      <c r="H969" s="80"/>
      <c r="I969" s="80"/>
      <c r="J969" s="80"/>
      <c r="K969" s="80"/>
      <c r="L969" s="80"/>
      <c r="M969" s="80" t="str">
        <f>IFERROR(__xludf.DUMMYFUNCTION("""COMPUTED_VALUE"""),"ü")</f>
        <v>ü</v>
      </c>
      <c r="N969" s="80"/>
      <c r="O969" s="80"/>
      <c r="P969" s="80" t="str">
        <f>IFERROR(__xludf.DUMMYFUNCTION("""COMPUTED_VALUE"""),"MUCSPA63450PSIND")</f>
        <v>MUCSPA63450PSIND</v>
      </c>
      <c r="Q969" s="80" t="str">
        <f>IFERROR(__xludf.DUMMYFUNCTION("""COMPUTED_VALUE"""),"MUC PERSATUAN")</f>
        <v>MUC PERSATUAN</v>
      </c>
      <c r="R969" s="80" t="str">
        <f>IFERROR(__xludf.DUMMYFUNCTION("""COMPUTED_VALUE"""),"MUC PERSATUAN")</f>
        <v>MUC PERSATUAN</v>
      </c>
      <c r="S969" s="80" t="str">
        <f>IFERROR(__xludf.DUMMYFUNCTION("""COMPUTED_VALUE"""),"DUDI SUJATMOKO")</f>
        <v>DUDI SUJATMOKO</v>
      </c>
      <c r="T969" s="80" t="str">
        <f>IFERROR(__xludf.DUMMYFUNCTION("""COMPUTED_VALUE"""),"JL. TAMAN SARI I/36 RT 3 RW 3 LEBAKBULUS CILANDAK JAKSEL")</f>
        <v>JL. TAMAN SARI I/36 RT 3 RW 3 LEBAKBULUS CILANDAK JAKSEL</v>
      </c>
      <c r="U969" s="80" t="str">
        <f>IFERROR(__xludf.DUMMYFUNCTION("""COMPUTED_VALUE"""),"JL. PERSATUAN NO. 2A")</f>
        <v>JL. PERSATUAN NO. 2A</v>
      </c>
      <c r="V969" s="80" t="str">
        <f>IFERROR(__xludf.DUMMYFUNCTION("""COMPUTED_VALUE"""),"RT 3 \ RW 3")</f>
        <v>RT 3 \ RW 3</v>
      </c>
      <c r="W969" s="80" t="str">
        <f>IFERROR(__xludf.DUMMYFUNCTION("""COMPUTED_VALUE"""),"CINERE")</f>
        <v>CINERE</v>
      </c>
      <c r="X969" s="80" t="str">
        <f>IFERROR(__xludf.DUMMYFUNCTION("""COMPUTED_VALUE"""),"CINERE")</f>
        <v>CINERE</v>
      </c>
      <c r="Y969" s="80" t="str">
        <f>IFERROR(__xludf.DUMMYFUNCTION("""COMPUTED_VALUE"""),"DEPOK")</f>
        <v>DEPOK</v>
      </c>
      <c r="Z969" s="80" t="str">
        <f>IFERROR(__xludf.DUMMYFUNCTION("""COMPUTED_VALUE"""),"JAWA BARAT")</f>
        <v>JAWA BARAT</v>
      </c>
      <c r="AA969" s="80" t="str">
        <f>IFERROR(__xludf.DUMMYFUNCTION("""COMPUTED_VALUE"""),"16541")</f>
        <v>16541</v>
      </c>
      <c r="AB969" s="80" t="str">
        <f>IFERROR(__xludf.DUMMYFUNCTION("""COMPUTED_VALUE"""),"3174062304720003")</f>
        <v>3174062304720003</v>
      </c>
      <c r="AC969" s="80" t="str">
        <f>IFERROR(__xludf.DUMMYFUNCTION("""COMPUTED_VALUE"""),"48.848.082.3-016.000")</f>
        <v>48.848.082.3-016.000</v>
      </c>
      <c r="AD969" s="80" t="str">
        <f>IFERROR(__xludf.DUMMYFUNCTION("""COMPUTED_VALUE"""),"PAK HADI KC DEPOK")</f>
        <v>PAK HADI KC DEPOK</v>
      </c>
      <c r="AE969" s="80" t="str">
        <f>IFERROR(__xludf.DUMMYFUNCTION("""COMPUTED_VALUE"""),"PAK HADI KC DEPOK")</f>
        <v>PAK HADI KC DEPOK</v>
      </c>
      <c r="AF969" s="80" t="str">
        <f>IFERROR(__xludf.DUMMYFUNCTION("""COMPUTED_VALUE"""),"081284455948")</f>
        <v>081284455948</v>
      </c>
      <c r="AG969" s="80" t="str">
        <f>IFERROR(__xludf.DUMMYFUNCTION("""COMPUTED_VALUE"""),"081284455948")</f>
        <v>081284455948</v>
      </c>
      <c r="AH969" s="80" t="str">
        <f>IFERROR(__xludf.DUMMYFUNCTION("""COMPUTED_VALUE"""),"dudisujatmokoslamet@gmail.com")</f>
        <v>dudisujatmokoslamet@gmail.com</v>
      </c>
      <c r="AI969" s="80"/>
      <c r="AJ969" s="80"/>
      <c r="AK969" s="80"/>
      <c r="AL969" s="80"/>
      <c r="AM969" s="80" t="str">
        <f>IFERROR(__xludf.DUMMYFUNCTION("""COMPUTED_VALUE"""),"KANTOR REGIONAL II JAKARTA 10004")</f>
        <v>KANTOR REGIONAL II JAKARTA 10004</v>
      </c>
      <c r="AN969" s="80" t="str">
        <f>IFERROR(__xludf.DUMMYFUNCTION("""COMPUTED_VALUE"""),"KC DEPOK 16400")</f>
        <v>KC DEPOK 16400</v>
      </c>
      <c r="AO969" s="80" t="str">
        <f>IFERROR(__xludf.DUMMYFUNCTION("""COMPUTED_VALUE"""),"2806220044582")</f>
        <v>2806220044582</v>
      </c>
      <c r="AP969" s="80" t="str">
        <f>IFERROR(__xludf.DUMMYFUNCTION("""COMPUTED_VALUE"""),"28062200445820001")</f>
        <v>28062200445820001</v>
      </c>
      <c r="AQ969" s="83" t="str">
        <f>IFERROR(__xludf.DUMMYFUNCTION("""COMPUTED_VALUE"""),"2670461354")</f>
        <v>2670461354</v>
      </c>
      <c r="AR969" s="80"/>
      <c r="AS969" s="80"/>
      <c r="AT969" s="80" t="str">
        <f>IFERROR(__xludf.DUMMYFUNCTION("""COMPUTED_VALUE"""),"-6.3317389")</f>
        <v>-6.3317389</v>
      </c>
      <c r="AU969" s="80" t="str">
        <f>IFERROR(__xludf.DUMMYFUNCTION("""COMPUTED_VALUE"""),",106.7873416")</f>
        <v>,106.7873416</v>
      </c>
      <c r="AV969" s="80"/>
      <c r="AW969" s="80"/>
      <c r="AX969" s="80"/>
      <c r="AY969" s="80"/>
      <c r="AZ969" s="80"/>
      <c r="BA969" s="80"/>
      <c r="BB969" s="80"/>
      <c r="BC969" s="80"/>
      <c r="BD969" s="80"/>
      <c r="BE969" s="80"/>
      <c r="BF969" s="80"/>
      <c r="BG969" s="80"/>
      <c r="BH969" s="80"/>
      <c r="BI969" s="80"/>
      <c r="BJ969" s="80"/>
      <c r="BK969" s="80"/>
      <c r="BL969" s="80"/>
      <c r="BM969" s="80"/>
      <c r="BN969" s="80"/>
      <c r="BO969" s="80"/>
      <c r="BP969" s="80"/>
      <c r="BQ969" s="80"/>
      <c r="BR969" s="80"/>
      <c r="BS969" s="80"/>
      <c r="BT969" s="80"/>
      <c r="BU969" s="80"/>
      <c r="BV969" s="80"/>
      <c r="BW969" s="80"/>
      <c r="BX969" s="80"/>
      <c r="BY969" s="80"/>
      <c r="BZ969" s="80"/>
      <c r="CA969" s="80"/>
      <c r="CB969" s="80"/>
      <c r="CC969" s="80"/>
      <c r="CD969" s="80"/>
      <c r="CE969" s="80"/>
      <c r="CF969" s="80"/>
      <c r="CG969" s="80"/>
      <c r="CH969" s="80"/>
      <c r="CI969" s="80"/>
      <c r="CJ969" s="80"/>
      <c r="CK969" s="2"/>
    </row>
    <row r="970" ht="12.75" customHeight="1">
      <c r="A970" s="85">
        <f>IFERROR(__xludf.DUMMYFUNCTION("""COMPUTED_VALUE"""),966.0)</f>
        <v>966</v>
      </c>
      <c r="B970" s="85"/>
      <c r="C970" s="85"/>
      <c r="D970" s="86"/>
      <c r="E970" s="88"/>
      <c r="F970" s="85"/>
      <c r="G970" s="86"/>
      <c r="H970" s="85"/>
      <c r="I970" s="85"/>
      <c r="J970" s="85"/>
      <c r="K970" s="85"/>
      <c r="L970" s="85"/>
      <c r="M970" s="85"/>
      <c r="N970" s="85"/>
      <c r="O970" s="85"/>
      <c r="P970" s="85" t="str">
        <f>IFERROR(__xludf.DUMMYFUNCTION("""COMPUTED_VALUE"""),"MUCSPA63451PSIND")</f>
        <v>MUCSPA63451PSIND</v>
      </c>
      <c r="Q970" s="85" t="str">
        <f>IFERROR(__xludf.DUMMYFUNCTION("""COMPUTED_VALUE"""),"MUC AM")</f>
        <v>MUC AM</v>
      </c>
      <c r="R970" s="85" t="str">
        <f>IFERROR(__xludf.DUMMYFUNCTION("""COMPUTED_VALUE"""),"MUC AM")</f>
        <v>MUC AM</v>
      </c>
      <c r="S970" s="85" t="str">
        <f>IFERROR(__xludf.DUMMYFUNCTION("""COMPUTED_VALUE"""),"MUHAMAD TARMIDZI")</f>
        <v>MUHAMAD TARMIDZI</v>
      </c>
      <c r="T970" s="85" t="str">
        <f>IFERROR(__xludf.DUMMYFUNCTION("""COMPUTED_VALUE"""),"KMP. BAHARI GG IV / 187 RT 8 RW 3 TANJUNG PRIOK")</f>
        <v>KMP. BAHARI GG IV / 187 RT 8 RW 3 TANJUNG PRIOK</v>
      </c>
      <c r="U970" s="85" t="str">
        <f>IFERROR(__xludf.DUMMYFUNCTION("""COMPUTED_VALUE"""),"JL. MARUNDA MAKMUR (JALA/AKSES MENUJU STIP MARUNDA)")</f>
        <v>JL. MARUNDA MAKMUR (JALA/AKSES MENUJU STIP MARUNDA)</v>
      </c>
      <c r="V970" s="85" t="str">
        <f>IFERROR(__xludf.DUMMYFUNCTION("""COMPUTED_VALUE"""),"RT 8 R \ RW 3 T")</f>
        <v>RT 8 R \ RW 3 T</v>
      </c>
      <c r="W970" s="85" t="str">
        <f>IFERROR(__xludf.DUMMYFUNCTION("""COMPUTED_VALUE"""),"MARUNDA")</f>
        <v>MARUNDA</v>
      </c>
      <c r="X970" s="85" t="str">
        <f>IFERROR(__xludf.DUMMYFUNCTION("""COMPUTED_VALUE"""),"CILINCING")</f>
        <v>CILINCING</v>
      </c>
      <c r="Y970" s="85" t="str">
        <f>IFERROR(__xludf.DUMMYFUNCTION("""COMPUTED_VALUE"""),"JAKARTA UTARA")</f>
        <v>JAKARTA UTARA</v>
      </c>
      <c r="Z970" s="85" t="str">
        <f>IFERROR(__xludf.DUMMYFUNCTION("""COMPUTED_VALUE"""),"DKI JAKARTA")</f>
        <v>DKI JAKARTA</v>
      </c>
      <c r="AA970" s="85" t="str">
        <f>IFERROR(__xludf.DUMMYFUNCTION("""COMPUTED_VALUE"""),"14150")</f>
        <v>14150</v>
      </c>
      <c r="AB970" s="85" t="str">
        <f>IFERROR(__xludf.DUMMYFUNCTION("""COMPUTED_VALUE"""),"3172031304860001")</f>
        <v>3172031304860001</v>
      </c>
      <c r="AC970" s="85" t="str">
        <f>IFERROR(__xludf.DUMMYFUNCTION("""COMPUTED_VALUE"""),"80.945.664.3-042.000")</f>
        <v>80.945.664.3-042.000</v>
      </c>
      <c r="AD970" s="85" t="str">
        <f>IFERROR(__xludf.DUMMYFUNCTION("""COMPUTED_VALUE"""),"CUM - PS - ARKT")</f>
        <v>CUM - PS - ARKT</v>
      </c>
      <c r="AE970" s="85" t="str">
        <f>IFERROR(__xludf.DUMMYFUNCTION("""COMPUTED_VALUE"""),"CUM - PS - ARKT")</f>
        <v>CUM - PS - ARKT</v>
      </c>
      <c r="AF970" s="85" t="str">
        <f>IFERROR(__xludf.DUMMYFUNCTION("""COMPUTED_VALUE"""),"085811707718")</f>
        <v>085811707718</v>
      </c>
      <c r="AG970" s="85" t="str">
        <f>IFERROR(__xludf.DUMMYFUNCTION("""COMPUTED_VALUE"""),"085811707718")</f>
        <v>085811707718</v>
      </c>
      <c r="AH970" s="85" t="str">
        <f>IFERROR(__xludf.DUMMYFUNCTION("""COMPUTED_VALUE"""),"tarmidzi000@gmail.com")</f>
        <v>tarmidzi000@gmail.com</v>
      </c>
      <c r="AI970" s="85"/>
      <c r="AJ970" s="85"/>
      <c r="AK970" s="85"/>
      <c r="AL970" s="85"/>
      <c r="AM970" s="85" t="str">
        <f>IFERROR(__xludf.DUMMYFUNCTION("""COMPUTED_VALUE"""),"KANTOR REGIONAL II JAKARTA 10004")</f>
        <v>KANTOR REGIONAL II JAKARTA 10004</v>
      </c>
      <c r="AN970" s="85" t="str">
        <f>IFERROR(__xludf.DUMMYFUNCTION("""COMPUTED_VALUE"""),"KCU JAKARTAPREMIER 13000")</f>
        <v>KCU JAKARTAPREMIER 13000</v>
      </c>
      <c r="AO970" s="85" t="str">
        <f>IFERROR(__xludf.DUMMYFUNCTION("""COMPUTED_VALUE"""),"1205260105144")</f>
        <v>1205260105144</v>
      </c>
      <c r="AP970" s="85" t="str">
        <f>IFERROR(__xludf.DUMMYFUNCTION("""COMPUTED_VALUE"""),"12052601051440002")</f>
        <v>12052601051440002</v>
      </c>
      <c r="AQ970" s="93" t="str">
        <f>IFERROR(__xludf.DUMMYFUNCTION("""COMPUTED_VALUE"""),"2023166998")</f>
        <v>2023166998</v>
      </c>
      <c r="AR970" s="85"/>
      <c r="AS970" s="85"/>
      <c r="AT970" s="85" t="str">
        <f>IFERROR(__xludf.DUMMYFUNCTION("""COMPUTED_VALUE"""),"-6.1075811")</f>
        <v>-6.1075811</v>
      </c>
      <c r="AU970" s="85" t="str">
        <f>IFERROR(__xludf.DUMMYFUNCTION("""COMPUTED_VALUE"""),"106.9408511")</f>
        <v>106.9408511</v>
      </c>
      <c r="AV970" s="85"/>
      <c r="AW970" s="85"/>
      <c r="AX970" s="85"/>
      <c r="AY970" s="85"/>
      <c r="AZ970" s="85"/>
      <c r="BA970" s="85"/>
      <c r="BB970" s="85"/>
      <c r="BC970" s="85"/>
      <c r="BD970" s="85"/>
      <c r="BE970" s="85"/>
      <c r="BF970" s="85"/>
      <c r="BG970" s="85"/>
      <c r="BH970" s="85"/>
      <c r="BI970" s="85"/>
      <c r="BJ970" s="85"/>
      <c r="BK970" s="85"/>
      <c r="BL970" s="85"/>
      <c r="BM970" s="85"/>
      <c r="BN970" s="85"/>
      <c r="BO970" s="85"/>
      <c r="BP970" s="85"/>
      <c r="BQ970" s="85"/>
      <c r="BR970" s="85"/>
      <c r="BS970" s="85"/>
      <c r="BT970" s="85"/>
      <c r="BU970" s="85"/>
      <c r="BV970" s="85"/>
      <c r="BW970" s="85"/>
      <c r="BX970" s="85"/>
      <c r="BY970" s="85"/>
      <c r="BZ970" s="85"/>
      <c r="CA970" s="85"/>
      <c r="CB970" s="85"/>
      <c r="CC970" s="85"/>
      <c r="CD970" s="85"/>
      <c r="CE970" s="85"/>
      <c r="CF970" s="85"/>
      <c r="CG970" s="85"/>
      <c r="CH970" s="85"/>
      <c r="CI970" s="85"/>
      <c r="CJ970" s="85"/>
      <c r="CK970" s="2"/>
    </row>
    <row r="971" ht="12.75" customHeight="1">
      <c r="A971" s="80">
        <f>IFERROR(__xludf.DUMMYFUNCTION("""COMPUTED_VALUE"""),967.0)</f>
        <v>967</v>
      </c>
      <c r="B971" s="80"/>
      <c r="C971" s="80"/>
      <c r="D971" s="81">
        <f>IFERROR(__xludf.DUMMYFUNCTION("""COMPUTED_VALUE"""),46160.0)</f>
        <v>46160</v>
      </c>
      <c r="E971" s="82"/>
      <c r="F971" s="80"/>
      <c r="G971" s="81">
        <f>IFERROR(__xludf.DUMMYFUNCTION("""COMPUTED_VALUE"""),46170.0)</f>
        <v>46170</v>
      </c>
      <c r="H971" s="80"/>
      <c r="I971" s="80"/>
      <c r="J971" s="80"/>
      <c r="K971" s="80"/>
      <c r="L971" s="80">
        <f>IFERROR(__xludf.DUMMYFUNCTION("""COMPUTED_VALUE"""),10.0)</f>
        <v>10</v>
      </c>
      <c r="M971" s="80"/>
      <c r="N971" s="80"/>
      <c r="O971" s="80"/>
      <c r="P971" s="80" t="str">
        <f>IFERROR(__xludf.DUMMYFUNCTION("""COMPUTED_VALUE"""),"MUCSPA63452PSIND")</f>
        <v>MUCSPA63452PSIND</v>
      </c>
      <c r="Q971" s="80" t="str">
        <f>IFERROR(__xludf.DUMMYFUNCTION("""COMPUTED_VALUE"""),"MUC CEMARA RINGROAD")</f>
        <v>MUC CEMARA RINGROAD</v>
      </c>
      <c r="R971" s="80" t="str">
        <f>IFERROR(__xludf.DUMMYFUNCTION("""COMPUTED_VALUE"""),"MUC CEMARA RINGROAD")</f>
        <v>MUC CEMARA RINGROAD</v>
      </c>
      <c r="S971" s="80" t="str">
        <f>IFERROR(__xludf.DUMMYFUNCTION("""COMPUTED_VALUE"""),"JEFFERY OHARY")</f>
        <v>JEFFERY OHARY</v>
      </c>
      <c r="T971" s="80" t="str">
        <f>IFERROR(__xludf.DUMMYFUNCTION("""COMPUTED_VALUE"""),"JLN LANGSA NO 12 RT 019 RW 007 KEL PANDAU HULU 1 KEC MEDAN KOTA KOTA MEDAN SUMATERA UTARA")</f>
        <v>JLN LANGSA NO 12 RT 019 RW 007 KEL PANDAU HULU 1 KEC MEDAN KOTA KOTA MEDAN SUMATERA UTARA</v>
      </c>
      <c r="U971" s="80" t="str">
        <f>IFERROR(__xludf.DUMMYFUNCTION("""COMPUTED_VALUE"""),"Jalan Cemara No 34 D")</f>
        <v>Jalan Cemara No 34 D</v>
      </c>
      <c r="V971" s="80" t="str">
        <f>IFERROR(__xludf.DUMMYFUNCTION("""COMPUTED_VALUE"""),"RT 019 \ RW 007")</f>
        <v>RT 019 \ RW 007</v>
      </c>
      <c r="W971" s="80" t="str">
        <f>IFERROR(__xludf.DUMMYFUNCTION("""COMPUTED_VALUE"""),"P Berayan Darat II")</f>
        <v>P Berayan Darat II</v>
      </c>
      <c r="X971" s="80" t="str">
        <f>IFERROR(__xludf.DUMMYFUNCTION("""COMPUTED_VALUE"""),"Medan Timur")</f>
        <v>Medan Timur</v>
      </c>
      <c r="Y971" s="80" t="str">
        <f>IFERROR(__xludf.DUMMYFUNCTION("""COMPUTED_VALUE"""),"Medan")</f>
        <v>Medan</v>
      </c>
      <c r="Z971" s="80" t="str">
        <f>IFERROR(__xludf.DUMMYFUNCTION("""COMPUTED_VALUE"""),"Sumatera Utara")</f>
        <v>Sumatera Utara</v>
      </c>
      <c r="AA971" s="80" t="str">
        <f>IFERROR(__xludf.DUMMYFUNCTION("""COMPUTED_VALUE"""),"20239")</f>
        <v>20239</v>
      </c>
      <c r="AB971" s="80" t="str">
        <f>IFERROR(__xludf.DUMMYFUNCTION("""COMPUTED_VALUE"""),"1271010408680002")</f>
        <v>1271010408680002</v>
      </c>
      <c r="AC971" s="80" t="str">
        <f>IFERROR(__xludf.DUMMYFUNCTION("""COMPUTED_VALUE"""),"12.710.104.0-868.0002")</f>
        <v>12.710.104.0-868.0002</v>
      </c>
      <c r="AD971" s="80" t="str">
        <f>IFERROR(__xludf.DUMMYFUNCTION("""COMPUTED_VALUE"""),"SAYID DJUNAIDI (CUM-PS-SAYID)")</f>
        <v>SAYID DJUNAIDI (CUM-PS-SAYID)</v>
      </c>
      <c r="AE971" s="80" t="str">
        <f>IFERROR(__xludf.DUMMYFUNCTION("""COMPUTED_VALUE"""),"SAYID DJUNAIDI (CUM-PS-SAYID)")</f>
        <v>SAYID DJUNAIDI (CUM-PS-SAYID)</v>
      </c>
      <c r="AF971" s="80" t="str">
        <f>IFERROR(__xludf.DUMMYFUNCTION("""COMPUTED_VALUE"""),"0811643827")</f>
        <v>0811643827</v>
      </c>
      <c r="AG971" s="80" t="str">
        <f>IFERROR(__xludf.DUMMYFUNCTION("""COMPUTED_VALUE"""),"0811643827")</f>
        <v>0811643827</v>
      </c>
      <c r="AH971" s="80" t="str">
        <f>IFERROR(__xludf.DUMMYFUNCTION("""COMPUTED_VALUE"""),"pos.cemararingroad@gmail.com")</f>
        <v>pos.cemararingroad@gmail.com</v>
      </c>
      <c r="AI971" s="80" t="str">
        <f>IFERROR(__xludf.DUMMYFUNCTION("""COMPUTED_VALUE"""),"20239S6")</f>
        <v>20239S6</v>
      </c>
      <c r="AJ971" s="80" t="str">
        <f>IFERROR(__xludf.DUMMYFUNCTION("""COMPUTED_VALUE"""),"6a182aa7f6c56e0b22010963")</f>
        <v>6a182aa7f6c56e0b22010963</v>
      </c>
      <c r="AK971" s="80" t="str">
        <f>IFERROR(__xludf.DUMMYFUNCTION("""COMPUTED_VALUE"""),"pos.cemararingroad@gmail.com")</f>
        <v>pos.cemararingroad@gmail.com</v>
      </c>
      <c r="AL971" s="80" t="str">
        <f>IFERROR(__xludf.DUMMYFUNCTION("""COMPUTED_VALUE"""),"#Muc20239S6$")</f>
        <v>#Muc20239S6$</v>
      </c>
      <c r="AM971" s="80" t="str">
        <f>IFERROR(__xludf.DUMMYFUNCTION("""COMPUTED_VALUE"""),"KANTOR REGIONAL I MEDAN 20004")</f>
        <v>KANTOR REGIONAL I MEDAN 20004</v>
      </c>
      <c r="AN971" s="80" t="str">
        <f>IFERROR(__xludf.DUMMYFUNCTION("""COMPUTED_VALUE"""),"KCU MEDAN 20000")</f>
        <v>KCU MEDAN 20000</v>
      </c>
      <c r="AO971" s="80" t="str">
        <f>IFERROR(__xludf.DUMMYFUNCTION("""COMPUTED_VALUE"""),"0808220064584")</f>
        <v>0808220064584</v>
      </c>
      <c r="AP971" s="80" t="str">
        <f>IFERROR(__xludf.DUMMYFUNCTION("""COMPUTED_VALUE"""),"08082200645840001")</f>
        <v>08082200645840001</v>
      </c>
      <c r="AQ971" s="83" t="str">
        <f>IFERROR(__xludf.DUMMYFUNCTION("""COMPUTED_VALUE"""),"1950034536")</f>
        <v>1950034536</v>
      </c>
      <c r="AR971" s="80"/>
      <c r="AS971" s="80"/>
      <c r="AT971" s="80" t="str">
        <f>IFERROR(__xludf.DUMMYFUNCTION("""COMPUTED_VALUE"""),"3600882")</f>
        <v>3600882</v>
      </c>
      <c r="AU971" s="80" t="str">
        <f>IFERROR(__xludf.DUMMYFUNCTION("""COMPUTED_VALUE"""),"987105130")</f>
        <v>987105130</v>
      </c>
      <c r="AV971" s="80"/>
      <c r="AW971" s="80"/>
      <c r="AX971" s="80"/>
      <c r="AY971" s="80"/>
      <c r="AZ971" s="80"/>
      <c r="BA971" s="80"/>
      <c r="BB971" s="80"/>
      <c r="BC971" s="80"/>
      <c r="BD971" s="80"/>
      <c r="BE971" s="80"/>
      <c r="BF971" s="80"/>
      <c r="BG971" s="80"/>
      <c r="BH971" s="80"/>
      <c r="BI971" s="80"/>
      <c r="BJ971" s="80"/>
      <c r="BK971" s="80"/>
      <c r="BL971" s="80"/>
      <c r="BM971" s="80"/>
      <c r="BN971" s="80"/>
      <c r="BO971" s="80"/>
      <c r="BP971" s="80"/>
      <c r="BQ971" s="80"/>
      <c r="BR971" s="80"/>
      <c r="BS971" s="80"/>
      <c r="BT971" s="80"/>
      <c r="BU971" s="80"/>
      <c r="BV971" s="80"/>
      <c r="BW971" s="80"/>
      <c r="BX971" s="80"/>
      <c r="BY971" s="80"/>
      <c r="BZ971" s="80"/>
      <c r="CA971" s="80"/>
      <c r="CB971" s="80"/>
      <c r="CC971" s="80"/>
      <c r="CD971" s="80"/>
      <c r="CE971" s="80"/>
      <c r="CF971" s="80"/>
      <c r="CG971" s="80"/>
      <c r="CH971" s="80"/>
      <c r="CI971" s="80"/>
      <c r="CJ971" s="80"/>
      <c r="CK971" s="2"/>
    </row>
    <row r="972" ht="12.75" customHeight="1">
      <c r="A972" s="85">
        <f>IFERROR(__xludf.DUMMYFUNCTION("""COMPUTED_VALUE"""),968.0)</f>
        <v>968</v>
      </c>
      <c r="B972" s="85"/>
      <c r="C972" s="85"/>
      <c r="D972" s="86"/>
      <c r="E972" s="88"/>
      <c r="F972" s="85"/>
      <c r="G972" s="86"/>
      <c r="H972" s="85"/>
      <c r="I972" s="85"/>
      <c r="J972" s="85"/>
      <c r="K972" s="85"/>
      <c r="L972" s="85"/>
      <c r="M972" s="85"/>
      <c r="N972" s="85"/>
      <c r="O972" s="85"/>
      <c r="P972" s="85" t="str">
        <f>IFERROR(__xludf.DUMMYFUNCTION("""COMPUTED_VALUE"""),"MUCSPA63455PSIND")</f>
        <v>MUCSPA63455PSIND</v>
      </c>
      <c r="Q972" s="85" t="str">
        <f>IFERROR(__xludf.DUMMYFUNCTION("""COMPUTED_VALUE"""),"MUC RAISHANI")</f>
        <v>MUC RAISHANI</v>
      </c>
      <c r="R972" s="85" t="str">
        <f>IFERROR(__xludf.DUMMYFUNCTION("""COMPUTED_VALUE"""),"MUC RAISHANI")</f>
        <v>MUC RAISHANI</v>
      </c>
      <c r="S972" s="85" t="str">
        <f>IFERROR(__xludf.DUMMYFUNCTION("""COMPUTED_VALUE"""),"SYUKUR FITRIANI")</f>
        <v>SYUKUR FITRIANI</v>
      </c>
      <c r="T972" s="85" t="str">
        <f>IFERROR(__xludf.DUMMYFUNCTION("""COMPUTED_VALUE"""),"KOMP TASBI BLOK E NO 15 KEL TANJUNG REJO KEC MEDAN SUNGGAL KOTA MEDAN SUMATERA UTARA")</f>
        <v>KOMP TASBI BLOK E NO 15 KEL TANJUNG REJO KEC MEDAN SUNGGAL KOTA MEDAN SUMATERA UTARA</v>
      </c>
      <c r="U972" s="85" t="str">
        <f>IFERROR(__xludf.DUMMYFUNCTION("""COMPUTED_VALUE"""),"JALAN PASAR 1 RUKO SETIA BUDI ESTATE NO 5")</f>
        <v>JALAN PASAR 1 RUKO SETIA BUDI ESTATE NO 5</v>
      </c>
      <c r="V972" s="85"/>
      <c r="W972" s="85" t="str">
        <f>IFERROR(__xludf.DUMMYFUNCTION("""COMPUTED_VALUE"""),"TANJUNG SARI")</f>
        <v>TANJUNG SARI</v>
      </c>
      <c r="X972" s="85" t="str">
        <f>IFERROR(__xludf.DUMMYFUNCTION("""COMPUTED_VALUE"""),"MEDAN SELAYANG")</f>
        <v>MEDAN SELAYANG</v>
      </c>
      <c r="Y972" s="85" t="str">
        <f>IFERROR(__xludf.DUMMYFUNCTION("""COMPUTED_VALUE"""),"MEDAN")</f>
        <v>MEDAN</v>
      </c>
      <c r="Z972" s="85" t="str">
        <f>IFERROR(__xludf.DUMMYFUNCTION("""COMPUTED_VALUE"""),"SUMATERA UTARA")</f>
        <v>SUMATERA UTARA</v>
      </c>
      <c r="AA972" s="85" t="str">
        <f>IFERROR(__xludf.DUMMYFUNCTION("""COMPUTED_VALUE"""),"20132")</f>
        <v>20132</v>
      </c>
      <c r="AB972" s="85" t="str">
        <f>IFERROR(__xludf.DUMMYFUNCTION("""COMPUTED_VALUE"""),"1271024802710001")</f>
        <v>1271024802710001</v>
      </c>
      <c r="AC972" s="85" t="str">
        <f>IFERROR(__xludf.DUMMYFUNCTION("""COMPUTED_VALUE"""),"46.795.617.3-124.000")</f>
        <v>46.795.617.3-124.000</v>
      </c>
      <c r="AD972" s="85" t="str">
        <f>IFERROR(__xludf.DUMMYFUNCTION("""COMPUTED_VALUE"""),"SAYID DJUNAIDI (CUM-PS-SAYID)")</f>
        <v>SAYID DJUNAIDI (CUM-PS-SAYID)</v>
      </c>
      <c r="AE972" s="85" t="str">
        <f>IFERROR(__xludf.DUMMYFUNCTION("""COMPUTED_VALUE"""),"SAYID DJUNAIDI (CUM-PS-SAYID)")</f>
        <v>SAYID DJUNAIDI (CUM-PS-SAYID)</v>
      </c>
      <c r="AF972" s="85" t="str">
        <f>IFERROR(__xludf.DUMMYFUNCTION("""COMPUTED_VALUE"""),"087846104168")</f>
        <v>087846104168</v>
      </c>
      <c r="AG972" s="85" t="str">
        <f>IFERROR(__xludf.DUMMYFUNCTION("""COMPUTED_VALUE"""),"087846104168")</f>
        <v>087846104168</v>
      </c>
      <c r="AH972" s="85" t="str">
        <f>IFERROR(__xludf.DUMMYFUNCTION("""COMPUTED_VALUE"""),"syukurani@gmail.com")</f>
        <v>syukurani@gmail.com</v>
      </c>
      <c r="AI972" s="85"/>
      <c r="AJ972" s="85"/>
      <c r="AK972" s="85"/>
      <c r="AL972" s="85"/>
      <c r="AM972" s="85" t="str">
        <f>IFERROR(__xludf.DUMMYFUNCTION("""COMPUTED_VALUE"""),"KANTOR REGIONAL I MEDAN 20004")</f>
        <v>KANTOR REGIONAL I MEDAN 20004</v>
      </c>
      <c r="AN972" s="85" t="str">
        <f>IFERROR(__xludf.DUMMYFUNCTION("""COMPUTED_VALUE"""),"KCU MEDAN 20000")</f>
        <v>KCU MEDAN 20000</v>
      </c>
      <c r="AO972" s="85" t="str">
        <f>IFERROR(__xludf.DUMMYFUNCTION("""COMPUTED_VALUE"""),"2907220045021")</f>
        <v>2907220045021</v>
      </c>
      <c r="AP972" s="85" t="str">
        <f>IFERROR(__xludf.DUMMYFUNCTION("""COMPUTED_VALUE"""),"29072200450210001")</f>
        <v>29072200450210001</v>
      </c>
      <c r="AQ972" s="93" t="str">
        <f>IFERROR(__xludf.DUMMYFUNCTION("""COMPUTED_VALUE"""),"6475142504")</f>
        <v>6475142504</v>
      </c>
      <c r="AR972" s="85"/>
      <c r="AS972" s="85"/>
      <c r="AT972" s="85" t="str">
        <f>IFERROR(__xludf.DUMMYFUNCTION("""COMPUTED_VALUE"""),"3.5590425")</f>
        <v>3.5590425</v>
      </c>
      <c r="AU972" s="85" t="str">
        <f>IFERROR(__xludf.DUMMYFUNCTION("""COMPUTED_VALUE"""),"98.6349809")</f>
        <v>98.6349809</v>
      </c>
      <c r="AV972" s="85"/>
      <c r="AW972" s="85"/>
      <c r="AX972" s="85"/>
      <c r="AY972" s="85"/>
      <c r="AZ972" s="85"/>
      <c r="BA972" s="85"/>
      <c r="BB972" s="85"/>
      <c r="BC972" s="85"/>
      <c r="BD972" s="85"/>
      <c r="BE972" s="85"/>
      <c r="BF972" s="85"/>
      <c r="BG972" s="85"/>
      <c r="BH972" s="85"/>
      <c r="BI972" s="85"/>
      <c r="BJ972" s="85"/>
      <c r="BK972" s="85"/>
      <c r="BL972" s="85"/>
      <c r="BM972" s="85"/>
      <c r="BN972" s="85"/>
      <c r="BO972" s="85"/>
      <c r="BP972" s="85"/>
      <c r="BQ972" s="85"/>
      <c r="BR972" s="85"/>
      <c r="BS972" s="85"/>
      <c r="BT972" s="85"/>
      <c r="BU972" s="85"/>
      <c r="BV972" s="85"/>
      <c r="BW972" s="85"/>
      <c r="BX972" s="85"/>
      <c r="BY972" s="85"/>
      <c r="BZ972" s="85"/>
      <c r="CA972" s="85"/>
      <c r="CB972" s="85"/>
      <c r="CC972" s="85"/>
      <c r="CD972" s="85"/>
      <c r="CE972" s="85"/>
      <c r="CF972" s="85"/>
      <c r="CG972" s="85"/>
      <c r="CH972" s="85"/>
      <c r="CI972" s="85"/>
      <c r="CJ972" s="85"/>
      <c r="CK972" s="2"/>
    </row>
    <row r="973" ht="12.75" customHeight="1">
      <c r="A973" s="80">
        <f>IFERROR(__xludf.DUMMYFUNCTION("""COMPUTED_VALUE"""),969.0)</f>
        <v>969</v>
      </c>
      <c r="B973" s="80"/>
      <c r="C973" s="80"/>
      <c r="D973" s="81"/>
      <c r="E973" s="82"/>
      <c r="F973" s="80"/>
      <c r="G973" s="81">
        <f>IFERROR(__xludf.DUMMYFUNCTION("""COMPUTED_VALUE"""),46167.0)</f>
        <v>46167</v>
      </c>
      <c r="H973" s="80"/>
      <c r="I973" s="80"/>
      <c r="J973" s="80"/>
      <c r="K973" s="80"/>
      <c r="L973" s="80">
        <f>IFERROR(__xludf.DUMMYFUNCTION("""COMPUTED_VALUE"""),46167.0)</f>
        <v>46167</v>
      </c>
      <c r="M973" s="80"/>
      <c r="N973" s="80"/>
      <c r="O973" s="80"/>
      <c r="P973" s="80" t="str">
        <f>IFERROR(__xludf.DUMMYFUNCTION("""COMPUTED_VALUE"""),"MUCSPA63456PSIND")</f>
        <v>MUCSPA63456PSIND</v>
      </c>
      <c r="Q973" s="80" t="str">
        <f>IFERROR(__xludf.DUMMYFUNCTION("""COMPUTED_VALUE"""),"MUC PELITA")</f>
        <v>MUC PELITA</v>
      </c>
      <c r="R973" s="80" t="str">
        <f>IFERROR(__xludf.DUMMYFUNCTION("""COMPUTED_VALUE"""),"MUC PELITA")</f>
        <v>MUC PELITA</v>
      </c>
      <c r="S973" s="80" t="str">
        <f>IFERROR(__xludf.DUMMYFUNCTION("""COMPUTED_VALUE"""),"RICKY GUNAWAN SITORUS")</f>
        <v>RICKY GUNAWAN SITORUS</v>
      </c>
      <c r="T973" s="80" t="str">
        <f>IFERROR(__xludf.DUMMYFUNCTION("""COMPUTED_VALUE"""),"JLN PELITA IV GG SEJAHTERA KEL SIDORAME BARAT II KEC MEDAN PERJUANGAN KOTA MEDAN SUMATERA UTARA")</f>
        <v>JLN PELITA IV GG SEJAHTERA KEL SIDORAME BARAT II KEC MEDAN PERJUANGAN KOTA MEDAN SUMATERA UTARA</v>
      </c>
      <c r="U973" s="80" t="str">
        <f>IFERROR(__xludf.DUMMYFUNCTION("""COMPUTED_VALUE"""),"JLN PELITA VI NO 82")</f>
        <v>JLN PELITA VI NO 82</v>
      </c>
      <c r="V973" s="80"/>
      <c r="W973" s="80" t="str">
        <f>IFERROR(__xludf.DUMMYFUNCTION("""COMPUTED_VALUE"""),"SIDORAME BARAT II")</f>
        <v>SIDORAME BARAT II</v>
      </c>
      <c r="X973" s="80" t="str">
        <f>IFERROR(__xludf.DUMMYFUNCTION("""COMPUTED_VALUE"""),"MEDAN PERJUANGAN")</f>
        <v>MEDAN PERJUANGAN</v>
      </c>
      <c r="Y973" s="80" t="str">
        <f>IFERROR(__xludf.DUMMYFUNCTION("""COMPUTED_VALUE"""),"MEDAN")</f>
        <v>MEDAN</v>
      </c>
      <c r="Z973" s="80" t="str">
        <f>IFERROR(__xludf.DUMMYFUNCTION("""COMPUTED_VALUE"""),"SUMATERA UTARA")</f>
        <v>SUMATERA UTARA</v>
      </c>
      <c r="AA973" s="80" t="str">
        <f>IFERROR(__xludf.DUMMYFUNCTION("""COMPUTED_VALUE"""),"20236")</f>
        <v>20236</v>
      </c>
      <c r="AB973" s="80" t="str">
        <f>IFERROR(__xludf.DUMMYFUNCTION("""COMPUTED_VALUE"""),"1271182608890001")</f>
        <v>1271182608890001</v>
      </c>
      <c r="AC973" s="80" t="str">
        <f>IFERROR(__xludf.DUMMYFUNCTION("""COMPUTED_VALUE"""),"55.550.850.6-113.000")</f>
        <v>55.550.850.6-113.000</v>
      </c>
      <c r="AD973" s="80" t="str">
        <f>IFERROR(__xludf.DUMMYFUNCTION("""COMPUTED_VALUE"""),"SAYID DJUNAIDI (CUM-PS-SAYID)")</f>
        <v>SAYID DJUNAIDI (CUM-PS-SAYID)</v>
      </c>
      <c r="AE973" s="80" t="str">
        <f>IFERROR(__xludf.DUMMYFUNCTION("""COMPUTED_VALUE"""),"SAYID DJUNAIDI (CUM-PS-SAYID)")</f>
        <v>SAYID DJUNAIDI (CUM-PS-SAYID)</v>
      </c>
      <c r="AF973" s="80" t="str">
        <f>IFERROR(__xludf.DUMMYFUNCTION("""COMPUTED_VALUE"""),"085206668993")</f>
        <v>085206668993</v>
      </c>
      <c r="AG973" s="80" t="str">
        <f>IFERROR(__xludf.DUMMYFUNCTION("""COMPUTED_VALUE"""),"085206668993")</f>
        <v>085206668993</v>
      </c>
      <c r="AH973" s="80" t="str">
        <f>IFERROR(__xludf.DUMMYFUNCTION("""COMPUTED_VALUE"""),"rsitorus89@gmail.com")</f>
        <v>rsitorus89@gmail.com</v>
      </c>
      <c r="AI973" s="80" t="str">
        <f>IFERROR(__xludf.DUMMYFUNCTION("""COMPUTED_VALUE"""),"20236S2")</f>
        <v>20236S2</v>
      </c>
      <c r="AJ973" s="80" t="str">
        <f>IFERROR(__xludf.DUMMYFUNCTION("""COMPUTED_VALUE"""),"6a13f5419eeda69dd40191f5")</f>
        <v>6a13f5419eeda69dd40191f5</v>
      </c>
      <c r="AK973" s="80" t="str">
        <f>IFERROR(__xludf.DUMMYFUNCTION("""COMPUTED_VALUE"""),"rsitorus89@gmail.com")</f>
        <v>rsitorus89@gmail.com</v>
      </c>
      <c r="AL973" s="80" t="str">
        <f>IFERROR(__xludf.DUMMYFUNCTION("""COMPUTED_VALUE"""),"#Muc20236S2$")</f>
        <v>#Muc20236S2$</v>
      </c>
      <c r="AM973" s="80" t="str">
        <f>IFERROR(__xludf.DUMMYFUNCTION("""COMPUTED_VALUE"""),"KANTOR REGIONAL I MEDAN 20004")</f>
        <v>KANTOR REGIONAL I MEDAN 20004</v>
      </c>
      <c r="AN973" s="80" t="str">
        <f>IFERROR(__xludf.DUMMYFUNCTION("""COMPUTED_VALUE"""),"KCU MEDAN 20000")</f>
        <v>KCU MEDAN 20000</v>
      </c>
      <c r="AO973" s="80" t="str">
        <f>IFERROR(__xludf.DUMMYFUNCTION("""COMPUTED_VALUE"""),"1405260033315")</f>
        <v>1405260033315</v>
      </c>
      <c r="AP973" s="80" t="str">
        <f>IFERROR(__xludf.DUMMYFUNCTION("""COMPUTED_VALUE"""),"14052600333150001")</f>
        <v>14052600333150001</v>
      </c>
      <c r="AQ973" s="83" t="str">
        <f>IFERROR(__xludf.DUMMYFUNCTION("""COMPUTED_VALUE"""),"0497516201")</f>
        <v>0497516201</v>
      </c>
      <c r="AR973" s="80"/>
      <c r="AS973" s="80"/>
      <c r="AT973" s="80" t="str">
        <f>IFERROR(__xludf.DUMMYFUNCTION("""COMPUTED_VALUE"""),"3607750")</f>
        <v>3607750</v>
      </c>
      <c r="AU973" s="80" t="str">
        <f>IFERROR(__xludf.DUMMYFUNCTION("""COMPUTED_VALUE"""),"98.686310")</f>
        <v>98.686310</v>
      </c>
      <c r="AV973" s="80"/>
      <c r="AW973" s="80"/>
      <c r="AX973" s="80"/>
      <c r="AY973" s="80"/>
      <c r="AZ973" s="80"/>
      <c r="BA973" s="80"/>
      <c r="BB973" s="80"/>
      <c r="BC973" s="80"/>
      <c r="BD973" s="80"/>
      <c r="BE973" s="80"/>
      <c r="BF973" s="80"/>
      <c r="BG973" s="80"/>
      <c r="BH973" s="80"/>
      <c r="BI973" s="80"/>
      <c r="BJ973" s="80"/>
      <c r="BK973" s="80"/>
      <c r="BL973" s="80"/>
      <c r="BM973" s="80"/>
      <c r="BN973" s="80"/>
      <c r="BO973" s="80"/>
      <c r="BP973" s="80"/>
      <c r="BQ973" s="80"/>
      <c r="BR973" s="80"/>
      <c r="BS973" s="80"/>
      <c r="BT973" s="80"/>
      <c r="BU973" s="80"/>
      <c r="BV973" s="80"/>
      <c r="BW973" s="80"/>
      <c r="BX973" s="80"/>
      <c r="BY973" s="80"/>
      <c r="BZ973" s="80"/>
      <c r="CA973" s="80"/>
      <c r="CB973" s="80"/>
      <c r="CC973" s="80"/>
      <c r="CD973" s="80"/>
      <c r="CE973" s="80"/>
      <c r="CF973" s="80"/>
      <c r="CG973" s="80"/>
      <c r="CH973" s="80"/>
      <c r="CI973" s="80"/>
      <c r="CJ973" s="80"/>
      <c r="CK973" s="2"/>
    </row>
    <row r="974" ht="12.75" customHeight="1">
      <c r="A974" s="85">
        <f>IFERROR(__xludf.DUMMYFUNCTION("""COMPUTED_VALUE"""),970.0)</f>
        <v>970</v>
      </c>
      <c r="B974" s="85"/>
      <c r="C974" s="85"/>
      <c r="D974" s="86"/>
      <c r="E974" s="88"/>
      <c r="F974" s="85"/>
      <c r="G974" s="86"/>
      <c r="H974" s="85"/>
      <c r="I974" s="85"/>
      <c r="J974" s="85"/>
      <c r="K974" s="85"/>
      <c r="L974" s="85"/>
      <c r="M974" s="85"/>
      <c r="N974" s="85"/>
      <c r="O974" s="85"/>
      <c r="P974" s="85" t="str">
        <f>IFERROR(__xludf.DUMMYFUNCTION("""COMPUTED_VALUE"""),"MUCSPA63453PSIND")</f>
        <v>MUCSPA63453PSIND</v>
      </c>
      <c r="Q974" s="85" t="str">
        <f>IFERROR(__xludf.DUMMYFUNCTION("""COMPUTED_VALUE"""),"MUC IRIAN BERKAT")</f>
        <v>MUC IRIAN BERKAT</v>
      </c>
      <c r="R974" s="85" t="str">
        <f>IFERROR(__xludf.DUMMYFUNCTION("""COMPUTED_VALUE"""),"MUC IRIAN BERKAT")</f>
        <v>MUC IRIAN BERKAT</v>
      </c>
      <c r="S974" s="85" t="str">
        <f>IFERROR(__xludf.DUMMYFUNCTION("""COMPUTED_VALUE"""),"RIOPAN GUNAWAN GULTOM")</f>
        <v>RIOPAN GUNAWAN GULTOM</v>
      </c>
      <c r="T974" s="85" t="str">
        <f>IFERROR(__xludf.DUMMYFUNCTION("""COMPUTED_VALUE"""),"JLN SIDOMULYO DUSUN XII GG SETIAKAWAN PSR IX BANDAR KLIPPA KEC PERCUT SEI TUAN KAB DELI SERDANG SUMATERA UTARA")</f>
        <v>JLN SIDOMULYO DUSUN XII GG SETIAKAWAN PSR IX BANDAR KLIPPA KEC PERCUT SEI TUAN KAB DELI SERDANG SUMATERA UTARA</v>
      </c>
      <c r="U974" s="85" t="str">
        <f>IFERROR(__xludf.DUMMYFUNCTION("""COMPUTED_VALUE"""),"Jl. Medan - Batang Kuis No.8")</f>
        <v>Jl. Medan - Batang Kuis No.8</v>
      </c>
      <c r="V974" s="85"/>
      <c r="W974" s="85" t="str">
        <f>IFERROR(__xludf.DUMMYFUNCTION("""COMPUTED_VALUE"""),"Bandar Selamat")</f>
        <v>Bandar Selamat</v>
      </c>
      <c r="X974" s="85" t="str">
        <f>IFERROR(__xludf.DUMMYFUNCTION("""COMPUTED_VALUE"""),"Medan Tembung")</f>
        <v>Medan Tembung</v>
      </c>
      <c r="Y974" s="85" t="str">
        <f>IFERROR(__xludf.DUMMYFUNCTION("""COMPUTED_VALUE"""),"Medan")</f>
        <v>Medan</v>
      </c>
      <c r="Z974" s="85" t="str">
        <f>IFERROR(__xludf.DUMMYFUNCTION("""COMPUTED_VALUE"""),"Sumatera Utara")</f>
        <v>Sumatera Utara</v>
      </c>
      <c r="AA974" s="85" t="str">
        <f>IFERROR(__xludf.DUMMYFUNCTION("""COMPUTED_VALUE"""),"20372")</f>
        <v>20372</v>
      </c>
      <c r="AB974" s="85" t="str">
        <f>IFERROR(__xludf.DUMMYFUNCTION("""COMPUTED_VALUE"""),"1207262103790002")</f>
        <v>1207262103790002</v>
      </c>
      <c r="AC974" s="85" t="str">
        <f>IFERROR(__xludf.DUMMYFUNCTION("""COMPUTED_VALUE"""),"26.126.033.5-125.000")</f>
        <v>26.126.033.5-125.000</v>
      </c>
      <c r="AD974" s="85" t="str">
        <f>IFERROR(__xludf.DUMMYFUNCTION("""COMPUTED_VALUE"""),"SAYID DJUNAIDI (CUM-PS-SAYID)")</f>
        <v>SAYID DJUNAIDI (CUM-PS-SAYID)</v>
      </c>
      <c r="AE974" s="85" t="str">
        <f>IFERROR(__xludf.DUMMYFUNCTION("""COMPUTED_VALUE"""),"SAYID DJUNAIDI (CUM-PS-SAYID)")</f>
        <v>SAYID DJUNAIDI (CUM-PS-SAYID)</v>
      </c>
      <c r="AF974" s="85" t="str">
        <f>IFERROR(__xludf.DUMMYFUNCTION("""COMPUTED_VALUE"""),"081260390939")</f>
        <v>081260390939</v>
      </c>
      <c r="AG974" s="85" t="str">
        <f>IFERROR(__xludf.DUMMYFUNCTION("""COMPUTED_VALUE"""),"081260390939")</f>
        <v>081260390939</v>
      </c>
      <c r="AH974" s="85" t="str">
        <f>IFERROR(__xludf.DUMMYFUNCTION("""COMPUTED_VALUE"""),"riopangultom@gmail.com")</f>
        <v>riopangultom@gmail.com</v>
      </c>
      <c r="AI974" s="85"/>
      <c r="AJ974" s="85"/>
      <c r="AK974" s="85"/>
      <c r="AL974" s="85"/>
      <c r="AM974" s="85" t="str">
        <f>IFERROR(__xludf.DUMMYFUNCTION("""COMPUTED_VALUE"""),"KANTOR REGIONAL I MEDAN 20004")</f>
        <v>KANTOR REGIONAL I MEDAN 20004</v>
      </c>
      <c r="AN974" s="85" t="str">
        <f>IFERROR(__xludf.DUMMYFUNCTION("""COMPUTED_VALUE"""),"KCU MEDAN 20000")</f>
        <v>KCU MEDAN 20000</v>
      </c>
      <c r="AO974" s="85" t="str">
        <f>IFERROR(__xludf.DUMMYFUNCTION("""COMPUTED_VALUE"""),"2207220036629")</f>
        <v>2207220036629</v>
      </c>
      <c r="AP974" s="85" t="str">
        <f>IFERROR(__xludf.DUMMYFUNCTION("""COMPUTED_VALUE"""),"22072200366290001")</f>
        <v>22072200366290001</v>
      </c>
      <c r="AQ974" s="93" t="str">
        <f>IFERROR(__xludf.DUMMYFUNCTION("""COMPUTED_VALUE"""),"8042-0101-1248-538")</f>
        <v>8042-0101-1248-538</v>
      </c>
      <c r="AR974" s="85"/>
      <c r="AS974" s="85"/>
      <c r="AT974" s="85" t="str">
        <f>IFERROR(__xludf.DUMMYFUNCTION("""COMPUTED_VALUE"""),"3597096")</f>
        <v>3597096</v>
      </c>
      <c r="AU974" s="85" t="str">
        <f>IFERROR(__xludf.DUMMYFUNCTION("""COMPUTED_VALUE"""),"98.725928")</f>
        <v>98.725928</v>
      </c>
      <c r="AV974" s="85"/>
      <c r="AW974" s="85"/>
      <c r="AX974" s="85"/>
      <c r="AY974" s="85"/>
      <c r="AZ974" s="85"/>
      <c r="BA974" s="85"/>
      <c r="BB974" s="85"/>
      <c r="BC974" s="85"/>
      <c r="BD974" s="85"/>
      <c r="BE974" s="85"/>
      <c r="BF974" s="85"/>
      <c r="BG974" s="85"/>
      <c r="BH974" s="85"/>
      <c r="BI974" s="85"/>
      <c r="BJ974" s="85"/>
      <c r="BK974" s="85"/>
      <c r="BL974" s="85"/>
      <c r="BM974" s="85"/>
      <c r="BN974" s="85"/>
      <c r="BO974" s="85"/>
      <c r="BP974" s="85"/>
      <c r="BQ974" s="85"/>
      <c r="BR974" s="85"/>
      <c r="BS974" s="85"/>
      <c r="BT974" s="85"/>
      <c r="BU974" s="85"/>
      <c r="BV974" s="85"/>
      <c r="BW974" s="85"/>
      <c r="BX974" s="85"/>
      <c r="BY974" s="85"/>
      <c r="BZ974" s="85"/>
      <c r="CA974" s="85"/>
      <c r="CB974" s="85"/>
      <c r="CC974" s="85"/>
      <c r="CD974" s="85"/>
      <c r="CE974" s="85"/>
      <c r="CF974" s="85"/>
      <c r="CG974" s="85"/>
      <c r="CH974" s="85"/>
      <c r="CI974" s="85"/>
      <c r="CJ974" s="85"/>
      <c r="CK974" s="2"/>
    </row>
    <row r="975" ht="12.75" customHeight="1">
      <c r="A975" s="80">
        <f>IFERROR(__xludf.DUMMYFUNCTION("""COMPUTED_VALUE"""),971.0)</f>
        <v>971</v>
      </c>
      <c r="B975" s="80"/>
      <c r="C975" s="80"/>
      <c r="D975" s="81"/>
      <c r="E975" s="82"/>
      <c r="F975" s="80"/>
      <c r="G975" s="81">
        <f>IFERROR(__xludf.DUMMYFUNCTION("""COMPUTED_VALUE"""),46167.0)</f>
        <v>46167</v>
      </c>
      <c r="H975" s="80"/>
      <c r="I975" s="80"/>
      <c r="J975" s="80"/>
      <c r="K975" s="80"/>
      <c r="L975" s="80">
        <f>IFERROR(__xludf.DUMMYFUNCTION("""COMPUTED_VALUE"""),46167.0)</f>
        <v>46167</v>
      </c>
      <c r="M975" s="80"/>
      <c r="N975" s="80"/>
      <c r="O975" s="80"/>
      <c r="P975" s="80" t="str">
        <f>IFERROR(__xludf.DUMMYFUNCTION("""COMPUTED_VALUE"""),"MUCSPA63457PSIND")</f>
        <v>MUCSPA63457PSIND</v>
      </c>
      <c r="Q975" s="80" t="str">
        <f>IFERROR(__xludf.DUMMYFUNCTION("""COMPUTED_VALUE"""),"MUC KAMPUNG BAMBU")</f>
        <v>MUC KAMPUNG BAMBU</v>
      </c>
      <c r="R975" s="80" t="str">
        <f>IFERROR(__xludf.DUMMYFUNCTION("""COMPUTED_VALUE"""),"MUC KAMPUNG BAMBU")</f>
        <v>MUC KAMPUNG BAMBU</v>
      </c>
      <c r="S975" s="80" t="str">
        <f>IFERROR(__xludf.DUMMYFUNCTION("""COMPUTED_VALUE"""),"MUHAMMAD HUDZAIFAH")</f>
        <v>MUHAMMAD HUDZAIFAH</v>
      </c>
      <c r="T975" s="80" t="str">
        <f>IFERROR(__xludf.DUMMYFUNCTION("""COMPUTED_VALUE"""),"JLN ASANI MUTHALIB GG MANGGA KEL TERJUN KEC MEDAN MARELAN KOTA MEDAN SUMATER UTARA")</f>
        <v>JLN ASANI MUTHALIB GG MANGGA KEL TERJUN KEC MEDAN MARELAN KOTA MEDAN SUMATER UTARA</v>
      </c>
      <c r="U975" s="80" t="str">
        <f>IFERROR(__xludf.DUMMYFUNCTION("""COMPUTED_VALUE"""),"JLN BAMBU NO 17")</f>
        <v>JLN BAMBU NO 17</v>
      </c>
      <c r="V975" s="80"/>
      <c r="W975" s="80" t="str">
        <f>IFERROR(__xludf.DUMMYFUNCTION("""COMPUTED_VALUE"""),"HELVETIA PULO BRAYAN")</f>
        <v>HELVETIA PULO BRAYAN</v>
      </c>
      <c r="X975" s="80" t="str">
        <f>IFERROR(__xludf.DUMMYFUNCTION("""COMPUTED_VALUE"""),"MEDAN BARAT")</f>
        <v>MEDAN BARAT</v>
      </c>
      <c r="Y975" s="80" t="str">
        <f>IFERROR(__xludf.DUMMYFUNCTION("""COMPUTED_VALUE"""),"MEDAN")</f>
        <v>MEDAN</v>
      </c>
      <c r="Z975" s="80" t="str">
        <f>IFERROR(__xludf.DUMMYFUNCTION("""COMPUTED_VALUE"""),"SUMATERA UTARA")</f>
        <v>SUMATERA UTARA</v>
      </c>
      <c r="AA975" s="80" t="str">
        <f>IFERROR(__xludf.DUMMYFUNCTION("""COMPUTED_VALUE"""),"20116")</f>
        <v>20116</v>
      </c>
      <c r="AB975" s="80" t="str">
        <f>IFERROR(__xludf.DUMMYFUNCTION("""COMPUTED_VALUE"""),"1271051104860003")</f>
        <v>1271051104860003</v>
      </c>
      <c r="AC975" s="80" t="str">
        <f>IFERROR(__xludf.DUMMYFUNCTION("""COMPUTED_VALUE"""),"74.806.791.5-111.000")</f>
        <v>74.806.791.5-111.000</v>
      </c>
      <c r="AD975" s="80" t="str">
        <f>IFERROR(__xludf.DUMMYFUNCTION("""COMPUTED_VALUE"""),"SAYID DJUNAIDI (CUM-PS-SAYID)")</f>
        <v>SAYID DJUNAIDI (CUM-PS-SAYID)</v>
      </c>
      <c r="AE975" s="80" t="str">
        <f>IFERROR(__xludf.DUMMYFUNCTION("""COMPUTED_VALUE"""),"SAYID DJUNAIDI (CUM-PS-SAYID)")</f>
        <v>SAYID DJUNAIDI (CUM-PS-SAYID)</v>
      </c>
      <c r="AF975" s="80" t="str">
        <f>IFERROR(__xludf.DUMMYFUNCTION("""COMPUTED_VALUE"""),"082304375490")</f>
        <v>082304375490</v>
      </c>
      <c r="AG975" s="80" t="str">
        <f>IFERROR(__xludf.DUMMYFUNCTION("""COMPUTED_VALUE"""),"082304375490")</f>
        <v>082304375490</v>
      </c>
      <c r="AH975" s="80" t="str">
        <f>IFERROR(__xludf.DUMMYFUNCTION("""COMPUTED_VALUE"""),"mroyyan88@gmail.com")</f>
        <v>mroyyan88@gmail.com</v>
      </c>
      <c r="AI975" s="80" t="str">
        <f>IFERROR(__xludf.DUMMYFUNCTION("""COMPUTED_VALUE"""),"20116S3")</f>
        <v>20116S3</v>
      </c>
      <c r="AJ975" s="80" t="str">
        <f>IFERROR(__xludf.DUMMYFUNCTION("""COMPUTED_VALUE"""),"6a13eba8dcc5552bbe043def")</f>
        <v>6a13eba8dcc5552bbe043def</v>
      </c>
      <c r="AK975" s="80" t="str">
        <f>IFERROR(__xludf.DUMMYFUNCTION("""COMPUTED_VALUE"""),"mroyyan88@gmail.com")</f>
        <v>mroyyan88@gmail.com</v>
      </c>
      <c r="AL975" s="80" t="str">
        <f>IFERROR(__xludf.DUMMYFUNCTION("""COMPUTED_VALUE"""),"#Muc20116S3$")</f>
        <v>#Muc20116S3$</v>
      </c>
      <c r="AM975" s="80" t="str">
        <f>IFERROR(__xludf.DUMMYFUNCTION("""COMPUTED_VALUE"""),"KANTOR REGIONAL I MEDAN 20004")</f>
        <v>KANTOR REGIONAL I MEDAN 20004</v>
      </c>
      <c r="AN975" s="80" t="str">
        <f>IFERROR(__xludf.DUMMYFUNCTION("""COMPUTED_VALUE"""),"KCU MEDAN 20000")</f>
        <v>KCU MEDAN 20000</v>
      </c>
      <c r="AO975" s="80" t="str">
        <f>IFERROR(__xludf.DUMMYFUNCTION("""COMPUTED_VALUE"""),"1405260044407")</f>
        <v>1405260044407</v>
      </c>
      <c r="AP975" s="80" t="str">
        <f>IFERROR(__xludf.DUMMYFUNCTION("""COMPUTED_VALUE"""),"14052600444070001")</f>
        <v>14052600444070001</v>
      </c>
      <c r="AQ975" s="83" t="str">
        <f>IFERROR(__xludf.DUMMYFUNCTION("""COMPUTED_VALUE"""),"2421166228")</f>
        <v>2421166228</v>
      </c>
      <c r="AR975" s="80"/>
      <c r="AS975" s="80"/>
      <c r="AT975" s="80" t="str">
        <f>IFERROR(__xludf.DUMMYFUNCTION("""COMPUTED_VALUE"""),"3.631830")</f>
        <v>3.631830</v>
      </c>
      <c r="AU975" s="80" t="str">
        <f>IFERROR(__xludf.DUMMYFUNCTION("""COMPUTED_VALUE"""),"98,662729")</f>
        <v>98,662729</v>
      </c>
      <c r="AV975" s="80"/>
      <c r="AW975" s="80"/>
      <c r="AX975" s="80"/>
      <c r="AY975" s="80"/>
      <c r="AZ975" s="80"/>
      <c r="BA975" s="80"/>
      <c r="BB975" s="80"/>
      <c r="BC975" s="80"/>
      <c r="BD975" s="80"/>
      <c r="BE975" s="80"/>
      <c r="BF975" s="80"/>
      <c r="BG975" s="80"/>
      <c r="BH975" s="80"/>
      <c r="BI975" s="80"/>
      <c r="BJ975" s="80"/>
      <c r="BK975" s="80"/>
      <c r="BL975" s="80"/>
      <c r="BM975" s="80"/>
      <c r="BN975" s="80"/>
      <c r="BO975" s="80"/>
      <c r="BP975" s="80"/>
      <c r="BQ975" s="80"/>
      <c r="BR975" s="80"/>
      <c r="BS975" s="80"/>
      <c r="BT975" s="80"/>
      <c r="BU975" s="80"/>
      <c r="BV975" s="80"/>
      <c r="BW975" s="80"/>
      <c r="BX975" s="80"/>
      <c r="BY975" s="80"/>
      <c r="BZ975" s="80"/>
      <c r="CA975" s="80"/>
      <c r="CB975" s="80"/>
      <c r="CC975" s="80"/>
      <c r="CD975" s="80"/>
      <c r="CE975" s="80"/>
      <c r="CF975" s="80"/>
      <c r="CG975" s="80"/>
      <c r="CH975" s="80"/>
      <c r="CI975" s="80"/>
      <c r="CJ975" s="80"/>
      <c r="CK975" s="2"/>
    </row>
    <row r="976" ht="12.75" customHeight="1">
      <c r="A976" s="85">
        <f>IFERROR(__xludf.DUMMYFUNCTION("""COMPUTED_VALUE"""),972.0)</f>
        <v>972</v>
      </c>
      <c r="B976" s="85"/>
      <c r="C976" s="85"/>
      <c r="D976" s="86"/>
      <c r="E976" s="88"/>
      <c r="F976" s="85"/>
      <c r="G976" s="86"/>
      <c r="H976" s="85"/>
      <c r="I976" s="85"/>
      <c r="J976" s="85"/>
      <c r="K976" s="85"/>
      <c r="L976" s="85"/>
      <c r="M976" s="85"/>
      <c r="N976" s="85"/>
      <c r="O976" s="85"/>
      <c r="P976" s="85" t="str">
        <f>IFERROR(__xludf.DUMMYFUNCTION("""COMPUTED_VALUE"""),"MUCSPA63458PSIND")</f>
        <v>MUCSPA63458PSIND</v>
      </c>
      <c r="Q976" s="85" t="str">
        <f>IFERROR(__xludf.DUMMYFUNCTION("""COMPUTED_VALUE"""),"MUC SAMUDRA BERKAT CARGO")</f>
        <v>MUC SAMUDRA BERKAT CARGO</v>
      </c>
      <c r="R976" s="85" t="str">
        <f>IFERROR(__xludf.DUMMYFUNCTION("""COMPUTED_VALUE"""),"MUC SAMUDRA BERKAT CARGO")</f>
        <v>MUC SAMUDRA BERKAT CARGO</v>
      </c>
      <c r="S976" s="85" t="str">
        <f>IFERROR(__xludf.DUMMYFUNCTION("""COMPUTED_VALUE"""),"ALL AKSES")</f>
        <v>ALL AKSES</v>
      </c>
      <c r="T976" s="85" t="str">
        <f>IFERROR(__xludf.DUMMYFUNCTION("""COMPUTED_VALUE"""),"RANDUBELANG RT 5 RW 000 BANGUNHARJO SEWON BANTUL")</f>
        <v>RANDUBELANG RT 5 RW 000 BANGUNHARJO SEWON BANTUL</v>
      </c>
      <c r="U976" s="85" t="str">
        <f>IFERROR(__xludf.DUMMYFUNCTION("""COMPUTED_VALUE"""),"JL. IMOGIRI BARAT KM 4,5 RANDUBELANG NO. 61")</f>
        <v>JL. IMOGIRI BARAT KM 4,5 RANDUBELANG NO. 61</v>
      </c>
      <c r="V976" s="85" t="str">
        <f>IFERROR(__xludf.DUMMYFUNCTION("""COMPUTED_VALUE"""),"RT 5 R \ RW 000")</f>
        <v>RT 5 R \ RW 000</v>
      </c>
      <c r="W976" s="85" t="str">
        <f>IFERROR(__xludf.DUMMYFUNCTION("""COMPUTED_VALUE"""),"BANGUNHARJO")</f>
        <v>BANGUNHARJO</v>
      </c>
      <c r="X976" s="85" t="str">
        <f>IFERROR(__xludf.DUMMYFUNCTION("""COMPUTED_VALUE"""),"SEWON")</f>
        <v>SEWON</v>
      </c>
      <c r="Y976" s="85" t="str">
        <f>IFERROR(__xludf.DUMMYFUNCTION("""COMPUTED_VALUE"""),"KAB. BANTUL")</f>
        <v>KAB. BANTUL</v>
      </c>
      <c r="Z976" s="85" t="str">
        <f>IFERROR(__xludf.DUMMYFUNCTION("""COMPUTED_VALUE"""),"DIY")</f>
        <v>DIY</v>
      </c>
      <c r="AA976" s="85" t="str">
        <f>IFERROR(__xludf.DUMMYFUNCTION("""COMPUTED_VALUE"""),"55188")</f>
        <v>55188</v>
      </c>
      <c r="AB976" s="85" t="str">
        <f>IFERROR(__xludf.DUMMYFUNCTION("""COMPUTED_VALUE"""),"3402150709870003")</f>
        <v>3402150709870003</v>
      </c>
      <c r="AC976" s="85" t="str">
        <f>IFERROR(__xludf.DUMMYFUNCTION("""COMPUTED_VALUE"""),"44.700.931.7-543.000")</f>
        <v>44.700.931.7-543.000</v>
      </c>
      <c r="AD976" s="85" t="str">
        <f>IFERROR(__xludf.DUMMYFUNCTION("""COMPUTED_VALUE"""),"Nama Lengkap Pemilik : AGIL WIRANTO")</f>
        <v>Nama Lengkap Pemilik : AGIL WIRANTO</v>
      </c>
      <c r="AE976" s="85" t="str">
        <f>IFERROR(__xludf.DUMMYFUNCTION("""COMPUTED_VALUE"""),"Nama Lengkap Pemilik : AGIL WIRANTO")</f>
        <v>Nama Lengkap Pemilik : AGIL WIRANTO</v>
      </c>
      <c r="AF976" s="85" t="str">
        <f>IFERROR(__xludf.DUMMYFUNCTION("""COMPUTED_VALUE"""),"081236139398")</f>
        <v>081236139398</v>
      </c>
      <c r="AG976" s="85" t="str">
        <f>IFERROR(__xludf.DUMMYFUNCTION("""COMPUTED_VALUE"""),"081236139398")</f>
        <v>081236139398</v>
      </c>
      <c r="AH976" s="85" t="str">
        <f>IFERROR(__xludf.DUMMYFUNCTION("""COMPUTED_VALUE"""),"pintosemesta@gmail.com")</f>
        <v>pintosemesta@gmail.com</v>
      </c>
      <c r="AI976" s="85"/>
      <c r="AJ976" s="85"/>
      <c r="AK976" s="85"/>
      <c r="AL976" s="85"/>
      <c r="AM976" s="85" t="str">
        <f>IFERROR(__xludf.DUMMYFUNCTION("""COMPUTED_VALUE"""),"KANTOR REGIONAL IV SEMARANG 50004")</f>
        <v>KANTOR REGIONAL IV SEMARANG 50004</v>
      </c>
      <c r="AN976" s="85" t="str">
        <f>IFERROR(__xludf.DUMMYFUNCTION("""COMPUTED_VALUE"""),"KCU YOGYAKARTA 55000")</f>
        <v>KCU YOGYAKARTA 55000</v>
      </c>
      <c r="AO976" s="85" t="str">
        <f>IFERROR(__xludf.DUMMYFUNCTION("""COMPUTED_VALUE"""),"0220013002431")</f>
        <v>0220013002431</v>
      </c>
      <c r="AP976" s="85" t="str">
        <f>IFERROR(__xludf.DUMMYFUNCTION("""COMPUTED_VALUE"""),"02200130024310001")</f>
        <v>02200130024310001</v>
      </c>
      <c r="AQ976" s="93" t="str">
        <f>IFERROR(__xludf.DUMMYFUNCTION("""COMPUTED_VALUE"""),"4452012778")</f>
        <v>4452012778</v>
      </c>
      <c r="AR976" s="85"/>
      <c r="AS976" s="85"/>
      <c r="AT976" s="85" t="str">
        <f>IFERROR(__xludf.DUMMYFUNCTION("""COMPUTED_VALUE"""),"-7.83108")</f>
        <v>-7.83108</v>
      </c>
      <c r="AU976" s="85" t="str">
        <f>IFERROR(__xludf.DUMMYFUNCTION("""COMPUTED_VALUE"""),"110.37358")</f>
        <v>110.37358</v>
      </c>
      <c r="AV976" s="85"/>
      <c r="AW976" s="85"/>
      <c r="AX976" s="85"/>
      <c r="AY976" s="85"/>
      <c r="AZ976" s="85"/>
      <c r="BA976" s="85"/>
      <c r="BB976" s="85"/>
      <c r="BC976" s="85"/>
      <c r="BD976" s="85"/>
      <c r="BE976" s="85"/>
      <c r="BF976" s="85"/>
      <c r="BG976" s="85"/>
      <c r="BH976" s="85"/>
      <c r="BI976" s="85"/>
      <c r="BJ976" s="85"/>
      <c r="BK976" s="85"/>
      <c r="BL976" s="85"/>
      <c r="BM976" s="85"/>
      <c r="BN976" s="85"/>
      <c r="BO976" s="85"/>
      <c r="BP976" s="85"/>
      <c r="BQ976" s="85"/>
      <c r="BR976" s="85"/>
      <c r="BS976" s="85"/>
      <c r="BT976" s="85"/>
      <c r="BU976" s="85"/>
      <c r="BV976" s="85"/>
      <c r="BW976" s="85"/>
      <c r="BX976" s="85"/>
      <c r="BY976" s="85"/>
      <c r="BZ976" s="85"/>
      <c r="CA976" s="85"/>
      <c r="CB976" s="85"/>
      <c r="CC976" s="85"/>
      <c r="CD976" s="85"/>
      <c r="CE976" s="85"/>
      <c r="CF976" s="85"/>
      <c r="CG976" s="85"/>
      <c r="CH976" s="85"/>
      <c r="CI976" s="85"/>
      <c r="CJ976" s="85"/>
      <c r="CK976" s="2"/>
    </row>
    <row r="977" ht="12.75" customHeight="1">
      <c r="A977" s="80">
        <f>IFERROR(__xludf.DUMMYFUNCTION("""COMPUTED_VALUE"""),973.0)</f>
        <v>973</v>
      </c>
      <c r="B977" s="80"/>
      <c r="C977" s="80"/>
      <c r="D977" s="81"/>
      <c r="E977" s="82"/>
      <c r="F977" s="80"/>
      <c r="G977" s="81">
        <f>IFERROR(__xludf.DUMMYFUNCTION("""COMPUTED_VALUE"""),46168.0)</f>
        <v>46168</v>
      </c>
      <c r="H977" s="80"/>
      <c r="I977" s="80"/>
      <c r="J977" s="80"/>
      <c r="K977" s="80"/>
      <c r="L977" s="80">
        <f>IFERROR(__xludf.DUMMYFUNCTION("""COMPUTED_VALUE"""),46168.0)</f>
        <v>46168</v>
      </c>
      <c r="M977" s="80"/>
      <c r="N977" s="80"/>
      <c r="O977" s="80"/>
      <c r="P977" s="80" t="str">
        <f>IFERROR(__xludf.DUMMYFUNCTION("""COMPUTED_VALUE"""),"MUCSPA63459PSIND")</f>
        <v>MUCSPA63459PSIND</v>
      </c>
      <c r="Q977" s="80" t="str">
        <f>IFERROR(__xludf.DUMMYFUNCTION("""COMPUTED_VALUE"""),"MUC SADAR RAYA")</f>
        <v>MUC SADAR RAYA</v>
      </c>
      <c r="R977" s="80" t="str">
        <f>IFERROR(__xludf.DUMMYFUNCTION("""COMPUTED_VALUE"""),"MUC SADAR RAYA")</f>
        <v>MUC SADAR RAYA</v>
      </c>
      <c r="S977" s="80" t="str">
        <f>IFERROR(__xludf.DUMMYFUNCTION("""COMPUTED_VALUE"""),"DANDY LESTIONO EKO PUTRO")</f>
        <v>DANDY LESTIONO EKO PUTRO</v>
      </c>
      <c r="T977" s="80" t="str">
        <f>IFERROR(__xludf.DUMMYFUNCTION("""COMPUTED_VALUE"""),"NUANSA ASRI LALADON BLOK N-9 RT.05 RW.06 KEL. CIOMAS RAHAYU, KEC. CIOMAS")</f>
        <v>NUANSA ASRI LALADON BLOK N-9 RT.05 RW.06 KEL. CIOMAS RAHAYU, KEC. CIOMAS</v>
      </c>
      <c r="U977" s="80" t="str">
        <f>IFERROR(__xludf.DUMMYFUNCTION("""COMPUTED_VALUE"""),"KOMP. PERTOKOAN GAYATRI, JL. SADAR RAYA 33A UNIT L-03 SEBERANG ALFAMIDI RT 3 RW 2")</f>
        <v>KOMP. PERTOKOAN GAYATRI, JL. SADAR RAYA 33A UNIT L-03 SEBERANG ALFAMIDI RT 3 RW 2</v>
      </c>
      <c r="V977" s="80" t="str">
        <f>IFERROR(__xludf.DUMMYFUNCTION("""COMPUTED_VALUE"""),"RT.05  \ RW.06 ")</f>
        <v>RT.05  \ RW.06 </v>
      </c>
      <c r="W977" s="80" t="str">
        <f>IFERROR(__xludf.DUMMYFUNCTION("""COMPUTED_VALUE"""),"CIGANJUR")</f>
        <v>CIGANJUR</v>
      </c>
      <c r="X977" s="80" t="str">
        <f>IFERROR(__xludf.DUMMYFUNCTION("""COMPUTED_VALUE"""),"JAGAKARSA")</f>
        <v>JAGAKARSA</v>
      </c>
      <c r="Y977" s="80" t="str">
        <f>IFERROR(__xludf.DUMMYFUNCTION("""COMPUTED_VALUE"""),"JAKARTA SELATAN")</f>
        <v>JAKARTA SELATAN</v>
      </c>
      <c r="Z977" s="80" t="str">
        <f>IFERROR(__xludf.DUMMYFUNCTION("""COMPUTED_VALUE"""),"DKI JAKARTA")</f>
        <v>DKI JAKARTA</v>
      </c>
      <c r="AA977" s="80" t="str">
        <f>IFERROR(__xludf.DUMMYFUNCTION("""COMPUTED_VALUE"""),"12630")</f>
        <v>12630</v>
      </c>
      <c r="AB977" s="80" t="str">
        <f>IFERROR(__xludf.DUMMYFUNCTION("""COMPUTED_VALUE"""),"3271042909800013")</f>
        <v>3271042909800013</v>
      </c>
      <c r="AC977" s="80" t="str">
        <f>IFERROR(__xludf.DUMMYFUNCTION("""COMPUTED_VALUE"""),"57.552.524.1-404.000")</f>
        <v>57.552.524.1-404.000</v>
      </c>
      <c r="AD977" s="80" t="str">
        <f>IFERROR(__xludf.DUMMYFUNCTION("""COMPUTED_VALUE"""),"PAK ANGGA KCU FLORA")</f>
        <v>PAK ANGGA KCU FLORA</v>
      </c>
      <c r="AE977" s="80" t="str">
        <f>IFERROR(__xludf.DUMMYFUNCTION("""COMPUTED_VALUE"""),"PAK ANGGA KCU FLORA")</f>
        <v>PAK ANGGA KCU FLORA</v>
      </c>
      <c r="AF977" s="80" t="str">
        <f>IFERROR(__xludf.DUMMYFUNCTION("""COMPUTED_VALUE"""),"08111102705")</f>
        <v>08111102705</v>
      </c>
      <c r="AG977" s="80" t="str">
        <f>IFERROR(__xludf.DUMMYFUNCTION("""COMPUTED_VALUE"""),"08111102705")</f>
        <v>08111102705</v>
      </c>
      <c r="AH977" s="80" t="str">
        <f>IFERROR(__xludf.DUMMYFUNCTION("""COMPUTED_VALUE"""),"csd.order@gmail.com")</f>
        <v>csd.order@gmail.com</v>
      </c>
      <c r="AI977" s="80" t="str">
        <f>IFERROR(__xludf.DUMMYFUNCTION("""COMPUTED_VALUE"""),"12630SA")</f>
        <v>12630SA</v>
      </c>
      <c r="AJ977" s="80" t="str">
        <f>IFERROR(__xludf.DUMMYFUNCTION("""COMPUTED_VALUE"""),"6a1576d2aab42a6b41040658")</f>
        <v>6a1576d2aab42a6b41040658</v>
      </c>
      <c r="AK977" s="80" t="str">
        <f>IFERROR(__xludf.DUMMYFUNCTION("""COMPUTED_VALUE"""),"csd.order@gmail.com")</f>
        <v>csd.order@gmail.com</v>
      </c>
      <c r="AL977" s="80" t="str">
        <f>IFERROR(__xludf.DUMMYFUNCTION("""COMPUTED_VALUE"""),"#Muc12630SA$")</f>
        <v>#Muc12630SA$</v>
      </c>
      <c r="AM977" s="80" t="str">
        <f>IFERROR(__xludf.DUMMYFUNCTION("""COMPUTED_VALUE"""),"KANTOR REGIONAL II JAKARTA 10004")</f>
        <v>KANTOR REGIONAL II JAKARTA 10004</v>
      </c>
      <c r="AN977" s="80" t="str">
        <f>IFERROR(__xludf.DUMMYFUNCTION("""COMPUTED_VALUE"""),"KCU JAKARTAFLORA 12000")</f>
        <v>KCU JAKARTAFLORA 12000</v>
      </c>
      <c r="AO977" s="80" t="str">
        <f>IFERROR(__xludf.DUMMYFUNCTION("""COMPUTED_VALUE"""),"1274000432595")</f>
        <v>1274000432595</v>
      </c>
      <c r="AP977" s="80" t="str">
        <f>IFERROR(__xludf.DUMMYFUNCTION("""COMPUTED_VALUE"""),"12740004325950001")</f>
        <v>12740004325950001</v>
      </c>
      <c r="AQ977" s="83" t="str">
        <f>IFERROR(__xludf.DUMMYFUNCTION("""COMPUTED_VALUE"""),"0373234998")</f>
        <v>0373234998</v>
      </c>
      <c r="AR977" s="80"/>
      <c r="AS977" s="80"/>
      <c r="AT977" s="80" t="str">
        <f>IFERROR(__xludf.DUMMYFUNCTION("""COMPUTED_VALUE"""),"-6.3372508")</f>
        <v>-6.3372508</v>
      </c>
      <c r="AU977" s="80" t="str">
        <f>IFERROR(__xludf.DUMMYFUNCTION("""COMPUTED_VALUE"""),"106.8133554")</f>
        <v>106.8133554</v>
      </c>
      <c r="AV977" s="80"/>
      <c r="AW977" s="80"/>
      <c r="AX977" s="80"/>
      <c r="AY977" s="80"/>
      <c r="AZ977" s="80"/>
      <c r="BA977" s="80"/>
      <c r="BB977" s="80"/>
      <c r="BC977" s="80"/>
      <c r="BD977" s="80"/>
      <c r="BE977" s="80"/>
      <c r="BF977" s="80"/>
      <c r="BG977" s="80"/>
      <c r="BH977" s="80"/>
      <c r="BI977" s="80"/>
      <c r="BJ977" s="80"/>
      <c r="BK977" s="80"/>
      <c r="BL977" s="80"/>
      <c r="BM977" s="80"/>
      <c r="BN977" s="80"/>
      <c r="BO977" s="80"/>
      <c r="BP977" s="80"/>
      <c r="BQ977" s="80"/>
      <c r="BR977" s="80"/>
      <c r="BS977" s="80"/>
      <c r="BT977" s="80"/>
      <c r="BU977" s="80"/>
      <c r="BV977" s="80"/>
      <c r="BW977" s="80"/>
      <c r="BX977" s="80"/>
      <c r="BY977" s="80"/>
      <c r="BZ977" s="80"/>
      <c r="CA977" s="80"/>
      <c r="CB977" s="80"/>
      <c r="CC977" s="80"/>
      <c r="CD977" s="80"/>
      <c r="CE977" s="80"/>
      <c r="CF977" s="80"/>
      <c r="CG977" s="80"/>
      <c r="CH977" s="80"/>
      <c r="CI977" s="80"/>
      <c r="CJ977" s="80"/>
      <c r="CK977" s="2"/>
    </row>
    <row r="978" ht="12.75" customHeight="1">
      <c r="A978" s="85">
        <f>IFERROR(__xludf.DUMMYFUNCTION("""COMPUTED_VALUE"""),974.0)</f>
        <v>974</v>
      </c>
      <c r="B978" s="85"/>
      <c r="C978" s="85"/>
      <c r="D978" s="86"/>
      <c r="E978" s="88"/>
      <c r="F978" s="85"/>
      <c r="G978" s="86"/>
      <c r="H978" s="85"/>
      <c r="I978" s="85"/>
      <c r="J978" s="85"/>
      <c r="K978" s="85"/>
      <c r="L978" s="85"/>
      <c r="M978" s="85"/>
      <c r="N978" s="85"/>
      <c r="O978" s="85"/>
      <c r="P978" s="85" t="str">
        <f>IFERROR(__xludf.DUMMYFUNCTION("""COMPUTED_VALUE"""),"53BSPA17044JBEEN")</f>
        <v>53BSPA17044JBEEN</v>
      </c>
      <c r="Q978" s="85" t="str">
        <f>IFERROR(__xludf.DUMMYFUNCTION("""COMPUTED_VALUE"""),"MUC LOA IPUH MAJU")</f>
        <v>MUC LOA IPUH MAJU</v>
      </c>
      <c r="R978" s="85" t="str">
        <f>IFERROR(__xludf.DUMMYFUNCTION("""COMPUTED_VALUE"""),"MUC LOA IPUH MAJU")</f>
        <v>MUC LOA IPUH MAJU</v>
      </c>
      <c r="S978" s="85" t="str">
        <f>IFERROR(__xludf.DUMMYFUNCTION("""COMPUTED_VALUE"""),"SYARIF HIDAYAT")</f>
        <v>SYARIF HIDAYAT</v>
      </c>
      <c r="T978" s="85" t="str">
        <f>IFERROR(__xludf.DUMMYFUNCTION("""COMPUTED_VALUE"""),"JL. MJ. PANJAITAN NO. 07 RT 9 RW 000 LOA IPUH TENGGARONG")</f>
        <v>JL. MJ. PANJAITAN NO. 07 RT 9 RW 000 LOA IPUH TENGGARONG</v>
      </c>
      <c r="U978" s="85" t="str">
        <f>IFERROR(__xludf.DUMMYFUNCTION("""COMPUTED_VALUE"""),"JL. MAYJEND PANJAITAN NO. 07 RT 9 RW 000")</f>
        <v>JL. MAYJEND PANJAITAN NO. 07 RT 9 RW 000</v>
      </c>
      <c r="V978" s="85" t="str">
        <f>IFERROR(__xludf.DUMMYFUNCTION("""COMPUTED_VALUE"""),"RT 9 R \ RW 000")</f>
        <v>RT 9 R \ RW 000</v>
      </c>
      <c r="W978" s="85" t="str">
        <f>IFERROR(__xludf.DUMMYFUNCTION("""COMPUTED_VALUE"""),"LOA IPUH")</f>
        <v>LOA IPUH</v>
      </c>
      <c r="X978" s="85" t="str">
        <f>IFERROR(__xludf.DUMMYFUNCTION("""COMPUTED_VALUE"""),"TENGGARONG")</f>
        <v>TENGGARONG</v>
      </c>
      <c r="Y978" s="85" t="str">
        <f>IFERROR(__xludf.DUMMYFUNCTION("""COMPUTED_VALUE"""),"KAB. KUTAI KARTANEGARA")</f>
        <v>KAB. KUTAI KARTANEGARA</v>
      </c>
      <c r="Z978" s="85" t="str">
        <f>IFERROR(__xludf.DUMMYFUNCTION("""COMPUTED_VALUE"""),"KALIMANTAN TIMUR")</f>
        <v>KALIMANTAN TIMUR</v>
      </c>
      <c r="AA978" s="85" t="str">
        <f>IFERROR(__xludf.DUMMYFUNCTION("""COMPUTED_VALUE"""),"75513")</f>
        <v>75513</v>
      </c>
      <c r="AB978" s="85" t="str">
        <f>IFERROR(__xludf.DUMMYFUNCTION("""COMPUTED_VALUE"""),"6402060303760008")</f>
        <v>6402060303760008</v>
      </c>
      <c r="AC978" s="85" t="str">
        <f>IFERROR(__xludf.DUMMYFUNCTION("""COMPUTED_VALUE"""),"14.747.801.0-728.000")</f>
        <v>14.747.801.0-728.000</v>
      </c>
      <c r="AD978" s="85" t="str">
        <f>IFERROR(__xludf.DUMMYFUNCTION("""COMPUTED_VALUE"""),"PAK ASRORI")</f>
        <v>PAK ASRORI</v>
      </c>
      <c r="AE978" s="85" t="str">
        <f>IFERROR(__xludf.DUMMYFUNCTION("""COMPUTED_VALUE"""),"PAK ASRORI")</f>
        <v>PAK ASRORI</v>
      </c>
      <c r="AF978" s="85" t="str">
        <f>IFERROR(__xludf.DUMMYFUNCTION("""COMPUTED_VALUE"""),"081220644424")</f>
        <v>081220644424</v>
      </c>
      <c r="AG978" s="85" t="str">
        <f>IFERROR(__xludf.DUMMYFUNCTION("""COMPUTED_VALUE"""),"081220644424")</f>
        <v>081220644424</v>
      </c>
      <c r="AH978" s="85" t="str">
        <f>IFERROR(__xludf.DUMMYFUNCTION("""COMPUTED_VALUE"""),"syarief12345@gmail.com")</f>
        <v>syarief12345@gmail.com</v>
      </c>
      <c r="AI978" s="85"/>
      <c r="AJ978" s="85"/>
      <c r="AK978" s="85"/>
      <c r="AL978" s="85"/>
      <c r="AM978" s="85" t="str">
        <f>IFERROR(__xludf.DUMMYFUNCTION("""COMPUTED_VALUE"""),"KANTOR REGIONAL VI MAKASAR 90004")</f>
        <v>KANTOR REGIONAL VI MAKASAR 90004</v>
      </c>
      <c r="AN978" s="85" t="str">
        <f>IFERROR(__xludf.DUMMYFUNCTION("""COMPUTED_VALUE"""),"KC TENGGARONG 75500")</f>
        <v>KC TENGGARONG 75500</v>
      </c>
      <c r="AO978" s="85" t="str">
        <f>IFERROR(__xludf.DUMMYFUNCTION("""COMPUTED_VALUE"""),"1907220061207")</f>
        <v>1907220061207</v>
      </c>
      <c r="AP978" s="85" t="str">
        <f>IFERROR(__xludf.DUMMYFUNCTION("""COMPUTED_VALUE"""),"19072200612070002")</f>
        <v>19072200612070002</v>
      </c>
      <c r="AQ978" s="93" t="str">
        <f>IFERROR(__xludf.DUMMYFUNCTION("""COMPUTED_VALUE"""),"0442257330")</f>
        <v>0442257330</v>
      </c>
      <c r="AR978" s="85"/>
      <c r="AS978" s="85"/>
      <c r="AT978" s="85" t="str">
        <f>IFERROR(__xludf.DUMMYFUNCTION("""COMPUTED_VALUE"""),"-0.41729")</f>
        <v>-0.41729</v>
      </c>
      <c r="AU978" s="85" t="str">
        <f>IFERROR(__xludf.DUMMYFUNCTION("""COMPUTED_VALUE"""),"116.9801041")</f>
        <v>116.9801041</v>
      </c>
      <c r="AV978" s="85"/>
      <c r="AW978" s="85"/>
      <c r="AX978" s="85"/>
      <c r="AY978" s="85"/>
      <c r="AZ978" s="85"/>
      <c r="BA978" s="85"/>
      <c r="BB978" s="85"/>
      <c r="BC978" s="85"/>
      <c r="BD978" s="85"/>
      <c r="BE978" s="85"/>
      <c r="BF978" s="85"/>
      <c r="BG978" s="85"/>
      <c r="BH978" s="85"/>
      <c r="BI978" s="85"/>
      <c r="BJ978" s="85"/>
      <c r="BK978" s="85"/>
      <c r="BL978" s="85"/>
      <c r="BM978" s="85"/>
      <c r="BN978" s="85"/>
      <c r="BO978" s="85"/>
      <c r="BP978" s="85"/>
      <c r="BQ978" s="85"/>
      <c r="BR978" s="85"/>
      <c r="BS978" s="85"/>
      <c r="BT978" s="85"/>
      <c r="BU978" s="85"/>
      <c r="BV978" s="85"/>
      <c r="BW978" s="85"/>
      <c r="BX978" s="85"/>
      <c r="BY978" s="85"/>
      <c r="BZ978" s="85"/>
      <c r="CA978" s="85"/>
      <c r="CB978" s="85"/>
      <c r="CC978" s="85"/>
      <c r="CD978" s="85"/>
      <c r="CE978" s="85"/>
      <c r="CF978" s="85"/>
      <c r="CG978" s="85"/>
      <c r="CH978" s="85"/>
      <c r="CI978" s="85"/>
      <c r="CJ978" s="85"/>
      <c r="CK978" s="2"/>
    </row>
    <row r="979" ht="12.75" customHeight="1">
      <c r="A979" s="80">
        <f>IFERROR(__xludf.DUMMYFUNCTION("""COMPUTED_VALUE"""),975.0)</f>
        <v>975</v>
      </c>
      <c r="B979" s="80"/>
      <c r="C979" s="80"/>
      <c r="D979" s="81"/>
      <c r="E979" s="82"/>
      <c r="F979" s="80"/>
      <c r="G979" s="81"/>
      <c r="H979" s="80"/>
      <c r="I979" s="80"/>
      <c r="J979" s="80"/>
      <c r="K979" s="80"/>
      <c r="L979" s="80"/>
      <c r="M979" s="80"/>
      <c r="N979" s="80"/>
      <c r="O979" s="80"/>
      <c r="P979" s="80" t="str">
        <f>IFERROR(__xludf.DUMMYFUNCTION("""COMPUTED_VALUE"""),"53BSPA17055JBNDS")</f>
        <v>53BSPA17055JBNDS</v>
      </c>
      <c r="Q979" s="80" t="str">
        <f>IFERROR(__xludf.DUMMYFUNCTION("""COMPUTED_VALUE"""),"MUC SETIA GROUP ID")</f>
        <v>MUC SETIA GROUP ID</v>
      </c>
      <c r="R979" s="80" t="str">
        <f>IFERROR(__xludf.DUMMYFUNCTION("""COMPUTED_VALUE"""),"MUC SETIA GROUP ID")</f>
        <v>MUC SETIA GROUP ID</v>
      </c>
      <c r="S979" s="80" t="str">
        <f>IFERROR(__xludf.DUMMYFUNCTION("""COMPUTED_VALUE"""),"ADI MAULANA PRAHASIWI")</f>
        <v>ADI MAULANA PRAHASIWI</v>
      </c>
      <c r="T979" s="80" t="str">
        <f>IFERROR(__xludf.DUMMYFUNCTION("""COMPUTED_VALUE"""),"PERUMAHAN METLAND CIBITUNG CLUSTER HAVANA BLOK BE 15 NO 01 WANAJAYA CIBITUNG BEKASI")</f>
        <v>PERUMAHAN METLAND CIBITUNG CLUSTER HAVANA BLOK BE 15 NO 01 WANAJAYA CIBITUNG BEKASI</v>
      </c>
      <c r="U979" s="80" t="str">
        <f>IFERROR(__xludf.DUMMYFUNCTION("""COMPUTED_VALUE"""),"PERUMAHAN PURI LESTARI RUKO BLOK D3 NO 6 SUKAJAYA CIBITUNG BEKASI")</f>
        <v>PERUMAHAN PURI LESTARI RUKO BLOK D3 NO 6 SUKAJAYA CIBITUNG BEKASI</v>
      </c>
      <c r="V979" s="80"/>
      <c r="W979" s="80" t="str">
        <f>IFERROR(__xludf.DUMMYFUNCTION("""COMPUTED_VALUE"""),"SUKAJAYA")</f>
        <v>SUKAJAYA</v>
      </c>
      <c r="X979" s="80" t="str">
        <f>IFERROR(__xludf.DUMMYFUNCTION("""COMPUTED_VALUE"""),"CIBITUNG")</f>
        <v>CIBITUNG</v>
      </c>
      <c r="Y979" s="80" t="str">
        <f>IFERROR(__xludf.DUMMYFUNCTION("""COMPUTED_VALUE"""),"KAB. BEKASI")</f>
        <v>KAB. BEKASI</v>
      </c>
      <c r="Z979" s="80" t="str">
        <f>IFERROR(__xludf.DUMMYFUNCTION("""COMPUTED_VALUE"""),"JAWA BARAT")</f>
        <v>JAWA BARAT</v>
      </c>
      <c r="AA979" s="80" t="str">
        <f>IFERROR(__xludf.DUMMYFUNCTION("""COMPUTED_VALUE"""),"17520")</f>
        <v>17520</v>
      </c>
      <c r="AB979" s="80" t="str">
        <f>IFERROR(__xludf.DUMMYFUNCTION("""COMPUTED_VALUE"""),"3216081911920001")</f>
        <v>3216081911920001</v>
      </c>
      <c r="AC979" s="80" t="str">
        <f>IFERROR(__xludf.DUMMYFUNCTION("""COMPUTED_VALUE"""),"89.964.959.4-413.000")</f>
        <v>89.964.959.4-413.000</v>
      </c>
      <c r="AD979" s="80" t="str">
        <f>IFERROR(__xludf.DUMMYFUNCTION("""COMPUTED_VALUE"""),"SUB NDS")</f>
        <v>SUB NDS</v>
      </c>
      <c r="AE979" s="80" t="str">
        <f>IFERROR(__xludf.DUMMYFUNCTION("""COMPUTED_VALUE"""),"SUB NDS")</f>
        <v>SUB NDS</v>
      </c>
      <c r="AF979" s="80" t="str">
        <f>IFERROR(__xludf.DUMMYFUNCTION("""COMPUTED_VALUE"""),"085781354595")</f>
        <v>085781354595</v>
      </c>
      <c r="AG979" s="80" t="str">
        <f>IFERROR(__xludf.DUMMYFUNCTION("""COMPUTED_VALUE"""),"085781354595")</f>
        <v>085781354595</v>
      </c>
      <c r="AH979" s="80" t="str">
        <f>IFERROR(__xludf.DUMMYFUNCTION("""COMPUTED_VALUE"""),"setiagroup23@gmail.com")</f>
        <v>setiagroup23@gmail.com</v>
      </c>
      <c r="AI979" s="80"/>
      <c r="AJ979" s="80"/>
      <c r="AK979" s="80"/>
      <c r="AL979" s="80"/>
      <c r="AM979" s="80" t="str">
        <f>IFERROR(__xludf.DUMMYFUNCTION("""COMPUTED_VALUE"""),"KANTOR REGIONAL II JAKARTA 10004")</f>
        <v>KANTOR REGIONAL II JAKARTA 10004</v>
      </c>
      <c r="AN979" s="80" t="str">
        <f>IFERROR(__xludf.DUMMYFUNCTION("""COMPUTED_VALUE"""),"KC CIKARANG 17500")</f>
        <v>KC CIKARANG 17500</v>
      </c>
      <c r="AO979" s="80" t="str">
        <f>IFERROR(__xludf.DUMMYFUNCTION("""COMPUTED_VALUE"""),"2306220066173")</f>
        <v>2306220066173</v>
      </c>
      <c r="AP979" s="80" t="str">
        <f>IFERROR(__xludf.DUMMYFUNCTION("""COMPUTED_VALUE"""),"23062200661730002")</f>
        <v>23062200661730002</v>
      </c>
      <c r="AQ979" s="83" t="str">
        <f>IFERROR(__xludf.DUMMYFUNCTION("""COMPUTED_VALUE"""),"3431.6040.84")</f>
        <v>3431.6040.84</v>
      </c>
      <c r="AR979" s="80"/>
      <c r="AS979" s="80"/>
      <c r="AT979" s="80" t="str">
        <f>IFERROR(__xludf.DUMMYFUNCTION("""COMPUTED_VALUE"""),"-6.2388458")</f>
        <v>-6.2388458</v>
      </c>
      <c r="AU979" s="80" t="str">
        <f>IFERROR(__xludf.DUMMYFUNCTION("""COMPUTED_VALUE"""),"107.1364002")</f>
        <v>107.1364002</v>
      </c>
      <c r="AV979" s="80"/>
      <c r="AW979" s="80"/>
      <c r="AX979" s="80"/>
      <c r="AY979" s="80"/>
      <c r="AZ979" s="80"/>
      <c r="BA979" s="80"/>
      <c r="BB979" s="80"/>
      <c r="BC979" s="80"/>
      <c r="BD979" s="80"/>
      <c r="BE979" s="80"/>
      <c r="BF979" s="80"/>
      <c r="BG979" s="80"/>
      <c r="BH979" s="80"/>
      <c r="BI979" s="80"/>
      <c r="BJ979" s="80"/>
      <c r="BK979" s="80"/>
      <c r="BL979" s="80"/>
      <c r="BM979" s="80"/>
      <c r="BN979" s="80"/>
      <c r="BO979" s="80"/>
      <c r="BP979" s="80"/>
      <c r="BQ979" s="80"/>
      <c r="BR979" s="80"/>
      <c r="BS979" s="80"/>
      <c r="BT979" s="80"/>
      <c r="BU979" s="80"/>
      <c r="BV979" s="80"/>
      <c r="BW979" s="80"/>
      <c r="BX979" s="80"/>
      <c r="BY979" s="80"/>
      <c r="BZ979" s="80"/>
      <c r="CA979" s="80"/>
      <c r="CB979" s="80"/>
      <c r="CC979" s="80"/>
      <c r="CD979" s="80"/>
      <c r="CE979" s="80"/>
      <c r="CF979" s="80"/>
      <c r="CG979" s="80"/>
      <c r="CH979" s="80"/>
      <c r="CI979" s="80"/>
      <c r="CJ979" s="80"/>
      <c r="CK979" s="2"/>
    </row>
    <row r="980" ht="12.75" customHeight="1">
      <c r="A980" s="85">
        <f>IFERROR(__xludf.DUMMYFUNCTION("""COMPUTED_VALUE"""),976.0)</f>
        <v>976</v>
      </c>
      <c r="B980" s="85"/>
      <c r="C980" s="85"/>
      <c r="D980" s="86"/>
      <c r="E980" s="88"/>
      <c r="F980" s="85"/>
      <c r="G980" s="86"/>
      <c r="H980" s="85"/>
      <c r="I980" s="85"/>
      <c r="J980" s="85"/>
      <c r="K980" s="85"/>
      <c r="L980" s="85"/>
      <c r="M980" s="85"/>
      <c r="N980" s="85"/>
      <c r="O980" s="85"/>
      <c r="P980" s="85" t="str">
        <f>IFERROR(__xludf.DUMMYFUNCTION("""COMPUTED_VALUE"""),"53BSPA09682JBABD")</f>
        <v>53BSPA09682JBABD</v>
      </c>
      <c r="Q980" s="85" t="str">
        <f>IFERROR(__xludf.DUMMYFUNCTION("""COMPUTED_VALUE"""),"MUC AA GARAWANGI")</f>
        <v>MUC AA GARAWANGI</v>
      </c>
      <c r="R980" s="85" t="str">
        <f>IFERROR(__xludf.DUMMYFUNCTION("""COMPUTED_VALUE"""),"MUC AA GARAWANGI")</f>
        <v>MUC AA GARAWANGI</v>
      </c>
      <c r="S980" s="85" t="str">
        <f>IFERROR(__xludf.DUMMYFUNCTION("""COMPUTED_VALUE"""),"IMAS JULAEHA")</f>
        <v>IMAS JULAEHA</v>
      </c>
      <c r="T980" s="85" t="str">
        <f>IFERROR(__xludf.DUMMYFUNCTION("""COMPUTED_VALUE"""),"BLOK SELASA RT 1 RW 4 GARAWANGI SUMBERJAYA KAB. MAJALENGKA")</f>
        <v>BLOK SELASA RT 1 RW 4 GARAWANGI SUMBERJAYA KAB. MAJALENGKA</v>
      </c>
      <c r="U980" s="85" t="str">
        <f>IFERROR(__xludf.DUMMYFUNCTION("""COMPUTED_VALUE"""),"BLOK SELASA RT 1 RW 4")</f>
        <v>BLOK SELASA RT 1 RW 4</v>
      </c>
      <c r="V980" s="85" t="str">
        <f>IFERROR(__xludf.DUMMYFUNCTION("""COMPUTED_VALUE"""),"RT 1 R \ RW 4 G")</f>
        <v>RT 1 R \ RW 4 G</v>
      </c>
      <c r="W980" s="85" t="str">
        <f>IFERROR(__xludf.DUMMYFUNCTION("""COMPUTED_VALUE"""),"GARAWANGI")</f>
        <v>GARAWANGI</v>
      </c>
      <c r="X980" s="85" t="str">
        <f>IFERROR(__xludf.DUMMYFUNCTION("""COMPUTED_VALUE"""),"SUMBERJAYA")</f>
        <v>SUMBERJAYA</v>
      </c>
      <c r="Y980" s="85" t="str">
        <f>IFERROR(__xludf.DUMMYFUNCTION("""COMPUTED_VALUE"""),"KAB. MAJALENGKA")</f>
        <v>KAB. MAJALENGKA</v>
      </c>
      <c r="Z980" s="85" t="str">
        <f>IFERROR(__xludf.DUMMYFUNCTION("""COMPUTED_VALUE"""),"JAWA BARAT")</f>
        <v>JAWA BARAT</v>
      </c>
      <c r="AA980" s="85" t="str">
        <f>IFERROR(__xludf.DUMMYFUNCTION("""COMPUTED_VALUE"""),"45455")</f>
        <v>45455</v>
      </c>
      <c r="AB980" s="85" t="str">
        <f>IFERROR(__xludf.DUMMYFUNCTION("""COMPUTED_VALUE"""),"3210176601730001")</f>
        <v>3210176601730001</v>
      </c>
      <c r="AC980" s="85" t="str">
        <f>IFERROR(__xludf.DUMMYFUNCTION("""COMPUTED_VALUE"""),"66.461.104.3-438.000")</f>
        <v>66.461.104.3-438.000</v>
      </c>
      <c r="AD980" s="85" t="str">
        <f>IFERROR(__xludf.DUMMYFUNCTION("""COMPUTED_VALUE"""),"PAK JAPAR")</f>
        <v>PAK JAPAR</v>
      </c>
      <c r="AE980" s="85" t="str">
        <f>IFERROR(__xludf.DUMMYFUNCTION("""COMPUTED_VALUE"""),"PAK JAPAR")</f>
        <v>PAK JAPAR</v>
      </c>
      <c r="AF980" s="85" t="str">
        <f>IFERROR(__xludf.DUMMYFUNCTION("""COMPUTED_VALUE"""),"081321550597")</f>
        <v>081321550597</v>
      </c>
      <c r="AG980" s="85" t="str">
        <f>IFERROR(__xludf.DUMMYFUNCTION("""COMPUTED_VALUE"""),"081321550597")</f>
        <v>081321550597</v>
      </c>
      <c r="AH980" s="85" t="str">
        <f>IFERROR(__xludf.DUMMYFUNCTION("""COMPUTED_VALUE"""),"imasjulaeha441@gmail.com")</f>
        <v>imasjulaeha441@gmail.com</v>
      </c>
      <c r="AI980" s="85"/>
      <c r="AJ980" s="85"/>
      <c r="AK980" s="85"/>
      <c r="AL980" s="85"/>
      <c r="AM980" s="85" t="str">
        <f>IFERROR(__xludf.DUMMYFUNCTION("""COMPUTED_VALUE"""),"KANTOR REGIONAL III BANDUNG 40004")</f>
        <v>KANTOR REGIONAL III BANDUNG 40004</v>
      </c>
      <c r="AN980" s="85" t="str">
        <f>IFERROR(__xludf.DUMMYFUNCTION("""COMPUTED_VALUE"""),"KC MAJALENGKA 45400")</f>
        <v>KC MAJALENGKA 45400</v>
      </c>
      <c r="AO980" s="85" t="str">
        <f>IFERROR(__xludf.DUMMYFUNCTION("""COMPUTED_VALUE"""),"1306230126449")</f>
        <v>1306230126449</v>
      </c>
      <c r="AP980" s="85" t="str">
        <f>IFERROR(__xludf.DUMMYFUNCTION("""COMPUTED_VALUE"""),"13062301264490002")</f>
        <v>13062301264490002</v>
      </c>
      <c r="AQ980" s="93" t="str">
        <f>IFERROR(__xludf.DUMMYFUNCTION("""COMPUTED_VALUE"""),"430701027217537")</f>
        <v>430701027217537</v>
      </c>
      <c r="AR980" s="85"/>
      <c r="AS980" s="85"/>
      <c r="AT980" s="85" t="str">
        <f>IFERROR(__xludf.DUMMYFUNCTION("""COMPUTED_VALUE"""),"-6.7231303")</f>
        <v>-6.7231303</v>
      </c>
      <c r="AU980" s="85" t="str">
        <f>IFERROR(__xludf.DUMMYFUNCTION("""COMPUTED_VALUE"""),"108.3307548")</f>
        <v>108.3307548</v>
      </c>
      <c r="AV980" s="85"/>
      <c r="AW980" s="85"/>
      <c r="AX980" s="85"/>
      <c r="AY980" s="85"/>
      <c r="AZ980" s="85"/>
      <c r="BA980" s="85"/>
      <c r="BB980" s="85"/>
      <c r="BC980" s="85"/>
      <c r="BD980" s="85"/>
      <c r="BE980" s="85"/>
      <c r="BF980" s="85"/>
      <c r="BG980" s="85"/>
      <c r="BH980" s="85"/>
      <c r="BI980" s="85"/>
      <c r="BJ980" s="85"/>
      <c r="BK980" s="85"/>
      <c r="BL980" s="85"/>
      <c r="BM980" s="85"/>
      <c r="BN980" s="85"/>
      <c r="BO980" s="85"/>
      <c r="BP980" s="85"/>
      <c r="BQ980" s="85"/>
      <c r="BR980" s="85"/>
      <c r="BS980" s="85"/>
      <c r="BT980" s="85"/>
      <c r="BU980" s="85"/>
      <c r="BV980" s="85"/>
      <c r="BW980" s="85"/>
      <c r="BX980" s="85"/>
      <c r="BY980" s="85"/>
      <c r="BZ980" s="85"/>
      <c r="CA980" s="85"/>
      <c r="CB980" s="85"/>
      <c r="CC980" s="85"/>
      <c r="CD980" s="85"/>
      <c r="CE980" s="85"/>
      <c r="CF980" s="85"/>
      <c r="CG980" s="85"/>
      <c r="CH980" s="85"/>
      <c r="CI980" s="85"/>
      <c r="CJ980" s="85"/>
      <c r="CK980" s="2"/>
    </row>
    <row r="981" ht="12.75" customHeight="1">
      <c r="A981" s="80">
        <f>IFERROR(__xludf.DUMMYFUNCTION("""COMPUTED_VALUE"""),977.0)</f>
        <v>977</v>
      </c>
      <c r="B981" s="80"/>
      <c r="C981" s="80"/>
      <c r="D981" s="81"/>
      <c r="E981" s="82"/>
      <c r="F981" s="80"/>
      <c r="G981" s="81">
        <f>IFERROR(__xludf.DUMMYFUNCTION("""COMPUTED_VALUE"""),46164.0)</f>
        <v>46164</v>
      </c>
      <c r="H981" s="80"/>
      <c r="I981" s="80"/>
      <c r="J981" s="80"/>
      <c r="K981" s="80"/>
      <c r="L981" s="80">
        <f>IFERROR(__xludf.DUMMYFUNCTION("""COMPUTED_VALUE"""),46164.0)</f>
        <v>46164</v>
      </c>
      <c r="M981" s="80"/>
      <c r="N981" s="80"/>
      <c r="O981" s="80"/>
      <c r="P981" s="80" t="str">
        <f>IFERROR(__xludf.DUMMYFUNCTION("""COMPUTED_VALUE"""),"53BSPA17045JBEEN")</f>
        <v>53BSPA17045JBEEN</v>
      </c>
      <c r="Q981" s="80" t="str">
        <f>IFERROR(__xludf.DUMMYFUNCTION("""COMPUTED_VALUE"""),"MUC CONDET JAYA")</f>
        <v>MUC CONDET JAYA</v>
      </c>
      <c r="R981" s="80" t="str">
        <f>IFERROR(__xludf.DUMMYFUNCTION("""COMPUTED_VALUE"""),"MUC CONDET JAYA")</f>
        <v>MUC CONDET JAYA</v>
      </c>
      <c r="S981" s="80" t="str">
        <f>IFERROR(__xludf.DUMMYFUNCTION("""COMPUTED_VALUE"""),"DIKI LESTARIONO H")</f>
        <v>DIKI LESTARIONO H</v>
      </c>
      <c r="T981" s="80" t="str">
        <f>IFERROR(__xludf.DUMMYFUNCTION("""COMPUTED_VALUE"""),"JL. RAYA CONDET NO. 18 RT 3 RW 4 BATUAMPAR KRAMATJATI")</f>
        <v>JL. RAYA CONDET NO. 18 RT 3 RW 4 BATUAMPAR KRAMATJATI</v>
      </c>
      <c r="U981" s="80" t="str">
        <f>IFERROR(__xludf.DUMMYFUNCTION("""COMPUTED_VALUE"""),"JL. CONDET RAYA NO. 03")</f>
        <v>JL. CONDET RAYA NO. 03</v>
      </c>
      <c r="V981" s="80" t="str">
        <f>IFERROR(__xludf.DUMMYFUNCTION("""COMPUTED_VALUE"""),"RT 3 R \ RW 4 B")</f>
        <v>RT 3 R \ RW 4 B</v>
      </c>
      <c r="W981" s="80" t="str">
        <f>IFERROR(__xludf.DUMMYFUNCTION("""COMPUTED_VALUE"""),"BATUAMPAR")</f>
        <v>BATUAMPAR</v>
      </c>
      <c r="X981" s="80" t="str">
        <f>IFERROR(__xludf.DUMMYFUNCTION("""COMPUTED_VALUE"""),"KRAMATJATI")</f>
        <v>KRAMATJATI</v>
      </c>
      <c r="Y981" s="80" t="str">
        <f>IFERROR(__xludf.DUMMYFUNCTION("""COMPUTED_VALUE"""),"JAKARTA TIMUR")</f>
        <v>JAKARTA TIMUR</v>
      </c>
      <c r="Z981" s="80" t="str">
        <f>IFERROR(__xludf.DUMMYFUNCTION("""COMPUTED_VALUE"""),"DKI JAKARTA")</f>
        <v>DKI JAKARTA</v>
      </c>
      <c r="AA981" s="80" t="str">
        <f>IFERROR(__xludf.DUMMYFUNCTION("""COMPUTED_VALUE"""),"13520")</f>
        <v>13520</v>
      </c>
      <c r="AB981" s="80" t="str">
        <f>IFERROR(__xludf.DUMMYFUNCTION("""COMPUTED_VALUE"""),"3175040108690003")</f>
        <v>3175040108690003</v>
      </c>
      <c r="AC981" s="80" t="str">
        <f>IFERROR(__xludf.DUMMYFUNCTION("""COMPUTED_VALUE"""),"09.472.778.1-005.000")</f>
        <v>09.472.778.1-005.000</v>
      </c>
      <c r="AD981" s="80" t="str">
        <f>IFERROR(__xludf.DUMMYFUNCTION("""COMPUTED_VALUE"""),"PAK ASRORI")</f>
        <v>PAK ASRORI</v>
      </c>
      <c r="AE981" s="80" t="str">
        <f>IFERROR(__xludf.DUMMYFUNCTION("""COMPUTED_VALUE"""),"PAK ASRORI")</f>
        <v>PAK ASRORI</v>
      </c>
      <c r="AF981" s="80" t="str">
        <f>IFERROR(__xludf.DUMMYFUNCTION("""COMPUTED_VALUE"""),"08816100441")</f>
        <v>08816100441</v>
      </c>
      <c r="AG981" s="80" t="str">
        <f>IFERROR(__xludf.DUMMYFUNCTION("""COMPUTED_VALUE"""),"08816100441")</f>
        <v>08816100441</v>
      </c>
      <c r="AH981" s="80" t="str">
        <f>IFERROR(__xludf.DUMMYFUNCTION("""COMPUTED_VALUE"""),"diki.spn@gmail.com")</f>
        <v>diki.spn@gmail.com</v>
      </c>
      <c r="AI981" s="80" t="str">
        <f>IFERROR(__xludf.DUMMYFUNCTION("""COMPUTED_VALUE"""),"13520S2")</f>
        <v>13520S2</v>
      </c>
      <c r="AJ981" s="80" t="str">
        <f>IFERROR(__xludf.DUMMYFUNCTION("""COMPUTED_VALUE"""),"6a0fbefe7dde5cdaeb01d69d")</f>
        <v>6a0fbefe7dde5cdaeb01d69d</v>
      </c>
      <c r="AK981" s="80" t="str">
        <f>IFERROR(__xludf.DUMMYFUNCTION("""COMPUTED_VALUE"""),"diki.spn@gmail.com")</f>
        <v>diki.spn@gmail.com</v>
      </c>
      <c r="AL981" s="80" t="str">
        <f>IFERROR(__xludf.DUMMYFUNCTION("""COMPUTED_VALUE"""),"#Muc13520S2$")</f>
        <v>#Muc13520S2$</v>
      </c>
      <c r="AM981" s="80" t="str">
        <f>IFERROR(__xludf.DUMMYFUNCTION("""COMPUTED_VALUE"""),"KANTOR REGIONAL II JAKARTA 10004")</f>
        <v>KANTOR REGIONAL II JAKARTA 10004</v>
      </c>
      <c r="AN981" s="80" t="str">
        <f>IFERROR(__xludf.DUMMYFUNCTION("""COMPUTED_VALUE"""),"KCU JAKARTAPREMIER 13000")</f>
        <v>KCU JAKARTAPREMIER 13000</v>
      </c>
      <c r="AO981" s="80" t="str">
        <f>IFERROR(__xludf.DUMMYFUNCTION("""COMPUTED_VALUE"""),"2710210010446")</f>
        <v>2710210010446</v>
      </c>
      <c r="AP981" s="80" t="str">
        <f>IFERROR(__xludf.DUMMYFUNCTION("""COMPUTED_VALUE"""),"27102100104460003")</f>
        <v>27102100104460003</v>
      </c>
      <c r="AQ981" s="83" t="str">
        <f>IFERROR(__xludf.DUMMYFUNCTION("""COMPUTED_VALUE"""),"6825194448")</f>
        <v>6825194448</v>
      </c>
      <c r="AR981" s="80"/>
      <c r="AS981" s="80"/>
      <c r="AT981" s="80" t="str">
        <f>IFERROR(__xludf.DUMMYFUNCTION("""COMPUTED_VALUE"""),"-6.2745126")</f>
        <v>-6.2745126</v>
      </c>
      <c r="AU981" s="80" t="str">
        <f>IFERROR(__xludf.DUMMYFUNCTION("""COMPUTED_VALUE"""),"106.8566104")</f>
        <v>106.8566104</v>
      </c>
      <c r="AV981" s="80"/>
      <c r="AW981" s="80"/>
      <c r="AX981" s="80"/>
      <c r="AY981" s="80"/>
      <c r="AZ981" s="80"/>
      <c r="BA981" s="80"/>
      <c r="BB981" s="80"/>
      <c r="BC981" s="80"/>
      <c r="BD981" s="80"/>
      <c r="BE981" s="80"/>
      <c r="BF981" s="80"/>
      <c r="BG981" s="80"/>
      <c r="BH981" s="80"/>
      <c r="BI981" s="80"/>
      <c r="BJ981" s="80"/>
      <c r="BK981" s="80"/>
      <c r="BL981" s="80"/>
      <c r="BM981" s="80"/>
      <c r="BN981" s="80"/>
      <c r="BO981" s="80"/>
      <c r="BP981" s="80"/>
      <c r="BQ981" s="80"/>
      <c r="BR981" s="80"/>
      <c r="BS981" s="80"/>
      <c r="BT981" s="80"/>
      <c r="BU981" s="80"/>
      <c r="BV981" s="80"/>
      <c r="BW981" s="80"/>
      <c r="BX981" s="80"/>
      <c r="BY981" s="80"/>
      <c r="BZ981" s="80"/>
      <c r="CA981" s="80"/>
      <c r="CB981" s="80"/>
      <c r="CC981" s="80"/>
      <c r="CD981" s="80"/>
      <c r="CE981" s="80"/>
      <c r="CF981" s="80"/>
      <c r="CG981" s="80"/>
      <c r="CH981" s="80"/>
      <c r="CI981" s="80"/>
      <c r="CJ981" s="80"/>
      <c r="CK981" s="2"/>
    </row>
    <row r="982" ht="12.75" customHeight="1">
      <c r="A982" s="85">
        <f>IFERROR(__xludf.DUMMYFUNCTION("""COMPUTED_VALUE"""),978.0)</f>
        <v>978</v>
      </c>
      <c r="B982" s="85"/>
      <c r="C982" s="85"/>
      <c r="D982" s="86"/>
      <c r="E982" s="88"/>
      <c r="F982" s="85"/>
      <c r="G982" s="86">
        <f>IFERROR(__xludf.DUMMYFUNCTION("""COMPUTED_VALUE"""),46188.0)</f>
        <v>46188</v>
      </c>
      <c r="H982" s="85"/>
      <c r="I982" s="85"/>
      <c r="J982" s="85"/>
      <c r="K982" s="85"/>
      <c r="L982" s="85">
        <f>IFERROR(__xludf.DUMMYFUNCTION("""COMPUTED_VALUE"""),46188.0)</f>
        <v>46188</v>
      </c>
      <c r="M982" s="85"/>
      <c r="N982" s="85"/>
      <c r="O982" s="85"/>
      <c r="P982" s="85" t="str">
        <f>IFERROR(__xludf.DUMMYFUNCTION("""COMPUTED_VALUE"""),"MUCSPA63460PSIND")</f>
        <v>MUCSPA63460PSIND</v>
      </c>
      <c r="Q982" s="85" t="str">
        <f>IFERROR(__xludf.DUMMYFUNCTION("""COMPUTED_VALUE"""),"MUC FATIMAH ZAHRA")</f>
        <v>MUC FATIMAH ZAHRA</v>
      </c>
      <c r="R982" s="85" t="str">
        <f>IFERROR(__xludf.DUMMYFUNCTION("""COMPUTED_VALUE"""),"MUC FATIMAH ZAHRA")</f>
        <v>MUC FATIMAH ZAHRA</v>
      </c>
      <c r="S982" s="85" t="str">
        <f>IFERROR(__xludf.DUMMYFUNCTION("""COMPUTED_VALUE"""),"FATIMAH ZAHRA")</f>
        <v>FATIMAH ZAHRA</v>
      </c>
      <c r="T982" s="85" t="str">
        <f>IFERROR(__xludf.DUMMYFUNCTION("""COMPUTED_VALUE"""),"JL. TUNGKAL 4 NO. 71 BAKTIJAYA SUKMAJAYA DEPOK")</f>
        <v>JL. TUNGKAL 4 NO. 71 BAKTIJAYA SUKMAJAYA DEPOK</v>
      </c>
      <c r="U982" s="85" t="str">
        <f>IFERROR(__xludf.DUMMYFUNCTION("""COMPUTED_VALUE"""),"JL. TUNGKAL 4 NO. 71")</f>
        <v>JL. TUNGKAL 4 NO. 71</v>
      </c>
      <c r="V982" s="85"/>
      <c r="W982" s="85" t="str">
        <f>IFERROR(__xludf.DUMMYFUNCTION("""COMPUTED_VALUE"""),"BAKTIJAYA")</f>
        <v>BAKTIJAYA</v>
      </c>
      <c r="X982" s="85" t="str">
        <f>IFERROR(__xludf.DUMMYFUNCTION("""COMPUTED_VALUE"""),"SUKMAJAYA")</f>
        <v>SUKMAJAYA</v>
      </c>
      <c r="Y982" s="85" t="str">
        <f>IFERROR(__xludf.DUMMYFUNCTION("""COMPUTED_VALUE"""),"DEPOK")</f>
        <v>DEPOK</v>
      </c>
      <c r="Z982" s="85" t="str">
        <f>IFERROR(__xludf.DUMMYFUNCTION("""COMPUTED_VALUE"""),"JAWA BARAT")</f>
        <v>JAWA BARAT</v>
      </c>
      <c r="AA982" s="85" t="str">
        <f>IFERROR(__xludf.DUMMYFUNCTION("""COMPUTED_VALUE"""),"16148")</f>
        <v>16148</v>
      </c>
      <c r="AB982" s="85" t="str">
        <f>IFERROR(__xludf.DUMMYFUNCTION("""COMPUTED_VALUE"""),"3276056310920008")</f>
        <v>3276056310920008</v>
      </c>
      <c r="AC982" s="85" t="str">
        <f>IFERROR(__xludf.DUMMYFUNCTION("""COMPUTED_VALUE"""),"80.441.890.3-412.000")</f>
        <v>80.441.890.3-412.000</v>
      </c>
      <c r="AD982" s="85" t="str">
        <f>IFERROR(__xludf.DUMMYFUNCTION("""COMPUTED_VALUE"""),"PAK HADI KC DEPOK")</f>
        <v>PAK HADI KC DEPOK</v>
      </c>
      <c r="AE982" s="85" t="str">
        <f>IFERROR(__xludf.DUMMYFUNCTION("""COMPUTED_VALUE"""),"PAK HADI KC DEPOK")</f>
        <v>PAK HADI KC DEPOK</v>
      </c>
      <c r="AF982" s="85" t="str">
        <f>IFERROR(__xludf.DUMMYFUNCTION("""COMPUTED_VALUE"""),"085715946870")</f>
        <v>085715946870</v>
      </c>
      <c r="AG982" s="85" t="str">
        <f>IFERROR(__xludf.DUMMYFUNCTION("""COMPUTED_VALUE"""),"085715946870")</f>
        <v>085715946870</v>
      </c>
      <c r="AH982" s="85" t="str">
        <f>IFERROR(__xludf.DUMMYFUNCTION("""COMPUTED_VALUE"""),"23zahrafatimah@gmail.com")</f>
        <v>23zahrafatimah@gmail.com</v>
      </c>
      <c r="AI982" s="85" t="str">
        <f>IFERROR(__xludf.DUMMYFUNCTION("""COMPUTED_VALUE"""),"16418S4")</f>
        <v>16418S4</v>
      </c>
      <c r="AJ982" s="85" t="str">
        <f>IFERROR(__xludf.DUMMYFUNCTION("""COMPUTED_VALUE"""),"6a2dfb351f679aa53e027844")</f>
        <v>6a2dfb351f679aa53e027844</v>
      </c>
      <c r="AK982" s="85" t="str">
        <f>IFERROR(__xludf.DUMMYFUNCTION("""COMPUTED_VALUE"""),"23zahrafatimah@gmail.com")</f>
        <v>23zahrafatimah@gmail.com</v>
      </c>
      <c r="AL982" s="85" t="str">
        <f>IFERROR(__xludf.DUMMYFUNCTION("""COMPUTED_VALUE"""),"#Muc16418S4")</f>
        <v>#Muc16418S4</v>
      </c>
      <c r="AM982" s="85" t="str">
        <f>IFERROR(__xludf.DUMMYFUNCTION("""COMPUTED_VALUE"""),"KANTOR REGIONAL II JAKARTA 10004")</f>
        <v>KANTOR REGIONAL II JAKARTA 10004</v>
      </c>
      <c r="AN982" s="85" t="str">
        <f>IFERROR(__xludf.DUMMYFUNCTION("""COMPUTED_VALUE"""),"KC DEPOK 16400")</f>
        <v>KC DEPOK 16400</v>
      </c>
      <c r="AO982" s="85" t="str">
        <f>IFERROR(__xludf.DUMMYFUNCTION("""COMPUTED_VALUE"""),"1805260035402")</f>
        <v>1805260035402</v>
      </c>
      <c r="AP982" s="85" t="str">
        <f>IFERROR(__xludf.DUMMYFUNCTION("""COMPUTED_VALUE"""),"18052600354020001")</f>
        <v>18052600354020001</v>
      </c>
      <c r="AQ982" s="93" t="str">
        <f>IFERROR(__xludf.DUMMYFUNCTION("""COMPUTED_VALUE"""),"6610868418")</f>
        <v>6610868418</v>
      </c>
      <c r="AR982" s="85"/>
      <c r="AS982" s="85"/>
      <c r="AT982" s="85" t="str">
        <f>IFERROR(__xludf.DUMMYFUNCTION("""COMPUTED_VALUE"""),"-6.3861115")</f>
        <v>-6.3861115</v>
      </c>
      <c r="AU982" s="85" t="str">
        <f>IFERROR(__xludf.DUMMYFUNCTION("""COMPUTED_VALUE"""),"106.8502501")</f>
        <v>106.8502501</v>
      </c>
      <c r="AV982" s="85"/>
      <c r="AW982" s="85"/>
      <c r="AX982" s="85"/>
      <c r="AY982" s="85"/>
      <c r="AZ982" s="85"/>
      <c r="BA982" s="85"/>
      <c r="BB982" s="85"/>
      <c r="BC982" s="85"/>
      <c r="BD982" s="85"/>
      <c r="BE982" s="85"/>
      <c r="BF982" s="85"/>
      <c r="BG982" s="85"/>
      <c r="BH982" s="85"/>
      <c r="BI982" s="85"/>
      <c r="BJ982" s="85"/>
      <c r="BK982" s="85"/>
      <c r="BL982" s="85"/>
      <c r="BM982" s="85"/>
      <c r="BN982" s="85"/>
      <c r="BO982" s="85"/>
      <c r="BP982" s="85"/>
      <c r="BQ982" s="85"/>
      <c r="BR982" s="85"/>
      <c r="BS982" s="85"/>
      <c r="BT982" s="85"/>
      <c r="BU982" s="85"/>
      <c r="BV982" s="85"/>
      <c r="BW982" s="85"/>
      <c r="BX982" s="85"/>
      <c r="BY982" s="85"/>
      <c r="BZ982" s="85"/>
      <c r="CA982" s="85"/>
      <c r="CB982" s="85"/>
      <c r="CC982" s="85"/>
      <c r="CD982" s="85"/>
      <c r="CE982" s="85"/>
      <c r="CF982" s="85"/>
      <c r="CG982" s="85"/>
      <c r="CH982" s="85"/>
      <c r="CI982" s="85"/>
      <c r="CJ982" s="85"/>
      <c r="CK982" s="2"/>
    </row>
    <row r="983" ht="12.75" customHeight="1">
      <c r="A983" s="80">
        <f>IFERROR(__xludf.DUMMYFUNCTION("""COMPUTED_VALUE"""),979.0)</f>
        <v>979</v>
      </c>
      <c r="B983" s="80"/>
      <c r="C983" s="80"/>
      <c r="D983" s="81"/>
      <c r="E983" s="82"/>
      <c r="F983" s="80"/>
      <c r="G983" s="81">
        <f>IFERROR(__xludf.DUMMYFUNCTION("""COMPUTED_VALUE"""),46217.0)</f>
        <v>46217</v>
      </c>
      <c r="H983" s="80"/>
      <c r="I983" s="80"/>
      <c r="J983" s="80"/>
      <c r="K983" s="80"/>
      <c r="L983" s="80">
        <f>IFERROR(__xludf.DUMMYFUNCTION("""COMPUTED_VALUE"""),46217.0)</f>
        <v>46217</v>
      </c>
      <c r="M983" s="80"/>
      <c r="N983" s="80"/>
      <c r="O983" s="80"/>
      <c r="P983" s="80" t="str">
        <f>IFERROR(__xludf.DUMMYFUNCTION("""COMPUTED_VALUE"""),"MUCSPA63461PSIND")</f>
        <v>MUCSPA63461PSIND</v>
      </c>
      <c r="Q983" s="80" t="str">
        <f>IFERROR(__xludf.DUMMYFUNCTION("""COMPUTED_VALUE"""),"MUC BIANCA")</f>
        <v>MUC BIANCA</v>
      </c>
      <c r="R983" s="80" t="str">
        <f>IFERROR(__xludf.DUMMYFUNCTION("""COMPUTED_VALUE"""),"MUC BIANCA")</f>
        <v>MUC BIANCA</v>
      </c>
      <c r="S983" s="80" t="str">
        <f>IFERROR(__xludf.DUMMYFUNCTION("""COMPUTED_VALUE"""),"AGUS FERDI KIRANISANI")</f>
        <v>AGUS FERDI KIRANISANI</v>
      </c>
      <c r="T983" s="80" t="str">
        <f>IFERROR(__xludf.DUMMYFUNCTION("""COMPUTED_VALUE"""),"GUNUNG POLO RT 25 RW 000 ARGOREJO SEDAYU BANTUL")</f>
        <v>GUNUNG POLO RT 25 RW 000 ARGOREJO SEDAYU BANTUL</v>
      </c>
      <c r="U983" s="80" t="str">
        <f>IFERROR(__xludf.DUMMYFUNCTION("""COMPUTED_VALUE"""),"GUNUNG POLO RT 25 RW 000")</f>
        <v>GUNUNG POLO RT 25 RW 000</v>
      </c>
      <c r="V983" s="80" t="str">
        <f>IFERROR(__xludf.DUMMYFUNCTION("""COMPUTED_VALUE"""),"RT 25  \ RW 000")</f>
        <v>RT 25  \ RW 000</v>
      </c>
      <c r="W983" s="80" t="str">
        <f>IFERROR(__xludf.DUMMYFUNCTION("""COMPUTED_VALUE"""),"ARGOREJO")</f>
        <v>ARGOREJO</v>
      </c>
      <c r="X983" s="80" t="str">
        <f>IFERROR(__xludf.DUMMYFUNCTION("""COMPUTED_VALUE"""),"SEDAYU")</f>
        <v>SEDAYU</v>
      </c>
      <c r="Y983" s="80" t="str">
        <f>IFERROR(__xludf.DUMMYFUNCTION("""COMPUTED_VALUE"""),"KAB. BANTUL")</f>
        <v>KAB. BANTUL</v>
      </c>
      <c r="Z983" s="80" t="str">
        <f>IFERROR(__xludf.DUMMYFUNCTION("""COMPUTED_VALUE"""),"DI YOGYAKARTA")</f>
        <v>DI YOGYAKARTA</v>
      </c>
      <c r="AA983" s="80" t="str">
        <f>IFERROR(__xludf.DUMMYFUNCTION("""COMPUTED_VALUE"""),"55752")</f>
        <v>55752</v>
      </c>
      <c r="AB983" s="80" t="str">
        <f>IFERROR(__xludf.DUMMYFUNCTION("""COMPUTED_VALUE"""),"3402172208960001")</f>
        <v>3402172208960001</v>
      </c>
      <c r="AC983" s="80" t="str">
        <f>IFERROR(__xludf.DUMMYFUNCTION("""COMPUTED_VALUE"""),"83.406.046.9-543.000")</f>
        <v>83.406.046.9-543.000</v>
      </c>
      <c r="AD983" s="80" t="str">
        <f>IFERROR(__xludf.DUMMYFUNCTION("""COMPUTED_VALUE"""),"PAK ADIT KCU YOGYA")</f>
        <v>PAK ADIT KCU YOGYA</v>
      </c>
      <c r="AE983" s="80" t="str">
        <f>IFERROR(__xludf.DUMMYFUNCTION("""COMPUTED_VALUE"""),"PAK ADIT KCU YOGYA")</f>
        <v>PAK ADIT KCU YOGYA</v>
      </c>
      <c r="AF983" s="80" t="str">
        <f>IFERROR(__xludf.DUMMYFUNCTION("""COMPUTED_VALUE"""),"085786471976")</f>
        <v>085786471976</v>
      </c>
      <c r="AG983" s="80" t="str">
        <f>IFERROR(__xludf.DUMMYFUNCTION("""COMPUTED_VALUE"""),"085786471976")</f>
        <v>085786471976</v>
      </c>
      <c r="AH983" s="80" t="str">
        <f>IFERROR(__xludf.DUMMYFUNCTION("""COMPUTED_VALUE"""),"simbahbejat@gmail.com")</f>
        <v>simbahbejat@gmail.com</v>
      </c>
      <c r="AI983" s="80" t="str">
        <f>IFERROR(__xludf.DUMMYFUNCTION("""COMPUTED_VALUE"""),"55752S2")</f>
        <v>55752S2</v>
      </c>
      <c r="AJ983" s="80" t="str">
        <f>IFERROR(__xludf.DUMMYFUNCTION("""COMPUTED_VALUE"""),"6a3ce040622b396a7507b61f")</f>
        <v>6a3ce040622b396a7507b61f</v>
      </c>
      <c r="AK983" s="80" t="str">
        <f>IFERROR(__xludf.DUMMYFUNCTION("""COMPUTED_VALUE"""),"simbahbejat@gmail.com")</f>
        <v>simbahbejat@gmail.com</v>
      </c>
      <c r="AL983" s="80" t="str">
        <f>IFERROR(__xludf.DUMMYFUNCTION("""COMPUTED_VALUE"""),"#Muc55752S2$")</f>
        <v>#Muc55752S2$</v>
      </c>
      <c r="AM983" s="80" t="str">
        <f>IFERROR(__xludf.DUMMYFUNCTION("""COMPUTED_VALUE"""),"KANTOR REGIONAL IV SEMARANG 50004")</f>
        <v>KANTOR REGIONAL IV SEMARANG 50004</v>
      </c>
      <c r="AN983" s="80" t="str">
        <f>IFERROR(__xludf.DUMMYFUNCTION("""COMPUTED_VALUE"""),"KCU YOGYAKARTA 55000")</f>
        <v>KCU YOGYAKARTA 55000</v>
      </c>
      <c r="AO983" s="80" t="str">
        <f>IFERROR(__xludf.DUMMYFUNCTION("""COMPUTED_VALUE"""),"1605260050632")</f>
        <v>1605260050632</v>
      </c>
      <c r="AP983" s="80" t="str">
        <f>IFERROR(__xludf.DUMMYFUNCTION("""COMPUTED_VALUE"""),"16052600506320001")</f>
        <v>16052600506320001</v>
      </c>
      <c r="AQ983" s="83" t="str">
        <f>IFERROR(__xludf.DUMMYFUNCTION("""COMPUTED_VALUE"""),"8020455650")</f>
        <v>8020455650</v>
      </c>
      <c r="AR983" s="80"/>
      <c r="AS983" s="80"/>
      <c r="AT983" s="80" t="str">
        <f>IFERROR(__xludf.DUMMYFUNCTION("""COMPUTED_VALUE"""),"-7.82731")</f>
        <v>-7.82731</v>
      </c>
      <c r="AU983" s="80" t="str">
        <f>IFERROR(__xludf.DUMMYFUNCTION("""COMPUTED_VALUE"""),"110.249037")</f>
        <v>110.249037</v>
      </c>
      <c r="AV983" s="80"/>
      <c r="AW983" s="80"/>
      <c r="AX983" s="80"/>
      <c r="AY983" s="80"/>
      <c r="AZ983" s="80"/>
      <c r="BA983" s="80"/>
      <c r="BB983" s="80"/>
      <c r="BC983" s="80"/>
      <c r="BD983" s="80"/>
      <c r="BE983" s="80"/>
      <c r="BF983" s="80"/>
      <c r="BG983" s="80"/>
      <c r="BH983" s="80"/>
      <c r="BI983" s="80"/>
      <c r="BJ983" s="80"/>
      <c r="BK983" s="80"/>
      <c r="BL983" s="80"/>
      <c r="BM983" s="80"/>
      <c r="BN983" s="80"/>
      <c r="BO983" s="80"/>
      <c r="BP983" s="80"/>
      <c r="BQ983" s="80"/>
      <c r="BR983" s="80"/>
      <c r="BS983" s="80"/>
      <c r="BT983" s="80"/>
      <c r="BU983" s="80"/>
      <c r="BV983" s="80"/>
      <c r="BW983" s="80"/>
      <c r="BX983" s="80"/>
      <c r="BY983" s="80"/>
      <c r="BZ983" s="80"/>
      <c r="CA983" s="80"/>
      <c r="CB983" s="80"/>
      <c r="CC983" s="80"/>
      <c r="CD983" s="80"/>
      <c r="CE983" s="80"/>
      <c r="CF983" s="80"/>
      <c r="CG983" s="80"/>
      <c r="CH983" s="80"/>
      <c r="CI983" s="80"/>
      <c r="CJ983" s="80"/>
      <c r="CK983" s="2"/>
    </row>
    <row r="984" ht="12.75" customHeight="1">
      <c r="A984" s="85">
        <f>IFERROR(__xludf.DUMMYFUNCTION("""COMPUTED_VALUE"""),980.0)</f>
        <v>980</v>
      </c>
      <c r="B984" s="85"/>
      <c r="C984" s="85"/>
      <c r="D984" s="86"/>
      <c r="E984" s="88"/>
      <c r="F984" s="85"/>
      <c r="G984" s="86">
        <f>IFERROR(__xludf.DUMMYFUNCTION("""COMPUTED_VALUE"""),46238.0)</f>
        <v>46238</v>
      </c>
      <c r="H984" s="85"/>
      <c r="I984" s="85"/>
      <c r="J984" s="85"/>
      <c r="K984" s="85"/>
      <c r="L984" s="85">
        <f>IFERROR(__xludf.DUMMYFUNCTION("""COMPUTED_VALUE"""),46238.0)</f>
        <v>46238</v>
      </c>
      <c r="M984" s="85"/>
      <c r="N984" s="85"/>
      <c r="O984" s="85"/>
      <c r="P984" s="85" t="str">
        <f>IFERROR(__xludf.DUMMYFUNCTION("""COMPUTED_VALUE"""),"MUCSPA63462PSIND")</f>
        <v>MUCSPA63462PSIND</v>
      </c>
      <c r="Q984" s="85" t="str">
        <f>IFERROR(__xludf.DUMMYFUNCTION("""COMPUTED_VALUE"""),"MUC BUAN CHANEL")</f>
        <v>MUC BUAN CHANEL</v>
      </c>
      <c r="R984" s="85" t="str">
        <f>IFERROR(__xludf.DUMMYFUNCTION("""COMPUTED_VALUE"""),"MUC BUAN CHANEL")</f>
        <v>MUC BUAN CHANEL</v>
      </c>
      <c r="S984" s="85" t="str">
        <f>IFERROR(__xludf.DUMMYFUNCTION("""COMPUTED_VALUE"""),"DEVI INDRIAWATI")</f>
        <v>DEVI INDRIAWATI</v>
      </c>
      <c r="T984" s="85" t="str">
        <f>IFERROR(__xludf.DUMMYFUNCTION("""COMPUTED_VALUE"""),"DUSUN MANIS RT 3 RW 1 BANDORASAKULON CILIMUS")</f>
        <v>DUSUN MANIS RT 3 RW 1 BANDORASAKULON CILIMUS</v>
      </c>
      <c r="U984" s="85" t="str">
        <f>IFERROR(__xludf.DUMMYFUNCTION("""COMPUTED_VALUE"""),"DUSUN MANIS RT 3 RW 1")</f>
        <v>DUSUN MANIS RT 3 RW 1</v>
      </c>
      <c r="V984" s="85" t="str">
        <f>IFERROR(__xludf.DUMMYFUNCTION("""COMPUTED_VALUE"""),"RT 3 R \ RW 1 B")</f>
        <v>RT 3 R \ RW 1 B</v>
      </c>
      <c r="W984" s="85" t="str">
        <f>IFERROR(__xludf.DUMMYFUNCTION("""COMPUTED_VALUE"""),"BANDORASA KULON")</f>
        <v>BANDORASA KULON</v>
      </c>
      <c r="X984" s="85" t="str">
        <f>IFERROR(__xludf.DUMMYFUNCTION("""COMPUTED_VALUE"""),"CILIMUS")</f>
        <v>CILIMUS</v>
      </c>
      <c r="Y984" s="85" t="str">
        <f>IFERROR(__xludf.DUMMYFUNCTION("""COMPUTED_VALUE"""),"KAB. KUNINGAN")</f>
        <v>KAB. KUNINGAN</v>
      </c>
      <c r="Z984" s="85" t="str">
        <f>IFERROR(__xludf.DUMMYFUNCTION("""COMPUTED_VALUE"""),"JAWA BARAT")</f>
        <v>JAWA BARAT</v>
      </c>
      <c r="AA984" s="85" t="str">
        <f>IFERROR(__xludf.DUMMYFUNCTION("""COMPUTED_VALUE"""),"45556")</f>
        <v>45556</v>
      </c>
      <c r="AB984" s="85" t="str">
        <f>IFERROR(__xludf.DUMMYFUNCTION("""COMPUTED_VALUE"""),"3208134412900002")</f>
        <v>3208134412900002</v>
      </c>
      <c r="AC984" s="85" t="str">
        <f>IFERROR(__xludf.DUMMYFUNCTION("""COMPUTED_VALUE"""),"54.021.581.1-438.000")</f>
        <v>54.021.581.1-438.000</v>
      </c>
      <c r="AD984" s="85" t="str">
        <f>IFERROR(__xludf.DUMMYFUNCTION("""COMPUTED_VALUE"""),"PAK ANO KC KUNINGAN")</f>
        <v>PAK ANO KC KUNINGAN</v>
      </c>
      <c r="AE984" s="85" t="str">
        <f>IFERROR(__xludf.DUMMYFUNCTION("""COMPUTED_VALUE"""),"PAK ANO KC KUNINGAN")</f>
        <v>PAK ANO KC KUNINGAN</v>
      </c>
      <c r="AF984" s="85" t="str">
        <f>IFERROR(__xludf.DUMMYFUNCTION("""COMPUTED_VALUE"""),"0822 1616 9932")</f>
        <v>0822 1616 9932</v>
      </c>
      <c r="AG984" s="85" t="str">
        <f>IFERROR(__xludf.DUMMYFUNCTION("""COMPUTED_VALUE"""),"0822 1616 9932")</f>
        <v>0822 1616 9932</v>
      </c>
      <c r="AH984" s="85" t="str">
        <f>IFERROR(__xludf.DUMMYFUNCTION("""COMPUTED_VALUE"""),"devieindriawati@gmail.com")</f>
        <v>devieindriawati@gmail.com</v>
      </c>
      <c r="AI984" s="85" t="str">
        <f>IFERROR(__xludf.DUMMYFUNCTION("""COMPUTED_VALUE"""),"45556S9")</f>
        <v>45556S9</v>
      </c>
      <c r="AJ984" s="85" t="str">
        <f>IFERROR(__xludf.DUMMYFUNCTION("""COMPUTED_VALUE"""),"6a15afbce80b4040950f7231")</f>
        <v>6a15afbce80b4040950f7231</v>
      </c>
      <c r="AK984" s="85" t="str">
        <f>IFERROR(__xludf.DUMMYFUNCTION("""COMPUTED_VALUE"""),"devieindriawati@gmail.com")</f>
        <v>devieindriawati@gmail.com</v>
      </c>
      <c r="AL984" s="85" t="str">
        <f>IFERROR(__xludf.DUMMYFUNCTION("""COMPUTED_VALUE"""),"#Muc45556S9$")</f>
        <v>#Muc45556S9$</v>
      </c>
      <c r="AM984" s="85" t="str">
        <f>IFERROR(__xludf.DUMMYFUNCTION("""COMPUTED_VALUE"""),"KANTOR REGIONAL III BANDUNG 40004")</f>
        <v>KANTOR REGIONAL III BANDUNG 40004</v>
      </c>
      <c r="AN984" s="85" t="str">
        <f>IFERROR(__xludf.DUMMYFUNCTION("""COMPUTED_VALUE"""),"KC KUNINGAN 45500")</f>
        <v>KC KUNINGAN 45500</v>
      </c>
      <c r="AO984" s="85" t="str">
        <f>IFERROR(__xludf.DUMMYFUNCTION("""COMPUTED_VALUE"""),"2608210046897")</f>
        <v>2608210046897</v>
      </c>
      <c r="AP984" s="85" t="str">
        <f>IFERROR(__xludf.DUMMYFUNCTION("""COMPUTED_VALUE"""),"26082100468970002")</f>
        <v>26082100468970002</v>
      </c>
      <c r="AQ984" s="93" t="str">
        <f>IFERROR(__xludf.DUMMYFUNCTION("""COMPUTED_VALUE"""),"0495235993")</f>
        <v>0495235993</v>
      </c>
      <c r="AR984" s="85"/>
      <c r="AS984" s="85"/>
      <c r="AT984" s="85" t="str">
        <f>IFERROR(__xludf.DUMMYFUNCTION("""COMPUTED_VALUE"""),"-6.9358099")</f>
        <v>-6.9358099</v>
      </c>
      <c r="AU984" s="85" t="str">
        <f>IFERROR(__xludf.DUMMYFUNCTION("""COMPUTED_VALUE"""),"108.4382694")</f>
        <v>108.4382694</v>
      </c>
      <c r="AV984" s="85"/>
      <c r="AW984" s="85"/>
      <c r="AX984" s="85"/>
      <c r="AY984" s="85"/>
      <c r="AZ984" s="85"/>
      <c r="BA984" s="85"/>
      <c r="BB984" s="85"/>
      <c r="BC984" s="85"/>
      <c r="BD984" s="85"/>
      <c r="BE984" s="85"/>
      <c r="BF984" s="85"/>
      <c r="BG984" s="85"/>
      <c r="BH984" s="85"/>
      <c r="BI984" s="85"/>
      <c r="BJ984" s="85"/>
      <c r="BK984" s="85"/>
      <c r="BL984" s="85"/>
      <c r="BM984" s="85"/>
      <c r="BN984" s="85"/>
      <c r="BO984" s="85"/>
      <c r="BP984" s="85"/>
      <c r="BQ984" s="85"/>
      <c r="BR984" s="85"/>
      <c r="BS984" s="85"/>
      <c r="BT984" s="85"/>
      <c r="BU984" s="85"/>
      <c r="BV984" s="85"/>
      <c r="BW984" s="85"/>
      <c r="BX984" s="85"/>
      <c r="BY984" s="85"/>
      <c r="BZ984" s="85"/>
      <c r="CA984" s="85"/>
      <c r="CB984" s="85"/>
      <c r="CC984" s="85"/>
      <c r="CD984" s="85"/>
      <c r="CE984" s="85"/>
      <c r="CF984" s="85"/>
      <c r="CG984" s="85"/>
      <c r="CH984" s="85"/>
      <c r="CI984" s="85"/>
      <c r="CJ984" s="85"/>
      <c r="CK984" s="2"/>
    </row>
    <row r="985" ht="12.75" customHeight="1">
      <c r="A985" s="80">
        <f>IFERROR(__xludf.DUMMYFUNCTION("""COMPUTED_VALUE"""),981.0)</f>
        <v>981</v>
      </c>
      <c r="B985" s="80"/>
      <c r="C985" s="80"/>
      <c r="D985" s="81"/>
      <c r="E985" s="82"/>
      <c r="F985" s="80"/>
      <c r="G985" s="81"/>
      <c r="H985" s="80"/>
      <c r="I985" s="80"/>
      <c r="J985" s="80"/>
      <c r="K985" s="80"/>
      <c r="L985" s="80"/>
      <c r="M985" s="80"/>
      <c r="N985" s="80"/>
      <c r="O985" s="80"/>
      <c r="P985" s="80" t="str">
        <f>IFERROR(__xludf.DUMMYFUNCTION("""COMPUTED_VALUE"""),"MUCSPA63463PSIND")</f>
        <v>MUCSPA63463PSIND</v>
      </c>
      <c r="Q985" s="80" t="str">
        <f>IFERROR(__xludf.DUMMYFUNCTION("""COMPUTED_VALUE"""),"MUC AMANDA")</f>
        <v>MUC AMANDA</v>
      </c>
      <c r="R985" s="80" t="str">
        <f>IFERROR(__xludf.DUMMYFUNCTION("""COMPUTED_VALUE"""),"MUC AMANDA")</f>
        <v>MUC AMANDA</v>
      </c>
      <c r="S985" s="80" t="str">
        <f>IFERROR(__xludf.DUMMYFUNCTION("""COMPUTED_VALUE"""),"BUNGA SURYA ZULAYKA")</f>
        <v>BUNGA SURYA ZULAYKA</v>
      </c>
      <c r="T985" s="80" t="str">
        <f>IFERROR(__xludf.DUMMYFUNCTION("""COMPUTED_VALUE"""),"JL. SEMPU RT 003 RW 004 BEJI DEPOK")</f>
        <v>JL. SEMPU RT 003 RW 004 BEJI DEPOK</v>
      </c>
      <c r="U985" s="80" t="str">
        <f>IFERROR(__xludf.DUMMYFUNCTION("""COMPUTED_VALUE"""),"JL. SEMPU RAYA")</f>
        <v>JL. SEMPU RAYA</v>
      </c>
      <c r="V985" s="80" t="str">
        <f>IFERROR(__xludf.DUMMYFUNCTION("""COMPUTED_VALUE"""),"RT 003 \ RW 004")</f>
        <v>RT 003 \ RW 004</v>
      </c>
      <c r="W985" s="80" t="str">
        <f>IFERROR(__xludf.DUMMYFUNCTION("""COMPUTED_VALUE"""),"BEJI")</f>
        <v>BEJI</v>
      </c>
      <c r="X985" s="80" t="str">
        <f>IFERROR(__xludf.DUMMYFUNCTION("""COMPUTED_VALUE"""),"BEJI")</f>
        <v>BEJI</v>
      </c>
      <c r="Y985" s="80" t="str">
        <f>IFERROR(__xludf.DUMMYFUNCTION("""COMPUTED_VALUE"""),"DEPOK")</f>
        <v>DEPOK</v>
      </c>
      <c r="Z985" s="80" t="str">
        <f>IFERROR(__xludf.DUMMYFUNCTION("""COMPUTED_VALUE"""),"JAWA BARAT")</f>
        <v>JAWA BARAT</v>
      </c>
      <c r="AA985" s="80" t="str">
        <f>IFERROR(__xludf.DUMMYFUNCTION("""COMPUTED_VALUE"""),"16421")</f>
        <v>16421</v>
      </c>
      <c r="AB985" s="80" t="str">
        <f>IFERROR(__xludf.DUMMYFUNCTION("""COMPUTED_VALUE"""),"3276066008840001")</f>
        <v>3276066008840001</v>
      </c>
      <c r="AC985" s="80" t="str">
        <f>IFERROR(__xludf.DUMMYFUNCTION("""COMPUTED_VALUE"""),"32.760.660.0-884.0001")</f>
        <v>32.760.660.0-884.0001</v>
      </c>
      <c r="AD985" s="80" t="str">
        <f>IFERROR(__xludf.DUMMYFUNCTION("""COMPUTED_VALUE"""),"PAK HADI KC DEPOK")</f>
        <v>PAK HADI KC DEPOK</v>
      </c>
      <c r="AE985" s="80" t="str">
        <f>IFERROR(__xludf.DUMMYFUNCTION("""COMPUTED_VALUE"""),"PAK HADI KC DEPOK")</f>
        <v>PAK HADI KC DEPOK</v>
      </c>
      <c r="AF985" s="80" t="str">
        <f>IFERROR(__xludf.DUMMYFUNCTION("""COMPUTED_VALUE"""),"089694858510")</f>
        <v>089694858510</v>
      </c>
      <c r="AG985" s="80" t="str">
        <f>IFERROR(__xludf.DUMMYFUNCTION("""COMPUTED_VALUE"""),"089694858510")</f>
        <v>089694858510</v>
      </c>
      <c r="AH985" s="80" t="str">
        <f>IFERROR(__xludf.DUMMYFUNCTION("""COMPUTED_VALUE"""),"bunga_sz@yahoo.com")</f>
        <v>bunga_sz@yahoo.com</v>
      </c>
      <c r="AI985" s="80"/>
      <c r="AJ985" s="80"/>
      <c r="AK985" s="80"/>
      <c r="AL985" s="80"/>
      <c r="AM985" s="80" t="str">
        <f>IFERROR(__xludf.DUMMYFUNCTION("""COMPUTED_VALUE"""),"KANTOR REGIONAL II JAKARTA 10004")</f>
        <v>KANTOR REGIONAL II JAKARTA 10004</v>
      </c>
      <c r="AN985" s="80" t="str">
        <f>IFERROR(__xludf.DUMMYFUNCTION("""COMPUTED_VALUE"""),"KC DEPOK 16400")</f>
        <v>KC DEPOK 16400</v>
      </c>
      <c r="AO985" s="80" t="str">
        <f>IFERROR(__xludf.DUMMYFUNCTION("""COMPUTED_VALUE"""),"2310250068702")</f>
        <v>2310250068702</v>
      </c>
      <c r="AP985" s="80" t="str">
        <f>IFERROR(__xludf.DUMMYFUNCTION("""COMPUTED_VALUE"""),"23102500687020002")</f>
        <v>23102500687020002</v>
      </c>
      <c r="AQ985" s="83" t="str">
        <f>IFERROR(__xludf.DUMMYFUNCTION("""COMPUTED_VALUE"""),"3911 362 412")</f>
        <v>3911 362 412</v>
      </c>
      <c r="AR985" s="80"/>
      <c r="AS985" s="80"/>
      <c r="AT985" s="80" t="str">
        <f>IFERROR(__xludf.DUMMYFUNCTION("""COMPUTED_VALUE"""),"-6.3762643")</f>
        <v>-6.3762643</v>
      </c>
      <c r="AU985" s="80" t="str">
        <f>IFERROR(__xludf.DUMMYFUNCTION("""COMPUTED_VALUE"""),"106.8188588")</f>
        <v>106.8188588</v>
      </c>
      <c r="AV985" s="80"/>
      <c r="AW985" s="80"/>
      <c r="AX985" s="80"/>
      <c r="AY985" s="80"/>
      <c r="AZ985" s="80"/>
      <c r="BA985" s="80"/>
      <c r="BB985" s="80"/>
      <c r="BC985" s="80"/>
      <c r="BD985" s="80"/>
      <c r="BE985" s="80"/>
      <c r="BF985" s="80"/>
      <c r="BG985" s="80"/>
      <c r="BH985" s="80"/>
      <c r="BI985" s="80"/>
      <c r="BJ985" s="80"/>
      <c r="BK985" s="80"/>
      <c r="BL985" s="80"/>
      <c r="BM985" s="80"/>
      <c r="BN985" s="80"/>
      <c r="BO985" s="80"/>
      <c r="BP985" s="80"/>
      <c r="BQ985" s="80"/>
      <c r="BR985" s="80"/>
      <c r="BS985" s="80"/>
      <c r="BT985" s="80"/>
      <c r="BU985" s="80"/>
      <c r="BV985" s="80"/>
      <c r="BW985" s="80"/>
      <c r="BX985" s="80"/>
      <c r="BY985" s="80"/>
      <c r="BZ985" s="80"/>
      <c r="CA985" s="80"/>
      <c r="CB985" s="80"/>
      <c r="CC985" s="80"/>
      <c r="CD985" s="80"/>
      <c r="CE985" s="80"/>
      <c r="CF985" s="80"/>
      <c r="CG985" s="80"/>
      <c r="CH985" s="80"/>
      <c r="CI985" s="80"/>
      <c r="CJ985" s="80"/>
      <c r="CK985" s="2"/>
    </row>
    <row r="986" ht="12.75" customHeight="1">
      <c r="A986" s="85">
        <f>IFERROR(__xludf.DUMMYFUNCTION("""COMPUTED_VALUE"""),982.0)</f>
        <v>982</v>
      </c>
      <c r="B986" s="85"/>
      <c r="C986" s="85"/>
      <c r="D986" s="86"/>
      <c r="E986" s="88"/>
      <c r="F986" s="85"/>
      <c r="G986" s="86">
        <f>IFERROR(__xludf.DUMMYFUNCTION("""COMPUTED_VALUE"""),46202.0)</f>
        <v>46202</v>
      </c>
      <c r="H986" s="85"/>
      <c r="I986" s="85"/>
      <c r="J986" s="85"/>
      <c r="K986" s="85"/>
      <c r="L986" s="85">
        <f>IFERROR(__xludf.DUMMYFUNCTION("""COMPUTED_VALUE"""),46202.0)</f>
        <v>46202</v>
      </c>
      <c r="M986" s="85"/>
      <c r="N986" s="85"/>
      <c r="O986" s="85"/>
      <c r="P986" s="85" t="str">
        <f>IFERROR(__xludf.DUMMYFUNCTION("""COMPUTED_VALUE"""),"MUCSPA63464PSIND")</f>
        <v>MUCSPA63464PSIND</v>
      </c>
      <c r="Q986" s="85" t="str">
        <f>IFERROR(__xludf.DUMMYFUNCTION("""COMPUTED_VALUE"""),"MUC MAUNA")</f>
        <v>MUC MAUNA</v>
      </c>
      <c r="R986" s="85" t="str">
        <f>IFERROR(__xludf.DUMMYFUNCTION("""COMPUTED_VALUE"""),"MUC MAUNA")</f>
        <v>MUC MAUNA</v>
      </c>
      <c r="S986" s="85" t="str">
        <f>IFERROR(__xludf.DUMMYFUNCTION("""COMPUTED_VALUE"""),"ASEP KUSNADI")</f>
        <v>ASEP KUSNADI</v>
      </c>
      <c r="T986" s="85" t="str">
        <f>IFERROR(__xludf.DUMMYFUNCTION("""COMPUTED_VALUE"""),"KP. CIBIRU DESA NAGROG RT 5 RW 5 CICALENGKA")</f>
        <v>KP. CIBIRU DESA NAGROG RT 5 RW 5 CICALENGKA</v>
      </c>
      <c r="U986" s="85" t="str">
        <f>IFERROR(__xludf.DUMMYFUNCTION("""COMPUTED_VALUE"""),"KOMP. BUANA RAYA")</f>
        <v>KOMP. BUANA RAYA</v>
      </c>
      <c r="V986" s="85" t="str">
        <f>IFERROR(__xludf.DUMMYFUNCTION("""COMPUTED_VALUE"""),"RT 5 R \ RW 5 C")</f>
        <v>RT 5 R \ RW 5 C</v>
      </c>
      <c r="W986" s="85" t="str">
        <f>IFERROR(__xludf.DUMMYFUNCTION("""COMPUTED_VALUE"""),"NAGROG")</f>
        <v>NAGROG</v>
      </c>
      <c r="X986" s="85" t="str">
        <f>IFERROR(__xludf.DUMMYFUNCTION("""COMPUTED_VALUE"""),"CICALENGKA")</f>
        <v>CICALENGKA</v>
      </c>
      <c r="Y986" s="85" t="str">
        <f>IFERROR(__xludf.DUMMYFUNCTION("""COMPUTED_VALUE"""),"Kota / Kab : DEPOK")</f>
        <v>Kota / Kab : DEPOK</v>
      </c>
      <c r="Z986" s="85" t="str">
        <f>IFERROR(__xludf.DUMMYFUNCTION("""COMPUTED_VALUE"""),"JAWA BARAT")</f>
        <v>JAWA BARAT</v>
      </c>
      <c r="AA986" s="85" t="str">
        <f>IFERROR(__xludf.DUMMYFUNCTION("""COMPUTED_VALUE"""),"40395")</f>
        <v>40395</v>
      </c>
      <c r="AB986" s="85" t="str">
        <f>IFERROR(__xludf.DUMMYFUNCTION("""COMPUTED_VALUE"""),"3204250105800018")</f>
        <v>3204250105800018</v>
      </c>
      <c r="AC986" s="85" t="str">
        <f>IFERROR(__xludf.DUMMYFUNCTION("""COMPUTED_VALUE"""),"57.582.586.4-444.000")</f>
        <v>57.582.586.4-444.000</v>
      </c>
      <c r="AD986" s="85" t="str">
        <f>IFERROR(__xludf.DUMMYFUNCTION("""COMPUTED_VALUE"""),"PAK THIO KC UBER")</f>
        <v>PAK THIO KC UBER</v>
      </c>
      <c r="AE986" s="85" t="str">
        <f>IFERROR(__xludf.DUMMYFUNCTION("""COMPUTED_VALUE"""),"PAK THIO KC UBER")</f>
        <v>PAK THIO KC UBER</v>
      </c>
      <c r="AF986" s="85" t="str">
        <f>IFERROR(__xludf.DUMMYFUNCTION("""COMPUTED_VALUE"""),"082318395677")</f>
        <v>082318395677</v>
      </c>
      <c r="AG986" s="85" t="str">
        <f>IFERROR(__xludf.DUMMYFUNCTION("""COMPUTED_VALUE"""),"082318395677")</f>
        <v>082318395677</v>
      </c>
      <c r="AH986" s="85" t="str">
        <f>IFERROR(__xludf.DUMMYFUNCTION("""COMPUTED_VALUE"""),"asepkusnadiddk80@gmail.com")</f>
        <v>asepkusnadiddk80@gmail.com</v>
      </c>
      <c r="AI986" s="85" t="str">
        <f>IFERROR(__xludf.DUMMYFUNCTION("""COMPUTED_VALUE"""),"40395S3")</f>
        <v>40395S3</v>
      </c>
      <c r="AJ986" s="85" t="str">
        <f>IFERROR(__xludf.DUMMYFUNCTION("""COMPUTED_VALUE"""),"6a3cb2e8ff45106bf600e880")</f>
        <v>6a3cb2e8ff45106bf600e880</v>
      </c>
      <c r="AK986" s="85" t="str">
        <f>IFERROR(__xludf.DUMMYFUNCTION("""COMPUTED_VALUE"""),"asepkusnadiddk80@gmail.com")</f>
        <v>asepkusnadiddk80@gmail.com</v>
      </c>
      <c r="AL986" s="85" t="str">
        <f>IFERROR(__xludf.DUMMYFUNCTION("""COMPUTED_VALUE"""),"#Muc40395S3$")</f>
        <v>#Muc40395S3$</v>
      </c>
      <c r="AM986" s="85" t="str">
        <f>IFERROR(__xludf.DUMMYFUNCTION("""COMPUTED_VALUE"""),"KANTOR REGIONAL III BANDUNG 40004")</f>
        <v>KANTOR REGIONAL III BANDUNG 40004</v>
      </c>
      <c r="AN986" s="85" t="str">
        <f>IFERROR(__xludf.DUMMYFUNCTION("""COMPUTED_VALUE"""),"KC UJUNGBERUNG 40100")</f>
        <v>KC UJUNGBERUNG 40100</v>
      </c>
      <c r="AO986" s="85" t="str">
        <f>IFERROR(__xludf.DUMMYFUNCTION("""COMPUTED_VALUE"""),"1805260079776")</f>
        <v>1805260079776</v>
      </c>
      <c r="AP986" s="85" t="str">
        <f>IFERROR(__xludf.DUMMYFUNCTION("""COMPUTED_VALUE"""),"18052600797760001")</f>
        <v>18052600797760001</v>
      </c>
      <c r="AQ986" s="93" t="str">
        <f>IFERROR(__xludf.DUMMYFUNCTION("""COMPUTED_VALUE"""),"8320608091")</f>
        <v>8320608091</v>
      </c>
      <c r="AR986" s="85" t="str">
        <f>IFERROR(__xludf.DUMMYFUNCTION("""COMPUTED_VALUE"""),"BCA")</f>
        <v>BCA</v>
      </c>
      <c r="AS986" s="85" t="str">
        <f>IFERROR(__xludf.DUMMYFUNCTION("""COMPUTED_VALUE"""),"ASEP KUSNADI")</f>
        <v>ASEP KUSNADI</v>
      </c>
      <c r="AT986" s="85" t="str">
        <f>IFERROR(__xludf.DUMMYFUNCTION("""COMPUTED_VALUE"""),"-7.0123836")</f>
        <v>-7.0123836</v>
      </c>
      <c r="AU986" s="85" t="str">
        <f>IFERROR(__xludf.DUMMYFUNCTION("""COMPUTED_VALUE"""),"107.8545308")</f>
        <v>107.8545308</v>
      </c>
      <c r="AV986" s="85"/>
      <c r="AW986" s="85"/>
      <c r="AX986" s="85"/>
      <c r="AY986" s="85"/>
      <c r="AZ986" s="85"/>
      <c r="BA986" s="85"/>
      <c r="BB986" s="85"/>
      <c r="BC986" s="85"/>
      <c r="BD986" s="85"/>
      <c r="BE986" s="85"/>
      <c r="BF986" s="85"/>
      <c r="BG986" s="85"/>
      <c r="BH986" s="85"/>
      <c r="BI986" s="85"/>
      <c r="BJ986" s="85"/>
      <c r="BK986" s="85"/>
      <c r="BL986" s="85"/>
      <c r="BM986" s="85"/>
      <c r="BN986" s="85"/>
      <c r="BO986" s="85"/>
      <c r="BP986" s="85"/>
      <c r="BQ986" s="85"/>
      <c r="BR986" s="85"/>
      <c r="BS986" s="85"/>
      <c r="BT986" s="85"/>
      <c r="BU986" s="85"/>
      <c r="BV986" s="85"/>
      <c r="BW986" s="85"/>
      <c r="BX986" s="85"/>
      <c r="BY986" s="85"/>
      <c r="BZ986" s="85"/>
      <c r="CA986" s="85"/>
      <c r="CB986" s="85"/>
      <c r="CC986" s="85"/>
      <c r="CD986" s="85"/>
      <c r="CE986" s="85"/>
      <c r="CF986" s="85"/>
      <c r="CG986" s="85"/>
      <c r="CH986" s="85"/>
      <c r="CI986" s="85"/>
      <c r="CJ986" s="85"/>
      <c r="CK986" s="2"/>
    </row>
    <row r="987" ht="12.75" customHeight="1">
      <c r="A987" s="80">
        <f>IFERROR(__xludf.DUMMYFUNCTION("""COMPUTED_VALUE"""),983.0)</f>
        <v>983</v>
      </c>
      <c r="B987" s="80"/>
      <c r="C987" s="80"/>
      <c r="D987" s="81"/>
      <c r="E987" s="82"/>
      <c r="F987" s="80"/>
      <c r="G987" s="81"/>
      <c r="H987" s="80"/>
      <c r="I987" s="80"/>
      <c r="J987" s="80"/>
      <c r="K987" s="80"/>
      <c r="L987" s="80"/>
      <c r="M987" s="80"/>
      <c r="N987" s="80"/>
      <c r="O987" s="80"/>
      <c r="P987" s="80" t="str">
        <f>IFERROR(__xludf.DUMMYFUNCTION("""COMPUTED_VALUE"""),"MUCSPA63454PSIND")</f>
        <v>MUCSPA63454PSIND</v>
      </c>
      <c r="Q987" s="80" t="str">
        <f>IFERROR(__xludf.DUMMYFUNCTION("""COMPUTED_VALUE"""),"MUC MAJU VICTORY")</f>
        <v>MUC MAJU VICTORY</v>
      </c>
      <c r="R987" s="80" t="str">
        <f>IFERROR(__xludf.DUMMYFUNCTION("""COMPUTED_VALUE"""),"MUC MAJU VICTORY")</f>
        <v>MUC MAJU VICTORY</v>
      </c>
      <c r="S987" s="80" t="str">
        <f>IFERROR(__xludf.DUMMYFUNCTION("""COMPUTED_VALUE"""),"SUSANTO")</f>
        <v>SUSANTO</v>
      </c>
      <c r="T987" s="80" t="str">
        <f>IFERROR(__xludf.DUMMYFUNCTION("""COMPUTED_VALUE"""),"JLN BANGKA NO 58 KEL GANG BUNTU KEC MEDAN TIMUR KOTA MEDAN SUMATERA UTARA")</f>
        <v>JLN BANGKA NO 58 KEL GANG BUNTU KEC MEDAN TIMUR KOTA MEDAN SUMATERA UTARA</v>
      </c>
      <c r="U987" s="80" t="str">
        <f>IFERROR(__xludf.DUMMYFUNCTION("""COMPUTED_VALUE"""),"JALAN DENAI NO 30E")</f>
        <v>JALAN DENAI NO 30E</v>
      </c>
      <c r="V987" s="80"/>
      <c r="W987" s="80" t="str">
        <f>IFERROR(__xludf.DUMMYFUNCTION("""COMPUTED_VALUE"""),"TEGAL SARI MANDALA III")</f>
        <v>TEGAL SARI MANDALA III</v>
      </c>
      <c r="X987" s="80" t="str">
        <f>IFERROR(__xludf.DUMMYFUNCTION("""COMPUTED_VALUE"""),"MEDAN DENAI")</f>
        <v>MEDAN DENAI</v>
      </c>
      <c r="Y987" s="80" t="str">
        <f>IFERROR(__xludf.DUMMYFUNCTION("""COMPUTED_VALUE"""),"MEDAN")</f>
        <v>MEDAN</v>
      </c>
      <c r="Z987" s="80" t="str">
        <f>IFERROR(__xludf.DUMMYFUNCTION("""COMPUTED_VALUE"""),"SUMATERA UTARA")</f>
        <v>SUMATERA UTARA</v>
      </c>
      <c r="AA987" s="80" t="str">
        <f>IFERROR(__xludf.DUMMYFUNCTION("""COMPUTED_VALUE"""),"20226")</f>
        <v>20226</v>
      </c>
      <c r="AB987" s="80" t="str">
        <f>IFERROR(__xludf.DUMMYFUNCTION("""COMPUTED_VALUE"""),"12712002902800001")</f>
        <v>12712002902800001</v>
      </c>
      <c r="AC987" s="80" t="str">
        <f>IFERROR(__xludf.DUMMYFUNCTION("""COMPUTED_VALUE"""),"25.043.406.5-113.000")</f>
        <v>25.043.406.5-113.000</v>
      </c>
      <c r="AD987" s="80" t="str">
        <f>IFERROR(__xludf.DUMMYFUNCTION("""COMPUTED_VALUE"""),"SAYID DJUNAIDI (CUM-PS-SAYID)")</f>
        <v>SAYID DJUNAIDI (CUM-PS-SAYID)</v>
      </c>
      <c r="AE987" s="80" t="str">
        <f>IFERROR(__xludf.DUMMYFUNCTION("""COMPUTED_VALUE"""),"SAYID DJUNAIDI (CUM-PS-SAYID)")</f>
        <v>SAYID DJUNAIDI (CUM-PS-SAYID)</v>
      </c>
      <c r="AF987" s="80" t="str">
        <f>IFERROR(__xludf.DUMMYFUNCTION("""COMPUTED_VALUE"""),"082288886511")</f>
        <v>082288886511</v>
      </c>
      <c r="AG987" s="80" t="str">
        <f>IFERROR(__xludf.DUMMYFUNCTION("""COMPUTED_VALUE"""),"082288886511")</f>
        <v>082288886511</v>
      </c>
      <c r="AH987" s="80" t="str">
        <f>IFERROR(__xludf.DUMMYFUNCTION("""COMPUTED_VALUE"""),"klubmiliarder@gmail.com")</f>
        <v>klubmiliarder@gmail.com</v>
      </c>
      <c r="AI987" s="80"/>
      <c r="AJ987" s="80"/>
      <c r="AK987" s="80"/>
      <c r="AL987" s="80"/>
      <c r="AM987" s="80" t="str">
        <f>IFERROR(__xludf.DUMMYFUNCTION("""COMPUTED_VALUE"""),"KANTOR REGIONAL I MEDAN 20004")</f>
        <v>KANTOR REGIONAL I MEDAN 20004</v>
      </c>
      <c r="AN987" s="80" t="str">
        <f>IFERROR(__xludf.DUMMYFUNCTION("""COMPUTED_VALUE"""),"KCU MEDAN 20000")</f>
        <v>KCU MEDAN 20000</v>
      </c>
      <c r="AO987" s="80" t="str">
        <f>IFERROR(__xludf.DUMMYFUNCTION("""COMPUTED_VALUE"""),"1805260100876")</f>
        <v>1805260100876</v>
      </c>
      <c r="AP987" s="80" t="str">
        <f>IFERROR(__xludf.DUMMYFUNCTION("""COMPUTED_VALUE"""),"18052601008760001")</f>
        <v>18052601008760001</v>
      </c>
      <c r="AQ987" s="83" t="str">
        <f>IFERROR(__xludf.DUMMYFUNCTION("""COMPUTED_VALUE"""),"8280091511")</f>
        <v>8280091511</v>
      </c>
      <c r="AR987" s="80"/>
      <c r="AS987" s="80"/>
      <c r="AT987" s="80" t="str">
        <f>IFERROR(__xludf.DUMMYFUNCTION("""COMPUTED_VALUE"""),"3582035")</f>
        <v>3582035</v>
      </c>
      <c r="AU987" s="80" t="str">
        <f>IFERROR(__xludf.DUMMYFUNCTION("""COMPUTED_VALUE"""),"98709542")</f>
        <v>98709542</v>
      </c>
      <c r="AV987" s="80"/>
      <c r="AW987" s="80"/>
      <c r="AX987" s="80"/>
      <c r="AY987" s="80"/>
      <c r="AZ987" s="80"/>
      <c r="BA987" s="80"/>
      <c r="BB987" s="80"/>
      <c r="BC987" s="80"/>
      <c r="BD987" s="80"/>
      <c r="BE987" s="80"/>
      <c r="BF987" s="80"/>
      <c r="BG987" s="80"/>
      <c r="BH987" s="80"/>
      <c r="BI987" s="80"/>
      <c r="BJ987" s="80"/>
      <c r="BK987" s="80"/>
      <c r="BL987" s="80"/>
      <c r="BM987" s="80"/>
      <c r="BN987" s="80"/>
      <c r="BO987" s="80"/>
      <c r="BP987" s="80"/>
      <c r="BQ987" s="80"/>
      <c r="BR987" s="80"/>
      <c r="BS987" s="80"/>
      <c r="BT987" s="80"/>
      <c r="BU987" s="80"/>
      <c r="BV987" s="80"/>
      <c r="BW987" s="80"/>
      <c r="BX987" s="80"/>
      <c r="BY987" s="80"/>
      <c r="BZ987" s="80"/>
      <c r="CA987" s="80"/>
      <c r="CB987" s="80"/>
      <c r="CC987" s="80"/>
      <c r="CD987" s="80"/>
      <c r="CE987" s="80"/>
      <c r="CF987" s="80"/>
      <c r="CG987" s="80"/>
      <c r="CH987" s="80"/>
      <c r="CI987" s="80"/>
      <c r="CJ987" s="80"/>
      <c r="CK987" s="2"/>
    </row>
    <row r="988" ht="12.75" customHeight="1">
      <c r="A988" s="85">
        <f>IFERROR(__xludf.DUMMYFUNCTION("""COMPUTED_VALUE"""),984.0)</f>
        <v>984</v>
      </c>
      <c r="B988" s="85"/>
      <c r="C988" s="85"/>
      <c r="D988" s="86">
        <f>IFERROR(__xludf.DUMMYFUNCTION("""COMPUTED_VALUE"""),46160.0)</f>
        <v>46160</v>
      </c>
      <c r="E988" s="88"/>
      <c r="F988" s="85"/>
      <c r="G988" s="86"/>
      <c r="H988" s="85"/>
      <c r="I988" s="85"/>
      <c r="J988" s="85"/>
      <c r="K988" s="85"/>
      <c r="L988" s="85"/>
      <c r="M988" s="85"/>
      <c r="N988" s="85"/>
      <c r="O988" s="85"/>
      <c r="P988" s="85" t="str">
        <f>IFERROR(__xludf.DUMMYFUNCTION("""COMPUTED_VALUE"""),"MUCSPA63465PSIND")</f>
        <v>MUCSPA63465PSIND</v>
      </c>
      <c r="Q988" s="85" t="str">
        <f>IFERROR(__xludf.DUMMYFUNCTION("""COMPUTED_VALUE"""),"MUC HOLONG SINAMBELA")</f>
        <v>MUC HOLONG SINAMBELA</v>
      </c>
      <c r="R988" s="85" t="str">
        <f>IFERROR(__xludf.DUMMYFUNCTION("""COMPUTED_VALUE"""),"MUC HOLONG SINAMBELA")</f>
        <v>MUC HOLONG SINAMBELA</v>
      </c>
      <c r="S988" s="85" t="str">
        <f>IFERROR(__xludf.DUMMYFUNCTION("""COMPUTED_VALUE"""),"HOLONG SINAMBELA")</f>
        <v>HOLONG SINAMBELA</v>
      </c>
      <c r="T988" s="85" t="str">
        <f>IFERROR(__xludf.DUMMYFUNCTION("""COMPUTED_VALUE"""),"DUSUN XIII JL. BERSAMA UJUNG RT 00 RW 00 MULIO REJO SUNGGAL KAB. DELISERDANG")</f>
        <v>DUSUN XIII JL. BERSAMA UJUNG RT 00 RW 00 MULIO REJO SUNGGAL KAB. DELISERDANG</v>
      </c>
      <c r="U988" s="85" t="str">
        <f>IFERROR(__xludf.DUMMYFUNCTION("""COMPUTED_VALUE"""),"JL. DELI TUA-PANCUR BATU")</f>
        <v>JL. DELI TUA-PANCUR BATU</v>
      </c>
      <c r="V988" s="85" t="str">
        <f>IFERROR(__xludf.DUMMYFUNCTION("""COMPUTED_VALUE"""),"RT 00  \ RW 00 ")</f>
        <v>RT 00  \ RW 00 </v>
      </c>
      <c r="W988" s="85" t="str">
        <f>IFERROR(__xludf.DUMMYFUNCTION("""COMPUTED_VALUE"""),"DURIN SIMBELANG")</f>
        <v>DURIN SIMBELANG</v>
      </c>
      <c r="X988" s="85" t="str">
        <f>IFERROR(__xludf.DUMMYFUNCTION("""COMPUTED_VALUE"""),"PANCUR BATU")</f>
        <v>PANCUR BATU</v>
      </c>
      <c r="Y988" s="85" t="str">
        <f>IFERROR(__xludf.DUMMYFUNCTION("""COMPUTED_VALUE"""),"KAB. DELISERDANG")</f>
        <v>KAB. DELISERDANG</v>
      </c>
      <c r="Z988" s="85" t="str">
        <f>IFERROR(__xludf.DUMMYFUNCTION("""COMPUTED_VALUE"""),"SUMATERA UTARA")</f>
        <v>SUMATERA UTARA</v>
      </c>
      <c r="AA988" s="85" t="str">
        <f>IFERROR(__xludf.DUMMYFUNCTION("""COMPUTED_VALUE"""),"20353")</f>
        <v>20353</v>
      </c>
      <c r="AB988" s="85" t="str">
        <f>IFERROR(__xludf.DUMMYFUNCTION("""COMPUTED_VALUE"""),"1271030211860005")</f>
        <v>1271030211860005</v>
      </c>
      <c r="AC988" s="85" t="str">
        <f>IFERROR(__xludf.DUMMYFUNCTION("""COMPUTED_VALUE"""),"12.710.302.1-186.0005")</f>
        <v>12.710.302.1-186.0005</v>
      </c>
      <c r="AD988" s="85" t="str">
        <f>IFERROR(__xludf.DUMMYFUNCTION("""COMPUTED_VALUE"""),"PAK HARUL KCU MEDAN")</f>
        <v>PAK HARUL KCU MEDAN</v>
      </c>
      <c r="AE988" s="85" t="str">
        <f>IFERROR(__xludf.DUMMYFUNCTION("""COMPUTED_VALUE"""),"PAK HARUL KCU MEDAN")</f>
        <v>PAK HARUL KCU MEDAN</v>
      </c>
      <c r="AF988" s="85" t="str">
        <f>IFERROR(__xludf.DUMMYFUNCTION("""COMPUTED_VALUE"""),"081215162890")</f>
        <v>081215162890</v>
      </c>
      <c r="AG988" s="85" t="str">
        <f>IFERROR(__xludf.DUMMYFUNCTION("""COMPUTED_VALUE"""),"081215162890")</f>
        <v>081215162890</v>
      </c>
      <c r="AH988" s="85" t="str">
        <f>IFERROR(__xludf.DUMMYFUNCTION("""COMPUTED_VALUE"""),"holong.sinembela86@gmail.com")</f>
        <v>holong.sinembela86@gmail.com</v>
      </c>
      <c r="AI988" s="85"/>
      <c r="AJ988" s="85"/>
      <c r="AK988" s="85"/>
      <c r="AL988" s="85"/>
      <c r="AM988" s="85" t="str">
        <f>IFERROR(__xludf.DUMMYFUNCTION("""COMPUTED_VALUE"""),"KANTOR REGIONAL I MEDAN 20004")</f>
        <v>KANTOR REGIONAL I MEDAN 20004</v>
      </c>
      <c r="AN988" s="85" t="str">
        <f>IFERROR(__xludf.DUMMYFUNCTION("""COMPUTED_VALUE"""),"KCU MEDAN 20000")</f>
        <v>KCU MEDAN 20000</v>
      </c>
      <c r="AO988" s="85" t="str">
        <f>IFERROR(__xludf.DUMMYFUNCTION("""COMPUTED_VALUE"""),"1104260035853")</f>
        <v>1104260035853</v>
      </c>
      <c r="AP988" s="85" t="str">
        <f>IFERROR(__xludf.DUMMYFUNCTION("""COMPUTED_VALUE"""),"11042600358530002")</f>
        <v>11042600358530002</v>
      </c>
      <c r="AQ988" s="93" t="str">
        <f>IFERROR(__xludf.DUMMYFUNCTION("""COMPUTED_VALUE"""),"810046925712")</f>
        <v>810046925712</v>
      </c>
      <c r="AR988" s="85" t="str">
        <f>IFERROR(__xludf.DUMMYFUNCTION("""COMPUTED_VALUE"""),"BANK INA")</f>
        <v>BANK INA</v>
      </c>
      <c r="AS988" s="85" t="str">
        <f>IFERROR(__xludf.DUMMYFUNCTION("""COMPUTED_VALUE"""),"HOLONG SINAMBELA")</f>
        <v>HOLONG SINAMBELA</v>
      </c>
      <c r="AT988" s="85" t="str">
        <f>IFERROR(__xludf.DUMMYFUNCTION("""COMPUTED_VALUE"""),"3.480793")</f>
        <v>3.480793</v>
      </c>
      <c r="AU988" s="85" t="str">
        <f>IFERROR(__xludf.DUMMYFUNCTION("""COMPUTED_VALUE"""),"98.5997646")</f>
        <v>98.5997646</v>
      </c>
      <c r="AV988" s="85"/>
      <c r="AW988" s="85"/>
      <c r="AX988" s="85"/>
      <c r="AY988" s="85"/>
      <c r="AZ988" s="85"/>
      <c r="BA988" s="85"/>
      <c r="BB988" s="85"/>
      <c r="BC988" s="85"/>
      <c r="BD988" s="85"/>
      <c r="BE988" s="85"/>
      <c r="BF988" s="85"/>
      <c r="BG988" s="85"/>
      <c r="BH988" s="85"/>
      <c r="BI988" s="85"/>
      <c r="BJ988" s="85"/>
      <c r="BK988" s="85"/>
      <c r="BL988" s="85"/>
      <c r="BM988" s="85"/>
      <c r="BN988" s="85"/>
      <c r="BO988" s="85"/>
      <c r="BP988" s="85"/>
      <c r="BQ988" s="85"/>
      <c r="BR988" s="85"/>
      <c r="BS988" s="85"/>
      <c r="BT988" s="85"/>
      <c r="BU988" s="85"/>
      <c r="BV988" s="85"/>
      <c r="BW988" s="85"/>
      <c r="BX988" s="85"/>
      <c r="BY988" s="85"/>
      <c r="BZ988" s="85"/>
      <c r="CA988" s="85"/>
      <c r="CB988" s="85"/>
      <c r="CC988" s="85"/>
      <c r="CD988" s="85"/>
      <c r="CE988" s="85"/>
      <c r="CF988" s="85"/>
      <c r="CG988" s="85"/>
      <c r="CH988" s="85"/>
      <c r="CI988" s="85"/>
      <c r="CJ988" s="85"/>
      <c r="CK988" s="2"/>
    </row>
    <row r="989" ht="12.75" customHeight="1">
      <c r="A989" s="80">
        <f>IFERROR(__xludf.DUMMYFUNCTION("""COMPUTED_VALUE"""),985.0)</f>
        <v>985</v>
      </c>
      <c r="B989" s="80"/>
      <c r="C989" s="80"/>
      <c r="D989" s="81">
        <f>IFERROR(__xludf.DUMMYFUNCTION("""COMPUTED_VALUE"""),46161.0)</f>
        <v>46161</v>
      </c>
      <c r="E989" s="82"/>
      <c r="F989" s="80"/>
      <c r="G989" s="81">
        <f>IFERROR(__xludf.DUMMYFUNCTION("""COMPUTED_VALUE"""),46188.0)</f>
        <v>46188</v>
      </c>
      <c r="H989" s="80"/>
      <c r="I989" s="80"/>
      <c r="J989" s="80"/>
      <c r="K989" s="80"/>
      <c r="L989" s="80">
        <f>IFERROR(__xludf.DUMMYFUNCTION("""COMPUTED_VALUE"""),27.0)</f>
        <v>27</v>
      </c>
      <c r="M989" s="80"/>
      <c r="N989" s="80"/>
      <c r="O989" s="80"/>
      <c r="P989" s="80" t="str">
        <f>IFERROR(__xludf.DUMMYFUNCTION("""COMPUTED_VALUE"""),"53BSPA09683JBABD")</f>
        <v>53BSPA09683JBABD</v>
      </c>
      <c r="Q989" s="80" t="str">
        <f>IFERROR(__xludf.DUMMYFUNCTION("""COMPUTED_VALUE"""),"MUC PARAKAN MUNCANG")</f>
        <v>MUC PARAKAN MUNCANG</v>
      </c>
      <c r="R989" s="80" t="str">
        <f>IFERROR(__xludf.DUMMYFUNCTION("""COMPUTED_VALUE"""),"MUC PARAKAN MUNCANG")</f>
        <v>MUC PARAKAN MUNCANG</v>
      </c>
      <c r="S989" s="80" t="str">
        <f>IFERROR(__xludf.DUMMYFUNCTION("""COMPUTED_VALUE"""),"YAYANG WULAN NURBAETA")</f>
        <v>YAYANG WULAN NURBAETA</v>
      </c>
      <c r="T989" s="80" t="str">
        <f>IFERROR(__xludf.DUMMYFUNCTION("""COMPUTED_VALUE"""),"KP. DANGDEUR RT 1 RW 3 BOJONGLOA RANCAEKEK")</f>
        <v>KP. DANGDEUR RT 1 RW 3 BOJONGLOA RANCAEKEK</v>
      </c>
      <c r="U989" s="80" t="str">
        <f>IFERROR(__xludf.DUMMYFUNCTION("""COMPUTED_VALUE"""),"JL. PARAKAN MUNCANG DUSUN CICABE RT 2 RW 4")</f>
        <v>JL. PARAKAN MUNCANG DUSUN CICABE RT 2 RW 4</v>
      </c>
      <c r="V989" s="80" t="str">
        <f>IFERROR(__xludf.DUMMYFUNCTION("""COMPUTED_VALUE"""),"RT 1 R \ RW 3 B")</f>
        <v>RT 1 R \ RW 3 B</v>
      </c>
      <c r="W989" s="80" t="str">
        <f>IFERROR(__xludf.DUMMYFUNCTION("""COMPUTED_VALUE"""),"SINDANGGALIH")</f>
        <v>SINDANGGALIH</v>
      </c>
      <c r="X989" s="80" t="str">
        <f>IFERROR(__xludf.DUMMYFUNCTION("""COMPUTED_VALUE"""),"CIMANGGUNG")</f>
        <v>CIMANGGUNG</v>
      </c>
      <c r="Y989" s="80" t="str">
        <f>IFERROR(__xludf.DUMMYFUNCTION("""COMPUTED_VALUE"""),"KAB. SUMEDANG")</f>
        <v>KAB. SUMEDANG</v>
      </c>
      <c r="Z989" s="80" t="str">
        <f>IFERROR(__xludf.DUMMYFUNCTION("""COMPUTED_VALUE"""),"JWA BARAT")</f>
        <v>JWA BARAT</v>
      </c>
      <c r="AA989" s="80" t="str">
        <f>IFERROR(__xludf.DUMMYFUNCTION("""COMPUTED_VALUE"""),"45364")</f>
        <v>45364</v>
      </c>
      <c r="AB989" s="80" t="str">
        <f>IFERROR(__xludf.DUMMYFUNCTION("""COMPUTED_VALUE"""),"3204285106940008")</f>
        <v>3204285106940008</v>
      </c>
      <c r="AC989" s="80" t="str">
        <f>IFERROR(__xludf.DUMMYFUNCTION("""COMPUTED_VALUE"""),"84.819.983.2-444.000")</f>
        <v>84.819.983.2-444.000</v>
      </c>
      <c r="AD989" s="80" t="str">
        <f>IFERROR(__xludf.DUMMYFUNCTION("""COMPUTED_VALUE"""),"PAK JAPAR")</f>
        <v>PAK JAPAR</v>
      </c>
      <c r="AE989" s="80" t="str">
        <f>IFERROR(__xludf.DUMMYFUNCTION("""COMPUTED_VALUE"""),"PAK JAPAR")</f>
        <v>PAK JAPAR</v>
      </c>
      <c r="AF989" s="80" t="str">
        <f>IFERROR(__xludf.DUMMYFUNCTION("""COMPUTED_VALUE"""),"0895331227659")</f>
        <v>0895331227659</v>
      </c>
      <c r="AG989" s="80" t="str">
        <f>IFERROR(__xludf.DUMMYFUNCTION("""COMPUTED_VALUE"""),"0895331227659")</f>
        <v>0895331227659</v>
      </c>
      <c r="AH989" s="80" t="str">
        <f>IFERROR(__xludf.DUMMYFUNCTION("""COMPUTED_VALUE"""),"wulan.nurbaeta@gmail.com")</f>
        <v>wulan.nurbaeta@gmail.com</v>
      </c>
      <c r="AI989" s="80" t="str">
        <f>IFERROR(__xludf.DUMMYFUNCTION("""COMPUTED_VALUE"""),"45364S1")</f>
        <v>45364S1</v>
      </c>
      <c r="AJ989" s="80" t="str">
        <f>IFERROR(__xludf.DUMMYFUNCTION("""COMPUTED_VALUE"""),"6a2e062000eaaba5e309b848")</f>
        <v>6a2e062000eaaba5e309b848</v>
      </c>
      <c r="AK989" s="80" t="str">
        <f>IFERROR(__xludf.DUMMYFUNCTION("""COMPUTED_VALUE"""),"wulan.nurbaeta@gmail.com")</f>
        <v>wulan.nurbaeta@gmail.com</v>
      </c>
      <c r="AL989" s="80" t="str">
        <f>IFERROR(__xludf.DUMMYFUNCTION("""COMPUTED_VALUE"""),"#Muc45364S1$")</f>
        <v>#Muc45364S1$</v>
      </c>
      <c r="AM989" s="80" t="str">
        <f>IFERROR(__xludf.DUMMYFUNCTION("""COMPUTED_VALUE"""),"KANTOR REGIONAL III BANDUNG 40004")</f>
        <v>KANTOR REGIONAL III BANDUNG 40004</v>
      </c>
      <c r="AN989" s="80" t="str">
        <f>IFERROR(__xludf.DUMMYFUNCTION("""COMPUTED_VALUE"""),"KC SUMEDANG 45300")</f>
        <v>KC SUMEDANG 45300</v>
      </c>
      <c r="AO989" s="80" t="str">
        <f>IFERROR(__xludf.DUMMYFUNCTION("""COMPUTED_VALUE"""),"0604260062249")</f>
        <v>0604260062249</v>
      </c>
      <c r="AP989" s="80" t="str">
        <f>IFERROR(__xludf.DUMMYFUNCTION("""COMPUTED_VALUE"""),"06042600622490001")</f>
        <v>06042600622490001</v>
      </c>
      <c r="AQ989" s="83" t="str">
        <f>IFERROR(__xludf.DUMMYFUNCTION("""COMPUTED_VALUE"""),"3771 0103 8370 532")</f>
        <v>3771 0103 8370 532</v>
      </c>
      <c r="AR989" s="80"/>
      <c r="AS989" s="80"/>
      <c r="AT989" s="80" t="str">
        <f>IFERROR(__xludf.DUMMYFUNCTION("""COMPUTED_VALUE"""),"-6.9533455")</f>
        <v>-6.9533455</v>
      </c>
      <c r="AU989" s="80" t="str">
        <f>IFERROR(__xludf.DUMMYFUNCTION("""COMPUTED_VALUE"""),"107.8239792")</f>
        <v>107.8239792</v>
      </c>
      <c r="AV989" s="80"/>
      <c r="AW989" s="80"/>
      <c r="AX989" s="80"/>
      <c r="AY989" s="80"/>
      <c r="AZ989" s="80"/>
      <c r="BA989" s="80"/>
      <c r="BB989" s="80"/>
      <c r="BC989" s="80"/>
      <c r="BD989" s="80"/>
      <c r="BE989" s="80"/>
      <c r="BF989" s="80"/>
      <c r="BG989" s="80"/>
      <c r="BH989" s="80"/>
      <c r="BI989" s="80"/>
      <c r="BJ989" s="80"/>
      <c r="BK989" s="80"/>
      <c r="BL989" s="80"/>
      <c r="BM989" s="80"/>
      <c r="BN989" s="80"/>
      <c r="BO989" s="80"/>
      <c r="BP989" s="80"/>
      <c r="BQ989" s="80"/>
      <c r="BR989" s="80"/>
      <c r="BS989" s="80"/>
      <c r="BT989" s="80"/>
      <c r="BU989" s="80"/>
      <c r="BV989" s="80"/>
      <c r="BW989" s="80"/>
      <c r="BX989" s="80"/>
      <c r="BY989" s="80"/>
      <c r="BZ989" s="80"/>
      <c r="CA989" s="80"/>
      <c r="CB989" s="80"/>
      <c r="CC989" s="80"/>
      <c r="CD989" s="80"/>
      <c r="CE989" s="80"/>
      <c r="CF989" s="80"/>
      <c r="CG989" s="80"/>
      <c r="CH989" s="80"/>
      <c r="CI989" s="80"/>
      <c r="CJ989" s="80"/>
      <c r="CK989" s="2"/>
    </row>
    <row r="990" ht="12.75" customHeight="1">
      <c r="A990" s="85">
        <f>IFERROR(__xludf.DUMMYFUNCTION("""COMPUTED_VALUE"""),986.0)</f>
        <v>986</v>
      </c>
      <c r="B990" s="85"/>
      <c r="C990" s="85"/>
      <c r="D990" s="86">
        <f>IFERROR(__xludf.DUMMYFUNCTION("""COMPUTED_VALUE"""),46162.0)</f>
        <v>46162</v>
      </c>
      <c r="E990" s="88"/>
      <c r="F990" s="85"/>
      <c r="G990" s="86">
        <f>IFERROR(__xludf.DUMMYFUNCTION("""COMPUTED_VALUE"""),46183.0)</f>
        <v>46183</v>
      </c>
      <c r="H990" s="85"/>
      <c r="I990" s="85"/>
      <c r="J990" s="85"/>
      <c r="K990" s="85"/>
      <c r="L990" s="85">
        <f>IFERROR(__xludf.DUMMYFUNCTION("""COMPUTED_VALUE"""),21.0)</f>
        <v>21</v>
      </c>
      <c r="M990" s="85"/>
      <c r="N990" s="85"/>
      <c r="O990" s="85"/>
      <c r="P990" s="85" t="str">
        <f>IFERROR(__xludf.DUMMYFUNCTION("""COMPUTED_VALUE"""),"MUCSPA63467PSIND")</f>
        <v>MUCSPA63467PSIND</v>
      </c>
      <c r="Q990" s="85" t="str">
        <f>IFERROR(__xludf.DUMMYFUNCTION("""COMPUTED_VALUE"""),"MUC BIROE EXPRESS")</f>
        <v>MUC BIROE EXPRESS</v>
      </c>
      <c r="R990" s="85" t="str">
        <f>IFERROR(__xludf.DUMMYFUNCTION("""COMPUTED_VALUE"""),"MUC BIROE EXPRESS")</f>
        <v>MUC BIROE EXPRESS</v>
      </c>
      <c r="S990" s="85" t="str">
        <f>IFERROR(__xludf.DUMMYFUNCTION("""COMPUTED_VALUE"""),"ROBY SAGITA")</f>
        <v>ROBY SAGITA</v>
      </c>
      <c r="T990" s="85" t="str">
        <f>IFERROR(__xludf.DUMMYFUNCTION("""COMPUTED_VALUE"""),"KP. PD RANGGON RT 1 RW 8 JATIRANGGON JATISAMPURNA")</f>
        <v>KP. PD RANGGON RT 1 RW 8 JATIRANGGON JATISAMPURNA</v>
      </c>
      <c r="U990" s="85" t="str">
        <f>IFERROR(__xludf.DUMMYFUNCTION("""COMPUTED_VALUE"""),"JL ALTERNATIF CIBUBUR NO. KM. 1")</f>
        <v>JL ALTERNATIF CIBUBUR NO. KM. 1</v>
      </c>
      <c r="V990" s="85" t="str">
        <f>IFERROR(__xludf.DUMMYFUNCTION("""COMPUTED_VALUE"""),"RT 1 R \ RW 8 J")</f>
        <v>RT 1 R \ RW 8 J</v>
      </c>
      <c r="W990" s="85" t="str">
        <f>IFERROR(__xludf.DUMMYFUNCTION("""COMPUTED_VALUE"""),"HARJAMUKTI")</f>
        <v>HARJAMUKTI</v>
      </c>
      <c r="X990" s="85" t="str">
        <f>IFERROR(__xludf.DUMMYFUNCTION("""COMPUTED_VALUE"""),"CIMANGGIS")</f>
        <v>CIMANGGIS</v>
      </c>
      <c r="Y990" s="85" t="str">
        <f>IFERROR(__xludf.DUMMYFUNCTION("""COMPUTED_VALUE"""),"DEPOK")</f>
        <v>DEPOK</v>
      </c>
      <c r="Z990" s="85" t="str">
        <f>IFERROR(__xludf.DUMMYFUNCTION("""COMPUTED_VALUE"""),"JAWA BARAT")</f>
        <v>JAWA BARAT</v>
      </c>
      <c r="AA990" s="85" t="str">
        <f>IFERROR(__xludf.DUMMYFUNCTION("""COMPUTED_VALUE"""),"16411")</f>
        <v>16411</v>
      </c>
      <c r="AB990" s="85" t="str">
        <f>IFERROR(__xludf.DUMMYFUNCTION("""COMPUTED_VALUE"""),"3275103001800008")</f>
        <v>3275103001800008</v>
      </c>
      <c r="AC990" s="85" t="str">
        <f>IFERROR(__xludf.DUMMYFUNCTION("""COMPUTED_VALUE"""),"71.117.698.2-432.000")</f>
        <v>71.117.698.2-432.000</v>
      </c>
      <c r="AD990" s="85" t="str">
        <f>IFERROR(__xludf.DUMMYFUNCTION("""COMPUTED_VALUE"""),"PAK YUNUS KCU BEKASI")</f>
        <v>PAK YUNUS KCU BEKASI</v>
      </c>
      <c r="AE990" s="85" t="str">
        <f>IFERROR(__xludf.DUMMYFUNCTION("""COMPUTED_VALUE"""),"PAK YUNUS KCU BEKASI")</f>
        <v>PAK YUNUS KCU BEKASI</v>
      </c>
      <c r="AF990" s="85" t="str">
        <f>IFERROR(__xludf.DUMMYFUNCTION("""COMPUTED_VALUE"""),"081285700755")</f>
        <v>081285700755</v>
      </c>
      <c r="AG990" s="85" t="str">
        <f>IFERROR(__xludf.DUMMYFUNCTION("""COMPUTED_VALUE"""),"081285700755")</f>
        <v>081285700755</v>
      </c>
      <c r="AH990" s="85" t="str">
        <f>IFERROR(__xludf.DUMMYFUNCTION("""COMPUTED_VALUE"""),"biroe4444@gmail.com")</f>
        <v>biroe4444@gmail.com</v>
      </c>
      <c r="AI990" s="85" t="str">
        <f>IFERROR(__xludf.DUMMYFUNCTION("""COMPUTED_VALUE"""),"16454S2")</f>
        <v>16454S2</v>
      </c>
      <c r="AJ990" s="85" t="str">
        <f>IFERROR(__xludf.DUMMYFUNCTION("""COMPUTED_VALUE"""),"6a279516f8696ea1ce08debe")</f>
        <v>6a279516f8696ea1ce08debe</v>
      </c>
      <c r="AK990" s="85" t="str">
        <f>IFERROR(__xludf.DUMMYFUNCTION("""COMPUTED_VALUE"""),"biroe4444@gmail.com")</f>
        <v>biroe4444@gmail.com</v>
      </c>
      <c r="AL990" s="85" t="str">
        <f>IFERROR(__xludf.DUMMYFUNCTION("""COMPUTED_VALUE"""),"#Muc16454S2$")</f>
        <v>#Muc16454S2$</v>
      </c>
      <c r="AM990" s="85" t="str">
        <f>IFERROR(__xludf.DUMMYFUNCTION("""COMPUTED_VALUE"""),"KANTOR REGIONAL II JAKARTA 10004")</f>
        <v>KANTOR REGIONAL II JAKARTA 10004</v>
      </c>
      <c r="AN990" s="85" t="str">
        <f>IFERROR(__xludf.DUMMYFUNCTION("""COMPUTED_VALUE"""),"KC DEPOK 16400")</f>
        <v>KC DEPOK 16400</v>
      </c>
      <c r="AO990" s="85" t="str">
        <f>IFERROR(__xludf.DUMMYFUNCTION("""COMPUTED_VALUE"""),"0246000911134")</f>
        <v>0246000911134</v>
      </c>
      <c r="AP990" s="85" t="str">
        <f>IFERROR(__xludf.DUMMYFUNCTION("""COMPUTED_VALUE"""),"02460009111340001")</f>
        <v>02460009111340001</v>
      </c>
      <c r="AQ990" s="93" t="str">
        <f>IFERROR(__xludf.DUMMYFUNCTION("""COMPUTED_VALUE"""),"7115183583")</f>
        <v>7115183583</v>
      </c>
      <c r="AR990" s="85"/>
      <c r="AS990" s="85"/>
      <c r="AT990" s="85" t="str">
        <f>IFERROR(__xludf.DUMMYFUNCTION("""COMPUTED_VALUE"""),"-6.3751501")</f>
        <v>-6.3751501</v>
      </c>
      <c r="AU990" s="85" t="str">
        <f>IFERROR(__xludf.DUMMYFUNCTION("""COMPUTED_VALUE"""),"106.9050721")</f>
        <v>106.9050721</v>
      </c>
      <c r="AV990" s="85"/>
      <c r="AW990" s="85"/>
      <c r="AX990" s="85"/>
      <c r="AY990" s="85"/>
      <c r="AZ990" s="85"/>
      <c r="BA990" s="85"/>
      <c r="BB990" s="85"/>
      <c r="BC990" s="85"/>
      <c r="BD990" s="85"/>
      <c r="BE990" s="85"/>
      <c r="BF990" s="85"/>
      <c r="BG990" s="85"/>
      <c r="BH990" s="85"/>
      <c r="BI990" s="85"/>
      <c r="BJ990" s="85"/>
      <c r="BK990" s="85"/>
      <c r="BL990" s="85"/>
      <c r="BM990" s="85"/>
      <c r="BN990" s="85"/>
      <c r="BO990" s="85"/>
      <c r="BP990" s="85"/>
      <c r="BQ990" s="85"/>
      <c r="BR990" s="85"/>
      <c r="BS990" s="85"/>
      <c r="BT990" s="85"/>
      <c r="BU990" s="85"/>
      <c r="BV990" s="85"/>
      <c r="BW990" s="85"/>
      <c r="BX990" s="85"/>
      <c r="BY990" s="85"/>
      <c r="BZ990" s="85"/>
      <c r="CA990" s="85"/>
      <c r="CB990" s="85"/>
      <c r="CC990" s="85"/>
      <c r="CD990" s="85"/>
      <c r="CE990" s="85"/>
      <c r="CF990" s="85"/>
      <c r="CG990" s="85"/>
      <c r="CH990" s="85"/>
      <c r="CI990" s="85"/>
      <c r="CJ990" s="85"/>
      <c r="CK990" s="2"/>
    </row>
    <row r="991" ht="12.75" customHeight="1">
      <c r="A991" s="80">
        <f>IFERROR(__xludf.DUMMYFUNCTION("""COMPUTED_VALUE"""),987.0)</f>
        <v>987</v>
      </c>
      <c r="B991" s="80"/>
      <c r="C991" s="80"/>
      <c r="D991" s="81">
        <f>IFERROR(__xludf.DUMMYFUNCTION("""COMPUTED_VALUE"""),46162.0)</f>
        <v>46162</v>
      </c>
      <c r="E991" s="82"/>
      <c r="F991" s="80"/>
      <c r="G991" s="81"/>
      <c r="H991" s="80"/>
      <c r="I991" s="80"/>
      <c r="J991" s="80"/>
      <c r="K991" s="80"/>
      <c r="L991" s="80"/>
      <c r="M991" s="80"/>
      <c r="N991" s="80"/>
      <c r="O991" s="80"/>
      <c r="P991" s="80" t="str">
        <f>IFERROR(__xludf.DUMMYFUNCTION("""COMPUTED_VALUE"""),"MUCSPA63468PSIND")</f>
        <v>MUCSPA63468PSIND</v>
      </c>
      <c r="Q991" s="80" t="str">
        <f>IFERROR(__xludf.DUMMYFUNCTION("""COMPUTED_VALUE"""),"MUC BIROE EXPRESS 1")</f>
        <v>MUC BIROE EXPRESS 1</v>
      </c>
      <c r="R991" s="80" t="str">
        <f>IFERROR(__xludf.DUMMYFUNCTION("""COMPUTED_VALUE"""),"MUC BIROE EXPRESS 1")</f>
        <v>MUC BIROE EXPRESS 1</v>
      </c>
      <c r="S991" s="80" t="str">
        <f>IFERROR(__xludf.DUMMYFUNCTION("""COMPUTED_VALUE"""),"ROBY SAGITA")</f>
        <v>ROBY SAGITA</v>
      </c>
      <c r="T991" s="80" t="str">
        <f>IFERROR(__xludf.DUMMYFUNCTION("""COMPUTED_VALUE"""),"KP. PD RANGGON RT 1 RW 8 JATIRANGGON JATISAMPURNA")</f>
        <v>KP. PD RANGGON RT 1 RW 8 JATIRANGGON JATISAMPURNA</v>
      </c>
      <c r="U991" s="80" t="str">
        <f>IFERROR(__xludf.DUMMYFUNCTION("""COMPUTED_VALUE"""),"JL. RAYA KRANGGAN NO. 4 RT 6 RW 5")</f>
        <v>JL. RAYA KRANGGAN NO. 4 RT 6 RW 5</v>
      </c>
      <c r="V991" s="80" t="str">
        <f>IFERROR(__xludf.DUMMYFUNCTION("""COMPUTED_VALUE"""),"RT 1 R \ RW 8 J")</f>
        <v>RT 1 R \ RW 8 J</v>
      </c>
      <c r="W991" s="80" t="str">
        <f>IFERROR(__xludf.DUMMYFUNCTION("""COMPUTED_VALUE"""),"JATIRANGGON")</f>
        <v>JATIRANGGON</v>
      </c>
      <c r="X991" s="80" t="str">
        <f>IFERROR(__xludf.DUMMYFUNCTION("""COMPUTED_VALUE"""),"JATISAMPURNA")</f>
        <v>JATISAMPURNA</v>
      </c>
      <c r="Y991" s="80" t="str">
        <f>IFERROR(__xludf.DUMMYFUNCTION("""COMPUTED_VALUE"""),"Kota")</f>
        <v>Kota</v>
      </c>
      <c r="Z991" s="80" t="str">
        <f>IFERROR(__xludf.DUMMYFUNCTION("""COMPUTED_VALUE"""),"JAWA BARAT")</f>
        <v>JAWA BARAT</v>
      </c>
      <c r="AA991" s="80" t="str">
        <f>IFERROR(__xludf.DUMMYFUNCTION("""COMPUTED_VALUE"""),"17432")</f>
        <v>17432</v>
      </c>
      <c r="AB991" s="80" t="str">
        <f>IFERROR(__xludf.DUMMYFUNCTION("""COMPUTED_VALUE"""),"3275103001800008")</f>
        <v>3275103001800008</v>
      </c>
      <c r="AC991" s="80" t="str">
        <f>IFERROR(__xludf.DUMMYFUNCTION("""COMPUTED_VALUE"""),"71.117.698.2-432.000")</f>
        <v>71.117.698.2-432.000</v>
      </c>
      <c r="AD991" s="80" t="str">
        <f>IFERROR(__xludf.DUMMYFUNCTION("""COMPUTED_VALUE"""),"PAK YUNUS KCU BEKASI")</f>
        <v>PAK YUNUS KCU BEKASI</v>
      </c>
      <c r="AE991" s="80" t="str">
        <f>IFERROR(__xludf.DUMMYFUNCTION("""COMPUTED_VALUE"""),"PAK YUNUS KCU BEKASI")</f>
        <v>PAK YUNUS KCU BEKASI</v>
      </c>
      <c r="AF991" s="80" t="str">
        <f>IFERROR(__xludf.DUMMYFUNCTION("""COMPUTED_VALUE"""),"081285700755")</f>
        <v>081285700755</v>
      </c>
      <c r="AG991" s="80" t="str">
        <f>IFERROR(__xludf.DUMMYFUNCTION("""COMPUTED_VALUE"""),"081285700755")</f>
        <v>081285700755</v>
      </c>
      <c r="AH991" s="80" t="str">
        <f>IFERROR(__xludf.DUMMYFUNCTION("""COMPUTED_VALUE"""),"roby_sagita4@yahoo.com")</f>
        <v>roby_sagita4@yahoo.com</v>
      </c>
      <c r="AI991" s="80"/>
      <c r="AJ991" s="80"/>
      <c r="AK991" s="80"/>
      <c r="AL991" s="80"/>
      <c r="AM991" s="80" t="str">
        <f>IFERROR(__xludf.DUMMYFUNCTION("""COMPUTED_VALUE"""),"KANTOR REGIONAL II JAKARTA 10004")</f>
        <v>KANTOR REGIONAL II JAKARTA 10004</v>
      </c>
      <c r="AN991" s="80" t="str">
        <f>IFERROR(__xludf.DUMMYFUNCTION("""COMPUTED_VALUE"""),"KCU BEKASI 17000")</f>
        <v>KCU BEKASI 17000</v>
      </c>
      <c r="AO991" s="80" t="str">
        <f>IFERROR(__xludf.DUMMYFUNCTION("""COMPUTED_VALUE"""),"0246000911134")</f>
        <v>0246000911134</v>
      </c>
      <c r="AP991" s="80" t="str">
        <f>IFERROR(__xludf.DUMMYFUNCTION("""COMPUTED_VALUE"""),"02460009111340002")</f>
        <v>02460009111340002</v>
      </c>
      <c r="AQ991" s="83" t="str">
        <f>IFERROR(__xludf.DUMMYFUNCTION("""COMPUTED_VALUE"""),"7115183583")</f>
        <v>7115183583</v>
      </c>
      <c r="AR991" s="80"/>
      <c r="AS991" s="80"/>
      <c r="AT991" s="80" t="str">
        <f>IFERROR(__xludf.DUMMYFUNCTION("""COMPUTED_VALUE"""),"-6.3441767")</f>
        <v>-6.3441767</v>
      </c>
      <c r="AU991" s="80" t="str">
        <f>IFERROR(__xludf.DUMMYFUNCTION("""COMPUTED_VALUE"""),"106.9036032")</f>
        <v>106.9036032</v>
      </c>
      <c r="AV991" s="80"/>
      <c r="AW991" s="80"/>
      <c r="AX991" s="80"/>
      <c r="AY991" s="80"/>
      <c r="AZ991" s="80"/>
      <c r="BA991" s="80"/>
      <c r="BB991" s="80"/>
      <c r="BC991" s="80"/>
      <c r="BD991" s="80"/>
      <c r="BE991" s="80"/>
      <c r="BF991" s="80"/>
      <c r="BG991" s="80"/>
      <c r="BH991" s="80"/>
      <c r="BI991" s="80"/>
      <c r="BJ991" s="80"/>
      <c r="BK991" s="80"/>
      <c r="BL991" s="80"/>
      <c r="BM991" s="80"/>
      <c r="BN991" s="80"/>
      <c r="BO991" s="80"/>
      <c r="BP991" s="80"/>
      <c r="BQ991" s="80"/>
      <c r="BR991" s="80"/>
      <c r="BS991" s="80"/>
      <c r="BT991" s="80"/>
      <c r="BU991" s="80"/>
      <c r="BV991" s="80"/>
      <c r="BW991" s="80"/>
      <c r="BX991" s="80"/>
      <c r="BY991" s="80"/>
      <c r="BZ991" s="80"/>
      <c r="CA991" s="80"/>
      <c r="CB991" s="80"/>
      <c r="CC991" s="80"/>
      <c r="CD991" s="80"/>
      <c r="CE991" s="80"/>
      <c r="CF991" s="80"/>
      <c r="CG991" s="80"/>
      <c r="CH991" s="80"/>
      <c r="CI991" s="80"/>
      <c r="CJ991" s="80"/>
      <c r="CK991" s="2"/>
    </row>
    <row r="992" ht="12.75" customHeight="1">
      <c r="A992" s="85">
        <f>IFERROR(__xludf.DUMMYFUNCTION("""COMPUTED_VALUE"""),988.0)</f>
        <v>988</v>
      </c>
      <c r="B992" s="85"/>
      <c r="C992" s="85"/>
      <c r="D992" s="86">
        <f>IFERROR(__xludf.DUMMYFUNCTION("""COMPUTED_VALUE"""),46162.0)</f>
        <v>46162</v>
      </c>
      <c r="E992" s="88"/>
      <c r="F992" s="85"/>
      <c r="G992" s="86"/>
      <c r="H992" s="85"/>
      <c r="I992" s="85"/>
      <c r="J992" s="85"/>
      <c r="K992" s="85"/>
      <c r="L992" s="85"/>
      <c r="M992" s="85"/>
      <c r="N992" s="85"/>
      <c r="O992" s="85"/>
      <c r="P992" s="85" t="str">
        <f>IFERROR(__xludf.DUMMYFUNCTION("""COMPUTED_VALUE"""),"MUCSPA63469PSIND")</f>
        <v>MUCSPA63469PSIND</v>
      </c>
      <c r="Q992" s="85" t="str">
        <f>IFERROR(__xludf.DUMMYFUNCTION("""COMPUTED_VALUE"""),"MUC 3 DARA RAGA SAKTI")</f>
        <v>MUC 3 DARA RAGA SAKTI</v>
      </c>
      <c r="R992" s="85" t="str">
        <f>IFERROR(__xludf.DUMMYFUNCTION("""COMPUTED_VALUE"""),"MUC 3 DARA RAGA SAKTI")</f>
        <v>MUC 3 DARA RAGA SAKTI</v>
      </c>
      <c r="S992" s="85" t="str">
        <f>IFERROR(__xludf.DUMMYFUNCTION("""COMPUTED_VALUE"""),"EUIS KRISANTI")</f>
        <v>EUIS KRISANTI</v>
      </c>
      <c r="T992" s="85" t="str">
        <f>IFERROR(__xludf.DUMMYFUNCTION("""COMPUTED_VALUE"""),"GG. SENSUS IV D NO. 23 RT 6 RW 14 BIDARA CINA JATINEGARA")</f>
        <v>GG. SENSUS IV D NO. 23 RT 6 RW 14 BIDARA CINA JATINEGARA</v>
      </c>
      <c r="U992" s="85" t="str">
        <f>IFERROR(__xludf.DUMMYFUNCTION("""COMPUTED_VALUE"""),"JL. WARAKAS RAYA")</f>
        <v>JL. WARAKAS RAYA</v>
      </c>
      <c r="V992" s="85" t="str">
        <f>IFERROR(__xludf.DUMMYFUNCTION("""COMPUTED_VALUE"""),"RT 6 R \ RW 14 ")</f>
        <v>RT 6 R \ RW 14 </v>
      </c>
      <c r="W992" s="85" t="str">
        <f>IFERROR(__xludf.DUMMYFUNCTION("""COMPUTED_VALUE"""),"WARAKAS")</f>
        <v>WARAKAS</v>
      </c>
      <c r="X992" s="85" t="str">
        <f>IFERROR(__xludf.DUMMYFUNCTION("""COMPUTED_VALUE"""),"TANJUNG PRIOK")</f>
        <v>TANJUNG PRIOK</v>
      </c>
      <c r="Y992" s="85" t="str">
        <f>IFERROR(__xludf.DUMMYFUNCTION("""COMPUTED_VALUE"""),"JAKARTA UTARA")</f>
        <v>JAKARTA UTARA</v>
      </c>
      <c r="Z992" s="85" t="str">
        <f>IFERROR(__xludf.DUMMYFUNCTION("""COMPUTED_VALUE"""),"DKI JAKARTA")</f>
        <v>DKI JAKARTA</v>
      </c>
      <c r="AA992" s="85" t="str">
        <f>IFERROR(__xludf.DUMMYFUNCTION("""COMPUTED_VALUE"""),"14370")</f>
        <v>14370</v>
      </c>
      <c r="AB992" s="85" t="str">
        <f>IFERROR(__xludf.DUMMYFUNCTION("""COMPUTED_VALUE"""),"3172026408810001")</f>
        <v>3172026408810001</v>
      </c>
      <c r="AC992" s="85" t="str">
        <f>IFERROR(__xludf.DUMMYFUNCTION("""COMPUTED_VALUE"""),"88.442.941.6-002.000")</f>
        <v>88.442.941.6-002.000</v>
      </c>
      <c r="AD992" s="85" t="str">
        <f>IFERROR(__xludf.DUMMYFUNCTION("""COMPUTED_VALUE"""),"PAK ARIS KCU PREMIER")</f>
        <v>PAK ARIS KCU PREMIER</v>
      </c>
      <c r="AE992" s="85" t="str">
        <f>IFERROR(__xludf.DUMMYFUNCTION("""COMPUTED_VALUE"""),"PAK ARIS KCU PREMIER")</f>
        <v>PAK ARIS KCU PREMIER</v>
      </c>
      <c r="AF992" s="85" t="str">
        <f>IFERROR(__xludf.DUMMYFUNCTION("""COMPUTED_VALUE"""),"085719277192")</f>
        <v>085719277192</v>
      </c>
      <c r="AG992" s="85" t="str">
        <f>IFERROR(__xludf.DUMMYFUNCTION("""COMPUTED_VALUE"""),"085719277192")</f>
        <v>085719277192</v>
      </c>
      <c r="AH992" s="85" t="str">
        <f>IFERROR(__xludf.DUMMYFUNCTION("""COMPUTED_VALUE"""),"euiskrisanti@gmail.com")</f>
        <v>euiskrisanti@gmail.com</v>
      </c>
      <c r="AI992" s="85"/>
      <c r="AJ992" s="85"/>
      <c r="AK992" s="85"/>
      <c r="AL992" s="85"/>
      <c r="AM992" s="85" t="str">
        <f>IFERROR(__xludf.DUMMYFUNCTION("""COMPUTED_VALUE"""),"KANTOR REGIONAL II JAKARTA 10004")</f>
        <v>KANTOR REGIONAL II JAKARTA 10004</v>
      </c>
      <c r="AN992" s="85" t="str">
        <f>IFERROR(__xludf.DUMMYFUNCTION("""COMPUTED_VALUE"""),"KCU JAKARTAPREMIER 13000")</f>
        <v>KCU JAKARTAPREMIER 13000</v>
      </c>
      <c r="AO992" s="85" t="str">
        <f>IFERROR(__xludf.DUMMYFUNCTION("""COMPUTED_VALUE"""),"2005260031613")</f>
        <v>2005260031613</v>
      </c>
      <c r="AP992" s="85" t="str">
        <f>IFERROR(__xludf.DUMMYFUNCTION("""COMPUTED_VALUE"""),"20052600316130001")</f>
        <v>20052600316130001</v>
      </c>
      <c r="AQ992" s="93" t="str">
        <f>IFERROR(__xludf.DUMMYFUNCTION("""COMPUTED_VALUE"""),"0070488710")</f>
        <v>0070488710</v>
      </c>
      <c r="AR992" s="85"/>
      <c r="AS992" s="85"/>
      <c r="AT992" s="85" t="str">
        <f>IFERROR(__xludf.DUMMYFUNCTION("""COMPUTED_VALUE"""),"-6.1149494")</f>
        <v>-6.1149494</v>
      </c>
      <c r="AU992" s="85" t="str">
        <f>IFERROR(__xludf.DUMMYFUNCTION("""COMPUTED_VALUE"""),"106.8770117")</f>
        <v>106.8770117</v>
      </c>
      <c r="AV992" s="85"/>
      <c r="AW992" s="85"/>
      <c r="AX992" s="85"/>
      <c r="AY992" s="85"/>
      <c r="AZ992" s="85"/>
      <c r="BA992" s="85"/>
      <c r="BB992" s="85"/>
      <c r="BC992" s="85"/>
      <c r="BD992" s="85"/>
      <c r="BE992" s="85"/>
      <c r="BF992" s="85"/>
      <c r="BG992" s="85"/>
      <c r="BH992" s="85"/>
      <c r="BI992" s="85"/>
      <c r="BJ992" s="85"/>
      <c r="BK992" s="85"/>
      <c r="BL992" s="85"/>
      <c r="BM992" s="85"/>
      <c r="BN992" s="85"/>
      <c r="BO992" s="85"/>
      <c r="BP992" s="85"/>
      <c r="BQ992" s="85"/>
      <c r="BR992" s="85"/>
      <c r="BS992" s="85"/>
      <c r="BT992" s="85"/>
      <c r="BU992" s="85"/>
      <c r="BV992" s="85"/>
      <c r="BW992" s="85"/>
      <c r="BX992" s="85"/>
      <c r="BY992" s="85"/>
      <c r="BZ992" s="85"/>
      <c r="CA992" s="85"/>
      <c r="CB992" s="85"/>
      <c r="CC992" s="85"/>
      <c r="CD992" s="85"/>
      <c r="CE992" s="85"/>
      <c r="CF992" s="85"/>
      <c r="CG992" s="85"/>
      <c r="CH992" s="85"/>
      <c r="CI992" s="85"/>
      <c r="CJ992" s="85"/>
      <c r="CK992" s="2"/>
    </row>
    <row r="993" ht="12.75" customHeight="1">
      <c r="A993" s="80">
        <f>IFERROR(__xludf.DUMMYFUNCTION("""COMPUTED_VALUE"""),989.0)</f>
        <v>989</v>
      </c>
      <c r="B993" s="80"/>
      <c r="C993" s="80"/>
      <c r="D993" s="81">
        <f>IFERROR(__xludf.DUMMYFUNCTION("""COMPUTED_VALUE"""),46162.0)</f>
        <v>46162</v>
      </c>
      <c r="E993" s="82"/>
      <c r="F993" s="80"/>
      <c r="G993" s="81">
        <f>IFERROR(__xludf.DUMMYFUNCTION("""COMPUTED_VALUE"""),46168.0)</f>
        <v>46168</v>
      </c>
      <c r="H993" s="80"/>
      <c r="I993" s="80"/>
      <c r="J993" s="80"/>
      <c r="K993" s="80"/>
      <c r="L993" s="80">
        <f>IFERROR(__xludf.DUMMYFUNCTION("""COMPUTED_VALUE"""),6.0)</f>
        <v>6</v>
      </c>
      <c r="M993" s="80"/>
      <c r="N993" s="80"/>
      <c r="O993" s="80"/>
      <c r="P993" s="80" t="str">
        <f>IFERROR(__xludf.DUMMYFUNCTION("""COMPUTED_VALUE"""),"MUCSPA63470PSIND")</f>
        <v>MUCSPA63470PSIND</v>
      </c>
      <c r="Q993" s="80" t="str">
        <f>IFERROR(__xludf.DUMMYFUNCTION("""COMPUTED_VALUE"""),"MUC MUTIARA NUSANTARA")</f>
        <v>MUC MUTIARA NUSANTARA</v>
      </c>
      <c r="R993" s="80" t="str">
        <f>IFERROR(__xludf.DUMMYFUNCTION("""COMPUTED_VALUE"""),"MUC MUTIARA NUSANTARA")</f>
        <v>MUC MUTIARA NUSANTARA</v>
      </c>
      <c r="S993" s="80" t="str">
        <f>IFERROR(__xludf.DUMMYFUNCTION("""COMPUTED_VALUE"""),"FRANTONIUS HASIHOLAN MANURUNG")</f>
        <v>FRANTONIUS HASIHOLAN MANURUNG</v>
      </c>
      <c r="T993" s="80" t="str">
        <f>IFERROR(__xludf.DUMMYFUNCTION("""COMPUTED_VALUE"""),"JLN JAMBU RT 006 RW KEL WATERVANG KEC LUBUKLINGGAU TIMUR I KOTA LUBUKLINGGAU SUMATERA SELATAN")</f>
        <v>JLN JAMBU RT 006 RW KEL WATERVANG KEC LUBUKLINGGAU TIMUR I KOTA LUBUKLINGGAU SUMATERA SELATAN</v>
      </c>
      <c r="U993" s="80" t="str">
        <f>IFERROR(__xludf.DUMMYFUNCTION("""COMPUTED_VALUE"""),"JLN YOS SUDARSO NO 10 RT 004 RW 004")</f>
        <v>JLN YOS SUDARSO NO 10 RT 004 RW 004</v>
      </c>
      <c r="V993" s="80" t="str">
        <f>IFERROR(__xludf.DUMMYFUNCTION("""COMPUTED_VALUE"""),"RT 006 \ RW KEL")</f>
        <v>RT 006 \ RW KEL</v>
      </c>
      <c r="W993" s="80" t="str">
        <f>IFERROR(__xludf.DUMMYFUNCTION("""COMPUTED_VALUE"""),"BATU URIP TABA")</f>
        <v>BATU URIP TABA</v>
      </c>
      <c r="X993" s="80" t="str">
        <f>IFERROR(__xludf.DUMMYFUNCTION("""COMPUTED_VALUE"""),"LUBUK LINGGAU TIMUR 1")</f>
        <v>LUBUK LINGGAU TIMUR 1</v>
      </c>
      <c r="Y993" s="80" t="str">
        <f>IFERROR(__xludf.DUMMYFUNCTION("""COMPUTED_VALUE"""),"LUBUK LINGGAU")</f>
        <v>LUBUK LINGGAU</v>
      </c>
      <c r="Z993" s="80" t="str">
        <f>IFERROR(__xludf.DUMMYFUNCTION("""COMPUTED_VALUE"""),"SUMATERA SELATAN")</f>
        <v>SUMATERA SELATAN</v>
      </c>
      <c r="AA993" s="80" t="str">
        <f>IFERROR(__xludf.DUMMYFUNCTION("""COMPUTED_VALUE"""),"31624")</f>
        <v>31624</v>
      </c>
      <c r="AB993" s="80" t="str">
        <f>IFERROR(__xludf.DUMMYFUNCTION("""COMPUTED_VALUE"""),"1673012810810004")</f>
        <v>1673012810810004</v>
      </c>
      <c r="AC993" s="80" t="str">
        <f>IFERROR(__xludf.DUMMYFUNCTION("""COMPUTED_VALUE"""),"67.200.427.2-301.000")</f>
        <v>67.200.427.2-301.000</v>
      </c>
      <c r="AD993" s="80" t="str">
        <f>IFERROR(__xludf.DUMMYFUNCTION("""COMPUTED_VALUE"""),"PAK FARUQ KC LUBUK LINGGAU")</f>
        <v>PAK FARUQ KC LUBUK LINGGAU</v>
      </c>
      <c r="AE993" s="80" t="str">
        <f>IFERROR(__xludf.DUMMYFUNCTION("""COMPUTED_VALUE"""),"PAK FARUQ KC LUBUK LINGGAU")</f>
        <v>PAK FARUQ KC LUBUK LINGGAU</v>
      </c>
      <c r="AF993" s="80" t="str">
        <f>IFERROR(__xludf.DUMMYFUNCTION("""COMPUTED_VALUE"""),"081276006009")</f>
        <v>081276006009</v>
      </c>
      <c r="AG993" s="80" t="str">
        <f>IFERROR(__xludf.DUMMYFUNCTION("""COMPUTED_VALUE"""),"081276006009")</f>
        <v>081276006009</v>
      </c>
      <c r="AH993" s="80" t="str">
        <f>IFERROR(__xludf.DUMMYFUNCTION("""COMPUTED_VALUE"""),"frantonius@yahoo.co.id")</f>
        <v>frantonius@yahoo.co.id</v>
      </c>
      <c r="AI993" s="80" t="str">
        <f>IFERROR(__xludf.DUMMYFUNCTION("""COMPUTED_VALUE"""),"31627S2")</f>
        <v>31627S2</v>
      </c>
      <c r="AJ993" s="80" t="str">
        <f>IFERROR(__xludf.DUMMYFUNCTION("""COMPUTED_VALUE"""),"6a110356a842f4df8d0b1784")</f>
        <v>6a110356a842f4df8d0b1784</v>
      </c>
      <c r="AK993" s="80" t="str">
        <f>IFERROR(__xludf.DUMMYFUNCTION("""COMPUTED_VALUE"""),"frantonius@yahoo.co.id")</f>
        <v>frantonius@yahoo.co.id</v>
      </c>
      <c r="AL993" s="80" t="str">
        <f>IFERROR(__xludf.DUMMYFUNCTION("""COMPUTED_VALUE"""),"#Muc31627S2$")</f>
        <v>#Muc31627S2$</v>
      </c>
      <c r="AM993" s="80" t="str">
        <f>IFERROR(__xludf.DUMMYFUNCTION("""COMPUTED_VALUE"""),"KANTOR REGIONAL I MEDAN 20004")</f>
        <v>KANTOR REGIONAL I MEDAN 20004</v>
      </c>
      <c r="AN993" s="80" t="str">
        <f>IFERROR(__xludf.DUMMYFUNCTION("""COMPUTED_VALUE"""),"KC LUBUKLINGGAU 31600")</f>
        <v>KC LUBUKLINGGAU 31600</v>
      </c>
      <c r="AO993" s="80" t="str">
        <f>IFERROR(__xludf.DUMMYFUNCTION("""COMPUTED_VALUE"""),"2005260078933")</f>
        <v>2005260078933</v>
      </c>
      <c r="AP993" s="80" t="str">
        <f>IFERROR(__xludf.DUMMYFUNCTION("""COMPUTED_VALUE"""),"20052600789330001")</f>
        <v>20052600789330001</v>
      </c>
      <c r="AQ993" s="83" t="str">
        <f>IFERROR(__xludf.DUMMYFUNCTION("""COMPUTED_VALUE"""),"0570433334")</f>
        <v>0570433334</v>
      </c>
      <c r="AR993" s="80"/>
      <c r="AS993" s="80"/>
      <c r="AT993" s="80" t="str">
        <f>IFERROR(__xludf.DUMMYFUNCTION("""COMPUTED_VALUE"""),"3.2801223")</f>
        <v>3.2801223</v>
      </c>
      <c r="AU993" s="80" t="str">
        <f>IFERROR(__xludf.DUMMYFUNCTION("""COMPUTED_VALUE"""),"102.8924443")</f>
        <v>102.8924443</v>
      </c>
      <c r="AV993" s="80"/>
      <c r="AW993" s="80"/>
      <c r="AX993" s="80"/>
      <c r="AY993" s="80"/>
      <c r="AZ993" s="80"/>
      <c r="BA993" s="80"/>
      <c r="BB993" s="80"/>
      <c r="BC993" s="80"/>
      <c r="BD993" s="80"/>
      <c r="BE993" s="80"/>
      <c r="BF993" s="80"/>
      <c r="BG993" s="80"/>
      <c r="BH993" s="80"/>
      <c r="BI993" s="80"/>
      <c r="BJ993" s="80"/>
      <c r="BK993" s="80"/>
      <c r="BL993" s="80"/>
      <c r="BM993" s="80"/>
      <c r="BN993" s="80"/>
      <c r="BO993" s="80"/>
      <c r="BP993" s="80"/>
      <c r="BQ993" s="80"/>
      <c r="BR993" s="80"/>
      <c r="BS993" s="80"/>
      <c r="BT993" s="80"/>
      <c r="BU993" s="80"/>
      <c r="BV993" s="80"/>
      <c r="BW993" s="80"/>
      <c r="BX993" s="80"/>
      <c r="BY993" s="80"/>
      <c r="BZ993" s="80"/>
      <c r="CA993" s="80"/>
      <c r="CB993" s="80"/>
      <c r="CC993" s="80"/>
      <c r="CD993" s="80"/>
      <c r="CE993" s="80"/>
      <c r="CF993" s="80"/>
      <c r="CG993" s="80"/>
      <c r="CH993" s="80"/>
      <c r="CI993" s="80"/>
      <c r="CJ993" s="80"/>
      <c r="CK993" s="2"/>
    </row>
    <row r="994" ht="12.75" customHeight="1">
      <c r="A994" s="85">
        <f>IFERROR(__xludf.DUMMYFUNCTION("""COMPUTED_VALUE"""),990.0)</f>
        <v>990</v>
      </c>
      <c r="B994" s="85"/>
      <c r="C994" s="85"/>
      <c r="D994" s="86">
        <f>IFERROR(__xludf.DUMMYFUNCTION("""COMPUTED_VALUE"""),46162.0)</f>
        <v>46162</v>
      </c>
      <c r="E994" s="88"/>
      <c r="F994" s="85"/>
      <c r="G994" s="86"/>
      <c r="H994" s="85"/>
      <c r="I994" s="85"/>
      <c r="J994" s="85"/>
      <c r="K994" s="85"/>
      <c r="L994" s="85"/>
      <c r="M994" s="85"/>
      <c r="N994" s="85"/>
      <c r="O994" s="85"/>
      <c r="P994" s="85" t="str">
        <f>IFERROR(__xludf.DUMMYFUNCTION("""COMPUTED_VALUE"""),"53BSPA17091JBABD")</f>
        <v>53BSPA17091JBABD</v>
      </c>
      <c r="Q994" s="85" t="str">
        <f>IFERROR(__xludf.DUMMYFUNCTION("""COMPUTED_VALUE"""),"MUC TOKO ESHAL")</f>
        <v>MUC TOKO ESHAL</v>
      </c>
      <c r="R994" s="85" t="str">
        <f>IFERROR(__xludf.DUMMYFUNCTION("""COMPUTED_VALUE"""),"MUC TOKO ESHAL")</f>
        <v>MUC TOKO ESHAL</v>
      </c>
      <c r="S994" s="85" t="str">
        <f>IFERROR(__xludf.DUMMYFUNCTION("""COMPUTED_VALUE"""),"YULIANI")</f>
        <v>YULIANI</v>
      </c>
      <c r="T994" s="85" t="str">
        <f>IFERROR(__xludf.DUMMYFUNCTION("""COMPUTED_VALUE"""),"BLOK KEMAEN RT 1 RW 7 BUYUT GUNUNGJATI")</f>
        <v>BLOK KEMAEN RT 1 RW 7 BUYUT GUNUNGJATI</v>
      </c>
      <c r="U994" s="85" t="str">
        <f>IFERROR(__xludf.DUMMYFUNCTION("""COMPUTED_VALUE"""),"TAMAN KALIJAGA NO. 138")</f>
        <v>TAMAN KALIJAGA NO. 138</v>
      </c>
      <c r="V994" s="85" t="str">
        <f>IFERROR(__xludf.DUMMYFUNCTION("""COMPUTED_VALUE"""),"RT 1 R \ RW 7 B")</f>
        <v>RT 1 R \ RW 7 B</v>
      </c>
      <c r="W994" s="85" t="str">
        <f>IFERROR(__xludf.DUMMYFUNCTION("""COMPUTED_VALUE"""),"KALIJAGA")</f>
        <v>KALIJAGA</v>
      </c>
      <c r="X994" s="85" t="str">
        <f>IFERROR(__xludf.DUMMYFUNCTION("""COMPUTED_VALUE"""),"HARJAMUKTI")</f>
        <v>HARJAMUKTI</v>
      </c>
      <c r="Y994" s="85" t="str">
        <f>IFERROR(__xludf.DUMMYFUNCTION("""COMPUTED_VALUE"""),"CIREBON")</f>
        <v>CIREBON</v>
      </c>
      <c r="Z994" s="85" t="str">
        <f>IFERROR(__xludf.DUMMYFUNCTION("""COMPUTED_VALUE"""),"JAWA BARAT")</f>
        <v>JAWA BARAT</v>
      </c>
      <c r="AA994" s="85" t="str">
        <f>IFERROR(__xludf.DUMMYFUNCTION("""COMPUTED_VALUE"""),"45144")</f>
        <v>45144</v>
      </c>
      <c r="AB994" s="85" t="str">
        <f>IFERROR(__xludf.DUMMYFUNCTION("""COMPUTED_VALUE"""),"3209215708910007")</f>
        <v>3209215708910007</v>
      </c>
      <c r="AC994" s="85" t="str">
        <f>IFERROR(__xludf.DUMMYFUNCTION("""COMPUTED_VALUE"""),"76.666.514.5-426.000")</f>
        <v>76.666.514.5-426.000</v>
      </c>
      <c r="AD994" s="85" t="str">
        <f>IFERROR(__xludf.DUMMYFUNCTION("""COMPUTED_VALUE"""),"SUB ABDUL QODIR")</f>
        <v>SUB ABDUL QODIR</v>
      </c>
      <c r="AE994" s="85" t="str">
        <f>IFERROR(__xludf.DUMMYFUNCTION("""COMPUTED_VALUE"""),"SUB ABDUL QODIR")</f>
        <v>SUB ABDUL QODIR</v>
      </c>
      <c r="AF994" s="85" t="str">
        <f>IFERROR(__xludf.DUMMYFUNCTION("""COMPUTED_VALUE"""),"087860080104")</f>
        <v>087860080104</v>
      </c>
      <c r="AG994" s="85" t="str">
        <f>IFERROR(__xludf.DUMMYFUNCTION("""COMPUTED_VALUE"""),"087860080104")</f>
        <v>087860080104</v>
      </c>
      <c r="AH994" s="85" t="str">
        <f>IFERROR(__xludf.DUMMYFUNCTION("""COMPUTED_VALUE"""),"yuliani252728@gmail.com")</f>
        <v>yuliani252728@gmail.com</v>
      </c>
      <c r="AI994" s="85"/>
      <c r="AJ994" s="85"/>
      <c r="AK994" s="85"/>
      <c r="AL994" s="85"/>
      <c r="AM994" s="85" t="str">
        <f>IFERROR(__xludf.DUMMYFUNCTION("""COMPUTED_VALUE"""),"KANTOR REGIONAL III BANDUNG 40004")</f>
        <v>KANTOR REGIONAL III BANDUNG 40004</v>
      </c>
      <c r="AN994" s="85" t="str">
        <f>IFERROR(__xludf.DUMMYFUNCTION("""COMPUTED_VALUE"""),"KCU CIREBON 45100")</f>
        <v>KCU CIREBON 45100</v>
      </c>
      <c r="AO994" s="85" t="str">
        <f>IFERROR(__xludf.DUMMYFUNCTION("""COMPUTED_VALUE"""),"1905260129949")</f>
        <v>1905260129949</v>
      </c>
      <c r="AP994" s="85" t="str">
        <f>IFERROR(__xludf.DUMMYFUNCTION("""COMPUTED_VALUE"""),"19052601299490001")</f>
        <v>19052601299490001</v>
      </c>
      <c r="AQ994" s="93" t="str">
        <f>IFERROR(__xludf.DUMMYFUNCTION("""COMPUTED_VALUE"""),"413901033522531")</f>
        <v>413901033522531</v>
      </c>
      <c r="AR994" s="85"/>
      <c r="AS994" s="85"/>
      <c r="AT994" s="85" t="str">
        <f>IFERROR(__xludf.DUMMYFUNCTION("""COMPUTED_VALUE"""),"-6.7625409")</f>
        <v>-6.7625409</v>
      </c>
      <c r="AU994" s="85" t="str">
        <f>IFERROR(__xludf.DUMMYFUNCTION("""COMPUTED_VALUE"""),"108.5535304")</f>
        <v>108.5535304</v>
      </c>
      <c r="AV994" s="85"/>
      <c r="AW994" s="85"/>
      <c r="AX994" s="85"/>
      <c r="AY994" s="85"/>
      <c r="AZ994" s="85"/>
      <c r="BA994" s="85"/>
      <c r="BB994" s="85"/>
      <c r="BC994" s="85"/>
      <c r="BD994" s="85"/>
      <c r="BE994" s="85"/>
      <c r="BF994" s="85"/>
      <c r="BG994" s="85"/>
      <c r="BH994" s="85"/>
      <c r="BI994" s="85"/>
      <c r="BJ994" s="85"/>
      <c r="BK994" s="85"/>
      <c r="BL994" s="85"/>
      <c r="BM994" s="85"/>
      <c r="BN994" s="85"/>
      <c r="BO994" s="85"/>
      <c r="BP994" s="85"/>
      <c r="BQ994" s="85"/>
      <c r="BR994" s="85"/>
      <c r="BS994" s="85"/>
      <c r="BT994" s="85"/>
      <c r="BU994" s="85"/>
      <c r="BV994" s="85"/>
      <c r="BW994" s="85"/>
      <c r="BX994" s="85"/>
      <c r="BY994" s="85"/>
      <c r="BZ994" s="85"/>
      <c r="CA994" s="85"/>
      <c r="CB994" s="85"/>
      <c r="CC994" s="85"/>
      <c r="CD994" s="85"/>
      <c r="CE994" s="85"/>
      <c r="CF994" s="85"/>
      <c r="CG994" s="85"/>
      <c r="CH994" s="85"/>
      <c r="CI994" s="85"/>
      <c r="CJ994" s="85"/>
      <c r="CK994" s="2"/>
    </row>
    <row r="995" ht="12.75" customHeight="1">
      <c r="A995" s="80">
        <f>IFERROR(__xludf.DUMMYFUNCTION("""COMPUTED_VALUE"""),991.0)</f>
        <v>991</v>
      </c>
      <c r="B995" s="80"/>
      <c r="C995" s="80"/>
      <c r="D995" s="81">
        <f>IFERROR(__xludf.DUMMYFUNCTION("""COMPUTED_VALUE"""),46162.0)</f>
        <v>46162</v>
      </c>
      <c r="E995" s="82"/>
      <c r="F995" s="80"/>
      <c r="G995" s="81">
        <f>IFERROR(__xludf.DUMMYFUNCTION("""COMPUTED_VALUE"""),46171.0)</f>
        <v>46171</v>
      </c>
      <c r="H995" s="80"/>
      <c r="I995" s="80"/>
      <c r="J995" s="80"/>
      <c r="K995" s="80"/>
      <c r="L995" s="80">
        <f>IFERROR(__xludf.DUMMYFUNCTION("""COMPUTED_VALUE"""),9.0)</f>
        <v>9</v>
      </c>
      <c r="M995" s="80"/>
      <c r="N995" s="80"/>
      <c r="O995" s="80"/>
      <c r="P995" s="80" t="str">
        <f>IFERROR(__xludf.DUMMYFUNCTION("""COMPUTED_VALUE"""),"MUCSPA63471PSIND")</f>
        <v>MUCSPA63471PSIND</v>
      </c>
      <c r="Q995" s="80" t="str">
        <f>IFERROR(__xludf.DUMMYFUNCTION("""COMPUTED_VALUE"""),"MUC RIZKI")</f>
        <v>MUC RIZKI</v>
      </c>
      <c r="R995" s="80" t="str">
        <f>IFERROR(__xludf.DUMMYFUNCTION("""COMPUTED_VALUE"""),"MUC RIZKI")</f>
        <v>MUC RIZKI</v>
      </c>
      <c r="S995" s="80" t="str">
        <f>IFERROR(__xludf.DUMMYFUNCTION("""COMPUTED_VALUE"""),"MOH.SAIFUR ROCHIM")</f>
        <v>MOH.SAIFUR ROCHIM</v>
      </c>
      <c r="T995" s="80" t="str">
        <f>IFERROR(__xludf.DUMMYFUNCTION("""COMPUTED_VALUE"""),"KARANGBONG RT 4 RW 1 GEDANGAN")</f>
        <v>KARANGBONG RT 4 RW 1 GEDANGAN</v>
      </c>
      <c r="U995" s="80" t="str">
        <f>IFERROR(__xludf.DUMMYFUNCTION("""COMPUTED_VALUE"""),"JL. SUROWONGSO NO. 130 RT 4 RW 1")</f>
        <v>JL. SUROWONGSO NO. 130 RT 4 RW 1</v>
      </c>
      <c r="V995" s="80" t="str">
        <f>IFERROR(__xludf.DUMMYFUNCTION("""COMPUTED_VALUE"""),"RT 4 R \ RW 1 G")</f>
        <v>RT 4 R \ RW 1 G</v>
      </c>
      <c r="W995" s="80" t="str">
        <f>IFERROR(__xludf.DUMMYFUNCTION("""COMPUTED_VALUE"""),"KARANGBONG")</f>
        <v>KARANGBONG</v>
      </c>
      <c r="X995" s="80" t="str">
        <f>IFERROR(__xludf.DUMMYFUNCTION("""COMPUTED_VALUE"""),"GEDANGAN")</f>
        <v>GEDANGAN</v>
      </c>
      <c r="Y995" s="80" t="str">
        <f>IFERROR(__xludf.DUMMYFUNCTION("""COMPUTED_VALUE"""),"KAB. SIDOARJO")</f>
        <v>KAB. SIDOARJO</v>
      </c>
      <c r="Z995" s="80" t="str">
        <f>IFERROR(__xludf.DUMMYFUNCTION("""COMPUTED_VALUE"""),"JAWA TIMUR")</f>
        <v>JAWA TIMUR</v>
      </c>
      <c r="AA995" s="80" t="str">
        <f>IFERROR(__xludf.DUMMYFUNCTION("""COMPUTED_VALUE"""),"61254")</f>
        <v>61254</v>
      </c>
      <c r="AB995" s="80" t="str">
        <f>IFERROR(__xludf.DUMMYFUNCTION("""COMPUTED_VALUE"""),"3515160104810005")</f>
        <v>3515160104810005</v>
      </c>
      <c r="AC995" s="80" t="str">
        <f>IFERROR(__xludf.DUMMYFUNCTION("""COMPUTED_VALUE"""),"73.229.984.7-643.000")</f>
        <v>73.229.984.7-643.000</v>
      </c>
      <c r="AD995" s="80" t="str">
        <f>IFERROR(__xludf.DUMMYFUNCTION("""COMPUTED_VALUE"""),"BU RINI KC SIDOARJO")</f>
        <v>BU RINI KC SIDOARJO</v>
      </c>
      <c r="AE995" s="80" t="str">
        <f>IFERROR(__xludf.DUMMYFUNCTION("""COMPUTED_VALUE"""),"BU RINI KC SIDOARJO")</f>
        <v>BU RINI KC SIDOARJO</v>
      </c>
      <c r="AF995" s="80" t="str">
        <f>IFERROR(__xludf.DUMMYFUNCTION("""COMPUTED_VALUE"""),"085706653373")</f>
        <v>085706653373</v>
      </c>
      <c r="AG995" s="80" t="str">
        <f>IFERROR(__xludf.DUMMYFUNCTION("""COMPUTED_VALUE"""),"085706653373")</f>
        <v>085706653373</v>
      </c>
      <c r="AH995" s="80" t="str">
        <f>IFERROR(__xludf.DUMMYFUNCTION("""COMPUTED_VALUE"""),"saifurrochim81@gmail.com")</f>
        <v>saifurrochim81@gmail.com</v>
      </c>
      <c r="AI995" s="80" t="str">
        <f>IFERROR(__xludf.DUMMYFUNCTION("""COMPUTED_VALUE"""),"61254SQ")</f>
        <v>61254SQ</v>
      </c>
      <c r="AJ995" s="80" t="str">
        <f>IFERROR(__xludf.DUMMYFUNCTION("""COMPUTED_VALUE"""),"6a18d9642eaf2104920776e6")</f>
        <v>6a18d9642eaf2104920776e6</v>
      </c>
      <c r="AK995" s="80" t="str">
        <f>IFERROR(__xludf.DUMMYFUNCTION("""COMPUTED_VALUE"""),"saifurrochim81@gmail.com")</f>
        <v>saifurrochim81@gmail.com</v>
      </c>
      <c r="AL995" s="80" t="str">
        <f>IFERROR(__xludf.DUMMYFUNCTION("""COMPUTED_VALUE"""),"#Muc61254SQ$")</f>
        <v>#Muc61254SQ$</v>
      </c>
      <c r="AM995" s="80" t="str">
        <f>IFERROR(__xludf.DUMMYFUNCTION("""COMPUTED_VALUE"""),"KANTOR REGIONAL V SURABAYA 60004")</f>
        <v>KANTOR REGIONAL V SURABAYA 60004</v>
      </c>
      <c r="AN995" s="80" t="str">
        <f>IFERROR(__xludf.DUMMYFUNCTION("""COMPUTED_VALUE"""),"KC SIDOARJO 61200")</f>
        <v>KC SIDOARJO 61200</v>
      </c>
      <c r="AO995" s="80" t="str">
        <f>IFERROR(__xludf.DUMMYFUNCTION("""COMPUTED_VALUE"""),"2005260089733")</f>
        <v>2005260089733</v>
      </c>
      <c r="AP995" s="80" t="str">
        <f>IFERROR(__xludf.DUMMYFUNCTION("""COMPUTED_VALUE"""),"20052600897330001")</f>
        <v>20052600897330001</v>
      </c>
      <c r="AQ995" s="83" t="str">
        <f>IFERROR(__xludf.DUMMYFUNCTION("""COMPUTED_VALUE"""),"0625634664")</f>
        <v>0625634664</v>
      </c>
      <c r="AR995" s="80" t="str">
        <f>IFERROR(__xludf.DUMMYFUNCTION("""COMPUTED_VALUE"""),"BNI")</f>
        <v>BNI</v>
      </c>
      <c r="AS995" s="80" t="str">
        <f>IFERROR(__xludf.DUMMYFUNCTION("""COMPUTED_VALUE"""),"MOCH SAIFUR ROCHIM")</f>
        <v>MOCH SAIFUR ROCHIM</v>
      </c>
      <c r="AT995" s="80" t="str">
        <f>IFERROR(__xludf.DUMMYFUNCTION("""COMPUTED_VALUE"""),"-7.4084822")</f>
        <v>-7.4084822</v>
      </c>
      <c r="AU995" s="80" t="str">
        <f>IFERROR(__xludf.DUMMYFUNCTION("""COMPUTED_VALUE"""),"112.7142573")</f>
        <v>112.7142573</v>
      </c>
      <c r="AV995" s="80"/>
      <c r="AW995" s="80"/>
      <c r="AX995" s="80"/>
      <c r="AY995" s="80"/>
      <c r="AZ995" s="80"/>
      <c r="BA995" s="80"/>
      <c r="BB995" s="80"/>
      <c r="BC995" s="80"/>
      <c r="BD995" s="80"/>
      <c r="BE995" s="80"/>
      <c r="BF995" s="80"/>
      <c r="BG995" s="80"/>
      <c r="BH995" s="80"/>
      <c r="BI995" s="80"/>
      <c r="BJ995" s="80"/>
      <c r="BK995" s="80"/>
      <c r="BL995" s="80"/>
      <c r="BM995" s="80"/>
      <c r="BN995" s="80"/>
      <c r="BO995" s="80"/>
      <c r="BP995" s="80"/>
      <c r="BQ995" s="80"/>
      <c r="BR995" s="80"/>
      <c r="BS995" s="80"/>
      <c r="BT995" s="80"/>
      <c r="BU995" s="80"/>
      <c r="BV995" s="80"/>
      <c r="BW995" s="80"/>
      <c r="BX995" s="80"/>
      <c r="BY995" s="80"/>
      <c r="BZ995" s="80"/>
      <c r="CA995" s="80"/>
      <c r="CB995" s="80"/>
      <c r="CC995" s="80"/>
      <c r="CD995" s="80"/>
      <c r="CE995" s="80"/>
      <c r="CF995" s="80"/>
      <c r="CG995" s="80"/>
      <c r="CH995" s="80"/>
      <c r="CI995" s="80"/>
      <c r="CJ995" s="80"/>
      <c r="CK995" s="2"/>
    </row>
    <row r="996" ht="12.75" customHeight="1">
      <c r="A996" s="85">
        <f>IFERROR(__xludf.DUMMYFUNCTION("""COMPUTED_VALUE"""),992.0)</f>
        <v>992</v>
      </c>
      <c r="B996" s="85"/>
      <c r="C996" s="85"/>
      <c r="D996" s="86">
        <f>IFERROR(__xludf.DUMMYFUNCTION("""COMPUTED_VALUE"""),46163.0)</f>
        <v>46163</v>
      </c>
      <c r="E996" s="88"/>
      <c r="F996" s="85"/>
      <c r="G996" s="86">
        <f>IFERROR(__xludf.DUMMYFUNCTION("""COMPUTED_VALUE"""),46181.0)</f>
        <v>46181</v>
      </c>
      <c r="H996" s="85"/>
      <c r="I996" s="85"/>
      <c r="J996" s="85"/>
      <c r="K996" s="85"/>
      <c r="L996" s="85">
        <f>IFERROR(__xludf.DUMMYFUNCTION("""COMPUTED_VALUE"""),18.0)</f>
        <v>18</v>
      </c>
      <c r="M996" s="85"/>
      <c r="N996" s="85"/>
      <c r="O996" s="85"/>
      <c r="P996" s="85" t="str">
        <f>IFERROR(__xludf.DUMMYFUNCTION("""COMPUTED_VALUE"""),"53BSPA17057JBNDS")</f>
        <v>53BSPA17057JBNDS</v>
      </c>
      <c r="Q996" s="85" t="str">
        <f>IFERROR(__xludf.DUMMYFUNCTION("""COMPUTED_VALUE"""),"MUC MANUNGGAL")</f>
        <v>MUC MANUNGGAL</v>
      </c>
      <c r="R996" s="85" t="str">
        <f>IFERROR(__xludf.DUMMYFUNCTION("""COMPUTED_VALUE"""),"MUC MANUNGGAL")</f>
        <v>MUC MANUNGGAL</v>
      </c>
      <c r="S996" s="85" t="str">
        <f>IFERROR(__xludf.DUMMYFUNCTION("""COMPUTED_VALUE"""),"H.SENO HADI SUWITO")</f>
        <v>H.SENO HADI SUWITO</v>
      </c>
      <c r="T996" s="85" t="str">
        <f>IFERROR(__xludf.DUMMYFUNCTION("""COMPUTED_VALUE"""),"JL. KAMPER BTN PEGAGAN RT 001 RW 005 PEGANGAN PALIMANAN KAB. CIREBON JAWA BARAT")</f>
        <v>JL. KAMPER BTN PEGAGAN RT 001 RW 005 PEGANGAN PALIMANAN KAB. CIREBON JAWA BARAT</v>
      </c>
      <c r="U996" s="85" t="str">
        <f>IFERROR(__xludf.DUMMYFUNCTION("""COMPUTED_VALUE"""),"JLN TUNGGAL PEGAGAN BTN BUMI ABDI NEGARA BLOK B5 NO 12 PEGAGAN PALIMANAN CIREBON")</f>
        <v>JLN TUNGGAL PEGAGAN BTN BUMI ABDI NEGARA BLOK B5 NO 12 PEGAGAN PALIMANAN CIREBON</v>
      </c>
      <c r="V996" s="85" t="str">
        <f>IFERROR(__xludf.DUMMYFUNCTION("""COMPUTED_VALUE"""),"RT 001 \ RW 005")</f>
        <v>RT 001 \ RW 005</v>
      </c>
      <c r="W996" s="85" t="str">
        <f>IFERROR(__xludf.DUMMYFUNCTION("""COMPUTED_VALUE"""),"PEGAGAN")</f>
        <v>PEGAGAN</v>
      </c>
      <c r="X996" s="85" t="str">
        <f>IFERROR(__xludf.DUMMYFUNCTION("""COMPUTED_VALUE"""),"PALIMANAN")</f>
        <v>PALIMANAN</v>
      </c>
      <c r="Y996" s="85" t="str">
        <f>IFERROR(__xludf.DUMMYFUNCTION("""COMPUTED_VALUE"""),"CIREBON")</f>
        <v>CIREBON</v>
      </c>
      <c r="Z996" s="85" t="str">
        <f>IFERROR(__xludf.DUMMYFUNCTION("""COMPUTED_VALUE"""),"JABAR")</f>
        <v>JABAR</v>
      </c>
      <c r="AA996" s="85" t="str">
        <f>IFERROR(__xludf.DUMMYFUNCTION("""COMPUTED_VALUE"""),"45161")</f>
        <v>45161</v>
      </c>
      <c r="AB996" s="85" t="str">
        <f>IFERROR(__xludf.DUMMYFUNCTION("""COMPUTED_VALUE"""),"3209171605690004")</f>
        <v>3209171605690004</v>
      </c>
      <c r="AC996" s="85" t="str">
        <f>IFERROR(__xludf.DUMMYFUNCTION("""COMPUTED_VALUE"""),"24.872.001.3-426.000")</f>
        <v>24.872.001.3-426.000</v>
      </c>
      <c r="AD996" s="85" t="str">
        <f>IFERROR(__xludf.DUMMYFUNCTION("""COMPUTED_VALUE"""),"PAK ADE ADANG")</f>
        <v>PAK ADE ADANG</v>
      </c>
      <c r="AE996" s="85" t="str">
        <f>IFERROR(__xludf.DUMMYFUNCTION("""COMPUTED_VALUE"""),"PAK ADE ADANG")</f>
        <v>PAK ADE ADANG</v>
      </c>
      <c r="AF996" s="85" t="str">
        <f>IFERROR(__xludf.DUMMYFUNCTION("""COMPUTED_VALUE"""),"087829691157")</f>
        <v>087829691157</v>
      </c>
      <c r="AG996" s="85" t="str">
        <f>IFERROR(__xludf.DUMMYFUNCTION("""COMPUTED_VALUE"""),"087829691157")</f>
        <v>087829691157</v>
      </c>
      <c r="AH996" s="85" t="str">
        <f>IFERROR(__xludf.DUMMYFUNCTION("""COMPUTED_VALUE"""),"senohadi57@gmail.com")</f>
        <v>senohadi57@gmail.com</v>
      </c>
      <c r="AI996" s="85" t="str">
        <f>IFERROR(__xludf.DUMMYFUNCTION("""COMPUTED_VALUE"""),"45661S4")</f>
        <v>45661S4</v>
      </c>
      <c r="AJ996" s="85" t="str">
        <f>IFERROR(__xludf.DUMMYFUNCTION("""COMPUTED_VALUE"""),"6a2409043bd842a1f8069d54")</f>
        <v>6a2409043bd842a1f8069d54</v>
      </c>
      <c r="AK996" s="85" t="str">
        <f>IFERROR(__xludf.DUMMYFUNCTION("""COMPUTED_VALUE"""),"senohadi57@gmail.com")</f>
        <v>senohadi57@gmail.com</v>
      </c>
      <c r="AL996" s="85" t="str">
        <f>IFERROR(__xludf.DUMMYFUNCTION("""COMPUTED_VALUE"""),"#Muc45661S4$")</f>
        <v>#Muc45661S4$</v>
      </c>
      <c r="AM996" s="85" t="str">
        <f>IFERROR(__xludf.DUMMYFUNCTION("""COMPUTED_VALUE"""),"KANTOR REGIONAL III BANDUNG 40004")</f>
        <v>KANTOR REGIONAL III BANDUNG 40004</v>
      </c>
      <c r="AN996" s="85" t="str">
        <f>IFERROR(__xludf.DUMMYFUNCTION("""COMPUTED_VALUE"""),"KCU CIREBON 45100")</f>
        <v>KCU CIREBON 45100</v>
      </c>
      <c r="AO996" s="85" t="str">
        <f>IFERROR(__xludf.DUMMYFUNCTION("""COMPUTED_VALUE"""),"2105260070992")</f>
        <v>2105260070992</v>
      </c>
      <c r="AP996" s="85" t="str">
        <f>IFERROR(__xludf.DUMMYFUNCTION("""COMPUTED_VALUE"""),"21052600709920001")</f>
        <v>21052600709920001</v>
      </c>
      <c r="AQ996" s="93" t="str">
        <f>IFERROR(__xludf.DUMMYFUNCTION("""COMPUTED_VALUE"""),"0897718600")</f>
        <v>0897718600</v>
      </c>
      <c r="AR996" s="85" t="str">
        <f>IFERROR(__xludf.DUMMYFUNCTION("""COMPUTED_VALUE"""),"BNI")</f>
        <v>BNI</v>
      </c>
      <c r="AS996" s="85" t="str">
        <f>IFERROR(__xludf.DUMMYFUNCTION("""COMPUTED_VALUE"""),"0897718600")</f>
        <v>0897718600</v>
      </c>
      <c r="AT996" s="85" t="str">
        <f>IFERROR(__xludf.DUMMYFUNCTION("""COMPUTED_VALUE"""),"-6.6957046")</f>
        <v>-6.6957046</v>
      </c>
      <c r="AU996" s="85" t="str">
        <f>IFERROR(__xludf.DUMMYFUNCTION("""COMPUTED_VALUE"""),"108.4282746")</f>
        <v>108.4282746</v>
      </c>
      <c r="AV996" s="85"/>
      <c r="AW996" s="85"/>
      <c r="AX996" s="85"/>
      <c r="AY996" s="85"/>
      <c r="AZ996" s="85"/>
      <c r="BA996" s="85"/>
      <c r="BB996" s="85"/>
      <c r="BC996" s="85"/>
      <c r="BD996" s="85"/>
      <c r="BE996" s="85"/>
      <c r="BF996" s="85"/>
      <c r="BG996" s="85"/>
      <c r="BH996" s="85"/>
      <c r="BI996" s="85"/>
      <c r="BJ996" s="85"/>
      <c r="BK996" s="85"/>
      <c r="BL996" s="85"/>
      <c r="BM996" s="85"/>
      <c r="BN996" s="85"/>
      <c r="BO996" s="85"/>
      <c r="BP996" s="85"/>
      <c r="BQ996" s="85"/>
      <c r="BR996" s="85"/>
      <c r="BS996" s="85"/>
      <c r="BT996" s="85"/>
      <c r="BU996" s="85"/>
      <c r="BV996" s="85"/>
      <c r="BW996" s="85"/>
      <c r="BX996" s="85"/>
      <c r="BY996" s="85"/>
      <c r="BZ996" s="85"/>
      <c r="CA996" s="85"/>
      <c r="CB996" s="85"/>
      <c r="CC996" s="85"/>
      <c r="CD996" s="85"/>
      <c r="CE996" s="85"/>
      <c r="CF996" s="85"/>
      <c r="CG996" s="85"/>
      <c r="CH996" s="85"/>
      <c r="CI996" s="85"/>
      <c r="CJ996" s="85"/>
      <c r="CK996" s="2"/>
    </row>
    <row r="997" ht="12.75" customHeight="1">
      <c r="A997" s="80">
        <f>IFERROR(__xludf.DUMMYFUNCTION("""COMPUTED_VALUE"""),993.0)</f>
        <v>993</v>
      </c>
      <c r="B997" s="80"/>
      <c r="C997" s="80"/>
      <c r="D997" s="81">
        <f>IFERROR(__xludf.DUMMYFUNCTION("""COMPUTED_VALUE"""),46163.0)</f>
        <v>46163</v>
      </c>
      <c r="E997" s="82"/>
      <c r="F997" s="80"/>
      <c r="G997" s="81"/>
      <c r="H997" s="80"/>
      <c r="I997" s="80"/>
      <c r="J997" s="80"/>
      <c r="K997" s="80"/>
      <c r="L997" s="80"/>
      <c r="M997" s="80"/>
      <c r="N997" s="80"/>
      <c r="O997" s="80"/>
      <c r="P997" s="80" t="str">
        <f>IFERROR(__xludf.DUMMYFUNCTION("""COMPUTED_VALUE"""),"MUCSPA63472PSIND")</f>
        <v>MUCSPA63472PSIND</v>
      </c>
      <c r="Q997" s="80" t="str">
        <f>IFERROR(__xludf.DUMMYFUNCTION("""COMPUTED_VALUE"""),"MUC DE KERATON KOSAMBI")</f>
        <v>MUC DE KERATON KOSAMBI</v>
      </c>
      <c r="R997" s="80" t="str">
        <f>IFERROR(__xludf.DUMMYFUNCTION("""COMPUTED_VALUE"""),"MUC DE KERATON KOSAMBI")</f>
        <v>MUC DE KERATON KOSAMBI</v>
      </c>
      <c r="S997" s="80" t="str">
        <f>IFERROR(__xludf.DUMMYFUNCTION("""COMPUTED_VALUE"""),"LARASSATI")</f>
        <v>LARASSATI</v>
      </c>
      <c r="T997" s="80" t="str">
        <f>IFERROR(__xludf.DUMMYFUNCTION("""COMPUTED_VALUE"""),"PERUM DE KERATON BLOK Q.10 NO 11 RT.012 RW.006, PANCAWATI, KLARI, KAB. KARAWANG JAWA BARAT")</f>
        <v>PERUM DE KERATON BLOK Q.10 NO 11 RT.012 RW.006, PANCAWATI, KLARI, KAB. KARAWANG JAWA BARAT</v>
      </c>
      <c r="U997" s="80" t="str">
        <f>IFERROR(__xludf.DUMMYFUNCTION("""COMPUTED_VALUE"""),"Perum. De Keraton Blok Q10 No. 11")</f>
        <v>Perum. De Keraton Blok Q10 No. 11</v>
      </c>
      <c r="V997" s="80" t="str">
        <f>IFERROR(__xludf.DUMMYFUNCTION("""COMPUTED_VALUE"""),"RT.012 \ RW.006")</f>
        <v>RT.012 \ RW.006</v>
      </c>
      <c r="W997" s="80" t="str">
        <f>IFERROR(__xludf.DUMMYFUNCTION("""COMPUTED_VALUE"""),"Pancawati")</f>
        <v>Pancawati</v>
      </c>
      <c r="X997" s="80" t="str">
        <f>IFERROR(__xludf.DUMMYFUNCTION("""COMPUTED_VALUE"""),"Klari")</f>
        <v>Klari</v>
      </c>
      <c r="Y997" s="80" t="str">
        <f>IFERROR(__xludf.DUMMYFUNCTION("""COMPUTED_VALUE"""),"Karawang")</f>
        <v>Karawang</v>
      </c>
      <c r="Z997" s="80" t="str">
        <f>IFERROR(__xludf.DUMMYFUNCTION("""COMPUTED_VALUE"""),"Jawa Barat")</f>
        <v>Jawa Barat</v>
      </c>
      <c r="AA997" s="80" t="str">
        <f>IFERROR(__xludf.DUMMYFUNCTION("""COMPUTED_VALUE"""),"41371")</f>
        <v>41371</v>
      </c>
      <c r="AB997" s="80" t="str">
        <f>IFERROR(__xludf.DUMMYFUNCTION("""COMPUTED_VALUE"""),"3215135607990004")</f>
        <v>3215135607990004</v>
      </c>
      <c r="AC997" s="80" t="str">
        <f>IFERROR(__xludf.DUMMYFUNCTION("""COMPUTED_VALUE"""),"92.448.851.4-433.000")</f>
        <v>92.448.851.4-433.000</v>
      </c>
      <c r="AD997" s="80" t="str">
        <f>IFERROR(__xludf.DUMMYFUNCTION("""COMPUTED_VALUE"""),"BU GITA KCU KARAWANG")</f>
        <v>BU GITA KCU KARAWANG</v>
      </c>
      <c r="AE997" s="80" t="str">
        <f>IFERROR(__xludf.DUMMYFUNCTION("""COMPUTED_VALUE"""),"BU GITA KCU KARAWANG")</f>
        <v>BU GITA KCU KARAWANG</v>
      </c>
      <c r="AF997" s="80" t="str">
        <f>IFERROR(__xludf.DUMMYFUNCTION("""COMPUTED_VALUE"""),"0895395900747")</f>
        <v>0895395900747</v>
      </c>
      <c r="AG997" s="80" t="str">
        <f>IFERROR(__xludf.DUMMYFUNCTION("""COMPUTED_VALUE"""),"0895395900747")</f>
        <v>0895395900747</v>
      </c>
      <c r="AH997" s="80" t="str">
        <f>IFERROR(__xludf.DUMMYFUNCTION("""COMPUTED_VALUE"""),"larassati123aja@gmail.com")</f>
        <v>larassati123aja@gmail.com</v>
      </c>
      <c r="AI997" s="80"/>
      <c r="AJ997" s="80"/>
      <c r="AK997" s="80"/>
      <c r="AL997" s="80"/>
      <c r="AM997" s="80" t="str">
        <f>IFERROR(__xludf.DUMMYFUNCTION("""COMPUTED_VALUE"""),"KANTOR REGIONAL III BANDUNG 40004")</f>
        <v>KANTOR REGIONAL III BANDUNG 40004</v>
      </c>
      <c r="AN997" s="80" t="str">
        <f>IFERROR(__xludf.DUMMYFUNCTION("""COMPUTED_VALUE"""),"KCU KARAWANG 41300")</f>
        <v>KCU KARAWANG 41300</v>
      </c>
      <c r="AO997" s="80" t="str">
        <f>IFERROR(__xludf.DUMMYFUNCTION("""COMPUTED_VALUE"""),"0608230014438")</f>
        <v>0608230014438</v>
      </c>
      <c r="AP997" s="80" t="str">
        <f>IFERROR(__xludf.DUMMYFUNCTION("""COMPUTED_VALUE"""),"06082300144380001")</f>
        <v>06082300144380001</v>
      </c>
      <c r="AQ997" s="83" t="str">
        <f>IFERROR(__xludf.DUMMYFUNCTION("""COMPUTED_VALUE"""),"3780119062")</f>
        <v>3780119062</v>
      </c>
      <c r="AR997" s="80" t="str">
        <f>IFERROR(__xludf.DUMMYFUNCTION("""COMPUTED_VALUE"""),"BCA")</f>
        <v>BCA</v>
      </c>
      <c r="AS997" s="80" t="str">
        <f>IFERROR(__xludf.DUMMYFUNCTION("""COMPUTED_VALUE"""),"Larassati ")</f>
        <v>Larassati </v>
      </c>
      <c r="AT997" s="80" t="str">
        <f>IFERROR(__xludf.DUMMYFUNCTION("""COMPUTED_VALUE"""),"-6.3580657")</f>
        <v>-6.3580657</v>
      </c>
      <c r="AU997" s="80" t="str">
        <f>IFERROR(__xludf.DUMMYFUNCTION("""COMPUTED_VALUE"""),"107.3813246")</f>
        <v>107.3813246</v>
      </c>
      <c r="AV997" s="80"/>
      <c r="AW997" s="80"/>
      <c r="AX997" s="80"/>
      <c r="AY997" s="80"/>
      <c r="AZ997" s="80"/>
      <c r="BA997" s="80"/>
      <c r="BB997" s="80"/>
      <c r="BC997" s="80"/>
      <c r="BD997" s="80"/>
      <c r="BE997" s="80"/>
      <c r="BF997" s="80"/>
      <c r="BG997" s="80"/>
      <c r="BH997" s="80"/>
      <c r="BI997" s="80"/>
      <c r="BJ997" s="80"/>
      <c r="BK997" s="80"/>
      <c r="BL997" s="80"/>
      <c r="BM997" s="80"/>
      <c r="BN997" s="80"/>
      <c r="BO997" s="80"/>
      <c r="BP997" s="80"/>
      <c r="BQ997" s="80"/>
      <c r="BR997" s="80"/>
      <c r="BS997" s="80"/>
      <c r="BT997" s="80"/>
      <c r="BU997" s="80"/>
      <c r="BV997" s="80"/>
      <c r="BW997" s="80"/>
      <c r="BX997" s="80"/>
      <c r="BY997" s="80"/>
      <c r="BZ997" s="80"/>
      <c r="CA997" s="80"/>
      <c r="CB997" s="80"/>
      <c r="CC997" s="80"/>
      <c r="CD997" s="80"/>
      <c r="CE997" s="80"/>
      <c r="CF997" s="80"/>
      <c r="CG997" s="80"/>
      <c r="CH997" s="80"/>
      <c r="CI997" s="80"/>
      <c r="CJ997" s="80"/>
      <c r="CK997" s="2"/>
    </row>
    <row r="998" ht="12.75" customHeight="1">
      <c r="A998" s="85">
        <f>IFERROR(__xludf.DUMMYFUNCTION("""COMPUTED_VALUE"""),994.0)</f>
        <v>994</v>
      </c>
      <c r="B998" s="85"/>
      <c r="C998" s="85"/>
      <c r="D998" s="86">
        <f>IFERROR(__xludf.DUMMYFUNCTION("""COMPUTED_VALUE"""),46164.0)</f>
        <v>46164</v>
      </c>
      <c r="E998" s="88"/>
      <c r="F998" s="85"/>
      <c r="G998" s="86">
        <f>IFERROR(__xludf.DUMMYFUNCTION("""COMPUTED_VALUE"""),46230.0)</f>
        <v>46230</v>
      </c>
      <c r="H998" s="85"/>
      <c r="I998" s="85"/>
      <c r="J998" s="85"/>
      <c r="K998" s="85"/>
      <c r="L998" s="85">
        <f>IFERROR(__xludf.DUMMYFUNCTION("""COMPUTED_VALUE"""),66.0)</f>
        <v>66</v>
      </c>
      <c r="M998" s="85"/>
      <c r="N998" s="85"/>
      <c r="O998" s="85"/>
      <c r="P998" s="85" t="str">
        <f>IFERROR(__xludf.DUMMYFUNCTION("""COMPUTED_VALUE"""),"53BSPA29449JBCUM")</f>
        <v>53BSPA29449JBCUM</v>
      </c>
      <c r="Q998" s="85" t="str">
        <f>IFERROR(__xludf.DUMMYFUNCTION("""COMPUTED_VALUE"""),"MUC LOKET LISTRIK")</f>
        <v>MUC LOKET LISTRIK</v>
      </c>
      <c r="R998" s="85" t="str">
        <f>IFERROR(__xludf.DUMMYFUNCTION("""COMPUTED_VALUE"""),"MUC LOKET LISTRIK")</f>
        <v>MUC LOKET LISTRIK</v>
      </c>
      <c r="S998" s="85" t="str">
        <f>IFERROR(__xludf.DUMMYFUNCTION("""COMPUTED_VALUE"""),"ANIS SAFA'ATIN")</f>
        <v>ANIS SAFA'ATIN</v>
      </c>
      <c r="T998" s="85" t="str">
        <f>IFERROR(__xludf.DUMMYFUNCTION("""COMPUTED_VALUE"""),"DK KRAJAN RT 8 RW 1 ALASDOWO DUKUHSETI")</f>
        <v>DK KRAJAN RT 8 RW 1 ALASDOWO DUKUHSETI</v>
      </c>
      <c r="U998" s="85" t="str">
        <f>IFERROR(__xludf.DUMMYFUNCTION("""COMPUTED_VALUE"""),"DESA ALASDOWO RT 8 RW 1")</f>
        <v>DESA ALASDOWO RT 8 RW 1</v>
      </c>
      <c r="V998" s="85" t="str">
        <f>IFERROR(__xludf.DUMMYFUNCTION("""COMPUTED_VALUE"""),"RT 8 R \ RW 1 A")</f>
        <v>RT 8 R \ RW 1 A</v>
      </c>
      <c r="W998" s="85" t="str">
        <f>IFERROR(__xludf.DUMMYFUNCTION("""COMPUTED_VALUE"""),"ALASDOWO")</f>
        <v>ALASDOWO</v>
      </c>
      <c r="X998" s="85" t="str">
        <f>IFERROR(__xludf.DUMMYFUNCTION("""COMPUTED_VALUE"""),"DUKUHSETI")</f>
        <v>DUKUHSETI</v>
      </c>
      <c r="Y998" s="85" t="str">
        <f>IFERROR(__xludf.DUMMYFUNCTION("""COMPUTED_VALUE"""),"KAB. PATI")</f>
        <v>KAB. PATI</v>
      </c>
      <c r="Z998" s="85" t="str">
        <f>IFERROR(__xludf.DUMMYFUNCTION("""COMPUTED_VALUE"""),"JAWA TENGAH")</f>
        <v>JAWA TENGAH</v>
      </c>
      <c r="AA998" s="85" t="str">
        <f>IFERROR(__xludf.DUMMYFUNCTION("""COMPUTED_VALUE"""),"59158")</f>
        <v>59158</v>
      </c>
      <c r="AB998" s="85" t="str">
        <f>IFERROR(__xludf.DUMMYFUNCTION("""COMPUTED_VALUE"""),"3318205809690001")</f>
        <v>3318205809690001</v>
      </c>
      <c r="AC998" s="85" t="str">
        <f>IFERROR(__xludf.DUMMYFUNCTION("""COMPUTED_VALUE"""),"33.182.058.0-969.0001")</f>
        <v>33.182.058.0-969.0001</v>
      </c>
      <c r="AD998" s="85" t="str">
        <f>IFERROR(__xludf.DUMMYFUNCTION("""COMPUTED_VALUE"""),"CUM")</f>
        <v>CUM</v>
      </c>
      <c r="AE998" s="85" t="str">
        <f>IFERROR(__xludf.DUMMYFUNCTION("""COMPUTED_VALUE"""),"CUM")</f>
        <v>CUM</v>
      </c>
      <c r="AF998" s="85" t="str">
        <f>IFERROR(__xludf.DUMMYFUNCTION("""COMPUTED_VALUE"""),"085325079370")</f>
        <v>085325079370</v>
      </c>
      <c r="AG998" s="85" t="str">
        <f>IFERROR(__xludf.DUMMYFUNCTION("""COMPUTED_VALUE"""),"085325079370")</f>
        <v>085325079370</v>
      </c>
      <c r="AH998" s="85" t="str">
        <f>IFERROR(__xludf.DUMMYFUNCTION("""COMPUTED_VALUE"""),"anismarcella79@gmail.com")</f>
        <v>anismarcella79@gmail.com</v>
      </c>
      <c r="AI998" s="85" t="str">
        <f>IFERROR(__xludf.DUMMYFUNCTION("""COMPUTED_VALUE"""),"59158S2")</f>
        <v>59158S2</v>
      </c>
      <c r="AJ998" s="85" t="str">
        <f>IFERROR(__xludf.DUMMYFUNCTION("""COMPUTED_VALUE"""),"6a647fd172a992480d048409")</f>
        <v>6a647fd172a992480d048409</v>
      </c>
      <c r="AK998" s="85" t="str">
        <f>IFERROR(__xludf.DUMMYFUNCTION("""COMPUTED_VALUE"""),"anissafaatin@outlook.com")</f>
        <v>anissafaatin@outlook.com</v>
      </c>
      <c r="AL998" s="85" t="str">
        <f>IFERROR(__xludf.DUMMYFUNCTION("""COMPUTED_VALUE"""),"#Muc59158S2$")</f>
        <v>#Muc59158S2$</v>
      </c>
      <c r="AM998" s="85" t="str">
        <f>IFERROR(__xludf.DUMMYFUNCTION("""COMPUTED_VALUE"""),"KANTOR REGIONAL IV SEMARANG 50004")</f>
        <v>KANTOR REGIONAL IV SEMARANG 50004</v>
      </c>
      <c r="AN998" s="85" t="str">
        <f>IFERROR(__xludf.DUMMYFUNCTION("""COMPUTED_VALUE"""),"KC PATI 59100")</f>
        <v>KC PATI 59100</v>
      </c>
      <c r="AO998" s="85" t="str">
        <f>IFERROR(__xludf.DUMMYFUNCTION("""COMPUTED_VALUE"""),"2005260100099")</f>
        <v>2005260100099</v>
      </c>
      <c r="AP998" s="85" t="str">
        <f>IFERROR(__xludf.DUMMYFUNCTION("""COMPUTED_VALUE"""),"20052601000990001")</f>
        <v>20052601000990001</v>
      </c>
      <c r="AQ998" s="93" t="str">
        <f>IFERROR(__xludf.DUMMYFUNCTION("""COMPUTED_VALUE"""),"5934010165687535")</f>
        <v>5934010165687535</v>
      </c>
      <c r="AR998" s="85" t="str">
        <f>IFERROR(__xludf.DUMMYFUNCTION("""COMPUTED_VALUE"""),"BRI ")</f>
        <v>BRI </v>
      </c>
      <c r="AS998" s="85" t="str">
        <f>IFERROR(__xludf.DUMMYFUNCTION("""COMPUTED_VALUE"""),"ANIS SAFA'ATIN")</f>
        <v>ANIS SAFA'ATIN</v>
      </c>
      <c r="AT998" s="85" t="str">
        <f>IFERROR(__xludf.DUMMYFUNCTION("""COMPUTED_VALUE"""),"-6.483707")</f>
        <v>-6.483707</v>
      </c>
      <c r="AU998" s="85" t="str">
        <f>IFERROR(__xludf.DUMMYFUNCTION("""COMPUTED_VALUE"""),"111.0390199")</f>
        <v>111.0390199</v>
      </c>
      <c r="AV998" s="85"/>
      <c r="AW998" s="85"/>
      <c r="AX998" s="85"/>
      <c r="AY998" s="85"/>
      <c r="AZ998" s="85"/>
      <c r="BA998" s="85"/>
      <c r="BB998" s="85"/>
      <c r="BC998" s="85"/>
      <c r="BD998" s="85"/>
      <c r="BE998" s="85"/>
      <c r="BF998" s="85"/>
      <c r="BG998" s="85"/>
      <c r="BH998" s="85"/>
      <c r="BI998" s="85"/>
      <c r="BJ998" s="85"/>
      <c r="BK998" s="85"/>
      <c r="BL998" s="85"/>
      <c r="BM998" s="85"/>
      <c r="BN998" s="85"/>
      <c r="BO998" s="85"/>
      <c r="BP998" s="85"/>
      <c r="BQ998" s="85"/>
      <c r="BR998" s="85"/>
      <c r="BS998" s="85"/>
      <c r="BT998" s="85"/>
      <c r="BU998" s="85"/>
      <c r="BV998" s="85"/>
      <c r="BW998" s="85"/>
      <c r="BX998" s="85"/>
      <c r="BY998" s="85"/>
      <c r="BZ998" s="85"/>
      <c r="CA998" s="85"/>
      <c r="CB998" s="85"/>
      <c r="CC998" s="85"/>
      <c r="CD998" s="85"/>
      <c r="CE998" s="85"/>
      <c r="CF998" s="85"/>
      <c r="CG998" s="85"/>
      <c r="CH998" s="85"/>
      <c r="CI998" s="85"/>
      <c r="CJ998" s="85"/>
      <c r="CK998" s="2"/>
    </row>
    <row r="999" ht="12.75" customHeight="1">
      <c r="A999" s="80">
        <f>IFERROR(__xludf.DUMMYFUNCTION("""COMPUTED_VALUE"""),995.0)</f>
        <v>995</v>
      </c>
      <c r="B999" s="80"/>
      <c r="C999" s="80"/>
      <c r="D999" s="81">
        <f>IFERROR(__xludf.DUMMYFUNCTION("""COMPUTED_VALUE"""),46164.0)</f>
        <v>46164</v>
      </c>
      <c r="E999" s="82"/>
      <c r="F999" s="80"/>
      <c r="G999" s="81"/>
      <c r="H999" s="80"/>
      <c r="I999" s="80"/>
      <c r="J999" s="80"/>
      <c r="K999" s="80"/>
      <c r="L999" s="80"/>
      <c r="M999" s="80"/>
      <c r="N999" s="80"/>
      <c r="O999" s="80"/>
      <c r="P999" s="80" t="str">
        <f>IFERROR(__xludf.DUMMYFUNCTION("""COMPUTED_VALUE"""),"MUCSPA63473PSIND")</f>
        <v>MUCSPA63473PSIND</v>
      </c>
      <c r="Q999" s="80" t="str">
        <f>IFERROR(__xludf.DUMMYFUNCTION("""COMPUTED_VALUE"""),"MUC PAJAJARAN INDAH 5")</f>
        <v>MUC PAJAJARAN INDAH 5</v>
      </c>
      <c r="R999" s="80" t="str">
        <f>IFERROR(__xludf.DUMMYFUNCTION("""COMPUTED_VALUE"""),"MUC PAJAJARAN INDAH 5")</f>
        <v>MUC PAJAJARAN INDAH 5</v>
      </c>
      <c r="S999" s="80" t="str">
        <f>IFERROR(__xludf.DUMMYFUNCTION("""COMPUTED_VALUE"""),"MUHAMAD BAEHAKI")</f>
        <v>MUHAMAD BAEHAKI</v>
      </c>
      <c r="T999" s="80" t="str">
        <f>IFERROR(__xludf.DUMMYFUNCTION("""COMPUTED_VALUE"""),"Alamat Lengkap : BANTARKEMANG RT 04 RW 13, BARANANGSIANG, BOGOR TIMUR, KOTA BOGOR")</f>
        <v>Alamat Lengkap : BANTARKEMANG RT 04 RW 13, BARANANGSIANG, BOGOR TIMUR, KOTA BOGOR</v>
      </c>
      <c r="U999" s="80" t="str">
        <f>IFERROR(__xludf.DUMMYFUNCTION("""COMPUTED_VALUE"""),"JL. PAJAJARAN INDAH V")</f>
        <v>JL. PAJAJARAN INDAH V</v>
      </c>
      <c r="V999" s="80" t="str">
        <f>IFERROR(__xludf.DUMMYFUNCTION("""COMPUTED_VALUE"""),"RT 04  \ RW 13,")</f>
        <v>RT 04  \ RW 13,</v>
      </c>
      <c r="W999" s="80" t="str">
        <f>IFERROR(__xludf.DUMMYFUNCTION("""COMPUTED_VALUE"""),"BARANANGSIANG")</f>
        <v>BARANANGSIANG</v>
      </c>
      <c r="X999" s="80" t="str">
        <f>IFERROR(__xludf.DUMMYFUNCTION("""COMPUTED_VALUE"""),"BOGOR TIMUR")</f>
        <v>BOGOR TIMUR</v>
      </c>
      <c r="Y999" s="80" t="str">
        <f>IFERROR(__xludf.DUMMYFUNCTION("""COMPUTED_VALUE"""),"BOGOR")</f>
        <v>BOGOR</v>
      </c>
      <c r="Z999" s="80" t="str">
        <f>IFERROR(__xludf.DUMMYFUNCTION("""COMPUTED_VALUE"""),"JAWA BARAT")</f>
        <v>JAWA BARAT</v>
      </c>
      <c r="AA999" s="80" t="str">
        <f>IFERROR(__xludf.DUMMYFUNCTION("""COMPUTED_VALUE"""),"16143")</f>
        <v>16143</v>
      </c>
      <c r="AB999" s="80" t="str">
        <f>IFERROR(__xludf.DUMMYFUNCTION("""COMPUTED_VALUE"""),"3271023006890002")</f>
        <v>3271023006890002</v>
      </c>
      <c r="AC999" s="80" t="str">
        <f>IFERROR(__xludf.DUMMYFUNCTION("""COMPUTED_VALUE"""),"95.121.724.9-404.000")</f>
        <v>95.121.724.9-404.000</v>
      </c>
      <c r="AD999" s="80" t="str">
        <f>IFERROR(__xludf.DUMMYFUNCTION("""COMPUTED_VALUE"""),"CUM - PS - ASEPN / PAK ASEP NANO KCU BOGOR")</f>
        <v>CUM - PS - ASEPN / PAK ASEP NANO KCU BOGOR</v>
      </c>
      <c r="AE999" s="80" t="str">
        <f>IFERROR(__xludf.DUMMYFUNCTION("""COMPUTED_VALUE"""),"CUM - PS - ASEPN / PAK ASEP NANO KCU BOGOR")</f>
        <v>CUM - PS - ASEPN / PAK ASEP NANO KCU BOGOR</v>
      </c>
      <c r="AF999" s="80" t="str">
        <f>IFERROR(__xludf.DUMMYFUNCTION("""COMPUTED_VALUE"""),"085890057867")</f>
        <v>085890057867</v>
      </c>
      <c r="AG999" s="80" t="str">
        <f>IFERROR(__xludf.DUMMYFUNCTION("""COMPUTED_VALUE"""),"085890057867")</f>
        <v>085890057867</v>
      </c>
      <c r="AH999" s="80" t="str">
        <f>IFERROR(__xludf.DUMMYFUNCTION("""COMPUTED_VALUE"""),"baehaki25@gmail.com")</f>
        <v>baehaki25@gmail.com</v>
      </c>
      <c r="AI999" s="80"/>
      <c r="AJ999" s="80"/>
      <c r="AK999" s="80"/>
      <c r="AL999" s="80"/>
      <c r="AM999" s="80" t="str">
        <f>IFERROR(__xludf.DUMMYFUNCTION("""COMPUTED_VALUE"""),"KANTOR REGIONAL II JAKARTA 10004")</f>
        <v>KANTOR REGIONAL II JAKARTA 10004</v>
      </c>
      <c r="AN999" s="80" t="str">
        <f>IFERROR(__xludf.DUMMYFUNCTION("""COMPUTED_VALUE"""),"KCU BOGOR 16000")</f>
        <v>KCU BOGOR 16000</v>
      </c>
      <c r="AO999" s="80" t="str">
        <f>IFERROR(__xludf.DUMMYFUNCTION("""COMPUTED_VALUE"""),"2105260126373")</f>
        <v>2105260126373</v>
      </c>
      <c r="AP999" s="80" t="str">
        <f>IFERROR(__xludf.DUMMYFUNCTION("""COMPUTED_VALUE"""),"21052601263730001")</f>
        <v>21052601263730001</v>
      </c>
      <c r="AQ999" s="83" t="str">
        <f>IFERROR(__xludf.DUMMYFUNCTION("""COMPUTED_VALUE"""),"5720685053")</f>
        <v>5720685053</v>
      </c>
      <c r="AR999" s="80"/>
      <c r="AS999" s="80"/>
      <c r="AT999" s="80" t="str">
        <f>IFERROR(__xludf.DUMMYFUNCTION("""COMPUTED_VALUE"""),"-6.6025185")</f>
        <v>-6.6025185</v>
      </c>
      <c r="AU999" s="80" t="str">
        <f>IFERROR(__xludf.DUMMYFUNCTION("""COMPUTED_VALUE"""),"106.8010323")</f>
        <v>106.8010323</v>
      </c>
      <c r="AV999" s="80"/>
      <c r="AW999" s="80"/>
      <c r="AX999" s="80"/>
      <c r="AY999" s="80"/>
      <c r="AZ999" s="80"/>
      <c r="BA999" s="80"/>
      <c r="BB999" s="80"/>
      <c r="BC999" s="80"/>
      <c r="BD999" s="80"/>
      <c r="BE999" s="80"/>
      <c r="BF999" s="80"/>
      <c r="BG999" s="80"/>
      <c r="BH999" s="80"/>
      <c r="BI999" s="80"/>
      <c r="BJ999" s="80"/>
      <c r="BK999" s="80"/>
      <c r="BL999" s="80"/>
      <c r="BM999" s="80"/>
      <c r="BN999" s="80"/>
      <c r="BO999" s="80"/>
      <c r="BP999" s="80"/>
      <c r="BQ999" s="80"/>
      <c r="BR999" s="80"/>
      <c r="BS999" s="80"/>
      <c r="BT999" s="80"/>
      <c r="BU999" s="80"/>
      <c r="BV999" s="80"/>
      <c r="BW999" s="80"/>
      <c r="BX999" s="80"/>
      <c r="BY999" s="80"/>
      <c r="BZ999" s="80"/>
      <c r="CA999" s="80"/>
      <c r="CB999" s="80"/>
      <c r="CC999" s="80"/>
      <c r="CD999" s="80"/>
      <c r="CE999" s="80"/>
      <c r="CF999" s="80"/>
      <c r="CG999" s="80"/>
      <c r="CH999" s="80"/>
      <c r="CI999" s="80"/>
      <c r="CJ999" s="80"/>
      <c r="CK999" s="2"/>
    </row>
    <row r="1000" ht="12.75" customHeight="1">
      <c r="A1000" s="85">
        <f>IFERROR(__xludf.DUMMYFUNCTION("""COMPUTED_VALUE"""),996.0)</f>
        <v>996</v>
      </c>
      <c r="B1000" s="85"/>
      <c r="C1000" s="85"/>
      <c r="D1000" s="86">
        <f>IFERROR(__xludf.DUMMYFUNCTION("""COMPUTED_VALUE"""),46164.0)</f>
        <v>46164</v>
      </c>
      <c r="E1000" s="88"/>
      <c r="F1000" s="85"/>
      <c r="G1000" s="86"/>
      <c r="H1000" s="85"/>
      <c r="I1000" s="85"/>
      <c r="J1000" s="85"/>
      <c r="K1000" s="85"/>
      <c r="L1000" s="85"/>
      <c r="M1000" s="85"/>
      <c r="N1000" s="85"/>
      <c r="O1000" s="85"/>
      <c r="P1000" s="85" t="str">
        <f>IFERROR(__xludf.DUMMYFUNCTION("""COMPUTED_VALUE"""),"MUCSPA63474PSIND")</f>
        <v>MUCSPA63474PSIND</v>
      </c>
      <c r="Q1000" s="85" t="str">
        <f>IFERROR(__xludf.DUMMYFUNCTION("""COMPUTED_VALUE"""),"MUC TEFA MANPER SMKN 2 PWK")</f>
        <v>MUC TEFA MANPER SMKN 2 PWK</v>
      </c>
      <c r="R1000" s="85" t="str">
        <f>IFERROR(__xludf.DUMMYFUNCTION("""COMPUTED_VALUE"""),"MUC TEFA MANPER SMKN 2 PWK")</f>
        <v>MUC TEFA MANPER SMKN 2 PWK</v>
      </c>
      <c r="S1000" s="85" t="str">
        <f>IFERROR(__xludf.DUMMYFUNCTION("""COMPUTED_VALUE"""),"TRIWAHYUNINGSIH")</f>
        <v>TRIWAHYUNINGSIH</v>
      </c>
      <c r="T1000" s="85" t="str">
        <f>IFERROR(__xludf.DUMMYFUNCTION("""COMPUTED_VALUE"""),"PERUM CITRA PERMATA SAKINAH BLOK.E NO.61-62 KADUMEKAR, BABAKANCIKAO, PURWAKARTA 41151")</f>
        <v>PERUM CITRA PERMATA SAKINAH BLOK.E NO.61-62 KADUMEKAR, BABAKANCIKAO, PURWAKARTA 41151</v>
      </c>
      <c r="U1000" s="85" t="str">
        <f>IFERROR(__xludf.DUMMYFUNCTION("""COMPUTED_VALUE"""),"JL. JEND. A. YANI NO.98")</f>
        <v>JL. JEND. A. YANI NO.98</v>
      </c>
      <c r="V1000" s="85" t="str">
        <f>IFERROR(__xludf.DUMMYFUNCTION("""COMPUTED_VALUE"""),"RTA 41 \ RWAKAR")</f>
        <v>RTA 41 \ RWAKAR</v>
      </c>
      <c r="W1000" s="85" t="str">
        <f>IFERROR(__xludf.DUMMYFUNCTION("""COMPUTED_VALUE"""),"NAGRI TENGAH")</f>
        <v>NAGRI TENGAH</v>
      </c>
      <c r="X1000" s="85" t="str">
        <f>IFERROR(__xludf.DUMMYFUNCTION("""COMPUTED_VALUE"""),"PURWAKARTA")</f>
        <v>PURWAKARTA</v>
      </c>
      <c r="Y1000" s="85" t="str">
        <f>IFERROR(__xludf.DUMMYFUNCTION("""COMPUTED_VALUE"""),"PURWAKARTA")</f>
        <v>PURWAKARTA</v>
      </c>
      <c r="Z1000" s="85" t="str">
        <f>IFERROR(__xludf.DUMMYFUNCTION("""COMPUTED_VALUE"""),"JAWA BARAT")</f>
        <v>JAWA BARAT</v>
      </c>
      <c r="AA1000" s="85" t="str">
        <f>IFERROR(__xludf.DUMMYFUNCTION("""COMPUTED_VALUE"""),"41114")</f>
        <v>41114</v>
      </c>
      <c r="AB1000" s="85" t="str">
        <f>IFERROR(__xludf.DUMMYFUNCTION("""COMPUTED_VALUE"""),"3214126601700001")</f>
        <v>3214126601700001</v>
      </c>
      <c r="AC1000" s="85" t="str">
        <f>IFERROR(__xludf.DUMMYFUNCTION("""COMPUTED_VALUE"""),"32.141.266.0-170.0001")</f>
        <v>32.141.266.0-170.0001</v>
      </c>
      <c r="AD1000" s="85" t="str">
        <f>IFERROR(__xludf.DUMMYFUNCTION("""COMPUTED_VALUE"""),"PAK RIZKI KC PURWAKARTA")</f>
        <v>PAK RIZKI KC PURWAKARTA</v>
      </c>
      <c r="AE1000" s="85" t="str">
        <f>IFERROR(__xludf.DUMMYFUNCTION("""COMPUTED_VALUE"""),"PAK RIZKI KC PURWAKARTA")</f>
        <v>PAK RIZKI KC PURWAKARTA</v>
      </c>
      <c r="AF1000" s="85" t="str">
        <f>IFERROR(__xludf.DUMMYFUNCTION("""COMPUTED_VALUE"""),"085724902859")</f>
        <v>085724902859</v>
      </c>
      <c r="AG1000" s="85" t="str">
        <f>IFERROR(__xludf.DUMMYFUNCTION("""COMPUTED_VALUE"""),"085724902859")</f>
        <v>085724902859</v>
      </c>
      <c r="AH1000" s="85" t="str">
        <f>IFERROR(__xludf.DUMMYFUNCTION("""COMPUTED_VALUE"""),"triwahyuningsihsukasno0@gmail.com")</f>
        <v>triwahyuningsihsukasno0@gmail.com</v>
      </c>
      <c r="AI1000" s="85"/>
      <c r="AJ1000" s="85"/>
      <c r="AK1000" s="85"/>
      <c r="AL1000" s="85"/>
      <c r="AM1000" s="85" t="str">
        <f>IFERROR(__xludf.DUMMYFUNCTION("""COMPUTED_VALUE"""),"KANTOR REGIONAL III BANDUNG 40004")</f>
        <v>KANTOR REGIONAL III BANDUNG 40004</v>
      </c>
      <c r="AN1000" s="85" t="str">
        <f>IFERROR(__xludf.DUMMYFUNCTION("""COMPUTED_VALUE"""),"KC PURWAKARTA 41100")</f>
        <v>KC PURWAKARTA 41100</v>
      </c>
      <c r="AO1000" s="85" t="str">
        <f>IFERROR(__xludf.DUMMYFUNCTION("""COMPUTED_VALUE"""),"2105260119783")</f>
        <v>2105260119783</v>
      </c>
      <c r="AP1000" s="85" t="str">
        <f>IFERROR(__xludf.DUMMYFUNCTION("""COMPUTED_VALUE"""),"21052601197830001")</f>
        <v>21052601197830001</v>
      </c>
      <c r="AQ1000" s="93" t="str">
        <f>IFERROR(__xludf.DUMMYFUNCTION("""COMPUTED_VALUE"""),"0065366924100")</f>
        <v>0065366924100</v>
      </c>
      <c r="AR1000" s="85" t="str">
        <f>IFERROR(__xludf.DUMMYFUNCTION("""COMPUTED_VALUE"""),"BJB")</f>
        <v>BJB</v>
      </c>
      <c r="AS1000" s="85" t="str">
        <f>IFERROR(__xludf.DUMMYFUNCTION("""COMPUTED_VALUE"""),"TRI WAHYUNINGSIH")</f>
        <v>TRI WAHYUNINGSIH</v>
      </c>
      <c r="AT1000" s="85" t="str">
        <f>IFERROR(__xludf.DUMMYFUNCTION("""COMPUTED_VALUE"""),"-6.5506913")</f>
        <v>-6.5506913</v>
      </c>
      <c r="AU1000" s="85" t="str">
        <f>IFERROR(__xludf.DUMMYFUNCTION("""COMPUTED_VALUE"""),"107.4393179")</f>
        <v>107.4393179</v>
      </c>
      <c r="AV1000" s="85"/>
      <c r="AW1000" s="85"/>
      <c r="AX1000" s="85"/>
      <c r="AY1000" s="85"/>
      <c r="AZ1000" s="85"/>
      <c r="BA1000" s="85"/>
      <c r="BB1000" s="85"/>
      <c r="BC1000" s="85"/>
      <c r="BD1000" s="85"/>
      <c r="BE1000" s="85"/>
      <c r="BF1000" s="85"/>
      <c r="BG1000" s="85"/>
      <c r="BH1000" s="85"/>
      <c r="BI1000" s="85"/>
      <c r="BJ1000" s="85"/>
      <c r="BK1000" s="85"/>
      <c r="BL1000" s="85"/>
      <c r="BM1000" s="85"/>
      <c r="BN1000" s="85"/>
      <c r="BO1000" s="85"/>
      <c r="BP1000" s="85"/>
      <c r="BQ1000" s="85"/>
      <c r="BR1000" s="85"/>
      <c r="BS1000" s="85"/>
      <c r="BT1000" s="85"/>
      <c r="BU1000" s="85"/>
      <c r="BV1000" s="85"/>
      <c r="BW1000" s="85"/>
      <c r="BX1000" s="85"/>
      <c r="BY1000" s="85"/>
      <c r="BZ1000" s="85"/>
      <c r="CA1000" s="85"/>
      <c r="CB1000" s="85"/>
      <c r="CC1000" s="85"/>
      <c r="CD1000" s="85"/>
      <c r="CE1000" s="85"/>
      <c r="CF1000" s="85"/>
      <c r="CG1000" s="85"/>
      <c r="CH1000" s="85"/>
      <c r="CI1000" s="85"/>
      <c r="CJ1000" s="85"/>
      <c r="CK1000" s="2"/>
    </row>
    <row r="1001" ht="12.75" customHeight="1">
      <c r="A1001" s="80">
        <f>IFERROR(__xludf.DUMMYFUNCTION("""COMPUTED_VALUE"""),997.0)</f>
        <v>997</v>
      </c>
      <c r="B1001" s="80"/>
      <c r="C1001" s="80"/>
      <c r="D1001" s="81">
        <f>IFERROR(__xludf.DUMMYFUNCTION("""COMPUTED_VALUE"""),46164.0)</f>
        <v>46164</v>
      </c>
      <c r="E1001" s="82"/>
      <c r="F1001" s="80"/>
      <c r="G1001" s="81"/>
      <c r="H1001" s="80"/>
      <c r="I1001" s="80"/>
      <c r="J1001" s="80"/>
      <c r="K1001" s="80"/>
      <c r="L1001" s="80"/>
      <c r="M1001" s="80"/>
      <c r="N1001" s="80"/>
      <c r="O1001" s="80"/>
      <c r="P1001" s="80" t="str">
        <f>IFERROR(__xludf.DUMMYFUNCTION("""COMPUTED_VALUE"""),"MUCSPA63475PSIND")</f>
        <v>MUCSPA63475PSIND</v>
      </c>
      <c r="Q1001" s="80" t="str">
        <f>IFERROR(__xludf.DUMMYFUNCTION("""COMPUTED_VALUE"""),"MUC KAYKO PHOTOCOPY")</f>
        <v>MUC KAYKO PHOTOCOPY</v>
      </c>
      <c r="R1001" s="80" t="str">
        <f>IFERROR(__xludf.DUMMYFUNCTION("""COMPUTED_VALUE"""),"MUC KAYKO PHOTOCOPY")</f>
        <v>MUC KAYKO PHOTOCOPY</v>
      </c>
      <c r="S1001" s="80" t="str">
        <f>IFERROR(__xludf.DUMMYFUNCTION("""COMPUTED_VALUE"""),"ALEK SANDRA")</f>
        <v>ALEK SANDRA</v>
      </c>
      <c r="T1001" s="80" t="str">
        <f>IFERROR(__xludf.DUMMYFUNCTION("""COMPUTED_VALUE"""),"BOJONG PONCOL RT 02 RW 09 KUNCIRAN INDAH , PINANG, TANGERANG")</f>
        <v>BOJONG PONCOL RT 02 RW 09 KUNCIRAN INDAH , PINANG, TANGERANG</v>
      </c>
      <c r="U1001" s="80" t="str">
        <f>IFERROR(__xludf.DUMMYFUNCTION("""COMPUTED_VALUE"""),"Jl Syekh Moh. Nawawi Albantani")</f>
        <v>Jl Syekh Moh. Nawawi Albantani</v>
      </c>
      <c r="V1001" s="80" t="str">
        <f>IFERROR(__xludf.DUMMYFUNCTION("""COMPUTED_VALUE"""),"RT 02  \ RW 09 ")</f>
        <v>RT 02  \ RW 09 </v>
      </c>
      <c r="W1001" s="80" t="str">
        <f>IFERROR(__xludf.DUMMYFUNCTION("""COMPUTED_VALUE"""),"Banjarsari")</f>
        <v>Banjarsari</v>
      </c>
      <c r="X1001" s="80" t="str">
        <f>IFERROR(__xludf.DUMMYFUNCTION("""COMPUTED_VALUE"""),"Cipocok Jaya")</f>
        <v>Cipocok Jaya</v>
      </c>
      <c r="Y1001" s="80" t="str">
        <f>IFERROR(__xludf.DUMMYFUNCTION("""COMPUTED_VALUE"""),"Serang")</f>
        <v>Serang</v>
      </c>
      <c r="Z1001" s="80" t="str">
        <f>IFERROR(__xludf.DUMMYFUNCTION("""COMPUTED_VALUE"""),"Banten")</f>
        <v>Banten</v>
      </c>
      <c r="AA1001" s="80" t="str">
        <f>IFERROR(__xludf.DUMMYFUNCTION("""COMPUTED_VALUE"""),"42123")</f>
        <v>42123</v>
      </c>
      <c r="AB1001" s="80" t="str">
        <f>IFERROR(__xludf.DUMMYFUNCTION("""COMPUTED_VALUE"""),"3671111812800005")</f>
        <v>3671111812800005</v>
      </c>
      <c r="AC1001" s="80" t="str">
        <f>IFERROR(__xludf.DUMMYFUNCTION("""COMPUTED_VALUE"""),"55.982.372.9-416.000")</f>
        <v>55.982.372.9-416.000</v>
      </c>
      <c r="AD1001" s="80" t="str">
        <f>IFERROR(__xludf.DUMMYFUNCTION("""COMPUTED_VALUE"""),"BU NELA KCU SERANG")</f>
        <v>BU NELA KCU SERANG</v>
      </c>
      <c r="AE1001" s="80" t="str">
        <f>IFERROR(__xludf.DUMMYFUNCTION("""COMPUTED_VALUE"""),"BU NELA KCU SERANG")</f>
        <v>BU NELA KCU SERANG</v>
      </c>
      <c r="AF1001" s="80" t="str">
        <f>IFERROR(__xludf.DUMMYFUNCTION("""COMPUTED_VALUE"""),"085280296514")</f>
        <v>085280296514</v>
      </c>
      <c r="AG1001" s="80" t="str">
        <f>IFERROR(__xludf.DUMMYFUNCTION("""COMPUTED_VALUE"""),"085280296514")</f>
        <v>085280296514</v>
      </c>
      <c r="AH1001" s="80" t="str">
        <f>IFERROR(__xludf.DUMMYFUNCTION("""COMPUTED_VALUE"""),"sandraalek181280@gmail.com")</f>
        <v>sandraalek181280@gmail.com</v>
      </c>
      <c r="AI1001" s="80"/>
      <c r="AJ1001" s="80"/>
      <c r="AK1001" s="80"/>
      <c r="AL1001" s="80"/>
      <c r="AM1001" s="80" t="str">
        <f>IFERROR(__xludf.DUMMYFUNCTION("""COMPUTED_VALUE"""),"KANTOR REGIONAL II JAKARTA 10004")</f>
        <v>KANTOR REGIONAL II JAKARTA 10004</v>
      </c>
      <c r="AN1001" s="80" t="str">
        <f>IFERROR(__xludf.DUMMYFUNCTION("""COMPUTED_VALUE"""),"KCU SERANG 42100")</f>
        <v>KCU SERANG 42100</v>
      </c>
      <c r="AO1001" s="80" t="str">
        <f>IFERROR(__xludf.DUMMYFUNCTION("""COMPUTED_VALUE"""),"0407230105954")</f>
        <v>0407230105954</v>
      </c>
      <c r="AP1001" s="80" t="str">
        <f>IFERROR(__xludf.DUMMYFUNCTION("""COMPUTED_VALUE"""),"04072301059540002")</f>
        <v>04072301059540002</v>
      </c>
      <c r="AQ1001" s="83" t="str">
        <f>IFERROR(__xludf.DUMMYFUNCTION("""COMPUTED_VALUE"""),"5475192457")</f>
        <v>5475192457</v>
      </c>
      <c r="AR1001" s="80" t="str">
        <f>IFERROR(__xludf.DUMMYFUNCTION("""COMPUTED_VALUE"""),"BCA")</f>
        <v>BCA</v>
      </c>
      <c r="AS1001" s="80" t="str">
        <f>IFERROR(__xludf.DUMMYFUNCTION("""COMPUTED_VALUE"""),"Alek Sandra")</f>
        <v>Alek Sandra</v>
      </c>
      <c r="AT1001" s="80" t="str">
        <f>IFERROR(__xludf.DUMMYFUNCTION("""COMPUTED_VALUE"""),"-6.148726")</f>
        <v>-6.148726</v>
      </c>
      <c r="AU1001" s="80" t="str">
        <f>IFERROR(__xludf.DUMMYFUNCTION("""COMPUTED_VALUE"""),"106.192214")</f>
        <v>106.192214</v>
      </c>
      <c r="AV1001" s="80"/>
      <c r="AW1001" s="80"/>
      <c r="AX1001" s="80"/>
      <c r="AY1001" s="80"/>
      <c r="AZ1001" s="80"/>
      <c r="BA1001" s="80"/>
      <c r="BB1001" s="80"/>
      <c r="BC1001" s="80"/>
      <c r="BD1001" s="80"/>
      <c r="BE1001" s="80"/>
      <c r="BF1001" s="80"/>
      <c r="BG1001" s="80"/>
      <c r="BH1001" s="80"/>
      <c r="BI1001" s="80"/>
      <c r="BJ1001" s="80"/>
      <c r="BK1001" s="80"/>
      <c r="BL1001" s="80"/>
      <c r="BM1001" s="80"/>
      <c r="BN1001" s="80"/>
      <c r="BO1001" s="80"/>
      <c r="BP1001" s="80"/>
      <c r="BQ1001" s="80"/>
      <c r="BR1001" s="80"/>
      <c r="BS1001" s="80"/>
      <c r="BT1001" s="80"/>
      <c r="BU1001" s="80"/>
      <c r="BV1001" s="80"/>
      <c r="BW1001" s="80"/>
      <c r="BX1001" s="80"/>
      <c r="BY1001" s="80"/>
      <c r="BZ1001" s="80"/>
      <c r="CA1001" s="80"/>
      <c r="CB1001" s="80"/>
      <c r="CC1001" s="80"/>
      <c r="CD1001" s="80"/>
      <c r="CE1001" s="80"/>
      <c r="CF1001" s="80"/>
      <c r="CG1001" s="80"/>
      <c r="CH1001" s="80"/>
      <c r="CI1001" s="80"/>
      <c r="CJ1001" s="80"/>
      <c r="CK1001" s="2"/>
    </row>
    <row r="1002" ht="12.75" customHeight="1">
      <c r="A1002" s="85">
        <f>IFERROR(__xludf.DUMMYFUNCTION("""COMPUTED_VALUE"""),998.0)</f>
        <v>998</v>
      </c>
      <c r="B1002" s="85"/>
      <c r="C1002" s="85"/>
      <c r="D1002" s="86">
        <f>IFERROR(__xludf.DUMMYFUNCTION("""COMPUTED_VALUE"""),46164.0)</f>
        <v>46164</v>
      </c>
      <c r="E1002" s="88"/>
      <c r="F1002" s="85"/>
      <c r="G1002" s="86">
        <f>IFERROR(__xludf.DUMMYFUNCTION("""COMPUTED_VALUE"""),46272.0)</f>
        <v>46272</v>
      </c>
      <c r="H1002" s="85"/>
      <c r="I1002" s="85"/>
      <c r="J1002" s="85"/>
      <c r="K1002" s="85"/>
      <c r="L1002" s="85">
        <f>IFERROR(__xludf.DUMMYFUNCTION("""COMPUTED_VALUE"""),108.0)</f>
        <v>108</v>
      </c>
      <c r="M1002" s="85"/>
      <c r="N1002" s="85"/>
      <c r="O1002" s="85"/>
      <c r="P1002" s="85" t="str">
        <f>IFERROR(__xludf.DUMMYFUNCTION("""COMPUTED_VALUE"""),"MUCSPA63477PSIND")</f>
        <v>MUCSPA63477PSIND</v>
      </c>
      <c r="Q1002" s="85" t="str">
        <f>IFERROR(__xludf.DUMMYFUNCTION("""COMPUTED_VALUE"""),"MUC SIDOMOYO")</f>
        <v>MUC SIDOMOYO</v>
      </c>
      <c r="R1002" s="85" t="str">
        <f>IFERROR(__xludf.DUMMYFUNCTION("""COMPUTED_VALUE"""),"MUC SIDOMOYO")</f>
        <v>MUC SIDOMOYO</v>
      </c>
      <c r="S1002" s="85" t="str">
        <f>IFERROR(__xludf.DUMMYFUNCTION("""COMPUTED_VALUE"""),"DEDIK SUGIARTO")</f>
        <v>DEDIK SUGIARTO</v>
      </c>
      <c r="T1002" s="85" t="str">
        <f>IFERROR(__xludf.DUMMYFUNCTION("""COMPUTED_VALUE"""),"PERUM PUNTODEWO NO. 58 KUTUWATES")</f>
        <v>PERUM PUNTODEWO NO. 58 KUTUWATES</v>
      </c>
      <c r="U1002" s="85" t="str">
        <f>IFERROR(__xludf.DUMMYFUNCTION("""COMPUTED_VALUE"""),"JL. CEBONGAN NO.3 KABANGJO")</f>
        <v>JL. CEBONGAN NO.3 KABANGJO</v>
      </c>
      <c r="V1002" s="85"/>
      <c r="W1002" s="85" t="str">
        <f>IFERROR(__xludf.DUMMYFUNCTION("""COMPUTED_VALUE"""),"SIDOMOYO")</f>
        <v>SIDOMOYO</v>
      </c>
      <c r="X1002" s="85" t="str">
        <f>IFERROR(__xludf.DUMMYFUNCTION("""COMPUTED_VALUE"""),"GODEAN")</f>
        <v>GODEAN</v>
      </c>
      <c r="Y1002" s="85" t="str">
        <f>IFERROR(__xludf.DUMMYFUNCTION("""COMPUTED_VALUE"""),"KAB. SLEMAN")</f>
        <v>KAB. SLEMAN</v>
      </c>
      <c r="Z1002" s="85" t="str">
        <f>IFERROR(__xludf.DUMMYFUNCTION("""COMPUTED_VALUE"""),"DIY")</f>
        <v>DIY</v>
      </c>
      <c r="AA1002" s="85" t="str">
        <f>IFERROR(__xludf.DUMMYFUNCTION("""COMPUTED_VALUE"""),"55264")</f>
        <v>55264</v>
      </c>
      <c r="AB1002" s="85" t="str">
        <f>IFERROR(__xludf.DUMMYFUNCTION("""COMPUTED_VALUE"""),"3404062812730002")</f>
        <v>3404062812730002</v>
      </c>
      <c r="AC1002" s="85" t="str">
        <f>IFERROR(__xludf.DUMMYFUNCTION("""COMPUTED_VALUE"""),"34.040.628.1-273.0002")</f>
        <v>34.040.628.1-273.0002</v>
      </c>
      <c r="AD1002" s="85" t="str">
        <f>IFERROR(__xludf.DUMMYFUNCTION("""COMPUTED_VALUE"""),"PAK ADIT KC YOGYA")</f>
        <v>PAK ADIT KC YOGYA</v>
      </c>
      <c r="AE1002" s="85" t="str">
        <f>IFERROR(__xludf.DUMMYFUNCTION("""COMPUTED_VALUE"""),"PAK ADIT KC YOGYA")</f>
        <v>PAK ADIT KC YOGYA</v>
      </c>
      <c r="AF1002" s="85" t="str">
        <f>IFERROR(__xludf.DUMMYFUNCTION("""COMPUTED_VALUE"""),"085229855131")</f>
        <v>085229855131</v>
      </c>
      <c r="AG1002" s="85" t="str">
        <f>IFERROR(__xludf.DUMMYFUNCTION("""COMPUTED_VALUE"""),"085229855131")</f>
        <v>085229855131</v>
      </c>
      <c r="AH1002" s="85" t="str">
        <f>IFERROR(__xludf.DUMMYFUNCTION("""COMPUTED_VALUE"""),"asaprimaniaga@gmail.com")</f>
        <v>asaprimaniaga@gmail.com</v>
      </c>
      <c r="AI1002" s="85" t="str">
        <f>IFERROR(__xludf.DUMMYFUNCTION("""COMPUTED_VALUE"""),"55564S2")</f>
        <v>55564S2</v>
      </c>
      <c r="AJ1002" s="85" t="str">
        <f>IFERROR(__xludf.DUMMYFUNCTION("""COMPUTED_VALUE"""),"6a9bb8b19c201052ea001e12")</f>
        <v>6a9bb8b19c201052ea001e12</v>
      </c>
      <c r="AK1002" s="85" t="str">
        <f>IFERROR(__xludf.DUMMYFUNCTION("""COMPUTED_VALUE"""),"dedik.sugiarto73@gmail.com")</f>
        <v>dedik.sugiarto73@gmail.com</v>
      </c>
      <c r="AL1002" s="85" t="str">
        <f>IFERROR(__xludf.DUMMYFUNCTION("""COMPUTED_VALUE"""),"#Muc55564S2$")</f>
        <v>#Muc55564S2$</v>
      </c>
      <c r="AM1002" s="85" t="str">
        <f>IFERROR(__xludf.DUMMYFUNCTION("""COMPUTED_VALUE"""),"KANTOR REGIONAL IV SEMARANG 50004")</f>
        <v>KANTOR REGIONAL IV SEMARANG 50004</v>
      </c>
      <c r="AN1002" s="85" t="str">
        <f>IFERROR(__xludf.DUMMYFUNCTION("""COMPUTED_VALUE"""),"KCU YOGYAKARTA 55000")</f>
        <v>KCU YOGYAKARTA 55000</v>
      </c>
      <c r="AO1002" s="85" t="str">
        <f>IFERROR(__xludf.DUMMYFUNCTION("""COMPUTED_VALUE"""),"2205260052719")</f>
        <v>2205260052719</v>
      </c>
      <c r="AP1002" s="85" t="str">
        <f>IFERROR(__xludf.DUMMYFUNCTION("""COMPUTED_VALUE"""),"22052600527190001")</f>
        <v>22052600527190001</v>
      </c>
      <c r="AQ1002" s="93" t="str">
        <f>IFERROR(__xludf.DUMMYFUNCTION("""COMPUTED_VALUE"""),"1370002343099")</f>
        <v>1370002343099</v>
      </c>
      <c r="AR1002" s="85" t="str">
        <f>IFERROR(__xludf.DUMMYFUNCTION("""COMPUTED_VALUE"""),"MANDIRI")</f>
        <v>MANDIRI</v>
      </c>
      <c r="AS1002" s="85" t="str">
        <f>IFERROR(__xludf.DUMMYFUNCTION("""COMPUTED_VALUE"""),"DEDIK SUGIARTO")</f>
        <v>DEDIK SUGIARTO</v>
      </c>
      <c r="AT1002" s="85" t="str">
        <f>IFERROR(__xludf.DUMMYFUNCTION("""COMPUTED_VALUE"""),"-7.7502844")</f>
        <v>-7.7502844</v>
      </c>
      <c r="AU1002" s="85" t="str">
        <f>IFERROR(__xludf.DUMMYFUNCTION("""COMPUTED_VALUE"""),"110.3205909")</f>
        <v>110.3205909</v>
      </c>
      <c r="AV1002" s="85"/>
      <c r="AW1002" s="85"/>
      <c r="AX1002" s="85"/>
      <c r="AY1002" s="85"/>
      <c r="AZ1002" s="85"/>
      <c r="BA1002" s="85"/>
      <c r="BB1002" s="85"/>
      <c r="BC1002" s="85"/>
      <c r="BD1002" s="85"/>
      <c r="BE1002" s="85"/>
      <c r="BF1002" s="85"/>
      <c r="BG1002" s="85"/>
      <c r="BH1002" s="85"/>
      <c r="BI1002" s="85"/>
      <c r="BJ1002" s="85"/>
      <c r="BK1002" s="85"/>
      <c r="BL1002" s="85"/>
      <c r="BM1002" s="85"/>
      <c r="BN1002" s="85"/>
      <c r="BO1002" s="85"/>
      <c r="BP1002" s="85"/>
      <c r="BQ1002" s="85"/>
      <c r="BR1002" s="85"/>
      <c r="BS1002" s="85"/>
      <c r="BT1002" s="85"/>
      <c r="BU1002" s="85"/>
      <c r="BV1002" s="85"/>
      <c r="BW1002" s="85"/>
      <c r="BX1002" s="85"/>
      <c r="BY1002" s="85"/>
      <c r="BZ1002" s="85"/>
      <c r="CA1002" s="85"/>
      <c r="CB1002" s="85"/>
      <c r="CC1002" s="85"/>
      <c r="CD1002" s="85"/>
      <c r="CE1002" s="85"/>
      <c r="CF1002" s="85"/>
      <c r="CG1002" s="85"/>
      <c r="CH1002" s="85"/>
      <c r="CI1002" s="85"/>
      <c r="CJ1002" s="85"/>
      <c r="CK1002" s="2"/>
    </row>
    <row r="1003" ht="12.75" customHeight="1">
      <c r="A1003" s="80">
        <f>IFERROR(__xludf.DUMMYFUNCTION("""COMPUTED_VALUE"""),999.0)</f>
        <v>999</v>
      </c>
      <c r="B1003" s="80"/>
      <c r="C1003" s="80"/>
      <c r="D1003" s="81">
        <f>IFERROR(__xludf.DUMMYFUNCTION("""COMPUTED_VALUE"""),46164.0)</f>
        <v>46164</v>
      </c>
      <c r="E1003" s="82"/>
      <c r="F1003" s="80"/>
      <c r="G1003" s="81">
        <f>IFERROR(__xludf.DUMMYFUNCTION("""COMPUTED_VALUE"""),46178.0)</f>
        <v>46178</v>
      </c>
      <c r="H1003" s="80"/>
      <c r="I1003" s="80"/>
      <c r="J1003" s="80"/>
      <c r="K1003" s="80"/>
      <c r="L1003" s="80">
        <f>IFERROR(__xludf.DUMMYFUNCTION("""COMPUTED_VALUE"""),14.0)</f>
        <v>14</v>
      </c>
      <c r="M1003" s="80"/>
      <c r="N1003" s="80"/>
      <c r="O1003" s="80"/>
      <c r="P1003" s="80" t="str">
        <f>IFERROR(__xludf.DUMMYFUNCTION("""COMPUTED_VALUE"""),"MUCSPA63478PSIND")</f>
        <v>MUCSPA63478PSIND</v>
      </c>
      <c r="Q1003" s="80" t="str">
        <f>IFERROR(__xludf.DUMMYFUNCTION("""COMPUTED_VALUE"""),"MUC METRO")</f>
        <v>MUC METRO</v>
      </c>
      <c r="R1003" s="80" t="str">
        <f>IFERROR(__xludf.DUMMYFUNCTION("""COMPUTED_VALUE"""),"MUC METRO")</f>
        <v>MUC METRO</v>
      </c>
      <c r="S1003" s="80" t="str">
        <f>IFERROR(__xludf.DUMMYFUNCTION("""COMPUTED_VALUE"""),"RIZKY NUGROHO HANDAYANI")</f>
        <v>RIZKY NUGROHO HANDAYANI</v>
      </c>
      <c r="T1003" s="80" t="str">
        <f>IFERROR(__xludf.DUMMYFUNCTION("""COMPUTED_VALUE"""),"JL. JERUK PURUT RT 2 RW 3 CILANDAK TIMUR PASAR MINGGU JAKARTA SELATAN")</f>
        <v>JL. JERUK PURUT RT 2 RW 3 CILANDAK TIMUR PASAR MINGGU JAKARTA SELATAN</v>
      </c>
      <c r="U1003" s="80" t="str">
        <f>IFERROR(__xludf.DUMMYFUNCTION("""COMPUTED_VALUE"""),"GEDUNG GLODOK PLAZA LT. GF NO. 43")</f>
        <v>GEDUNG GLODOK PLAZA LT. GF NO. 43</v>
      </c>
      <c r="V1003" s="80" t="str">
        <f>IFERROR(__xludf.DUMMYFUNCTION("""COMPUTED_VALUE"""),"RT 2 R \ RW 3 C")</f>
        <v>RT 2 R \ RW 3 C</v>
      </c>
      <c r="W1003" s="80" t="str">
        <f>IFERROR(__xludf.DUMMYFUNCTION("""COMPUTED_VALUE"""),"MANGGA BESAR")</f>
        <v>MANGGA BESAR</v>
      </c>
      <c r="X1003" s="80" t="str">
        <f>IFERROR(__xludf.DUMMYFUNCTION("""COMPUTED_VALUE"""),"TAMANSARI")</f>
        <v>TAMANSARI</v>
      </c>
      <c r="Y1003" s="80" t="str">
        <f>IFERROR(__xludf.DUMMYFUNCTION("""COMPUTED_VALUE"""),"JAKARTA BARAT")</f>
        <v>JAKARTA BARAT</v>
      </c>
      <c r="Z1003" s="80" t="str">
        <f>IFERROR(__xludf.DUMMYFUNCTION("""COMPUTED_VALUE"""),"DKI JAKARTA")</f>
        <v>DKI JAKARTA</v>
      </c>
      <c r="AA1003" s="80" t="str">
        <f>IFERROR(__xludf.DUMMYFUNCTION("""COMPUTED_VALUE"""),"11180")</f>
        <v>11180</v>
      </c>
      <c r="AB1003" s="80" t="str">
        <f>IFERROR(__xludf.DUMMYFUNCTION("""COMPUTED_VALUE"""),"3174046209770010")</f>
        <v>3174046209770010</v>
      </c>
      <c r="AC1003" s="80" t="str">
        <f>IFERROR(__xludf.DUMMYFUNCTION("""COMPUTED_VALUE"""),"85.178.809.1-017.000")</f>
        <v>85.178.809.1-017.000</v>
      </c>
      <c r="AD1003" s="80" t="str">
        <f>IFERROR(__xludf.DUMMYFUNCTION("""COMPUTED_VALUE"""),"CUM - PS - SUSU / PAK SUGENG KCU OCEANIA")</f>
        <v>CUM - PS - SUSU / PAK SUGENG KCU OCEANIA</v>
      </c>
      <c r="AE1003" s="80" t="str">
        <f>IFERROR(__xludf.DUMMYFUNCTION("""COMPUTED_VALUE"""),"CUM - PS - SUSU / PAK SUGENG KCU OCEANIA")</f>
        <v>CUM - PS - SUSU / PAK SUGENG KCU OCEANIA</v>
      </c>
      <c r="AF1003" s="80" t="str">
        <f>IFERROR(__xludf.DUMMYFUNCTION("""COMPUTED_VALUE"""),"085284103579")</f>
        <v>085284103579</v>
      </c>
      <c r="AG1003" s="80" t="str">
        <f>IFERROR(__xludf.DUMMYFUNCTION("""COMPUTED_VALUE"""),"085284103579")</f>
        <v>085284103579</v>
      </c>
      <c r="AH1003" s="80" t="str">
        <f>IFERROR(__xludf.DUMMYFUNCTION("""COMPUTED_VALUE"""),"metroposglodok@gmail.com")</f>
        <v>metroposglodok@gmail.com</v>
      </c>
      <c r="AI1003" s="80" t="str">
        <f>IFERROR(__xludf.DUMMYFUNCTION("""COMPUTED_VALUE"""),"11180S4")</f>
        <v>11180S4</v>
      </c>
      <c r="AJ1003" s="80" t="str">
        <f>IFERROR(__xludf.DUMMYFUNCTION("""COMPUTED_VALUE"""),"6a212211e982171f0d0dcb72")</f>
        <v>6a212211e982171f0d0dcb72</v>
      </c>
      <c r="AK1003" s="80" t="str">
        <f>IFERROR(__xludf.DUMMYFUNCTION("""COMPUTED_VALUE"""),"metroposglodok@gmail.com")</f>
        <v>metroposglodok@gmail.com</v>
      </c>
      <c r="AL1003" s="80" t="str">
        <f>IFERROR(__xludf.DUMMYFUNCTION("""COMPUTED_VALUE"""),"#Muc11180S4$")</f>
        <v>#Muc11180S4$</v>
      </c>
      <c r="AM1003" s="80" t="str">
        <f>IFERROR(__xludf.DUMMYFUNCTION("""COMPUTED_VALUE"""),"KANTOR REGIONAL II JAKARTA 10004")</f>
        <v>KANTOR REGIONAL II JAKARTA 10004</v>
      </c>
      <c r="AN1003" s="80" t="str">
        <f>IFERROR(__xludf.DUMMYFUNCTION("""COMPUTED_VALUE"""),"KCU JAKARTAOCEANIA 11000")</f>
        <v>KCU JAKARTAOCEANIA 11000</v>
      </c>
      <c r="AO1003" s="80" t="str">
        <f>IFERROR(__xludf.DUMMYFUNCTION("""COMPUTED_VALUE"""),"2205260071834")</f>
        <v>2205260071834</v>
      </c>
      <c r="AP1003" s="80" t="str">
        <f>IFERROR(__xludf.DUMMYFUNCTION("""COMPUTED_VALUE"""),"22052600718340002")</f>
        <v>22052600718340002</v>
      </c>
      <c r="AQ1003" s="83" t="str">
        <f>IFERROR(__xludf.DUMMYFUNCTION("""COMPUTED_VALUE"""),"033901141122508")</f>
        <v>033901141122508</v>
      </c>
      <c r="AR1003" s="80" t="str">
        <f>IFERROR(__xludf.DUMMYFUNCTION("""COMPUTED_VALUE"""),"BRI")</f>
        <v>BRI</v>
      </c>
      <c r="AS1003" s="80" t="str">
        <f>IFERROR(__xludf.DUMMYFUNCTION("""COMPUTED_VALUE"""),"RIZKY NUGOROHO HANDAYANI")</f>
        <v>RIZKY NUGOROHO HANDAYANI</v>
      </c>
      <c r="AT1003" s="80" t="str">
        <f>IFERROR(__xludf.DUMMYFUNCTION("""COMPUTED_VALUE"""),"-6.1421841")</f>
        <v>-6.1421841</v>
      </c>
      <c r="AU1003" s="80" t="str">
        <f>IFERROR(__xludf.DUMMYFUNCTION("""COMPUTED_VALUE"""),"106.8116865")</f>
        <v>106.8116865</v>
      </c>
      <c r="AV1003" s="80"/>
      <c r="AW1003" s="80"/>
      <c r="AX1003" s="80"/>
      <c r="AY1003" s="80"/>
      <c r="AZ1003" s="80"/>
      <c r="BA1003" s="80"/>
      <c r="BB1003" s="80"/>
      <c r="BC1003" s="80"/>
      <c r="BD1003" s="80"/>
      <c r="BE1003" s="80"/>
      <c r="BF1003" s="80"/>
      <c r="BG1003" s="80"/>
      <c r="BH1003" s="80"/>
      <c r="BI1003" s="80"/>
      <c r="BJ1003" s="80"/>
      <c r="BK1003" s="80"/>
      <c r="BL1003" s="80"/>
      <c r="BM1003" s="80"/>
      <c r="BN1003" s="80"/>
      <c r="BO1003" s="80"/>
      <c r="BP1003" s="80"/>
      <c r="BQ1003" s="80"/>
      <c r="BR1003" s="80"/>
      <c r="BS1003" s="80"/>
      <c r="BT1003" s="80"/>
      <c r="BU1003" s="80"/>
      <c r="BV1003" s="80"/>
      <c r="BW1003" s="80"/>
      <c r="BX1003" s="80"/>
      <c r="BY1003" s="80"/>
      <c r="BZ1003" s="80"/>
      <c r="CA1003" s="80"/>
      <c r="CB1003" s="80"/>
      <c r="CC1003" s="80"/>
      <c r="CD1003" s="80"/>
      <c r="CE1003" s="80"/>
      <c r="CF1003" s="80"/>
      <c r="CG1003" s="80"/>
      <c r="CH1003" s="80"/>
      <c r="CI1003" s="80"/>
      <c r="CJ1003" s="80"/>
      <c r="CK1003" s="2"/>
    </row>
    <row r="1004" ht="12.75" customHeight="1">
      <c r="A1004" s="85">
        <f>IFERROR(__xludf.DUMMYFUNCTION("""COMPUTED_VALUE"""),1000.0)</f>
        <v>1000</v>
      </c>
      <c r="B1004" s="85"/>
      <c r="C1004" s="85"/>
      <c r="D1004" s="86">
        <f>IFERROR(__xludf.DUMMYFUNCTION("""COMPUTED_VALUE"""),46164.0)</f>
        <v>46164</v>
      </c>
      <c r="E1004" s="88"/>
      <c r="F1004" s="85"/>
      <c r="G1004" s="86"/>
      <c r="H1004" s="85"/>
      <c r="I1004" s="85"/>
      <c r="J1004" s="85"/>
      <c r="K1004" s="85"/>
      <c r="L1004" s="85"/>
      <c r="M1004" s="85"/>
      <c r="N1004" s="85"/>
      <c r="O1004" s="85"/>
      <c r="P1004" s="85" t="str">
        <f>IFERROR(__xludf.DUMMYFUNCTION("""COMPUTED_VALUE"""),"MUCSPA63479PSIND")</f>
        <v>MUCSPA63479PSIND</v>
      </c>
      <c r="Q1004" s="85" t="str">
        <f>IFERROR(__xludf.DUMMYFUNCTION("""COMPUTED_VALUE"""),"MUC A2BIHAN")</f>
        <v>MUC A2BIHAN</v>
      </c>
      <c r="R1004" s="85" t="str">
        <f>IFERROR(__xludf.DUMMYFUNCTION("""COMPUTED_VALUE"""),"MUC A2BIHAN")</f>
        <v>MUC A2BIHAN</v>
      </c>
      <c r="S1004" s="85" t="str">
        <f>IFERROR(__xludf.DUMMYFUNCTION("""COMPUTED_VALUE"""),"MHD. KHAIDIR SITINJAK")</f>
        <v>MHD. KHAIDIR SITINJAK</v>
      </c>
      <c r="T1004" s="85" t="str">
        <f>IFERROR(__xludf.DUMMYFUNCTION("""COMPUTED_VALUE"""),"HUTA II SEI MERBAU")</f>
        <v>HUTA II SEI MERBAU</v>
      </c>
      <c r="U1004" s="85" t="str">
        <f>IFERROR(__xludf.DUMMYFUNCTION("""COMPUTED_VALUE"""),"HUTA PANGLONG V DUSUN PENGKOLAN")</f>
        <v>HUTA PANGLONG V DUSUN PENGKOLAN</v>
      </c>
      <c r="V1004" s="85"/>
      <c r="W1004" s="85" t="str">
        <f>IFERROR(__xludf.DUMMYFUNCTION("""COMPUTED_VALUE"""),"DUSUN PENGKOLAN")</f>
        <v>DUSUN PENGKOLAN</v>
      </c>
      <c r="X1004" s="85" t="str">
        <f>IFERROR(__xludf.DUMMYFUNCTION("""COMPUTED_VALUE"""),"BOSAR MALIGAS")</f>
        <v>BOSAR MALIGAS</v>
      </c>
      <c r="Y1004" s="85" t="str">
        <f>IFERROR(__xludf.DUMMYFUNCTION("""COMPUTED_VALUE"""),"KAB. SIMALUNGUN")</f>
        <v>KAB. SIMALUNGUN</v>
      </c>
      <c r="Z1004" s="85" t="str">
        <f>IFERROR(__xludf.DUMMYFUNCTION("""COMPUTED_VALUE"""),"SUMATERA UTARA")</f>
        <v>SUMATERA UTARA</v>
      </c>
      <c r="AA1004" s="85" t="str">
        <f>IFERROR(__xludf.DUMMYFUNCTION("""COMPUTED_VALUE"""),"21183")</f>
        <v>21183</v>
      </c>
      <c r="AB1004" s="85" t="str">
        <f>IFERROR(__xludf.DUMMYFUNCTION("""COMPUTED_VALUE"""),"1208301803850003")</f>
        <v>1208301803850003</v>
      </c>
      <c r="AC1004" s="85" t="str">
        <f>IFERROR(__xludf.DUMMYFUNCTION("""COMPUTED_VALUE"""),"51.316.101.2-117.000")</f>
        <v>51.316.101.2-117.000</v>
      </c>
      <c r="AD1004" s="85" t="str">
        <f>IFERROR(__xludf.DUMMYFUNCTION("""COMPUTED_VALUE"""),"BU DEVI PEMATANGSIANTAR")</f>
        <v>BU DEVI PEMATANGSIANTAR</v>
      </c>
      <c r="AE1004" s="85" t="str">
        <f>IFERROR(__xludf.DUMMYFUNCTION("""COMPUTED_VALUE"""),"BU DEVI PEMATANGSIANTAR")</f>
        <v>BU DEVI PEMATANGSIANTAR</v>
      </c>
      <c r="AF1004" s="85" t="str">
        <f>IFERROR(__xludf.DUMMYFUNCTION("""COMPUTED_VALUE"""),"085360220075")</f>
        <v>085360220075</v>
      </c>
      <c r="AG1004" s="85" t="str">
        <f>IFERROR(__xludf.DUMMYFUNCTION("""COMPUTED_VALUE"""),"085360220075")</f>
        <v>085360220075</v>
      </c>
      <c r="AH1004" s="85" t="str">
        <f>IFERROR(__xludf.DUMMYFUNCTION("""COMPUTED_VALUE"""),"famsydery30@gmail.com")</f>
        <v>famsydery30@gmail.com</v>
      </c>
      <c r="AI1004" s="85"/>
      <c r="AJ1004" s="85"/>
      <c r="AK1004" s="85"/>
      <c r="AL1004" s="85"/>
      <c r="AM1004" s="85" t="str">
        <f>IFERROR(__xludf.DUMMYFUNCTION("""COMPUTED_VALUE"""),"KANTOR REGIONAL I MEDAN 20004")</f>
        <v>KANTOR REGIONAL I MEDAN 20004</v>
      </c>
      <c r="AN1004" s="85" t="str">
        <f>IFERROR(__xludf.DUMMYFUNCTION("""COMPUTED_VALUE"""),"KC PEMATANGSIANTAR 21100")</f>
        <v>KC PEMATANGSIANTAR 21100</v>
      </c>
      <c r="AO1004" s="85" t="str">
        <f>IFERROR(__xludf.DUMMYFUNCTION("""COMPUTED_VALUE"""),"1705220022064")</f>
        <v>1705220022064</v>
      </c>
      <c r="AP1004" s="85" t="str">
        <f>IFERROR(__xludf.DUMMYFUNCTION("""COMPUTED_VALUE"""),"17052200220640002")</f>
        <v>17052200220640002</v>
      </c>
      <c r="AQ1004" s="93" t="str">
        <f>IFERROR(__xludf.DUMMYFUNCTION("""COMPUTED_VALUE"""),"0636 0100 7360 539")</f>
        <v>0636 0100 7360 539</v>
      </c>
      <c r="AR1004" s="85" t="str">
        <f>IFERROR(__xludf.DUMMYFUNCTION("""COMPUTED_VALUE"""),"BRI")</f>
        <v>BRI</v>
      </c>
      <c r="AS1004" s="85" t="str">
        <f>IFERROR(__xludf.DUMMYFUNCTION("""COMPUTED_VALUE"""),"MHD. KHAIDIR SITINJAK")</f>
        <v>MHD. KHAIDIR SITINJAK</v>
      </c>
      <c r="AT1004" s="85" t="str">
        <f>IFERROR(__xludf.DUMMYFUNCTION("""COMPUTED_VALUE"""),"3.0638864")</f>
        <v>3.0638864</v>
      </c>
      <c r="AU1004" s="85" t="str">
        <f>IFERROR(__xludf.DUMMYFUNCTION("""COMPUTED_VALUE"""),"99.417864")</f>
        <v>99.417864</v>
      </c>
      <c r="AV1004" s="85"/>
      <c r="AW1004" s="85"/>
      <c r="AX1004" s="85"/>
      <c r="AY1004" s="85"/>
      <c r="AZ1004" s="85"/>
      <c r="BA1004" s="85"/>
      <c r="BB1004" s="85"/>
      <c r="BC1004" s="85"/>
      <c r="BD1004" s="85"/>
      <c r="BE1004" s="85"/>
      <c r="BF1004" s="85"/>
      <c r="BG1004" s="85"/>
      <c r="BH1004" s="85"/>
      <c r="BI1004" s="85"/>
      <c r="BJ1004" s="85"/>
      <c r="BK1004" s="85"/>
      <c r="BL1004" s="85"/>
      <c r="BM1004" s="85"/>
      <c r="BN1004" s="85"/>
      <c r="BO1004" s="85"/>
      <c r="BP1004" s="85"/>
      <c r="BQ1004" s="85"/>
      <c r="BR1004" s="85"/>
      <c r="BS1004" s="85"/>
      <c r="BT1004" s="85"/>
      <c r="BU1004" s="85"/>
      <c r="BV1004" s="85"/>
      <c r="BW1004" s="85"/>
      <c r="BX1004" s="85"/>
      <c r="BY1004" s="85"/>
      <c r="BZ1004" s="85"/>
      <c r="CA1004" s="85"/>
      <c r="CB1004" s="85"/>
      <c r="CC1004" s="85"/>
      <c r="CD1004" s="85"/>
      <c r="CE1004" s="85"/>
      <c r="CF1004" s="85"/>
      <c r="CG1004" s="85"/>
      <c r="CH1004" s="85"/>
      <c r="CI1004" s="85"/>
      <c r="CJ1004" s="85"/>
      <c r="CK1004" s="2"/>
    </row>
    <row r="1005" ht="12.75" customHeight="1">
      <c r="A1005" s="80">
        <f>IFERROR(__xludf.DUMMYFUNCTION("""COMPUTED_VALUE"""),1001.0)</f>
        <v>1001</v>
      </c>
      <c r="B1005" s="80"/>
      <c r="C1005" s="80"/>
      <c r="D1005" s="81">
        <f>IFERROR(__xludf.DUMMYFUNCTION("""COMPUTED_VALUE"""),46164.0)</f>
        <v>46164</v>
      </c>
      <c r="E1005" s="82"/>
      <c r="F1005" s="80"/>
      <c r="G1005" s="81">
        <f>IFERROR(__xludf.DUMMYFUNCTION("""COMPUTED_VALUE"""),46178.0)</f>
        <v>46178</v>
      </c>
      <c r="H1005" s="80"/>
      <c r="I1005" s="80"/>
      <c r="J1005" s="80"/>
      <c r="K1005" s="80"/>
      <c r="L1005" s="80">
        <f>IFERROR(__xludf.DUMMYFUNCTION("""COMPUTED_VALUE"""),14.0)</f>
        <v>14</v>
      </c>
      <c r="M1005" s="80"/>
      <c r="N1005" s="80"/>
      <c r="O1005" s="80"/>
      <c r="P1005" s="80" t="str">
        <f>IFERROR(__xludf.DUMMYFUNCTION("""COMPUTED_VALUE"""),"MUCSPA63476PSIND")</f>
        <v>MUCSPA63476PSIND</v>
      </c>
      <c r="Q1005" s="80" t="str">
        <f>IFERROR(__xludf.DUMMYFUNCTION("""COMPUTED_VALUE"""),"MUC HADI GRAHA POOL")</f>
        <v>MUC HADI GRAHA POOL</v>
      </c>
      <c r="R1005" s="80" t="str">
        <f>IFERROR(__xludf.DUMMYFUNCTION("""COMPUTED_VALUE"""),"MUC HADI GRAHA POOL")</f>
        <v>MUC HADI GRAHA POOL</v>
      </c>
      <c r="S1005" s="80" t="str">
        <f>IFERROR(__xludf.DUMMYFUNCTION("""COMPUTED_VALUE"""),"Hadi sutikno")</f>
        <v>Hadi sutikno</v>
      </c>
      <c r="T1005" s="80" t="str">
        <f>IFERROR(__xludf.DUMMYFUNCTION("""COMPUTED_VALUE"""),"Jl Mahkota Ruby no.101 Taman Victoria Babakan Madang Kabupaten Bogor")</f>
        <v>Jl Mahkota Ruby no.101 Taman Victoria Babakan Madang Kabupaten Bogor</v>
      </c>
      <c r="U1005" s="80" t="str">
        <f>IFERROR(__xludf.DUMMYFUNCTION("""COMPUTED_VALUE"""),"Gedung Graha Pool Jl Merdeka No.110")</f>
        <v>Gedung Graha Pool Jl Merdeka No.110</v>
      </c>
      <c r="V1005" s="80"/>
      <c r="W1005" s="80" t="str">
        <f>IFERROR(__xludf.DUMMYFUNCTION("""COMPUTED_VALUE"""),"Ciwaringin")</f>
        <v>Ciwaringin</v>
      </c>
      <c r="X1005" s="80" t="str">
        <f>IFERROR(__xludf.DUMMYFUNCTION("""COMPUTED_VALUE"""),"Bogor Tengah")</f>
        <v>Bogor Tengah</v>
      </c>
      <c r="Y1005" s="80" t="str">
        <f>IFERROR(__xludf.DUMMYFUNCTION("""COMPUTED_VALUE"""),"Bogor")</f>
        <v>Bogor</v>
      </c>
      <c r="Z1005" s="80" t="str">
        <f>IFERROR(__xludf.DUMMYFUNCTION("""COMPUTED_VALUE"""),"Jawa Barat")</f>
        <v>Jawa Barat</v>
      </c>
      <c r="AA1005" s="80" t="str">
        <f>IFERROR(__xludf.DUMMYFUNCTION("""COMPUTED_VALUE"""),"16124")</f>
        <v>16124</v>
      </c>
      <c r="AB1005" s="80" t="str">
        <f>IFERROR(__xludf.DUMMYFUNCTION("""COMPUTED_VALUE"""),"3510080401790003")</f>
        <v>3510080401790003</v>
      </c>
      <c r="AC1005" s="80" t="str">
        <f>IFERROR(__xludf.DUMMYFUNCTION("""COMPUTED_VALUE"""),"36.029.923.4-627.000")</f>
        <v>36.029.923.4-627.000</v>
      </c>
      <c r="AD1005" s="80" t="str">
        <f>IFERROR(__xludf.DUMMYFUNCTION("""COMPUTED_VALUE"""),"CUM - PS - ASEPN")</f>
        <v>CUM - PS - ASEPN</v>
      </c>
      <c r="AE1005" s="80" t="str">
        <f>IFERROR(__xludf.DUMMYFUNCTION("""COMPUTED_VALUE"""),"CUM - PS - ASEPN")</f>
        <v>CUM - PS - ASEPN</v>
      </c>
      <c r="AF1005" s="80" t="str">
        <f>IFERROR(__xludf.DUMMYFUNCTION("""COMPUTED_VALUE"""),"081336002992")</f>
        <v>081336002992</v>
      </c>
      <c r="AG1005" s="80" t="str">
        <f>IFERROR(__xludf.DUMMYFUNCTION("""COMPUTED_VALUE"""),"081336002992")</f>
        <v>081336002992</v>
      </c>
      <c r="AH1005" s="80" t="str">
        <f>IFERROR(__xludf.DUMMYFUNCTION("""COMPUTED_VALUE"""),"bryan.dnta@gmail.com")</f>
        <v>bryan.dnta@gmail.com</v>
      </c>
      <c r="AI1005" s="80" t="str">
        <f>IFERROR(__xludf.DUMMYFUNCTION("""COMPUTED_VALUE"""),"16124S1")</f>
        <v>16124S1</v>
      </c>
      <c r="AJ1005" s="80" t="str">
        <f>IFERROR(__xludf.DUMMYFUNCTION("""COMPUTED_VALUE"""),"6a2275ca958fe988850205ab")</f>
        <v>6a2275ca958fe988850205ab</v>
      </c>
      <c r="AK1005" s="80" t="str">
        <f>IFERROR(__xludf.DUMMYFUNCTION("""COMPUTED_VALUE"""),"bryan.dnta@gmail.com")</f>
        <v>bryan.dnta@gmail.com</v>
      </c>
      <c r="AL1005" s="80" t="str">
        <f>IFERROR(__xludf.DUMMYFUNCTION("""COMPUTED_VALUE"""),"#Muc16124S1$")</f>
        <v>#Muc16124S1$</v>
      </c>
      <c r="AM1005" s="80" t="str">
        <f>IFERROR(__xludf.DUMMYFUNCTION("""COMPUTED_VALUE"""),"KANTOR REGIONAL II JAKARTA 10004")</f>
        <v>KANTOR REGIONAL II JAKARTA 10004</v>
      </c>
      <c r="AN1005" s="80" t="str">
        <f>IFERROR(__xludf.DUMMYFUNCTION("""COMPUTED_VALUE"""),"KCU BOGOR 16000")</f>
        <v>KCU BOGOR 16000</v>
      </c>
      <c r="AO1005" s="80" t="str">
        <f>IFERROR(__xludf.DUMMYFUNCTION("""COMPUTED_VALUE"""),"2205260110047")</f>
        <v>2205260110047</v>
      </c>
      <c r="AP1005" s="80" t="str">
        <f>IFERROR(__xludf.DUMMYFUNCTION("""COMPUTED_VALUE"""),"22052601100470001")</f>
        <v>22052601100470001</v>
      </c>
      <c r="AQ1005" s="83" t="str">
        <f>IFERROR(__xludf.DUMMYFUNCTION("""COMPUTED_VALUE"""),"1740440540")</f>
        <v>1740440540</v>
      </c>
      <c r="AR1005" s="80" t="str">
        <f>IFERROR(__xludf.DUMMYFUNCTION("""COMPUTED_VALUE"""),"BCA")</f>
        <v>BCA</v>
      </c>
      <c r="AS1005" s="80" t="str">
        <f>IFERROR(__xludf.DUMMYFUNCTION("""COMPUTED_VALUE"""),"Hadi sutikno")</f>
        <v>Hadi sutikno</v>
      </c>
      <c r="AT1005" s="80" t="str">
        <f>IFERROR(__xludf.DUMMYFUNCTION("""COMPUTED_VALUE"""),"-6.58843")</f>
        <v>-6.58843</v>
      </c>
      <c r="AU1005" s="80" t="str">
        <f>IFERROR(__xludf.DUMMYFUNCTION("""COMPUTED_VALUE"""),"106.78798")</f>
        <v>106.78798</v>
      </c>
      <c r="AV1005" s="80"/>
      <c r="AW1005" s="80"/>
      <c r="AX1005" s="80"/>
      <c r="AY1005" s="80"/>
      <c r="AZ1005" s="80"/>
      <c r="BA1005" s="80"/>
      <c r="BB1005" s="80"/>
      <c r="BC1005" s="80"/>
      <c r="BD1005" s="80"/>
      <c r="BE1005" s="80"/>
      <c r="BF1005" s="80"/>
      <c r="BG1005" s="80"/>
      <c r="BH1005" s="80"/>
      <c r="BI1005" s="80"/>
      <c r="BJ1005" s="80"/>
      <c r="BK1005" s="80"/>
      <c r="BL1005" s="80"/>
      <c r="BM1005" s="80"/>
      <c r="BN1005" s="80"/>
      <c r="BO1005" s="80"/>
      <c r="BP1005" s="80"/>
      <c r="BQ1005" s="80"/>
      <c r="BR1005" s="80"/>
      <c r="BS1005" s="80"/>
      <c r="BT1005" s="80"/>
      <c r="BU1005" s="80"/>
      <c r="BV1005" s="80"/>
      <c r="BW1005" s="80"/>
      <c r="BX1005" s="80"/>
      <c r="BY1005" s="80"/>
      <c r="BZ1005" s="80"/>
      <c r="CA1005" s="80"/>
      <c r="CB1005" s="80"/>
      <c r="CC1005" s="80"/>
      <c r="CD1005" s="80"/>
      <c r="CE1005" s="80"/>
      <c r="CF1005" s="80"/>
      <c r="CG1005" s="80"/>
      <c r="CH1005" s="80"/>
      <c r="CI1005" s="80"/>
      <c r="CJ1005" s="80"/>
      <c r="CK1005" s="2"/>
    </row>
    <row r="1006" ht="12.75" customHeight="1">
      <c r="A1006" s="85">
        <f>IFERROR(__xludf.DUMMYFUNCTION("""COMPUTED_VALUE"""),1002.0)</f>
        <v>1002</v>
      </c>
      <c r="B1006" s="85"/>
      <c r="C1006" s="85"/>
      <c r="D1006" s="86">
        <f>IFERROR(__xludf.DUMMYFUNCTION("""COMPUTED_VALUE"""),46164.0)</f>
        <v>46164</v>
      </c>
      <c r="E1006" s="88"/>
      <c r="F1006" s="85"/>
      <c r="G1006" s="86"/>
      <c r="H1006" s="85"/>
      <c r="I1006" s="85"/>
      <c r="J1006" s="85"/>
      <c r="K1006" s="85"/>
      <c r="L1006" s="85"/>
      <c r="M1006" s="85"/>
      <c r="N1006" s="85"/>
      <c r="O1006" s="85"/>
      <c r="P1006" s="85" t="str">
        <f>IFERROR(__xludf.DUMMYFUNCTION("""COMPUTED_VALUE"""),"MUCSPA63480PSIND")</f>
        <v>MUCSPA63480PSIND</v>
      </c>
      <c r="Q1006" s="85" t="str">
        <f>IFERROR(__xludf.DUMMYFUNCTION("""COMPUTED_VALUE"""),"MUC SEMAR EXSPEDISI")</f>
        <v>MUC SEMAR EXSPEDISI</v>
      </c>
      <c r="R1006" s="85" t="str">
        <f>IFERROR(__xludf.DUMMYFUNCTION("""COMPUTED_VALUE"""),"MUC SEMAR EXSPEDISI")</f>
        <v>MUC SEMAR EXSPEDISI</v>
      </c>
      <c r="S1006" s="85" t="str">
        <f>IFERROR(__xludf.DUMMYFUNCTION("""COMPUTED_VALUE"""),"NICOLAS ALBERTO")</f>
        <v>NICOLAS ALBERTO</v>
      </c>
      <c r="T1006" s="85" t="str">
        <f>IFERROR(__xludf.DUMMYFUNCTION("""COMPUTED_VALUE"""),"JL. DELIMA SELATAN I C2/3 PHP RT 1 RW 26 PENGASINAN RAWALUMBU")</f>
        <v>JL. DELIMA SELATAN I C2/3 PHP RT 1 RW 26 PENGASINAN RAWALUMBU</v>
      </c>
      <c r="U1006" s="85" t="str">
        <f>IFERROR(__xludf.DUMMYFUNCTION("""COMPUTED_VALUE"""),"JL. DELIMA SELATAN I C2/3 PHP RT 1 RW 26")</f>
        <v>JL. DELIMA SELATAN I C2/3 PHP RT 1 RW 26</v>
      </c>
      <c r="V1006" s="85" t="str">
        <f>IFERROR(__xludf.DUMMYFUNCTION("""COMPUTED_VALUE"""),"RT 1 R \ RW 26 ")</f>
        <v>RT 1 R \ RW 26 </v>
      </c>
      <c r="W1006" s="85" t="str">
        <f>IFERROR(__xludf.DUMMYFUNCTION("""COMPUTED_VALUE"""),"PENGASINAN")</f>
        <v>PENGASINAN</v>
      </c>
      <c r="X1006" s="85" t="str">
        <f>IFERROR(__xludf.DUMMYFUNCTION("""COMPUTED_VALUE"""),"BEKASI TIMUR")</f>
        <v>BEKASI TIMUR</v>
      </c>
      <c r="Y1006" s="85" t="str">
        <f>IFERROR(__xludf.DUMMYFUNCTION("""COMPUTED_VALUE"""),"BEKASI")</f>
        <v>BEKASI</v>
      </c>
      <c r="Z1006" s="85" t="str">
        <f>IFERROR(__xludf.DUMMYFUNCTION("""COMPUTED_VALUE"""),"JAWA BARAT")</f>
        <v>JAWA BARAT</v>
      </c>
      <c r="AA1006" s="85" t="str">
        <f>IFERROR(__xludf.DUMMYFUNCTION("""COMPUTED_VALUE"""),"17115")</f>
        <v>17115</v>
      </c>
      <c r="AB1006" s="85" t="str">
        <f>IFERROR(__xludf.DUMMYFUNCTION("""COMPUTED_VALUE"""),"3275051405890013")</f>
        <v>3275051405890013</v>
      </c>
      <c r="AC1006" s="85" t="str">
        <f>IFERROR(__xludf.DUMMYFUNCTION("""COMPUTED_VALUE"""),"94.907.921.4-432.000")</f>
        <v>94.907.921.4-432.000</v>
      </c>
      <c r="AD1006" s="85" t="str">
        <f>IFERROR(__xludf.DUMMYFUNCTION("""COMPUTED_VALUE"""),"PAK YUNUS KCU BEKASI")</f>
        <v>PAK YUNUS KCU BEKASI</v>
      </c>
      <c r="AE1006" s="85" t="str">
        <f>IFERROR(__xludf.DUMMYFUNCTION("""COMPUTED_VALUE"""),"PAK YUNUS KCU BEKASI")</f>
        <v>PAK YUNUS KCU BEKASI</v>
      </c>
      <c r="AF1006" s="85" t="str">
        <f>IFERROR(__xludf.DUMMYFUNCTION("""COMPUTED_VALUE"""),"08567345852")</f>
        <v>08567345852</v>
      </c>
      <c r="AG1006" s="85" t="str">
        <f>IFERROR(__xludf.DUMMYFUNCTION("""COMPUTED_VALUE"""),"08567345852")</f>
        <v>08567345852</v>
      </c>
      <c r="AH1006" s="85" t="str">
        <f>IFERROR(__xludf.DUMMYFUNCTION("""COMPUTED_VALUE"""),"nicolasalberto1421@gmail.com")</f>
        <v>nicolasalberto1421@gmail.com</v>
      </c>
      <c r="AI1006" s="85"/>
      <c r="AJ1006" s="85"/>
      <c r="AK1006" s="85"/>
      <c r="AL1006" s="85"/>
      <c r="AM1006" s="85" t="str">
        <f>IFERROR(__xludf.DUMMYFUNCTION("""COMPUTED_VALUE"""),"KANTOR REGIONAL II JAKARTA 10004")</f>
        <v>KANTOR REGIONAL II JAKARTA 10004</v>
      </c>
      <c r="AN1006" s="85" t="str">
        <f>IFERROR(__xludf.DUMMYFUNCTION("""COMPUTED_VALUE"""),"KCU BEKASI 17000")</f>
        <v>KCU BEKASI 17000</v>
      </c>
      <c r="AO1006" s="85" t="str">
        <f>IFERROR(__xludf.DUMMYFUNCTION("""COMPUTED_VALUE"""),"2205260104087")</f>
        <v>2205260104087</v>
      </c>
      <c r="AP1006" s="85" t="str">
        <f>IFERROR(__xludf.DUMMYFUNCTION("""COMPUTED_VALUE"""),"22052601040870002")</f>
        <v>22052601040870002</v>
      </c>
      <c r="AQ1006" s="93" t="str">
        <f>IFERROR(__xludf.DUMMYFUNCTION("""COMPUTED_VALUE"""),"DEPOSIT")</f>
        <v>DEPOSIT</v>
      </c>
      <c r="AR1006" s="85" t="str">
        <f>IFERROR(__xludf.DUMMYFUNCTION("""COMPUTED_VALUE"""),"DEPOSIT")</f>
        <v>DEPOSIT</v>
      </c>
      <c r="AS1006" s="85" t="str">
        <f>IFERROR(__xludf.DUMMYFUNCTION("""COMPUTED_VALUE"""),"DEPOSIT")</f>
        <v>DEPOSIT</v>
      </c>
      <c r="AT1006" s="85" t="str">
        <f>IFERROR(__xludf.DUMMYFUNCTION("""COMPUTED_VALUE"""),"-6.2696376")</f>
        <v>-6.2696376</v>
      </c>
      <c r="AU1006" s="85" t="str">
        <f>IFERROR(__xludf.DUMMYFUNCTION("""COMPUTED_VALUE"""),"107.0143827")</f>
        <v>107.0143827</v>
      </c>
      <c r="AV1006" s="85"/>
      <c r="AW1006" s="85"/>
      <c r="AX1006" s="85"/>
      <c r="AY1006" s="85"/>
      <c r="AZ1006" s="85"/>
      <c r="BA1006" s="85"/>
      <c r="BB1006" s="85"/>
      <c r="BC1006" s="85"/>
      <c r="BD1006" s="85"/>
      <c r="BE1006" s="85"/>
      <c r="BF1006" s="85"/>
      <c r="BG1006" s="85"/>
      <c r="BH1006" s="85"/>
      <c r="BI1006" s="85"/>
      <c r="BJ1006" s="85"/>
      <c r="BK1006" s="85"/>
      <c r="BL1006" s="85"/>
      <c r="BM1006" s="85"/>
      <c r="BN1006" s="85"/>
      <c r="BO1006" s="85"/>
      <c r="BP1006" s="85"/>
      <c r="BQ1006" s="85"/>
      <c r="BR1006" s="85"/>
      <c r="BS1006" s="85"/>
      <c r="BT1006" s="85"/>
      <c r="BU1006" s="85"/>
      <c r="BV1006" s="85"/>
      <c r="BW1006" s="85"/>
      <c r="BX1006" s="85"/>
      <c r="BY1006" s="85"/>
      <c r="BZ1006" s="85"/>
      <c r="CA1006" s="85"/>
      <c r="CB1006" s="85"/>
      <c r="CC1006" s="85"/>
      <c r="CD1006" s="85"/>
      <c r="CE1006" s="85"/>
      <c r="CF1006" s="85"/>
      <c r="CG1006" s="85"/>
      <c r="CH1006" s="85"/>
      <c r="CI1006" s="85"/>
      <c r="CJ1006" s="85"/>
      <c r="CK1006" s="2"/>
    </row>
    <row r="1007" ht="12.75" customHeight="1">
      <c r="A1007" s="80">
        <f>IFERROR(__xludf.DUMMYFUNCTION("""COMPUTED_VALUE"""),1003.0)</f>
        <v>1003</v>
      </c>
      <c r="B1007" s="80"/>
      <c r="C1007" s="80"/>
      <c r="D1007" s="81">
        <f>IFERROR(__xludf.DUMMYFUNCTION("""COMPUTED_VALUE"""),46164.0)</f>
        <v>46164</v>
      </c>
      <c r="E1007" s="82"/>
      <c r="F1007" s="80"/>
      <c r="G1007" s="81"/>
      <c r="H1007" s="80"/>
      <c r="I1007" s="80"/>
      <c r="J1007" s="80"/>
      <c r="K1007" s="80"/>
      <c r="L1007" s="80"/>
      <c r="M1007" s="80"/>
      <c r="N1007" s="80"/>
      <c r="O1007" s="80"/>
      <c r="P1007" s="80" t="str">
        <f>IFERROR(__xludf.DUMMYFUNCTION("""COMPUTED_VALUE"""),"MUCSPA63481PSIND")</f>
        <v>MUCSPA63481PSIND</v>
      </c>
      <c r="Q1007" s="80" t="str">
        <f>IFERROR(__xludf.DUMMYFUNCTION("""COMPUTED_VALUE"""),"MUC PLAZA KAUTSAR")</f>
        <v>MUC PLAZA KAUTSAR</v>
      </c>
      <c r="R1007" s="80" t="str">
        <f>IFERROR(__xludf.DUMMYFUNCTION("""COMPUTED_VALUE"""),"MUC PLAZA KAUTSAR")</f>
        <v>MUC PLAZA KAUTSAR</v>
      </c>
      <c r="S1007" s="80" t="str">
        <f>IFERROR(__xludf.DUMMYFUNCTION("""COMPUTED_VALUE"""),"SUSANTO")</f>
        <v>SUSANTO</v>
      </c>
      <c r="T1007" s="80" t="str">
        <f>IFERROR(__xludf.DUMMYFUNCTION("""COMPUTED_VALUE"""),"PLUIT BARAT IV NO. 3 RT 15 RW 7 PLUIT PENJARINGAN")</f>
        <v>PLUIT BARAT IV NO. 3 RT 15 RW 7 PLUIT PENJARINGAN</v>
      </c>
      <c r="U1007" s="80" t="str">
        <f>IFERROR(__xludf.DUMMYFUNCTION("""COMPUTED_VALUE"""),"RUKO PLAZA KAUTSAR, JL. KELAPA DUA RAYA NO. 6")</f>
        <v>RUKO PLAZA KAUTSAR, JL. KELAPA DUA RAYA NO. 6</v>
      </c>
      <c r="V1007" s="80" t="str">
        <f>IFERROR(__xludf.DUMMYFUNCTION("""COMPUTED_VALUE"""),"RT 15  \ RW 7 P")</f>
        <v>RT 15  \ RW 7 P</v>
      </c>
      <c r="W1007" s="80" t="str">
        <f>IFERROR(__xludf.DUMMYFUNCTION("""COMPUTED_VALUE"""),"KELAPA DUA")</f>
        <v>KELAPA DUA</v>
      </c>
      <c r="X1007" s="80" t="str">
        <f>IFERROR(__xludf.DUMMYFUNCTION("""COMPUTED_VALUE"""),"KELAPA DUA")</f>
        <v>KELAPA DUA</v>
      </c>
      <c r="Y1007" s="80" t="str">
        <f>IFERROR(__xludf.DUMMYFUNCTION("""COMPUTED_VALUE"""),"KAB. TANGERANG")</f>
        <v>KAB. TANGERANG</v>
      </c>
      <c r="Z1007" s="80" t="str">
        <f>IFERROR(__xludf.DUMMYFUNCTION("""COMPUTED_VALUE"""),"BANTEN")</f>
        <v>BANTEN</v>
      </c>
      <c r="AA1007" s="80" t="str">
        <f>IFERROR(__xludf.DUMMYFUNCTION("""COMPUTED_VALUE"""),"15811")</f>
        <v>15811</v>
      </c>
      <c r="AB1007" s="80" t="str">
        <f>IFERROR(__xludf.DUMMYFUNCTION("""COMPUTED_VALUE"""),"3172010402860002")</f>
        <v>3172010402860002</v>
      </c>
      <c r="AC1007" s="80" t="str">
        <f>IFERROR(__xludf.DUMMYFUNCTION("""COMPUTED_VALUE"""),"74.435.844.1-047.000")</f>
        <v>74.435.844.1-047.000</v>
      </c>
      <c r="AD1007" s="80" t="str">
        <f>IFERROR(__xludf.DUMMYFUNCTION("""COMPUTED_VALUE"""),"CUM - PS - DWIH")</f>
        <v>CUM - PS - DWIH</v>
      </c>
      <c r="AE1007" s="80" t="str">
        <f>IFERROR(__xludf.DUMMYFUNCTION("""COMPUTED_VALUE"""),"CUM - PS - DWIH")</f>
        <v>CUM - PS - DWIH</v>
      </c>
      <c r="AF1007" s="80" t="str">
        <f>IFERROR(__xludf.DUMMYFUNCTION("""COMPUTED_VALUE"""),"0811168369")</f>
        <v>0811168369</v>
      </c>
      <c r="AG1007" s="80" t="str">
        <f>IFERROR(__xludf.DUMMYFUNCTION("""COMPUTED_VALUE"""),"0811168369")</f>
        <v>0811168369</v>
      </c>
      <c r="AH1007" s="80" t="str">
        <f>IFERROR(__xludf.DUMMYFUNCTION("""COMPUTED_VALUE"""),"santompf@gmail.com")</f>
        <v>santompf@gmail.com</v>
      </c>
      <c r="AI1007" s="80"/>
      <c r="AJ1007" s="80"/>
      <c r="AK1007" s="80"/>
      <c r="AL1007" s="80"/>
      <c r="AM1007" s="80" t="str">
        <f>IFERROR(__xludf.DUMMYFUNCTION("""COMPUTED_VALUE"""),"KANTOR REGIONAL II JAKARTA 10004")</f>
        <v>KANTOR REGIONAL II JAKARTA 10004</v>
      </c>
      <c r="AN1007" s="80" t="str">
        <f>IFERROR(__xludf.DUMMYFUNCTION("""COMPUTED_VALUE"""),"KCU TANGERANG 15000")</f>
        <v>KCU TANGERANG 15000</v>
      </c>
      <c r="AO1007" s="80" t="str">
        <f>IFERROR(__xludf.DUMMYFUNCTION("""COMPUTED_VALUE"""),"2404240327481")</f>
        <v>2404240327481</v>
      </c>
      <c r="AP1007" s="80" t="str">
        <f>IFERROR(__xludf.DUMMYFUNCTION("""COMPUTED_VALUE"""),"24042403274810002")</f>
        <v>24042403274810002</v>
      </c>
      <c r="AQ1007" s="83" t="str">
        <f>IFERROR(__xludf.DUMMYFUNCTION("""COMPUTED_VALUE"""),"012001274075502")</f>
        <v>012001274075502</v>
      </c>
      <c r="AR1007" s="80"/>
      <c r="AS1007" s="80"/>
      <c r="AT1007" s="80" t="str">
        <f>IFERROR(__xludf.DUMMYFUNCTION("""COMPUTED_VALUE"""),"-6.2339615")</f>
        <v>-6.2339615</v>
      </c>
      <c r="AU1007" s="80" t="str">
        <f>IFERROR(__xludf.DUMMYFUNCTION("""COMPUTED_VALUE"""),"106.6188611")</f>
        <v>106.6188611</v>
      </c>
      <c r="AV1007" s="80"/>
      <c r="AW1007" s="80"/>
      <c r="AX1007" s="80"/>
      <c r="AY1007" s="80"/>
      <c r="AZ1007" s="80"/>
      <c r="BA1007" s="80"/>
      <c r="BB1007" s="80"/>
      <c r="BC1007" s="80"/>
      <c r="BD1007" s="80"/>
      <c r="BE1007" s="80"/>
      <c r="BF1007" s="80"/>
      <c r="BG1007" s="80"/>
      <c r="BH1007" s="80"/>
      <c r="BI1007" s="80"/>
      <c r="BJ1007" s="80"/>
      <c r="BK1007" s="80"/>
      <c r="BL1007" s="80"/>
      <c r="BM1007" s="80"/>
      <c r="BN1007" s="80"/>
      <c r="BO1007" s="80"/>
      <c r="BP1007" s="80"/>
      <c r="BQ1007" s="80"/>
      <c r="BR1007" s="80"/>
      <c r="BS1007" s="80"/>
      <c r="BT1007" s="80"/>
      <c r="BU1007" s="80"/>
      <c r="BV1007" s="80"/>
      <c r="BW1007" s="80"/>
      <c r="BX1007" s="80"/>
      <c r="BY1007" s="80"/>
      <c r="BZ1007" s="80"/>
      <c r="CA1007" s="80"/>
      <c r="CB1007" s="80"/>
      <c r="CC1007" s="80"/>
      <c r="CD1007" s="80"/>
      <c r="CE1007" s="80"/>
      <c r="CF1007" s="80"/>
      <c r="CG1007" s="80"/>
      <c r="CH1007" s="80"/>
      <c r="CI1007" s="80"/>
      <c r="CJ1007" s="80"/>
      <c r="CK1007" s="2"/>
    </row>
    <row r="1008" ht="12.75" customHeight="1">
      <c r="A1008" s="85">
        <f>IFERROR(__xludf.DUMMYFUNCTION("""COMPUTED_VALUE"""),1004.0)</f>
        <v>1004</v>
      </c>
      <c r="B1008" s="85"/>
      <c r="C1008" s="85"/>
      <c r="D1008" s="86">
        <f>IFERROR(__xludf.DUMMYFUNCTION("""COMPUTED_VALUE"""),46164.0)</f>
        <v>46164</v>
      </c>
      <c r="E1008" s="88"/>
      <c r="F1008" s="85"/>
      <c r="G1008" s="86"/>
      <c r="H1008" s="85"/>
      <c r="I1008" s="85"/>
      <c r="J1008" s="85"/>
      <c r="K1008" s="85"/>
      <c r="L1008" s="85"/>
      <c r="M1008" s="85"/>
      <c r="N1008" s="85"/>
      <c r="O1008" s="85"/>
      <c r="P1008" s="85" t="str">
        <f>IFERROR(__xludf.DUMMYFUNCTION("""COMPUTED_VALUE"""),"MUCSPA63482PSIND")</f>
        <v>MUCSPA63482PSIND</v>
      </c>
      <c r="Q1008" s="85" t="str">
        <f>IFERROR(__xludf.DUMMYFUNCTION("""COMPUTED_VALUE"""),"MUC TELUK BAYUR")</f>
        <v>MUC TELUK BAYUR</v>
      </c>
      <c r="R1008" s="85" t="str">
        <f>IFERROR(__xludf.DUMMYFUNCTION("""COMPUTED_VALUE"""),"MUC TELUK BAYUR")</f>
        <v>MUC TELUK BAYUR</v>
      </c>
      <c r="S1008" s="85" t="str">
        <f>IFERROR(__xludf.DUMMYFUNCTION("""COMPUTED_VALUE"""),"JAHARDI JANUAR")</f>
        <v>JAHARDI JANUAR</v>
      </c>
      <c r="T1008" s="85" t="str">
        <f>IFERROR(__xludf.DUMMYFUNCTION("""COMPUTED_VALUE"""),"GG. KEMIRI NO. 2 RT 3 RW 3")</f>
        <v>GG. KEMIRI NO. 2 RT 3 RW 3</v>
      </c>
      <c r="U1008" s="85" t="str">
        <f>IFERROR(__xludf.DUMMYFUNCTION("""COMPUTED_VALUE"""),"JL. SUTAN SYAHRIR NO. 327")</f>
        <v>JL. SUTAN SYAHRIR NO. 327</v>
      </c>
      <c r="V1008" s="85" t="str">
        <f>IFERROR(__xludf.DUMMYFUNCTION("""COMPUTED_VALUE"""),"RT 3 R \ RW 3")</f>
        <v>RT 3 R \ RW 3</v>
      </c>
      <c r="W1008" s="85" t="str">
        <f>IFERROR(__xludf.DUMMYFUNCTION("""COMPUTED_VALUE"""),"RAWANG")</f>
        <v>RAWANG</v>
      </c>
      <c r="X1008" s="85" t="str">
        <f>IFERROR(__xludf.DUMMYFUNCTION("""COMPUTED_VALUE"""),"PADANG SELATAN")</f>
        <v>PADANG SELATAN</v>
      </c>
      <c r="Y1008" s="85" t="str">
        <f>IFERROR(__xludf.DUMMYFUNCTION("""COMPUTED_VALUE"""),"PADANG")</f>
        <v>PADANG</v>
      </c>
      <c r="Z1008" s="85" t="str">
        <f>IFERROR(__xludf.DUMMYFUNCTION("""COMPUTED_VALUE"""),"SUMATERA BARAT")</f>
        <v>SUMATERA BARAT</v>
      </c>
      <c r="AA1008" s="85" t="str">
        <f>IFERROR(__xludf.DUMMYFUNCTION("""COMPUTED_VALUE"""),"25123")</f>
        <v>25123</v>
      </c>
      <c r="AB1008" s="85" t="str">
        <f>IFERROR(__xludf.DUMMYFUNCTION("""COMPUTED_VALUE"""),"1371093103950005")</f>
        <v>1371093103950005</v>
      </c>
      <c r="AC1008" s="85" t="str">
        <f>IFERROR(__xludf.DUMMYFUNCTION("""COMPUTED_VALUE"""),"61.881.184.8-201.000")</f>
        <v>61.881.184.8-201.000</v>
      </c>
      <c r="AD1008" s="85" t="str">
        <f>IFERROR(__xludf.DUMMYFUNCTION("""COMPUTED_VALUE"""),"PAK ALBER LUBKSIKAPING")</f>
        <v>PAK ALBER LUBKSIKAPING</v>
      </c>
      <c r="AE1008" s="85" t="str">
        <f>IFERROR(__xludf.DUMMYFUNCTION("""COMPUTED_VALUE"""),"PAK ALBER LUBKSIKAPING")</f>
        <v>PAK ALBER LUBKSIKAPING</v>
      </c>
      <c r="AF1008" s="85" t="str">
        <f>IFERROR(__xludf.DUMMYFUNCTION("""COMPUTED_VALUE"""),"085265728400")</f>
        <v>085265728400</v>
      </c>
      <c r="AG1008" s="85" t="str">
        <f>IFERROR(__xludf.DUMMYFUNCTION("""COMPUTED_VALUE"""),"085265728400")</f>
        <v>085265728400</v>
      </c>
      <c r="AH1008" s="85" t="str">
        <f>IFERROR(__xludf.DUMMYFUNCTION("""COMPUTED_VALUE"""),"jahardijanuar@gmail.com")</f>
        <v>jahardijanuar@gmail.com</v>
      </c>
      <c r="AI1008" s="85"/>
      <c r="AJ1008" s="85"/>
      <c r="AK1008" s="85"/>
      <c r="AL1008" s="85"/>
      <c r="AM1008" s="85" t="str">
        <f>IFERROR(__xludf.DUMMYFUNCTION("""COMPUTED_VALUE"""),"KANTOR REGIONAL I MEDAN 20004")</f>
        <v>KANTOR REGIONAL I MEDAN 20004</v>
      </c>
      <c r="AN1008" s="85" t="str">
        <f>IFERROR(__xludf.DUMMYFUNCTION("""COMPUTED_VALUE"""),"KCU PADANG 25000")</f>
        <v>KCU PADANG 25000</v>
      </c>
      <c r="AO1008" s="85" t="str">
        <f>IFERROR(__xludf.DUMMYFUNCTION("""COMPUTED_VALUE"""),"2301250043838")</f>
        <v>2301250043838</v>
      </c>
      <c r="AP1008" s="85" t="str">
        <f>IFERROR(__xludf.DUMMYFUNCTION("""COMPUTED_VALUE"""),"23012500438380004")</f>
        <v>23012500438380004</v>
      </c>
      <c r="AQ1008" s="93" t="str">
        <f>IFERROR(__xludf.DUMMYFUNCTION("""COMPUTED_VALUE"""),"0103223293")</f>
        <v>0103223293</v>
      </c>
      <c r="AR1008" s="85" t="str">
        <f>IFERROR(__xludf.DUMMYFUNCTION("""COMPUTED_VALUE"""),"POSPAY")</f>
        <v>POSPAY</v>
      </c>
      <c r="AS1008" s="85" t="str">
        <f>IFERROR(__xludf.DUMMYFUNCTION("""COMPUTED_VALUE"""),"JAHARDI JANUAR")</f>
        <v>JAHARDI JANUAR</v>
      </c>
      <c r="AT1008" s="85" t="str">
        <f>IFERROR(__xludf.DUMMYFUNCTION("""COMPUTED_VALUE"""),"-0.9795167")</f>
        <v>-0.9795167</v>
      </c>
      <c r="AU1008" s="85" t="str">
        <f>IFERROR(__xludf.DUMMYFUNCTION("""COMPUTED_VALUE"""),"100.3802111")</f>
        <v>100.3802111</v>
      </c>
      <c r="AV1008" s="85"/>
      <c r="AW1008" s="85"/>
      <c r="AX1008" s="85"/>
      <c r="AY1008" s="85"/>
      <c r="AZ1008" s="85"/>
      <c r="BA1008" s="85"/>
      <c r="BB1008" s="85"/>
      <c r="BC1008" s="85"/>
      <c r="BD1008" s="85"/>
      <c r="BE1008" s="85"/>
      <c r="BF1008" s="85"/>
      <c r="BG1008" s="85"/>
      <c r="BH1008" s="85"/>
      <c r="BI1008" s="85"/>
      <c r="BJ1008" s="85"/>
      <c r="BK1008" s="85"/>
      <c r="BL1008" s="85"/>
      <c r="BM1008" s="85"/>
      <c r="BN1008" s="85"/>
      <c r="BO1008" s="85"/>
      <c r="BP1008" s="85"/>
      <c r="BQ1008" s="85"/>
      <c r="BR1008" s="85"/>
      <c r="BS1008" s="85"/>
      <c r="BT1008" s="85"/>
      <c r="BU1008" s="85"/>
      <c r="BV1008" s="85"/>
      <c r="BW1008" s="85"/>
      <c r="BX1008" s="85"/>
      <c r="BY1008" s="85"/>
      <c r="BZ1008" s="85"/>
      <c r="CA1008" s="85"/>
      <c r="CB1008" s="85"/>
      <c r="CC1008" s="85"/>
      <c r="CD1008" s="85"/>
      <c r="CE1008" s="85"/>
      <c r="CF1008" s="85"/>
      <c r="CG1008" s="85"/>
      <c r="CH1008" s="85"/>
      <c r="CI1008" s="85"/>
      <c r="CJ1008" s="85"/>
      <c r="CK1008" s="2"/>
    </row>
    <row r="1009" ht="12.75" customHeight="1">
      <c r="A1009" s="80">
        <f>IFERROR(__xludf.DUMMYFUNCTION("""COMPUTED_VALUE"""),1005.0)</f>
        <v>1005</v>
      </c>
      <c r="B1009" s="80"/>
      <c r="C1009" s="80"/>
      <c r="D1009" s="81">
        <f>IFERROR(__xludf.DUMMYFUNCTION("""COMPUTED_VALUE"""),46164.0)</f>
        <v>46164</v>
      </c>
      <c r="E1009" s="82"/>
      <c r="F1009" s="80"/>
      <c r="G1009" s="81">
        <f>IFERROR(__xludf.DUMMYFUNCTION("""COMPUTED_VALUE"""),46181.0)</f>
        <v>46181</v>
      </c>
      <c r="H1009" s="80"/>
      <c r="I1009" s="80"/>
      <c r="J1009" s="80"/>
      <c r="K1009" s="80"/>
      <c r="L1009" s="80">
        <f>IFERROR(__xludf.DUMMYFUNCTION("""COMPUTED_VALUE"""),17.0)</f>
        <v>17</v>
      </c>
      <c r="M1009" s="80"/>
      <c r="N1009" s="80"/>
      <c r="O1009" s="80"/>
      <c r="P1009" s="80" t="str">
        <f>IFERROR(__xludf.DUMMYFUNCTION("""COMPUTED_VALUE"""),"MUCSPA63483PSIND")</f>
        <v>MUCSPA63483PSIND</v>
      </c>
      <c r="Q1009" s="80" t="str">
        <f>IFERROR(__xludf.DUMMYFUNCTION("""COMPUTED_VALUE"""),"MUC TOKO DANASTRI")</f>
        <v>MUC TOKO DANASTRI</v>
      </c>
      <c r="R1009" s="80" t="str">
        <f>IFERROR(__xludf.DUMMYFUNCTION("""COMPUTED_VALUE"""),"MUC TOKO DANASTRI")</f>
        <v>MUC TOKO DANASTRI</v>
      </c>
      <c r="S1009" s="80" t="str">
        <f>IFERROR(__xludf.DUMMYFUNCTION("""COMPUTED_VALUE"""),"JOHANES PRASTOWO PUTRO")</f>
        <v>JOHANES PRASTOWO PUTRO</v>
      </c>
      <c r="T1009" s="80" t="str">
        <f>IFERROR(__xludf.DUMMYFUNCTION("""COMPUTED_VALUE"""),"DSN BULU KIDUL RT 1 RW 1 PODOSOKO SAWANGAN")</f>
        <v>DSN BULU KIDUL RT 1 RW 1 PODOSOKO SAWANGAN</v>
      </c>
      <c r="U1009" s="80" t="str">
        <f>IFERROR(__xludf.DUMMYFUNCTION("""COMPUTED_VALUE"""),"BULU LOR RT 4 RW 4")</f>
        <v>BULU LOR RT 4 RW 4</v>
      </c>
      <c r="V1009" s="80" t="str">
        <f>IFERROR(__xludf.DUMMYFUNCTION("""COMPUTED_VALUE"""),"RT 1 R \ RW 1 P")</f>
        <v>RT 1 R \ RW 1 P</v>
      </c>
      <c r="W1009" s="80" t="str">
        <f>IFERROR(__xludf.DUMMYFUNCTION("""COMPUTED_VALUE"""),"PODOSOKO")</f>
        <v>PODOSOKO</v>
      </c>
      <c r="X1009" s="80" t="str">
        <f>IFERROR(__xludf.DUMMYFUNCTION("""COMPUTED_VALUE"""),"SAWANGAN")</f>
        <v>SAWANGAN</v>
      </c>
      <c r="Y1009" s="80" t="str">
        <f>IFERROR(__xludf.DUMMYFUNCTION("""COMPUTED_VALUE"""),"KAB. MAGELANG")</f>
        <v>KAB. MAGELANG</v>
      </c>
      <c r="Z1009" s="80" t="str">
        <f>IFERROR(__xludf.DUMMYFUNCTION("""COMPUTED_VALUE"""),"JAWA TENGAH")</f>
        <v>JAWA TENGAH</v>
      </c>
      <c r="AA1009" s="80" t="str">
        <f>IFERROR(__xludf.DUMMYFUNCTION("""COMPUTED_VALUE"""),"56481")</f>
        <v>56481</v>
      </c>
      <c r="AB1009" s="80" t="str">
        <f>IFERROR(__xludf.DUMMYFUNCTION("""COMPUTED_VALUE"""),"3308070802870002")</f>
        <v>3308070802870002</v>
      </c>
      <c r="AC1009" s="80" t="str">
        <f>IFERROR(__xludf.DUMMYFUNCTION("""COMPUTED_VALUE"""),"82.673.224.0-524.000")</f>
        <v>82.673.224.0-524.000</v>
      </c>
      <c r="AD1009" s="80" t="str">
        <f>IFERROR(__xludf.DUMMYFUNCTION("""COMPUTED_VALUE"""),"BU ADILLA KC MAGELANG")</f>
        <v>BU ADILLA KC MAGELANG</v>
      </c>
      <c r="AE1009" s="80" t="str">
        <f>IFERROR(__xludf.DUMMYFUNCTION("""COMPUTED_VALUE"""),"BU ADILLA KC MAGELANG")</f>
        <v>BU ADILLA KC MAGELANG</v>
      </c>
      <c r="AF1009" s="80" t="str">
        <f>IFERROR(__xludf.DUMMYFUNCTION("""COMPUTED_VALUE"""),"085799311288")</f>
        <v>085799311288</v>
      </c>
      <c r="AG1009" s="80" t="str">
        <f>IFERROR(__xludf.DUMMYFUNCTION("""COMPUTED_VALUE"""),"085799311288")</f>
        <v>085799311288</v>
      </c>
      <c r="AH1009" s="80" t="str">
        <f>IFERROR(__xludf.DUMMYFUNCTION("""COMPUTED_VALUE"""),"Prastowo.putro26@gmail.com")</f>
        <v>Prastowo.putro26@gmail.com</v>
      </c>
      <c r="AI1009" s="80" t="str">
        <f>IFERROR(__xludf.DUMMYFUNCTION("""COMPUTED_VALUE"""),"56581S2")</f>
        <v>56581S2</v>
      </c>
      <c r="AJ1009" s="80" t="str">
        <f>IFERROR(__xludf.DUMMYFUNCTION("""COMPUTED_VALUE"""),"6a24e905800f96ae0a0d4a9f")</f>
        <v>6a24e905800f96ae0a0d4a9f</v>
      </c>
      <c r="AK1009" s="80" t="str">
        <f>IFERROR(__xludf.DUMMYFUNCTION("""COMPUTED_VALUE"""),"Prastowo.putro26@gmail.com")</f>
        <v>Prastowo.putro26@gmail.com</v>
      </c>
      <c r="AL1009" s="80" t="str">
        <f>IFERROR(__xludf.DUMMYFUNCTION("""COMPUTED_VALUE"""),"#Muc56581S2$")</f>
        <v>#Muc56581S2$</v>
      </c>
      <c r="AM1009" s="80" t="str">
        <f>IFERROR(__xludf.DUMMYFUNCTION("""COMPUTED_VALUE"""),"KANTOR REGIONAL IV SEMARANG 50004")</f>
        <v>KANTOR REGIONAL IV SEMARANG 50004</v>
      </c>
      <c r="AN1009" s="80" t="str">
        <f>IFERROR(__xludf.DUMMYFUNCTION("""COMPUTED_VALUE"""),"KC MAGELANG 56100")</f>
        <v>KC MAGELANG 56100</v>
      </c>
      <c r="AO1009" s="80" t="str">
        <f>IFERROR(__xludf.DUMMYFUNCTION("""COMPUTED_VALUE"""),"9120209880889")</f>
        <v>9120209880889</v>
      </c>
      <c r="AP1009" s="80" t="str">
        <f>IFERROR(__xludf.DUMMYFUNCTION("""COMPUTED_VALUE"""),"91202098808890002")</f>
        <v>91202098808890002</v>
      </c>
      <c r="AQ1009" s="83" t="str">
        <f>IFERROR(__xludf.DUMMYFUNCTION("""COMPUTED_VALUE"""),"8799118801")</f>
        <v>8799118801</v>
      </c>
      <c r="AR1009" s="80" t="str">
        <f>IFERROR(__xludf.DUMMYFUNCTION("""COMPUTED_VALUE"""),"BNI")</f>
        <v>BNI</v>
      </c>
      <c r="AS1009" s="80" t="str">
        <f>IFERROR(__xludf.DUMMYFUNCTION("""COMPUTED_VALUE"""),"JOHANES PRASTOWO PUTRO")</f>
        <v>JOHANES PRASTOWO PUTRO</v>
      </c>
      <c r="AT1009" s="80" t="str">
        <f>IFERROR(__xludf.DUMMYFUNCTION("""COMPUTED_VALUE"""),"-7.5228771")</f>
        <v>-7.5228771</v>
      </c>
      <c r="AU1009" s="80" t="str">
        <f>IFERROR(__xludf.DUMMYFUNCTION("""COMPUTED_VALUE"""),"110.2937537")</f>
        <v>110.2937537</v>
      </c>
      <c r="AV1009" s="80"/>
      <c r="AW1009" s="80"/>
      <c r="AX1009" s="80"/>
      <c r="AY1009" s="80"/>
      <c r="AZ1009" s="80"/>
      <c r="BA1009" s="80"/>
      <c r="BB1009" s="80"/>
      <c r="BC1009" s="80"/>
      <c r="BD1009" s="80"/>
      <c r="BE1009" s="80"/>
      <c r="BF1009" s="80"/>
      <c r="BG1009" s="80"/>
      <c r="BH1009" s="80"/>
      <c r="BI1009" s="80"/>
      <c r="BJ1009" s="80"/>
      <c r="BK1009" s="80"/>
      <c r="BL1009" s="80"/>
      <c r="BM1009" s="80"/>
      <c r="BN1009" s="80"/>
      <c r="BO1009" s="80"/>
      <c r="BP1009" s="80"/>
      <c r="BQ1009" s="80"/>
      <c r="BR1009" s="80"/>
      <c r="BS1009" s="80"/>
      <c r="BT1009" s="80"/>
      <c r="BU1009" s="80"/>
      <c r="BV1009" s="80"/>
      <c r="BW1009" s="80"/>
      <c r="BX1009" s="80"/>
      <c r="BY1009" s="80"/>
      <c r="BZ1009" s="80"/>
      <c r="CA1009" s="80"/>
      <c r="CB1009" s="80"/>
      <c r="CC1009" s="80"/>
      <c r="CD1009" s="80"/>
      <c r="CE1009" s="80"/>
      <c r="CF1009" s="80"/>
      <c r="CG1009" s="80"/>
      <c r="CH1009" s="80"/>
      <c r="CI1009" s="80"/>
      <c r="CJ1009" s="80"/>
      <c r="CK1009" s="2"/>
    </row>
    <row r="1010" ht="12.75" customHeight="1">
      <c r="A1010" s="85">
        <f>IFERROR(__xludf.DUMMYFUNCTION("""COMPUTED_VALUE"""),1006.0)</f>
        <v>1006</v>
      </c>
      <c r="B1010" s="85"/>
      <c r="C1010" s="85"/>
      <c r="D1010" s="86">
        <f>IFERROR(__xludf.DUMMYFUNCTION("""COMPUTED_VALUE"""),46165.0)</f>
        <v>46165</v>
      </c>
      <c r="E1010" s="88"/>
      <c r="F1010" s="85"/>
      <c r="G1010" s="86">
        <f>IFERROR(__xludf.DUMMYFUNCTION("""COMPUTED_VALUE"""),46182.0)</f>
        <v>46182</v>
      </c>
      <c r="H1010" s="85"/>
      <c r="I1010" s="85"/>
      <c r="J1010" s="85"/>
      <c r="K1010" s="85"/>
      <c r="L1010" s="85">
        <f>IFERROR(__xludf.DUMMYFUNCTION("""COMPUTED_VALUE"""),17.0)</f>
        <v>17</v>
      </c>
      <c r="M1010" s="85"/>
      <c r="N1010" s="85"/>
      <c r="O1010" s="85"/>
      <c r="P1010" s="85" t="str">
        <f>IFERROR(__xludf.DUMMYFUNCTION("""COMPUTED_VALUE"""),"MUCSPA63484PSIND")</f>
        <v>MUCSPA63484PSIND</v>
      </c>
      <c r="Q1010" s="85" t="str">
        <f>IFERROR(__xludf.DUMMYFUNCTION("""COMPUTED_VALUE"""),"MUC BUMDESMA UPK CIRUAS")</f>
        <v>MUC BUMDESMA UPK CIRUAS</v>
      </c>
      <c r="R1010" s="85" t="str">
        <f>IFERROR(__xludf.DUMMYFUNCTION("""COMPUTED_VALUE"""),"MUC BUMDESMA UPK CIRUAS")</f>
        <v>MUC BUMDESMA UPK CIRUAS</v>
      </c>
      <c r="S1010" s="85" t="str">
        <f>IFERROR(__xludf.DUMMYFUNCTION("""COMPUTED_VALUE"""),"Prihatini")</f>
        <v>Prihatini</v>
      </c>
      <c r="T1010" s="85" t="str">
        <f>IFERROR(__xludf.DUMMYFUNCTION("""COMPUTED_VALUE"""),"Perum Puri Delta Kiara Blok DH No.31")</f>
        <v>Perum Puri Delta Kiara Blok DH No.31</v>
      </c>
      <c r="U1010" s="85" t="str">
        <f>IFERROR(__xludf.DUMMYFUNCTION("""COMPUTED_VALUE"""),"Jln Raya Serang Jakarta KM.9 Gg.H. Harwan Kp. Kuaron")</f>
        <v>Jln Raya Serang Jakarta KM.9 Gg.H. Harwan Kp. Kuaron</v>
      </c>
      <c r="V1010" s="85"/>
      <c r="W1010" s="85" t="str">
        <f>IFERROR(__xludf.DUMMYFUNCTION("""COMPUTED_VALUE"""),"Citerep")</f>
        <v>Citerep</v>
      </c>
      <c r="X1010" s="85" t="str">
        <f>IFERROR(__xludf.DUMMYFUNCTION("""COMPUTED_VALUE"""),"Ciruas")</f>
        <v>Ciruas</v>
      </c>
      <c r="Y1010" s="85" t="str">
        <f>IFERROR(__xludf.DUMMYFUNCTION("""COMPUTED_VALUE"""),"Kab / kab. Serang")</f>
        <v>Kab / kab. Serang</v>
      </c>
      <c r="Z1010" s="85" t="str">
        <f>IFERROR(__xludf.DUMMYFUNCTION("""COMPUTED_VALUE"""),"Banten")</f>
        <v>Banten</v>
      </c>
      <c r="AA1010" s="85" t="str">
        <f>IFERROR(__xludf.DUMMYFUNCTION("""COMPUTED_VALUE"""),"42182")</f>
        <v>42182</v>
      </c>
      <c r="AB1010" s="85" t="str">
        <f>IFERROR(__xludf.DUMMYFUNCTION("""COMPUTED_VALUE"""),"3604094512920003")</f>
        <v>3604094512920003</v>
      </c>
      <c r="AC1010" s="85" t="str">
        <f>IFERROR(__xludf.DUMMYFUNCTION("""COMPUTED_VALUE"""),"83.899.432.5-401.000")</f>
        <v>83.899.432.5-401.000</v>
      </c>
      <c r="AD1010" s="85" t="str">
        <f>IFERROR(__xludf.DUMMYFUNCTION("""COMPUTED_VALUE"""),"BU NELA KCU SERANG")</f>
        <v>BU NELA KCU SERANG</v>
      </c>
      <c r="AE1010" s="85" t="str">
        <f>IFERROR(__xludf.DUMMYFUNCTION("""COMPUTED_VALUE"""),"BU NELA KCU SERANG")</f>
        <v>BU NELA KCU SERANG</v>
      </c>
      <c r="AF1010" s="85" t="str">
        <f>IFERROR(__xludf.DUMMYFUNCTION("""COMPUTED_VALUE"""),"0895338084019")</f>
        <v>0895338084019</v>
      </c>
      <c r="AG1010" s="85" t="str">
        <f>IFERROR(__xludf.DUMMYFUNCTION("""COMPUTED_VALUE"""),"0895338084019")</f>
        <v>0895338084019</v>
      </c>
      <c r="AH1010" s="85" t="str">
        <f>IFERROR(__xludf.DUMMYFUNCTION("""COMPUTED_VALUE"""),"bumdesma.upkciruas.lkd@gmail.com")</f>
        <v>bumdesma.upkciruas.lkd@gmail.com</v>
      </c>
      <c r="AI1010" s="85" t="str">
        <f>IFERROR(__xludf.DUMMYFUNCTION("""COMPUTED_VALUE"""),"42182S3")</f>
        <v>42182S3</v>
      </c>
      <c r="AJ1010" s="85" t="str">
        <f>IFERROR(__xludf.DUMMYFUNCTION("""COMPUTED_VALUE"""),"6a25231a7b5d51adda016a3c")</f>
        <v>6a25231a7b5d51adda016a3c</v>
      </c>
      <c r="AK1010" s="85" t="str">
        <f>IFERROR(__xludf.DUMMYFUNCTION("""COMPUTED_VALUE"""),"bumdesma.upkciruas.lkd@gmail.com")</f>
        <v>bumdesma.upkciruas.lkd@gmail.com</v>
      </c>
      <c r="AL1010" s="85" t="str">
        <f>IFERROR(__xludf.DUMMYFUNCTION("""COMPUTED_VALUE"""),"#Muc42182S3$")</f>
        <v>#Muc42182S3$</v>
      </c>
      <c r="AM1010" s="85" t="str">
        <f>IFERROR(__xludf.DUMMYFUNCTION("""COMPUTED_VALUE"""),"KANTOR REGIONAL II JAKARTA 10004")</f>
        <v>KANTOR REGIONAL II JAKARTA 10004</v>
      </c>
      <c r="AN1010" s="85" t="str">
        <f>IFERROR(__xludf.DUMMYFUNCTION("""COMPUTED_VALUE"""),"KCU SERANG 42100")</f>
        <v>KCU SERANG 42100</v>
      </c>
      <c r="AO1010" s="85" t="str">
        <f>IFERROR(__xludf.DUMMYFUNCTION("""COMPUTED_VALUE"""),"2305260041595")</f>
        <v>2305260041595</v>
      </c>
      <c r="AP1010" s="85" t="str">
        <f>IFERROR(__xludf.DUMMYFUNCTION("""COMPUTED_VALUE"""),"23052600415950001")</f>
        <v>23052600415950001</v>
      </c>
      <c r="AQ1010" s="93" t="str">
        <f>IFERROR(__xludf.DUMMYFUNCTION("""COMPUTED_VALUE"""),"2048547806")</f>
        <v>2048547806</v>
      </c>
      <c r="AR1010" s="85" t="str">
        <f>IFERROR(__xludf.DUMMYFUNCTION("""COMPUTED_VALUE"""),"BNI")</f>
        <v>BNI</v>
      </c>
      <c r="AS1010" s="85" t="str">
        <f>IFERROR(__xludf.DUMMYFUNCTION("""COMPUTED_VALUE"""),"BUMDESMA UPK CIRUAS LKD")</f>
        <v>BUMDESMA UPK CIRUAS LKD</v>
      </c>
      <c r="AT1010" s="85" t="str">
        <f>IFERROR(__xludf.DUMMYFUNCTION("""COMPUTED_VALUE"""),"-6.1261037")</f>
        <v>-6.1261037</v>
      </c>
      <c r="AU1010" s="85" t="str">
        <f>IFERROR(__xludf.DUMMYFUNCTION("""COMPUTED_VALUE"""),"106.2402074")</f>
        <v>106.2402074</v>
      </c>
      <c r="AV1010" s="85"/>
      <c r="AW1010" s="85"/>
      <c r="AX1010" s="85"/>
      <c r="AY1010" s="85"/>
      <c r="AZ1010" s="85"/>
      <c r="BA1010" s="85"/>
      <c r="BB1010" s="85"/>
      <c r="BC1010" s="85"/>
      <c r="BD1010" s="85"/>
      <c r="BE1010" s="85"/>
      <c r="BF1010" s="85"/>
      <c r="BG1010" s="85"/>
      <c r="BH1010" s="85"/>
      <c r="BI1010" s="85"/>
      <c r="BJ1010" s="85"/>
      <c r="BK1010" s="85"/>
      <c r="BL1010" s="85"/>
      <c r="BM1010" s="85"/>
      <c r="BN1010" s="85"/>
      <c r="BO1010" s="85"/>
      <c r="BP1010" s="85"/>
      <c r="BQ1010" s="85"/>
      <c r="BR1010" s="85"/>
      <c r="BS1010" s="85"/>
      <c r="BT1010" s="85"/>
      <c r="BU1010" s="85"/>
      <c r="BV1010" s="85"/>
      <c r="BW1010" s="85"/>
      <c r="BX1010" s="85"/>
      <c r="BY1010" s="85"/>
      <c r="BZ1010" s="85"/>
      <c r="CA1010" s="85"/>
      <c r="CB1010" s="85"/>
      <c r="CC1010" s="85"/>
      <c r="CD1010" s="85"/>
      <c r="CE1010" s="85"/>
      <c r="CF1010" s="85"/>
      <c r="CG1010" s="85"/>
      <c r="CH1010" s="85"/>
      <c r="CI1010" s="85"/>
      <c r="CJ1010" s="85"/>
      <c r="CK1010" s="2"/>
    </row>
    <row r="1011" ht="12.75" customHeight="1">
      <c r="A1011" s="80">
        <f>IFERROR(__xludf.DUMMYFUNCTION("""COMPUTED_VALUE"""),1007.0)</f>
        <v>1007</v>
      </c>
      <c r="B1011" s="80"/>
      <c r="C1011" s="80"/>
      <c r="D1011" s="81">
        <f>IFERROR(__xludf.DUMMYFUNCTION("""COMPUTED_VALUE"""),46165.0)</f>
        <v>46165</v>
      </c>
      <c r="E1011" s="82"/>
      <c r="F1011" s="80"/>
      <c r="G1011" s="81">
        <f>IFERROR(__xludf.DUMMYFUNCTION("""COMPUTED_VALUE"""),46188.0)</f>
        <v>46188</v>
      </c>
      <c r="H1011" s="80"/>
      <c r="I1011" s="80"/>
      <c r="J1011" s="80"/>
      <c r="K1011" s="80"/>
      <c r="L1011" s="80">
        <f>IFERROR(__xludf.DUMMYFUNCTION("""COMPUTED_VALUE"""),23.0)</f>
        <v>23</v>
      </c>
      <c r="M1011" s="80"/>
      <c r="N1011" s="80"/>
      <c r="O1011" s="80"/>
      <c r="P1011" s="80" t="str">
        <f>IFERROR(__xludf.DUMMYFUNCTION("""COMPUTED_VALUE"""),"52BSPA07879JTYNA")</f>
        <v>52BSPA07879JTYNA</v>
      </c>
      <c r="Q1011" s="80" t="str">
        <f>IFERROR(__xludf.DUMMYFUNCTION("""COMPUTED_VALUE"""),"MUC AMANAH BIRO JASA")</f>
        <v>MUC AMANAH BIRO JASA</v>
      </c>
      <c r="R1011" s="80" t="str">
        <f>IFERROR(__xludf.DUMMYFUNCTION("""COMPUTED_VALUE"""),"MUC AMANAH BIRO JASA")</f>
        <v>MUC AMANAH BIRO JASA</v>
      </c>
      <c r="S1011" s="80" t="str">
        <f>IFERROR(__xludf.DUMMYFUNCTION("""COMPUTED_VALUE"""),"HENRY FIRMAN ARIANTO")</f>
        <v>HENRY FIRMAN ARIANTO</v>
      </c>
      <c r="T1011" s="80" t="str">
        <f>IFERROR(__xludf.DUMMYFUNCTION("""COMPUTED_VALUE"""),"PERUM. GRIYA ADI I No. D/8 SUKOHARJO")</f>
        <v>PERUM. GRIYA ADI I No. D/8 SUKOHARJO</v>
      </c>
      <c r="U1011" s="80" t="str">
        <f>IFERROR(__xludf.DUMMYFUNCTION("""COMPUTED_VALUE"""),"JL. RAYA BRIGIF")</f>
        <v>JL. RAYA BRIGIF</v>
      </c>
      <c r="V1011" s="80"/>
      <c r="W1011" s="80" t="str">
        <f>IFERROR(__xludf.DUMMYFUNCTION("""COMPUTED_VALUE"""),"PALUR")</f>
        <v>PALUR</v>
      </c>
      <c r="X1011" s="80" t="str">
        <f>IFERROR(__xludf.DUMMYFUNCTION("""COMPUTED_VALUE"""),"MOJOLABAN")</f>
        <v>MOJOLABAN</v>
      </c>
      <c r="Y1011" s="80" t="str">
        <f>IFERROR(__xludf.DUMMYFUNCTION("""COMPUTED_VALUE"""),"SUKOHARJO")</f>
        <v>SUKOHARJO</v>
      </c>
      <c r="Z1011" s="80" t="str">
        <f>IFERROR(__xludf.DUMMYFUNCTION("""COMPUTED_VALUE"""),"JAWA TENGAH")</f>
        <v>JAWA TENGAH</v>
      </c>
      <c r="AA1011" s="80" t="str">
        <f>IFERROR(__xludf.DUMMYFUNCTION("""COMPUTED_VALUE"""),"57554")</f>
        <v>57554</v>
      </c>
      <c r="AB1011" s="80" t="str">
        <f>IFERROR(__xludf.DUMMYFUNCTION("""COMPUTED_VALUE"""),"3313111809840008")</f>
        <v>3313111809840008</v>
      </c>
      <c r="AC1011" s="80" t="str">
        <f>IFERROR(__xludf.DUMMYFUNCTION("""COMPUTED_VALUE"""),"33.131.118.0-984.0008")</f>
        <v>33.131.118.0-984.0008</v>
      </c>
      <c r="AD1011" s="80" t="str">
        <f>IFERROR(__xludf.DUMMYFUNCTION("""COMPUTED_VALUE"""),"CUM - YNA")</f>
        <v>CUM - YNA</v>
      </c>
      <c r="AE1011" s="80" t="str">
        <f>IFERROR(__xludf.DUMMYFUNCTION("""COMPUTED_VALUE"""),"CUM - YNA")</f>
        <v>CUM - YNA</v>
      </c>
      <c r="AF1011" s="80" t="str">
        <f>IFERROR(__xludf.DUMMYFUNCTION("""COMPUTED_VALUE"""),"082225672348")</f>
        <v>082225672348</v>
      </c>
      <c r="AG1011" s="80" t="str">
        <f>IFERROR(__xludf.DUMMYFUNCTION("""COMPUTED_VALUE"""),"082225672348")</f>
        <v>082225672348</v>
      </c>
      <c r="AH1011" s="80" t="str">
        <f>IFERROR(__xludf.DUMMYFUNCTION("""COMPUTED_VALUE"""),"ngoupz@gmail.com")</f>
        <v>ngoupz@gmail.com</v>
      </c>
      <c r="AI1011" s="80" t="str">
        <f>IFERROR(__xludf.DUMMYFUNCTION("""COMPUTED_VALUE"""),"57554S5")</f>
        <v>57554S5</v>
      </c>
      <c r="AJ1011" s="80" t="str">
        <f>IFERROR(__xludf.DUMMYFUNCTION("""COMPUTED_VALUE"""),"6a2eaff89a8e9f31d504d209")</f>
        <v>6a2eaff89a8e9f31d504d209</v>
      </c>
      <c r="AK1011" s="80" t="str">
        <f>IFERROR(__xludf.DUMMYFUNCTION("""COMPUTED_VALUE"""),"ngoupz@gmail.com")</f>
        <v>ngoupz@gmail.com</v>
      </c>
      <c r="AL1011" s="80" t="str">
        <f>IFERROR(__xludf.DUMMYFUNCTION("""COMPUTED_VALUE"""),"#Muc57554S5$")</f>
        <v>#Muc57554S5$</v>
      </c>
      <c r="AM1011" s="80" t="str">
        <f>IFERROR(__xludf.DUMMYFUNCTION("""COMPUTED_VALUE"""),"KANTOR REGIONAL IV SEMARANG 50004")</f>
        <v>KANTOR REGIONAL IV SEMARANG 50004</v>
      </c>
      <c r="AN1011" s="80" t="str">
        <f>IFERROR(__xludf.DUMMYFUNCTION("""COMPUTED_VALUE"""),"KCU SOLO 57100")</f>
        <v>KCU SOLO 57100</v>
      </c>
      <c r="AO1011" s="80" t="str">
        <f>IFERROR(__xludf.DUMMYFUNCTION("""COMPUTED_VALUE"""),"2501260053359")</f>
        <v>2501260053359</v>
      </c>
      <c r="AP1011" s="80" t="str">
        <f>IFERROR(__xludf.DUMMYFUNCTION("""COMPUTED_VALUE"""),"25012600533590002")</f>
        <v>25012600533590002</v>
      </c>
      <c r="AQ1011" s="83" t="str">
        <f>IFERROR(__xludf.DUMMYFUNCTION("""COMPUTED_VALUE"""),"3270313085")</f>
        <v>3270313085</v>
      </c>
      <c r="AR1011" s="80" t="str">
        <f>IFERROR(__xludf.DUMMYFUNCTION("""COMPUTED_VALUE"""),"BCA")</f>
        <v>BCA</v>
      </c>
      <c r="AS1011" s="80" t="str">
        <f>IFERROR(__xludf.DUMMYFUNCTION("""COMPUTED_VALUE"""),"HENRY FIRMAN ARIANTO")</f>
        <v>HENRY FIRMAN ARIANTO</v>
      </c>
      <c r="AT1011" s="80" t="str">
        <f>IFERROR(__xludf.DUMMYFUNCTION("""COMPUTED_VALUE"""),"-7.5722337")</f>
        <v>-7.5722337</v>
      </c>
      <c r="AU1011" s="80" t="str">
        <f>IFERROR(__xludf.DUMMYFUNCTION("""COMPUTED_VALUE"""),"110.8610954")</f>
        <v>110.8610954</v>
      </c>
      <c r="AV1011" s="80"/>
      <c r="AW1011" s="80"/>
      <c r="AX1011" s="80"/>
      <c r="AY1011" s="80"/>
      <c r="AZ1011" s="80"/>
      <c r="BA1011" s="80"/>
      <c r="BB1011" s="80"/>
      <c r="BC1011" s="80"/>
      <c r="BD1011" s="80"/>
      <c r="BE1011" s="80"/>
      <c r="BF1011" s="80"/>
      <c r="BG1011" s="80"/>
      <c r="BH1011" s="80"/>
      <c r="BI1011" s="80"/>
      <c r="BJ1011" s="80"/>
      <c r="BK1011" s="80"/>
      <c r="BL1011" s="80"/>
      <c r="BM1011" s="80"/>
      <c r="BN1011" s="80"/>
      <c r="BO1011" s="80"/>
      <c r="BP1011" s="80"/>
      <c r="BQ1011" s="80"/>
      <c r="BR1011" s="80"/>
      <c r="BS1011" s="80"/>
      <c r="BT1011" s="80"/>
      <c r="BU1011" s="80"/>
      <c r="BV1011" s="80"/>
      <c r="BW1011" s="80"/>
      <c r="BX1011" s="80"/>
      <c r="BY1011" s="80"/>
      <c r="BZ1011" s="80"/>
      <c r="CA1011" s="80"/>
      <c r="CB1011" s="80"/>
      <c r="CC1011" s="80"/>
      <c r="CD1011" s="80"/>
      <c r="CE1011" s="80"/>
      <c r="CF1011" s="80"/>
      <c r="CG1011" s="80"/>
      <c r="CH1011" s="80"/>
      <c r="CI1011" s="80"/>
      <c r="CJ1011" s="80"/>
      <c r="CK1011" s="2"/>
    </row>
    <row r="1012" ht="12.75" customHeight="1">
      <c r="A1012" s="85">
        <f>IFERROR(__xludf.DUMMYFUNCTION("""COMPUTED_VALUE"""),1008.0)</f>
        <v>1008</v>
      </c>
      <c r="B1012" s="85"/>
      <c r="C1012" s="85"/>
      <c r="D1012" s="86">
        <f>IFERROR(__xludf.DUMMYFUNCTION("""COMPUTED_VALUE"""),46165.0)</f>
        <v>46165</v>
      </c>
      <c r="E1012" s="88"/>
      <c r="F1012" s="85"/>
      <c r="G1012" s="86">
        <f>IFERROR(__xludf.DUMMYFUNCTION("""COMPUTED_VALUE"""),46181.0)</f>
        <v>46181</v>
      </c>
      <c r="H1012" s="85"/>
      <c r="I1012" s="85"/>
      <c r="J1012" s="85"/>
      <c r="K1012" s="85"/>
      <c r="L1012" s="85">
        <f>IFERROR(__xludf.DUMMYFUNCTION("""COMPUTED_VALUE"""),16.0)</f>
        <v>16</v>
      </c>
      <c r="M1012" s="85"/>
      <c r="N1012" s="85"/>
      <c r="O1012" s="85"/>
      <c r="P1012" s="85" t="str">
        <f>IFERROR(__xludf.DUMMYFUNCTION("""COMPUTED_VALUE"""),"53BSPA17043JBEEN")</f>
        <v>53BSPA17043JBEEN</v>
      </c>
      <c r="Q1012" s="85" t="str">
        <f>IFERROR(__xludf.DUMMYFUNCTION("""COMPUTED_VALUE"""),"MUC PENGIRIMAN RAWABELONG")</f>
        <v>MUC PENGIRIMAN RAWABELONG</v>
      </c>
      <c r="R1012" s="85" t="str">
        <f>IFERROR(__xludf.DUMMYFUNCTION("""COMPUTED_VALUE"""),"MUC PENGIRIMAN RAWABELONG")</f>
        <v>MUC PENGIRIMAN RAWABELONG</v>
      </c>
      <c r="S1012" s="85" t="str">
        <f>IFERROR(__xludf.DUMMYFUNCTION("""COMPUTED_VALUE"""),"YANI OKTASARI")</f>
        <v>YANI OKTASARI</v>
      </c>
      <c r="T1012" s="85" t="str">
        <f>IFERROR(__xludf.DUMMYFUNCTION("""COMPUTED_VALUE"""),"JL. SUKABUMI ILIR NO. 9 A RT 6 RW 2 SUKABUMI UTARA KEBON JERUK")</f>
        <v>JL. SUKABUMI ILIR NO. 9 A RT 6 RW 2 SUKABUMI UTARA KEBON JERUK</v>
      </c>
      <c r="U1012" s="85" t="str">
        <f>IFERROR(__xludf.DUMMYFUNCTION("""COMPUTED_VALUE"""),"JL. ISA NO. 31 RT 10 RW 03")</f>
        <v>JL. ISA NO. 31 RT 10 RW 03</v>
      </c>
      <c r="V1012" s="85" t="str">
        <f>IFERROR(__xludf.DUMMYFUNCTION("""COMPUTED_VALUE"""),"RT 6 R \ RW 2 S")</f>
        <v>RT 6 R \ RW 2 S</v>
      </c>
      <c r="W1012" s="85" t="str">
        <f>IFERROR(__xludf.DUMMYFUNCTION("""COMPUTED_VALUE"""),"SUKABUMI UTARA")</f>
        <v>SUKABUMI UTARA</v>
      </c>
      <c r="X1012" s="85" t="str">
        <f>IFERROR(__xludf.DUMMYFUNCTION("""COMPUTED_VALUE"""),"KEBO JERUK")</f>
        <v>KEBO JERUK</v>
      </c>
      <c r="Y1012" s="85" t="str">
        <f>IFERROR(__xludf.DUMMYFUNCTION("""COMPUTED_VALUE"""),"Kota")</f>
        <v>Kota</v>
      </c>
      <c r="Z1012" s="85" t="str">
        <f>IFERROR(__xludf.DUMMYFUNCTION("""COMPUTED_VALUE"""),"DKI JAKARTA")</f>
        <v>DKI JAKARTA</v>
      </c>
      <c r="AA1012" s="85" t="str">
        <f>IFERROR(__xludf.DUMMYFUNCTION("""COMPUTED_VALUE"""),"11540")</f>
        <v>11540</v>
      </c>
      <c r="AB1012" s="85" t="str">
        <f>IFERROR(__xludf.DUMMYFUNCTION("""COMPUTED_VALUE"""),"1671074410870006")</f>
        <v>1671074410870006</v>
      </c>
      <c r="AC1012" s="85" t="str">
        <f>IFERROR(__xludf.DUMMYFUNCTION("""COMPUTED_VALUE"""),"69.556.369.2-307.000")</f>
        <v>69.556.369.2-307.000</v>
      </c>
      <c r="AD1012" s="85" t="str">
        <f>IFERROR(__xludf.DUMMYFUNCTION("""COMPUTED_VALUE"""),"PAK ASRORI")</f>
        <v>PAK ASRORI</v>
      </c>
      <c r="AE1012" s="85" t="str">
        <f>IFERROR(__xludf.DUMMYFUNCTION("""COMPUTED_VALUE"""),"PAK ASRORI")</f>
        <v>PAK ASRORI</v>
      </c>
      <c r="AF1012" s="85" t="str">
        <f>IFERROR(__xludf.DUMMYFUNCTION("""COMPUTED_VALUE"""),"081289328636")</f>
        <v>081289328636</v>
      </c>
      <c r="AG1012" s="85" t="str">
        <f>IFERROR(__xludf.DUMMYFUNCTION("""COMPUTED_VALUE"""),"081289328636")</f>
        <v>081289328636</v>
      </c>
      <c r="AH1012" s="85" t="str">
        <f>IFERROR(__xludf.DUMMYFUNCTION("""COMPUTED_VALUE"""),"yannioktasari@ymail.com")</f>
        <v>yannioktasari@ymail.com</v>
      </c>
      <c r="AI1012" s="85" t="str">
        <f>IFERROR(__xludf.DUMMYFUNCTION("""COMPUTED_VALUE"""),"11540S3")</f>
        <v>11540S3</v>
      </c>
      <c r="AJ1012" s="85" t="str">
        <f>IFERROR(__xludf.DUMMYFUNCTION("""COMPUTED_VALUE"""),"6a26786bb97ec48ced065ad1")</f>
        <v>6a26786bb97ec48ced065ad1</v>
      </c>
      <c r="AK1012" s="85" t="str">
        <f>IFERROR(__xludf.DUMMYFUNCTION("""COMPUTED_VALUE"""),"dostamaa.travel2026@gmail.com")</f>
        <v>dostamaa.travel2026@gmail.com</v>
      </c>
      <c r="AL1012" s="85" t="str">
        <f>IFERROR(__xludf.DUMMYFUNCTION("""COMPUTED_VALUE"""),"#Muc20353S7$")</f>
        <v>#Muc20353S7$</v>
      </c>
      <c r="AM1012" s="85" t="str">
        <f>IFERROR(__xludf.DUMMYFUNCTION("""COMPUTED_VALUE"""),"KANTOR REGIONAL II JAKARTA 10004")</f>
        <v>KANTOR REGIONAL II JAKARTA 10004</v>
      </c>
      <c r="AN1012" s="85" t="str">
        <f>IFERROR(__xludf.DUMMYFUNCTION("""COMPUTED_VALUE"""),"KCU JAKARTAOCEANIA 11000")</f>
        <v>KCU JAKARTAOCEANIA 11000</v>
      </c>
      <c r="AO1012" s="85" t="str">
        <f>IFERROR(__xludf.DUMMYFUNCTION("""COMPUTED_VALUE"""),"2005260104614")</f>
        <v>2005260104614</v>
      </c>
      <c r="AP1012" s="85" t="str">
        <f>IFERROR(__xludf.DUMMYFUNCTION("""COMPUTED_VALUE"""),"20052601046140001")</f>
        <v>20052601046140001</v>
      </c>
      <c r="AQ1012" s="93" t="str">
        <f>IFERROR(__xludf.DUMMYFUNCTION("""COMPUTED_VALUE"""),"1510430103")</f>
        <v>1510430103</v>
      </c>
      <c r="AR1012" s="85" t="str">
        <f>IFERROR(__xludf.DUMMYFUNCTION("""COMPUTED_VALUE"""),"BCA")</f>
        <v>BCA</v>
      </c>
      <c r="AS1012" s="85" t="str">
        <f>IFERROR(__xludf.DUMMYFUNCTION("""COMPUTED_VALUE"""),"YANI OKTASARI")</f>
        <v>YANI OKTASARI</v>
      </c>
      <c r="AT1012" s="85" t="str">
        <f>IFERROR(__xludf.DUMMYFUNCTION("""COMPUTED_VALUE"""),"-6.2059162")</f>
        <v>-6.2059162</v>
      </c>
      <c r="AU1012" s="85" t="str">
        <f>IFERROR(__xludf.DUMMYFUNCTION("""COMPUTED_VALUE"""),"106.776629")</f>
        <v>106.776629</v>
      </c>
      <c r="AV1012" s="85"/>
      <c r="AW1012" s="85"/>
      <c r="AX1012" s="85"/>
      <c r="AY1012" s="85"/>
      <c r="AZ1012" s="85"/>
      <c r="BA1012" s="85"/>
      <c r="BB1012" s="85"/>
      <c r="BC1012" s="85"/>
      <c r="BD1012" s="85"/>
      <c r="BE1012" s="85"/>
      <c r="BF1012" s="85"/>
      <c r="BG1012" s="85"/>
      <c r="BH1012" s="85"/>
      <c r="BI1012" s="85"/>
      <c r="BJ1012" s="85"/>
      <c r="BK1012" s="85"/>
      <c r="BL1012" s="85"/>
      <c r="BM1012" s="85"/>
      <c r="BN1012" s="85"/>
      <c r="BO1012" s="85"/>
      <c r="BP1012" s="85"/>
      <c r="BQ1012" s="85"/>
      <c r="BR1012" s="85"/>
      <c r="BS1012" s="85"/>
      <c r="BT1012" s="85"/>
      <c r="BU1012" s="85"/>
      <c r="BV1012" s="85"/>
      <c r="BW1012" s="85"/>
      <c r="BX1012" s="85"/>
      <c r="BY1012" s="85"/>
      <c r="BZ1012" s="85"/>
      <c r="CA1012" s="85"/>
      <c r="CB1012" s="85"/>
      <c r="CC1012" s="85"/>
      <c r="CD1012" s="85"/>
      <c r="CE1012" s="85"/>
      <c r="CF1012" s="85"/>
      <c r="CG1012" s="85"/>
      <c r="CH1012" s="85"/>
      <c r="CI1012" s="85"/>
      <c r="CJ1012" s="85"/>
      <c r="CK1012" s="2"/>
    </row>
    <row r="1013" ht="12.75" customHeight="1">
      <c r="A1013" s="80">
        <f>IFERROR(__xludf.DUMMYFUNCTION("""COMPUTED_VALUE"""),1009.0)</f>
        <v>1009</v>
      </c>
      <c r="B1013" s="80"/>
      <c r="C1013" s="80"/>
      <c r="D1013" s="81">
        <f>IFERROR(__xludf.DUMMYFUNCTION("""COMPUTED_VALUE"""),46167.0)</f>
        <v>46167</v>
      </c>
      <c r="E1013" s="82"/>
      <c r="F1013" s="80"/>
      <c r="G1013" s="81">
        <f>IFERROR(__xludf.DUMMYFUNCTION("""COMPUTED_VALUE"""),46188.0)</f>
        <v>46188</v>
      </c>
      <c r="H1013" s="80"/>
      <c r="I1013" s="80"/>
      <c r="J1013" s="80"/>
      <c r="K1013" s="80"/>
      <c r="L1013" s="80">
        <f>IFERROR(__xludf.DUMMYFUNCTION("""COMPUTED_VALUE"""),21.0)</f>
        <v>21</v>
      </c>
      <c r="M1013" s="80"/>
      <c r="N1013" s="80"/>
      <c r="O1013" s="80"/>
      <c r="P1013" s="80" t="str">
        <f>IFERROR(__xludf.DUMMYFUNCTION("""COMPUTED_VALUE"""),"MUCSPA63485PSIND")</f>
        <v>MUCSPA63485PSIND</v>
      </c>
      <c r="Q1013" s="80" t="str">
        <f>IFERROR(__xludf.DUMMYFUNCTION("""COMPUTED_VALUE"""),"MUC JEJALEN JAYA")</f>
        <v>MUC JEJALEN JAYA</v>
      </c>
      <c r="R1013" s="80" t="str">
        <f>IFERROR(__xludf.DUMMYFUNCTION("""COMPUTED_VALUE"""),"MUC JEJALEN JAYA")</f>
        <v>MUC JEJALEN JAYA</v>
      </c>
      <c r="S1013" s="80" t="str">
        <f>IFERROR(__xludf.DUMMYFUNCTION("""COMPUTED_VALUE"""),"DELA ROSITA DELVIANI")</f>
        <v>DELA ROSITA DELVIANI</v>
      </c>
      <c r="T1013" s="80" t="str">
        <f>IFERROR(__xludf.DUMMYFUNCTION("""COMPUTED_VALUE"""),"KP TAMBELANG RT.009 RW.005, SUKARAPIH, TAMBELANG, KAB. BEKASI")</f>
        <v>KP TAMBELANG RT.009 RW.005, SUKARAPIH, TAMBELANG, KAB. BEKASI</v>
      </c>
      <c r="U1013" s="80" t="str">
        <f>IFERROR(__xludf.DUMMYFUNCTION("""COMPUTED_VALUE"""),"JL. Villa Bekasi Indah 1 Jajalenjaya Tambun Utara")</f>
        <v>JL. Villa Bekasi Indah 1 Jajalenjaya Tambun Utara</v>
      </c>
      <c r="V1013" s="80" t="str">
        <f>IFERROR(__xludf.DUMMYFUNCTION("""COMPUTED_VALUE"""),"RT.009 \ RW.005")</f>
        <v>RT.009 \ RW.005</v>
      </c>
      <c r="W1013" s="80" t="str">
        <f>IFERROR(__xludf.DUMMYFUNCTION("""COMPUTED_VALUE"""),"Jajalenjaya")</f>
        <v>Jajalenjaya</v>
      </c>
      <c r="X1013" s="80" t="str">
        <f>IFERROR(__xludf.DUMMYFUNCTION("""COMPUTED_VALUE"""),"Tambun Utara")</f>
        <v>Tambun Utara</v>
      </c>
      <c r="Y1013" s="80" t="str">
        <f>IFERROR(__xludf.DUMMYFUNCTION("""COMPUTED_VALUE"""),"Kab. Bekasi")</f>
        <v>Kab. Bekasi</v>
      </c>
      <c r="Z1013" s="80" t="str">
        <f>IFERROR(__xludf.DUMMYFUNCTION("""COMPUTED_VALUE"""),"Jawa barat")</f>
        <v>Jawa barat</v>
      </c>
      <c r="AA1013" s="80" t="str">
        <f>IFERROR(__xludf.DUMMYFUNCTION("""COMPUTED_VALUE"""),"17510")</f>
        <v>17510</v>
      </c>
      <c r="AB1013" s="80" t="str">
        <f>IFERROR(__xludf.DUMMYFUNCTION("""COMPUTED_VALUE"""),"3216045212960005")</f>
        <v>3216045212960005</v>
      </c>
      <c r="AC1013" s="80" t="str">
        <f>IFERROR(__xludf.DUMMYFUNCTION("""COMPUTED_VALUE"""),"96.440.329.9-435.000")</f>
        <v>96.440.329.9-435.000</v>
      </c>
      <c r="AD1013" s="80" t="str">
        <f>IFERROR(__xludf.DUMMYFUNCTION("""COMPUTED_VALUE"""),"CUM - PS - JMN")</f>
        <v>CUM - PS - JMN</v>
      </c>
      <c r="AE1013" s="80" t="str">
        <f>IFERROR(__xludf.DUMMYFUNCTION("""COMPUTED_VALUE"""),"CUM - PS - JMN")</f>
        <v>CUM - PS - JMN</v>
      </c>
      <c r="AF1013" s="80" t="str">
        <f>IFERROR(__xludf.DUMMYFUNCTION("""COMPUTED_VALUE"""),"085691044899")</f>
        <v>085691044899</v>
      </c>
      <c r="AG1013" s="80" t="str">
        <f>IFERROR(__xludf.DUMMYFUNCTION("""COMPUTED_VALUE"""),"085691044899")</f>
        <v>085691044899</v>
      </c>
      <c r="AH1013" s="80" t="str">
        <f>IFERROR(__xludf.DUMMYFUNCTION("""COMPUTED_VALUE"""),"pusatekspedisi114@gmail.com")</f>
        <v>pusatekspedisi114@gmail.com</v>
      </c>
      <c r="AI1013" s="80" t="str">
        <f>IFERROR(__xludf.DUMMYFUNCTION("""COMPUTED_VALUE"""),"17566S5")</f>
        <v>17566S5</v>
      </c>
      <c r="AJ1013" s="80" t="str">
        <f>IFERROR(__xludf.DUMMYFUNCTION("""COMPUTED_VALUE"""),"6a2df49da70390e0fd0e879e")</f>
        <v>6a2df49da70390e0fd0e879e</v>
      </c>
      <c r="AK1013" s="80" t="str">
        <f>IFERROR(__xludf.DUMMYFUNCTION("""COMPUTED_VALUE"""),"pusatekspedisi114@gmail.com")</f>
        <v>pusatekspedisi114@gmail.com</v>
      </c>
      <c r="AL1013" s="80" t="str">
        <f>IFERROR(__xludf.DUMMYFUNCTION("""COMPUTED_VALUE"""),"#Muc17566S5$")</f>
        <v>#Muc17566S5$</v>
      </c>
      <c r="AM1013" s="80" t="str">
        <f>IFERROR(__xludf.DUMMYFUNCTION("""COMPUTED_VALUE"""),"KANTOR REGIONAL II JAKARTA 10004")</f>
        <v>KANTOR REGIONAL II JAKARTA 10004</v>
      </c>
      <c r="AN1013" s="80" t="str">
        <f>IFERROR(__xludf.DUMMYFUNCTION("""COMPUTED_VALUE"""),"KC CIKARANG 17500")</f>
        <v>KC CIKARANG 17500</v>
      </c>
      <c r="AO1013" s="80" t="str">
        <f>IFERROR(__xludf.DUMMYFUNCTION("""COMPUTED_VALUE"""),"2402260057736")</f>
        <v>2402260057736</v>
      </c>
      <c r="AP1013" s="80" t="str">
        <f>IFERROR(__xludf.DUMMYFUNCTION("""COMPUTED_VALUE"""),"24022600577360004")</f>
        <v>24022600577360004</v>
      </c>
      <c r="AQ1013" s="83" t="str">
        <f>IFERROR(__xludf.DUMMYFUNCTION("""COMPUTED_VALUE"""),"156-00-1293266-3")</f>
        <v>156-00-1293266-3</v>
      </c>
      <c r="AR1013" s="80" t="str">
        <f>IFERROR(__xludf.DUMMYFUNCTION("""COMPUTED_VALUE"""),"MANDIRI")</f>
        <v>MANDIRI</v>
      </c>
      <c r="AS1013" s="80" t="str">
        <f>IFERROR(__xludf.DUMMYFUNCTION("""COMPUTED_VALUE"""),"DELA ROSITA DELVIANI")</f>
        <v>DELA ROSITA DELVIANI</v>
      </c>
      <c r="AT1013" s="80" t="str">
        <f>IFERROR(__xludf.DUMMYFUNCTION("""COMPUTED_VALUE"""),"-6.230002")</f>
        <v>-6.230002</v>
      </c>
      <c r="AU1013" s="80" t="str">
        <f>IFERROR(__xludf.DUMMYFUNCTION("""COMPUTED_VALUE"""),"107.066227")</f>
        <v>107.066227</v>
      </c>
      <c r="AV1013" s="80"/>
      <c r="AW1013" s="80"/>
      <c r="AX1013" s="80"/>
      <c r="AY1013" s="80"/>
      <c r="AZ1013" s="80"/>
      <c r="BA1013" s="80"/>
      <c r="BB1013" s="80"/>
      <c r="BC1013" s="80"/>
      <c r="BD1013" s="80"/>
      <c r="BE1013" s="80"/>
      <c r="BF1013" s="80"/>
      <c r="BG1013" s="80"/>
      <c r="BH1013" s="80"/>
      <c r="BI1013" s="80"/>
      <c r="BJ1013" s="80"/>
      <c r="BK1013" s="80"/>
      <c r="BL1013" s="80"/>
      <c r="BM1013" s="80"/>
      <c r="BN1013" s="80"/>
      <c r="BO1013" s="80"/>
      <c r="BP1013" s="80"/>
      <c r="BQ1013" s="80"/>
      <c r="BR1013" s="80"/>
      <c r="BS1013" s="80"/>
      <c r="BT1013" s="80"/>
      <c r="BU1013" s="80"/>
      <c r="BV1013" s="80"/>
      <c r="BW1013" s="80"/>
      <c r="BX1013" s="80"/>
      <c r="BY1013" s="80"/>
      <c r="BZ1013" s="80"/>
      <c r="CA1013" s="80"/>
      <c r="CB1013" s="80"/>
      <c r="CC1013" s="80"/>
      <c r="CD1013" s="80"/>
      <c r="CE1013" s="80"/>
      <c r="CF1013" s="80"/>
      <c r="CG1013" s="80"/>
      <c r="CH1013" s="80"/>
      <c r="CI1013" s="80"/>
      <c r="CJ1013" s="80"/>
      <c r="CK1013" s="2"/>
    </row>
    <row r="1014" ht="12.75" customHeight="1">
      <c r="A1014" s="85">
        <f>IFERROR(__xludf.DUMMYFUNCTION("""COMPUTED_VALUE"""),1010.0)</f>
        <v>1010</v>
      </c>
      <c r="B1014" s="85"/>
      <c r="C1014" s="85"/>
      <c r="D1014" s="86">
        <f>IFERROR(__xludf.DUMMYFUNCTION("""COMPUTED_VALUE"""),46167.0)</f>
        <v>46167</v>
      </c>
      <c r="E1014" s="88"/>
      <c r="F1014" s="85"/>
      <c r="G1014" s="86">
        <f>IFERROR(__xludf.DUMMYFUNCTION("""COMPUTED_VALUE"""),46203.0)</f>
        <v>46203</v>
      </c>
      <c r="H1014" s="85"/>
      <c r="I1014" s="85"/>
      <c r="J1014" s="85"/>
      <c r="K1014" s="85"/>
      <c r="L1014" s="85">
        <f>IFERROR(__xludf.DUMMYFUNCTION("""COMPUTED_VALUE"""),36.0)</f>
        <v>36</v>
      </c>
      <c r="M1014" s="85"/>
      <c r="N1014" s="85"/>
      <c r="O1014" s="85"/>
      <c r="P1014" s="85" t="str">
        <f>IFERROR(__xludf.DUMMYFUNCTION("""COMPUTED_VALUE"""),"12BSPA19777PGWNF")</f>
        <v>12BSPA19777PGWNF</v>
      </c>
      <c r="Q1014" s="85" t="str">
        <f>IFERROR(__xludf.DUMMYFUNCTION("""COMPUTED_VALUE"""),"MUC NABILAH")</f>
        <v>MUC NABILAH</v>
      </c>
      <c r="R1014" s="85" t="str">
        <f>IFERROR(__xludf.DUMMYFUNCTION("""COMPUTED_VALUE"""),"MUC NABILAH")</f>
        <v>MUC NABILAH</v>
      </c>
      <c r="S1014" s="85" t="str">
        <f>IFERROR(__xludf.DUMMYFUNCTION("""COMPUTED_VALUE"""),"TINA WATI")</f>
        <v>TINA WATI</v>
      </c>
      <c r="T1014" s="85" t="str">
        <f>IFERROR(__xludf.DUMMYFUNCTION("""COMPUTED_VALUE"""),"JL. OPI I ANGGREK RESIDENCE BLOK G NO. 5 JAKABARING")</f>
        <v>JL. OPI I ANGGREK RESIDENCE BLOK G NO. 5 JAKABARING</v>
      </c>
      <c r="U1014" s="85" t="str">
        <f>IFERROR(__xludf.DUMMYFUNCTION("""COMPUTED_VALUE"""),"Jl. Kh Wahid Hasym No. 530 RT 21 RW 05")</f>
        <v>Jl. Kh Wahid Hasym No. 530 RT 21 RW 05</v>
      </c>
      <c r="V1014" s="85"/>
      <c r="W1014" s="85" t="str">
        <f>IFERROR(__xludf.DUMMYFUNCTION("""COMPUTED_VALUE"""),"Dua Ulu")</f>
        <v>Dua Ulu</v>
      </c>
      <c r="X1014" s="85" t="str">
        <f>IFERROR(__xludf.DUMMYFUNCTION("""COMPUTED_VALUE"""),"Seberang Ulu Satu")</f>
        <v>Seberang Ulu Satu</v>
      </c>
      <c r="Y1014" s="85" t="str">
        <f>IFERROR(__xludf.DUMMYFUNCTION("""COMPUTED_VALUE"""),"Palembang")</f>
        <v>Palembang</v>
      </c>
      <c r="Z1014" s="85" t="str">
        <f>IFERROR(__xludf.DUMMYFUNCTION("""COMPUTED_VALUE"""),"Sumatera Selatan")</f>
        <v>Sumatera Selatan</v>
      </c>
      <c r="AA1014" s="85" t="str">
        <f>IFERROR(__xludf.DUMMYFUNCTION("""COMPUTED_VALUE"""),"30256")</f>
        <v>30256</v>
      </c>
      <c r="AB1014" s="85" t="str">
        <f>IFERROR(__xludf.DUMMYFUNCTION("""COMPUTED_VALUE"""),"1671024611740007")</f>
        <v>1671024611740007</v>
      </c>
      <c r="AC1014" s="85" t="str">
        <f>IFERROR(__xludf.DUMMYFUNCTION("""COMPUTED_VALUE"""),"07.751.572.4-952.000")</f>
        <v>07.751.572.4-952.000</v>
      </c>
      <c r="AD1014" s="85" t="str">
        <f>IFERROR(__xludf.DUMMYFUNCTION("""COMPUTED_VALUE"""),"CUM - WNF")</f>
        <v>CUM - WNF</v>
      </c>
      <c r="AE1014" s="85" t="str">
        <f>IFERROR(__xludf.DUMMYFUNCTION("""COMPUTED_VALUE"""),"CUM - WNF")</f>
        <v>CUM - WNF</v>
      </c>
      <c r="AF1014" s="85" t="str">
        <f>IFERROR(__xludf.DUMMYFUNCTION("""COMPUTED_VALUE"""),"08770446504433")</f>
        <v>08770446504433</v>
      </c>
      <c r="AG1014" s="85" t="str">
        <f>IFERROR(__xludf.DUMMYFUNCTION("""COMPUTED_VALUE"""),"08770446504433")</f>
        <v>08770446504433</v>
      </c>
      <c r="AH1014" s="85" t="str">
        <f>IFERROR(__xludf.DUMMYFUNCTION("""COMPUTED_VALUE"""),"putrasejahterabersama@gmail.com")</f>
        <v>putrasejahterabersama@gmail.com</v>
      </c>
      <c r="AI1014" s="85" t="str">
        <f>IFERROR(__xludf.DUMMYFUNCTION("""COMPUTED_VALUE"""),"30251S5")</f>
        <v>30251S5</v>
      </c>
      <c r="AJ1014" s="85" t="str">
        <f>IFERROR(__xludf.DUMMYFUNCTION("""COMPUTED_VALUE"""),"6a436e3add11df55620e8006")</f>
        <v>6a436e3add11df55620e8006</v>
      </c>
      <c r="AK1014" s="85" t="str">
        <f>IFERROR(__xludf.DUMMYFUNCTION("""COMPUTED_VALUE"""),"tina_nabilah01@outlook.com")</f>
        <v>tina_nabilah01@outlook.com</v>
      </c>
      <c r="AL1014" s="85" t="str">
        <f>IFERROR(__xludf.DUMMYFUNCTION("""COMPUTED_VALUE"""),"#Muc30251S5$")</f>
        <v>#Muc30251S5$</v>
      </c>
      <c r="AM1014" s="85" t="str">
        <f>IFERROR(__xludf.DUMMYFUNCTION("""COMPUTED_VALUE"""),"KANTOR REGIONAL I MEDAN 20004")</f>
        <v>KANTOR REGIONAL I MEDAN 20004</v>
      </c>
      <c r="AN1014" s="85" t="str">
        <f>IFERROR(__xludf.DUMMYFUNCTION("""COMPUTED_VALUE"""),"KCU PALEMBANG 30000")</f>
        <v>KCU PALEMBANG 30000</v>
      </c>
      <c r="AO1014" s="85" t="str">
        <f>IFERROR(__xludf.DUMMYFUNCTION("""COMPUTED_VALUE"""),"2505260079232")</f>
        <v>2505260079232</v>
      </c>
      <c r="AP1014" s="85" t="str">
        <f>IFERROR(__xludf.DUMMYFUNCTION("""COMPUTED_VALUE"""),"25052600792320001")</f>
        <v>25052600792320001</v>
      </c>
      <c r="AQ1014" s="93" t="str">
        <f>IFERROR(__xludf.DUMMYFUNCTION("""COMPUTED_VALUE"""),"1120019813026")</f>
        <v>1120019813026</v>
      </c>
      <c r="AR1014" s="85" t="str">
        <f>IFERROR(__xludf.DUMMYFUNCTION("""COMPUTED_VALUE"""),"MANDIRI")</f>
        <v>MANDIRI</v>
      </c>
      <c r="AS1014" s="85" t="str">
        <f>IFERROR(__xludf.DUMMYFUNCTION("""COMPUTED_VALUE"""),"TINAWATI")</f>
        <v>TINAWATI</v>
      </c>
      <c r="AT1014" s="85" t="str">
        <f>IFERROR(__xludf.DUMMYFUNCTION("""COMPUTED_VALUE"""),"-3.0094886")</f>
        <v>-3.0094886</v>
      </c>
      <c r="AU1014" s="85" t="str">
        <f>IFERROR(__xludf.DUMMYFUNCTION("""COMPUTED_VALUE"""),"104.7591368")</f>
        <v>104.7591368</v>
      </c>
      <c r="AV1014" s="85"/>
      <c r="AW1014" s="85"/>
      <c r="AX1014" s="85"/>
      <c r="AY1014" s="85"/>
      <c r="AZ1014" s="85"/>
      <c r="BA1014" s="85"/>
      <c r="BB1014" s="85"/>
      <c r="BC1014" s="85"/>
      <c r="BD1014" s="85"/>
      <c r="BE1014" s="85"/>
      <c r="BF1014" s="85"/>
      <c r="BG1014" s="85"/>
      <c r="BH1014" s="85"/>
      <c r="BI1014" s="85"/>
      <c r="BJ1014" s="85"/>
      <c r="BK1014" s="85"/>
      <c r="BL1014" s="85"/>
      <c r="BM1014" s="85"/>
      <c r="BN1014" s="85"/>
      <c r="BO1014" s="85"/>
      <c r="BP1014" s="85"/>
      <c r="BQ1014" s="85"/>
      <c r="BR1014" s="85"/>
      <c r="BS1014" s="85"/>
      <c r="BT1014" s="85"/>
      <c r="BU1014" s="85"/>
      <c r="BV1014" s="85"/>
      <c r="BW1014" s="85"/>
      <c r="BX1014" s="85"/>
      <c r="BY1014" s="85"/>
      <c r="BZ1014" s="85"/>
      <c r="CA1014" s="85"/>
      <c r="CB1014" s="85"/>
      <c r="CC1014" s="85"/>
      <c r="CD1014" s="85"/>
      <c r="CE1014" s="85"/>
      <c r="CF1014" s="85"/>
      <c r="CG1014" s="85"/>
      <c r="CH1014" s="85"/>
      <c r="CI1014" s="85"/>
      <c r="CJ1014" s="85"/>
      <c r="CK1014" s="2"/>
    </row>
    <row r="1015" ht="12.75" customHeight="1">
      <c r="A1015" s="80">
        <f>IFERROR(__xludf.DUMMYFUNCTION("""COMPUTED_VALUE"""),1011.0)</f>
        <v>1011</v>
      </c>
      <c r="B1015" s="80"/>
      <c r="C1015" s="80"/>
      <c r="D1015" s="81">
        <f>IFERROR(__xludf.DUMMYFUNCTION("""COMPUTED_VALUE"""),46167.0)</f>
        <v>46167</v>
      </c>
      <c r="E1015" s="82"/>
      <c r="F1015" s="80"/>
      <c r="G1015" s="81">
        <f>IFERROR(__xludf.DUMMYFUNCTION("""COMPUTED_VALUE"""),46185.0)</f>
        <v>46185</v>
      </c>
      <c r="H1015" s="80"/>
      <c r="I1015" s="80"/>
      <c r="J1015" s="80"/>
      <c r="K1015" s="80"/>
      <c r="L1015" s="80">
        <f>IFERROR(__xludf.DUMMYFUNCTION("""COMPUTED_VALUE"""),18.0)</f>
        <v>18</v>
      </c>
      <c r="M1015" s="80"/>
      <c r="N1015" s="80"/>
      <c r="O1015" s="80"/>
      <c r="P1015" s="80" t="str">
        <f>IFERROR(__xludf.DUMMYFUNCTION("""COMPUTED_VALUE"""),"MUCSPA63488PSIND")</f>
        <v>MUCSPA63488PSIND</v>
      </c>
      <c r="Q1015" s="80" t="str">
        <f>IFERROR(__xludf.DUMMYFUNCTION("""COMPUTED_VALUE"""),"MUC TSS DURI 98")</f>
        <v>MUC TSS DURI 98</v>
      </c>
      <c r="R1015" s="80" t="str">
        <f>IFERROR(__xludf.DUMMYFUNCTION("""COMPUTED_VALUE"""),"MUC TSS DURI 98")</f>
        <v>MUC TSS DURI 98</v>
      </c>
      <c r="S1015" s="80" t="str">
        <f>IFERROR(__xludf.DUMMYFUNCTION("""COMPUTED_VALUE"""),"ERLIN WIRONTONO")</f>
        <v>ERLIN WIRONTONO</v>
      </c>
      <c r="T1015" s="80" t="str">
        <f>IFERROR(__xludf.DUMMYFUNCTION("""COMPUTED_VALUE"""),"JL. TSS NO. 98 RT 5 RW 1 DURI SELATAN")</f>
        <v>JL. TSS NO. 98 RT 5 RW 1 DURI SELATAN</v>
      </c>
      <c r="U1015" s="80" t="str">
        <f>IFERROR(__xludf.DUMMYFUNCTION("""COMPUTED_VALUE"""),"JL. TSS NO. 98 RT 5 RW 1 DURI SELATAN")</f>
        <v>JL. TSS NO. 98 RT 5 RW 1 DURI SELATAN</v>
      </c>
      <c r="V1015" s="80" t="str">
        <f>IFERROR(__xludf.DUMMYFUNCTION("""COMPUTED_VALUE"""),"RT 5 R \ RW 1 D")</f>
        <v>RT 5 R \ RW 1 D</v>
      </c>
      <c r="W1015" s="80" t="str">
        <f>IFERROR(__xludf.DUMMYFUNCTION("""COMPUTED_VALUE"""),"DURI SELATAN")</f>
        <v>DURI SELATAN</v>
      </c>
      <c r="X1015" s="80" t="str">
        <f>IFERROR(__xludf.DUMMYFUNCTION("""COMPUTED_VALUE"""),"TAMBORA")</f>
        <v>TAMBORA</v>
      </c>
      <c r="Y1015" s="80" t="str">
        <f>IFERROR(__xludf.DUMMYFUNCTION("""COMPUTED_VALUE"""),"JAKARTA BARAT")</f>
        <v>JAKARTA BARAT</v>
      </c>
      <c r="Z1015" s="80" t="str">
        <f>IFERROR(__xludf.DUMMYFUNCTION("""COMPUTED_VALUE"""),"DKI JAKARTA")</f>
        <v>DKI JAKARTA</v>
      </c>
      <c r="AA1015" s="80" t="str">
        <f>IFERROR(__xludf.DUMMYFUNCTION("""COMPUTED_VALUE"""),"11270")</f>
        <v>11270</v>
      </c>
      <c r="AB1015" s="80" t="str">
        <f>IFERROR(__xludf.DUMMYFUNCTION("""COMPUTED_VALUE"""),"3173046201780001")</f>
        <v>3173046201780001</v>
      </c>
      <c r="AC1015" s="80" t="str">
        <f>IFERROR(__xludf.DUMMYFUNCTION("""COMPUTED_VALUE"""),"48.550.402.1-033.000")</f>
        <v>48.550.402.1-033.000</v>
      </c>
      <c r="AD1015" s="80" t="str">
        <f>IFERROR(__xludf.DUMMYFUNCTION("""COMPUTED_VALUE"""),"CUM - PS - SUSU / PAK SUGENG KCU OCEANIA")</f>
        <v>CUM - PS - SUSU / PAK SUGENG KCU OCEANIA</v>
      </c>
      <c r="AE1015" s="80" t="str">
        <f>IFERROR(__xludf.DUMMYFUNCTION("""COMPUTED_VALUE"""),"CUM - PS - SUSU / PAK SUGENG KCU OCEANIA")</f>
        <v>CUM - PS - SUSU / PAK SUGENG KCU OCEANIA</v>
      </c>
      <c r="AF1015" s="80" t="str">
        <f>IFERROR(__xludf.DUMMYFUNCTION("""COMPUTED_VALUE"""),"085105787052")</f>
        <v>085105787052</v>
      </c>
      <c r="AG1015" s="80" t="str">
        <f>IFERROR(__xludf.DUMMYFUNCTION("""COMPUTED_VALUE"""),"085105787052")</f>
        <v>085105787052</v>
      </c>
      <c r="AH1015" s="80" t="str">
        <f>IFERROR(__xludf.DUMMYFUNCTION("""COMPUTED_VALUE"""),"tssduriselatan@gmail.com")</f>
        <v>tssduriselatan@gmail.com</v>
      </c>
      <c r="AI1015" s="80" t="str">
        <f>IFERROR(__xludf.DUMMYFUNCTION("""COMPUTED_VALUE"""),"11270S4")</f>
        <v>11270S4</v>
      </c>
      <c r="AJ1015" s="80" t="str">
        <f>IFERROR(__xludf.DUMMYFUNCTION("""COMPUTED_VALUE"""),"6a2a8110546c125da303cf72")</f>
        <v>6a2a8110546c125da303cf72</v>
      </c>
      <c r="AK1015" s="80" t="str">
        <f>IFERROR(__xludf.DUMMYFUNCTION("""COMPUTED_VALUE"""),"tssduriselatan@gmail.com")</f>
        <v>tssduriselatan@gmail.com</v>
      </c>
      <c r="AL1015" s="80" t="str">
        <f>IFERROR(__xludf.DUMMYFUNCTION("""COMPUTED_VALUE"""),"#Muc11270S4$")</f>
        <v>#Muc11270S4$</v>
      </c>
      <c r="AM1015" s="80" t="str">
        <f>IFERROR(__xludf.DUMMYFUNCTION("""COMPUTED_VALUE"""),"KANTOR REGIONAL II JAKARTA 10004")</f>
        <v>KANTOR REGIONAL II JAKARTA 10004</v>
      </c>
      <c r="AN1015" s="80" t="str">
        <f>IFERROR(__xludf.DUMMYFUNCTION("""COMPUTED_VALUE"""),"KCU JAKARTAOCEANIA 11000")</f>
        <v>KCU JAKARTAOCEANIA 11000</v>
      </c>
      <c r="AO1015" s="80" t="str">
        <f>IFERROR(__xludf.DUMMYFUNCTION("""COMPUTED_VALUE"""),"2505260079851")</f>
        <v>2505260079851</v>
      </c>
      <c r="AP1015" s="80" t="str">
        <f>IFERROR(__xludf.DUMMYFUNCTION("""COMPUTED_VALUE"""),"25052600798510001")</f>
        <v>25052600798510001</v>
      </c>
      <c r="AQ1015" s="83" t="str">
        <f>IFERROR(__xludf.DUMMYFUNCTION("""COMPUTED_VALUE"""),"599-00-31039")</f>
        <v>599-00-31039</v>
      </c>
      <c r="AR1015" s="80" t="str">
        <f>IFERROR(__xludf.DUMMYFUNCTION("""COMPUTED_VALUE"""),"BCA")</f>
        <v>BCA</v>
      </c>
      <c r="AS1015" s="80" t="str">
        <f>IFERROR(__xludf.DUMMYFUNCTION("""COMPUTED_VALUE"""),"ERLIN WIRONTONO")</f>
        <v>ERLIN WIRONTONO</v>
      </c>
      <c r="AT1015" s="80" t="str">
        <f>IFERROR(__xludf.DUMMYFUNCTION("""COMPUTED_VALUE"""),"-6.156514")</f>
        <v>-6.156514</v>
      </c>
      <c r="AU1015" s="80" t="str">
        <f>IFERROR(__xludf.DUMMYFUNCTION("""COMPUTED_VALUE"""),"106.8025651")</f>
        <v>106.8025651</v>
      </c>
      <c r="AV1015" s="80"/>
      <c r="AW1015" s="80"/>
      <c r="AX1015" s="80"/>
      <c r="AY1015" s="80"/>
      <c r="AZ1015" s="80"/>
      <c r="BA1015" s="80"/>
      <c r="BB1015" s="80"/>
      <c r="BC1015" s="80"/>
      <c r="BD1015" s="80"/>
      <c r="BE1015" s="80"/>
      <c r="BF1015" s="80"/>
      <c r="BG1015" s="80"/>
      <c r="BH1015" s="80"/>
      <c r="BI1015" s="80"/>
      <c r="BJ1015" s="80"/>
      <c r="BK1015" s="80"/>
      <c r="BL1015" s="80"/>
      <c r="BM1015" s="80"/>
      <c r="BN1015" s="80"/>
      <c r="BO1015" s="80"/>
      <c r="BP1015" s="80"/>
      <c r="BQ1015" s="80"/>
      <c r="BR1015" s="80"/>
      <c r="BS1015" s="80"/>
      <c r="BT1015" s="80"/>
      <c r="BU1015" s="80"/>
      <c r="BV1015" s="80"/>
      <c r="BW1015" s="80"/>
      <c r="BX1015" s="80"/>
      <c r="BY1015" s="80"/>
      <c r="BZ1015" s="80"/>
      <c r="CA1015" s="80"/>
      <c r="CB1015" s="80"/>
      <c r="CC1015" s="80"/>
      <c r="CD1015" s="80"/>
      <c r="CE1015" s="80"/>
      <c r="CF1015" s="80"/>
      <c r="CG1015" s="80"/>
      <c r="CH1015" s="80"/>
      <c r="CI1015" s="80"/>
      <c r="CJ1015" s="80"/>
      <c r="CK1015" s="2"/>
    </row>
    <row r="1016" ht="12.75" customHeight="1">
      <c r="A1016" s="85">
        <f>IFERROR(__xludf.DUMMYFUNCTION("""COMPUTED_VALUE"""),1012.0)</f>
        <v>1012</v>
      </c>
      <c r="B1016" s="85"/>
      <c r="C1016" s="85"/>
      <c r="D1016" s="86">
        <f>IFERROR(__xludf.DUMMYFUNCTION("""COMPUTED_VALUE"""),46167.0)</f>
        <v>46167</v>
      </c>
      <c r="E1016" s="88"/>
      <c r="F1016" s="85"/>
      <c r="G1016" s="86">
        <f>IFERROR(__xludf.DUMMYFUNCTION("""COMPUTED_VALUE"""),46230.0)</f>
        <v>46230</v>
      </c>
      <c r="H1016" s="85"/>
      <c r="I1016" s="85"/>
      <c r="J1016" s="85"/>
      <c r="K1016" s="85"/>
      <c r="L1016" s="85">
        <f>IFERROR(__xludf.DUMMYFUNCTION("""COMPUTED_VALUE"""),63.0)</f>
        <v>63</v>
      </c>
      <c r="M1016" s="85"/>
      <c r="N1016" s="85"/>
      <c r="O1016" s="85"/>
      <c r="P1016" s="85" t="str">
        <f>IFERROR(__xludf.DUMMYFUNCTION("""COMPUTED_VALUE"""),"53BSPA17058JBNDS")</f>
        <v>53BSPA17058JBNDS</v>
      </c>
      <c r="Q1016" s="85" t="str">
        <f>IFERROR(__xludf.DUMMYFUNCTION("""COMPUTED_VALUE"""),"MUC PUTRA BERSAUDARA")</f>
        <v>MUC PUTRA BERSAUDARA</v>
      </c>
      <c r="R1016" s="85" t="str">
        <f>IFERROR(__xludf.DUMMYFUNCTION("""COMPUTED_VALUE"""),"MUC PUTRA BERSAUDARA")</f>
        <v>MUC PUTRA BERSAUDARA</v>
      </c>
      <c r="S1016" s="85" t="str">
        <f>IFERROR(__xludf.DUMMYFUNCTION("""COMPUTED_VALUE"""),"RADIUS SAPUTRA")</f>
        <v>RADIUS SAPUTRA</v>
      </c>
      <c r="T1016" s="85" t="str">
        <f>IFERROR(__xludf.DUMMYFUNCTION("""COMPUTED_VALUE"""),"JL. PERCETAKAN NEGARA II NO. 5 RT. 01 RW. 03 KEL. JOHAR BARU KEC. JOHAR BARU, JAKARTA PUSAT")</f>
        <v>JL. PERCETAKAN NEGARA II NO. 5 RT. 01 RW. 03 KEL. JOHAR BARU KEC. JOHAR BARU, JAKARTA PUSAT</v>
      </c>
      <c r="U1016" s="85" t="str">
        <f>IFERROR(__xludf.DUMMYFUNCTION("""COMPUTED_VALUE"""),"JL. KRAMAT")</f>
        <v>JL. KRAMAT</v>
      </c>
      <c r="V1016" s="85" t="str">
        <f>IFERROR(__xludf.DUMMYFUNCTION("""COMPUTED_VALUE"""),"RT. 01 \ RW. 03")</f>
        <v>RT. 01 \ RW. 03</v>
      </c>
      <c r="W1016" s="85" t="str">
        <f>IFERROR(__xludf.DUMMYFUNCTION("""COMPUTED_VALUE"""),"SUKATANI")</f>
        <v>SUKATANI</v>
      </c>
      <c r="X1016" s="85" t="str">
        <f>IFERROR(__xludf.DUMMYFUNCTION("""COMPUTED_VALUE"""),"TAPOS")</f>
        <v>TAPOS</v>
      </c>
      <c r="Y1016" s="85" t="str">
        <f>IFERROR(__xludf.DUMMYFUNCTION("""COMPUTED_VALUE"""),"DEPOK")</f>
        <v>DEPOK</v>
      </c>
      <c r="Z1016" s="85" t="str">
        <f>IFERROR(__xludf.DUMMYFUNCTION("""COMPUTED_VALUE"""),"JAWA BARAT")</f>
        <v>JAWA BARAT</v>
      </c>
      <c r="AA1016" s="85" t="str">
        <f>IFERROR(__xludf.DUMMYFUNCTION("""COMPUTED_VALUE"""),"16454")</f>
        <v>16454</v>
      </c>
      <c r="AB1016" s="85" t="str">
        <f>IFERROR(__xludf.DUMMYFUNCTION("""COMPUTED_VALUE"""),"3171081909720004")</f>
        <v>3171081909720004</v>
      </c>
      <c r="AC1016" s="85" t="str">
        <f>IFERROR(__xludf.DUMMYFUNCTION("""COMPUTED_VALUE"""),"60.150.795.7-024.000")</f>
        <v>60.150.795.7-024.000</v>
      </c>
      <c r="AD1016" s="85" t="str">
        <f>IFERROR(__xludf.DUMMYFUNCTION("""COMPUTED_VALUE"""),"SUB NDS")</f>
        <v>SUB NDS</v>
      </c>
      <c r="AE1016" s="85" t="str">
        <f>IFERROR(__xludf.DUMMYFUNCTION("""COMPUTED_VALUE"""),"SUB NDS")</f>
        <v>SUB NDS</v>
      </c>
      <c r="AF1016" s="85" t="str">
        <f>IFERROR(__xludf.DUMMYFUNCTION("""COMPUTED_VALUE"""),"0895428257399")</f>
        <v>0895428257399</v>
      </c>
      <c r="AG1016" s="85" t="str">
        <f>IFERROR(__xludf.DUMMYFUNCTION("""COMPUTED_VALUE"""),"0895428257399")</f>
        <v>0895428257399</v>
      </c>
      <c r="AH1016" s="85" t="str">
        <f>IFERROR(__xludf.DUMMYFUNCTION("""COMPUTED_VALUE"""),"saputraradius5@gmail.com")</f>
        <v>saputraradius5@gmail.com</v>
      </c>
      <c r="AI1016" s="85" t="str">
        <f>IFERROR(__xludf.DUMMYFUNCTION("""COMPUTED_VALUE"""),"16461S5")</f>
        <v>16461S5</v>
      </c>
      <c r="AJ1016" s="85" t="str">
        <f>IFERROR(__xludf.DUMMYFUNCTION("""COMPUTED_VALUE"""),"6a313ac0b214dd09e70f73d2")</f>
        <v>6a313ac0b214dd09e70f73d2</v>
      </c>
      <c r="AK1016" s="85" t="str">
        <f>IFERROR(__xludf.DUMMYFUNCTION("""COMPUTED_VALUE"""),"saputraradius5@gmail.com")</f>
        <v>saputraradius5@gmail.com</v>
      </c>
      <c r="AL1016" s="85" t="str">
        <f>IFERROR(__xludf.DUMMYFUNCTION("""COMPUTED_VALUE"""),"#Muc16461S5$")</f>
        <v>#Muc16461S5$</v>
      </c>
      <c r="AM1016" s="85" t="str">
        <f>IFERROR(__xludf.DUMMYFUNCTION("""COMPUTED_VALUE"""),"KANTOR REGIONAL II JAKARTA 10004")</f>
        <v>KANTOR REGIONAL II JAKARTA 10004</v>
      </c>
      <c r="AN1016" s="85" t="str">
        <f>IFERROR(__xludf.DUMMYFUNCTION("""COMPUTED_VALUE"""),"KC DEPOK 16400")</f>
        <v>KC DEPOK 16400</v>
      </c>
      <c r="AO1016" s="85" t="str">
        <f>IFERROR(__xludf.DUMMYFUNCTION("""COMPUTED_VALUE"""),"2205260119391")</f>
        <v>2205260119391</v>
      </c>
      <c r="AP1016" s="85" t="str">
        <f>IFERROR(__xludf.DUMMYFUNCTION("""COMPUTED_VALUE"""),"22052601193910002")</f>
        <v>22052601193910002</v>
      </c>
      <c r="AQ1016" s="93" t="str">
        <f>IFERROR(__xludf.DUMMYFUNCTION("""COMPUTED_VALUE"""),"3420666224")</f>
        <v>3420666224</v>
      </c>
      <c r="AR1016" s="85" t="str">
        <f>IFERROR(__xludf.DUMMYFUNCTION("""COMPUTED_VALUE"""),"BCA")</f>
        <v>BCA</v>
      </c>
      <c r="AS1016" s="85" t="str">
        <f>IFERROR(__xludf.DUMMYFUNCTION("""COMPUTED_VALUE"""),"RADIUS SAPUTRA")</f>
        <v>RADIUS SAPUTRA</v>
      </c>
      <c r="AT1016" s="85" t="str">
        <f>IFERROR(__xludf.DUMMYFUNCTION("""COMPUTED_VALUE"""),"-6.3970852")</f>
        <v>-6.3970852</v>
      </c>
      <c r="AU1016" s="85" t="str">
        <f>IFERROR(__xludf.DUMMYFUNCTION("""COMPUTED_VALUE"""),"106.8907308")</f>
        <v>106.8907308</v>
      </c>
      <c r="AV1016" s="85"/>
      <c r="AW1016" s="85"/>
      <c r="AX1016" s="85"/>
      <c r="AY1016" s="85"/>
      <c r="AZ1016" s="85"/>
      <c r="BA1016" s="85"/>
      <c r="BB1016" s="85"/>
      <c r="BC1016" s="85"/>
      <c r="BD1016" s="85"/>
      <c r="BE1016" s="85"/>
      <c r="BF1016" s="85"/>
      <c r="BG1016" s="85"/>
      <c r="BH1016" s="85"/>
      <c r="BI1016" s="85"/>
      <c r="BJ1016" s="85"/>
      <c r="BK1016" s="85"/>
      <c r="BL1016" s="85"/>
      <c r="BM1016" s="85"/>
      <c r="BN1016" s="85"/>
      <c r="BO1016" s="85"/>
      <c r="BP1016" s="85"/>
      <c r="BQ1016" s="85"/>
      <c r="BR1016" s="85"/>
      <c r="BS1016" s="85"/>
      <c r="BT1016" s="85"/>
      <c r="BU1016" s="85"/>
      <c r="BV1016" s="85"/>
      <c r="BW1016" s="85"/>
      <c r="BX1016" s="85"/>
      <c r="BY1016" s="85"/>
      <c r="BZ1016" s="85"/>
      <c r="CA1016" s="85"/>
      <c r="CB1016" s="85"/>
      <c r="CC1016" s="85"/>
      <c r="CD1016" s="85"/>
      <c r="CE1016" s="85"/>
      <c r="CF1016" s="85"/>
      <c r="CG1016" s="85"/>
      <c r="CH1016" s="85"/>
      <c r="CI1016" s="85"/>
      <c r="CJ1016" s="85"/>
      <c r="CK1016" s="2"/>
    </row>
    <row r="1017" ht="12.75" customHeight="1">
      <c r="A1017" s="80">
        <f>IFERROR(__xludf.DUMMYFUNCTION("""COMPUTED_VALUE"""),1013.0)</f>
        <v>1013</v>
      </c>
      <c r="B1017" s="80"/>
      <c r="C1017" s="80"/>
      <c r="D1017" s="81">
        <f>IFERROR(__xludf.DUMMYFUNCTION("""COMPUTED_VALUE"""),46167.0)</f>
        <v>46167</v>
      </c>
      <c r="E1017" s="82"/>
      <c r="F1017" s="80"/>
      <c r="G1017" s="179"/>
      <c r="H1017" s="80"/>
      <c r="I1017" s="80"/>
      <c r="J1017" s="80"/>
      <c r="K1017" s="80"/>
      <c r="L1017" s="80"/>
      <c r="M1017" s="80"/>
      <c r="N1017" s="80"/>
      <c r="O1017" s="80"/>
      <c r="P1017" s="80" t="str">
        <f>IFERROR(__xludf.DUMMYFUNCTION("""COMPUTED_VALUE"""),"MUCSPA63489PSIND")</f>
        <v>MUCSPA63489PSIND</v>
      </c>
      <c r="Q1017" s="80" t="str">
        <f>IFERROR(__xludf.DUMMYFUNCTION("""COMPUTED_VALUE"""),"MUC TIARA")</f>
        <v>MUC TIARA</v>
      </c>
      <c r="R1017" s="80" t="str">
        <f>IFERROR(__xludf.DUMMYFUNCTION("""COMPUTED_VALUE"""),"MUC TIARA")</f>
        <v>MUC TIARA</v>
      </c>
      <c r="S1017" s="80" t="str">
        <f>IFERROR(__xludf.DUMMYFUNCTION("""COMPUTED_VALUE"""),"FIESTA LISNATIARA")</f>
        <v>FIESTA LISNATIARA</v>
      </c>
      <c r="T1017" s="80" t="str">
        <f>IFERROR(__xludf.DUMMYFUNCTION("""COMPUTED_VALUE"""),"KOMP. KARANG BERJAH RT 4 RW 10 CIGADUNG KARANG TANJUNG PANDEGLANG")</f>
        <v>KOMP. KARANG BERJAH RT 4 RW 10 CIGADUNG KARANG TANJUNG PANDEGLANG</v>
      </c>
      <c r="U1017" s="80" t="str">
        <f>IFERROR(__xludf.DUMMYFUNCTION("""COMPUTED_VALUE"""),"PAGADUNGAN")</f>
        <v>PAGADUNGAN</v>
      </c>
      <c r="V1017" s="80" t="str">
        <f>IFERROR(__xludf.DUMMYFUNCTION("""COMPUTED_VALUE"""),"RT 4 R \ RW 10")</f>
        <v>RT 4 R \ RW 10</v>
      </c>
      <c r="W1017" s="80" t="str">
        <f>IFERROR(__xludf.DUMMYFUNCTION("""COMPUTED_VALUE"""),"PAGADUNGAN")</f>
        <v>PAGADUNGAN</v>
      </c>
      <c r="X1017" s="80" t="str">
        <f>IFERROR(__xludf.DUMMYFUNCTION("""COMPUTED_VALUE"""),"KARANG TANJUNG")</f>
        <v>KARANG TANJUNG</v>
      </c>
      <c r="Y1017" s="80" t="str">
        <f>IFERROR(__xludf.DUMMYFUNCTION("""COMPUTED_VALUE"""),"KAB. PANDEGLANG")</f>
        <v>KAB. PANDEGLANG</v>
      </c>
      <c r="Z1017" s="80" t="str">
        <f>IFERROR(__xludf.DUMMYFUNCTION("""COMPUTED_VALUE"""),"BANTEN")</f>
        <v>BANTEN</v>
      </c>
      <c r="AA1017" s="80" t="str">
        <f>IFERROR(__xludf.DUMMYFUNCTION("""COMPUTED_VALUE"""),"42213")</f>
        <v>42213</v>
      </c>
      <c r="AB1017" s="80" t="str">
        <f>IFERROR(__xludf.DUMMYFUNCTION("""COMPUTED_VALUE"""),"3601256406950004")</f>
        <v>3601256406950004</v>
      </c>
      <c r="AC1017" s="80" t="str">
        <f>IFERROR(__xludf.DUMMYFUNCTION("""COMPUTED_VALUE"""),"94.314.756.1-419.000")</f>
        <v>94.314.756.1-419.000</v>
      </c>
      <c r="AD1017" s="80" t="str">
        <f>IFERROR(__xludf.DUMMYFUNCTION("""COMPUTED_VALUE"""),"CUM - PS - MARVEL")</f>
        <v>CUM - PS - MARVEL</v>
      </c>
      <c r="AE1017" s="80" t="str">
        <f>IFERROR(__xludf.DUMMYFUNCTION("""COMPUTED_VALUE"""),"BU MARVEL KC PANDEGLANG")</f>
        <v>BU MARVEL KC PANDEGLANG</v>
      </c>
      <c r="AF1017" s="80" t="str">
        <f>IFERROR(__xludf.DUMMYFUNCTION("""COMPUTED_VALUE"""),"089677887320")</f>
        <v>089677887320</v>
      </c>
      <c r="AG1017" s="80" t="str">
        <f>IFERROR(__xludf.DUMMYFUNCTION("""COMPUTED_VALUE"""),"89677887320")</f>
        <v>89677887320</v>
      </c>
      <c r="AH1017" s="80" t="str">
        <f>IFERROR(__xludf.DUMMYFUNCTION("""COMPUTED_VALUE"""),"lisnatiarafiesta@gmail.com")</f>
        <v>lisnatiarafiesta@gmail.com</v>
      </c>
      <c r="AI1017" s="80"/>
      <c r="AJ1017" s="80"/>
      <c r="AK1017" s="80"/>
      <c r="AL1017" s="80"/>
      <c r="AM1017" s="80" t="str">
        <f>IFERROR(__xludf.DUMMYFUNCTION("""COMPUTED_VALUE"""),"KANTOR REGIONAL II JAKARTA 10004")</f>
        <v>KANTOR REGIONAL II JAKARTA 10004</v>
      </c>
      <c r="AN1017" s="80" t="str">
        <f>IFERROR(__xludf.DUMMYFUNCTION("""COMPUTED_VALUE"""),"KC PANDEGLANG 42200")</f>
        <v>KC PANDEGLANG 42200</v>
      </c>
      <c r="AO1017" s="80" t="str">
        <f>IFERROR(__xludf.DUMMYFUNCTION("""COMPUTED_VALUE"""),"1304260031164")</f>
        <v>1304260031164</v>
      </c>
      <c r="AP1017" s="80" t="str">
        <f>IFERROR(__xludf.DUMMYFUNCTION("""COMPUTED_VALUE"""),"13042600311640002")</f>
        <v>13042600311640002</v>
      </c>
      <c r="AQ1017" s="83" t="str">
        <f>IFERROR(__xludf.DUMMYFUNCTION("""COMPUTED_VALUE"""),"901586184701")</f>
        <v>901586184701</v>
      </c>
      <c r="AR1017" s="80" t="str">
        <f>IFERROR(__xludf.DUMMYFUNCTION("""COMPUTED_VALUE"""),"SEABANK")</f>
        <v>SEABANK</v>
      </c>
      <c r="AS1017" s="80" t="str">
        <f>IFERROR(__xludf.DUMMYFUNCTION("""COMPUTED_VALUE"""),"FIESTA LISNATIARA")</f>
        <v>FIESTA LISNATIARA</v>
      </c>
      <c r="AT1017" s="80" t="str">
        <f>IFERROR(__xludf.DUMMYFUNCTION("""COMPUTED_VALUE"""),"-62,879,043")</f>
        <v>-62,879,043</v>
      </c>
      <c r="AU1017" s="80" t="str">
        <f>IFERROR(__xludf.DUMMYFUNCTION("""COMPUTED_VALUE"""),"1,061,252,538")</f>
        <v>1,061,252,538</v>
      </c>
      <c r="AV1017" s="80"/>
      <c r="AW1017" s="80"/>
      <c r="AX1017" s="80"/>
      <c r="AY1017" s="80"/>
      <c r="AZ1017" s="80"/>
      <c r="BA1017" s="80"/>
      <c r="BB1017" s="80"/>
      <c r="BC1017" s="80"/>
      <c r="BD1017" s="80"/>
      <c r="BE1017" s="80"/>
      <c r="BF1017" s="80"/>
      <c r="BG1017" s="80"/>
      <c r="BH1017" s="80"/>
      <c r="BI1017" s="80"/>
      <c r="BJ1017" s="80"/>
      <c r="BK1017" s="80"/>
      <c r="BL1017" s="80"/>
      <c r="BM1017" s="80"/>
      <c r="BN1017" s="80"/>
      <c r="BO1017" s="80"/>
      <c r="BP1017" s="80"/>
      <c r="BQ1017" s="80"/>
      <c r="BR1017" s="80"/>
      <c r="BS1017" s="80"/>
      <c r="BT1017" s="80"/>
      <c r="BU1017" s="80"/>
      <c r="BV1017" s="80"/>
      <c r="BW1017" s="80"/>
      <c r="BX1017" s="80"/>
      <c r="BY1017" s="80"/>
      <c r="BZ1017" s="80"/>
      <c r="CA1017" s="80"/>
      <c r="CB1017" s="80"/>
      <c r="CC1017" s="80"/>
      <c r="CD1017" s="80"/>
      <c r="CE1017" s="80"/>
      <c r="CF1017" s="80"/>
      <c r="CG1017" s="80"/>
      <c r="CH1017" s="80"/>
      <c r="CI1017" s="80"/>
      <c r="CJ1017" s="80"/>
      <c r="CK1017" s="2"/>
    </row>
    <row r="1018" ht="12.75" customHeight="1">
      <c r="A1018" s="85">
        <f>IFERROR(__xludf.DUMMYFUNCTION("""COMPUTED_VALUE"""),1014.0)</f>
        <v>1014</v>
      </c>
      <c r="B1018" s="85"/>
      <c r="C1018" s="85"/>
      <c r="D1018" s="86">
        <f>IFERROR(__xludf.DUMMYFUNCTION("""COMPUTED_VALUE"""),46167.0)</f>
        <v>46167</v>
      </c>
      <c r="E1018" s="88"/>
      <c r="F1018" s="85"/>
      <c r="G1018" s="86"/>
      <c r="H1018" s="85"/>
      <c r="I1018" s="85"/>
      <c r="J1018" s="85"/>
      <c r="K1018" s="85"/>
      <c r="L1018" s="85"/>
      <c r="M1018" s="85"/>
      <c r="N1018" s="85"/>
      <c r="O1018" s="85"/>
      <c r="P1018" s="85" t="str">
        <f>IFERROR(__xludf.DUMMYFUNCTION("""COMPUTED_VALUE"""),"MUCSPA63422PSIND")</f>
        <v>MUCSPA63422PSIND</v>
      </c>
      <c r="Q1018" s="85" t="str">
        <f>IFERROR(__xludf.DUMMYFUNCTION("""COMPUTED_VALUE"""),"MUC CINTA")</f>
        <v>MUC CINTA</v>
      </c>
      <c r="R1018" s="85" t="str">
        <f>IFERROR(__xludf.DUMMYFUNCTION("""COMPUTED_VALUE"""),"MUC CINTA")</f>
        <v>MUC CINTA</v>
      </c>
      <c r="S1018" s="85" t="str">
        <f>IFERROR(__xludf.DUMMYFUNCTION("""COMPUTED_VALUE"""),"ARIF YULIANTO")</f>
        <v>ARIF YULIANTO</v>
      </c>
      <c r="T1018" s="85" t="str">
        <f>IFERROR(__xludf.DUMMYFUNCTION("""COMPUTED_VALUE"""),"DUSUN KENDAL RT 2 RW 3 SIDODADI")</f>
        <v>DUSUN KENDAL RT 2 RW 3 SIDODADI</v>
      </c>
      <c r="U1018" s="85" t="str">
        <f>IFERROR(__xludf.DUMMYFUNCTION("""COMPUTED_VALUE"""),"JL. KI WONGSO CITRO RT 2 RW 3")</f>
        <v>JL. KI WONGSO CITRO RT 2 RW 3</v>
      </c>
      <c r="V1018" s="85" t="str">
        <f>IFERROR(__xludf.DUMMYFUNCTION("""COMPUTED_VALUE"""),"RT 2 R \ RW 3 S")</f>
        <v>RT 2 R \ RW 3 S</v>
      </c>
      <c r="W1018" s="85" t="str">
        <f>IFERROR(__xludf.DUMMYFUNCTION("""COMPUTED_VALUE"""),"SIDODADI")</f>
        <v>SIDODADI</v>
      </c>
      <c r="X1018" s="85" t="str">
        <f>IFERROR(__xludf.DUMMYFUNCTION("""COMPUTED_VALUE"""),"SUKOSEWU")</f>
        <v>SUKOSEWU</v>
      </c>
      <c r="Y1018" s="85" t="str">
        <f>IFERROR(__xludf.DUMMYFUNCTION("""COMPUTED_VALUE"""),"KAB. BOJONEGORO")</f>
        <v>KAB. BOJONEGORO</v>
      </c>
      <c r="Z1018" s="85" t="str">
        <f>IFERROR(__xludf.DUMMYFUNCTION("""COMPUTED_VALUE"""),"JAWA TIMUR")</f>
        <v>JAWA TIMUR</v>
      </c>
      <c r="AA1018" s="85" t="str">
        <f>IFERROR(__xludf.DUMMYFUNCTION("""COMPUTED_VALUE"""),"62181")</f>
        <v>62181</v>
      </c>
      <c r="AB1018" s="85" t="str">
        <f>IFERROR(__xludf.DUMMYFUNCTION("""COMPUTED_VALUE"""),"3522240203880001")</f>
        <v>3522240203880001</v>
      </c>
      <c r="AC1018" s="85" t="str">
        <f>IFERROR(__xludf.DUMMYFUNCTION("""COMPUTED_VALUE"""),"65.608.494.4-601.000")</f>
        <v>65.608.494.4-601.000</v>
      </c>
      <c r="AD1018" s="85" t="str">
        <f>IFERROR(__xludf.DUMMYFUNCTION("""COMPUTED_VALUE"""),"BU RINDA KC BOJONEGORO")</f>
        <v>BU RINDA KC BOJONEGORO</v>
      </c>
      <c r="AE1018" s="85" t="str">
        <f>IFERROR(__xludf.DUMMYFUNCTION("""COMPUTED_VALUE"""),"BU RINDA KC BOJONEGORO")</f>
        <v>BU RINDA KC BOJONEGORO</v>
      </c>
      <c r="AF1018" s="85" t="str">
        <f>IFERROR(__xludf.DUMMYFUNCTION("""COMPUTED_VALUE"""),"08563155406")</f>
        <v>08563155406</v>
      </c>
      <c r="AG1018" s="85" t="str">
        <f>IFERROR(__xludf.DUMMYFUNCTION("""COMPUTED_VALUE"""),"08563155406")</f>
        <v>08563155406</v>
      </c>
      <c r="AH1018" s="85" t="str">
        <f>IFERROR(__xludf.DUMMYFUNCTION("""COMPUTED_VALUE"""),"Antoarif265@gmail.com")</f>
        <v>Antoarif265@gmail.com</v>
      </c>
      <c r="AI1018" s="85"/>
      <c r="AJ1018" s="85"/>
      <c r="AK1018" s="85"/>
      <c r="AL1018" s="85"/>
      <c r="AM1018" s="85" t="str">
        <f>IFERROR(__xludf.DUMMYFUNCTION("""COMPUTED_VALUE"""),"KANTOR REGIONAL V SURABAYA 60004")</f>
        <v>KANTOR REGIONAL V SURABAYA 60004</v>
      </c>
      <c r="AN1018" s="85" t="str">
        <f>IFERROR(__xludf.DUMMYFUNCTION("""COMPUTED_VALUE"""),"KC BOJONEGORO 62100")</f>
        <v>KC BOJONEGORO 62100</v>
      </c>
      <c r="AO1018" s="85" t="str">
        <f>IFERROR(__xludf.DUMMYFUNCTION("""COMPUTED_VALUE"""),"2005250117347")</f>
        <v>2005250117347</v>
      </c>
      <c r="AP1018" s="85" t="str">
        <f>IFERROR(__xludf.DUMMYFUNCTION("""COMPUTED_VALUE"""),"20052501173470001")</f>
        <v>20052501173470001</v>
      </c>
      <c r="AQ1018" s="93" t="str">
        <f>IFERROR(__xludf.DUMMYFUNCTION("""COMPUTED_VALUE"""),"1381182602")</f>
        <v>1381182602</v>
      </c>
      <c r="AR1018" s="85" t="str">
        <f>IFERROR(__xludf.DUMMYFUNCTION("""COMPUTED_VALUE"""),"BNI")</f>
        <v>BNI</v>
      </c>
      <c r="AS1018" s="85" t="str">
        <f>IFERROR(__xludf.DUMMYFUNCTION("""COMPUTED_VALUE"""),"ARIF YULIANTO")</f>
        <v>ARIF YULIANTO</v>
      </c>
      <c r="AT1018" s="85" t="str">
        <f>IFERROR(__xludf.DUMMYFUNCTION("""COMPUTED_VALUE"""),"-7.2101041")</f>
        <v>-7.2101041</v>
      </c>
      <c r="AU1018" s="85" t="str">
        <f>IFERROR(__xludf.DUMMYFUNCTION("""COMPUTED_VALUE"""),"111.9277302")</f>
        <v>111.9277302</v>
      </c>
      <c r="AV1018" s="85"/>
      <c r="AW1018" s="85"/>
      <c r="AX1018" s="85"/>
      <c r="AY1018" s="85"/>
      <c r="AZ1018" s="85"/>
      <c r="BA1018" s="85"/>
      <c r="BB1018" s="85"/>
      <c r="BC1018" s="85"/>
      <c r="BD1018" s="85"/>
      <c r="BE1018" s="85"/>
      <c r="BF1018" s="85"/>
      <c r="BG1018" s="85"/>
      <c r="BH1018" s="85"/>
      <c r="BI1018" s="85"/>
      <c r="BJ1018" s="85"/>
      <c r="BK1018" s="85"/>
      <c r="BL1018" s="85"/>
      <c r="BM1018" s="85"/>
      <c r="BN1018" s="85"/>
      <c r="BO1018" s="85"/>
      <c r="BP1018" s="85"/>
      <c r="BQ1018" s="85"/>
      <c r="BR1018" s="85"/>
      <c r="BS1018" s="85"/>
      <c r="BT1018" s="85"/>
      <c r="BU1018" s="85"/>
      <c r="BV1018" s="85"/>
      <c r="BW1018" s="85"/>
      <c r="BX1018" s="85"/>
      <c r="BY1018" s="85"/>
      <c r="BZ1018" s="85"/>
      <c r="CA1018" s="85"/>
      <c r="CB1018" s="85"/>
      <c r="CC1018" s="85"/>
      <c r="CD1018" s="85"/>
      <c r="CE1018" s="85"/>
      <c r="CF1018" s="85"/>
      <c r="CG1018" s="85"/>
      <c r="CH1018" s="85"/>
      <c r="CI1018" s="85"/>
      <c r="CJ1018" s="85"/>
      <c r="CK1018" s="2"/>
    </row>
    <row r="1019" ht="12.75" customHeight="1">
      <c r="A1019" s="80">
        <f>IFERROR(__xludf.DUMMYFUNCTION("""COMPUTED_VALUE"""),1015.0)</f>
        <v>1015</v>
      </c>
      <c r="B1019" s="80"/>
      <c r="C1019" s="80"/>
      <c r="D1019" s="81">
        <f>IFERROR(__xludf.DUMMYFUNCTION("""COMPUTED_VALUE"""),46167.0)</f>
        <v>46167</v>
      </c>
      <c r="E1019" s="82"/>
      <c r="F1019" s="80"/>
      <c r="G1019" s="81"/>
      <c r="H1019" s="80"/>
      <c r="I1019" s="80"/>
      <c r="J1019" s="80"/>
      <c r="K1019" s="80"/>
      <c r="L1019" s="80"/>
      <c r="M1019" s="80"/>
      <c r="N1019" s="80"/>
      <c r="O1019" s="80"/>
      <c r="P1019" s="80" t="str">
        <f>IFERROR(__xludf.DUMMYFUNCTION("""COMPUTED_VALUE"""),"MUCSPA63490PSIND")</f>
        <v>MUCSPA63490PSIND</v>
      </c>
      <c r="Q1019" s="80" t="str">
        <f>IFERROR(__xludf.DUMMYFUNCTION("""COMPUTED_VALUE"""),"MUC WARUNG MIRA")</f>
        <v>MUC WARUNG MIRA</v>
      </c>
      <c r="R1019" s="80" t="str">
        <f>IFERROR(__xludf.DUMMYFUNCTION("""COMPUTED_VALUE"""),"MUC WARUNG MIRA")</f>
        <v>MUC WARUNG MIRA</v>
      </c>
      <c r="S1019" s="80" t="str">
        <f>IFERROR(__xludf.DUMMYFUNCTION("""COMPUTED_VALUE"""),"SYAMSUDIN")</f>
        <v>SYAMSUDIN</v>
      </c>
      <c r="T1019" s="80" t="str">
        <f>IFERROR(__xludf.DUMMYFUNCTION("""COMPUTED_VALUE"""),"KP. PASIR TUNDUN RT 10 RW 4 WARUNGGUNUNG")</f>
        <v>KP. PASIR TUNDUN RT 10 RW 4 WARUNGGUNUNG</v>
      </c>
      <c r="U1019" s="80" t="str">
        <f>IFERROR(__xludf.DUMMYFUNCTION("""COMPUTED_VALUE"""),"JL. SUNAN GIRI NO. 13")</f>
        <v>JL. SUNAN GIRI NO. 13</v>
      </c>
      <c r="V1019" s="80" t="str">
        <f>IFERROR(__xludf.DUMMYFUNCTION("""COMPUTED_VALUE"""),"RT 10  \ RW 4 W")</f>
        <v>RT 10  \ RW 4 W</v>
      </c>
      <c r="W1019" s="80" t="str">
        <f>IFERROR(__xludf.DUMMYFUNCTION("""COMPUTED_VALUE"""),"Muara Ciujung timur")</f>
        <v>Muara Ciujung timur</v>
      </c>
      <c r="X1019" s="80" t="str">
        <f>IFERROR(__xludf.DUMMYFUNCTION("""COMPUTED_VALUE"""),"Rangkasbitung")</f>
        <v>Rangkasbitung</v>
      </c>
      <c r="Y1019" s="80" t="str">
        <f>IFERROR(__xludf.DUMMYFUNCTION("""COMPUTED_VALUE"""),"KAB. LEBAK")</f>
        <v>KAB. LEBAK</v>
      </c>
      <c r="Z1019" s="80" t="str">
        <f>IFERROR(__xludf.DUMMYFUNCTION("""COMPUTED_VALUE"""),"BANTEN")</f>
        <v>BANTEN</v>
      </c>
      <c r="AA1019" s="80" t="str">
        <f>IFERROR(__xludf.DUMMYFUNCTION("""COMPUTED_VALUE"""),"42314")</f>
        <v>42314</v>
      </c>
      <c r="AB1019" s="80" t="str">
        <f>IFERROR(__xludf.DUMMYFUNCTION("""COMPUTED_VALUE"""),"3602130304890005")</f>
        <v>3602130304890005</v>
      </c>
      <c r="AC1019" s="80" t="str">
        <f>IFERROR(__xludf.DUMMYFUNCTION("""COMPUTED_VALUE"""),"36.021.303.0-489.0005")</f>
        <v>36.021.303.0-489.0005</v>
      </c>
      <c r="AD1019" s="80" t="str">
        <f>IFERROR(__xludf.DUMMYFUNCTION("""COMPUTED_VALUE"""),"BU ASTRI KC RANGKASBITUNG")</f>
        <v>BU ASTRI KC RANGKASBITUNG</v>
      </c>
      <c r="AE1019" s="80" t="str">
        <f>IFERROR(__xludf.DUMMYFUNCTION("""COMPUTED_VALUE"""),"BU ASTRI KC RANGKASBITUNG")</f>
        <v>BU ASTRI KC RANGKASBITUNG</v>
      </c>
      <c r="AF1019" s="80" t="str">
        <f>IFERROR(__xludf.DUMMYFUNCTION("""COMPUTED_VALUE"""),"087840810756")</f>
        <v>087840810756</v>
      </c>
      <c r="AG1019" s="80" t="str">
        <f>IFERROR(__xludf.DUMMYFUNCTION("""COMPUTED_VALUE"""),"087840810756")</f>
        <v>087840810756</v>
      </c>
      <c r="AH1019" s="80" t="str">
        <f>IFERROR(__xludf.DUMMYFUNCTION("""COMPUTED_VALUE"""),"rifkinurhadi737@gmail.com")</f>
        <v>rifkinurhadi737@gmail.com</v>
      </c>
      <c r="AI1019" s="80"/>
      <c r="AJ1019" s="80"/>
      <c r="AK1019" s="80"/>
      <c r="AL1019" s="80"/>
      <c r="AM1019" s="80" t="str">
        <f>IFERROR(__xludf.DUMMYFUNCTION("""COMPUTED_VALUE"""),"KANTOR REGIONAL II JAKARTA 10004")</f>
        <v>KANTOR REGIONAL II JAKARTA 10004</v>
      </c>
      <c r="AN1019" s="80" t="str">
        <f>IFERROR(__xludf.DUMMYFUNCTION("""COMPUTED_VALUE"""),"KC RANGKASBITUNG 42300")</f>
        <v>KC RANGKASBITUNG 42300</v>
      </c>
      <c r="AO1019" s="80" t="str">
        <f>IFERROR(__xludf.DUMMYFUNCTION("""COMPUTED_VALUE"""),"2505260110548")</f>
        <v>2505260110548</v>
      </c>
      <c r="AP1019" s="80" t="str">
        <f>IFERROR(__xludf.DUMMYFUNCTION("""COMPUTED_VALUE"""),"25052601105480001")</f>
        <v>25052601105480001</v>
      </c>
      <c r="AQ1019" s="83" t="str">
        <f>IFERROR(__xludf.DUMMYFUNCTION("""COMPUTED_VALUE"""),"369801005935505")</f>
        <v>369801005935505</v>
      </c>
      <c r="AR1019" s="80" t="str">
        <f>IFERROR(__xludf.DUMMYFUNCTION("""COMPUTED_VALUE"""),"BRI")</f>
        <v>BRI</v>
      </c>
      <c r="AS1019" s="80" t="str">
        <f>IFERROR(__xludf.DUMMYFUNCTION("""COMPUTED_VALUE"""),"SYAMSUDIN")</f>
        <v>SYAMSUDIN</v>
      </c>
      <c r="AT1019" s="80" t="str">
        <f>IFERROR(__xludf.DUMMYFUNCTION("""COMPUTED_VALUE"""),"-6.3553737")</f>
        <v>-6.3553737</v>
      </c>
      <c r="AU1019" s="80" t="str">
        <f>IFERROR(__xludf.DUMMYFUNCTION("""COMPUTED_VALUE"""),"106.2494896")</f>
        <v>106.2494896</v>
      </c>
      <c r="AV1019" s="80"/>
      <c r="AW1019" s="80"/>
      <c r="AX1019" s="80"/>
      <c r="AY1019" s="80"/>
      <c r="AZ1019" s="80"/>
      <c r="BA1019" s="80"/>
      <c r="BB1019" s="80"/>
      <c r="BC1019" s="80"/>
      <c r="BD1019" s="80"/>
      <c r="BE1019" s="80"/>
      <c r="BF1019" s="80"/>
      <c r="BG1019" s="80"/>
      <c r="BH1019" s="80"/>
      <c r="BI1019" s="80"/>
      <c r="BJ1019" s="80"/>
      <c r="BK1019" s="80"/>
      <c r="BL1019" s="80"/>
      <c r="BM1019" s="80"/>
      <c r="BN1019" s="80"/>
      <c r="BO1019" s="80"/>
      <c r="BP1019" s="80"/>
      <c r="BQ1019" s="80"/>
      <c r="BR1019" s="80"/>
      <c r="BS1019" s="80"/>
      <c r="BT1019" s="80"/>
      <c r="BU1019" s="80"/>
      <c r="BV1019" s="80"/>
      <c r="BW1019" s="80"/>
      <c r="BX1019" s="80"/>
      <c r="BY1019" s="80"/>
      <c r="BZ1019" s="80"/>
      <c r="CA1019" s="80"/>
      <c r="CB1019" s="80"/>
      <c r="CC1019" s="80"/>
      <c r="CD1019" s="80"/>
      <c r="CE1019" s="80"/>
      <c r="CF1019" s="80"/>
      <c r="CG1019" s="80"/>
      <c r="CH1019" s="80"/>
      <c r="CI1019" s="80"/>
      <c r="CJ1019" s="80"/>
      <c r="CK1019" s="2"/>
    </row>
    <row r="1020" ht="12.75" customHeight="1">
      <c r="A1020" s="85">
        <f>IFERROR(__xludf.DUMMYFUNCTION("""COMPUTED_VALUE"""),1016.0)</f>
        <v>1016</v>
      </c>
      <c r="B1020" s="85"/>
      <c r="C1020" s="85"/>
      <c r="D1020" s="86">
        <f>IFERROR(__xludf.DUMMYFUNCTION("""COMPUTED_VALUE"""),46168.0)</f>
        <v>46168</v>
      </c>
      <c r="E1020" s="88"/>
      <c r="F1020" s="85"/>
      <c r="G1020" s="86"/>
      <c r="H1020" s="85"/>
      <c r="I1020" s="85"/>
      <c r="J1020" s="85"/>
      <c r="K1020" s="85"/>
      <c r="L1020" s="85"/>
      <c r="M1020" s="85"/>
      <c r="N1020" s="85"/>
      <c r="O1020" s="85"/>
      <c r="P1020" s="85" t="str">
        <f>IFERROR(__xludf.DUMMYFUNCTION("""COMPUTED_VALUE"""),"MUCSPA63487PSIND")</f>
        <v>MUCSPA63487PSIND</v>
      </c>
      <c r="Q1020" s="85" t="str">
        <f>IFERROR(__xludf.DUMMYFUNCTION("""COMPUTED_VALUE"""),"MUC NOGO SAWIT SEBERANG")</f>
        <v>MUC NOGO SAWIT SEBERANG</v>
      </c>
      <c r="R1020" s="85" t="str">
        <f>IFERROR(__xludf.DUMMYFUNCTION("""COMPUTED_VALUE"""),"MUC NOGO SAWIT SEBERANG")</f>
        <v>MUC NOGO SAWIT SEBERANG</v>
      </c>
      <c r="S1020" s="85" t="str">
        <f>IFERROR(__xludf.DUMMYFUNCTION("""COMPUTED_VALUE"""),"ELLY INDRIYANI")</f>
        <v>ELLY INDRIYANI</v>
      </c>
      <c r="T1020" s="85" t="str">
        <f>IFERROR(__xludf.DUMMYFUNCTION("""COMPUTED_VALUE"""),"JL. Bintara 17 Perum Pondok Nurmaya 2 NO. 10 Bekasi Barat")</f>
        <v>JL. Bintara 17 Perum Pondok Nurmaya 2 NO. 10 Bekasi Barat</v>
      </c>
      <c r="U1020" s="85" t="str">
        <f>IFERROR(__xludf.DUMMYFUNCTION("""COMPUTED_VALUE"""),"Pajak Sentral Sawit Seberang Kab. Langkat")</f>
        <v>Pajak Sentral Sawit Seberang Kab. Langkat</v>
      </c>
      <c r="V1020" s="85"/>
      <c r="W1020" s="85" t="str">
        <f>IFERROR(__xludf.DUMMYFUNCTION("""COMPUTED_VALUE"""),"Sawit Seberang")</f>
        <v>Sawit Seberang</v>
      </c>
      <c r="X1020" s="85" t="str">
        <f>IFERROR(__xludf.DUMMYFUNCTION("""COMPUTED_VALUE"""),"Sawit Seberang")</f>
        <v>Sawit Seberang</v>
      </c>
      <c r="Y1020" s="85" t="str">
        <f>IFERROR(__xludf.DUMMYFUNCTION("""COMPUTED_VALUE"""),"Kab. Langkat")</f>
        <v>Kab. Langkat</v>
      </c>
      <c r="Z1020" s="85" t="str">
        <f>IFERROR(__xludf.DUMMYFUNCTION("""COMPUTED_VALUE"""),"Sumatra Utara")</f>
        <v>Sumatra Utara</v>
      </c>
      <c r="AA1020" s="85" t="str">
        <f>IFERROR(__xludf.DUMMYFUNCTION("""COMPUTED_VALUE"""),"20811")</f>
        <v>20811</v>
      </c>
      <c r="AB1020" s="85" t="str">
        <f>IFERROR(__xludf.DUMMYFUNCTION("""COMPUTED_VALUE"""),"1205205811920001")</f>
        <v>1205205811920001</v>
      </c>
      <c r="AC1020" s="85" t="str">
        <f>IFERROR(__xludf.DUMMYFUNCTION("""COMPUTED_VALUE"""),"70.944.267.7-119.000")</f>
        <v>70.944.267.7-119.000</v>
      </c>
      <c r="AD1020" s="85" t="str">
        <f>IFERROR(__xludf.DUMMYFUNCTION("""COMPUTED_VALUE"""),"CUM - PS - ARFI")</f>
        <v>CUM - PS - ARFI</v>
      </c>
      <c r="AE1020" s="85" t="str">
        <f>IFERROR(__xludf.DUMMYFUNCTION("""COMPUTED_VALUE"""),"CUM - PS - ARFI")</f>
        <v>CUM - PS - ARFI</v>
      </c>
      <c r="AF1020" s="85" t="str">
        <f>IFERROR(__xludf.DUMMYFUNCTION("""COMPUTED_VALUE"""),"0813 7344 179")</f>
        <v>0813 7344 179</v>
      </c>
      <c r="AG1020" s="85" t="str">
        <f>IFERROR(__xludf.DUMMYFUNCTION("""COMPUTED_VALUE"""),"0813 7344 179")</f>
        <v>0813 7344 179</v>
      </c>
      <c r="AH1020" s="85" t="str">
        <f>IFERROR(__xludf.DUMMYFUNCTION("""COMPUTED_VALUE"""),"iamelly.business@yahoo.com")</f>
        <v>iamelly.business@yahoo.com</v>
      </c>
      <c r="AI1020" s="85"/>
      <c r="AJ1020" s="85"/>
      <c r="AK1020" s="85"/>
      <c r="AL1020" s="85"/>
      <c r="AM1020" s="85" t="str">
        <f>IFERROR(__xludf.DUMMYFUNCTION("""COMPUTED_VALUE"""),"KANTOR REGIONAL I MEDAN 20004")</f>
        <v>KANTOR REGIONAL I MEDAN 20004</v>
      </c>
      <c r="AN1020" s="85" t="str">
        <f>IFERROR(__xludf.DUMMYFUNCTION("""COMPUTED_VALUE"""),"KC BINJAI 20700")</f>
        <v>KC BINJAI 20700</v>
      </c>
      <c r="AO1020" s="85" t="str">
        <f>IFERROR(__xludf.DUMMYFUNCTION("""COMPUTED_VALUE"""),"2605260036999")</f>
        <v>2605260036999</v>
      </c>
      <c r="AP1020" s="85" t="str">
        <f>IFERROR(__xludf.DUMMYFUNCTION("""COMPUTED_VALUE"""),"26052600369990001")</f>
        <v>26052600369990001</v>
      </c>
      <c r="AQ1020" s="93" t="str">
        <f>IFERROR(__xludf.DUMMYFUNCTION("""COMPUTED_VALUE"""),"1381 3398 14")</f>
        <v>1381 3398 14</v>
      </c>
      <c r="AR1020" s="85" t="str">
        <f>IFERROR(__xludf.DUMMYFUNCTION("""COMPUTED_VALUE"""),"BNI")</f>
        <v>BNI</v>
      </c>
      <c r="AS1020" s="85" t="str">
        <f>IFERROR(__xludf.DUMMYFUNCTION("""COMPUTED_VALUE"""),"Elly Indriani")</f>
        <v>Elly Indriani</v>
      </c>
      <c r="AT1020" s="85" t="str">
        <f>IFERROR(__xludf.DUMMYFUNCTION("""COMPUTED_VALUE"""),"3.8024204")</f>
        <v>3.8024204</v>
      </c>
      <c r="AU1020" s="85" t="str">
        <f>IFERROR(__xludf.DUMMYFUNCTION("""COMPUTED_VALUE"""),"98.2723274")</f>
        <v>98.2723274</v>
      </c>
      <c r="AV1020" s="85"/>
      <c r="AW1020" s="85"/>
      <c r="AX1020" s="85"/>
      <c r="AY1020" s="85"/>
      <c r="AZ1020" s="85"/>
      <c r="BA1020" s="85"/>
      <c r="BB1020" s="85"/>
      <c r="BC1020" s="85"/>
      <c r="BD1020" s="85"/>
      <c r="BE1020" s="85"/>
      <c r="BF1020" s="85"/>
      <c r="BG1020" s="85"/>
      <c r="BH1020" s="85"/>
      <c r="BI1020" s="85"/>
      <c r="BJ1020" s="85"/>
      <c r="BK1020" s="85"/>
      <c r="BL1020" s="85"/>
      <c r="BM1020" s="85"/>
      <c r="BN1020" s="85"/>
      <c r="BO1020" s="85"/>
      <c r="BP1020" s="85"/>
      <c r="BQ1020" s="85"/>
      <c r="BR1020" s="85"/>
      <c r="BS1020" s="85"/>
      <c r="BT1020" s="85"/>
      <c r="BU1020" s="85"/>
      <c r="BV1020" s="85"/>
      <c r="BW1020" s="85"/>
      <c r="BX1020" s="85"/>
      <c r="BY1020" s="85"/>
      <c r="BZ1020" s="85"/>
      <c r="CA1020" s="85"/>
      <c r="CB1020" s="85"/>
      <c r="CC1020" s="85"/>
      <c r="CD1020" s="85"/>
      <c r="CE1020" s="85"/>
      <c r="CF1020" s="85"/>
      <c r="CG1020" s="85"/>
      <c r="CH1020" s="85"/>
      <c r="CI1020" s="85"/>
      <c r="CJ1020" s="85"/>
      <c r="CK1020" s="2"/>
    </row>
    <row r="1021" ht="12.75" customHeight="1">
      <c r="A1021" s="80">
        <f>IFERROR(__xludf.DUMMYFUNCTION("""COMPUTED_VALUE"""),1017.0)</f>
        <v>1017</v>
      </c>
      <c r="B1021" s="80"/>
      <c r="C1021" s="80"/>
      <c r="D1021" s="81">
        <f>IFERROR(__xludf.DUMMYFUNCTION("""COMPUTED_VALUE"""),46168.0)</f>
        <v>46168</v>
      </c>
      <c r="E1021" s="82"/>
      <c r="F1021" s="80"/>
      <c r="G1021" s="81">
        <f>IFERROR(__xludf.DUMMYFUNCTION("""COMPUTED_VALUE"""),46191.0)</f>
        <v>46191</v>
      </c>
      <c r="H1021" s="80"/>
      <c r="I1021" s="80"/>
      <c r="J1021" s="80"/>
      <c r="K1021" s="80"/>
      <c r="L1021" s="80">
        <f>IFERROR(__xludf.DUMMYFUNCTION("""COMPUTED_VALUE"""),23.0)</f>
        <v>23</v>
      </c>
      <c r="M1021" s="80"/>
      <c r="N1021" s="80"/>
      <c r="O1021" s="80"/>
      <c r="P1021" s="80" t="str">
        <f>IFERROR(__xludf.DUMMYFUNCTION("""COMPUTED_VALUE"""),"MUCSPA63491PSIND")</f>
        <v>MUCSPA63491PSIND</v>
      </c>
      <c r="Q1021" s="80" t="str">
        <f>IFERROR(__xludf.DUMMYFUNCTION("""COMPUTED_VALUE"""),"MUC RIZQI BERKAH GALUH")</f>
        <v>MUC RIZQI BERKAH GALUH</v>
      </c>
      <c r="R1021" s="80" t="str">
        <f>IFERROR(__xludf.DUMMYFUNCTION("""COMPUTED_VALUE"""),"MUC RIZQI BERKAH GALUH")</f>
        <v>MUC RIZQI BERKAH GALUH</v>
      </c>
      <c r="S1021" s="80" t="str">
        <f>IFERROR(__xludf.DUMMYFUNCTION("""COMPUTED_VALUE"""),"OKTRI AUBYANTORO")</f>
        <v>OKTRI AUBYANTORO</v>
      </c>
      <c r="T1021" s="80" t="str">
        <f>IFERROR(__xludf.DUMMYFUNCTION("""COMPUTED_VALUE"""),"GALUH RT.009 RW.005, GALUH, BOJONGSARI, PURBALINGGA")</f>
        <v>GALUH RT.009 RW.005, GALUH, BOJONGSARI, PURBALINGGA</v>
      </c>
      <c r="U1021" s="80" t="str">
        <f>IFERROR(__xludf.DUMMYFUNCTION("""COMPUTED_VALUE"""),"GALUH RT.009 RW.005, GALUH, BOJONGSARI, PURBALINGGA")</f>
        <v>GALUH RT.009 RW.005, GALUH, BOJONGSARI, PURBALINGGA</v>
      </c>
      <c r="V1021" s="80" t="str">
        <f>IFERROR(__xludf.DUMMYFUNCTION("""COMPUTED_VALUE"""),"RT.009 \ RW.005")</f>
        <v>RT.009 \ RW.005</v>
      </c>
      <c r="W1021" s="80" t="str">
        <f>IFERROR(__xludf.DUMMYFUNCTION("""COMPUTED_VALUE"""),"Galuh")</f>
        <v>Galuh</v>
      </c>
      <c r="X1021" s="80" t="str">
        <f>IFERROR(__xludf.DUMMYFUNCTION("""COMPUTED_VALUE"""),"Bojongsari")</f>
        <v>Bojongsari</v>
      </c>
      <c r="Y1021" s="80" t="str">
        <f>IFERROR(__xludf.DUMMYFUNCTION("""COMPUTED_VALUE"""),"Kab. Purbalingga")</f>
        <v>Kab. Purbalingga</v>
      </c>
      <c r="Z1021" s="80" t="str">
        <f>IFERROR(__xludf.DUMMYFUNCTION("""COMPUTED_VALUE"""),"Jawa tengah")</f>
        <v>Jawa tengah</v>
      </c>
      <c r="AA1021" s="80" t="str">
        <f>IFERROR(__xludf.DUMMYFUNCTION("""COMPUTED_VALUE"""),"53362")</f>
        <v>53362</v>
      </c>
      <c r="AB1021" s="80" t="str">
        <f>IFERROR(__xludf.DUMMYFUNCTION("""COMPUTED_VALUE"""),"3303141710800001")</f>
        <v>3303141710800001</v>
      </c>
      <c r="AC1021" s="80" t="str">
        <f>IFERROR(__xludf.DUMMYFUNCTION("""COMPUTED_VALUE"""),"95.978.470.3-529.000")</f>
        <v>95.978.470.3-529.000</v>
      </c>
      <c r="AD1021" s="80" t="str">
        <f>IFERROR(__xludf.DUMMYFUNCTION("""COMPUTED_VALUE"""),"SUB ERTHA")</f>
        <v>SUB ERTHA</v>
      </c>
      <c r="AE1021" s="80" t="str">
        <f>IFERROR(__xludf.DUMMYFUNCTION("""COMPUTED_VALUE"""),"SUB ERTHA")</f>
        <v>SUB ERTHA</v>
      </c>
      <c r="AF1021" s="80" t="str">
        <f>IFERROR(__xludf.DUMMYFUNCTION("""COMPUTED_VALUE"""),"085228115676")</f>
        <v>085228115676</v>
      </c>
      <c r="AG1021" s="80" t="str">
        <f>IFERROR(__xludf.DUMMYFUNCTION("""COMPUTED_VALUE"""),"085228115676")</f>
        <v>085228115676</v>
      </c>
      <c r="AH1021" s="80" t="str">
        <f>IFERROR(__xludf.DUMMYFUNCTION("""COMPUTED_VALUE"""),"oktrisubyantoro@gmail.com")</f>
        <v>oktrisubyantoro@gmail.com</v>
      </c>
      <c r="AI1021" s="80"/>
      <c r="AJ1021" s="80"/>
      <c r="AK1021" s="80" t="str">
        <f>IFERROR(__xludf.DUMMYFUNCTION("""COMPUTED_VALUE"""),"oktrisubyantoro@gmail.com")</f>
        <v>oktrisubyantoro@gmail.com</v>
      </c>
      <c r="AL1021" s="80" t="str">
        <f>IFERROR(__xludf.DUMMYFUNCTION("""COMPUTED_VALUE"""),"#Muc53362S6$")</f>
        <v>#Muc53362S6$</v>
      </c>
      <c r="AM1021" s="80"/>
      <c r="AN1021" s="80"/>
      <c r="AO1021" s="80" t="str">
        <f>IFERROR(__xludf.DUMMYFUNCTION("""COMPUTED_VALUE"""),"2605260070051")</f>
        <v>2605260070051</v>
      </c>
      <c r="AP1021" s="80" t="str">
        <f>IFERROR(__xludf.DUMMYFUNCTION("""COMPUTED_VALUE"""),"26052600700510001")</f>
        <v>26052600700510001</v>
      </c>
      <c r="AQ1021" s="83" t="str">
        <f>IFERROR(__xludf.DUMMYFUNCTION("""COMPUTED_VALUE"""),"0970428461")</f>
        <v>0970428461</v>
      </c>
      <c r="AR1021" s="80" t="str">
        <f>IFERROR(__xludf.DUMMYFUNCTION("""COMPUTED_VALUE"""),"BCA")</f>
        <v>BCA</v>
      </c>
      <c r="AS1021" s="80" t="str">
        <f>IFERROR(__xludf.DUMMYFUNCTION("""COMPUTED_VALUE"""),"Oktri Subyantoro")</f>
        <v>Oktri Subyantoro</v>
      </c>
      <c r="AT1021" s="80" t="str">
        <f>IFERROR(__xludf.DUMMYFUNCTION("""COMPUTED_VALUE"""),"-7.3751935")</f>
        <v>-7.3751935</v>
      </c>
      <c r="AU1021" s="80" t="str">
        <f>IFERROR(__xludf.DUMMYFUNCTION("""COMPUTED_VALUE"""),"109.3688569")</f>
        <v>109.3688569</v>
      </c>
      <c r="AV1021" s="80"/>
      <c r="AW1021" s="80"/>
      <c r="AX1021" s="80"/>
      <c r="AY1021" s="80"/>
      <c r="AZ1021" s="80"/>
      <c r="BA1021" s="80"/>
      <c r="BB1021" s="80"/>
      <c r="BC1021" s="80"/>
      <c r="BD1021" s="80"/>
      <c r="BE1021" s="80"/>
      <c r="BF1021" s="80"/>
      <c r="BG1021" s="80"/>
      <c r="BH1021" s="80"/>
      <c r="BI1021" s="80"/>
      <c r="BJ1021" s="80"/>
      <c r="BK1021" s="80"/>
      <c r="BL1021" s="80"/>
      <c r="BM1021" s="80"/>
      <c r="BN1021" s="80"/>
      <c r="BO1021" s="80"/>
      <c r="BP1021" s="80"/>
      <c r="BQ1021" s="80"/>
      <c r="BR1021" s="80"/>
      <c r="BS1021" s="80"/>
      <c r="BT1021" s="80"/>
      <c r="BU1021" s="80"/>
      <c r="BV1021" s="80"/>
      <c r="BW1021" s="80"/>
      <c r="BX1021" s="80"/>
      <c r="BY1021" s="80"/>
      <c r="BZ1021" s="80"/>
      <c r="CA1021" s="80"/>
      <c r="CB1021" s="80"/>
      <c r="CC1021" s="80"/>
      <c r="CD1021" s="80"/>
      <c r="CE1021" s="80"/>
      <c r="CF1021" s="80"/>
      <c r="CG1021" s="80"/>
      <c r="CH1021" s="80"/>
      <c r="CI1021" s="80"/>
      <c r="CJ1021" s="80"/>
      <c r="CK1021" s="2"/>
    </row>
    <row r="1022" ht="12.75" customHeight="1">
      <c r="A1022" s="85">
        <f>IFERROR(__xludf.DUMMYFUNCTION("""COMPUTED_VALUE"""),1018.0)</f>
        <v>1018</v>
      </c>
      <c r="B1022" s="85"/>
      <c r="C1022" s="85"/>
      <c r="D1022" s="86">
        <f>IFERROR(__xludf.DUMMYFUNCTION("""COMPUTED_VALUE"""),46171.0)</f>
        <v>46171</v>
      </c>
      <c r="E1022" s="88"/>
      <c r="F1022" s="85"/>
      <c r="G1022" s="86"/>
      <c r="H1022" s="85"/>
      <c r="I1022" s="85"/>
      <c r="J1022" s="85"/>
      <c r="K1022" s="85"/>
      <c r="L1022" s="85"/>
      <c r="M1022" s="85"/>
      <c r="N1022" s="85"/>
      <c r="O1022" s="85"/>
      <c r="P1022" s="85" t="str">
        <f>IFERROR(__xludf.DUMMYFUNCTION("""COMPUTED_VALUE"""),"MUCSPA63492PSIND")</f>
        <v>MUCSPA63492PSIND</v>
      </c>
      <c r="Q1022" s="85" t="str">
        <f>IFERROR(__xludf.DUMMYFUNCTION("""COMPUTED_VALUE"""),"MUC JATI JAYA")</f>
        <v>MUC JATI JAYA</v>
      </c>
      <c r="R1022" s="85" t="str">
        <f>IFERROR(__xludf.DUMMYFUNCTION("""COMPUTED_VALUE"""),"MUC JATI JAYA")</f>
        <v>MUC JATI JAYA</v>
      </c>
      <c r="S1022" s="85" t="str">
        <f>IFERROR(__xludf.DUMMYFUNCTION("""COMPUTED_VALUE"""),"IDHA MAHARANI")</f>
        <v>IDHA MAHARANI</v>
      </c>
      <c r="T1022" s="85" t="str">
        <f>IFERROR(__xludf.DUMMYFUNCTION("""COMPUTED_VALUE"""),"JL. RAYA JATI NO. 09 RT 003 RW 001 JATI, SIDOARJO")</f>
        <v>JL. RAYA JATI NO. 09 RT 003 RW 001 JATI, SIDOARJO</v>
      </c>
      <c r="U1022" s="85" t="str">
        <f>IFERROR(__xludf.DUMMYFUNCTION("""COMPUTED_VALUE"""),"JL. RAYA JATI NO. 09 RT 003 RW 001 JATI, SIDOARJO")</f>
        <v>JL. RAYA JATI NO. 09 RT 003 RW 001 JATI, SIDOARJO</v>
      </c>
      <c r="V1022" s="85" t="str">
        <f>IFERROR(__xludf.DUMMYFUNCTION("""COMPUTED_VALUE"""),"RT 003 \ RW 001")</f>
        <v>RT 003 \ RW 001</v>
      </c>
      <c r="W1022" s="85" t="str">
        <f>IFERROR(__xludf.DUMMYFUNCTION("""COMPUTED_VALUE"""),"JATI")</f>
        <v>JATI</v>
      </c>
      <c r="X1022" s="85" t="str">
        <f>IFERROR(__xludf.DUMMYFUNCTION("""COMPUTED_VALUE"""),"SIOARJO")</f>
        <v>SIOARJO</v>
      </c>
      <c r="Y1022" s="85" t="str">
        <f>IFERROR(__xludf.DUMMYFUNCTION("""COMPUTED_VALUE"""),"KAB. SIDOARJO")</f>
        <v>KAB. SIDOARJO</v>
      </c>
      <c r="Z1022" s="85" t="str">
        <f>IFERROR(__xludf.DUMMYFUNCTION("""COMPUTED_VALUE"""),"JAWA TIMUR")</f>
        <v>JAWA TIMUR</v>
      </c>
      <c r="AA1022" s="85" t="str">
        <f>IFERROR(__xludf.DUMMYFUNCTION("""COMPUTED_VALUE"""),"61226")</f>
        <v>61226</v>
      </c>
      <c r="AB1022" s="85" t="str">
        <f>IFERROR(__xludf.DUMMYFUNCTION("""COMPUTED_VALUE"""),"3515087110790001")</f>
        <v>3515087110790001</v>
      </c>
      <c r="AC1022" s="85" t="str">
        <f>IFERROR(__xludf.DUMMYFUNCTION("""COMPUTED_VALUE"""),"50.462.641.7-617.000")</f>
        <v>50.462.641.7-617.000</v>
      </c>
      <c r="AD1022" s="85" t="str">
        <f>IFERROR(__xludf.DUMMYFUNCTION("""COMPUTED_VALUE"""),"PAK ENJANG KC SIDOARJO")</f>
        <v>PAK ENJANG KC SIDOARJO</v>
      </c>
      <c r="AE1022" s="85" t="str">
        <f>IFERROR(__xludf.DUMMYFUNCTION("""COMPUTED_VALUE"""),"PAK ENJANG KC SIDOARJO")</f>
        <v>PAK ENJANG KC SIDOARJO</v>
      </c>
      <c r="AF1022" s="85" t="str">
        <f>IFERROR(__xludf.DUMMYFUNCTION("""COMPUTED_VALUE"""),"081233791187")</f>
        <v>081233791187</v>
      </c>
      <c r="AG1022" s="85" t="str">
        <f>IFERROR(__xludf.DUMMYFUNCTION("""COMPUTED_VALUE"""),"081233791187")</f>
        <v>081233791187</v>
      </c>
      <c r="AH1022" s="85" t="str">
        <f>IFERROR(__xludf.DUMMYFUNCTION("""COMPUTED_VALUE"""),"queenbutterfly009@gmail.com")</f>
        <v>queenbutterfly009@gmail.com</v>
      </c>
      <c r="AI1022" s="85"/>
      <c r="AJ1022" s="85"/>
      <c r="AK1022" s="85"/>
      <c r="AL1022" s="85"/>
      <c r="AM1022" s="85" t="str">
        <f>IFERROR(__xludf.DUMMYFUNCTION("""COMPUTED_VALUE"""),"KANTOR REGIONAL V SURABAYA 60004")</f>
        <v>KANTOR REGIONAL V SURABAYA 60004</v>
      </c>
      <c r="AN1022" s="85" t="str">
        <f>IFERROR(__xludf.DUMMYFUNCTION("""COMPUTED_VALUE"""),"KC SIDOARJO 61200")</f>
        <v>KC SIDOARJO 61200</v>
      </c>
      <c r="AO1022" s="85" t="str">
        <f>IFERROR(__xludf.DUMMYFUNCTION("""COMPUTED_VALUE"""),"2905260012105")</f>
        <v>2905260012105</v>
      </c>
      <c r="AP1022" s="85" t="str">
        <f>IFERROR(__xludf.DUMMYFUNCTION("""COMPUTED_VALUE"""),"29052600121050001")</f>
        <v>29052600121050001</v>
      </c>
      <c r="AQ1022" s="93" t="str">
        <f>IFERROR(__xludf.DUMMYFUNCTION("""COMPUTED_VALUE"""),"0181377487")</f>
        <v>0181377487</v>
      </c>
      <c r="AR1022" s="85" t="str">
        <f>IFERROR(__xludf.DUMMYFUNCTION("""COMPUTED_VALUE"""),"BCA")</f>
        <v>BCA</v>
      </c>
      <c r="AS1022" s="85" t="str">
        <f>IFERROR(__xludf.DUMMYFUNCTION("""COMPUTED_VALUE"""),"Idha Maharani")</f>
        <v>Idha Maharani</v>
      </c>
      <c r="AT1022" s="85" t="str">
        <f>IFERROR(__xludf.DUMMYFUNCTION("""COMPUTED_VALUE"""),"-7.4460331")</f>
        <v>-7.4460331</v>
      </c>
      <c r="AU1022" s="85" t="str">
        <f>IFERROR(__xludf.DUMMYFUNCTION("""COMPUTED_VALUE"""),"112.6923509")</f>
        <v>112.6923509</v>
      </c>
      <c r="AV1022" s="85"/>
      <c r="AW1022" s="85"/>
      <c r="AX1022" s="85"/>
      <c r="AY1022" s="85"/>
      <c r="AZ1022" s="85"/>
      <c r="BA1022" s="85"/>
      <c r="BB1022" s="85"/>
      <c r="BC1022" s="85"/>
      <c r="BD1022" s="85"/>
      <c r="BE1022" s="85"/>
      <c r="BF1022" s="85"/>
      <c r="BG1022" s="85"/>
      <c r="BH1022" s="85"/>
      <c r="BI1022" s="85"/>
      <c r="BJ1022" s="85"/>
      <c r="BK1022" s="85"/>
      <c r="BL1022" s="85"/>
      <c r="BM1022" s="85"/>
      <c r="BN1022" s="85"/>
      <c r="BO1022" s="85"/>
      <c r="BP1022" s="85"/>
      <c r="BQ1022" s="85"/>
      <c r="BR1022" s="85"/>
      <c r="BS1022" s="85"/>
      <c r="BT1022" s="85"/>
      <c r="BU1022" s="85"/>
      <c r="BV1022" s="85"/>
      <c r="BW1022" s="85"/>
      <c r="BX1022" s="85"/>
      <c r="BY1022" s="85"/>
      <c r="BZ1022" s="85"/>
      <c r="CA1022" s="85"/>
      <c r="CB1022" s="85"/>
      <c r="CC1022" s="85"/>
      <c r="CD1022" s="85"/>
      <c r="CE1022" s="85"/>
      <c r="CF1022" s="85"/>
      <c r="CG1022" s="85"/>
      <c r="CH1022" s="85"/>
      <c r="CI1022" s="85"/>
      <c r="CJ1022" s="85"/>
      <c r="CK1022" s="2"/>
    </row>
    <row r="1023" ht="12.75" customHeight="1">
      <c r="A1023" s="80">
        <f>IFERROR(__xludf.DUMMYFUNCTION("""COMPUTED_VALUE"""),1019.0)</f>
        <v>1019</v>
      </c>
      <c r="B1023" s="80"/>
      <c r="C1023" s="80"/>
      <c r="D1023" s="81">
        <f>IFERROR(__xludf.DUMMYFUNCTION("""COMPUTED_VALUE"""),46171.0)</f>
        <v>46171</v>
      </c>
      <c r="E1023" s="82"/>
      <c r="F1023" s="80"/>
      <c r="G1023" s="81"/>
      <c r="H1023" s="80"/>
      <c r="I1023" s="80"/>
      <c r="J1023" s="80"/>
      <c r="K1023" s="80"/>
      <c r="L1023" s="80"/>
      <c r="M1023" s="80"/>
      <c r="N1023" s="80"/>
      <c r="O1023" s="80"/>
      <c r="P1023" s="80" t="str">
        <f>IFERROR(__xludf.DUMMYFUNCTION("""COMPUTED_VALUE"""),"MUCSPA63493PSIND")</f>
        <v>MUCSPA63493PSIND</v>
      </c>
      <c r="Q1023" s="80" t="str">
        <f>IFERROR(__xludf.DUMMYFUNCTION("""COMPUTED_VALUE"""),"MUC SUNGAI SAPIH")</f>
        <v>MUC SUNGAI SAPIH</v>
      </c>
      <c r="R1023" s="80" t="str">
        <f>IFERROR(__xludf.DUMMYFUNCTION("""COMPUTED_VALUE"""),"MUC SUNGAI SAPIH")</f>
        <v>MUC SUNGAI SAPIH</v>
      </c>
      <c r="S1023" s="80" t="str">
        <f>IFERROR(__xludf.DUMMYFUNCTION("""COMPUTED_VALUE"""),"JAHARDI JANUAR")</f>
        <v>JAHARDI JANUAR</v>
      </c>
      <c r="T1023" s="80" t="str">
        <f>IFERROR(__xludf.DUMMYFUNCTION("""COMPUTED_VALUE"""),"GANG KEMIRI NO. 2A RT 003 RW 003")</f>
        <v>GANG KEMIRI NO. 2A RT 003 RW 003</v>
      </c>
      <c r="U1023" s="80" t="str">
        <f>IFERROR(__xludf.DUMMYFUNCTION("""COMPUTED_VALUE"""),"JL. SYEKH UMAR KHALIL NO. 54")</f>
        <v>JL. SYEKH UMAR KHALIL NO. 54</v>
      </c>
      <c r="V1023" s="80" t="str">
        <f>IFERROR(__xludf.DUMMYFUNCTION("""COMPUTED_VALUE"""),"RT 003 \ RW 003")</f>
        <v>RT 003 \ RW 003</v>
      </c>
      <c r="W1023" s="80" t="str">
        <f>IFERROR(__xludf.DUMMYFUNCTION("""COMPUTED_VALUE"""),"SUNGAI SAPIH")</f>
        <v>SUNGAI SAPIH</v>
      </c>
      <c r="X1023" s="80" t="str">
        <f>IFERROR(__xludf.DUMMYFUNCTION("""COMPUTED_VALUE"""),"KURANJI")</f>
        <v>KURANJI</v>
      </c>
      <c r="Y1023" s="80" t="str">
        <f>IFERROR(__xludf.DUMMYFUNCTION("""COMPUTED_VALUE"""),"PADANG")</f>
        <v>PADANG</v>
      </c>
      <c r="Z1023" s="80" t="str">
        <f>IFERROR(__xludf.DUMMYFUNCTION("""COMPUTED_VALUE"""),"SUMATRA BARAT")</f>
        <v>SUMATRA BARAT</v>
      </c>
      <c r="AA1023" s="80" t="str">
        <f>IFERROR(__xludf.DUMMYFUNCTION("""COMPUTED_VALUE"""),"25159")</f>
        <v>25159</v>
      </c>
      <c r="AB1023" s="80" t="str">
        <f>IFERROR(__xludf.DUMMYFUNCTION("""COMPUTED_VALUE"""),"1371093103950005")</f>
        <v>1371093103950005</v>
      </c>
      <c r="AC1023" s="80" t="str">
        <f>IFERROR(__xludf.DUMMYFUNCTION("""COMPUTED_VALUE"""),"61.881.184.8-201.000")</f>
        <v>61.881.184.8-201.000</v>
      </c>
      <c r="AD1023" s="80" t="str">
        <f>IFERROR(__xludf.DUMMYFUNCTION("""COMPUTED_VALUE"""),"CUM - PS - ABER / PAK ALBER")</f>
        <v>CUM - PS - ABER / PAK ALBER</v>
      </c>
      <c r="AE1023" s="80" t="str">
        <f>IFERROR(__xludf.DUMMYFUNCTION("""COMPUTED_VALUE"""),"CUM - PS - ABER / PAK ALBER")</f>
        <v>CUM - PS - ABER / PAK ALBER</v>
      </c>
      <c r="AF1023" s="80" t="str">
        <f>IFERROR(__xludf.DUMMYFUNCTION("""COMPUTED_VALUE"""),"083897071321")</f>
        <v>083897071321</v>
      </c>
      <c r="AG1023" s="80" t="str">
        <f>IFERROR(__xludf.DUMMYFUNCTION("""COMPUTED_VALUE"""),"083897071321")</f>
        <v>083897071321</v>
      </c>
      <c r="AH1023" s="80" t="str">
        <f>IFERROR(__xludf.DUMMYFUNCTION("""COMPUTED_VALUE"""),"jahardijanuar22@gmail.com")</f>
        <v>jahardijanuar22@gmail.com</v>
      </c>
      <c r="AI1023" s="80"/>
      <c r="AJ1023" s="80"/>
      <c r="AK1023" s="80"/>
      <c r="AL1023" s="80"/>
      <c r="AM1023" s="80" t="str">
        <f>IFERROR(__xludf.DUMMYFUNCTION("""COMPUTED_VALUE"""),"KANTOR REGIONAL I MEDAN 20004")</f>
        <v>KANTOR REGIONAL I MEDAN 20004</v>
      </c>
      <c r="AN1023" s="80" t="str">
        <f>IFERROR(__xludf.DUMMYFUNCTION("""COMPUTED_VALUE"""),"KCU PADANG 25000")</f>
        <v>KCU PADANG 25000</v>
      </c>
      <c r="AO1023" s="80" t="str">
        <f>IFERROR(__xludf.DUMMYFUNCTION("""COMPUTED_VALUE"""),"2301250043838")</f>
        <v>2301250043838</v>
      </c>
      <c r="AP1023" s="80" t="str">
        <f>IFERROR(__xludf.DUMMYFUNCTION("""COMPUTED_VALUE"""),"23012500438380003")</f>
        <v>23012500438380003</v>
      </c>
      <c r="AQ1023" s="83" t="str">
        <f>IFERROR(__xludf.DUMMYFUNCTION("""COMPUTED_VALUE"""),"0103223293")</f>
        <v>0103223293</v>
      </c>
      <c r="AR1023" s="80" t="str">
        <f>IFERROR(__xludf.DUMMYFUNCTION("""COMPUTED_VALUE"""),"Pospay")</f>
        <v>Pospay</v>
      </c>
      <c r="AS1023" s="80" t="str">
        <f>IFERROR(__xludf.DUMMYFUNCTION("""COMPUTED_VALUE"""),"Jahardi Januar")</f>
        <v>Jahardi Januar</v>
      </c>
      <c r="AT1023" s="80" t="str">
        <f>IFERROR(__xludf.DUMMYFUNCTION("""COMPUTED_VALUE"""),"-0.8914339")</f>
        <v>-0.8914339</v>
      </c>
      <c r="AU1023" s="80" t="str">
        <f>IFERROR(__xludf.DUMMYFUNCTION("""COMPUTED_VALUE"""),"100.3933561")</f>
        <v>100.3933561</v>
      </c>
      <c r="AV1023" s="80"/>
      <c r="AW1023" s="80"/>
      <c r="AX1023" s="80"/>
      <c r="AY1023" s="80"/>
      <c r="AZ1023" s="80"/>
      <c r="BA1023" s="80"/>
      <c r="BB1023" s="80"/>
      <c r="BC1023" s="80"/>
      <c r="BD1023" s="80"/>
      <c r="BE1023" s="80"/>
      <c r="BF1023" s="80"/>
      <c r="BG1023" s="80"/>
      <c r="BH1023" s="80"/>
      <c r="BI1023" s="80"/>
      <c r="BJ1023" s="80"/>
      <c r="BK1023" s="80"/>
      <c r="BL1023" s="80"/>
      <c r="BM1023" s="80"/>
      <c r="BN1023" s="80"/>
      <c r="BO1023" s="80"/>
      <c r="BP1023" s="80"/>
      <c r="BQ1023" s="80"/>
      <c r="BR1023" s="80"/>
      <c r="BS1023" s="80"/>
      <c r="BT1023" s="80"/>
      <c r="BU1023" s="80"/>
      <c r="BV1023" s="80"/>
      <c r="BW1023" s="80"/>
      <c r="BX1023" s="80"/>
      <c r="BY1023" s="80"/>
      <c r="BZ1023" s="80"/>
      <c r="CA1023" s="80"/>
      <c r="CB1023" s="80"/>
      <c r="CC1023" s="80"/>
      <c r="CD1023" s="80"/>
      <c r="CE1023" s="80"/>
      <c r="CF1023" s="80"/>
      <c r="CG1023" s="80"/>
      <c r="CH1023" s="80"/>
      <c r="CI1023" s="80"/>
      <c r="CJ1023" s="80"/>
      <c r="CK1023" s="2"/>
    </row>
    <row r="1024" ht="12.75" customHeight="1">
      <c r="A1024" s="85">
        <f>IFERROR(__xludf.DUMMYFUNCTION("""COMPUTED_VALUE"""),1020.0)</f>
        <v>1020</v>
      </c>
      <c r="B1024" s="85"/>
      <c r="C1024" s="85"/>
      <c r="D1024" s="86">
        <f>IFERROR(__xludf.DUMMYFUNCTION("""COMPUTED_VALUE"""),46171.0)</f>
        <v>46171</v>
      </c>
      <c r="E1024" s="88"/>
      <c r="F1024" s="85"/>
      <c r="G1024" s="86">
        <f>IFERROR(__xludf.DUMMYFUNCTION("""COMPUTED_VALUE"""),46188.0)</f>
        <v>46188</v>
      </c>
      <c r="H1024" s="85"/>
      <c r="I1024" s="85"/>
      <c r="J1024" s="85"/>
      <c r="K1024" s="85"/>
      <c r="L1024" s="85">
        <f>IFERROR(__xludf.DUMMYFUNCTION("""COMPUTED_VALUE"""),17.0)</f>
        <v>17</v>
      </c>
      <c r="M1024" s="85"/>
      <c r="N1024" s="85"/>
      <c r="O1024" s="85"/>
      <c r="P1024" s="85" t="str">
        <f>IFERROR(__xludf.DUMMYFUNCTION("""COMPUTED_VALUE"""),"MUCSPA63494PSIND")</f>
        <v>MUCSPA63494PSIND</v>
      </c>
      <c r="Q1024" s="85" t="str">
        <f>IFERROR(__xludf.DUMMYFUNCTION("""COMPUTED_VALUE"""),"MUC F CEMPAKA BARU")</f>
        <v>MUC F CEMPAKA BARU</v>
      </c>
      <c r="R1024" s="85" t="str">
        <f>IFERROR(__xludf.DUMMYFUNCTION("""COMPUTED_VALUE"""),"MUC F CEMPAKA BARU")</f>
        <v>MUC F CEMPAKA BARU</v>
      </c>
      <c r="S1024" s="85" t="str">
        <f>IFERROR(__xludf.DUMMYFUNCTION("""COMPUTED_VALUE"""),"MUHAMMAD FAJRI SH")</f>
        <v>MUHAMMAD FAJRI SH</v>
      </c>
      <c r="T1024" s="85" t="str">
        <f>IFERROR(__xludf.DUMMYFUNCTION("""COMPUTED_VALUE"""),"JL. F.3 NO.7 RT. 007 RW. 010 CEMPAKA BARU, KEMAYORAN")</f>
        <v>JL. F.3 NO.7 RT. 007 RW. 010 CEMPAKA BARU, KEMAYORAN</v>
      </c>
      <c r="U1024" s="85" t="str">
        <f>IFERROR(__xludf.DUMMYFUNCTION("""COMPUTED_VALUE"""),"JL. F.3 NO.7 RT. 007 RW. 010 CEMPAKA BARU, KEMAYORAN")</f>
        <v>JL. F.3 NO.7 RT. 007 RW. 010 CEMPAKA BARU, KEMAYORAN</v>
      </c>
      <c r="V1024" s="85" t="str">
        <f>IFERROR(__xludf.DUMMYFUNCTION("""COMPUTED_VALUE"""),"RT. 00 \ RW. 01")</f>
        <v>RT. 00 \ RW. 01</v>
      </c>
      <c r="W1024" s="85" t="str">
        <f>IFERROR(__xludf.DUMMYFUNCTION("""COMPUTED_VALUE"""),"CEMPAKA BARU")</f>
        <v>CEMPAKA BARU</v>
      </c>
      <c r="X1024" s="85" t="str">
        <f>IFERROR(__xludf.DUMMYFUNCTION("""COMPUTED_VALUE"""),"KEMAYORAN")</f>
        <v>KEMAYORAN</v>
      </c>
      <c r="Y1024" s="85" t="str">
        <f>IFERROR(__xludf.DUMMYFUNCTION("""COMPUTED_VALUE"""),"JAKARTA PUSAT")</f>
        <v>JAKARTA PUSAT</v>
      </c>
      <c r="Z1024" s="85" t="str">
        <f>IFERROR(__xludf.DUMMYFUNCTION("""COMPUTED_VALUE"""),"DKI JAKARTA")</f>
        <v>DKI JAKARTA</v>
      </c>
      <c r="AA1024" s="85" t="str">
        <f>IFERROR(__xludf.DUMMYFUNCTION("""COMPUTED_VALUE"""),"10640")</f>
        <v>10640</v>
      </c>
      <c r="AB1024" s="85" t="str">
        <f>IFERROR(__xludf.DUMMYFUNCTION("""COMPUTED_VALUE"""),"3171030906790002")</f>
        <v>3171030906790002</v>
      </c>
      <c r="AC1024" s="85" t="str">
        <f>IFERROR(__xludf.DUMMYFUNCTION("""COMPUTED_VALUE"""),"63.116.517.2-027.000")</f>
        <v>63.116.517.2-027.000</v>
      </c>
      <c r="AD1024" s="85" t="str">
        <f>IFERROR(__xludf.DUMMYFUNCTION("""COMPUTED_VALUE"""),"PAK WANTO KCU CENTRUM")</f>
        <v>PAK WANTO KCU CENTRUM</v>
      </c>
      <c r="AE1024" s="85" t="str">
        <f>IFERROR(__xludf.DUMMYFUNCTION("""COMPUTED_VALUE"""),"PAK WANTO KCU CENTRUM")</f>
        <v>PAK WANTO KCU CENTRUM</v>
      </c>
      <c r="AF1024" s="85" t="str">
        <f>IFERROR(__xludf.DUMMYFUNCTION("""COMPUTED_VALUE"""),"085212136157")</f>
        <v>085212136157</v>
      </c>
      <c r="AG1024" s="85" t="str">
        <f>IFERROR(__xludf.DUMMYFUNCTION("""COMPUTED_VALUE"""),"085212136157")</f>
        <v>085212136157</v>
      </c>
      <c r="AH1024" s="85" t="str">
        <f>IFERROR(__xludf.DUMMYFUNCTION("""COMPUTED_VALUE"""),"Frayakemayoran@gmail.com")</f>
        <v>Frayakemayoran@gmail.com</v>
      </c>
      <c r="AI1024" s="85" t="str">
        <f>IFERROR(__xludf.DUMMYFUNCTION("""COMPUTED_VALUE"""),"10640S9")</f>
        <v>10640S9</v>
      </c>
      <c r="AJ1024" s="85" t="str">
        <f>IFERROR(__xludf.DUMMYFUNCTION("""COMPUTED_VALUE"""),"6a2bbdc0fe16b568380f3fef")</f>
        <v>6a2bbdc0fe16b568380f3fef</v>
      </c>
      <c r="AK1024" s="85" t="str">
        <f>IFERROR(__xludf.DUMMYFUNCTION("""COMPUTED_VALUE"""),"Frayakemayoran@gmail.com")</f>
        <v>Frayakemayoran@gmail.com</v>
      </c>
      <c r="AL1024" s="85" t="str">
        <f>IFERROR(__xludf.DUMMYFUNCTION("""COMPUTED_VALUE"""),"#Muc10640S9")</f>
        <v>#Muc10640S9</v>
      </c>
      <c r="AM1024" s="85" t="str">
        <f>IFERROR(__xludf.DUMMYFUNCTION("""COMPUTED_VALUE"""),"KANTOR REGIONAL II JAKARTA 10004")</f>
        <v>KANTOR REGIONAL II JAKARTA 10004</v>
      </c>
      <c r="AN1024" s="85" t="str">
        <f>IFERROR(__xludf.DUMMYFUNCTION("""COMPUTED_VALUE"""),"KCU JAKARTACENTRUM 10000")</f>
        <v>KCU JAKARTACENTRUM 10000</v>
      </c>
      <c r="AO1024" s="85" t="str">
        <f>IFERROR(__xludf.DUMMYFUNCTION("""COMPUTED_VALUE"""),"2905260053913")</f>
        <v>2905260053913</v>
      </c>
      <c r="AP1024" s="85" t="str">
        <f>IFERROR(__xludf.DUMMYFUNCTION("""COMPUTED_VALUE"""),"29052600539130001")</f>
        <v>29052600539130001</v>
      </c>
      <c r="AQ1024" s="93" t="str">
        <f>IFERROR(__xludf.DUMMYFUNCTION("""COMPUTED_VALUE"""),"2760184180")</f>
        <v>2760184180</v>
      </c>
      <c r="AR1024" s="85" t="str">
        <f>IFERROR(__xludf.DUMMYFUNCTION("""COMPUTED_VALUE"""),"BCA")</f>
        <v>BCA</v>
      </c>
      <c r="AS1024" s="85" t="str">
        <f>IFERROR(__xludf.DUMMYFUNCTION("""COMPUTED_VALUE"""),"MUHAMMAD FAJRI SH")</f>
        <v>MUHAMMAD FAJRI SH</v>
      </c>
      <c r="AT1024" s="85" t="str">
        <f>IFERROR(__xludf.DUMMYFUNCTION("""COMPUTED_VALUE"""),"-6.1644433")</f>
        <v>-6.1644433</v>
      </c>
      <c r="AU1024" s="85" t="str">
        <f>IFERROR(__xludf.DUMMYFUNCTION("""COMPUTED_VALUE"""),"106.8580441")</f>
        <v>106.8580441</v>
      </c>
      <c r="AV1024" s="85"/>
      <c r="AW1024" s="85"/>
      <c r="AX1024" s="85"/>
      <c r="AY1024" s="85"/>
      <c r="AZ1024" s="85"/>
      <c r="BA1024" s="85"/>
      <c r="BB1024" s="85"/>
      <c r="BC1024" s="85"/>
      <c r="BD1024" s="85"/>
      <c r="BE1024" s="85"/>
      <c r="BF1024" s="85"/>
      <c r="BG1024" s="85"/>
      <c r="BH1024" s="85"/>
      <c r="BI1024" s="85"/>
      <c r="BJ1024" s="85"/>
      <c r="BK1024" s="85"/>
      <c r="BL1024" s="85"/>
      <c r="BM1024" s="85"/>
      <c r="BN1024" s="85"/>
      <c r="BO1024" s="85"/>
      <c r="BP1024" s="85"/>
      <c r="BQ1024" s="85"/>
      <c r="BR1024" s="85"/>
      <c r="BS1024" s="85"/>
      <c r="BT1024" s="85"/>
      <c r="BU1024" s="85"/>
      <c r="BV1024" s="85"/>
      <c r="BW1024" s="85"/>
      <c r="BX1024" s="85"/>
      <c r="BY1024" s="85"/>
      <c r="BZ1024" s="85"/>
      <c r="CA1024" s="85"/>
      <c r="CB1024" s="85"/>
      <c r="CC1024" s="85"/>
      <c r="CD1024" s="85"/>
      <c r="CE1024" s="85"/>
      <c r="CF1024" s="85"/>
      <c r="CG1024" s="85"/>
      <c r="CH1024" s="85"/>
      <c r="CI1024" s="85"/>
      <c r="CJ1024" s="85"/>
      <c r="CK1024" s="2"/>
    </row>
    <row r="1025" ht="12.75" customHeight="1">
      <c r="A1025" s="80">
        <f>IFERROR(__xludf.DUMMYFUNCTION("""COMPUTED_VALUE"""),1021.0)</f>
        <v>1021</v>
      </c>
      <c r="B1025" s="80"/>
      <c r="C1025" s="80"/>
      <c r="D1025" s="81">
        <f>IFERROR(__xludf.DUMMYFUNCTION("""COMPUTED_VALUE"""),46171.0)</f>
        <v>46171</v>
      </c>
      <c r="E1025" s="82"/>
      <c r="F1025" s="80"/>
      <c r="G1025" s="81"/>
      <c r="H1025" s="80"/>
      <c r="I1025" s="80"/>
      <c r="J1025" s="80"/>
      <c r="K1025" s="80"/>
      <c r="L1025" s="80"/>
      <c r="M1025" s="80"/>
      <c r="N1025" s="80"/>
      <c r="O1025" s="80"/>
      <c r="P1025" s="80" t="str">
        <f>IFERROR(__xludf.DUMMYFUNCTION("""COMPUTED_VALUE"""),"MUCSPA63495PSIND")</f>
        <v>MUCSPA63495PSIND</v>
      </c>
      <c r="Q1025" s="80" t="str">
        <f>IFERROR(__xludf.DUMMYFUNCTION("""COMPUTED_VALUE"""),"MUC TOKO EMJE")</f>
        <v>MUC TOKO EMJE</v>
      </c>
      <c r="R1025" s="80" t="str">
        <f>IFERROR(__xludf.DUMMYFUNCTION("""COMPUTED_VALUE"""),"MUC TOKO EMJE")</f>
        <v>MUC TOKO EMJE</v>
      </c>
      <c r="S1025" s="80" t="str">
        <f>IFERROR(__xludf.DUMMYFUNCTION("""COMPUTED_VALUE"""),"TATAG PRATAMA AJI")</f>
        <v>TATAG PRATAMA AJI</v>
      </c>
      <c r="T1025" s="80" t="str">
        <f>IFERROR(__xludf.DUMMYFUNCTION("""COMPUTED_VALUE"""),"DUSUN TRUKO RT 003 RW 001 KEL MOJOAGUNG KEC KARANGRAYUNG KAB GROBOGAN JAWA TENGAH")</f>
        <v>DUSUN TRUKO RT 003 RW 001 KEL MOJOAGUNG KEC KARANGRAYUNG KAB GROBOGAN JAWA TENGAH</v>
      </c>
      <c r="U1025" s="80" t="str">
        <f>IFERROR(__xludf.DUMMYFUNCTION("""COMPUTED_VALUE"""),"DUSUN TRUKO")</f>
        <v>DUSUN TRUKO</v>
      </c>
      <c r="V1025" s="80" t="str">
        <f>IFERROR(__xludf.DUMMYFUNCTION("""COMPUTED_VALUE"""),"RT 003 \ RW 001")</f>
        <v>RT 003 \ RW 001</v>
      </c>
      <c r="W1025" s="80" t="str">
        <f>IFERROR(__xludf.DUMMYFUNCTION("""COMPUTED_VALUE"""),"MOJOAGUNG")</f>
        <v>MOJOAGUNG</v>
      </c>
      <c r="X1025" s="80" t="str">
        <f>IFERROR(__xludf.DUMMYFUNCTION("""COMPUTED_VALUE"""),"KARANGRAYUNG")</f>
        <v>KARANGRAYUNG</v>
      </c>
      <c r="Y1025" s="80" t="str">
        <f>IFERROR(__xludf.DUMMYFUNCTION("""COMPUTED_VALUE"""),"GROBOGAN")</f>
        <v>GROBOGAN</v>
      </c>
      <c r="Z1025" s="80" t="str">
        <f>IFERROR(__xludf.DUMMYFUNCTION("""COMPUTED_VALUE"""),"JAWA TENGAH")</f>
        <v>JAWA TENGAH</v>
      </c>
      <c r="AA1025" s="80" t="str">
        <f>IFERROR(__xludf.DUMMYFUNCTION("""COMPUTED_VALUE"""),"58163")</f>
        <v>58163</v>
      </c>
      <c r="AB1025" s="80" t="str">
        <f>IFERROR(__xludf.DUMMYFUNCTION("""COMPUTED_VALUE"""),"3315021808940002")</f>
        <v>3315021808940002</v>
      </c>
      <c r="AC1025" s="80" t="str">
        <f>IFERROR(__xludf.DUMMYFUNCTION("""COMPUTED_VALUE"""),"33.150.218.0-894.0002")</f>
        <v>33.150.218.0-894.0002</v>
      </c>
      <c r="AD1025" s="80" t="str">
        <f>IFERROR(__xludf.DUMMYFUNCTION("""COMPUTED_VALUE"""),"CUM - PS - SAYID / PAK SAYID")</f>
        <v>CUM - PS - SAYID / PAK SAYID</v>
      </c>
      <c r="AE1025" s="80" t="str">
        <f>IFERROR(__xludf.DUMMYFUNCTION("""COMPUTED_VALUE"""),"CUM - PS - SAYID / PAK SAYID")</f>
        <v>CUM - PS - SAYID / PAK SAYID</v>
      </c>
      <c r="AF1025" s="80" t="str">
        <f>IFERROR(__xludf.DUMMYFUNCTION("""COMPUTED_VALUE"""),"085740913109")</f>
        <v>085740913109</v>
      </c>
      <c r="AG1025" s="80" t="str">
        <f>IFERROR(__xludf.DUMMYFUNCTION("""COMPUTED_VALUE"""),"085740913109")</f>
        <v>085740913109</v>
      </c>
      <c r="AH1025" s="80" t="str">
        <f>IFERROR(__xludf.DUMMYFUNCTION("""COMPUTED_VALUE"""),"thatagpratama@gmail.com &gt;&gt; ncsexpresskarangrayungpwd@gmail.com")</f>
        <v>thatagpratama@gmail.com &gt;&gt; ncsexpresskarangrayungpwd@gmail.com</v>
      </c>
      <c r="AI1025" s="80"/>
      <c r="AJ1025" s="80"/>
      <c r="AK1025" s="80"/>
      <c r="AL1025" s="80"/>
      <c r="AM1025" s="80" t="str">
        <f>IFERROR(__xludf.DUMMYFUNCTION("""COMPUTED_VALUE"""),"KANTOR REGIONAL IV SEMARANG 50004")</f>
        <v>KANTOR REGIONAL IV SEMARANG 50004</v>
      </c>
      <c r="AN1025" s="80" t="str">
        <f>IFERROR(__xludf.DUMMYFUNCTION("""COMPUTED_VALUE"""),"KC PURWODADIGROBOGAN 58100")</f>
        <v>KC PURWODADIGROBOGAN 58100</v>
      </c>
      <c r="AO1025" s="80" t="str">
        <f>IFERROR(__xludf.DUMMYFUNCTION("""COMPUTED_VALUE"""),"2907220029124")</f>
        <v>2907220029124</v>
      </c>
      <c r="AP1025" s="80" t="str">
        <f>IFERROR(__xludf.DUMMYFUNCTION("""COMPUTED_VALUE"""),"29072200291240001")</f>
        <v>29072200291240001</v>
      </c>
      <c r="AQ1025" s="83" t="str">
        <f>IFERROR(__xludf.DUMMYFUNCTION("""COMPUTED_VALUE"""),"600901010144539")</f>
        <v>600901010144539</v>
      </c>
      <c r="AR1025" s="80" t="str">
        <f>IFERROR(__xludf.DUMMYFUNCTION("""COMPUTED_VALUE"""),"BRI")</f>
        <v>BRI</v>
      </c>
      <c r="AS1025" s="80" t="str">
        <f>IFERROR(__xludf.DUMMYFUNCTION("""COMPUTED_VALUE"""),"TATAG PRATAMA AJI")</f>
        <v>TATAG PRATAMA AJI</v>
      </c>
      <c r="AT1025" s="80" t="str">
        <f>IFERROR(__xludf.DUMMYFUNCTION("""COMPUTED_VALUE"""),"-7.0740526")</f>
        <v>-7.0740526</v>
      </c>
      <c r="AU1025" s="80" t="str">
        <f>IFERROR(__xludf.DUMMYFUNCTION("""COMPUTED_VALUE"""),"110.77992467580711")</f>
        <v>110.77992467580711</v>
      </c>
      <c r="AV1025" s="80"/>
      <c r="AW1025" s="80"/>
      <c r="AX1025" s="80"/>
      <c r="AY1025" s="80"/>
      <c r="AZ1025" s="80"/>
      <c r="BA1025" s="80"/>
      <c r="BB1025" s="80"/>
      <c r="BC1025" s="80"/>
      <c r="BD1025" s="80"/>
      <c r="BE1025" s="80"/>
      <c r="BF1025" s="80"/>
      <c r="BG1025" s="80"/>
      <c r="BH1025" s="80"/>
      <c r="BI1025" s="80"/>
      <c r="BJ1025" s="80"/>
      <c r="BK1025" s="80"/>
      <c r="BL1025" s="80"/>
      <c r="BM1025" s="80"/>
      <c r="BN1025" s="80"/>
      <c r="BO1025" s="80"/>
      <c r="BP1025" s="80"/>
      <c r="BQ1025" s="80"/>
      <c r="BR1025" s="80"/>
      <c r="BS1025" s="80"/>
      <c r="BT1025" s="80"/>
      <c r="BU1025" s="80"/>
      <c r="BV1025" s="80"/>
      <c r="BW1025" s="80"/>
      <c r="BX1025" s="80"/>
      <c r="BY1025" s="80"/>
      <c r="BZ1025" s="80"/>
      <c r="CA1025" s="80"/>
      <c r="CB1025" s="80"/>
      <c r="CC1025" s="80"/>
      <c r="CD1025" s="80"/>
      <c r="CE1025" s="80"/>
      <c r="CF1025" s="80"/>
      <c r="CG1025" s="80"/>
      <c r="CH1025" s="80"/>
      <c r="CI1025" s="80"/>
      <c r="CJ1025" s="80"/>
      <c r="CK1025" s="2"/>
    </row>
    <row r="1026" ht="12.75" customHeight="1">
      <c r="A1026" s="85">
        <f>IFERROR(__xludf.DUMMYFUNCTION("""COMPUTED_VALUE"""),1022.0)</f>
        <v>1022</v>
      </c>
      <c r="B1026" s="85"/>
      <c r="C1026" s="85"/>
      <c r="D1026" s="86">
        <f>IFERROR(__xludf.DUMMYFUNCTION("""COMPUTED_VALUE"""),46171.0)</f>
        <v>46171</v>
      </c>
      <c r="E1026" s="88"/>
      <c r="F1026" s="85"/>
      <c r="G1026" s="86">
        <f>IFERROR(__xludf.DUMMYFUNCTION("""COMPUTED_VALUE"""),46195.0)</f>
        <v>46195</v>
      </c>
      <c r="H1026" s="85"/>
      <c r="I1026" s="85"/>
      <c r="J1026" s="85"/>
      <c r="K1026" s="85"/>
      <c r="L1026" s="85">
        <f>IFERROR(__xludf.DUMMYFUNCTION("""COMPUTED_VALUE"""),24.0)</f>
        <v>24</v>
      </c>
      <c r="M1026" s="85"/>
      <c r="N1026" s="85"/>
      <c r="O1026" s="85"/>
      <c r="P1026" s="85" t="str">
        <f>IFERROR(__xludf.DUMMYFUNCTION("""COMPUTED_VALUE"""),"MUCSPA63496PSIND")</f>
        <v>MUCSPA63496PSIND</v>
      </c>
      <c r="Q1026" s="85" t="str">
        <f>IFERROR(__xludf.DUMMYFUNCTION("""COMPUTED_VALUE"""),"MUC TOKO NIRWANA")</f>
        <v>MUC TOKO NIRWANA</v>
      </c>
      <c r="R1026" s="85" t="str">
        <f>IFERROR(__xludf.DUMMYFUNCTION("""COMPUTED_VALUE"""),"MUC TOKO NIRWANA")</f>
        <v>MUC TOKO NIRWANA</v>
      </c>
      <c r="S1026" s="85" t="str">
        <f>IFERROR(__xludf.DUMMYFUNCTION("""COMPUTED_VALUE"""),"ALI")</f>
        <v>ALI</v>
      </c>
      <c r="T1026" s="85" t="str">
        <f>IFERROR(__xludf.DUMMYFUNCTION("""COMPUTED_VALUE"""),"GG. SOLIHUN NO.22 RT 013 RW 009 BIDARA CINA, JATINEGARA")</f>
        <v>GG. SOLIHUN NO.22 RT 013 RW 009 BIDARA CINA, JATINEGARA</v>
      </c>
      <c r="U1026" s="85" t="str">
        <f>IFERROR(__xludf.DUMMYFUNCTION("""COMPUTED_VALUE"""),"JL. PUCUNG RAYA NO. 88 RT 09 RW 02")</f>
        <v>JL. PUCUNG RAYA NO. 88 RT 09 RW 02</v>
      </c>
      <c r="V1026" s="85" t="str">
        <f>IFERROR(__xludf.DUMMYFUNCTION("""COMPUTED_VALUE"""),"RT 013 \ RW 009")</f>
        <v>RT 013 \ RW 009</v>
      </c>
      <c r="W1026" s="85" t="str">
        <f>IFERROR(__xludf.DUMMYFUNCTION("""COMPUTED_VALUE"""),"BALEKEMBANG")</f>
        <v>BALEKEMBANG</v>
      </c>
      <c r="X1026" s="85" t="str">
        <f>IFERROR(__xludf.DUMMYFUNCTION("""COMPUTED_VALUE"""),"KERAMAT JATI")</f>
        <v>KERAMAT JATI</v>
      </c>
      <c r="Y1026" s="85" t="str">
        <f>IFERROR(__xludf.DUMMYFUNCTION("""COMPUTED_VALUE"""),"JAKARTA TIMUR")</f>
        <v>JAKARTA TIMUR</v>
      </c>
      <c r="Z1026" s="85" t="str">
        <f>IFERROR(__xludf.DUMMYFUNCTION("""COMPUTED_VALUE"""),"DKI JAKARTA")</f>
        <v>DKI JAKARTA</v>
      </c>
      <c r="AA1026" s="85" t="str">
        <f>IFERROR(__xludf.DUMMYFUNCTION("""COMPUTED_VALUE"""),"13530")</f>
        <v>13530</v>
      </c>
      <c r="AB1026" s="85" t="str">
        <f>IFERROR(__xludf.DUMMYFUNCTION("""COMPUTED_VALUE"""),"3175042508870002")</f>
        <v>3175042508870002</v>
      </c>
      <c r="AC1026" s="85" t="str">
        <f>IFERROR(__xludf.DUMMYFUNCTION("""COMPUTED_VALUE"""),"42.517.168.3-002.000")</f>
        <v>42.517.168.3-002.000</v>
      </c>
      <c r="AD1026" s="85" t="str">
        <f>IFERROR(__xludf.DUMMYFUNCTION("""COMPUTED_VALUE"""),"CUM - PS - ARKT")</f>
        <v>CUM - PS - ARKT</v>
      </c>
      <c r="AE1026" s="85" t="str">
        <f>IFERROR(__xludf.DUMMYFUNCTION("""COMPUTED_VALUE"""),"CUM - PS - ARKT")</f>
        <v>CUM - PS - ARKT</v>
      </c>
      <c r="AF1026" s="85" t="str">
        <f>IFERROR(__xludf.DUMMYFUNCTION("""COMPUTED_VALUE"""),"081586168039")</f>
        <v>081586168039</v>
      </c>
      <c r="AG1026" s="85" t="str">
        <f>IFERROR(__xludf.DUMMYFUNCTION("""COMPUTED_VALUE"""),"81586168039")</f>
        <v>81586168039</v>
      </c>
      <c r="AH1026" s="85" t="str">
        <f>IFERROR(__xludf.DUMMYFUNCTION("""COMPUTED_VALUE"""),"raykimie5@gmail.com")</f>
        <v>raykimie5@gmail.com</v>
      </c>
      <c r="AI1026" s="85" t="str">
        <f>IFERROR(__xludf.DUMMYFUNCTION("""COMPUTED_VALUE"""),"13530S2")</f>
        <v>13530S2</v>
      </c>
      <c r="AJ1026" s="85" t="str">
        <f>IFERROR(__xludf.DUMMYFUNCTION("""COMPUTED_VALUE"""),"6a38e5229bc0177e0601b617")</f>
        <v>6a38e5229bc0177e0601b617</v>
      </c>
      <c r="AK1026" s="85" t="str">
        <f>IFERROR(__xludf.DUMMYFUNCTION("""COMPUTED_VALUE"""),"raykimie5@gmail.com")</f>
        <v>raykimie5@gmail.com</v>
      </c>
      <c r="AL1026" s="85" t="str">
        <f>IFERROR(__xludf.DUMMYFUNCTION("""COMPUTED_VALUE"""),"#Muc13530S2$")</f>
        <v>#Muc13530S2$</v>
      </c>
      <c r="AM1026" s="85" t="str">
        <f>IFERROR(__xludf.DUMMYFUNCTION("""COMPUTED_VALUE"""),"KANTOR REGIONAL II JAKARTA 10004")</f>
        <v>KANTOR REGIONAL II JAKARTA 10004</v>
      </c>
      <c r="AN1026" s="85" t="str">
        <f>IFERROR(__xludf.DUMMYFUNCTION("""COMPUTED_VALUE"""),"KCU JAKARTAPREMIER 13000")</f>
        <v>KCU JAKARTAPREMIER 13000</v>
      </c>
      <c r="AO1026" s="85" t="str">
        <f>IFERROR(__xludf.DUMMYFUNCTION("""COMPUTED_VALUE"""),"2905260063012")</f>
        <v>2905260063012</v>
      </c>
      <c r="AP1026" s="85" t="str">
        <f>IFERROR(__xludf.DUMMYFUNCTION("""COMPUTED_VALUE"""),"29052600630120001")</f>
        <v>29052600630120001</v>
      </c>
      <c r="AQ1026" s="93" t="str">
        <f>IFERROR(__xludf.DUMMYFUNCTION("""COMPUTED_VALUE"""),"5530497561")</f>
        <v>5530497561</v>
      </c>
      <c r="AR1026" s="85" t="str">
        <f>IFERROR(__xludf.DUMMYFUNCTION("""COMPUTED_VALUE"""),"BCA")</f>
        <v>BCA</v>
      </c>
      <c r="AS1026" s="85" t="str">
        <f>IFERROR(__xludf.DUMMYFUNCTION("""COMPUTED_VALUE"""),"ALI")</f>
        <v>ALI</v>
      </c>
      <c r="AT1026" s="85" t="str">
        <f>IFERROR(__xludf.DUMMYFUNCTION("""COMPUTED_VALUE"""),"-62,817,178")</f>
        <v>-62,817,178</v>
      </c>
      <c r="AU1026" s="85" t="str">
        <f>IFERROR(__xludf.DUMMYFUNCTION("""COMPUTED_VALUE"""),"1,068,471,642")</f>
        <v>1,068,471,642</v>
      </c>
      <c r="AV1026" s="85"/>
      <c r="AW1026" s="85"/>
      <c r="AX1026" s="85"/>
      <c r="AY1026" s="85"/>
      <c r="AZ1026" s="85"/>
      <c r="BA1026" s="85"/>
      <c r="BB1026" s="85"/>
      <c r="BC1026" s="85"/>
      <c r="BD1026" s="85"/>
      <c r="BE1026" s="85"/>
      <c r="BF1026" s="85"/>
      <c r="BG1026" s="85"/>
      <c r="BH1026" s="85"/>
      <c r="BI1026" s="85"/>
      <c r="BJ1026" s="85"/>
      <c r="BK1026" s="85"/>
      <c r="BL1026" s="85"/>
      <c r="BM1026" s="85"/>
      <c r="BN1026" s="85"/>
      <c r="BO1026" s="85"/>
      <c r="BP1026" s="85"/>
      <c r="BQ1026" s="85"/>
      <c r="BR1026" s="85"/>
      <c r="BS1026" s="85"/>
      <c r="BT1026" s="85"/>
      <c r="BU1026" s="85"/>
      <c r="BV1026" s="85"/>
      <c r="BW1026" s="85"/>
      <c r="BX1026" s="85"/>
      <c r="BY1026" s="85"/>
      <c r="BZ1026" s="85"/>
      <c r="CA1026" s="85"/>
      <c r="CB1026" s="85"/>
      <c r="CC1026" s="85"/>
      <c r="CD1026" s="85"/>
      <c r="CE1026" s="85"/>
      <c r="CF1026" s="85"/>
      <c r="CG1026" s="85"/>
      <c r="CH1026" s="85"/>
      <c r="CI1026" s="85"/>
      <c r="CJ1026" s="85"/>
      <c r="CK1026" s="2"/>
    </row>
    <row r="1027" ht="12.75" customHeight="1">
      <c r="A1027" s="80">
        <f>IFERROR(__xludf.DUMMYFUNCTION("""COMPUTED_VALUE"""),1023.0)</f>
        <v>1023</v>
      </c>
      <c r="B1027" s="80"/>
      <c r="C1027" s="80"/>
      <c r="D1027" s="81">
        <f>IFERROR(__xludf.DUMMYFUNCTION("""COMPUTED_VALUE"""),46175.0)</f>
        <v>46175</v>
      </c>
      <c r="E1027" s="82"/>
      <c r="F1027" s="80"/>
      <c r="G1027" s="81">
        <f>IFERROR(__xludf.DUMMYFUNCTION("""COMPUTED_VALUE"""),46230.0)</f>
        <v>46230</v>
      </c>
      <c r="H1027" s="80"/>
      <c r="I1027" s="80"/>
      <c r="J1027" s="80"/>
      <c r="K1027" s="80"/>
      <c r="L1027" s="80">
        <f>IFERROR(__xludf.DUMMYFUNCTION("""COMPUTED_VALUE"""),55.0)</f>
        <v>55</v>
      </c>
      <c r="M1027" s="80"/>
      <c r="N1027" s="80"/>
      <c r="O1027" s="80"/>
      <c r="P1027" s="80" t="str">
        <f>IFERROR(__xludf.DUMMYFUNCTION("""COMPUTED_VALUE"""),"53BSPA17059JBNDS")</f>
        <v>53BSPA17059JBNDS</v>
      </c>
      <c r="Q1027" s="80" t="str">
        <f>IFERROR(__xludf.DUMMYFUNCTION("""COMPUTED_VALUE"""),"MUC SUNDA ABADI")</f>
        <v>MUC SUNDA ABADI</v>
      </c>
      <c r="R1027" s="80" t="str">
        <f>IFERROR(__xludf.DUMMYFUNCTION("""COMPUTED_VALUE"""),"MUC SUNDA ABADI")</f>
        <v>MUC SUNDA ABADI</v>
      </c>
      <c r="S1027" s="80" t="str">
        <f>IFERROR(__xludf.DUMMYFUNCTION("""COMPUTED_VALUE"""),"RINGGA ANDHYKA WG")</f>
        <v>RINGGA ANDHYKA WG</v>
      </c>
      <c r="T1027" s="80" t="str">
        <f>IFERROR(__xludf.DUMMYFUNCTION("""COMPUTED_VALUE"""),"PERUMAHAN KALIBUNDER REGENCY NO. P 26 MALEBER KARANGTENGAH CIANJUR")</f>
        <v>PERUMAHAN KALIBUNDER REGENCY NO. P 26 MALEBER KARANGTENGAH CIANJUR</v>
      </c>
      <c r="U1027" s="80" t="str">
        <f>IFERROR(__xludf.DUMMYFUNCTION("""COMPUTED_VALUE"""),"KP. BABAKAN")</f>
        <v>KP. BABAKAN</v>
      </c>
      <c r="V1027" s="80"/>
      <c r="W1027" s="80" t="str">
        <f>IFERROR(__xludf.DUMMYFUNCTION("""COMPUTED_VALUE"""),"GADOG")</f>
        <v>GADOG</v>
      </c>
      <c r="X1027" s="80" t="str">
        <f>IFERROR(__xludf.DUMMYFUNCTION("""COMPUTED_VALUE"""),"PACET")</f>
        <v>PACET</v>
      </c>
      <c r="Y1027" s="80" t="str">
        <f>IFERROR(__xludf.DUMMYFUNCTION("""COMPUTED_VALUE"""),"KAB. CIANJUR")</f>
        <v>KAB. CIANJUR</v>
      </c>
      <c r="Z1027" s="80" t="str">
        <f>IFERROR(__xludf.DUMMYFUNCTION("""COMPUTED_VALUE"""),"JAWA BARAT")</f>
        <v>JAWA BARAT</v>
      </c>
      <c r="AA1027" s="80" t="str">
        <f>IFERROR(__xludf.DUMMYFUNCTION("""COMPUTED_VALUE"""),"43253")</f>
        <v>43253</v>
      </c>
      <c r="AB1027" s="80" t="str">
        <f>IFERROR(__xludf.DUMMYFUNCTION("""COMPUTED_VALUE"""),"3203280904800013")</f>
        <v>3203280904800013</v>
      </c>
      <c r="AC1027" s="80" t="str">
        <f>IFERROR(__xludf.DUMMYFUNCTION("""COMPUTED_VALUE"""),"26.099.609.5-406.000")</f>
        <v>26.099.609.5-406.000</v>
      </c>
      <c r="AD1027" s="80" t="str">
        <f>IFERROR(__xludf.DUMMYFUNCTION("""COMPUTED_VALUE"""),"SUB NDS")</f>
        <v>SUB NDS</v>
      </c>
      <c r="AE1027" s="80" t="str">
        <f>IFERROR(__xludf.DUMMYFUNCTION("""COMPUTED_VALUE"""),"SUB NDS")</f>
        <v>SUB NDS</v>
      </c>
      <c r="AF1027" s="80" t="str">
        <f>IFERROR(__xludf.DUMMYFUNCTION("""COMPUTED_VALUE"""),"081224632220")</f>
        <v>081224632220</v>
      </c>
      <c r="AG1027" s="80" t="str">
        <f>IFERROR(__xludf.DUMMYFUNCTION("""COMPUTED_VALUE"""),"081224632220")</f>
        <v>081224632220</v>
      </c>
      <c r="AH1027" s="80" t="str">
        <f>IFERROR(__xludf.DUMMYFUNCTION("""COMPUTED_VALUE"""),"ringgaandhyka693@gmail.com")</f>
        <v>ringgaandhyka693@gmail.com</v>
      </c>
      <c r="AI1027" s="80" t="str">
        <f>IFERROR(__xludf.DUMMYFUNCTION("""COMPUTED_VALUE"""),"43253S7")</f>
        <v>43253S7</v>
      </c>
      <c r="AJ1027" s="80" t="str">
        <f>IFERROR(__xludf.DUMMYFUNCTION("""COMPUTED_VALUE"""),"6a2e2aada090f54c1006b23a")</f>
        <v>6a2e2aada090f54c1006b23a</v>
      </c>
      <c r="AK1027" s="80" t="str">
        <f>IFERROR(__xludf.DUMMYFUNCTION("""COMPUTED_VALUE"""),"ringgaandhyka693@gmail.com")</f>
        <v>ringgaandhyka693@gmail.com</v>
      </c>
      <c r="AL1027" s="80" t="str">
        <f>IFERROR(__xludf.DUMMYFUNCTION("""COMPUTED_VALUE"""),"#Muc43253S7$")</f>
        <v>#Muc43253S7$</v>
      </c>
      <c r="AM1027" s="80" t="str">
        <f>IFERROR(__xludf.DUMMYFUNCTION("""COMPUTED_VALUE"""),"KANTOR REGIONAL III BANDUNG 40004")</f>
        <v>KANTOR REGIONAL III BANDUNG 40004</v>
      </c>
      <c r="AN1027" s="80" t="str">
        <f>IFERROR(__xludf.DUMMYFUNCTION("""COMPUTED_VALUE"""),"KC CIANJUR 43200")</f>
        <v>KC CIANJUR 43200</v>
      </c>
      <c r="AO1027" s="80" t="str">
        <f>IFERROR(__xludf.DUMMYFUNCTION("""COMPUTED_VALUE"""),"2605260091449")</f>
        <v>2605260091449</v>
      </c>
      <c r="AP1027" s="80" t="str">
        <f>IFERROR(__xludf.DUMMYFUNCTION("""COMPUTED_VALUE"""),"26052600914490001")</f>
        <v>26052600914490001</v>
      </c>
      <c r="AQ1027" s="83" t="str">
        <f>IFERROR(__xludf.DUMMYFUNCTION("""COMPUTED_VALUE"""),"406601006059508")</f>
        <v>406601006059508</v>
      </c>
      <c r="AR1027" s="80" t="str">
        <f>IFERROR(__xludf.DUMMYFUNCTION("""COMPUTED_VALUE"""),"BRI")</f>
        <v>BRI</v>
      </c>
      <c r="AS1027" s="80" t="str">
        <f>IFERROR(__xludf.DUMMYFUNCTION("""COMPUTED_VALUE"""),"Ringga Andhyka WG")</f>
        <v>Ringga Andhyka WG</v>
      </c>
      <c r="AT1027" s="80" t="str">
        <f>IFERROR(__xludf.DUMMYFUNCTION("""COMPUTED_VALUE"""),"-6.7340551,107.0465934")</f>
        <v>-6.7340551,107.0465934</v>
      </c>
      <c r="AU1027" s="80" t="str">
        <f>IFERROR(__xludf.DUMMYFUNCTION("""COMPUTED_VALUE"""),"-6.7340551,107.0465934")</f>
        <v>-6.7340551,107.0465934</v>
      </c>
      <c r="AV1027" s="80"/>
      <c r="AW1027" s="80"/>
      <c r="AX1027" s="80"/>
      <c r="AY1027" s="80"/>
      <c r="AZ1027" s="80"/>
      <c r="BA1027" s="80"/>
      <c r="BB1027" s="80"/>
      <c r="BC1027" s="80"/>
      <c r="BD1027" s="80"/>
      <c r="BE1027" s="80"/>
      <c r="BF1027" s="80"/>
      <c r="BG1027" s="80"/>
      <c r="BH1027" s="80"/>
      <c r="BI1027" s="80"/>
      <c r="BJ1027" s="80"/>
      <c r="BK1027" s="80"/>
      <c r="BL1027" s="80"/>
      <c r="BM1027" s="80"/>
      <c r="BN1027" s="80"/>
      <c r="BO1027" s="80"/>
      <c r="BP1027" s="80"/>
      <c r="BQ1027" s="80"/>
      <c r="BR1027" s="80"/>
      <c r="BS1027" s="80"/>
      <c r="BT1027" s="80"/>
      <c r="BU1027" s="80"/>
      <c r="BV1027" s="80"/>
      <c r="BW1027" s="80"/>
      <c r="BX1027" s="80"/>
      <c r="BY1027" s="80"/>
      <c r="BZ1027" s="80"/>
      <c r="CA1027" s="80"/>
      <c r="CB1027" s="80"/>
      <c r="CC1027" s="80"/>
      <c r="CD1027" s="80"/>
      <c r="CE1027" s="80"/>
      <c r="CF1027" s="80"/>
      <c r="CG1027" s="80"/>
      <c r="CH1027" s="80"/>
      <c r="CI1027" s="80"/>
      <c r="CJ1027" s="80"/>
      <c r="CK1027" s="2"/>
    </row>
    <row r="1028" ht="12.75" customHeight="1">
      <c r="A1028" s="85">
        <f>IFERROR(__xludf.DUMMYFUNCTION("""COMPUTED_VALUE"""),1024.0)</f>
        <v>1024</v>
      </c>
      <c r="B1028" s="85"/>
      <c r="C1028" s="85"/>
      <c r="D1028" s="86">
        <f>IFERROR(__xludf.DUMMYFUNCTION("""COMPUTED_VALUE"""),46175.0)</f>
        <v>46175</v>
      </c>
      <c r="E1028" s="88"/>
      <c r="F1028" s="85"/>
      <c r="G1028" s="86">
        <f>IFERROR(__xludf.DUMMYFUNCTION("""COMPUTED_VALUE"""),46262.0)</f>
        <v>46262</v>
      </c>
      <c r="H1028" s="85"/>
      <c r="I1028" s="85"/>
      <c r="J1028" s="85"/>
      <c r="K1028" s="85"/>
      <c r="L1028" s="85">
        <f>IFERROR(__xludf.DUMMYFUNCTION("""COMPUTED_VALUE"""),87.0)</f>
        <v>87</v>
      </c>
      <c r="M1028" s="85"/>
      <c r="N1028" s="85"/>
      <c r="O1028" s="85"/>
      <c r="P1028" s="85" t="str">
        <f>IFERROR(__xludf.DUMMYFUNCTION("""COMPUTED_VALUE"""),"52bspa07881jtyna")</f>
        <v>52bspa07881jtyna</v>
      </c>
      <c r="Q1028" s="85" t="str">
        <f>IFERROR(__xludf.DUMMYFUNCTION("""COMPUTED_VALUE"""),"MUC SIDOREJO LOR")</f>
        <v>MUC SIDOREJO LOR</v>
      </c>
      <c r="R1028" s="85" t="str">
        <f>IFERROR(__xludf.DUMMYFUNCTION("""COMPUTED_VALUE"""),"MUC SIDOREJO LOR")</f>
        <v>MUC SIDOREJO LOR</v>
      </c>
      <c r="S1028" s="85" t="str">
        <f>IFERROR(__xludf.DUMMYFUNCTION("""COMPUTED_VALUE"""),"Muhamad Arifin")</f>
        <v>Muhamad Arifin</v>
      </c>
      <c r="T1028" s="85" t="str">
        <f>IFERROR(__xludf.DUMMYFUNCTION("""COMPUTED_VALUE"""),"Jl. KH. Ahmad Dahlan - Soka RT 004 RW 007 Sidorejo Lor Salatiga")</f>
        <v>Jl. KH. Ahmad Dahlan - Soka RT 004 RW 007 Sidorejo Lor Salatiga</v>
      </c>
      <c r="U1028" s="85" t="str">
        <f>IFERROR(__xludf.DUMMYFUNCTION("""COMPUTED_VALUE"""),"Jl. KH. Ahmad Dahlan - Soka RT 004 RW 007 Sidorejo Lor Salatiga")</f>
        <v>Jl. KH. Ahmad Dahlan - Soka RT 004 RW 007 Sidorejo Lor Salatiga</v>
      </c>
      <c r="V1028" s="85" t="str">
        <f>IFERROR(__xludf.DUMMYFUNCTION("""COMPUTED_VALUE"""),"RT 004 \ RW 007")</f>
        <v>RT 004 \ RW 007</v>
      </c>
      <c r="W1028" s="85" t="str">
        <f>IFERROR(__xludf.DUMMYFUNCTION("""COMPUTED_VALUE"""),"Sidorejo Lor")</f>
        <v>Sidorejo Lor</v>
      </c>
      <c r="X1028" s="85" t="str">
        <f>IFERROR(__xludf.DUMMYFUNCTION("""COMPUTED_VALUE"""),"Sidorejo")</f>
        <v>Sidorejo</v>
      </c>
      <c r="Y1028" s="85" t="str">
        <f>IFERROR(__xludf.DUMMYFUNCTION("""COMPUTED_VALUE"""),"Salatiga")</f>
        <v>Salatiga</v>
      </c>
      <c r="Z1028" s="85" t="str">
        <f>IFERROR(__xludf.DUMMYFUNCTION("""COMPUTED_VALUE"""),"Jawa Tengah")</f>
        <v>Jawa Tengah</v>
      </c>
      <c r="AA1028" s="85" t="str">
        <f>IFERROR(__xludf.DUMMYFUNCTION("""COMPUTED_VALUE"""),"50714")</f>
        <v>50714</v>
      </c>
      <c r="AB1028" s="85" t="str">
        <f>IFERROR(__xludf.DUMMYFUNCTION("""COMPUTED_VALUE"""),"3373011105700002")</f>
        <v>3373011105700002</v>
      </c>
      <c r="AC1028" s="85" t="str">
        <f>IFERROR(__xludf.DUMMYFUNCTION("""COMPUTED_VALUE"""),"27.457.623.0-505.000")</f>
        <v>27.457.623.0-505.000</v>
      </c>
      <c r="AD1028" s="85" t="str">
        <f>IFERROR(__xludf.DUMMYFUNCTION("""COMPUTED_VALUE"""),"CUM - YNA")</f>
        <v>CUM - YNA</v>
      </c>
      <c r="AE1028" s="85" t="str">
        <f>IFERROR(__xludf.DUMMYFUNCTION("""COMPUTED_VALUE"""),"CUM - YNA")</f>
        <v>CUM - YNA</v>
      </c>
      <c r="AF1028" s="85" t="str">
        <f>IFERROR(__xludf.DUMMYFUNCTION("""COMPUTED_VALUE"""),"089696224622")</f>
        <v>089696224622</v>
      </c>
      <c r="AG1028" s="85" t="str">
        <f>IFERROR(__xludf.DUMMYFUNCTION("""COMPUTED_VALUE"""),"089696224622")</f>
        <v>089696224622</v>
      </c>
      <c r="AH1028" s="85" t="str">
        <f>IFERROR(__xludf.DUMMYFUNCTION("""COMPUTED_VALUE"""),"arifin.gojeksalatiga@gmail.com")</f>
        <v>arifin.gojeksalatiga@gmail.com</v>
      </c>
      <c r="AI1028" s="85" t="str">
        <f>IFERROR(__xludf.DUMMYFUNCTION("""COMPUTED_VALUE"""),"50714S1")</f>
        <v>50714S1</v>
      </c>
      <c r="AJ1028" s="85" t="str">
        <f>IFERROR(__xludf.DUMMYFUNCTION("""COMPUTED_VALUE"""),"6a9006bc7ddd8de5170bd199")</f>
        <v>6a9006bc7ddd8de5170bd199</v>
      </c>
      <c r="AK1028" s="85" t="str">
        <f>IFERROR(__xludf.DUMMYFUNCTION("""COMPUTED_VALUE"""),"arifin.gojeksalatiga@gmail.com")</f>
        <v>arifin.gojeksalatiga@gmail.com</v>
      </c>
      <c r="AL1028" s="85" t="str">
        <f>IFERROR(__xludf.DUMMYFUNCTION("""COMPUTED_VALUE"""),"#Muc50714S1$")</f>
        <v>#Muc50714S1$</v>
      </c>
      <c r="AM1028" s="85" t="str">
        <f>IFERROR(__xludf.DUMMYFUNCTION("""COMPUTED_VALUE"""),"KANTOR REGIONAL IV SEMARANG 50004")</f>
        <v>KANTOR REGIONAL IV SEMARANG 50004</v>
      </c>
      <c r="AN1028" s="85" t="str">
        <f>IFERROR(__xludf.DUMMYFUNCTION("""COMPUTED_VALUE"""),"KC SALATIGA 50700")</f>
        <v>KC SALATIGA 50700</v>
      </c>
      <c r="AO1028" s="85" t="str">
        <f>IFERROR(__xludf.DUMMYFUNCTION("""COMPUTED_VALUE"""),"2905260044213")</f>
        <v>2905260044213</v>
      </c>
      <c r="AP1028" s="85" t="str">
        <f>IFERROR(__xludf.DUMMYFUNCTION("""COMPUTED_VALUE"""),"29052600442130001")</f>
        <v>29052600442130001</v>
      </c>
      <c r="AQ1028" s="93" t="str">
        <f>IFERROR(__xludf.DUMMYFUNCTION("""COMPUTED_VALUE"""),"901322391803")</f>
        <v>901322391803</v>
      </c>
      <c r="AR1028" s="85" t="str">
        <f>IFERROR(__xludf.DUMMYFUNCTION("""COMPUTED_VALUE"""),"SEA BANK")</f>
        <v>SEA BANK</v>
      </c>
      <c r="AS1028" s="85" t="str">
        <f>IFERROR(__xludf.DUMMYFUNCTION("""COMPUTED_VALUE"""),"Meiske Amelia Arfianti")</f>
        <v>Meiske Amelia Arfianti</v>
      </c>
      <c r="AT1028" s="85" t="str">
        <f>IFERROR(__xludf.DUMMYFUNCTION("""COMPUTED_VALUE"""),"-7.306767")</f>
        <v>-7.306767</v>
      </c>
      <c r="AU1028" s="85" t="str">
        <f>IFERROR(__xludf.DUMMYFUNCTION("""COMPUTED_VALUE"""),"110.490122")</f>
        <v>110.490122</v>
      </c>
      <c r="AV1028" s="85"/>
      <c r="AW1028" s="85"/>
      <c r="AX1028" s="85"/>
      <c r="AY1028" s="85"/>
      <c r="AZ1028" s="85"/>
      <c r="BA1028" s="85"/>
      <c r="BB1028" s="85"/>
      <c r="BC1028" s="85"/>
      <c r="BD1028" s="85"/>
      <c r="BE1028" s="85"/>
      <c r="BF1028" s="85"/>
      <c r="BG1028" s="85"/>
      <c r="BH1028" s="85"/>
      <c r="BI1028" s="85"/>
      <c r="BJ1028" s="85"/>
      <c r="BK1028" s="85"/>
      <c r="BL1028" s="85"/>
      <c r="BM1028" s="85"/>
      <c r="BN1028" s="85"/>
      <c r="BO1028" s="85"/>
      <c r="BP1028" s="85"/>
      <c r="BQ1028" s="85"/>
      <c r="BR1028" s="85"/>
      <c r="BS1028" s="85"/>
      <c r="BT1028" s="85"/>
      <c r="BU1028" s="85"/>
      <c r="BV1028" s="85"/>
      <c r="BW1028" s="85"/>
      <c r="BX1028" s="85"/>
      <c r="BY1028" s="85"/>
      <c r="BZ1028" s="85"/>
      <c r="CA1028" s="85"/>
      <c r="CB1028" s="85"/>
      <c r="CC1028" s="85"/>
      <c r="CD1028" s="85"/>
      <c r="CE1028" s="85"/>
      <c r="CF1028" s="85"/>
      <c r="CG1028" s="85"/>
      <c r="CH1028" s="85"/>
      <c r="CI1028" s="85"/>
      <c r="CJ1028" s="85"/>
      <c r="CK1028" s="2"/>
    </row>
    <row r="1029" ht="12.75" customHeight="1">
      <c r="A1029" s="80">
        <f>IFERROR(__xludf.DUMMYFUNCTION("""COMPUTED_VALUE"""),1025.0)</f>
        <v>1025</v>
      </c>
      <c r="B1029" s="80"/>
      <c r="C1029" s="80"/>
      <c r="D1029" s="81">
        <f>IFERROR(__xludf.DUMMYFUNCTION("""COMPUTED_VALUE"""),46175.0)</f>
        <v>46175</v>
      </c>
      <c r="E1029" s="82"/>
      <c r="F1029" s="80"/>
      <c r="G1029" s="81">
        <f>IFERROR(__xludf.DUMMYFUNCTION("""COMPUTED_VALUE"""),46188.0)</f>
        <v>46188</v>
      </c>
      <c r="H1029" s="80"/>
      <c r="I1029" s="80"/>
      <c r="J1029" s="80"/>
      <c r="K1029" s="80"/>
      <c r="L1029" s="80">
        <f>IFERROR(__xludf.DUMMYFUNCTION("""COMPUTED_VALUE"""),13.0)</f>
        <v>13</v>
      </c>
      <c r="M1029" s="80"/>
      <c r="N1029" s="80"/>
      <c r="O1029" s="80"/>
      <c r="P1029" s="80" t="str">
        <f>IFERROR(__xludf.DUMMYFUNCTION("""COMPUTED_VALUE"""),"53BSPA17092JBABD")</f>
        <v>53BSPA17092JBABD</v>
      </c>
      <c r="Q1029" s="80" t="str">
        <f>IFERROR(__xludf.DUMMYFUNCTION("""COMPUTED_VALUE"""),"MUC CENDANA SUKSES MANDIRI")</f>
        <v>MUC CENDANA SUKSES MANDIRI</v>
      </c>
      <c r="R1029" s="80" t="str">
        <f>IFERROR(__xludf.DUMMYFUNCTION("""COMPUTED_VALUE"""),"MUC CENDANA SUKSES MANDIRI")</f>
        <v>MUC CENDANA SUKSES MANDIRI</v>
      </c>
      <c r="S1029" s="80" t="str">
        <f>IFERROR(__xludf.DUMMYFUNCTION("""COMPUTED_VALUE"""),"SUWARYO")</f>
        <v>SUWARYO</v>
      </c>
      <c r="T1029" s="80" t="str">
        <f>IFERROR(__xludf.DUMMYFUNCTION("""COMPUTED_VALUE"""),"JL. CENDANA RAYA NO. 59 BAS CIREBON GIRANG")</f>
        <v>JL. CENDANA RAYA NO. 59 BAS CIREBON GIRANG</v>
      </c>
      <c r="U1029" s="80" t="str">
        <f>IFERROR(__xludf.DUMMYFUNCTION("""COMPUTED_VALUE"""),"JL. CENDANA RAYA NO. 59 BAS")</f>
        <v>JL. CENDANA RAYA NO. 59 BAS</v>
      </c>
      <c r="V1029" s="80"/>
      <c r="W1029" s="80" t="str">
        <f>IFERROR(__xludf.DUMMYFUNCTION("""COMPUTED_VALUE"""),"CIREBON GIRANG")</f>
        <v>CIREBON GIRANG</v>
      </c>
      <c r="X1029" s="80" t="str">
        <f>IFERROR(__xludf.DUMMYFUNCTION("""COMPUTED_VALUE"""),"TALUN")</f>
        <v>TALUN</v>
      </c>
      <c r="Y1029" s="80" t="str">
        <f>IFERROR(__xludf.DUMMYFUNCTION("""COMPUTED_VALUE"""),"KAB. CIREBON")</f>
        <v>KAB. CIREBON</v>
      </c>
      <c r="Z1029" s="80" t="str">
        <f>IFERROR(__xludf.DUMMYFUNCTION("""COMPUTED_VALUE"""),"JAWA BARAT")</f>
        <v>JAWA BARAT</v>
      </c>
      <c r="AA1029" s="80" t="str">
        <f>IFERROR(__xludf.DUMMYFUNCTION("""COMPUTED_VALUE"""),"45671")</f>
        <v>45671</v>
      </c>
      <c r="AB1029" s="80" t="str">
        <f>IFERROR(__xludf.DUMMYFUNCTION("""COMPUTED_VALUE"""),"3209141503710004")</f>
        <v>3209141503710004</v>
      </c>
      <c r="AC1029" s="80" t="str">
        <f>IFERROR(__xludf.DUMMYFUNCTION("""COMPUTED_VALUE"""),"25.539.788.7-426.000")</f>
        <v>25.539.788.7-426.000</v>
      </c>
      <c r="AD1029" s="80" t="str">
        <f>IFERROR(__xludf.DUMMYFUNCTION("""COMPUTED_VALUE"""),"SUB ABDUL QODIR")</f>
        <v>SUB ABDUL QODIR</v>
      </c>
      <c r="AE1029" s="80" t="str">
        <f>IFERROR(__xludf.DUMMYFUNCTION("""COMPUTED_VALUE"""),"SUB ABDUL QODIR")</f>
        <v>SUB ABDUL QODIR</v>
      </c>
      <c r="AF1029" s="80" t="str">
        <f>IFERROR(__xludf.DUMMYFUNCTION("""COMPUTED_VALUE"""),"08138873559")</f>
        <v>08138873559</v>
      </c>
      <c r="AG1029" s="80" t="str">
        <f>IFERROR(__xludf.DUMMYFUNCTION("""COMPUTED_VALUE"""),"08138873559")</f>
        <v>08138873559</v>
      </c>
      <c r="AH1029" s="80" t="str">
        <f>IFERROR(__xludf.DUMMYFUNCTION("""COMPUTED_VALUE"""),"iyosuwaryo71@gmail.co.id")</f>
        <v>iyosuwaryo71@gmail.co.id</v>
      </c>
      <c r="AI1029" s="80" t="str">
        <f>IFERROR(__xludf.DUMMYFUNCTION("""COMPUTED_VALUE"""),"45671S5")</f>
        <v>45671S5</v>
      </c>
      <c r="AJ1029" s="80" t="str">
        <f>IFERROR(__xludf.DUMMYFUNCTION("""COMPUTED_VALUE"""),"6a2e45552b010e360b076a22")</f>
        <v>6a2e45552b010e360b076a22</v>
      </c>
      <c r="AK1029" s="80" t="str">
        <f>IFERROR(__xludf.DUMMYFUNCTION("""COMPUTED_VALUE"""),"iyosuwaryo71@gmail.co.id")</f>
        <v>iyosuwaryo71@gmail.co.id</v>
      </c>
      <c r="AL1029" s="80" t="str">
        <f>IFERROR(__xludf.DUMMYFUNCTION("""COMPUTED_VALUE"""),"#Muc45671S5$")</f>
        <v>#Muc45671S5$</v>
      </c>
      <c r="AM1029" s="80" t="str">
        <f>IFERROR(__xludf.DUMMYFUNCTION("""COMPUTED_VALUE"""),"KANTOR REGIONAL III BANDUNG 40004")</f>
        <v>KANTOR REGIONAL III BANDUNG 40004</v>
      </c>
      <c r="AN1029" s="80" t="str">
        <f>IFERROR(__xludf.DUMMYFUNCTION("""COMPUTED_VALUE"""),"KCU CIREBON 45100")</f>
        <v>KCU CIREBON 45100</v>
      </c>
      <c r="AO1029" s="80" t="str">
        <f>IFERROR(__xludf.DUMMYFUNCTION("""COMPUTED_VALUE"""),"2107220076761")</f>
        <v>2107220076761</v>
      </c>
      <c r="AP1029" s="80" t="str">
        <f>IFERROR(__xludf.DUMMYFUNCTION("""COMPUTED_VALUE"""),"21072200767610001")</f>
        <v>21072200767610001</v>
      </c>
      <c r="AQ1029" s="83" t="str">
        <f>IFERROR(__xludf.DUMMYFUNCTION("""COMPUTED_VALUE"""),"1341307835")</f>
        <v>1341307835</v>
      </c>
      <c r="AR1029" s="80" t="str">
        <f>IFERROR(__xludf.DUMMYFUNCTION("""COMPUTED_VALUE"""),"BCA")</f>
        <v>BCA</v>
      </c>
      <c r="AS1029" s="80" t="str">
        <f>IFERROR(__xludf.DUMMYFUNCTION("""COMPUTED_VALUE"""),"SUWARYO")</f>
        <v>SUWARYO</v>
      </c>
      <c r="AT1029" s="80" t="str">
        <f>IFERROR(__xludf.DUMMYFUNCTION("""COMPUTED_VALUE"""),"-6.7636402,108.5092673")</f>
        <v>-6.7636402,108.5092673</v>
      </c>
      <c r="AU1029" s="80" t="str">
        <f>IFERROR(__xludf.DUMMYFUNCTION("""COMPUTED_VALUE"""),"-6.7636402,108.5092673")</f>
        <v>-6.7636402,108.5092673</v>
      </c>
      <c r="AV1029" s="80"/>
      <c r="AW1029" s="80"/>
      <c r="AX1029" s="80"/>
      <c r="AY1029" s="80"/>
      <c r="AZ1029" s="80"/>
      <c r="BA1029" s="80"/>
      <c r="BB1029" s="80"/>
      <c r="BC1029" s="80"/>
      <c r="BD1029" s="80"/>
      <c r="BE1029" s="80"/>
      <c r="BF1029" s="80"/>
      <c r="BG1029" s="80"/>
      <c r="BH1029" s="80"/>
      <c r="BI1029" s="80"/>
      <c r="BJ1029" s="80"/>
      <c r="BK1029" s="80"/>
      <c r="BL1029" s="80"/>
      <c r="BM1029" s="80"/>
      <c r="BN1029" s="80"/>
      <c r="BO1029" s="80"/>
      <c r="BP1029" s="80"/>
      <c r="BQ1029" s="80"/>
      <c r="BR1029" s="80"/>
      <c r="BS1029" s="80"/>
      <c r="BT1029" s="80"/>
      <c r="BU1029" s="80"/>
      <c r="BV1029" s="80"/>
      <c r="BW1029" s="80"/>
      <c r="BX1029" s="80"/>
      <c r="BY1029" s="80"/>
      <c r="BZ1029" s="80"/>
      <c r="CA1029" s="80"/>
      <c r="CB1029" s="80"/>
      <c r="CC1029" s="80"/>
      <c r="CD1029" s="80"/>
      <c r="CE1029" s="80"/>
      <c r="CF1029" s="80"/>
      <c r="CG1029" s="80"/>
      <c r="CH1029" s="80"/>
      <c r="CI1029" s="80"/>
      <c r="CJ1029" s="80"/>
      <c r="CK1029" s="2"/>
    </row>
    <row r="1030" ht="12.75" customHeight="1">
      <c r="A1030" s="85">
        <f>IFERROR(__xludf.DUMMYFUNCTION("""COMPUTED_VALUE"""),1026.0)</f>
        <v>1026</v>
      </c>
      <c r="B1030" s="85"/>
      <c r="C1030" s="85"/>
      <c r="D1030" s="86">
        <f>IFERROR(__xludf.DUMMYFUNCTION("""COMPUTED_VALUE"""),46175.0)</f>
        <v>46175</v>
      </c>
      <c r="E1030" s="88"/>
      <c r="F1030" s="85"/>
      <c r="G1030" s="86">
        <f>IFERROR(__xludf.DUMMYFUNCTION("""COMPUTED_VALUE"""),46192.0)</f>
        <v>46192</v>
      </c>
      <c r="H1030" s="85"/>
      <c r="I1030" s="85"/>
      <c r="J1030" s="85"/>
      <c r="K1030" s="85"/>
      <c r="L1030" s="85">
        <f>IFERROR(__xludf.DUMMYFUNCTION("""COMPUTED_VALUE"""),17.0)</f>
        <v>17</v>
      </c>
      <c r="M1030" s="85"/>
      <c r="N1030" s="85"/>
      <c r="O1030" s="85"/>
      <c r="P1030" s="85" t="str">
        <f>IFERROR(__xludf.DUMMYFUNCTION("""COMPUTED_VALUE"""),"MUCSPA63497PSIND")</f>
        <v>MUCSPA63497PSIND</v>
      </c>
      <c r="Q1030" s="85" t="str">
        <f>IFERROR(__xludf.DUMMYFUNCTION("""COMPUTED_VALUE"""),"MUC Berkah Jaya")</f>
        <v>MUC Berkah Jaya</v>
      </c>
      <c r="R1030" s="85" t="str">
        <f>IFERROR(__xludf.DUMMYFUNCTION("""COMPUTED_VALUE"""),"MUC Berkah Jaya")</f>
        <v>MUC Berkah Jaya</v>
      </c>
      <c r="S1030" s="85" t="str">
        <f>IFERROR(__xludf.DUMMYFUNCTION("""COMPUTED_VALUE"""),"Melky Dwi Santosa")</f>
        <v>Melky Dwi Santosa</v>
      </c>
      <c r="T1030" s="85" t="str">
        <f>IFERROR(__xludf.DUMMYFUNCTION("""COMPUTED_VALUE"""),"GALUH RT. 010 RW. 005, Bojongsari, GALUH, KAB. PURBALINGGA")</f>
        <v>GALUH RT. 010 RW. 005, Bojongsari, GALUH, KAB. PURBALINGGA</v>
      </c>
      <c r="U1030" s="85" t="str">
        <f>IFERROR(__xludf.DUMMYFUNCTION("""COMPUTED_VALUE"""),"GALUH RT. 010 RW. 005, Bojongsari, GALUH, KAB. PURBALINGGA")</f>
        <v>GALUH RT. 010 RW. 005, Bojongsari, GALUH, KAB. PURBALINGGA</v>
      </c>
      <c r="V1030" s="85" t="str">
        <f>IFERROR(__xludf.DUMMYFUNCTION("""COMPUTED_VALUE"""),"RT. 01 \ RW. 00")</f>
        <v>RT. 01 \ RW. 00</v>
      </c>
      <c r="W1030" s="85" t="str">
        <f>IFERROR(__xludf.DUMMYFUNCTION("""COMPUTED_VALUE"""),"Galuh")</f>
        <v>Galuh</v>
      </c>
      <c r="X1030" s="85" t="str">
        <f>IFERROR(__xludf.DUMMYFUNCTION("""COMPUTED_VALUE"""),"Bojongsari")</f>
        <v>Bojongsari</v>
      </c>
      <c r="Y1030" s="85" t="str">
        <f>IFERROR(__xludf.DUMMYFUNCTION("""COMPUTED_VALUE"""),"Kab. Purbalingga")</f>
        <v>Kab. Purbalingga</v>
      </c>
      <c r="Z1030" s="85" t="str">
        <f>IFERROR(__xludf.DUMMYFUNCTION("""COMPUTED_VALUE"""),"Jawa Tengah")</f>
        <v>Jawa Tengah</v>
      </c>
      <c r="AA1030" s="85" t="str">
        <f>IFERROR(__xludf.DUMMYFUNCTION("""COMPUTED_VALUE"""),"53362")</f>
        <v>53362</v>
      </c>
      <c r="AB1030" s="85" t="str">
        <f>IFERROR(__xludf.DUMMYFUNCTION("""COMPUTED_VALUE"""),"3303142503880004")</f>
        <v>3303142503880004</v>
      </c>
      <c r="AC1030" s="85" t="str">
        <f>IFERROR(__xludf.DUMMYFUNCTION("""COMPUTED_VALUE"""),"85.451.181.3-529.000")</f>
        <v>85.451.181.3-529.000</v>
      </c>
      <c r="AD1030" s="85" t="str">
        <f>IFERROR(__xludf.DUMMYFUNCTION("""COMPUTED_VALUE"""),"SUB ERTHA")</f>
        <v>SUB ERTHA</v>
      </c>
      <c r="AE1030" s="85" t="str">
        <f>IFERROR(__xludf.DUMMYFUNCTION("""COMPUTED_VALUE"""),"SUB ERTHA")</f>
        <v>SUB ERTHA</v>
      </c>
      <c r="AF1030" s="85" t="str">
        <f>IFERROR(__xludf.DUMMYFUNCTION("""COMPUTED_VALUE"""),"081313507455")</f>
        <v>081313507455</v>
      </c>
      <c r="AG1030" s="85" t="str">
        <f>IFERROR(__xludf.DUMMYFUNCTION("""COMPUTED_VALUE"""),"081313507455")</f>
        <v>081313507455</v>
      </c>
      <c r="AH1030" s="85" t="str">
        <f>IFERROR(__xludf.DUMMYFUNCTION("""COMPUTED_VALUE"""),"sabartidian@gmail.com")</f>
        <v>sabartidian@gmail.com</v>
      </c>
      <c r="AI1030" s="85" t="str">
        <f>IFERROR(__xludf.DUMMYFUNCTION("""COMPUTED_VALUE"""),"53362S7")</f>
        <v>53362S7</v>
      </c>
      <c r="AJ1030" s="85" t="str">
        <f>IFERROR(__xludf.DUMMYFUNCTION("""COMPUTED_VALUE"""),"6a35fefc9a680b770106c62c")</f>
        <v>6a35fefc9a680b770106c62c</v>
      </c>
      <c r="AK1030" s="85" t="str">
        <f>IFERROR(__xludf.DUMMYFUNCTION("""COMPUTED_VALUE"""),"sabartidian@gmail.com")</f>
        <v>sabartidian@gmail.com</v>
      </c>
      <c r="AL1030" s="85" t="str">
        <f>IFERROR(__xludf.DUMMYFUNCTION("""COMPUTED_VALUE"""),"#Muc53362S7")</f>
        <v>#Muc53362S7</v>
      </c>
      <c r="AM1030" s="85" t="str">
        <f>IFERROR(__xludf.DUMMYFUNCTION("""COMPUTED_VALUE"""),"KANTOR REGIONAL IV SEMARANG 50004")</f>
        <v>KANTOR REGIONAL IV SEMARANG 50004</v>
      </c>
      <c r="AN1030" s="85" t="str">
        <f>IFERROR(__xludf.DUMMYFUNCTION("""COMPUTED_VALUE"""),"KC PURBALINGGA 53300")</f>
        <v>KC PURBALINGGA 53300</v>
      </c>
      <c r="AO1030" s="85" t="str">
        <f>IFERROR(__xludf.DUMMYFUNCTION("""COMPUTED_VALUE"""),"0206260058864")</f>
        <v>0206260058864</v>
      </c>
      <c r="AP1030" s="85" t="str">
        <f>IFERROR(__xludf.DUMMYFUNCTION("""COMPUTED_VALUE"""),"02062600588640001")</f>
        <v>02062600588640001</v>
      </c>
      <c r="AQ1030" s="93" t="str">
        <f>IFERROR(__xludf.DUMMYFUNCTION("""COMPUTED_VALUE"""),"3722 0101 5248 535")</f>
        <v>3722 0101 5248 535</v>
      </c>
      <c r="AR1030" s="85" t="str">
        <f>IFERROR(__xludf.DUMMYFUNCTION("""COMPUTED_VALUE"""),"BRI")</f>
        <v>BRI</v>
      </c>
      <c r="AS1030" s="85" t="str">
        <f>IFERROR(__xludf.DUMMYFUNCTION("""COMPUTED_VALUE"""),"Dian Sabarti")</f>
        <v>Dian Sabarti</v>
      </c>
      <c r="AT1030" s="85" t="str">
        <f>IFERROR(__xludf.DUMMYFUNCTION("""COMPUTED_VALUE"""),"-7.3760037")</f>
        <v>-7.3760037</v>
      </c>
      <c r="AU1030" s="85" t="str">
        <f>IFERROR(__xludf.DUMMYFUNCTION("""COMPUTED_VALUE"""),"109.3713566")</f>
        <v>109.3713566</v>
      </c>
      <c r="AV1030" s="85"/>
      <c r="AW1030" s="85"/>
      <c r="AX1030" s="85"/>
      <c r="AY1030" s="85"/>
      <c r="AZ1030" s="85"/>
      <c r="BA1030" s="85"/>
      <c r="BB1030" s="85"/>
      <c r="BC1030" s="85"/>
      <c r="BD1030" s="85"/>
      <c r="BE1030" s="85"/>
      <c r="BF1030" s="85"/>
      <c r="BG1030" s="85"/>
      <c r="BH1030" s="85"/>
      <c r="BI1030" s="85"/>
      <c r="BJ1030" s="85"/>
      <c r="BK1030" s="85"/>
      <c r="BL1030" s="85"/>
      <c r="BM1030" s="85"/>
      <c r="BN1030" s="85"/>
      <c r="BO1030" s="85"/>
      <c r="BP1030" s="85"/>
      <c r="BQ1030" s="85"/>
      <c r="BR1030" s="85"/>
      <c r="BS1030" s="85"/>
      <c r="BT1030" s="85"/>
      <c r="BU1030" s="85"/>
      <c r="BV1030" s="85"/>
      <c r="BW1030" s="85"/>
      <c r="BX1030" s="85"/>
      <c r="BY1030" s="85"/>
      <c r="BZ1030" s="85"/>
      <c r="CA1030" s="85"/>
      <c r="CB1030" s="85"/>
      <c r="CC1030" s="85"/>
      <c r="CD1030" s="85"/>
      <c r="CE1030" s="85"/>
      <c r="CF1030" s="85"/>
      <c r="CG1030" s="85"/>
      <c r="CH1030" s="85"/>
      <c r="CI1030" s="85"/>
      <c r="CJ1030" s="85"/>
      <c r="CK1030" s="2"/>
    </row>
    <row r="1031" ht="12.75" customHeight="1">
      <c r="A1031" s="80">
        <f>IFERROR(__xludf.DUMMYFUNCTION("""COMPUTED_VALUE"""),1027.0)</f>
        <v>1027</v>
      </c>
      <c r="B1031" s="80"/>
      <c r="C1031" s="80"/>
      <c r="D1031" s="81">
        <f>IFERROR(__xludf.DUMMYFUNCTION("""COMPUTED_VALUE"""),46175.0)</f>
        <v>46175</v>
      </c>
      <c r="E1031" s="82"/>
      <c r="F1031" s="80"/>
      <c r="G1031" s="81">
        <f>IFERROR(__xludf.DUMMYFUNCTION("""COMPUTED_VALUE"""),46188.0)</f>
        <v>46188</v>
      </c>
      <c r="H1031" s="80"/>
      <c r="I1031" s="80"/>
      <c r="J1031" s="80"/>
      <c r="K1031" s="80"/>
      <c r="L1031" s="80">
        <f>IFERROR(__xludf.DUMMYFUNCTION("""COMPUTED_VALUE"""),13.0)</f>
        <v>13</v>
      </c>
      <c r="M1031" s="80"/>
      <c r="N1031" s="80"/>
      <c r="O1031" s="80"/>
      <c r="P1031" s="80" t="str">
        <f>IFERROR(__xludf.DUMMYFUNCTION("""COMPUTED_VALUE"""),"53BSPA17093JBABD")</f>
        <v>53BSPA17093JBABD</v>
      </c>
      <c r="Q1031" s="80" t="str">
        <f>IFERROR(__xludf.DUMMYFUNCTION("""COMPUTED_VALUE"""),"MUC RAGELA")</f>
        <v>MUC RAGELA</v>
      </c>
      <c r="R1031" s="80" t="str">
        <f>IFERROR(__xludf.DUMMYFUNCTION("""COMPUTED_VALUE"""),"MUC RAGELA")</f>
        <v>MUC RAGELA</v>
      </c>
      <c r="S1031" s="80" t="str">
        <f>IFERROR(__xludf.DUMMYFUNCTION("""COMPUTED_VALUE"""),"YANA")</f>
        <v>YANA</v>
      </c>
      <c r="T1031" s="80" t="str">
        <f>IFERROR(__xludf.DUMMYFUNCTION("""COMPUTED_VALUE"""),"BLOK SABTU RT 7 RW 7 PADAHANTEN SUKAHAJI")</f>
        <v>BLOK SABTU RT 7 RW 7 PADAHANTEN SUKAHAJI</v>
      </c>
      <c r="U1031" s="80" t="str">
        <f>IFERROR(__xludf.DUMMYFUNCTION("""COMPUTED_VALUE"""),"JL. RAYA SUKAHAJI - MAJA")</f>
        <v>JL. RAYA SUKAHAJI - MAJA</v>
      </c>
      <c r="V1031" s="80" t="str">
        <f>IFERROR(__xludf.DUMMYFUNCTION("""COMPUTED_VALUE"""),"RT 7 R \ RW 7 P")</f>
        <v>RT 7 R \ RW 7 P</v>
      </c>
      <c r="W1031" s="80" t="str">
        <f>IFERROR(__xludf.DUMMYFUNCTION("""COMPUTED_VALUE"""),"PADAHANTEN")</f>
        <v>PADAHANTEN</v>
      </c>
      <c r="X1031" s="80" t="str">
        <f>IFERROR(__xludf.DUMMYFUNCTION("""COMPUTED_VALUE"""),"SUKAHAJI")</f>
        <v>SUKAHAJI</v>
      </c>
      <c r="Y1031" s="80" t="str">
        <f>IFERROR(__xludf.DUMMYFUNCTION("""COMPUTED_VALUE"""),"KAB. MAJALENGKA")</f>
        <v>KAB. MAJALENGKA</v>
      </c>
      <c r="Z1031" s="80" t="str">
        <f>IFERROR(__xludf.DUMMYFUNCTION("""COMPUTED_VALUE"""),"JAWA BARAT")</f>
        <v>JAWA BARAT</v>
      </c>
      <c r="AA1031" s="80" t="str">
        <f>IFERROR(__xludf.DUMMYFUNCTION("""COMPUTED_VALUE"""),"45471")</f>
        <v>45471</v>
      </c>
      <c r="AB1031" s="80" t="str">
        <f>IFERROR(__xludf.DUMMYFUNCTION("""COMPUTED_VALUE"""),"3208150511850001")</f>
        <v>3208150511850001</v>
      </c>
      <c r="AC1031" s="80" t="str">
        <f>IFERROR(__xludf.DUMMYFUNCTION("""COMPUTED_VALUE"""),"75.564.927.4-438.000")</f>
        <v>75.564.927.4-438.000</v>
      </c>
      <c r="AD1031" s="80" t="str">
        <f>IFERROR(__xludf.DUMMYFUNCTION("""COMPUTED_VALUE"""),"SUB ABDUL QODIR")</f>
        <v>SUB ABDUL QODIR</v>
      </c>
      <c r="AE1031" s="80" t="str">
        <f>IFERROR(__xludf.DUMMYFUNCTION("""COMPUTED_VALUE"""),"SUB ABDUL QODIR")</f>
        <v>SUB ABDUL QODIR</v>
      </c>
      <c r="AF1031" s="80" t="str">
        <f>IFERROR(__xludf.DUMMYFUNCTION("""COMPUTED_VALUE"""),"082315738820")</f>
        <v>082315738820</v>
      </c>
      <c r="AG1031" s="80" t="str">
        <f>IFERROR(__xludf.DUMMYFUNCTION("""COMPUTED_VALUE"""),"82315738820")</f>
        <v>82315738820</v>
      </c>
      <c r="AH1031" s="80" t="str">
        <f>IFERROR(__xludf.DUMMYFUNCTION("""COMPUTED_VALUE"""),"ragelaoficial99@gmail.com")</f>
        <v>ragelaoficial99@gmail.com</v>
      </c>
      <c r="AI1031" s="80" t="str">
        <f>IFERROR(__xludf.DUMMYFUNCTION("""COMPUTED_VALUE"""),"45471S3")</f>
        <v>45471S3</v>
      </c>
      <c r="AJ1031" s="80" t="str">
        <f>IFERROR(__xludf.DUMMYFUNCTION("""COMPUTED_VALUE"""),"6a2e0c705b26b1759d06697d")</f>
        <v>6a2e0c705b26b1759d06697d</v>
      </c>
      <c r="AK1031" s="80" t="str">
        <f>IFERROR(__xludf.DUMMYFUNCTION("""COMPUTED_VALUE"""),"ragelaoficial99@gmail.com")</f>
        <v>ragelaoficial99@gmail.com</v>
      </c>
      <c r="AL1031" s="80" t="str">
        <f>IFERROR(__xludf.DUMMYFUNCTION("""COMPUTED_VALUE"""),"#Muc45471S3$")</f>
        <v>#Muc45471S3$</v>
      </c>
      <c r="AM1031" s="80" t="str">
        <f>IFERROR(__xludf.DUMMYFUNCTION("""COMPUTED_VALUE"""),"KANTOR REGIONAL III BANDUNG 40004")</f>
        <v>KANTOR REGIONAL III BANDUNG 40004</v>
      </c>
      <c r="AN1031" s="80" t="str">
        <f>IFERROR(__xludf.DUMMYFUNCTION("""COMPUTED_VALUE"""),"KC MAJALENGKA 45400")</f>
        <v>KC MAJALENGKA 45400</v>
      </c>
      <c r="AO1031" s="80" t="str">
        <f>IFERROR(__xludf.DUMMYFUNCTION("""COMPUTED_VALUE"""),"2905260054249")</f>
        <v>2905260054249</v>
      </c>
      <c r="AP1031" s="80" t="str">
        <f>IFERROR(__xludf.DUMMYFUNCTION("""COMPUTED_VALUE"""),"29052600542490001")</f>
        <v>29052600542490001</v>
      </c>
      <c r="AQ1031" s="83" t="str">
        <f>IFERROR(__xludf.DUMMYFUNCTION("""COMPUTED_VALUE"""),"4313 0101 4846 530")</f>
        <v>4313 0101 4846 530</v>
      </c>
      <c r="AR1031" s="80" t="str">
        <f>IFERROR(__xludf.DUMMYFUNCTION("""COMPUTED_VALUE"""),"BRI")</f>
        <v>BRI</v>
      </c>
      <c r="AS1031" s="80" t="str">
        <f>IFERROR(__xludf.DUMMYFUNCTION("""COMPUTED_VALUE"""),"LELA MAELANI")</f>
        <v>LELA MAELANI</v>
      </c>
      <c r="AT1031" s="80" t="str">
        <f>IFERROR(__xludf.DUMMYFUNCTION("""COMPUTED_VALUE"""),"-68,437,004")</f>
        <v>-68,437,004</v>
      </c>
      <c r="AU1031" s="80" t="str">
        <f>IFERROR(__xludf.DUMMYFUNCTION("""COMPUTED_VALUE"""),"1,082,865,207")</f>
        <v>1,082,865,207</v>
      </c>
      <c r="AV1031" s="80"/>
      <c r="AW1031" s="80"/>
      <c r="AX1031" s="80"/>
      <c r="AY1031" s="80"/>
      <c r="AZ1031" s="80"/>
      <c r="BA1031" s="80"/>
      <c r="BB1031" s="80"/>
      <c r="BC1031" s="80"/>
      <c r="BD1031" s="80"/>
      <c r="BE1031" s="80"/>
      <c r="BF1031" s="80"/>
      <c r="BG1031" s="80"/>
      <c r="BH1031" s="80"/>
      <c r="BI1031" s="80"/>
      <c r="BJ1031" s="80"/>
      <c r="BK1031" s="80"/>
      <c r="BL1031" s="80"/>
      <c r="BM1031" s="80"/>
      <c r="BN1031" s="80"/>
      <c r="BO1031" s="80"/>
      <c r="BP1031" s="80"/>
      <c r="BQ1031" s="80"/>
      <c r="BR1031" s="80"/>
      <c r="BS1031" s="80"/>
      <c r="BT1031" s="80"/>
      <c r="BU1031" s="80"/>
      <c r="BV1031" s="80"/>
      <c r="BW1031" s="80"/>
      <c r="BX1031" s="80"/>
      <c r="BY1031" s="80"/>
      <c r="BZ1031" s="80"/>
      <c r="CA1031" s="80"/>
      <c r="CB1031" s="80"/>
      <c r="CC1031" s="80"/>
      <c r="CD1031" s="80"/>
      <c r="CE1031" s="80"/>
      <c r="CF1031" s="80"/>
      <c r="CG1031" s="80"/>
      <c r="CH1031" s="80"/>
      <c r="CI1031" s="80"/>
      <c r="CJ1031" s="80"/>
      <c r="CK1031" s="2"/>
    </row>
    <row r="1032" ht="12.75" customHeight="1">
      <c r="A1032" s="85">
        <f>IFERROR(__xludf.DUMMYFUNCTION("""COMPUTED_VALUE"""),1028.0)</f>
        <v>1028</v>
      </c>
      <c r="B1032" s="85"/>
      <c r="C1032" s="85"/>
      <c r="D1032" s="86">
        <f>IFERROR(__xludf.DUMMYFUNCTION("""COMPUTED_VALUE"""),46175.0)</f>
        <v>46175</v>
      </c>
      <c r="E1032" s="88"/>
      <c r="F1032" s="85"/>
      <c r="G1032" s="86">
        <f>IFERROR(__xludf.DUMMYFUNCTION("""COMPUTED_VALUE"""),46185.0)</f>
        <v>46185</v>
      </c>
      <c r="H1032" s="85"/>
      <c r="I1032" s="85"/>
      <c r="J1032" s="85"/>
      <c r="K1032" s="85"/>
      <c r="L1032" s="85">
        <f>IFERROR(__xludf.DUMMYFUNCTION("""COMPUTED_VALUE"""),10.0)</f>
        <v>10</v>
      </c>
      <c r="M1032" s="85"/>
      <c r="N1032" s="85"/>
      <c r="O1032" s="85"/>
      <c r="P1032" s="85" t="str">
        <f>IFERROR(__xludf.DUMMYFUNCTION("""COMPUTED_VALUE"""),"53BSPA17060JBNDS")</f>
        <v>53BSPA17060JBNDS</v>
      </c>
      <c r="Q1032" s="85" t="str">
        <f>IFERROR(__xludf.DUMMYFUNCTION("""COMPUTED_VALUE"""),"MUC XPDC SI BOOLANG")</f>
        <v>MUC XPDC SI BOOLANG</v>
      </c>
      <c r="R1032" s="85" t="str">
        <f>IFERROR(__xludf.DUMMYFUNCTION("""COMPUTED_VALUE"""),"MUC XPDC SI BOOLANG")</f>
        <v>MUC XPDC SI BOOLANG</v>
      </c>
      <c r="S1032" s="85" t="str">
        <f>IFERROR(__xludf.DUMMYFUNCTION("""COMPUTED_VALUE"""),"MUHAMAD HERMAWAN")</f>
        <v>MUHAMAD HERMAWAN</v>
      </c>
      <c r="T1032" s="85" t="str">
        <f>IFERROR(__xludf.DUMMYFUNCTION("""COMPUTED_VALUE"""),"KP. JUNGKEL RT 9 RW 4 TANJAKAN MEKAR")</f>
        <v>KP. JUNGKEL RT 9 RW 4 TANJAKAN MEKAR</v>
      </c>
      <c r="U1032" s="85" t="str">
        <f>IFERROR(__xludf.DUMMYFUNCTION("""COMPUTED_VALUE"""),"RUKO CBD GARDENIA BLOK E NO. 19")</f>
        <v>RUKO CBD GARDENIA BLOK E NO. 19</v>
      </c>
      <c r="V1032" s="85" t="str">
        <f>IFERROR(__xludf.DUMMYFUNCTION("""COMPUTED_VALUE"""),"RT 9 R \ RW 4 T")</f>
        <v>RT 9 R \ RW 4 T</v>
      </c>
      <c r="W1032" s="85" t="str">
        <f>IFERROR(__xludf.DUMMYFUNCTION("""COMPUTED_VALUE"""),"RAJEG MULYA")</f>
        <v>RAJEG MULYA</v>
      </c>
      <c r="X1032" s="85" t="str">
        <f>IFERROR(__xludf.DUMMYFUNCTION("""COMPUTED_VALUE"""),"RAJEG")</f>
        <v>RAJEG</v>
      </c>
      <c r="Y1032" s="85" t="str">
        <f>IFERROR(__xludf.DUMMYFUNCTION("""COMPUTED_VALUE"""),"KAB TANGERANG")</f>
        <v>KAB TANGERANG</v>
      </c>
      <c r="Z1032" s="85" t="str">
        <f>IFERROR(__xludf.DUMMYFUNCTION("""COMPUTED_VALUE"""),"BANTEN")</f>
        <v>BANTEN</v>
      </c>
      <c r="AA1032" s="85" t="str">
        <f>IFERROR(__xludf.DUMMYFUNCTION("""COMPUTED_VALUE"""),"15540")</f>
        <v>15540</v>
      </c>
      <c r="AB1032" s="85" t="str">
        <f>IFERROR(__xludf.DUMMYFUNCTION("""COMPUTED_VALUE"""),"3603110512860006")</f>
        <v>3603110512860006</v>
      </c>
      <c r="AC1032" s="85" t="str">
        <f>IFERROR(__xludf.DUMMYFUNCTION("""COMPUTED_VALUE"""),"80.076.185.0-418.000")</f>
        <v>80.076.185.0-418.000</v>
      </c>
      <c r="AD1032" s="85" t="str">
        <f>IFERROR(__xludf.DUMMYFUNCTION("""COMPUTED_VALUE"""),"SUB NDS")</f>
        <v>SUB NDS</v>
      </c>
      <c r="AE1032" s="85" t="str">
        <f>IFERROR(__xludf.DUMMYFUNCTION("""COMPUTED_VALUE"""),"SUB NDS")</f>
        <v>SUB NDS</v>
      </c>
      <c r="AF1032" s="85" t="str">
        <f>IFERROR(__xludf.DUMMYFUNCTION("""COMPUTED_VALUE"""),"0895369025930")</f>
        <v>0895369025930</v>
      </c>
      <c r="AG1032" s="85" t="str">
        <f>IFERROR(__xludf.DUMMYFUNCTION("""COMPUTED_VALUE"""),"0895369025930")</f>
        <v>0895369025930</v>
      </c>
      <c r="AH1032" s="85" t="str">
        <f>IFERROR(__xludf.DUMMYFUNCTION("""COMPUTED_VALUE"""),"adehermawan0512@gmail.com")</f>
        <v>adehermawan0512@gmail.com</v>
      </c>
      <c r="AI1032" s="85" t="str">
        <f>IFERROR(__xludf.DUMMYFUNCTION("""COMPUTED_VALUE"""),"15546S4")</f>
        <v>15546S4</v>
      </c>
      <c r="AJ1032" s="85" t="str">
        <f>IFERROR(__xludf.DUMMYFUNCTION("""COMPUTED_VALUE"""),"6a2bad306dd28c46e709235a")</f>
        <v>6a2bad306dd28c46e709235a</v>
      </c>
      <c r="AK1032" s="85" t="str">
        <f>IFERROR(__xludf.DUMMYFUNCTION("""COMPUTED_VALUE"""),"adehermawan0512@gmail.com")</f>
        <v>adehermawan0512@gmail.com</v>
      </c>
      <c r="AL1032" s="85" t="str">
        <f>IFERROR(__xludf.DUMMYFUNCTION("""COMPUTED_VALUE"""),"#Muc15546S4$")</f>
        <v>#Muc15546S4$</v>
      </c>
      <c r="AM1032" s="85" t="str">
        <f>IFERROR(__xludf.DUMMYFUNCTION("""COMPUTED_VALUE"""),"KANTOR REGIONAL II JAKARTA 10004")</f>
        <v>KANTOR REGIONAL II JAKARTA 10004</v>
      </c>
      <c r="AN1032" s="85" t="str">
        <f>IFERROR(__xludf.DUMMYFUNCTION("""COMPUTED_VALUE"""),"KCU TANGERANG 15000")</f>
        <v>KCU TANGERANG 15000</v>
      </c>
      <c r="AO1032" s="85" t="str">
        <f>IFERROR(__xludf.DUMMYFUNCTION("""COMPUTED_VALUE"""),"1109230089947")</f>
        <v>1109230089947</v>
      </c>
      <c r="AP1032" s="85" t="str">
        <f>IFERROR(__xludf.DUMMYFUNCTION("""COMPUTED_VALUE"""),"11092300899470002")</f>
        <v>11092300899470002</v>
      </c>
      <c r="AQ1032" s="93" t="str">
        <f>IFERROR(__xludf.DUMMYFUNCTION("""COMPUTED_VALUE"""),"1084521917")</f>
        <v>1084521917</v>
      </c>
      <c r="AR1032" s="85" t="str">
        <f>IFERROR(__xludf.DUMMYFUNCTION("""COMPUTED_VALUE"""),"BCA")</f>
        <v>BCA</v>
      </c>
      <c r="AS1032" s="85" t="str">
        <f>IFERROR(__xludf.DUMMYFUNCTION("""COMPUTED_VALUE"""),"MUHAMAD HERMAWAN")</f>
        <v>MUHAMAD HERMAWAN</v>
      </c>
      <c r="AT1032" s="85" t="str">
        <f>IFERROR(__xludf.DUMMYFUNCTION("""COMPUTED_VALUE"""),"-6.1121463,106.5273518")</f>
        <v>-6.1121463,106.5273518</v>
      </c>
      <c r="AU1032" s="85" t="str">
        <f>IFERROR(__xludf.DUMMYFUNCTION("""COMPUTED_VALUE"""),"-6.1121463,106.5273518")</f>
        <v>-6.1121463,106.5273518</v>
      </c>
      <c r="AV1032" s="85"/>
      <c r="AW1032" s="85"/>
      <c r="AX1032" s="85"/>
      <c r="AY1032" s="85"/>
      <c r="AZ1032" s="85"/>
      <c r="BA1032" s="85"/>
      <c r="BB1032" s="85"/>
      <c r="BC1032" s="85"/>
      <c r="BD1032" s="85"/>
      <c r="BE1032" s="85"/>
      <c r="BF1032" s="85"/>
      <c r="BG1032" s="85"/>
      <c r="BH1032" s="85"/>
      <c r="BI1032" s="85"/>
      <c r="BJ1032" s="85"/>
      <c r="BK1032" s="85"/>
      <c r="BL1032" s="85"/>
      <c r="BM1032" s="85"/>
      <c r="BN1032" s="85"/>
      <c r="BO1032" s="85"/>
      <c r="BP1032" s="85"/>
      <c r="BQ1032" s="85"/>
      <c r="BR1032" s="85"/>
      <c r="BS1032" s="85"/>
      <c r="BT1032" s="85"/>
      <c r="BU1032" s="85"/>
      <c r="BV1032" s="85"/>
      <c r="BW1032" s="85"/>
      <c r="BX1032" s="85"/>
      <c r="BY1032" s="85"/>
      <c r="BZ1032" s="85"/>
      <c r="CA1032" s="85"/>
      <c r="CB1032" s="85"/>
      <c r="CC1032" s="85"/>
      <c r="CD1032" s="85"/>
      <c r="CE1032" s="85"/>
      <c r="CF1032" s="85"/>
      <c r="CG1032" s="85"/>
      <c r="CH1032" s="85"/>
      <c r="CI1032" s="85"/>
      <c r="CJ1032" s="85"/>
      <c r="CK1032" s="2"/>
    </row>
    <row r="1033" ht="12.75" customHeight="1">
      <c r="A1033" s="80">
        <f>IFERROR(__xludf.DUMMYFUNCTION("""COMPUTED_VALUE"""),1029.0)</f>
        <v>1029</v>
      </c>
      <c r="B1033" s="80"/>
      <c r="C1033" s="80"/>
      <c r="D1033" s="81">
        <f>IFERROR(__xludf.DUMMYFUNCTION("""COMPUTED_VALUE"""),46175.0)</f>
        <v>46175</v>
      </c>
      <c r="E1033" s="82"/>
      <c r="F1033" s="80"/>
      <c r="G1033" s="81">
        <f>IFERROR(__xludf.DUMMYFUNCTION("""COMPUTED_VALUE"""),46185.0)</f>
        <v>46185</v>
      </c>
      <c r="H1033" s="80"/>
      <c r="I1033" s="80"/>
      <c r="J1033" s="80"/>
      <c r="K1033" s="80"/>
      <c r="L1033" s="80">
        <f>IFERROR(__xludf.DUMMYFUNCTION("""COMPUTED_VALUE"""),10.0)</f>
        <v>10</v>
      </c>
      <c r="M1033" s="80"/>
      <c r="N1033" s="80"/>
      <c r="O1033" s="80"/>
      <c r="P1033" s="80" t="str">
        <f>IFERROR(__xludf.DUMMYFUNCTION("""COMPUTED_VALUE"""),"53BSPA17061JBNDS")</f>
        <v>53BSPA17061JBNDS</v>
      </c>
      <c r="Q1033" s="80" t="str">
        <f>IFERROR(__xludf.DUMMYFUNCTION("""COMPUTED_VALUE"""),"MUC USAHA MANDIRI")</f>
        <v>MUC USAHA MANDIRI</v>
      </c>
      <c r="R1033" s="80" t="str">
        <f>IFERROR(__xludf.DUMMYFUNCTION("""COMPUTED_VALUE"""),"MUC USAHA MANDIRI")</f>
        <v>MUC USAHA MANDIRI</v>
      </c>
      <c r="S1033" s="80" t="str">
        <f>IFERROR(__xludf.DUMMYFUNCTION("""COMPUTED_VALUE"""),"AHMAD MASRUKHI")</f>
        <v>AHMAD MASRUKHI</v>
      </c>
      <c r="T1033" s="80" t="str">
        <f>IFERROR(__xludf.DUMMYFUNCTION("""COMPUTED_VALUE"""),"PERUM. PURI MEKAR BLOK C-01 RT 1 RW 8 MEKARSARI RAJEG KAB. TANGERANG")</f>
        <v>PERUM. PURI MEKAR BLOK C-01 RT 1 RW 8 MEKARSARI RAJEG KAB. TANGERANG</v>
      </c>
      <c r="U1033" s="80" t="str">
        <f>IFERROR(__xludf.DUMMYFUNCTION("""COMPUTED_VALUE"""),"PERUM.PURI MEKAR BLOK C-01")</f>
        <v>PERUM.PURI MEKAR BLOK C-01</v>
      </c>
      <c r="V1033" s="80" t="str">
        <f>IFERROR(__xludf.DUMMYFUNCTION("""COMPUTED_VALUE"""),"RT 1 R \ RW 8 M")</f>
        <v>RT 1 R \ RW 8 M</v>
      </c>
      <c r="W1033" s="80" t="str">
        <f>IFERROR(__xludf.DUMMYFUNCTION("""COMPUTED_VALUE"""),"MEKARSARI")</f>
        <v>MEKARSARI</v>
      </c>
      <c r="X1033" s="80" t="str">
        <f>IFERROR(__xludf.DUMMYFUNCTION("""COMPUTED_VALUE"""),"RAJEG")</f>
        <v>RAJEG</v>
      </c>
      <c r="Y1033" s="80" t="str">
        <f>IFERROR(__xludf.DUMMYFUNCTION("""COMPUTED_VALUE"""),"KAB. TANGERANG")</f>
        <v>KAB. TANGERANG</v>
      </c>
      <c r="Z1033" s="80" t="str">
        <f>IFERROR(__xludf.DUMMYFUNCTION("""COMPUTED_VALUE"""),"BANTEN")</f>
        <v>BANTEN</v>
      </c>
      <c r="AA1033" s="80" t="str">
        <f>IFERROR(__xludf.DUMMYFUNCTION("""COMPUTED_VALUE"""),"15540")</f>
        <v>15540</v>
      </c>
      <c r="AB1033" s="80" t="str">
        <f>IFERROR(__xludf.DUMMYFUNCTION("""COMPUTED_VALUE"""),"3603111303800001")</f>
        <v>3603111303800001</v>
      </c>
      <c r="AC1033" s="80" t="str">
        <f>IFERROR(__xludf.DUMMYFUNCTION("""COMPUTED_VALUE"""),"25.185.423.8-418.000")</f>
        <v>25.185.423.8-418.000</v>
      </c>
      <c r="AD1033" s="80" t="str">
        <f>IFERROR(__xludf.DUMMYFUNCTION("""COMPUTED_VALUE"""),"SUB NDS")</f>
        <v>SUB NDS</v>
      </c>
      <c r="AE1033" s="80" t="str">
        <f>IFERROR(__xludf.DUMMYFUNCTION("""COMPUTED_VALUE"""),"SUB NDS")</f>
        <v>SUB NDS</v>
      </c>
      <c r="AF1033" s="80" t="str">
        <f>IFERROR(__xludf.DUMMYFUNCTION("""COMPUTED_VALUE"""),"081287143211")</f>
        <v>081287143211</v>
      </c>
      <c r="AG1033" s="80" t="str">
        <f>IFERROR(__xludf.DUMMYFUNCTION("""COMPUTED_VALUE"""),"081287143211")</f>
        <v>081287143211</v>
      </c>
      <c r="AH1033" s="80" t="str">
        <f>IFERROR(__xludf.DUMMYFUNCTION("""COMPUTED_VALUE"""),"Abyan.nuzulla@gmail.com")</f>
        <v>Abyan.nuzulla@gmail.com</v>
      </c>
      <c r="AI1033" s="80"/>
      <c r="AJ1033" s="80"/>
      <c r="AK1033" s="80" t="str">
        <f>IFERROR(__xludf.DUMMYFUNCTION("""COMPUTED_VALUE"""),"Abyan.nuzulla@gmail.com")</f>
        <v>Abyan.nuzulla@gmail.com</v>
      </c>
      <c r="AL1033" s="80" t="str">
        <f>IFERROR(__xludf.DUMMYFUNCTION("""COMPUTED_VALUE"""),"#Muc15545S3$")</f>
        <v>#Muc15545S3$</v>
      </c>
      <c r="AM1033" s="80" t="str">
        <f>IFERROR(__xludf.DUMMYFUNCTION("""COMPUTED_VALUE"""),"KANTOR REGIONAL II JAKARTA 10004")</f>
        <v>KANTOR REGIONAL II JAKARTA 10004</v>
      </c>
      <c r="AN1033" s="80" t="str">
        <f>IFERROR(__xludf.DUMMYFUNCTION("""COMPUTED_VALUE"""),"KCU TANGERANG 15000")</f>
        <v>KCU TANGERANG 15000</v>
      </c>
      <c r="AO1033" s="80" t="str">
        <f>IFERROR(__xludf.DUMMYFUNCTION("""COMPUTED_VALUE"""),"2203220063153")</f>
        <v>2203220063153</v>
      </c>
      <c r="AP1033" s="80" t="str">
        <f>IFERROR(__xludf.DUMMYFUNCTION("""COMPUTED_VALUE"""),"22032200631530001")</f>
        <v>22032200631530001</v>
      </c>
      <c r="AQ1033" s="83" t="str">
        <f>IFERROR(__xludf.DUMMYFUNCTION("""COMPUTED_VALUE"""),"7130395257")</f>
        <v>7130395257</v>
      </c>
      <c r="AR1033" s="80" t="str">
        <f>IFERROR(__xludf.DUMMYFUNCTION("""COMPUTED_VALUE"""),"BCA")</f>
        <v>BCA</v>
      </c>
      <c r="AS1033" s="80" t="str">
        <f>IFERROR(__xludf.DUMMYFUNCTION("""COMPUTED_VALUE"""),"AHMAD MASRUKHI")</f>
        <v>AHMAD MASRUKHI</v>
      </c>
      <c r="AT1033" s="80" t="str">
        <f>IFERROR(__xludf.DUMMYFUNCTION("""COMPUTED_VALUE"""),"-6.1276698,106.5269157")</f>
        <v>-6.1276698,106.5269157</v>
      </c>
      <c r="AU1033" s="80" t="str">
        <f>IFERROR(__xludf.DUMMYFUNCTION("""COMPUTED_VALUE"""),"-6.1276698,106.5269157")</f>
        <v>-6.1276698,106.5269157</v>
      </c>
      <c r="AV1033" s="80"/>
      <c r="AW1033" s="80"/>
      <c r="AX1033" s="80"/>
      <c r="AY1033" s="80"/>
      <c r="AZ1033" s="80"/>
      <c r="BA1033" s="80"/>
      <c r="BB1033" s="80"/>
      <c r="BC1033" s="80"/>
      <c r="BD1033" s="80"/>
      <c r="BE1033" s="80"/>
      <c r="BF1033" s="80"/>
      <c r="BG1033" s="80"/>
      <c r="BH1033" s="80"/>
      <c r="BI1033" s="80"/>
      <c r="BJ1033" s="80"/>
      <c r="BK1033" s="80"/>
      <c r="BL1033" s="80"/>
      <c r="BM1033" s="80"/>
      <c r="BN1033" s="80"/>
      <c r="BO1033" s="80"/>
      <c r="BP1033" s="80"/>
      <c r="BQ1033" s="80"/>
      <c r="BR1033" s="80"/>
      <c r="BS1033" s="80"/>
      <c r="BT1033" s="80"/>
      <c r="BU1033" s="80"/>
      <c r="BV1033" s="80"/>
      <c r="BW1033" s="80"/>
      <c r="BX1033" s="80"/>
      <c r="BY1033" s="80"/>
      <c r="BZ1033" s="80"/>
      <c r="CA1033" s="80"/>
      <c r="CB1033" s="80"/>
      <c r="CC1033" s="80"/>
      <c r="CD1033" s="80"/>
      <c r="CE1033" s="80"/>
      <c r="CF1033" s="80"/>
      <c r="CG1033" s="80"/>
      <c r="CH1033" s="80"/>
      <c r="CI1033" s="80"/>
      <c r="CJ1033" s="80"/>
      <c r="CK1033" s="2"/>
    </row>
    <row r="1034" ht="12.75" customHeight="1">
      <c r="A1034" s="85">
        <f>IFERROR(__xludf.DUMMYFUNCTION("""COMPUTED_VALUE"""),1030.0)</f>
        <v>1030</v>
      </c>
      <c r="B1034" s="85"/>
      <c r="C1034" s="85"/>
      <c r="D1034" s="86">
        <f>IFERROR(__xludf.DUMMYFUNCTION("""COMPUTED_VALUE"""),46175.0)</f>
        <v>46175</v>
      </c>
      <c r="E1034" s="88"/>
      <c r="F1034" s="85"/>
      <c r="G1034" s="86"/>
      <c r="H1034" s="85"/>
      <c r="I1034" s="85"/>
      <c r="J1034" s="85"/>
      <c r="K1034" s="85"/>
      <c r="L1034" s="85"/>
      <c r="M1034" s="85"/>
      <c r="N1034" s="85"/>
      <c r="O1034" s="85"/>
      <c r="P1034" s="85" t="str">
        <f>IFERROR(__xludf.DUMMYFUNCTION("""COMPUTED_VALUE"""),"53BSPA03985MJKND")</f>
        <v>53BSPA03985MJKND</v>
      </c>
      <c r="Q1034" s="85" t="str">
        <f>IFERROR(__xludf.DUMMYFUNCTION("""COMPUTED_VALUE"""),"MUC GINTUNG PRO")</f>
        <v>MUC GINTUNG PRO</v>
      </c>
      <c r="R1034" s="85" t="str">
        <f>IFERROR(__xludf.DUMMYFUNCTION("""COMPUTED_VALUE"""),"MUC GINTUNG PRO")</f>
        <v>MUC GINTUNG PRO</v>
      </c>
      <c r="S1034" s="85" t="str">
        <f>IFERROR(__xludf.DUMMYFUNCTION("""COMPUTED_VALUE"""),"ADE ADANG")</f>
        <v>ADE ADANG</v>
      </c>
      <c r="T1034" s="85" t="str">
        <f>IFERROR(__xludf.DUMMYFUNCTION("""COMPUTED_VALUE"""),"LINKG. KAMULYAN RT 1 RW 12 MAJALENGKA KULON MAJALENGKA")</f>
        <v>LINKG. KAMULYAN RT 1 RW 12 MAJALENGKA KULON MAJALENGKA</v>
      </c>
      <c r="U1034" s="85" t="str">
        <f>IFERROR(__xludf.DUMMYFUNCTION("""COMPUTED_VALUE"""),"LINGKUNGAN KAMULYAN")</f>
        <v>LINGKUNGAN KAMULYAN</v>
      </c>
      <c r="V1034" s="85" t="str">
        <f>IFERROR(__xludf.DUMMYFUNCTION("""COMPUTED_VALUE"""),"RT 1 R \ RW 12 ")</f>
        <v>RT 1 R \ RW 12 </v>
      </c>
      <c r="W1034" s="85" t="str">
        <f>IFERROR(__xludf.DUMMYFUNCTION("""COMPUTED_VALUE"""),"MAJALENGKA KULON")</f>
        <v>MAJALENGKA KULON</v>
      </c>
      <c r="X1034" s="85" t="str">
        <f>IFERROR(__xludf.DUMMYFUNCTION("""COMPUTED_VALUE"""),"MAJALENGKAajalengka")</f>
        <v>MAJALENGKAajalengka</v>
      </c>
      <c r="Y1034" s="85" t="str">
        <f>IFERROR(__xludf.DUMMYFUNCTION("""COMPUTED_VALUE"""),"KAB. MAJALENGKA")</f>
        <v>KAB. MAJALENGKA</v>
      </c>
      <c r="Z1034" s="85" t="str">
        <f>IFERROR(__xludf.DUMMYFUNCTION("""COMPUTED_VALUE"""),"Provinsi : JAWA BARAT")</f>
        <v>Provinsi : JAWA BARAT</v>
      </c>
      <c r="AA1034" s="85" t="str">
        <f>IFERROR(__xludf.DUMMYFUNCTION("""COMPUTED_VALUE"""),"45418")</f>
        <v>45418</v>
      </c>
      <c r="AB1034" s="85" t="str">
        <f>IFERROR(__xludf.DUMMYFUNCTION("""COMPUTED_VALUE"""),"32100717077770001")</f>
        <v>32100717077770001</v>
      </c>
      <c r="AC1034" s="85" t="str">
        <f>IFERROR(__xludf.DUMMYFUNCTION("""COMPUTED_VALUE"""),"57.690.169.8-438.000")</f>
        <v>57.690.169.8-438.000</v>
      </c>
      <c r="AD1034" s="85" t="str">
        <f>IFERROR(__xludf.DUMMYFUNCTION("""COMPUTED_VALUE"""),"SUB NDS")</f>
        <v>SUB NDS</v>
      </c>
      <c r="AE1034" s="85" t="str">
        <f>IFERROR(__xludf.DUMMYFUNCTION("""COMPUTED_VALUE"""),"SUB NDS")</f>
        <v>SUB NDS</v>
      </c>
      <c r="AF1034" s="85" t="str">
        <f>IFERROR(__xludf.DUMMYFUNCTION("""COMPUTED_VALUE"""),"08112348928")</f>
        <v>08112348928</v>
      </c>
      <c r="AG1034" s="85" t="str">
        <f>IFERROR(__xludf.DUMMYFUNCTION("""COMPUTED_VALUE"""),"08112348928")</f>
        <v>08112348928</v>
      </c>
      <c r="AH1034" s="85" t="str">
        <f>IFERROR(__xludf.DUMMYFUNCTION("""COMPUTED_VALUE"""),"adeadang9@gmail.com")</f>
        <v>adeadang9@gmail.com</v>
      </c>
      <c r="AI1034" s="85"/>
      <c r="AJ1034" s="85"/>
      <c r="AK1034" s="85"/>
      <c r="AL1034" s="85"/>
      <c r="AM1034" s="85" t="str">
        <f>IFERROR(__xludf.DUMMYFUNCTION("""COMPUTED_VALUE"""),"KANTOR REGIONAL III BANDUNG 40004")</f>
        <v>KANTOR REGIONAL III BANDUNG 40004</v>
      </c>
      <c r="AN1034" s="85" t="str">
        <f>IFERROR(__xludf.DUMMYFUNCTION("""COMPUTED_VALUE"""),"KC MAJALENGKA 45400")</f>
        <v>KC MAJALENGKA 45400</v>
      </c>
      <c r="AO1034" s="85" t="str">
        <f>IFERROR(__xludf.DUMMYFUNCTION("""COMPUTED_VALUE"""),"0106260018596")</f>
        <v>0106260018596</v>
      </c>
      <c r="AP1034" s="85" t="str">
        <f>IFERROR(__xludf.DUMMYFUNCTION("""COMPUTED_VALUE"""),"01062600185960001")</f>
        <v>01062600185960001</v>
      </c>
      <c r="AQ1034" s="93" t="str">
        <f>IFERROR(__xludf.DUMMYFUNCTION("""COMPUTED_VALUE"""),"0046 0103 2045 507")</f>
        <v>0046 0103 2045 507</v>
      </c>
      <c r="AR1034" s="85" t="str">
        <f>IFERROR(__xludf.DUMMYFUNCTION("""COMPUTED_VALUE"""),"BRI")</f>
        <v>BRI</v>
      </c>
      <c r="AS1034" s="85" t="str">
        <f>IFERROR(__xludf.DUMMYFUNCTION("""COMPUTED_VALUE"""),"ADE ADANG")</f>
        <v>ADE ADANG</v>
      </c>
      <c r="AT1034" s="85" t="str">
        <f>IFERROR(__xludf.DUMMYFUNCTION("""COMPUTED_VALUE"""),"-6.8288873")</f>
        <v>-6.8288873</v>
      </c>
      <c r="AU1034" s="85" t="str">
        <f>IFERROR(__xludf.DUMMYFUNCTION("""COMPUTED_VALUE"""),"108.216333")</f>
        <v>108.216333</v>
      </c>
      <c r="AV1034" s="85"/>
      <c r="AW1034" s="85"/>
      <c r="AX1034" s="85"/>
      <c r="AY1034" s="85"/>
      <c r="AZ1034" s="85"/>
      <c r="BA1034" s="85"/>
      <c r="BB1034" s="85"/>
      <c r="BC1034" s="85"/>
      <c r="BD1034" s="85"/>
      <c r="BE1034" s="85"/>
      <c r="BF1034" s="85"/>
      <c r="BG1034" s="85"/>
      <c r="BH1034" s="85"/>
      <c r="BI1034" s="85"/>
      <c r="BJ1034" s="85"/>
      <c r="BK1034" s="85"/>
      <c r="BL1034" s="85"/>
      <c r="BM1034" s="85"/>
      <c r="BN1034" s="85"/>
      <c r="BO1034" s="85"/>
      <c r="BP1034" s="85"/>
      <c r="BQ1034" s="85"/>
      <c r="BR1034" s="85"/>
      <c r="BS1034" s="85"/>
      <c r="BT1034" s="85"/>
      <c r="BU1034" s="85"/>
      <c r="BV1034" s="85"/>
      <c r="BW1034" s="85"/>
      <c r="BX1034" s="85"/>
      <c r="BY1034" s="85"/>
      <c r="BZ1034" s="85"/>
      <c r="CA1034" s="85"/>
      <c r="CB1034" s="85"/>
      <c r="CC1034" s="85"/>
      <c r="CD1034" s="85"/>
      <c r="CE1034" s="85"/>
      <c r="CF1034" s="85"/>
      <c r="CG1034" s="85"/>
      <c r="CH1034" s="85"/>
      <c r="CI1034" s="85"/>
      <c r="CJ1034" s="85"/>
      <c r="CK1034" s="2"/>
    </row>
    <row r="1035" ht="12.75" customHeight="1">
      <c r="A1035" s="80">
        <f>IFERROR(__xludf.DUMMYFUNCTION("""COMPUTED_VALUE"""),1031.0)</f>
        <v>1031</v>
      </c>
      <c r="B1035" s="80"/>
      <c r="C1035" s="80"/>
      <c r="D1035" s="81">
        <f>IFERROR(__xludf.DUMMYFUNCTION("""COMPUTED_VALUE"""),46176.0)</f>
        <v>46176</v>
      </c>
      <c r="E1035" s="82"/>
      <c r="F1035" s="80"/>
      <c r="G1035" s="81"/>
      <c r="H1035" s="80"/>
      <c r="I1035" s="80"/>
      <c r="J1035" s="80"/>
      <c r="K1035" s="80"/>
      <c r="L1035" s="80"/>
      <c r="M1035" s="80"/>
      <c r="N1035" s="80"/>
      <c r="O1035" s="80"/>
      <c r="P1035" s="80" t="str">
        <f>IFERROR(__xludf.DUMMYFUNCTION("""COMPUTED_VALUE"""),"MUCSPA63498PSIND")</f>
        <v>MUCSPA63498PSIND</v>
      </c>
      <c r="Q1035" s="80" t="str">
        <f>IFERROR(__xludf.DUMMYFUNCTION("""COMPUTED_VALUE"""),"MUC MELDA OLSHOP")</f>
        <v>MUC MELDA OLSHOP</v>
      </c>
      <c r="R1035" s="80" t="str">
        <f>IFERROR(__xludf.DUMMYFUNCTION("""COMPUTED_VALUE"""),"MUC MELDA OLSHOP")</f>
        <v>MUC MELDA OLSHOP</v>
      </c>
      <c r="S1035" s="80" t="str">
        <f>IFERROR(__xludf.DUMMYFUNCTION("""COMPUTED_VALUE"""),"MELDA LANA")</f>
        <v>MELDA LANA</v>
      </c>
      <c r="T1035" s="80" t="str">
        <f>IFERROR(__xludf.DUMMYFUNCTION("""COMPUTED_VALUE"""),"KP. DUKUH RT 2 RW 6 CITERAS RANGKASBITUNG")</f>
        <v>KP. DUKUH RT 2 RW 6 CITERAS RANGKASBITUNG</v>
      </c>
      <c r="U1035" s="80" t="str">
        <f>IFERROR(__xludf.DUMMYFUNCTION("""COMPUTED_VALUE"""),"KP. KETUG DUKUH RT 2 RW 6 NO. 12")</f>
        <v>KP. KETUG DUKUH RT 2 RW 6 NO. 12</v>
      </c>
      <c r="V1035" s="80" t="str">
        <f>IFERROR(__xludf.DUMMYFUNCTION("""COMPUTED_VALUE"""),"RT 2 R \ RW 6 C")</f>
        <v>RT 2 R \ RW 6 C</v>
      </c>
      <c r="W1035" s="80" t="str">
        <f>IFERROR(__xludf.DUMMYFUNCTION("""COMPUTED_VALUE"""),"CITERAS")</f>
        <v>CITERAS</v>
      </c>
      <c r="X1035" s="80" t="str">
        <f>IFERROR(__xludf.DUMMYFUNCTION("""COMPUTED_VALUE"""),"RANGKASBITUNG")</f>
        <v>RANGKASBITUNG</v>
      </c>
      <c r="Y1035" s="80" t="str">
        <f>IFERROR(__xludf.DUMMYFUNCTION("""COMPUTED_VALUE"""),"KAB. LEBAK")</f>
        <v>KAB. LEBAK</v>
      </c>
      <c r="Z1035" s="80" t="str">
        <f>IFERROR(__xludf.DUMMYFUNCTION("""COMPUTED_VALUE"""),"BANTEN")</f>
        <v>BANTEN</v>
      </c>
      <c r="AA1035" s="80" t="str">
        <f>IFERROR(__xludf.DUMMYFUNCTION("""COMPUTED_VALUE"""),"42312")</f>
        <v>42312</v>
      </c>
      <c r="AB1035" s="80" t="str">
        <f>IFERROR(__xludf.DUMMYFUNCTION("""COMPUTED_VALUE"""),"3602144105920012")</f>
        <v>3602144105920012</v>
      </c>
      <c r="AC1035" s="80" t="str">
        <f>IFERROR(__xludf.DUMMYFUNCTION("""COMPUTED_VALUE"""),"43.246.294.3-419.000")</f>
        <v>43.246.294.3-419.000</v>
      </c>
      <c r="AD1035" s="80" t="str">
        <f>IFERROR(__xludf.DUMMYFUNCTION("""COMPUTED_VALUE"""),"BU ASTRI KC RANGKASBITUNG")</f>
        <v>BU ASTRI KC RANGKASBITUNG</v>
      </c>
      <c r="AE1035" s="80" t="str">
        <f>IFERROR(__xludf.DUMMYFUNCTION("""COMPUTED_VALUE"""),"BU ASTRI KC RANGKASBITUNG")</f>
        <v>BU ASTRI KC RANGKASBITUNG</v>
      </c>
      <c r="AF1035" s="80" t="str">
        <f>IFERROR(__xludf.DUMMYFUNCTION("""COMPUTED_VALUE"""),"087771000289")</f>
        <v>087771000289</v>
      </c>
      <c r="AG1035" s="80" t="str">
        <f>IFERROR(__xludf.DUMMYFUNCTION("""COMPUTED_VALUE"""),"087771000289")</f>
        <v>087771000289</v>
      </c>
      <c r="AH1035" s="80" t="str">
        <f>IFERROR(__xludf.DUMMYFUNCTION("""COMPUTED_VALUE"""),"meldalana0105@gmail.com")</f>
        <v>meldalana0105@gmail.com</v>
      </c>
      <c r="AI1035" s="80"/>
      <c r="AJ1035" s="80"/>
      <c r="AK1035" s="80"/>
      <c r="AL1035" s="80"/>
      <c r="AM1035" s="80" t="str">
        <f>IFERROR(__xludf.DUMMYFUNCTION("""COMPUTED_VALUE"""),"KANTOR REGIONAL II JAKARTA 10004")</f>
        <v>KANTOR REGIONAL II JAKARTA 10004</v>
      </c>
      <c r="AN1035" s="80" t="str">
        <f>IFERROR(__xludf.DUMMYFUNCTION("""COMPUTED_VALUE"""),"KC RANGKASBITUNG 42300")</f>
        <v>KC RANGKASBITUNG 42300</v>
      </c>
      <c r="AO1035" s="80" t="str">
        <f>IFERROR(__xludf.DUMMYFUNCTION("""COMPUTED_VALUE"""),"2905260068829")</f>
        <v>2905260068829</v>
      </c>
      <c r="AP1035" s="80" t="str">
        <f>IFERROR(__xludf.DUMMYFUNCTION("""COMPUTED_VALUE"""),"29052600688290001")</f>
        <v>29052600688290001</v>
      </c>
      <c r="AQ1035" s="83" t="str">
        <f>IFERROR(__xludf.DUMMYFUNCTION("""COMPUTED_VALUE"""),"1630010628322")</f>
        <v>1630010628322</v>
      </c>
      <c r="AR1035" s="80" t="str">
        <f>IFERROR(__xludf.DUMMYFUNCTION("""COMPUTED_VALUE"""),"MANDIRI")</f>
        <v>MANDIRI</v>
      </c>
      <c r="AS1035" s="80" t="str">
        <f>IFERROR(__xludf.DUMMYFUNCTION("""COMPUTED_VALUE"""),"MELDA LANA")</f>
        <v>MELDA LANA</v>
      </c>
      <c r="AT1035" s="80" t="str">
        <f>IFERROR(__xludf.DUMMYFUNCTION("""COMPUTED_VALUE"""),"-6.3491338")</f>
        <v>-6.3491338</v>
      </c>
      <c r="AU1035" s="80" t="str">
        <f>IFERROR(__xludf.DUMMYFUNCTION("""COMPUTED_VALUE"""),"106.3196478")</f>
        <v>106.3196478</v>
      </c>
      <c r="AV1035" s="80"/>
      <c r="AW1035" s="80"/>
      <c r="AX1035" s="80"/>
      <c r="AY1035" s="80"/>
      <c r="AZ1035" s="80"/>
      <c r="BA1035" s="80"/>
      <c r="BB1035" s="80"/>
      <c r="BC1035" s="80"/>
      <c r="BD1035" s="80"/>
      <c r="BE1035" s="80"/>
      <c r="BF1035" s="80"/>
      <c r="BG1035" s="80"/>
      <c r="BH1035" s="80"/>
      <c r="BI1035" s="80"/>
      <c r="BJ1035" s="80"/>
      <c r="BK1035" s="80"/>
      <c r="BL1035" s="80"/>
      <c r="BM1035" s="80"/>
      <c r="BN1035" s="80"/>
      <c r="BO1035" s="80"/>
      <c r="BP1035" s="80"/>
      <c r="BQ1035" s="80"/>
      <c r="BR1035" s="80"/>
      <c r="BS1035" s="80"/>
      <c r="BT1035" s="80"/>
      <c r="BU1035" s="80"/>
      <c r="BV1035" s="80"/>
      <c r="BW1035" s="80"/>
      <c r="BX1035" s="80"/>
      <c r="BY1035" s="80"/>
      <c r="BZ1035" s="80"/>
      <c r="CA1035" s="80"/>
      <c r="CB1035" s="80"/>
      <c r="CC1035" s="80"/>
      <c r="CD1035" s="80"/>
      <c r="CE1035" s="80"/>
      <c r="CF1035" s="80"/>
      <c r="CG1035" s="80"/>
      <c r="CH1035" s="80"/>
      <c r="CI1035" s="80"/>
      <c r="CJ1035" s="80"/>
      <c r="CK1035" s="2"/>
    </row>
    <row r="1036" ht="12.75" customHeight="1">
      <c r="A1036" s="85">
        <f>IFERROR(__xludf.DUMMYFUNCTION("""COMPUTED_VALUE"""),1032.0)</f>
        <v>1032</v>
      </c>
      <c r="B1036" s="85"/>
      <c r="C1036" s="85"/>
      <c r="D1036" s="86">
        <f>IFERROR(__xludf.DUMMYFUNCTION("""COMPUTED_VALUE"""),46176.0)</f>
        <v>46176</v>
      </c>
      <c r="E1036" s="88"/>
      <c r="F1036" s="85"/>
      <c r="G1036" s="86">
        <f>IFERROR(__xludf.DUMMYFUNCTION("""COMPUTED_VALUE"""),46202.0)</f>
        <v>46202</v>
      </c>
      <c r="H1036" s="85"/>
      <c r="I1036" s="85"/>
      <c r="J1036" s="85"/>
      <c r="K1036" s="85"/>
      <c r="L1036" s="85">
        <f>IFERROR(__xludf.DUMMYFUNCTION("""COMPUTED_VALUE"""),26.0)</f>
        <v>26</v>
      </c>
      <c r="M1036" s="85"/>
      <c r="N1036" s="85"/>
      <c r="O1036" s="85"/>
      <c r="P1036" s="85" t="str">
        <f>IFERROR(__xludf.DUMMYFUNCTION("""COMPUTED_VALUE"""),"MUCSPA63499PSIND")</f>
        <v>MUCSPA63499PSIND</v>
      </c>
      <c r="Q1036" s="85" t="str">
        <f>IFERROR(__xludf.DUMMYFUNCTION("""COMPUTED_VALUE"""),"MUC BELLA PANGSUD")</f>
        <v>MUC BELLA PANGSUD</v>
      </c>
      <c r="R1036" s="85" t="str">
        <f>IFERROR(__xludf.DUMMYFUNCTION("""COMPUTED_VALUE"""),"MUC BELLA PANGSUD")</f>
        <v>MUC BELLA PANGSUD</v>
      </c>
      <c r="S1036" s="85" t="str">
        <f>IFERROR(__xludf.DUMMYFUNCTION("""COMPUTED_VALUE"""),"ARTHA YULI ARVIANTO SS")</f>
        <v>ARTHA YULI ARVIANTO SS</v>
      </c>
      <c r="T1036" s="85" t="str">
        <f>IFERROR(__xludf.DUMMYFUNCTION("""COMPUTED_VALUE"""),"JL. PANGLIMA SUDIRMAN No. 106 RT. 008 RW. 002, KAUMAN, BOJONEGORO, KAB. BOJONEGORO")</f>
        <v>JL. PANGLIMA SUDIRMAN No. 106 RT. 008 RW. 002, KAUMAN, BOJONEGORO, KAB. BOJONEGORO</v>
      </c>
      <c r="U1036" s="85" t="str">
        <f>IFERROR(__xludf.DUMMYFUNCTION("""COMPUTED_VALUE"""),"JL. PANGLIMA SUDIRMAN No. 106 RT. 008 RW. 002")</f>
        <v>JL. PANGLIMA SUDIRMAN No. 106 RT. 008 RW. 002</v>
      </c>
      <c r="V1036" s="85" t="str">
        <f>IFERROR(__xludf.DUMMYFUNCTION("""COMPUTED_VALUE"""),"RT. 00 \ RW. 00")</f>
        <v>RT. 00 \ RW. 00</v>
      </c>
      <c r="W1036" s="85" t="str">
        <f>IFERROR(__xludf.DUMMYFUNCTION("""COMPUTED_VALUE"""),"KAUMAN")</f>
        <v>KAUMAN</v>
      </c>
      <c r="X1036" s="85" t="str">
        <f>IFERROR(__xludf.DUMMYFUNCTION("""COMPUTED_VALUE"""),"BOJONEGORO")</f>
        <v>BOJONEGORO</v>
      </c>
      <c r="Y1036" s="85" t="str">
        <f>IFERROR(__xludf.DUMMYFUNCTION("""COMPUTED_VALUE"""),"KAB. BOJONEGORO")</f>
        <v>KAB. BOJONEGORO</v>
      </c>
      <c r="Z1036" s="85" t="str">
        <f>IFERROR(__xludf.DUMMYFUNCTION("""COMPUTED_VALUE"""),"JAWA TIMUR")</f>
        <v>JAWA TIMUR</v>
      </c>
      <c r="AA1036" s="85" t="str">
        <f>IFERROR(__xludf.DUMMYFUNCTION("""COMPUTED_VALUE"""),"62113")</f>
        <v>62113</v>
      </c>
      <c r="AB1036" s="85" t="str">
        <f>IFERROR(__xludf.DUMMYFUNCTION("""COMPUTED_VALUE"""),"3522152507760006")</f>
        <v>3522152507760006</v>
      </c>
      <c r="AC1036" s="85" t="str">
        <f>IFERROR(__xludf.DUMMYFUNCTION("""COMPUTED_VALUE"""),"08.523.165.2-601.000")</f>
        <v>08.523.165.2-601.000</v>
      </c>
      <c r="AD1036" s="85" t="str">
        <f>IFERROR(__xludf.DUMMYFUNCTION("""COMPUTED_VALUE"""),"BU RINDA KC BOJONEGORO")</f>
        <v>BU RINDA KC BOJONEGORO</v>
      </c>
      <c r="AE1036" s="85" t="str">
        <f>IFERROR(__xludf.DUMMYFUNCTION("""COMPUTED_VALUE"""),"BU RINDA KC BOJONEGORO")</f>
        <v>BU RINDA KC BOJONEGORO</v>
      </c>
      <c r="AF1036" s="85" t="str">
        <f>IFERROR(__xludf.DUMMYFUNCTION("""COMPUTED_VALUE"""),"082233504425")</f>
        <v>082233504425</v>
      </c>
      <c r="AG1036" s="85" t="str">
        <f>IFERROR(__xludf.DUMMYFUNCTION("""COMPUTED_VALUE"""),"082233504425")</f>
        <v>082233504425</v>
      </c>
      <c r="AH1036" s="85" t="str">
        <f>IFERROR(__xludf.DUMMYFUNCTION("""COMPUTED_VALUE"""),"arthayuliarvianto@gmail.com")</f>
        <v>arthayuliarvianto@gmail.com</v>
      </c>
      <c r="AI1036" s="85" t="str">
        <f>IFERROR(__xludf.DUMMYFUNCTION("""COMPUTED_VALUE"""),"62113S3")</f>
        <v>62113S3</v>
      </c>
      <c r="AJ1036" s="85" t="str">
        <f>IFERROR(__xludf.DUMMYFUNCTION("""COMPUTED_VALUE"""),"6a38ef2973acb6ebd00d1e44")</f>
        <v>6a38ef2973acb6ebd00d1e44</v>
      </c>
      <c r="AK1036" s="85" t="str">
        <f>IFERROR(__xludf.DUMMYFUNCTION("""COMPUTED_VALUE"""),"agenposbella@gmail.com")</f>
        <v>agenposbella@gmail.com</v>
      </c>
      <c r="AL1036" s="85" t="str">
        <f>IFERROR(__xludf.DUMMYFUNCTION("""COMPUTED_VALUE"""),"#Muc62113S3$")</f>
        <v>#Muc62113S3$</v>
      </c>
      <c r="AM1036" s="85" t="str">
        <f>IFERROR(__xludf.DUMMYFUNCTION("""COMPUTED_VALUE"""),"KANTOR REGIONAL V SURABAYA 60004")</f>
        <v>KANTOR REGIONAL V SURABAYA 60004</v>
      </c>
      <c r="AN1036" s="85" t="str">
        <f>IFERROR(__xludf.DUMMYFUNCTION("""COMPUTED_VALUE"""),"KC BOJONEGORO 62100")</f>
        <v>KC BOJONEGORO 62100</v>
      </c>
      <c r="AO1036" s="85" t="str">
        <f>IFERROR(__xludf.DUMMYFUNCTION("""COMPUTED_VALUE"""),"1110210023498")</f>
        <v>1110210023498</v>
      </c>
      <c r="AP1036" s="85" t="str">
        <f>IFERROR(__xludf.DUMMYFUNCTION("""COMPUTED_VALUE"""),"11102100234980002")</f>
        <v>11102100234980002</v>
      </c>
      <c r="AQ1036" s="93" t="str">
        <f>IFERROR(__xludf.DUMMYFUNCTION("""COMPUTED_VALUE"""),"1780002520548")</f>
        <v>1780002520548</v>
      </c>
      <c r="AR1036" s="85" t="str">
        <f>IFERROR(__xludf.DUMMYFUNCTION("""COMPUTED_VALUE"""),"BANK MANDIRI")</f>
        <v>BANK MANDIRI</v>
      </c>
      <c r="AS1036" s="85" t="str">
        <f>IFERROR(__xludf.DUMMYFUNCTION("""COMPUTED_VALUE"""),"ARTHA YULI ARVIANTO")</f>
        <v>ARTHA YULI ARVIANTO</v>
      </c>
      <c r="AT1036" s="85" t="str">
        <f>IFERROR(__xludf.DUMMYFUNCTION("""COMPUTED_VALUE"""),"-7.1516287")</f>
        <v>-7.1516287</v>
      </c>
      <c r="AU1036" s="85" t="str">
        <f>IFERROR(__xludf.DUMMYFUNCTION("""COMPUTED_VALUE"""),"111.8745121")</f>
        <v>111.8745121</v>
      </c>
      <c r="AV1036" s="85"/>
      <c r="AW1036" s="85"/>
      <c r="AX1036" s="85"/>
      <c r="AY1036" s="85"/>
      <c r="AZ1036" s="85"/>
      <c r="BA1036" s="85"/>
      <c r="BB1036" s="85"/>
      <c r="BC1036" s="85"/>
      <c r="BD1036" s="85"/>
      <c r="BE1036" s="85"/>
      <c r="BF1036" s="85"/>
      <c r="BG1036" s="85"/>
      <c r="BH1036" s="85"/>
      <c r="BI1036" s="85"/>
      <c r="BJ1036" s="85"/>
      <c r="BK1036" s="85"/>
      <c r="BL1036" s="85"/>
      <c r="BM1036" s="85"/>
      <c r="BN1036" s="85"/>
      <c r="BO1036" s="85"/>
      <c r="BP1036" s="85"/>
      <c r="BQ1036" s="85"/>
      <c r="BR1036" s="85"/>
      <c r="BS1036" s="85"/>
      <c r="BT1036" s="85"/>
      <c r="BU1036" s="85"/>
      <c r="BV1036" s="85"/>
      <c r="BW1036" s="85"/>
      <c r="BX1036" s="85"/>
      <c r="BY1036" s="85"/>
      <c r="BZ1036" s="85"/>
      <c r="CA1036" s="85"/>
      <c r="CB1036" s="85"/>
      <c r="CC1036" s="85"/>
      <c r="CD1036" s="85"/>
      <c r="CE1036" s="85"/>
      <c r="CF1036" s="85"/>
      <c r="CG1036" s="85"/>
      <c r="CH1036" s="85"/>
      <c r="CI1036" s="85"/>
      <c r="CJ1036" s="85"/>
      <c r="CK1036" s="2"/>
    </row>
    <row r="1037" ht="12.75" customHeight="1">
      <c r="A1037" s="80">
        <f>IFERROR(__xludf.DUMMYFUNCTION("""COMPUTED_VALUE"""),1033.0)</f>
        <v>1033</v>
      </c>
      <c r="B1037" s="80"/>
      <c r="C1037" s="80"/>
      <c r="D1037" s="81">
        <f>IFERROR(__xludf.DUMMYFUNCTION("""COMPUTED_VALUE"""),46176.0)</f>
        <v>46176</v>
      </c>
      <c r="E1037" s="82"/>
      <c r="F1037" s="80"/>
      <c r="G1037" s="81">
        <f>IFERROR(__xludf.DUMMYFUNCTION("""COMPUTED_VALUE"""),46272.0)</f>
        <v>46272</v>
      </c>
      <c r="H1037" s="80"/>
      <c r="I1037" s="80"/>
      <c r="J1037" s="80"/>
      <c r="K1037" s="80"/>
      <c r="L1037" s="80">
        <f>IFERROR(__xludf.DUMMYFUNCTION("""COMPUTED_VALUE"""),96.0)</f>
        <v>96</v>
      </c>
      <c r="M1037" s="80"/>
      <c r="N1037" s="80"/>
      <c r="O1037" s="80"/>
      <c r="P1037" s="80" t="str">
        <f>IFERROR(__xludf.DUMMYFUNCTION("""COMPUTED_VALUE"""),"52bspa07882jtyna")</f>
        <v>52bspa07882jtyna</v>
      </c>
      <c r="Q1037" s="80" t="str">
        <f>IFERROR(__xludf.DUMMYFUNCTION("""COMPUTED_VALUE"""),"MUC SIDOARUM")</f>
        <v>MUC SIDOARUM</v>
      </c>
      <c r="R1037" s="80" t="str">
        <f>IFERROR(__xludf.DUMMYFUNCTION("""COMPUTED_VALUE"""),"MUC SIDOARUM")</f>
        <v>MUC SIDOARUM</v>
      </c>
      <c r="S1037" s="80" t="str">
        <f>IFERROR(__xludf.DUMMYFUNCTION("""COMPUTED_VALUE"""),"LIKI TRIWIJAYA")</f>
        <v>LIKI TRIWIJAYA</v>
      </c>
      <c r="T1037" s="80" t="str">
        <f>IFERROR(__xludf.DUMMYFUNCTION("""COMPUTED_VALUE"""),"JL. GODEAN KM 6,5 NO. 80 RT 004 RW 011 NGLARANG, SIDOARUM, GODEAN")</f>
        <v>JL. GODEAN KM 6,5 NO. 80 RT 004 RW 011 NGLARANG, SIDOARUM, GODEAN</v>
      </c>
      <c r="U1037" s="80" t="str">
        <f>IFERROR(__xludf.DUMMYFUNCTION("""COMPUTED_VALUE"""),"JL. GODEAN KM 6,5 NO. 80 RT 004 RW 011 NGLARANG, SIDOARUM, GODEAN")</f>
        <v>JL. GODEAN KM 6,5 NO. 80 RT 004 RW 011 NGLARANG, SIDOARUM, GODEAN</v>
      </c>
      <c r="V1037" s="80" t="str">
        <f>IFERROR(__xludf.DUMMYFUNCTION("""COMPUTED_VALUE"""),"RT 004 \ RW 011")</f>
        <v>RT 004 \ RW 011</v>
      </c>
      <c r="W1037" s="80" t="str">
        <f>IFERROR(__xludf.DUMMYFUNCTION("""COMPUTED_VALUE"""),"SIDOARUM")</f>
        <v>SIDOARUM</v>
      </c>
      <c r="X1037" s="80" t="str">
        <f>IFERROR(__xludf.DUMMYFUNCTION("""COMPUTED_VALUE"""),"GODEAN")</f>
        <v>GODEAN</v>
      </c>
      <c r="Y1037" s="80" t="str">
        <f>IFERROR(__xludf.DUMMYFUNCTION("""COMPUTED_VALUE"""),"KAB. SLEMAN")</f>
        <v>KAB. SLEMAN</v>
      </c>
      <c r="Z1037" s="80" t="str">
        <f>IFERROR(__xludf.DUMMYFUNCTION("""COMPUTED_VALUE"""),"D.I YOGYAKARTA")</f>
        <v>D.I YOGYAKARTA</v>
      </c>
      <c r="AA1037" s="80" t="str">
        <f>IFERROR(__xludf.DUMMYFUNCTION("""COMPUTED_VALUE"""),"55264")</f>
        <v>55264</v>
      </c>
      <c r="AB1037" s="80" t="str">
        <f>IFERROR(__xludf.DUMMYFUNCTION("""COMPUTED_VALUE"""),"1673052606920004")</f>
        <v>1673052606920004</v>
      </c>
      <c r="AC1037" s="80" t="str">
        <f>IFERROR(__xludf.DUMMYFUNCTION("""COMPUTED_VALUE"""),"72.673.305.8-542.000")</f>
        <v>72.673.305.8-542.000</v>
      </c>
      <c r="AD1037" s="80" t="str">
        <f>IFERROR(__xludf.DUMMYFUNCTION("""COMPUTED_VALUE"""),"CUM - YNA")</f>
        <v>CUM - YNA</v>
      </c>
      <c r="AE1037" s="80" t="str">
        <f>IFERROR(__xludf.DUMMYFUNCTION("""COMPUTED_VALUE"""),"CUM - YNA")</f>
        <v>CUM - YNA</v>
      </c>
      <c r="AF1037" s="80" t="str">
        <f>IFERROR(__xludf.DUMMYFUNCTION("""COMPUTED_VALUE"""),"0895388295588")</f>
        <v>0895388295588</v>
      </c>
      <c r="AG1037" s="80" t="str">
        <f>IFERROR(__xludf.DUMMYFUNCTION("""COMPUTED_VALUE"""),"0895388295588")</f>
        <v>0895388295588</v>
      </c>
      <c r="AH1037" s="80" t="str">
        <f>IFERROR(__xludf.DUMMYFUNCTION("""COMPUTED_VALUE"""),"liki.wijaya@gmail.com")</f>
        <v>liki.wijaya@gmail.com</v>
      </c>
      <c r="AI1037" s="80" t="str">
        <f>IFERROR(__xludf.DUMMYFUNCTION("""COMPUTED_VALUE"""),"55564S3")</f>
        <v>55564S3</v>
      </c>
      <c r="AJ1037" s="80" t="str">
        <f>IFERROR(__xludf.DUMMYFUNCTION("""COMPUTED_VALUE"""),"6a9bcc14bcca6416fe06908d")</f>
        <v>6a9bcc14bcca6416fe06908d</v>
      </c>
      <c r="AK1037" s="80" t="str">
        <f>IFERROR(__xludf.DUMMYFUNCTION("""COMPUTED_VALUE"""),"liki.wijaya@gmail.com")</f>
        <v>liki.wijaya@gmail.com</v>
      </c>
      <c r="AL1037" s="80" t="str">
        <f>IFERROR(__xludf.DUMMYFUNCTION("""COMPUTED_VALUE"""),"#Muc55564S3$")</f>
        <v>#Muc55564S3$</v>
      </c>
      <c r="AM1037" s="80" t="str">
        <f>IFERROR(__xludf.DUMMYFUNCTION("""COMPUTED_VALUE"""),"KANTOR REGIONAL IV SEMARANG 50004")</f>
        <v>KANTOR REGIONAL IV SEMARANG 50004</v>
      </c>
      <c r="AN1037" s="80" t="str">
        <f>IFERROR(__xludf.DUMMYFUNCTION("""COMPUTED_VALUE"""),"KCU YOGYAKARTA 55000")</f>
        <v>KCU YOGYAKARTA 55000</v>
      </c>
      <c r="AO1037" s="80" t="str">
        <f>IFERROR(__xludf.DUMMYFUNCTION("""COMPUTED_VALUE"""),"0306260043596")</f>
        <v>0306260043596</v>
      </c>
      <c r="AP1037" s="80" t="str">
        <f>IFERROR(__xludf.DUMMYFUNCTION("""COMPUTED_VALUE"""),"03062600435960001")</f>
        <v>03062600435960001</v>
      </c>
      <c r="AQ1037" s="83" t="str">
        <f>IFERROR(__xludf.DUMMYFUNCTION("""COMPUTED_VALUE"""),"8610237542")</f>
        <v>8610237542</v>
      </c>
      <c r="AR1037" s="80" t="str">
        <f>IFERROR(__xludf.DUMMYFUNCTION("""COMPUTED_VALUE"""),"BCA")</f>
        <v>BCA</v>
      </c>
      <c r="AS1037" s="80" t="str">
        <f>IFERROR(__xludf.DUMMYFUNCTION("""COMPUTED_VALUE"""),"LIKI TRIWIJAYA")</f>
        <v>LIKI TRIWIJAYA</v>
      </c>
      <c r="AT1037" s="80" t="str">
        <f>IFERROR(__xludf.DUMMYFUNCTION("""COMPUTED_VALUE"""),"-7.7763523")</f>
        <v>-7.7763523</v>
      </c>
      <c r="AU1037" s="80" t="str">
        <f>IFERROR(__xludf.DUMMYFUNCTION("""COMPUTED_VALUE"""),"110.3255747")</f>
        <v>110.3255747</v>
      </c>
      <c r="AV1037" s="80"/>
      <c r="AW1037" s="80"/>
      <c r="AX1037" s="80"/>
      <c r="AY1037" s="80"/>
      <c r="AZ1037" s="80"/>
      <c r="BA1037" s="80"/>
      <c r="BB1037" s="80"/>
      <c r="BC1037" s="80"/>
      <c r="BD1037" s="80"/>
      <c r="BE1037" s="80"/>
      <c r="BF1037" s="80"/>
      <c r="BG1037" s="80"/>
      <c r="BH1037" s="80"/>
      <c r="BI1037" s="80"/>
      <c r="BJ1037" s="80"/>
      <c r="BK1037" s="80"/>
      <c r="BL1037" s="80"/>
      <c r="BM1037" s="80"/>
      <c r="BN1037" s="80"/>
      <c r="BO1037" s="80"/>
      <c r="BP1037" s="80"/>
      <c r="BQ1037" s="80"/>
      <c r="BR1037" s="80"/>
      <c r="BS1037" s="80"/>
      <c r="BT1037" s="80"/>
      <c r="BU1037" s="80"/>
      <c r="BV1037" s="80"/>
      <c r="BW1037" s="80"/>
      <c r="BX1037" s="80"/>
      <c r="BY1037" s="80"/>
      <c r="BZ1037" s="80"/>
      <c r="CA1037" s="80"/>
      <c r="CB1037" s="80"/>
      <c r="CC1037" s="80"/>
      <c r="CD1037" s="80"/>
      <c r="CE1037" s="80"/>
      <c r="CF1037" s="80"/>
      <c r="CG1037" s="80"/>
      <c r="CH1037" s="80"/>
      <c r="CI1037" s="80"/>
      <c r="CJ1037" s="80"/>
      <c r="CK1037" s="2"/>
    </row>
    <row r="1038" ht="12.75" customHeight="1">
      <c r="A1038" s="85">
        <f>IFERROR(__xludf.DUMMYFUNCTION("""COMPUTED_VALUE"""),1034.0)</f>
        <v>1034</v>
      </c>
      <c r="B1038" s="85"/>
      <c r="C1038" s="85"/>
      <c r="D1038" s="86">
        <f>IFERROR(__xludf.DUMMYFUNCTION("""COMPUTED_VALUE"""),46177.0)</f>
        <v>46177</v>
      </c>
      <c r="E1038" s="88"/>
      <c r="F1038" s="85"/>
      <c r="G1038" s="86"/>
      <c r="H1038" s="85"/>
      <c r="I1038" s="85"/>
      <c r="J1038" s="85"/>
      <c r="K1038" s="85"/>
      <c r="L1038" s="85"/>
      <c r="M1038" s="85"/>
      <c r="N1038" s="85"/>
      <c r="O1038" s="85"/>
      <c r="P1038" s="85" t="str">
        <f>IFERROR(__xludf.DUMMYFUNCTION("""COMPUTED_VALUE"""),"MUCSPA63501PSIND")</f>
        <v>MUCSPA63501PSIND</v>
      </c>
      <c r="Q1038" s="85" t="str">
        <f>IFERROR(__xludf.DUMMYFUNCTION("""COMPUTED_VALUE"""),"MUC LION PARCEL VETERAN")</f>
        <v>MUC LION PARCEL VETERAN</v>
      </c>
      <c r="R1038" s="85" t="str">
        <f>IFERROR(__xludf.DUMMYFUNCTION("""COMPUTED_VALUE"""),"MUC LION PARCEL VETERAN")</f>
        <v>MUC LION PARCEL VETERAN</v>
      </c>
      <c r="S1038" s="85" t="str">
        <f>IFERROR(__xludf.DUMMYFUNCTION("""COMPUTED_VALUE"""),"DRA.HANIAN")</f>
        <v>DRA.HANIAN</v>
      </c>
      <c r="T1038" s="85" t="str">
        <f>IFERROR(__xludf.DUMMYFUNCTION("""COMPUTED_VALUE"""),"KP.KAMBANGAN RT 001 RW 004 BANJAR WANGI, CIAWI")</f>
        <v>KP.KAMBANGAN RT 001 RW 004 BANJAR WANGI, CIAWI</v>
      </c>
      <c r="U1038" s="85" t="str">
        <f>IFERROR(__xludf.DUMMYFUNCTION("""COMPUTED_VALUE"""),"Jl. Veteran III, Banjar Wangi, Ciawi")</f>
        <v>Jl. Veteran III, Banjar Wangi, Ciawi</v>
      </c>
      <c r="V1038" s="85" t="str">
        <f>IFERROR(__xludf.DUMMYFUNCTION("""COMPUTED_VALUE"""),"RT 001 \ RW 004")</f>
        <v>RT 001 \ RW 004</v>
      </c>
      <c r="W1038" s="85" t="str">
        <f>IFERROR(__xludf.DUMMYFUNCTION("""COMPUTED_VALUE"""),"Banjar Wangi")</f>
        <v>Banjar Wangi</v>
      </c>
      <c r="X1038" s="85" t="str">
        <f>IFERROR(__xludf.DUMMYFUNCTION("""COMPUTED_VALUE"""),"Ciawi")</f>
        <v>Ciawi</v>
      </c>
      <c r="Y1038" s="85" t="str">
        <f>IFERROR(__xludf.DUMMYFUNCTION("""COMPUTED_VALUE"""),"Kab. Bogor")</f>
        <v>Kab. Bogor</v>
      </c>
      <c r="Z1038" s="85" t="str">
        <f>IFERROR(__xludf.DUMMYFUNCTION("""COMPUTED_VALUE"""),"JAWA BARAT")</f>
        <v>JAWA BARAT</v>
      </c>
      <c r="AA1038" s="85" t="str">
        <f>IFERROR(__xludf.DUMMYFUNCTION("""COMPUTED_VALUE"""),"16125")</f>
        <v>16125</v>
      </c>
      <c r="AB1038" s="85" t="str">
        <f>IFERROR(__xludf.DUMMYFUNCTION("""COMPUTED_VALUE"""),"3201245504630002")</f>
        <v>3201245504630002</v>
      </c>
      <c r="AC1038" s="85" t="str">
        <f>IFERROR(__xludf.DUMMYFUNCTION("""COMPUTED_VALUE"""),"69.042.475.9-404.000")</f>
        <v>69.042.475.9-404.000</v>
      </c>
      <c r="AD1038" s="85" t="str">
        <f>IFERROR(__xludf.DUMMYFUNCTION("""COMPUTED_VALUE"""),"PAK ASEP NANO")</f>
        <v>PAK ASEP NANO</v>
      </c>
      <c r="AE1038" s="85" t="str">
        <f>IFERROR(__xludf.DUMMYFUNCTION("""COMPUTED_VALUE"""),"PAK ASEP NANO")</f>
        <v>PAK ASEP NANO</v>
      </c>
      <c r="AF1038" s="85" t="str">
        <f>IFERROR(__xludf.DUMMYFUNCTION("""COMPUTED_VALUE"""),"081383783477")</f>
        <v>081383783477</v>
      </c>
      <c r="AG1038" s="85" t="str">
        <f>IFERROR(__xludf.DUMMYFUNCTION("""COMPUTED_VALUE"""),"081383783477")</f>
        <v>081383783477</v>
      </c>
      <c r="AH1038" s="85" t="str">
        <f>IFERROR(__xludf.DUMMYFUNCTION("""COMPUTED_VALUE"""),"hanianhanian83@gmail.com")</f>
        <v>hanianhanian83@gmail.com</v>
      </c>
      <c r="AI1038" s="85"/>
      <c r="AJ1038" s="85"/>
      <c r="AK1038" s="85"/>
      <c r="AL1038" s="85"/>
      <c r="AM1038" s="85" t="str">
        <f>IFERROR(__xludf.DUMMYFUNCTION("""COMPUTED_VALUE"""),"KANTOR REGIONAL II JAKARTA 10004")</f>
        <v>KANTOR REGIONAL II JAKARTA 10004</v>
      </c>
      <c r="AN1038" s="85" t="str">
        <f>IFERROR(__xludf.DUMMYFUNCTION("""COMPUTED_VALUE"""),"KCU BOGOR 16000")</f>
        <v>KCU BOGOR 16000</v>
      </c>
      <c r="AO1038" s="85" t="str">
        <f>IFERROR(__xludf.DUMMYFUNCTION("""COMPUTED_VALUE"""),"0306260087294")</f>
        <v>0306260087294</v>
      </c>
      <c r="AP1038" s="85" t="str">
        <f>IFERROR(__xludf.DUMMYFUNCTION("""COMPUTED_VALUE"""),"03062600872940001")</f>
        <v>03062600872940001</v>
      </c>
      <c r="AQ1038" s="93" t="str">
        <f>IFERROR(__xludf.DUMMYFUNCTION("""COMPUTED_VALUE"""),"7108195961")</f>
        <v>7108195961</v>
      </c>
      <c r="AR1038" s="85" t="str">
        <f>IFERROR(__xludf.DUMMYFUNCTION("""COMPUTED_VALUE"""),"BSI")</f>
        <v>BSI</v>
      </c>
      <c r="AS1038" s="85" t="str">
        <f>IFERROR(__xludf.DUMMYFUNCTION("""COMPUTED_VALUE"""),"Hanian")</f>
        <v>Hanian</v>
      </c>
      <c r="AT1038" s="85" t="str">
        <f>IFERROR(__xludf.DUMMYFUNCTION("""COMPUTED_VALUE"""),"-6.6761839")</f>
        <v>-6.6761839</v>
      </c>
      <c r="AU1038" s="85" t="str">
        <f>IFERROR(__xludf.DUMMYFUNCTION("""COMPUTED_VALUE"""),"106.8605646")</f>
        <v>106.8605646</v>
      </c>
      <c r="AV1038" s="85"/>
      <c r="AW1038" s="85"/>
      <c r="AX1038" s="85"/>
      <c r="AY1038" s="85"/>
      <c r="AZ1038" s="85"/>
      <c r="BA1038" s="85"/>
      <c r="BB1038" s="85"/>
      <c r="BC1038" s="85"/>
      <c r="BD1038" s="85"/>
      <c r="BE1038" s="85"/>
      <c r="BF1038" s="85"/>
      <c r="BG1038" s="85"/>
      <c r="BH1038" s="85"/>
      <c r="BI1038" s="85"/>
      <c r="BJ1038" s="85"/>
      <c r="BK1038" s="85"/>
      <c r="BL1038" s="85"/>
      <c r="BM1038" s="85"/>
      <c r="BN1038" s="85"/>
      <c r="BO1038" s="85"/>
      <c r="BP1038" s="85"/>
      <c r="BQ1038" s="85"/>
      <c r="BR1038" s="85"/>
      <c r="BS1038" s="85"/>
      <c r="BT1038" s="85"/>
      <c r="BU1038" s="85"/>
      <c r="BV1038" s="85"/>
      <c r="BW1038" s="85"/>
      <c r="BX1038" s="85"/>
      <c r="BY1038" s="85"/>
      <c r="BZ1038" s="85"/>
      <c r="CA1038" s="85"/>
      <c r="CB1038" s="85"/>
      <c r="CC1038" s="85"/>
      <c r="CD1038" s="85"/>
      <c r="CE1038" s="85"/>
      <c r="CF1038" s="85"/>
      <c r="CG1038" s="85"/>
      <c r="CH1038" s="85"/>
      <c r="CI1038" s="85"/>
      <c r="CJ1038" s="85"/>
      <c r="CK1038" s="2"/>
    </row>
    <row r="1039" ht="12.75" customHeight="1">
      <c r="A1039" s="80">
        <f>IFERROR(__xludf.DUMMYFUNCTION("""COMPUTED_VALUE"""),1035.0)</f>
        <v>1035</v>
      </c>
      <c r="B1039" s="80"/>
      <c r="C1039" s="80"/>
      <c r="D1039" s="81">
        <f>IFERROR(__xludf.DUMMYFUNCTION("""COMPUTED_VALUE"""),46178.0)</f>
        <v>46178</v>
      </c>
      <c r="E1039" s="82"/>
      <c r="F1039" s="80"/>
      <c r="G1039" s="81">
        <f>IFERROR(__xludf.DUMMYFUNCTION("""COMPUTED_VALUE"""),46230.0)</f>
        <v>46230</v>
      </c>
      <c r="H1039" s="80"/>
      <c r="I1039" s="80"/>
      <c r="J1039" s="80"/>
      <c r="K1039" s="80"/>
      <c r="L1039" s="80">
        <f>IFERROR(__xludf.DUMMYFUNCTION("""COMPUTED_VALUE"""),52.0)</f>
        <v>52</v>
      </c>
      <c r="M1039" s="80"/>
      <c r="N1039" s="80"/>
      <c r="O1039" s="80"/>
      <c r="P1039" s="80" t="str">
        <f>IFERROR(__xludf.DUMMYFUNCTION("""COMPUTED_VALUE"""),"MUCSPA63503PSIND")</f>
        <v>MUCSPA63503PSIND</v>
      </c>
      <c r="Q1039" s="80" t="str">
        <f>IFERROR(__xludf.DUMMYFUNCTION("""COMPUTED_VALUE"""),"MUC PRIMASUKSES")</f>
        <v>MUC PRIMASUKSES</v>
      </c>
      <c r="R1039" s="80" t="str">
        <f>IFERROR(__xludf.DUMMYFUNCTION("""COMPUTED_VALUE"""),"MUC PRIMASUKSES")</f>
        <v>MUC PRIMASUKSES</v>
      </c>
      <c r="S1039" s="80" t="str">
        <f>IFERROR(__xludf.DUMMYFUNCTION("""COMPUTED_VALUE"""),"LIE LI")</f>
        <v>LIE LI</v>
      </c>
      <c r="T1039" s="80" t="str">
        <f>IFERROR(__xludf.DUMMYFUNCTION("""COMPUTED_VALUE"""),"JL. MANGGABESAR IX NO. 32A")</f>
        <v>JL. MANGGABESAR IX NO. 32A</v>
      </c>
      <c r="U1039" s="80" t="str">
        <f>IFERROR(__xludf.DUMMYFUNCTION("""COMPUTED_VALUE"""),"PERTOKOAN GLODOK JAYA LT. DASAR BLOK C NO. 3")</f>
        <v>PERTOKOAN GLODOK JAYA LT. DASAR BLOK C NO. 3</v>
      </c>
      <c r="V1039" s="80"/>
      <c r="W1039" s="80" t="str">
        <f>IFERROR(__xludf.DUMMYFUNCTION("""COMPUTED_VALUE"""),"MANGGA BESAR")</f>
        <v>MANGGA BESAR</v>
      </c>
      <c r="X1039" s="80" t="str">
        <f>IFERROR(__xludf.DUMMYFUNCTION("""COMPUTED_VALUE"""),"TAMANSARI")</f>
        <v>TAMANSARI</v>
      </c>
      <c r="Y1039" s="80" t="str">
        <f>IFERROR(__xludf.DUMMYFUNCTION("""COMPUTED_VALUE"""),"JAKARTA BARAT")</f>
        <v>JAKARTA BARAT</v>
      </c>
      <c r="Z1039" s="80" t="str">
        <f>IFERROR(__xludf.DUMMYFUNCTION("""COMPUTED_VALUE"""),"DKI JAKARTA")</f>
        <v>DKI JAKARTA</v>
      </c>
      <c r="AA1039" s="80" t="str">
        <f>IFERROR(__xludf.DUMMYFUNCTION("""COMPUTED_VALUE"""),"11180")</f>
        <v>11180</v>
      </c>
      <c r="AB1039" s="80" t="str">
        <f>IFERROR(__xludf.DUMMYFUNCTION("""COMPUTED_VALUE"""),"3173034606740005")</f>
        <v>3173034606740005</v>
      </c>
      <c r="AC1039" s="80" t="str">
        <f>IFERROR(__xludf.DUMMYFUNCTION("""COMPUTED_VALUE"""),"24.741.507.8-032.000")</f>
        <v>24.741.507.8-032.000</v>
      </c>
      <c r="AD1039" s="80" t="str">
        <f>IFERROR(__xludf.DUMMYFUNCTION("""COMPUTED_VALUE"""),"PAK SUGENG KCU OCEANIA")</f>
        <v>PAK SUGENG KCU OCEANIA</v>
      </c>
      <c r="AE1039" s="80" t="str">
        <f>IFERROR(__xludf.DUMMYFUNCTION("""COMPUTED_VALUE"""),"PAK SUGENG KCU OCEANIA")</f>
        <v>PAK SUGENG KCU OCEANIA</v>
      </c>
      <c r="AF1039" s="80" t="str">
        <f>IFERROR(__xludf.DUMMYFUNCTION("""COMPUTED_VALUE"""),"082122332298")</f>
        <v>082122332298</v>
      </c>
      <c r="AG1039" s="80" t="str">
        <f>IFERROR(__xludf.DUMMYFUNCTION("""COMPUTED_VALUE"""),"082122332298")</f>
        <v>082122332298</v>
      </c>
      <c r="AH1039" s="80" t="str">
        <f>IFERROR(__xludf.DUMMYFUNCTION("""COMPUTED_VALUE"""),"suksesagenpos@gmail.com")</f>
        <v>suksesagenpos@gmail.com</v>
      </c>
      <c r="AI1039" s="80" t="str">
        <f>IFERROR(__xludf.DUMMYFUNCTION("""COMPUTED_VALUE"""),"11180S5")</f>
        <v>11180S5</v>
      </c>
      <c r="AJ1039" s="80" t="str">
        <f>IFERROR(__xludf.DUMMYFUNCTION("""COMPUTED_VALUE"""),"6a3b85aab4d5c9f2800ca4a7")</f>
        <v>6a3b85aab4d5c9f2800ca4a7</v>
      </c>
      <c r="AK1039" s="80" t="str">
        <f>IFERROR(__xludf.DUMMYFUNCTION("""COMPUTED_VALUE"""),"suksesagenpos@gmail.com")</f>
        <v>suksesagenpos@gmail.com</v>
      </c>
      <c r="AL1039" s="80" t="str">
        <f>IFERROR(__xludf.DUMMYFUNCTION("""COMPUTED_VALUE"""),"#Muc11180S5$")</f>
        <v>#Muc11180S5$</v>
      </c>
      <c r="AM1039" s="80" t="str">
        <f>IFERROR(__xludf.DUMMYFUNCTION("""COMPUTED_VALUE"""),"KANTOR REGIONAL II JAKARTA 10004")</f>
        <v>KANTOR REGIONAL II JAKARTA 10004</v>
      </c>
      <c r="AN1039" s="80" t="str">
        <f>IFERROR(__xludf.DUMMYFUNCTION("""COMPUTED_VALUE"""),"KCU JAKARTAOCEANIA 11000")</f>
        <v>KCU JAKARTAOCEANIA 11000</v>
      </c>
      <c r="AO1039" s="80" t="str">
        <f>IFERROR(__xludf.DUMMYFUNCTION("""COMPUTED_VALUE"""),"2707220068329")</f>
        <v>2707220068329</v>
      </c>
      <c r="AP1039" s="80" t="str">
        <f>IFERROR(__xludf.DUMMYFUNCTION("""COMPUTED_VALUE"""),"27072200683290002")</f>
        <v>27072200683290002</v>
      </c>
      <c r="AQ1039" s="83" t="str">
        <f>IFERROR(__xludf.DUMMYFUNCTION("""COMPUTED_VALUE"""),"6450237378")</f>
        <v>6450237378</v>
      </c>
      <c r="AR1039" s="80" t="str">
        <f>IFERROR(__xludf.DUMMYFUNCTION("""COMPUTED_VALUE"""),"BCA")</f>
        <v>BCA</v>
      </c>
      <c r="AS1039" s="80" t="str">
        <f>IFERROR(__xludf.DUMMYFUNCTION("""COMPUTED_VALUE"""),"LIE LI")</f>
        <v>LIE LI</v>
      </c>
      <c r="AT1039" s="80" t="str">
        <f>IFERROR(__xludf.DUMMYFUNCTION("""COMPUTED_VALUE"""),"-6.1442539")</f>
        <v>-6.1442539</v>
      </c>
      <c r="AU1039" s="80" t="str">
        <f>IFERROR(__xludf.DUMMYFUNCTION("""COMPUTED_VALUE"""),"106.8167186")</f>
        <v>106.8167186</v>
      </c>
      <c r="AV1039" s="80"/>
      <c r="AW1039" s="80"/>
      <c r="AX1039" s="80"/>
      <c r="AY1039" s="80"/>
      <c r="AZ1039" s="80"/>
      <c r="BA1039" s="80"/>
      <c r="BB1039" s="80"/>
      <c r="BC1039" s="80"/>
      <c r="BD1039" s="80"/>
      <c r="BE1039" s="80"/>
      <c r="BF1039" s="80"/>
      <c r="BG1039" s="80"/>
      <c r="BH1039" s="80"/>
      <c r="BI1039" s="80"/>
      <c r="BJ1039" s="80"/>
      <c r="BK1039" s="80"/>
      <c r="BL1039" s="80"/>
      <c r="BM1039" s="80"/>
      <c r="BN1039" s="80"/>
      <c r="BO1039" s="80"/>
      <c r="BP1039" s="80"/>
      <c r="BQ1039" s="80"/>
      <c r="BR1039" s="80"/>
      <c r="BS1039" s="80"/>
      <c r="BT1039" s="80"/>
      <c r="BU1039" s="80"/>
      <c r="BV1039" s="80"/>
      <c r="BW1039" s="80"/>
      <c r="BX1039" s="80"/>
      <c r="BY1039" s="80"/>
      <c r="BZ1039" s="80"/>
      <c r="CA1039" s="80"/>
      <c r="CB1039" s="80"/>
      <c r="CC1039" s="80"/>
      <c r="CD1039" s="80"/>
      <c r="CE1039" s="80"/>
      <c r="CF1039" s="80"/>
      <c r="CG1039" s="80"/>
      <c r="CH1039" s="80"/>
      <c r="CI1039" s="80"/>
      <c r="CJ1039" s="80"/>
      <c r="CK1039" s="2"/>
    </row>
    <row r="1040" ht="12.75" customHeight="1">
      <c r="A1040" s="85">
        <f>IFERROR(__xludf.DUMMYFUNCTION("""COMPUTED_VALUE"""),1036.0)</f>
        <v>1036</v>
      </c>
      <c r="B1040" s="85"/>
      <c r="C1040" s="85"/>
      <c r="D1040" s="86">
        <f>IFERROR(__xludf.DUMMYFUNCTION("""COMPUTED_VALUE"""),46178.0)</f>
        <v>46178</v>
      </c>
      <c r="E1040" s="88"/>
      <c r="F1040" s="85"/>
      <c r="G1040" s="86">
        <f>IFERROR(__xludf.DUMMYFUNCTION("""COMPUTED_VALUE"""),46230.0)</f>
        <v>46230</v>
      </c>
      <c r="H1040" s="85"/>
      <c r="I1040" s="85"/>
      <c r="J1040" s="85"/>
      <c r="K1040" s="85"/>
      <c r="L1040" s="85">
        <f>IFERROR(__xludf.DUMMYFUNCTION("""COMPUTED_VALUE"""),52.0)</f>
        <v>52</v>
      </c>
      <c r="M1040" s="85"/>
      <c r="N1040" s="85"/>
      <c r="O1040" s="85"/>
      <c r="P1040" s="85" t="str">
        <f>IFERROR(__xludf.DUMMYFUNCTION("""COMPUTED_VALUE"""),"MUCSPA63504PSIND")</f>
        <v>MUCSPA63504PSIND</v>
      </c>
      <c r="Q1040" s="85" t="str">
        <f>IFERROR(__xludf.DUMMYFUNCTION("""COMPUTED_VALUE"""),"MUC RM KOTA DAENG")</f>
        <v>MUC RM KOTA DAENG</v>
      </c>
      <c r="R1040" s="85" t="str">
        <f>IFERROR(__xludf.DUMMYFUNCTION("""COMPUTED_VALUE"""),"MUC RM KOTA DAENG")</f>
        <v>MUC RM KOTA DAENG</v>
      </c>
      <c r="S1040" s="101" t="str">
        <f>IFERROR(__xludf.DUMMYFUNCTION("""COMPUTED_VALUE"""),"IRIANTO.S.SI")</f>
        <v>IRIANTO.S.SI</v>
      </c>
      <c r="T1040" s="85" t="str">
        <f>IFERROR(__xludf.DUMMYFUNCTION("""COMPUTED_VALUE"""),"JL. SABUTUNG NO. 70/66 RT.004 RW.003 GUSUNG, UJUNG TANAH, MAKASSAR")</f>
        <v>JL. SABUTUNG NO. 70/66 RT.004 RW.003 GUSUNG, UJUNG TANAH, MAKASSAR</v>
      </c>
      <c r="U1040" s="85" t="str">
        <f>IFERROR(__xludf.DUMMYFUNCTION("""COMPUTED_VALUE"""),"Jl. Perintis Kemerdekaan KM 18. Ruko Bps Nomor 9")</f>
        <v>Jl. Perintis Kemerdekaan KM 18. Ruko Bps Nomor 9</v>
      </c>
      <c r="V1040" s="85" t="str">
        <f>IFERROR(__xludf.DUMMYFUNCTION("""COMPUTED_VALUE"""),"RT.004 \ RW.003")</f>
        <v>RT.004 \ RW.003</v>
      </c>
      <c r="W1040" s="85" t="str">
        <f>IFERROR(__xludf.DUMMYFUNCTION("""COMPUTED_VALUE"""),"SUDIANG")</f>
        <v>SUDIANG</v>
      </c>
      <c r="X1040" s="85" t="str">
        <f>IFERROR(__xludf.DUMMYFUNCTION("""COMPUTED_VALUE"""),"BIRINGKANAYA")</f>
        <v>BIRINGKANAYA</v>
      </c>
      <c r="Y1040" s="85" t="str">
        <f>IFERROR(__xludf.DUMMYFUNCTION("""COMPUTED_VALUE"""),"MAKASSAR")</f>
        <v>MAKASSAR</v>
      </c>
      <c r="Z1040" s="85" t="str">
        <f>IFERROR(__xludf.DUMMYFUNCTION("""COMPUTED_VALUE"""),"SULAWESI SELATAN")</f>
        <v>SULAWESI SELATAN</v>
      </c>
      <c r="AA1040" s="85" t="str">
        <f>IFERROR(__xludf.DUMMYFUNCTION("""COMPUTED_VALUE"""),"90242")</f>
        <v>90242</v>
      </c>
      <c r="AB1040" s="85" t="str">
        <f>IFERROR(__xludf.DUMMYFUNCTION("""COMPUTED_VALUE"""),"7371082006680002")</f>
        <v>7371082006680002</v>
      </c>
      <c r="AC1040" s="85" t="str">
        <f>IFERROR(__xludf.DUMMYFUNCTION("""COMPUTED_VALUE"""),"07.194.809.5-801.000")</f>
        <v>07.194.809.5-801.000</v>
      </c>
      <c r="AD1040" s="85" t="str">
        <f>IFERROR(__xludf.DUMMYFUNCTION("""COMPUTED_VALUE"""),"KCU MAKASAR")</f>
        <v>KCU MAKASAR</v>
      </c>
      <c r="AE1040" s="85" t="str">
        <f>IFERROR(__xludf.DUMMYFUNCTION("""COMPUTED_VALUE"""),"KCU MAKASAR")</f>
        <v>KCU MAKASAR</v>
      </c>
      <c r="AF1040" s="85" t="str">
        <f>IFERROR(__xludf.DUMMYFUNCTION("""COMPUTED_VALUE"""),"085244420185")</f>
        <v>085244420185</v>
      </c>
      <c r="AG1040" s="85" t="str">
        <f>IFERROR(__xludf.DUMMYFUNCTION("""COMPUTED_VALUE"""),"085244420185")</f>
        <v>085244420185</v>
      </c>
      <c r="AH1040" s="85" t="str">
        <f>IFERROR(__xludf.DUMMYFUNCTION("""COMPUTED_VALUE"""),"raufabdoel@gmail.com")</f>
        <v>raufabdoel@gmail.com</v>
      </c>
      <c r="AI1040" s="85" t="str">
        <f>IFERROR(__xludf.DUMMYFUNCTION("""COMPUTED_VALUE"""),"90242S4")</f>
        <v>90242S4</v>
      </c>
      <c r="AJ1040" s="85" t="str">
        <f>IFERROR(__xludf.DUMMYFUNCTION("""COMPUTED_VALUE"""),"6a670b4b23506054170c9114")</f>
        <v>6a670b4b23506054170c9114</v>
      </c>
      <c r="AK1040" s="85" t="str">
        <f>IFERROR(__xludf.DUMMYFUNCTION("""COMPUTED_VALUE"""),"raufabdoel@gmail.com")</f>
        <v>raufabdoel@gmail.com</v>
      </c>
      <c r="AL1040" s="85" t="str">
        <f>IFERROR(__xludf.DUMMYFUNCTION("""COMPUTED_VALUE"""),"#Muc90242S4$")</f>
        <v>#Muc90242S4$</v>
      </c>
      <c r="AM1040" s="85" t="str">
        <f>IFERROR(__xludf.DUMMYFUNCTION("""COMPUTED_VALUE"""),"KANTOR REGIONAL VI MAKASAR 90004")</f>
        <v>KANTOR REGIONAL VI MAKASAR 90004</v>
      </c>
      <c r="AN1040" s="85" t="str">
        <f>IFERROR(__xludf.DUMMYFUNCTION("""COMPUTED_VALUE"""),"KCU MAKASSAR 90000")</f>
        <v>KCU MAKASSAR 90000</v>
      </c>
      <c r="AO1040" s="85" t="str">
        <f>IFERROR(__xludf.DUMMYFUNCTION("""COMPUTED_VALUE"""),"2709240074962")</f>
        <v>2709240074962</v>
      </c>
      <c r="AP1040" s="85" t="str">
        <f>IFERROR(__xludf.DUMMYFUNCTION("""COMPUTED_VALUE"""),"0608220014077")</f>
        <v>0608220014077</v>
      </c>
      <c r="AQ1040" s="93" t="str">
        <f>IFERROR(__xludf.DUMMYFUNCTION("""COMPUTED_VALUE"""),"1520014499996")</f>
        <v>1520014499996</v>
      </c>
      <c r="AR1040" s="85" t="str">
        <f>IFERROR(__xludf.DUMMYFUNCTION("""COMPUTED_VALUE"""),"MANDIRI")</f>
        <v>MANDIRI</v>
      </c>
      <c r="AS1040" s="85" t="str">
        <f>IFERROR(__xludf.DUMMYFUNCTION("""COMPUTED_VALUE"""),"IRIANTO")</f>
        <v>IRIANTO</v>
      </c>
      <c r="AT1040" s="85" t="str">
        <f>IFERROR(__xludf.DUMMYFUNCTION("""COMPUTED_VALUE"""),"-5.0762462")</f>
        <v>-5.0762462</v>
      </c>
      <c r="AU1040" s="85" t="str">
        <f>IFERROR(__xludf.DUMMYFUNCTION("""COMPUTED_VALUE"""),"119.5231381")</f>
        <v>119.5231381</v>
      </c>
      <c r="AV1040" s="85"/>
      <c r="AW1040" s="85"/>
      <c r="AX1040" s="85"/>
      <c r="AY1040" s="85"/>
      <c r="AZ1040" s="85"/>
      <c r="BA1040" s="85"/>
      <c r="BB1040" s="85"/>
      <c r="BC1040" s="85"/>
      <c r="BD1040" s="85"/>
      <c r="BE1040" s="85"/>
      <c r="BF1040" s="85"/>
      <c r="BG1040" s="85"/>
      <c r="BH1040" s="85"/>
      <c r="BI1040" s="85"/>
      <c r="BJ1040" s="85"/>
      <c r="BK1040" s="85"/>
      <c r="BL1040" s="85"/>
      <c r="BM1040" s="85"/>
      <c r="BN1040" s="85"/>
      <c r="BO1040" s="85"/>
      <c r="BP1040" s="85"/>
      <c r="BQ1040" s="85"/>
      <c r="BR1040" s="85"/>
      <c r="BS1040" s="85"/>
      <c r="BT1040" s="85"/>
      <c r="BU1040" s="85"/>
      <c r="BV1040" s="85"/>
      <c r="BW1040" s="85"/>
      <c r="BX1040" s="85"/>
      <c r="BY1040" s="85"/>
      <c r="BZ1040" s="85"/>
      <c r="CA1040" s="85"/>
      <c r="CB1040" s="85"/>
      <c r="CC1040" s="85"/>
      <c r="CD1040" s="85"/>
      <c r="CE1040" s="85"/>
      <c r="CF1040" s="85"/>
      <c r="CG1040" s="85"/>
      <c r="CH1040" s="85"/>
      <c r="CI1040" s="85"/>
      <c r="CJ1040" s="85"/>
      <c r="CK1040" s="2"/>
    </row>
    <row r="1041" ht="12.75" customHeight="1">
      <c r="A1041" s="80">
        <f>IFERROR(__xludf.DUMMYFUNCTION("""COMPUTED_VALUE"""),1037.0)</f>
        <v>1037</v>
      </c>
      <c r="B1041" s="80"/>
      <c r="C1041" s="80"/>
      <c r="D1041" s="81">
        <f>IFERROR(__xludf.DUMMYFUNCTION("""COMPUTED_VALUE"""),46178.0)</f>
        <v>46178</v>
      </c>
      <c r="E1041" s="82"/>
      <c r="F1041" s="80"/>
      <c r="G1041" s="81">
        <f>IFERROR(__xludf.DUMMYFUNCTION("""COMPUTED_VALUE"""),46210.0)</f>
        <v>46210</v>
      </c>
      <c r="H1041" s="80"/>
      <c r="I1041" s="80"/>
      <c r="J1041" s="80"/>
      <c r="K1041" s="80"/>
      <c r="L1041" s="80">
        <f>IFERROR(__xludf.DUMMYFUNCTION("""COMPUTED_VALUE"""),32.0)</f>
        <v>32</v>
      </c>
      <c r="M1041" s="80"/>
      <c r="N1041" s="80"/>
      <c r="O1041" s="80"/>
      <c r="P1041" s="80" t="str">
        <f>IFERROR(__xludf.DUMMYFUNCTION("""COMPUTED_VALUE"""),"MUCSPA63486PSIND")</f>
        <v>MUCSPA63486PSIND</v>
      </c>
      <c r="Q1041" s="80" t="str">
        <f>IFERROR(__xludf.DUMMYFUNCTION("""COMPUTED_VALUE"""),"MUC Putra Arjuno Bersaudara")</f>
        <v>MUC Putra Arjuno Bersaudara</v>
      </c>
      <c r="R1041" s="80" t="str">
        <f>IFERROR(__xludf.DUMMYFUNCTION("""COMPUTED_VALUE"""),"MUC Putra Arjuno Bersaudara")</f>
        <v>MUC Putra Arjuno Bersaudara</v>
      </c>
      <c r="S1041" s="80" t="str">
        <f>IFERROR(__xludf.DUMMYFUNCTION("""COMPUTED_VALUE"""),"Muhammad Rafli")</f>
        <v>Muhammad Rafli</v>
      </c>
      <c r="T1041" s="80" t="str">
        <f>IFERROR(__xludf.DUMMYFUNCTION("""COMPUTED_VALUE"""),"Jl. GN ARJUNO BLOK A.1 NO. 32 VILLA MUTIARA CKR 2 RT 013 RW 007 SUKASEJATI, CIKARANG SELATAN")</f>
        <v>Jl. GN ARJUNO BLOK A.1 NO. 32 VILLA MUTIARA CKR 2 RT 013 RW 007 SUKASEJATI, CIKARANG SELATAN</v>
      </c>
      <c r="U1041" s="80" t="str">
        <f>IFERROR(__xludf.DUMMYFUNCTION("""COMPUTED_VALUE"""),"Ruko Roxy R1/06 Vila Mutiara Cikarang 2")</f>
        <v>Ruko Roxy R1/06 Vila Mutiara Cikarang 2</v>
      </c>
      <c r="V1041" s="80" t="str">
        <f>IFERROR(__xludf.DUMMYFUNCTION("""COMPUTED_VALUE"""),"RT 013 \ RW 007")</f>
        <v>RT 013 \ RW 007</v>
      </c>
      <c r="W1041" s="80" t="str">
        <f>IFERROR(__xludf.DUMMYFUNCTION("""COMPUTED_VALUE"""),"Sukasejati")</f>
        <v>Sukasejati</v>
      </c>
      <c r="X1041" s="80" t="str">
        <f>IFERROR(__xludf.DUMMYFUNCTION("""COMPUTED_VALUE"""),"Cikarang Selatan")</f>
        <v>Cikarang Selatan</v>
      </c>
      <c r="Y1041" s="80" t="str">
        <f>IFERROR(__xludf.DUMMYFUNCTION("""COMPUTED_VALUE"""),"Kab.Bekasi")</f>
        <v>Kab.Bekasi</v>
      </c>
      <c r="Z1041" s="80" t="str">
        <f>IFERROR(__xludf.DUMMYFUNCTION("""COMPUTED_VALUE"""),"Jawa Barat")</f>
        <v>Jawa Barat</v>
      </c>
      <c r="AA1041" s="80" t="str">
        <f>IFERROR(__xludf.DUMMYFUNCTION("""COMPUTED_VALUE"""),"17550")</f>
        <v>17550</v>
      </c>
      <c r="AB1041" s="80" t="str">
        <f>IFERROR(__xludf.DUMMYFUNCTION("""COMPUTED_VALUE"""),"3216190206050003")</f>
        <v>3216190206050003</v>
      </c>
      <c r="AC1041" s="80" t="str">
        <f>IFERROR(__xludf.DUMMYFUNCTION("""COMPUTED_VALUE"""),"39.412.724.5-413.000")</f>
        <v>39.412.724.5-413.000</v>
      </c>
      <c r="AD1041" s="80" t="str">
        <f>IFERROR(__xludf.DUMMYFUNCTION("""COMPUTED_VALUE"""),"CUM - PS - JMN")</f>
        <v>CUM - PS - JMN</v>
      </c>
      <c r="AE1041" s="80" t="str">
        <f>IFERROR(__xludf.DUMMYFUNCTION("""COMPUTED_VALUE"""),"CUM - PS - JMN")</f>
        <v>CUM - PS - JMN</v>
      </c>
      <c r="AF1041" s="80" t="str">
        <f>IFERROR(__xludf.DUMMYFUNCTION("""COMPUTED_VALUE"""),"082124538529")</f>
        <v>082124538529</v>
      </c>
      <c r="AG1041" s="80" t="str">
        <f>IFERROR(__xludf.DUMMYFUNCTION("""COMPUTED_VALUE"""),"082124538529")</f>
        <v>082124538529</v>
      </c>
      <c r="AH1041" s="80" t="str">
        <f>IFERROR(__xludf.DUMMYFUNCTION("""COMPUTED_VALUE"""),"raflimuhhaammad@gmail.com")</f>
        <v>raflimuhhaammad@gmail.com</v>
      </c>
      <c r="AI1041" s="80" t="str">
        <f>IFERROR(__xludf.DUMMYFUNCTION("""COMPUTED_VALUE"""),"17853S5")</f>
        <v>17853S5</v>
      </c>
      <c r="AJ1041" s="80" t="str">
        <f>IFERROR(__xludf.DUMMYFUNCTION("""COMPUTED_VALUE"""),"6a4c7857a0b59e555a027f91")</f>
        <v>6a4c7857a0b59e555a027f91</v>
      </c>
      <c r="AK1041" s="80" t="str">
        <f>IFERROR(__xludf.DUMMYFUNCTION("""COMPUTED_VALUE"""),"raflimuhhaammad@gmail.com")</f>
        <v>raflimuhhaammad@gmail.com</v>
      </c>
      <c r="AL1041" s="80" t="str">
        <f>IFERROR(__xludf.DUMMYFUNCTION("""COMPUTED_VALUE"""),"#Muc17853S5$")</f>
        <v>#Muc17853S5$</v>
      </c>
      <c r="AM1041" s="80" t="str">
        <f>IFERROR(__xludf.DUMMYFUNCTION("""COMPUTED_VALUE"""),"KANTOR REGIONAL II JAKARTA 10004")</f>
        <v>KANTOR REGIONAL II JAKARTA 10004</v>
      </c>
      <c r="AN1041" s="80" t="str">
        <f>IFERROR(__xludf.DUMMYFUNCTION("""COMPUTED_VALUE"""),"KC CIKARANG 17500")</f>
        <v>KC CIKARANG 17500</v>
      </c>
      <c r="AO1041" s="80" t="str">
        <f>IFERROR(__xludf.DUMMYFUNCTION("""COMPUTED_VALUE"""),"0506260018885")</f>
        <v>0506260018885</v>
      </c>
      <c r="AP1041" s="80" t="str">
        <f>IFERROR(__xludf.DUMMYFUNCTION("""COMPUTED_VALUE"""),"05062600188850001")</f>
        <v>05062600188850001</v>
      </c>
      <c r="AQ1041" s="83" t="str">
        <f>IFERROR(__xludf.DUMMYFUNCTION("""COMPUTED_VALUE"""),"6880987974")</f>
        <v>6880987974</v>
      </c>
      <c r="AR1041" s="80" t="str">
        <f>IFERROR(__xludf.DUMMYFUNCTION("""COMPUTED_VALUE"""),"BCA")</f>
        <v>BCA</v>
      </c>
      <c r="AS1041" s="80" t="str">
        <f>IFERROR(__xludf.DUMMYFUNCTION("""COMPUTED_VALUE"""),"Muhammad Rafli")</f>
        <v>Muhammad Rafli</v>
      </c>
      <c r="AT1041" s="80" t="str">
        <f>IFERROR(__xludf.DUMMYFUNCTION("""COMPUTED_VALUE"""),"-6.3414789")</f>
        <v>-6.3414789</v>
      </c>
      <c r="AU1041" s="80" t="str">
        <f>IFERROR(__xludf.DUMMYFUNCTION("""COMPUTED_VALUE"""),"107.1002804")</f>
        <v>107.1002804</v>
      </c>
      <c r="AV1041" s="80"/>
      <c r="AW1041" s="80"/>
      <c r="AX1041" s="80"/>
      <c r="AY1041" s="80"/>
      <c r="AZ1041" s="80"/>
      <c r="BA1041" s="80"/>
      <c r="BB1041" s="80"/>
      <c r="BC1041" s="80"/>
      <c r="BD1041" s="80"/>
      <c r="BE1041" s="80"/>
      <c r="BF1041" s="80"/>
      <c r="BG1041" s="80"/>
      <c r="BH1041" s="80"/>
      <c r="BI1041" s="80"/>
      <c r="BJ1041" s="80"/>
      <c r="BK1041" s="80"/>
      <c r="BL1041" s="80"/>
      <c r="BM1041" s="80"/>
      <c r="BN1041" s="80"/>
      <c r="BO1041" s="80"/>
      <c r="BP1041" s="80"/>
      <c r="BQ1041" s="80"/>
      <c r="BR1041" s="80"/>
      <c r="BS1041" s="80"/>
      <c r="BT1041" s="80"/>
      <c r="BU1041" s="80"/>
      <c r="BV1041" s="80"/>
      <c r="BW1041" s="80"/>
      <c r="BX1041" s="80"/>
      <c r="BY1041" s="80"/>
      <c r="BZ1041" s="80"/>
      <c r="CA1041" s="80"/>
      <c r="CB1041" s="80"/>
      <c r="CC1041" s="80"/>
      <c r="CD1041" s="80"/>
      <c r="CE1041" s="80"/>
      <c r="CF1041" s="80"/>
      <c r="CG1041" s="80"/>
      <c r="CH1041" s="80"/>
      <c r="CI1041" s="80"/>
      <c r="CJ1041" s="80"/>
      <c r="CK1041" s="2"/>
    </row>
    <row r="1042" ht="12.75" customHeight="1">
      <c r="A1042" s="85">
        <f>IFERROR(__xludf.DUMMYFUNCTION("""COMPUTED_VALUE"""),1038.0)</f>
        <v>1038</v>
      </c>
      <c r="B1042" s="85"/>
      <c r="C1042" s="85"/>
      <c r="D1042" s="86">
        <f>IFERROR(__xludf.DUMMYFUNCTION("""COMPUTED_VALUE"""),46178.0)</f>
        <v>46178</v>
      </c>
      <c r="E1042" s="88"/>
      <c r="F1042" s="85"/>
      <c r="G1042" s="86">
        <f>IFERROR(__xludf.DUMMYFUNCTION("""COMPUTED_VALUE"""),46185.0)</f>
        <v>46185</v>
      </c>
      <c r="H1042" s="85"/>
      <c r="I1042" s="85"/>
      <c r="J1042" s="85"/>
      <c r="K1042" s="85"/>
      <c r="L1042" s="85">
        <f>IFERROR(__xludf.DUMMYFUNCTION("""COMPUTED_VALUE"""),7.0)</f>
        <v>7</v>
      </c>
      <c r="M1042" s="85"/>
      <c r="N1042" s="85"/>
      <c r="O1042" s="85"/>
      <c r="P1042" s="85" t="str">
        <f>IFERROR(__xludf.DUMMYFUNCTION("""COMPUTED_VALUE"""),"MUCSPA63505PSIND")</f>
        <v>MUCSPA63505PSIND</v>
      </c>
      <c r="Q1042" s="85" t="str">
        <f>IFERROR(__xludf.DUMMYFUNCTION("""COMPUTED_VALUE"""),"MUC SUDIRMAN PERDAGANGAN")</f>
        <v>MUC SUDIRMAN PERDAGANGAN</v>
      </c>
      <c r="R1042" s="85" t="str">
        <f>IFERROR(__xludf.DUMMYFUNCTION("""COMPUTED_VALUE"""),"MUC SUDIRMAN PERDAGANGAN")</f>
        <v>MUC SUDIRMAN PERDAGANGAN</v>
      </c>
      <c r="S1042" s="85" t="str">
        <f>IFERROR(__xludf.DUMMYFUNCTION("""COMPUTED_VALUE"""),"HERRY AGUST SIHOMBING")</f>
        <v>HERRY AGUST SIHOMBING</v>
      </c>
      <c r="T1042" s="85" t="str">
        <f>IFERROR(__xludf.DUMMYFUNCTION("""COMPUTED_VALUE"""),"JL. SUDIRMAN RT 00 RW 00 PERDAGANGAN I BANDAR")</f>
        <v>JL. SUDIRMAN RT 00 RW 00 PERDAGANGAN I BANDAR</v>
      </c>
      <c r="U1042" s="85" t="str">
        <f>IFERROR(__xludf.DUMMYFUNCTION("""COMPUTED_VALUE"""),"JL. SUDIRMAN NO. 20")</f>
        <v>JL. SUDIRMAN NO. 20</v>
      </c>
      <c r="V1042" s="85" t="str">
        <f>IFERROR(__xludf.DUMMYFUNCTION("""COMPUTED_VALUE"""),"RT 00  \ RW 00")</f>
        <v>RT 00  \ RW 00</v>
      </c>
      <c r="W1042" s="85" t="str">
        <f>IFERROR(__xludf.DUMMYFUNCTION("""COMPUTED_VALUE"""),"PERDAGANGAN I")</f>
        <v>PERDAGANGAN I</v>
      </c>
      <c r="X1042" s="85" t="str">
        <f>IFERROR(__xludf.DUMMYFUNCTION("""COMPUTED_VALUE"""),"BANDAR")</f>
        <v>BANDAR</v>
      </c>
      <c r="Y1042" s="85" t="str">
        <f>IFERROR(__xludf.DUMMYFUNCTION("""COMPUTED_VALUE"""),"Kota")</f>
        <v>Kota</v>
      </c>
      <c r="Z1042" s="85" t="str">
        <f>IFERROR(__xludf.DUMMYFUNCTION("""COMPUTED_VALUE"""),"SUMATERA UTARA")</f>
        <v>SUMATERA UTARA</v>
      </c>
      <c r="AA1042" s="85" t="str">
        <f>IFERROR(__xludf.DUMMYFUNCTION("""COMPUTED_VALUE"""),"21184")</f>
        <v>21184</v>
      </c>
      <c r="AB1042" s="85" t="str">
        <f>IFERROR(__xludf.DUMMYFUNCTION("""COMPUTED_VALUE"""),"1208231608630001")</f>
        <v>1208231608630001</v>
      </c>
      <c r="AC1042" s="85" t="str">
        <f>IFERROR(__xludf.DUMMYFUNCTION("""COMPUTED_VALUE"""),"96.403.737.8-117.000")</f>
        <v>96.403.737.8-117.000</v>
      </c>
      <c r="AD1042" s="85" t="str">
        <f>IFERROR(__xludf.DUMMYFUNCTION("""COMPUTED_VALUE"""),"BU DEVI KA CPEMATANG SIANTAR")</f>
        <v>BU DEVI KA CPEMATANG SIANTAR</v>
      </c>
      <c r="AE1042" s="85" t="str">
        <f>IFERROR(__xludf.DUMMYFUNCTION("""COMPUTED_VALUE"""),"BU DEVI KA CPEMATANG SIANTAR")</f>
        <v>BU DEVI KA CPEMATANG SIANTAR</v>
      </c>
      <c r="AF1042" s="85" t="str">
        <f>IFERROR(__xludf.DUMMYFUNCTION("""COMPUTED_VALUE"""),"8111176668")</f>
        <v>8111176668</v>
      </c>
      <c r="AG1042" s="85" t="str">
        <f>IFERROR(__xludf.DUMMYFUNCTION("""COMPUTED_VALUE"""),"8111176668")</f>
        <v>8111176668</v>
      </c>
      <c r="AH1042" s="85" t="str">
        <f>IFERROR(__xludf.DUMMYFUNCTION("""COMPUTED_VALUE"""),"herryasihombing@gmail.com")</f>
        <v>herryasihombing@gmail.com</v>
      </c>
      <c r="AI1042" s="85" t="str">
        <f>IFERROR(__xludf.DUMMYFUNCTION("""COMPUTED_VALUE"""),"21184S4")</f>
        <v>21184S4</v>
      </c>
      <c r="AJ1042" s="85" t="str">
        <f>IFERROR(__xludf.DUMMYFUNCTION("""COMPUTED_VALUE"""),"6a2b87a80084bd3c1204be8b")</f>
        <v>6a2b87a80084bd3c1204be8b</v>
      </c>
      <c r="AK1042" s="85" t="str">
        <f>IFERROR(__xludf.DUMMYFUNCTION("""COMPUTED_VALUE"""),"herryasihombing@gmail.com")</f>
        <v>herryasihombing@gmail.com</v>
      </c>
      <c r="AL1042" s="85" t="str">
        <f>IFERROR(__xludf.DUMMYFUNCTION("""COMPUTED_VALUE"""),"#Muc21184S4$")</f>
        <v>#Muc21184S4$</v>
      </c>
      <c r="AM1042" s="85" t="str">
        <f>IFERROR(__xludf.DUMMYFUNCTION("""COMPUTED_VALUE"""),"KANTOR REGIONAL I MEDAN 20004")</f>
        <v>KANTOR REGIONAL I MEDAN 20004</v>
      </c>
      <c r="AN1042" s="85" t="str">
        <f>IFERROR(__xludf.DUMMYFUNCTION("""COMPUTED_VALUE"""),"KC PEMATANGSIANTAR 21100")</f>
        <v>KC PEMATANGSIANTAR 21100</v>
      </c>
      <c r="AO1042" s="85" t="str">
        <f>IFERROR(__xludf.DUMMYFUNCTION("""COMPUTED_VALUE"""),"703230094751")</f>
        <v>703230094751</v>
      </c>
      <c r="AP1042" s="85" t="str">
        <f>IFERROR(__xludf.DUMMYFUNCTION("""COMPUTED_VALUE"""),"07032300947510001")</f>
        <v>07032300947510001</v>
      </c>
      <c r="AQ1042" s="93" t="str">
        <f>IFERROR(__xludf.DUMMYFUNCTION("""COMPUTED_VALUE"""),"3351-0102-0695-53-4")</f>
        <v>3351-0102-0695-53-4</v>
      </c>
      <c r="AR1042" s="85" t="str">
        <f>IFERROR(__xludf.DUMMYFUNCTION("""COMPUTED_VALUE"""),"BRI")</f>
        <v>BRI</v>
      </c>
      <c r="AS1042" s="85" t="str">
        <f>IFERROR(__xludf.DUMMYFUNCTION("""COMPUTED_VALUE"""),"RUTH JATIE MARIA HUTABARAT")</f>
        <v>RUTH JATIE MARIA HUTABARAT</v>
      </c>
      <c r="AT1042" s="85" t="str">
        <f>IFERROR(__xludf.DUMMYFUNCTION("""COMPUTED_VALUE"""),"3.1589821")</f>
        <v>3.1589821</v>
      </c>
      <c r="AU1042" s="85" t="str">
        <f>IFERROR(__xludf.DUMMYFUNCTION("""COMPUTED_VALUE"""),"99.3245204")</f>
        <v>99.3245204</v>
      </c>
      <c r="AV1042" s="85"/>
      <c r="AW1042" s="85"/>
      <c r="AX1042" s="85"/>
      <c r="AY1042" s="85"/>
      <c r="AZ1042" s="85"/>
      <c r="BA1042" s="85"/>
      <c r="BB1042" s="85"/>
      <c r="BC1042" s="85"/>
      <c r="BD1042" s="85"/>
      <c r="BE1042" s="85"/>
      <c r="BF1042" s="85"/>
      <c r="BG1042" s="85"/>
      <c r="BH1042" s="85"/>
      <c r="BI1042" s="85"/>
      <c r="BJ1042" s="85"/>
      <c r="BK1042" s="85"/>
      <c r="BL1042" s="85"/>
      <c r="BM1042" s="85"/>
      <c r="BN1042" s="85"/>
      <c r="BO1042" s="85"/>
      <c r="BP1042" s="85"/>
      <c r="BQ1042" s="85"/>
      <c r="BR1042" s="85"/>
      <c r="BS1042" s="85"/>
      <c r="BT1042" s="85"/>
      <c r="BU1042" s="85"/>
      <c r="BV1042" s="85"/>
      <c r="BW1042" s="85"/>
      <c r="BX1042" s="85"/>
      <c r="BY1042" s="85"/>
      <c r="BZ1042" s="85"/>
      <c r="CA1042" s="85"/>
      <c r="CB1042" s="85"/>
      <c r="CC1042" s="85"/>
      <c r="CD1042" s="85"/>
      <c r="CE1042" s="85"/>
      <c r="CF1042" s="85"/>
      <c r="CG1042" s="85"/>
      <c r="CH1042" s="85"/>
      <c r="CI1042" s="85"/>
      <c r="CJ1042" s="85"/>
      <c r="CK1042" s="2"/>
    </row>
    <row r="1043" ht="12.75" customHeight="1">
      <c r="A1043" s="80">
        <f>IFERROR(__xludf.DUMMYFUNCTION("""COMPUTED_VALUE"""),1039.0)</f>
        <v>1039</v>
      </c>
      <c r="B1043" s="80"/>
      <c r="C1043" s="80"/>
      <c r="D1043" s="81">
        <f>IFERROR(__xludf.DUMMYFUNCTION("""COMPUTED_VALUE"""),46178.0)</f>
        <v>46178</v>
      </c>
      <c r="E1043" s="82"/>
      <c r="F1043" s="80"/>
      <c r="G1043" s="81">
        <f>IFERROR(__xludf.DUMMYFUNCTION("""COMPUTED_VALUE"""),46203.0)</f>
        <v>46203</v>
      </c>
      <c r="H1043" s="80"/>
      <c r="I1043" s="80"/>
      <c r="J1043" s="80"/>
      <c r="K1043" s="80"/>
      <c r="L1043" s="80">
        <f>IFERROR(__xludf.DUMMYFUNCTION("""COMPUTED_VALUE"""),25.0)</f>
        <v>25</v>
      </c>
      <c r="M1043" s="80"/>
      <c r="N1043" s="80"/>
      <c r="O1043" s="80"/>
      <c r="P1043" s="80" t="str">
        <f>IFERROR(__xludf.DUMMYFUNCTION("""COMPUTED_VALUE"""),"MUCSPA63506PSIND")</f>
        <v>MUCSPA63506PSIND</v>
      </c>
      <c r="Q1043" s="80" t="str">
        <f>IFERROR(__xludf.DUMMYFUNCTION("""COMPUTED_VALUE"""),"MUC MITRA STORE")</f>
        <v>MUC MITRA STORE</v>
      </c>
      <c r="R1043" s="80" t="str">
        <f>IFERROR(__xludf.DUMMYFUNCTION("""COMPUTED_VALUE"""),"MUC MITRA STORE")</f>
        <v>MUC MITRA STORE</v>
      </c>
      <c r="S1043" s="80" t="str">
        <f>IFERROR(__xludf.DUMMYFUNCTION("""COMPUTED_VALUE"""),"RIE KIE KARIYANTO")</f>
        <v>RIE KIE KARIYANTO</v>
      </c>
      <c r="T1043" s="80" t="str">
        <f>IFERROR(__xludf.DUMMYFUNCTION("""COMPUTED_VALUE"""),"Jl. JEND SUDIRMAN NO 362 RT 001 RW 001 SIDOMULYO, PRABUMULIH UTARA, PRABUMULIH")</f>
        <v>Jl. JEND SUDIRMAN NO 362 RT 001 RW 001 SIDOMULYO, PRABUMULIH UTARA, PRABUMULIH</v>
      </c>
      <c r="U1043" s="80" t="str">
        <f>IFERROR(__xludf.DUMMYFUNCTION("""COMPUTED_VALUE"""),"Jl. JEND SUDIRMAN NO 362 RT 001 RW 001 SIDOMULYO, PRABUMULIH UTARA, PRABUMULIH")</f>
        <v>Jl. JEND SUDIRMAN NO 362 RT 001 RW 001 SIDOMULYO, PRABUMULIH UTARA, PRABUMULIH</v>
      </c>
      <c r="V1043" s="80" t="str">
        <f>IFERROR(__xludf.DUMMYFUNCTION("""COMPUTED_VALUE"""),"RT 001 \ RW 001")</f>
        <v>RT 001 \ RW 001</v>
      </c>
      <c r="W1043" s="80" t="str">
        <f>IFERROR(__xludf.DUMMYFUNCTION("""COMPUTED_VALUE"""),"SIDOMULYO")</f>
        <v>SIDOMULYO</v>
      </c>
      <c r="X1043" s="80" t="str">
        <f>IFERROR(__xludf.DUMMYFUNCTION("""COMPUTED_VALUE"""),"Prabumulih Utara")</f>
        <v>Prabumulih Utara</v>
      </c>
      <c r="Y1043" s="80" t="str">
        <f>IFERROR(__xludf.DUMMYFUNCTION("""COMPUTED_VALUE"""),"PRABUMULIH")</f>
        <v>PRABUMULIH</v>
      </c>
      <c r="Z1043" s="80" t="str">
        <f>IFERROR(__xludf.DUMMYFUNCTION("""COMPUTED_VALUE"""),"SUMATERA SELATAN")</f>
        <v>SUMATERA SELATAN</v>
      </c>
      <c r="AA1043" s="80" t="str">
        <f>IFERROR(__xludf.DUMMYFUNCTION("""COMPUTED_VALUE"""),"31114")</f>
        <v>31114</v>
      </c>
      <c r="AB1043" s="80" t="str">
        <f>IFERROR(__xludf.DUMMYFUNCTION("""COMPUTED_VALUE"""),"1674010701670006")</f>
        <v>1674010701670006</v>
      </c>
      <c r="AC1043" s="80" t="str">
        <f>IFERROR(__xludf.DUMMYFUNCTION("""COMPUTED_VALUE"""),"08.445.843.9-313.000")</f>
        <v>08.445.843.9-313.000</v>
      </c>
      <c r="AD1043" s="80" t="str">
        <f>IFERROR(__xludf.DUMMYFUNCTION("""COMPUTED_VALUE"""),"PAK DEDI KC PRABUMULIH")</f>
        <v>PAK DEDI KC PRABUMULIH</v>
      </c>
      <c r="AE1043" s="80" t="str">
        <f>IFERROR(__xludf.DUMMYFUNCTION("""COMPUTED_VALUE"""),"PAK DEDI KC PRABUMULIH")</f>
        <v>PAK DEDI KC PRABUMULIH</v>
      </c>
      <c r="AF1043" s="80" t="str">
        <f>IFERROR(__xludf.DUMMYFUNCTION("""COMPUTED_VALUE"""),"81294636696")</f>
        <v>81294636696</v>
      </c>
      <c r="AG1043" s="80" t="str">
        <f>IFERROR(__xludf.DUMMYFUNCTION("""COMPUTED_VALUE"""),"81294636696")</f>
        <v>81294636696</v>
      </c>
      <c r="AH1043" s="80" t="str">
        <f>IFERROR(__xludf.DUMMYFUNCTION("""COMPUTED_VALUE"""),"riekieka0107@gmail.com")</f>
        <v>riekieka0107@gmail.com</v>
      </c>
      <c r="AI1043" s="80" t="str">
        <f>IFERROR(__xludf.DUMMYFUNCTION("""COMPUTED_VALUE"""),"31126S2")</f>
        <v>31126S2</v>
      </c>
      <c r="AJ1043" s="80" t="str">
        <f>IFERROR(__xludf.DUMMYFUNCTION("""COMPUTED_VALUE"""),"6a44984c8848c751ea0a5369")</f>
        <v>6a44984c8848c751ea0a5369</v>
      </c>
      <c r="AK1043" s="80" t="str">
        <f>IFERROR(__xludf.DUMMYFUNCTION("""COMPUTED_VALUE"""),"riekieka0107@gmail.com")</f>
        <v>riekieka0107@gmail.com</v>
      </c>
      <c r="AL1043" s="80" t="str">
        <f>IFERROR(__xludf.DUMMYFUNCTION("""COMPUTED_VALUE"""),"Muc31126S2$")</f>
        <v>Muc31126S2$</v>
      </c>
      <c r="AM1043" s="80" t="str">
        <f>IFERROR(__xludf.DUMMYFUNCTION("""COMPUTED_VALUE"""),"KANTOR REGIONAL I MEDAN 20004")</f>
        <v>KANTOR REGIONAL I MEDAN 20004</v>
      </c>
      <c r="AN1043" s="80" t="str">
        <f>IFERROR(__xludf.DUMMYFUNCTION("""COMPUTED_VALUE"""),"KC PRABUMULIH 31100")</f>
        <v>KC PRABUMULIH 31100</v>
      </c>
      <c r="AO1043" s="80" t="str">
        <f>IFERROR(__xludf.DUMMYFUNCTION("""COMPUTED_VALUE"""),"1602230096785")</f>
        <v>1602230096785</v>
      </c>
      <c r="AP1043" s="80" t="str">
        <f>IFERROR(__xludf.DUMMYFUNCTION("""COMPUTED_VALUE"""),"16022300967850001")</f>
        <v>16022300967850001</v>
      </c>
      <c r="AQ1043" s="83" t="str">
        <f>IFERROR(__xludf.DUMMYFUNCTION("""COMPUTED_VALUE"""),"3000138346")</f>
        <v>3000138346</v>
      </c>
      <c r="AR1043" s="80" t="str">
        <f>IFERROR(__xludf.DUMMYFUNCTION("""COMPUTED_VALUE"""),"BCA")</f>
        <v>BCA</v>
      </c>
      <c r="AS1043" s="80" t="str">
        <f>IFERROR(__xludf.DUMMYFUNCTION("""COMPUTED_VALUE"""),"RIE KIE KARIYANTO")</f>
        <v>RIE KIE KARIYANTO</v>
      </c>
      <c r="AT1043" s="80" t="str">
        <f>IFERROR(__xludf.DUMMYFUNCTION("""COMPUTED_VALUE"""),"-34,338,605")</f>
        <v>-34,338,605</v>
      </c>
      <c r="AU1043" s="80" t="str">
        <f>IFERROR(__xludf.DUMMYFUNCTION("""COMPUTED_VALUE"""),"104,239,475")</f>
        <v>104,239,475</v>
      </c>
      <c r="AV1043" s="80"/>
      <c r="AW1043" s="80"/>
      <c r="AX1043" s="80"/>
      <c r="AY1043" s="80"/>
      <c r="AZ1043" s="80"/>
      <c r="BA1043" s="80"/>
      <c r="BB1043" s="80"/>
      <c r="BC1043" s="80"/>
      <c r="BD1043" s="80"/>
      <c r="BE1043" s="80"/>
      <c r="BF1043" s="80"/>
      <c r="BG1043" s="80"/>
      <c r="BH1043" s="80"/>
      <c r="BI1043" s="80"/>
      <c r="BJ1043" s="80"/>
      <c r="BK1043" s="80"/>
      <c r="BL1043" s="80"/>
      <c r="BM1043" s="80"/>
      <c r="BN1043" s="80"/>
      <c r="BO1043" s="80"/>
      <c r="BP1043" s="80"/>
      <c r="BQ1043" s="80"/>
      <c r="BR1043" s="80"/>
      <c r="BS1043" s="80"/>
      <c r="BT1043" s="80"/>
      <c r="BU1043" s="80"/>
      <c r="BV1043" s="80"/>
      <c r="BW1043" s="80"/>
      <c r="BX1043" s="80"/>
      <c r="BY1043" s="80"/>
      <c r="BZ1043" s="80"/>
      <c r="CA1043" s="80"/>
      <c r="CB1043" s="80"/>
      <c r="CC1043" s="80"/>
      <c r="CD1043" s="80"/>
      <c r="CE1043" s="80"/>
      <c r="CF1043" s="80"/>
      <c r="CG1043" s="80"/>
      <c r="CH1043" s="80"/>
      <c r="CI1043" s="80"/>
      <c r="CJ1043" s="80"/>
      <c r="CK1043" s="2"/>
    </row>
    <row r="1044" ht="12.75" customHeight="1">
      <c r="A1044" s="85">
        <f>IFERROR(__xludf.DUMMYFUNCTION("""COMPUTED_VALUE"""),1040.0)</f>
        <v>1040</v>
      </c>
      <c r="B1044" s="85"/>
      <c r="C1044" s="85"/>
      <c r="D1044" s="86">
        <f>IFERROR(__xludf.DUMMYFUNCTION("""COMPUTED_VALUE"""),46178.0)</f>
        <v>46178</v>
      </c>
      <c r="E1044" s="88"/>
      <c r="F1044" s="85"/>
      <c r="G1044" s="86">
        <f>IFERROR(__xludf.DUMMYFUNCTION("""COMPUTED_VALUE"""),46182.0)</f>
        <v>46182</v>
      </c>
      <c r="H1044" s="85"/>
      <c r="I1044" s="85"/>
      <c r="J1044" s="85"/>
      <c r="K1044" s="85"/>
      <c r="L1044" s="85">
        <f>IFERROR(__xludf.DUMMYFUNCTION("""COMPUTED_VALUE"""),4.0)</f>
        <v>4</v>
      </c>
      <c r="M1044" s="85"/>
      <c r="N1044" s="85"/>
      <c r="O1044" s="85"/>
      <c r="P1044" s="85" t="str">
        <f>IFERROR(__xludf.DUMMYFUNCTION("""COMPUTED_VALUE"""),"MUCSPA63465PSIND")</f>
        <v>MUCSPA63465PSIND</v>
      </c>
      <c r="Q1044" s="85" t="str">
        <f>IFERROR(__xludf.DUMMYFUNCTION("""COMPUTED_VALUE"""),"MUC HOLONG SINAMBELA")</f>
        <v>MUC HOLONG SINAMBELA</v>
      </c>
      <c r="R1044" s="85" t="str">
        <f>IFERROR(__xludf.DUMMYFUNCTION("""COMPUTED_VALUE"""),"MUC HOLONG SINAMBELA")</f>
        <v>MUC HOLONG SINAMBELA</v>
      </c>
      <c r="S1044" s="85" t="str">
        <f>IFERROR(__xludf.DUMMYFUNCTION("""COMPUTED_VALUE"""),"HOLONG SINAMBELA")</f>
        <v>HOLONG SINAMBELA</v>
      </c>
      <c r="T1044" s="85" t="str">
        <f>IFERROR(__xludf.DUMMYFUNCTION("""COMPUTED_VALUE"""),"DUSUN XIII JL. BERSAMA UJUNG RT 00 RW 00 MULIO REJO SUNGGAL KAB. DELISERDANG")</f>
        <v>DUSUN XIII JL. BERSAMA UJUNG RT 00 RW 00 MULIO REJO SUNGGAL KAB. DELISERDANG</v>
      </c>
      <c r="U1044" s="85" t="str">
        <f>IFERROR(__xludf.DUMMYFUNCTION("""COMPUTED_VALUE"""),"JL. DELI TUA-PANCUR BATU")</f>
        <v>JL. DELI TUA-PANCUR BATU</v>
      </c>
      <c r="V1044" s="85" t="str">
        <f>IFERROR(__xludf.DUMMYFUNCTION("""COMPUTED_VALUE"""),"RT 00  \ RW 00")</f>
        <v>RT 00  \ RW 00</v>
      </c>
      <c r="W1044" s="85" t="str">
        <f>IFERROR(__xludf.DUMMYFUNCTION("""COMPUTED_VALUE"""),"DURIN SIMBELANG")</f>
        <v>DURIN SIMBELANG</v>
      </c>
      <c r="X1044" s="85" t="str">
        <f>IFERROR(__xludf.DUMMYFUNCTION("""COMPUTED_VALUE"""),"PANCUR BATU")</f>
        <v>PANCUR BATU</v>
      </c>
      <c r="Y1044" s="85" t="str">
        <f>IFERROR(__xludf.DUMMYFUNCTION("""COMPUTED_VALUE"""),"Kota")</f>
        <v>Kota</v>
      </c>
      <c r="Z1044" s="85" t="str">
        <f>IFERROR(__xludf.DUMMYFUNCTION("""COMPUTED_VALUE"""),"SUMATERA UTARA")</f>
        <v>SUMATERA UTARA</v>
      </c>
      <c r="AA1044" s="85" t="str">
        <f>IFERROR(__xludf.DUMMYFUNCTION("""COMPUTED_VALUE"""),"20353")</f>
        <v>20353</v>
      </c>
      <c r="AB1044" s="85" t="str">
        <f>IFERROR(__xludf.DUMMYFUNCTION("""COMPUTED_VALUE"""),"1271030211860005")</f>
        <v>1271030211860005</v>
      </c>
      <c r="AC1044" s="85" t="str">
        <f>IFERROR(__xludf.DUMMYFUNCTION("""COMPUTED_VALUE"""),"12.710.302.1-186.0005")</f>
        <v>12.710.302.1-186.0005</v>
      </c>
      <c r="AD1044" s="85" t="str">
        <f>IFERROR(__xludf.DUMMYFUNCTION("""COMPUTED_VALUE"""),"PAK HARUL KCU MEDAN")</f>
        <v>PAK HARUL KCU MEDAN</v>
      </c>
      <c r="AE1044" s="85" t="str">
        <f>IFERROR(__xludf.DUMMYFUNCTION("""COMPUTED_VALUE"""),"PAK HARUL KCU MEDAN")</f>
        <v>PAK HARUL KCU MEDAN</v>
      </c>
      <c r="AF1044" s="85" t="str">
        <f>IFERROR(__xludf.DUMMYFUNCTION("""COMPUTED_VALUE"""),"81215162890")</f>
        <v>81215162890</v>
      </c>
      <c r="AG1044" s="85" t="str">
        <f>IFERROR(__xludf.DUMMYFUNCTION("""COMPUTED_VALUE"""),"81215162890")</f>
        <v>81215162890</v>
      </c>
      <c r="AH1044" s="85" t="str">
        <f>IFERROR(__xludf.DUMMYFUNCTION("""COMPUTED_VALUE"""),"holong.sinembela86@gmail.com")</f>
        <v>holong.sinembela86@gmail.com</v>
      </c>
      <c r="AI1044" s="85" t="str">
        <f>IFERROR(__xludf.DUMMYFUNCTION("""COMPUTED_VALUE"""),"20353S7")</f>
        <v>20353S7</v>
      </c>
      <c r="AJ1044" s="85" t="str">
        <f>IFERROR(__xludf.DUMMYFUNCTION("""COMPUTED_VALUE"""),"6a268df69aba74790f095ebf")</f>
        <v>6a268df69aba74790f095ebf</v>
      </c>
      <c r="AK1044" s="85" t="str">
        <f>IFERROR(__xludf.DUMMYFUNCTION("""COMPUTED_VALUE"""),"dostamaa.travel2026@gmail.com")</f>
        <v>dostamaa.travel2026@gmail.com</v>
      </c>
      <c r="AL1044" s="85" t="str">
        <f>IFERROR(__xludf.DUMMYFUNCTION("""COMPUTED_VALUE"""),"#Muc20353S7$")</f>
        <v>#Muc20353S7$</v>
      </c>
      <c r="AM1044" s="85" t="str">
        <f>IFERROR(__xludf.DUMMYFUNCTION("""COMPUTED_VALUE"""),"KANTOR REGIONAL I MEDAN 20004")</f>
        <v>KANTOR REGIONAL I MEDAN 20004</v>
      </c>
      <c r="AN1044" s="85" t="str">
        <f>IFERROR(__xludf.DUMMYFUNCTION("""COMPUTED_VALUE"""),"KCU MEDAN 20000")</f>
        <v>KCU MEDAN 20000</v>
      </c>
      <c r="AO1044" s="85" t="str">
        <f>IFERROR(__xludf.DUMMYFUNCTION("""COMPUTED_VALUE"""),"1104260035853")</f>
        <v>1104260035853</v>
      </c>
      <c r="AP1044" s="85" t="str">
        <f>IFERROR(__xludf.DUMMYFUNCTION("""COMPUTED_VALUE"""),"11042600358530002")</f>
        <v>11042600358530002</v>
      </c>
      <c r="AQ1044" s="93" t="str">
        <f>IFERROR(__xludf.DUMMYFUNCTION("""COMPUTED_VALUE"""),"810046925712")</f>
        <v>810046925712</v>
      </c>
      <c r="AR1044" s="85" t="str">
        <f>IFERROR(__xludf.DUMMYFUNCTION("""COMPUTED_VALUE"""),"BANK INA")</f>
        <v>BANK INA</v>
      </c>
      <c r="AS1044" s="85" t="str">
        <f>IFERROR(__xludf.DUMMYFUNCTION("""COMPUTED_VALUE"""),"HOLONG SINAMBELA")</f>
        <v>HOLONG SINAMBELA</v>
      </c>
      <c r="AT1044" s="85" t="str">
        <f>IFERROR(__xludf.DUMMYFUNCTION("""COMPUTED_VALUE"""),"3,480,793")</f>
        <v>3,480,793</v>
      </c>
      <c r="AU1044" s="85" t="str">
        <f>IFERROR(__xludf.DUMMYFUNCTION("""COMPUTED_VALUE"""),"985,997,646")</f>
        <v>985,997,646</v>
      </c>
      <c r="AV1044" s="85"/>
      <c r="AW1044" s="85"/>
      <c r="AX1044" s="85"/>
      <c r="AY1044" s="85"/>
      <c r="AZ1044" s="85"/>
      <c r="BA1044" s="85"/>
      <c r="BB1044" s="85"/>
      <c r="BC1044" s="85"/>
      <c r="BD1044" s="85"/>
      <c r="BE1044" s="85"/>
      <c r="BF1044" s="85"/>
      <c r="BG1044" s="85"/>
      <c r="BH1044" s="85"/>
      <c r="BI1044" s="85"/>
      <c r="BJ1044" s="85"/>
      <c r="BK1044" s="85"/>
      <c r="BL1044" s="85"/>
      <c r="BM1044" s="85"/>
      <c r="BN1044" s="85"/>
      <c r="BO1044" s="85"/>
      <c r="BP1044" s="85"/>
      <c r="BQ1044" s="85"/>
      <c r="BR1044" s="85"/>
      <c r="BS1044" s="85"/>
      <c r="BT1044" s="85"/>
      <c r="BU1044" s="85"/>
      <c r="BV1044" s="85"/>
      <c r="BW1044" s="85"/>
      <c r="BX1044" s="85"/>
      <c r="BY1044" s="85"/>
      <c r="BZ1044" s="85"/>
      <c r="CA1044" s="85"/>
      <c r="CB1044" s="85"/>
      <c r="CC1044" s="85"/>
      <c r="CD1044" s="85"/>
      <c r="CE1044" s="85"/>
      <c r="CF1044" s="85"/>
      <c r="CG1044" s="85"/>
      <c r="CH1044" s="85"/>
      <c r="CI1044" s="85"/>
      <c r="CJ1044" s="85"/>
      <c r="CK1044" s="2"/>
    </row>
    <row r="1045" ht="12.75" customHeight="1">
      <c r="A1045" s="80">
        <f>IFERROR(__xludf.DUMMYFUNCTION("""COMPUTED_VALUE"""),1041.0)</f>
        <v>1041</v>
      </c>
      <c r="B1045" s="80"/>
      <c r="C1045" s="80"/>
      <c r="D1045" s="81">
        <f>IFERROR(__xludf.DUMMYFUNCTION("""COMPUTED_VALUE"""),46181.0)</f>
        <v>46181</v>
      </c>
      <c r="E1045" s="82"/>
      <c r="F1045" s="80"/>
      <c r="G1045" s="81">
        <f>IFERROR(__xludf.DUMMYFUNCTION("""COMPUTED_VALUE"""),46185.0)</f>
        <v>46185</v>
      </c>
      <c r="H1045" s="80"/>
      <c r="I1045" s="80"/>
      <c r="J1045" s="80"/>
      <c r="K1045" s="80"/>
      <c r="L1045" s="80">
        <f>IFERROR(__xludf.DUMMYFUNCTION("""COMPUTED_VALUE"""),4.0)</f>
        <v>4</v>
      </c>
      <c r="M1045" s="80"/>
      <c r="N1045" s="80"/>
      <c r="O1045" s="80"/>
      <c r="P1045" s="80" t="str">
        <f>IFERROR(__xludf.DUMMYFUNCTION("""COMPUTED_VALUE"""),"MUCSPA63508PSIND")</f>
        <v>MUCSPA63508PSIND</v>
      </c>
      <c r="Q1045" s="80" t="str">
        <f>IFERROR(__xludf.DUMMYFUNCTION("""COMPUTED_VALUE"""),"MUC SOBAT MANIS")</f>
        <v>MUC SOBAT MANIS</v>
      </c>
      <c r="R1045" s="80" t="str">
        <f>IFERROR(__xludf.DUMMYFUNCTION("""COMPUTED_VALUE"""),"MUC SOBAT MANIS")</f>
        <v>MUC SOBAT MANIS</v>
      </c>
      <c r="S1045" s="80" t="str">
        <f>IFERROR(__xludf.DUMMYFUNCTION("""COMPUTED_VALUE"""),"YENI ARTI")</f>
        <v>YENI ARTI</v>
      </c>
      <c r="T1045" s="80" t="str">
        <f>IFERROR(__xludf.DUMMYFUNCTION("""COMPUTED_VALUE"""),"KP. MULIH RT 2 RW 2 MEKARSARI RANGKASBITUNG")</f>
        <v>KP. MULIH RT 2 RW 2 MEKARSARI RANGKASBITUNG</v>
      </c>
      <c r="U1045" s="80" t="str">
        <f>IFERROR(__xludf.DUMMYFUNCTION("""COMPUTED_VALUE"""),"KP. MULIH RT 1 RW 2")</f>
        <v>KP. MULIH RT 1 RW 2</v>
      </c>
      <c r="V1045" s="80" t="str">
        <f>IFERROR(__xludf.DUMMYFUNCTION("""COMPUTED_VALUE"""),"RT 2 R \ RW 2 M")</f>
        <v>RT 2 R \ RW 2 M</v>
      </c>
      <c r="W1045" s="80" t="str">
        <f>IFERROR(__xludf.DUMMYFUNCTION("""COMPUTED_VALUE"""),"MEKARSARI")</f>
        <v>MEKARSARI</v>
      </c>
      <c r="X1045" s="80" t="str">
        <f>IFERROR(__xludf.DUMMYFUNCTION("""COMPUTED_VALUE"""),"RANGKASBITUNG")</f>
        <v>RANGKASBITUNG</v>
      </c>
      <c r="Y1045" s="80" t="str">
        <f>IFERROR(__xludf.DUMMYFUNCTION("""COMPUTED_VALUE"""),"KAB. LEBAK")</f>
        <v>KAB. LEBAK</v>
      </c>
      <c r="Z1045" s="80" t="str">
        <f>IFERROR(__xludf.DUMMYFUNCTION("""COMPUTED_VALUE"""),"BANTEN")</f>
        <v>BANTEN</v>
      </c>
      <c r="AA1045" s="80" t="str">
        <f>IFERROR(__xludf.DUMMYFUNCTION("""COMPUTED_VALUE"""),"42312")</f>
        <v>42312</v>
      </c>
      <c r="AB1045" s="80" t="str">
        <f>IFERROR(__xludf.DUMMYFUNCTION("""COMPUTED_VALUE"""),"3602145205810004")</f>
        <v>3602145205810004</v>
      </c>
      <c r="AC1045" s="80" t="str">
        <f>IFERROR(__xludf.DUMMYFUNCTION("""COMPUTED_VALUE"""),"55.928.900.4-419.000")</f>
        <v>55.928.900.4-419.000</v>
      </c>
      <c r="AD1045" s="80" t="str">
        <f>IFERROR(__xludf.DUMMYFUNCTION("""COMPUTED_VALUE"""),"BU ASTRI KC RANGKASBITUNG")</f>
        <v>BU ASTRI KC RANGKASBITUNG</v>
      </c>
      <c r="AE1045" s="80" t="str">
        <f>IFERROR(__xludf.DUMMYFUNCTION("""COMPUTED_VALUE"""),"BU ASTRI KC RANGKASBITUNG")</f>
        <v>BU ASTRI KC RANGKASBITUNG</v>
      </c>
      <c r="AF1045" s="80" t="str">
        <f>IFERROR(__xludf.DUMMYFUNCTION("""COMPUTED_VALUE"""),"87771579811")</f>
        <v>87771579811</v>
      </c>
      <c r="AG1045" s="80" t="str">
        <f>IFERROR(__xludf.DUMMYFUNCTION("""COMPUTED_VALUE"""),"87771579811")</f>
        <v>87771579811</v>
      </c>
      <c r="AH1045" s="80" t="str">
        <f>IFERROR(__xludf.DUMMYFUNCTION("""COMPUTED_VALUE"""),"yenii.arti@gmail.com")</f>
        <v>yenii.arti@gmail.com</v>
      </c>
      <c r="AI1045" s="80" t="str">
        <f>IFERROR(__xludf.DUMMYFUNCTION("""COMPUTED_VALUE"""),"42319S1")</f>
        <v>42319S1</v>
      </c>
      <c r="AJ1045" s="80" t="str">
        <f>IFERROR(__xludf.DUMMYFUNCTION("""COMPUTED_VALUE"""),"6a2a33e4fda897d93f0c3885")</f>
        <v>6a2a33e4fda897d93f0c3885</v>
      </c>
      <c r="AK1045" s="80" t="str">
        <f>IFERROR(__xludf.DUMMYFUNCTION("""COMPUTED_VALUE"""),"yenii.arti@gmail.com")</f>
        <v>yenii.arti@gmail.com</v>
      </c>
      <c r="AL1045" s="80" t="str">
        <f>IFERROR(__xludf.DUMMYFUNCTION("""COMPUTED_VALUE"""),"#Muc42319S1$")</f>
        <v>#Muc42319S1$</v>
      </c>
      <c r="AM1045" s="80" t="str">
        <f>IFERROR(__xludf.DUMMYFUNCTION("""COMPUTED_VALUE"""),"KANTOR REGIONAL II JAKARTA 10004")</f>
        <v>KANTOR REGIONAL II JAKARTA 10004</v>
      </c>
      <c r="AN1045" s="80" t="str">
        <f>IFERROR(__xludf.DUMMYFUNCTION("""COMPUTED_VALUE"""),"KC RANGKASBITUNG 42300")</f>
        <v>KC RANGKASBITUNG 42300</v>
      </c>
      <c r="AO1045" s="80" t="str">
        <f>IFERROR(__xludf.DUMMYFUNCTION("""COMPUTED_VALUE"""),"1202260182236")</f>
        <v>1202260182236</v>
      </c>
      <c r="AP1045" s="80" t="str">
        <f>IFERROR(__xludf.DUMMYFUNCTION("""COMPUTED_VALUE"""),"12022601822360001")</f>
        <v>12022601822360001</v>
      </c>
      <c r="AQ1045" s="83" t="str">
        <f>IFERROR(__xludf.DUMMYFUNCTION("""COMPUTED_VALUE"""),"5421732290")</f>
        <v>5421732290</v>
      </c>
      <c r="AR1045" s="80" t="str">
        <f>IFERROR(__xludf.DUMMYFUNCTION("""COMPUTED_VALUE"""),"BCA")</f>
        <v>BCA</v>
      </c>
      <c r="AS1045" s="80" t="str">
        <f>IFERROR(__xludf.DUMMYFUNCTION("""COMPUTED_VALUE"""),"YENI ARTI")</f>
        <v>YENI ARTI</v>
      </c>
      <c r="AT1045" s="80" t="str">
        <f>IFERROR(__xludf.DUMMYFUNCTION("""COMPUTED_VALUE"""),"-6.3301111,106.3549555")</f>
        <v>-6.3301111,106.3549555</v>
      </c>
      <c r="AU1045" s="80" t="str">
        <f>IFERROR(__xludf.DUMMYFUNCTION("""COMPUTED_VALUE"""),"-6.3301111,106.3549555")</f>
        <v>-6.3301111,106.3549555</v>
      </c>
      <c r="AV1045" s="80"/>
      <c r="AW1045" s="80"/>
      <c r="AX1045" s="80"/>
      <c r="AY1045" s="80"/>
      <c r="AZ1045" s="80"/>
      <c r="BA1045" s="80"/>
      <c r="BB1045" s="80"/>
      <c r="BC1045" s="80"/>
      <c r="BD1045" s="80"/>
      <c r="BE1045" s="80"/>
      <c r="BF1045" s="80"/>
      <c r="BG1045" s="80"/>
      <c r="BH1045" s="80"/>
      <c r="BI1045" s="80"/>
      <c r="BJ1045" s="80"/>
      <c r="BK1045" s="80"/>
      <c r="BL1045" s="80"/>
      <c r="BM1045" s="80"/>
      <c r="BN1045" s="80"/>
      <c r="BO1045" s="80"/>
      <c r="BP1045" s="80"/>
      <c r="BQ1045" s="80"/>
      <c r="BR1045" s="80"/>
      <c r="BS1045" s="80"/>
      <c r="BT1045" s="80"/>
      <c r="BU1045" s="80"/>
      <c r="BV1045" s="80"/>
      <c r="BW1045" s="80"/>
      <c r="BX1045" s="80"/>
      <c r="BY1045" s="80"/>
      <c r="BZ1045" s="80"/>
      <c r="CA1045" s="80"/>
      <c r="CB1045" s="80"/>
      <c r="CC1045" s="80"/>
      <c r="CD1045" s="80"/>
      <c r="CE1045" s="80"/>
      <c r="CF1045" s="80"/>
      <c r="CG1045" s="80"/>
      <c r="CH1045" s="80"/>
      <c r="CI1045" s="80"/>
      <c r="CJ1045" s="80"/>
      <c r="CK1045" s="2"/>
    </row>
    <row r="1046" ht="12.75" customHeight="1">
      <c r="A1046" s="85">
        <f>IFERROR(__xludf.DUMMYFUNCTION("""COMPUTED_VALUE"""),1042.0)</f>
        <v>1042</v>
      </c>
      <c r="B1046" s="85"/>
      <c r="C1046" s="85"/>
      <c r="D1046" s="86">
        <f>IFERROR(__xludf.DUMMYFUNCTION("""COMPUTED_VALUE"""),46181.0)</f>
        <v>46181</v>
      </c>
      <c r="E1046" s="88"/>
      <c r="F1046" s="85"/>
      <c r="G1046" s="86"/>
      <c r="H1046" s="85"/>
      <c r="I1046" s="85"/>
      <c r="J1046" s="85"/>
      <c r="K1046" s="85"/>
      <c r="L1046" s="85"/>
      <c r="M1046" s="85"/>
      <c r="N1046" s="85"/>
      <c r="O1046" s="85"/>
      <c r="P1046" s="85" t="str">
        <f>IFERROR(__xludf.DUMMYFUNCTION("""COMPUTED_VALUE"""),"MUCSPA63507PSIND")</f>
        <v>MUCSPA63507PSIND</v>
      </c>
      <c r="Q1046" s="85" t="str">
        <f>IFERROR(__xludf.DUMMYFUNCTION("""COMPUTED_VALUE"""),"MUC MARA JUANTIKA")</f>
        <v>MUC MARA JUANTIKA</v>
      </c>
      <c r="R1046" s="85" t="str">
        <f>IFERROR(__xludf.DUMMYFUNCTION("""COMPUTED_VALUE"""),"MUC MARA JUANTIKA")</f>
        <v>MUC MARA JUANTIKA</v>
      </c>
      <c r="S1046" s="85" t="str">
        <f>IFERROR(__xludf.DUMMYFUNCTION("""COMPUTED_VALUE"""),"JANGKUNG WIBOWO")</f>
        <v>JANGKUNG WIBOWO</v>
      </c>
      <c r="T1046" s="85" t="str">
        <f>IFERROR(__xludf.DUMMYFUNCTION("""COMPUTED_VALUE"""),"REJOSARI RT 041 RW 008 REJOSARI, KEBONSARI, MADIUN")</f>
        <v>REJOSARI RT 041 RW 008 REJOSARI, KEBONSARI, MADIUN</v>
      </c>
      <c r="U1046" s="85" t="str">
        <f>IFERROR(__xludf.DUMMYFUNCTION("""COMPUTED_VALUE"""),"REJOSARI RT 041 RW 008 REJOSARI, KEBONSARI, MADIUN")</f>
        <v>REJOSARI RT 041 RW 008 REJOSARI, KEBONSARI, MADIUN</v>
      </c>
      <c r="V1046" s="85"/>
      <c r="W1046" s="85" t="str">
        <f>IFERROR(__xludf.DUMMYFUNCTION("""COMPUTED_VALUE"""),"REJOSARI")</f>
        <v>REJOSARI</v>
      </c>
      <c r="X1046" s="85" t="str">
        <f>IFERROR(__xludf.DUMMYFUNCTION("""COMPUTED_VALUE"""),"KEBONSARI")</f>
        <v>KEBONSARI</v>
      </c>
      <c r="Y1046" s="85" t="str">
        <f>IFERROR(__xludf.DUMMYFUNCTION("""COMPUTED_VALUE"""),"KAB.MADIUN")</f>
        <v>KAB.MADIUN</v>
      </c>
      <c r="Z1046" s="85" t="str">
        <f>IFERROR(__xludf.DUMMYFUNCTION("""COMPUTED_VALUE"""),"JAWA TIMUR")</f>
        <v>JAWA TIMUR</v>
      </c>
      <c r="AA1046" s="85" t="str">
        <f>IFERROR(__xludf.DUMMYFUNCTION("""COMPUTED_VALUE"""),"63173")</f>
        <v>63173</v>
      </c>
      <c r="AB1046" s="85" t="str">
        <f>IFERROR(__xludf.DUMMYFUNCTION("""COMPUTED_VALUE"""),"3519011007840001")</f>
        <v>3519011007840001</v>
      </c>
      <c r="AC1046" s="85" t="str">
        <f>IFERROR(__xludf.DUMMYFUNCTION("""COMPUTED_VALUE"""),"29.898.208.3-621.000")</f>
        <v>29.898.208.3-621.000</v>
      </c>
      <c r="AD1046" s="85" t="str">
        <f>IFERROR(__xludf.DUMMYFUNCTION("""COMPUTED_VALUE"""),"CUM - PS - NON KORGEN")</f>
        <v>CUM - PS - NON KORGEN</v>
      </c>
      <c r="AE1046" s="85" t="str">
        <f>IFERROR(__xludf.DUMMYFUNCTION("""COMPUTED_VALUE"""),"PAK ARIS KC MADIUN")</f>
        <v>PAK ARIS KC MADIUN</v>
      </c>
      <c r="AF1046" s="85" t="str">
        <f>IFERROR(__xludf.DUMMYFUNCTION("""COMPUTED_VALUE"""),"81299744762")</f>
        <v>81299744762</v>
      </c>
      <c r="AG1046" s="85"/>
      <c r="AH1046" s="85" t="str">
        <f>IFERROR(__xludf.DUMMYFUNCTION("""COMPUTED_VALUE"""),"irumadiun@gmail.com")</f>
        <v>irumadiun@gmail.com</v>
      </c>
      <c r="AI1046" s="85"/>
      <c r="AJ1046" s="85"/>
      <c r="AK1046" s="85"/>
      <c r="AL1046" s="85"/>
      <c r="AM1046" s="85" t="str">
        <f>IFERROR(__xludf.DUMMYFUNCTION("""COMPUTED_VALUE"""),"KANTOR REGIONAL V SURABAYA 60004")</f>
        <v>KANTOR REGIONAL V SURABAYA 60004</v>
      </c>
      <c r="AN1046" s="85" t="str">
        <f>IFERROR(__xludf.DUMMYFUNCTION("""COMPUTED_VALUE"""),"KCU MADIUN 63100")</f>
        <v>KCU MADIUN 63100</v>
      </c>
      <c r="AO1046" s="85" t="str">
        <f>IFERROR(__xludf.DUMMYFUNCTION("""COMPUTED_VALUE"""),"606260031473")</f>
        <v>606260031473</v>
      </c>
      <c r="AP1046" s="85" t="str">
        <f>IFERROR(__xludf.DUMMYFUNCTION("""COMPUTED_VALUE"""),"06062600314730001")</f>
        <v>06062600314730001</v>
      </c>
      <c r="AQ1046" s="93" t="str">
        <f>IFERROR(__xludf.DUMMYFUNCTION("""COMPUTED_VALUE"""),"7001023583539")</f>
        <v>7001023583539</v>
      </c>
      <c r="AR1046" s="85" t="str">
        <f>IFERROR(__xludf.DUMMYFUNCTION("""COMPUTED_VALUE"""),"BRI")</f>
        <v>BRI</v>
      </c>
      <c r="AS1046" s="85" t="str">
        <f>IFERROR(__xludf.DUMMYFUNCTION("""COMPUTED_VALUE"""),"KHOIRUR ROHMATIN")</f>
        <v>KHOIRUR ROHMATIN</v>
      </c>
      <c r="AT1046" s="85" t="str">
        <f>IFERROR(__xludf.DUMMYFUNCTION("""COMPUTED_VALUE"""),"-77,134,381")</f>
        <v>-77,134,381</v>
      </c>
      <c r="AU1046" s="85" t="str">
        <f>IFERROR(__xludf.DUMMYFUNCTION("""COMPUTED_VALUE"""),"1,114,739,856")</f>
        <v>1,114,739,856</v>
      </c>
      <c r="AV1046" s="85"/>
      <c r="AW1046" s="85"/>
      <c r="AX1046" s="85"/>
      <c r="AY1046" s="85"/>
      <c r="AZ1046" s="85"/>
      <c r="BA1046" s="85"/>
      <c r="BB1046" s="85"/>
      <c r="BC1046" s="85"/>
      <c r="BD1046" s="85"/>
      <c r="BE1046" s="85"/>
      <c r="BF1046" s="85"/>
      <c r="BG1046" s="85"/>
      <c r="BH1046" s="85"/>
      <c r="BI1046" s="85"/>
      <c r="BJ1046" s="85"/>
      <c r="BK1046" s="85"/>
      <c r="BL1046" s="85"/>
      <c r="BM1046" s="85"/>
      <c r="BN1046" s="85"/>
      <c r="BO1046" s="85"/>
      <c r="BP1046" s="85"/>
      <c r="BQ1046" s="85"/>
      <c r="BR1046" s="85"/>
      <c r="BS1046" s="85"/>
      <c r="BT1046" s="85"/>
      <c r="BU1046" s="85"/>
      <c r="BV1046" s="85"/>
      <c r="BW1046" s="85"/>
      <c r="BX1046" s="85"/>
      <c r="BY1046" s="85"/>
      <c r="BZ1046" s="85"/>
      <c r="CA1046" s="85"/>
      <c r="CB1046" s="85"/>
      <c r="CC1046" s="85"/>
      <c r="CD1046" s="85"/>
      <c r="CE1046" s="85"/>
      <c r="CF1046" s="85"/>
      <c r="CG1046" s="85"/>
      <c r="CH1046" s="85"/>
      <c r="CI1046" s="85"/>
      <c r="CJ1046" s="85"/>
      <c r="CK1046" s="2"/>
    </row>
    <row r="1047" ht="12.75" customHeight="1">
      <c r="A1047" s="80">
        <f>IFERROR(__xludf.DUMMYFUNCTION("""COMPUTED_VALUE"""),1043.0)</f>
        <v>1043</v>
      </c>
      <c r="B1047" s="80"/>
      <c r="C1047" s="80"/>
      <c r="D1047" s="81">
        <f>IFERROR(__xludf.DUMMYFUNCTION("""COMPUTED_VALUE"""),46181.0)</f>
        <v>46181</v>
      </c>
      <c r="E1047" s="82"/>
      <c r="F1047" s="80"/>
      <c r="G1047" s="81">
        <f>IFERROR(__xludf.DUMMYFUNCTION("""COMPUTED_VALUE"""),46188.0)</f>
        <v>46188</v>
      </c>
      <c r="H1047" s="80"/>
      <c r="I1047" s="80"/>
      <c r="J1047" s="80"/>
      <c r="K1047" s="80"/>
      <c r="L1047" s="80">
        <f>IFERROR(__xludf.DUMMYFUNCTION("""COMPUTED_VALUE"""),7.0)</f>
        <v>7</v>
      </c>
      <c r="M1047" s="80"/>
      <c r="N1047" s="80"/>
      <c r="O1047" s="80"/>
      <c r="P1047" s="80" t="str">
        <f>IFERROR(__xludf.DUMMYFUNCTION("""COMPUTED_VALUE"""),"53BSPA09970JBEEN")</f>
        <v>53BSPA09970JBEEN</v>
      </c>
      <c r="Q1047" s="80" t="str">
        <f>IFERROR(__xludf.DUMMYFUNCTION("""COMPUTED_VALUE"""),"MUC Point Sandhya Jaya")</f>
        <v>MUC Point Sandhya Jaya</v>
      </c>
      <c r="R1047" s="80" t="str">
        <f>IFERROR(__xludf.DUMMYFUNCTION("""COMPUTED_VALUE"""),"MUC Point Sandhya Jaya")</f>
        <v>MUC Point Sandhya Jaya</v>
      </c>
      <c r="S1047" s="80" t="str">
        <f>IFERROR(__xludf.DUMMYFUNCTION("""COMPUTED_VALUE"""),"ZAINUR WISJNU WARDHANI")</f>
        <v>ZAINUR WISJNU WARDHANI</v>
      </c>
      <c r="T1047" s="80" t="str">
        <f>IFERROR(__xludf.DUMMYFUNCTION("""COMPUTED_VALUE"""),"JL. CENDRAWASIH VI/27, SAWAH BARU, CIPUTAT, TANGERANG SELATAN, PROVINSI BANTEN")</f>
        <v>JL. CENDRAWASIH VI/27, SAWAH BARU, CIPUTAT, TANGERANG SELATAN, PROVINSI BANTEN</v>
      </c>
      <c r="U1047" s="80" t="str">
        <f>IFERROR(__xludf.DUMMYFUNCTION("""COMPUTED_VALUE"""),"Jl. Cendrawasih Raya RT.02/RW.03")</f>
        <v>Jl. Cendrawasih Raya RT.02/RW.03</v>
      </c>
      <c r="V1047" s="80"/>
      <c r="W1047" s="80" t="str">
        <f>IFERROR(__xludf.DUMMYFUNCTION("""COMPUTED_VALUE"""),"Sawah Baru")</f>
        <v>Sawah Baru</v>
      </c>
      <c r="X1047" s="80" t="str">
        <f>IFERROR(__xludf.DUMMYFUNCTION("""COMPUTED_VALUE"""),"Ciputat")</f>
        <v>Ciputat</v>
      </c>
      <c r="Y1047" s="80" t="str">
        <f>IFERROR(__xludf.DUMMYFUNCTION("""COMPUTED_VALUE"""),"Kota Tangerang Selatan")</f>
        <v>Kota Tangerang Selatan</v>
      </c>
      <c r="Z1047" s="80" t="str">
        <f>IFERROR(__xludf.DUMMYFUNCTION("""COMPUTED_VALUE"""),"Banten")</f>
        <v>Banten</v>
      </c>
      <c r="AA1047" s="80" t="str">
        <f>IFERROR(__xludf.DUMMYFUNCTION("""COMPUTED_VALUE"""),"15413")</f>
        <v>15413</v>
      </c>
      <c r="AB1047" s="80" t="str">
        <f>IFERROR(__xludf.DUMMYFUNCTION("""COMPUTED_VALUE"""),"3674044206660003")</f>
        <v>3674044206660003</v>
      </c>
      <c r="AC1047" s="80" t="str">
        <f>IFERROR(__xludf.DUMMYFUNCTION("""COMPUTED_VALUE"""),"49.381.210.1-411.000")</f>
        <v>49.381.210.1-411.000</v>
      </c>
      <c r="AD1047" s="80" t="str">
        <f>IFERROR(__xludf.DUMMYFUNCTION("""COMPUTED_VALUE"""),"CUM - EEN")</f>
        <v>CUM - EEN</v>
      </c>
      <c r="AE1047" s="80" t="str">
        <f>IFERROR(__xludf.DUMMYFUNCTION("""COMPUTED_VALUE"""),"CUM - EEN")</f>
        <v>CUM - EEN</v>
      </c>
      <c r="AF1047" s="80" t="str">
        <f>IFERROR(__xludf.DUMMYFUNCTION("""COMPUTED_VALUE"""),"85283152021")</f>
        <v>85283152021</v>
      </c>
      <c r="AG1047" s="80" t="str">
        <f>IFERROR(__xludf.DUMMYFUNCTION("""COMPUTED_VALUE"""),"85283152021")</f>
        <v>85283152021</v>
      </c>
      <c r="AH1047" s="80" t="str">
        <f>IFERROR(__xludf.DUMMYFUNCTION("""COMPUTED_VALUE"""),"nur02666wardani@gmail.com")</f>
        <v>nur02666wardani@gmail.com</v>
      </c>
      <c r="AI1047" s="80" t="str">
        <f>IFERROR(__xludf.DUMMYFUNCTION("""COMPUTED_VALUE"""),"15413S7")</f>
        <v>15413S7</v>
      </c>
      <c r="AJ1047" s="80" t="str">
        <f>IFERROR(__xludf.DUMMYFUNCTION("""COMPUTED_VALUE"""),"6a2eb8c040cd12454603f581")</f>
        <v>6a2eb8c040cd12454603f581</v>
      </c>
      <c r="AK1047" s="80" t="str">
        <f>IFERROR(__xludf.DUMMYFUNCTION("""COMPUTED_VALUE"""),"nur02666wardani@gmail.com")</f>
        <v>nur02666wardani@gmail.com</v>
      </c>
      <c r="AL1047" s="80" t="str">
        <f>IFERROR(__xludf.DUMMYFUNCTION("""COMPUTED_VALUE"""),"#Muc15413S7$")</f>
        <v>#Muc15413S7$</v>
      </c>
      <c r="AM1047" s="80" t="str">
        <f>IFERROR(__xludf.DUMMYFUNCTION("""COMPUTED_VALUE"""),"KANTOR REGIONAL II JAKARTA 10004")</f>
        <v>KANTOR REGIONAL II JAKARTA 10004</v>
      </c>
      <c r="AN1047" s="80" t="str">
        <f>IFERROR(__xludf.DUMMYFUNCTION("""COMPUTED_VALUE"""),"KC TANGERANGSELATAN 15400")</f>
        <v>KC TANGERANGSELATAN 15400</v>
      </c>
      <c r="AO1047" s="80" t="str">
        <f>IFERROR(__xludf.DUMMYFUNCTION("""COMPUTED_VALUE"""),"1501240036166")</f>
        <v>1501240036166</v>
      </c>
      <c r="AP1047" s="80" t="str">
        <f>IFERROR(__xludf.DUMMYFUNCTION("""COMPUTED_VALUE"""),"15012400361660001")</f>
        <v>15012400361660001</v>
      </c>
      <c r="AQ1047" s="83" t="str">
        <f>IFERROR(__xludf.DUMMYFUNCTION("""COMPUTED_VALUE"""),"6045018117")</f>
        <v>6045018117</v>
      </c>
      <c r="AR1047" s="80" t="str">
        <f>IFERROR(__xludf.DUMMYFUNCTION("""COMPUTED_VALUE"""),"BCA")</f>
        <v>BCA</v>
      </c>
      <c r="AS1047" s="80" t="str">
        <f>IFERROR(__xludf.DUMMYFUNCTION("""COMPUTED_VALUE"""),"Zainur Wisjnu Wardhani")</f>
        <v>Zainur Wisjnu Wardhani</v>
      </c>
      <c r="AT1047" s="80" t="str">
        <f>IFERROR(__xludf.DUMMYFUNCTION("""COMPUTED_VALUE"""),"-6,296,094")</f>
        <v>-6,296,094</v>
      </c>
      <c r="AU1047" s="80" t="str">
        <f>IFERROR(__xludf.DUMMYFUNCTION("""COMPUTED_VALUE"""),"106,723,530")</f>
        <v>106,723,530</v>
      </c>
      <c r="AV1047" s="80"/>
      <c r="AW1047" s="80"/>
      <c r="AX1047" s="80"/>
      <c r="AY1047" s="80"/>
      <c r="AZ1047" s="80"/>
      <c r="BA1047" s="80"/>
      <c r="BB1047" s="80"/>
      <c r="BC1047" s="80"/>
      <c r="BD1047" s="80"/>
      <c r="BE1047" s="80"/>
      <c r="BF1047" s="80"/>
      <c r="BG1047" s="80"/>
      <c r="BH1047" s="80"/>
      <c r="BI1047" s="80"/>
      <c r="BJ1047" s="80"/>
      <c r="BK1047" s="80"/>
      <c r="BL1047" s="80"/>
      <c r="BM1047" s="80"/>
      <c r="BN1047" s="80"/>
      <c r="BO1047" s="80"/>
      <c r="BP1047" s="80"/>
      <c r="BQ1047" s="80"/>
      <c r="BR1047" s="80"/>
      <c r="BS1047" s="80"/>
      <c r="BT1047" s="80"/>
      <c r="BU1047" s="80"/>
      <c r="BV1047" s="80"/>
      <c r="BW1047" s="80"/>
      <c r="BX1047" s="80"/>
      <c r="BY1047" s="80"/>
      <c r="BZ1047" s="80"/>
      <c r="CA1047" s="80"/>
      <c r="CB1047" s="80"/>
      <c r="CC1047" s="80"/>
      <c r="CD1047" s="80"/>
      <c r="CE1047" s="80"/>
      <c r="CF1047" s="80"/>
      <c r="CG1047" s="80"/>
      <c r="CH1047" s="80"/>
      <c r="CI1047" s="80"/>
      <c r="CJ1047" s="80"/>
      <c r="CK1047" s="2"/>
    </row>
    <row r="1048" ht="12.75" customHeight="1">
      <c r="A1048" s="85">
        <f>IFERROR(__xludf.DUMMYFUNCTION("""COMPUTED_VALUE"""),1044.0)</f>
        <v>1044</v>
      </c>
      <c r="B1048" s="85"/>
      <c r="C1048" s="85"/>
      <c r="D1048" s="86">
        <f>IFERROR(__xludf.DUMMYFUNCTION("""COMPUTED_VALUE"""),46181.0)</f>
        <v>46181</v>
      </c>
      <c r="E1048" s="88"/>
      <c r="F1048" s="85"/>
      <c r="G1048" s="86">
        <f>IFERROR(__xludf.DUMMYFUNCTION("""COMPUTED_VALUE"""),46185.0)</f>
        <v>46185</v>
      </c>
      <c r="H1048" s="85"/>
      <c r="I1048" s="85"/>
      <c r="J1048" s="85"/>
      <c r="K1048" s="85"/>
      <c r="L1048" s="85">
        <f>IFERROR(__xludf.DUMMYFUNCTION("""COMPUTED_VALUE"""),4.0)</f>
        <v>4</v>
      </c>
      <c r="M1048" s="85"/>
      <c r="N1048" s="85"/>
      <c r="O1048" s="85"/>
      <c r="P1048" s="85" t="str">
        <f>IFERROR(__xludf.DUMMYFUNCTION("""COMPUTED_VALUE"""),"MUCSPA63509PSIND")</f>
        <v>MUCSPA63509PSIND</v>
      </c>
      <c r="Q1048" s="85" t="str">
        <f>IFERROR(__xludf.DUMMYFUNCTION("""COMPUTED_VALUE"""),"MUC ZAA BADUY")</f>
        <v>MUC ZAA BADUY</v>
      </c>
      <c r="R1048" s="85" t="str">
        <f>IFERROR(__xludf.DUMMYFUNCTION("""COMPUTED_VALUE"""),"MUC ZAA BADUY")</f>
        <v>MUC ZAA BADUY</v>
      </c>
      <c r="S1048" s="85" t="str">
        <f>IFERROR(__xludf.DUMMYFUNCTION("""COMPUTED_VALUE"""),"MANAH ROHAMAH")</f>
        <v>MANAH ROHAMAH</v>
      </c>
      <c r="T1048" s="85" t="str">
        <f>IFERROR(__xludf.DUMMYFUNCTION("""COMPUTED_VALUE"""),"KP. MANGPELEM CONDONG RT 006 RW 002")</f>
        <v>KP. MANGPELEM CONDONG RT 006 RW 002</v>
      </c>
      <c r="U1048" s="85" t="str">
        <f>IFERROR(__xludf.DUMMYFUNCTION("""COMPUTED_VALUE"""),"KP. MANGPELEM CONDONG RT 006 RW 002")</f>
        <v>KP. MANGPELEM CONDONG RT 006 RW 002</v>
      </c>
      <c r="V1048" s="85"/>
      <c r="W1048" s="85" t="str">
        <f>IFERROR(__xludf.DUMMYFUNCTION("""COMPUTED_VALUE"""),"Bojongmenteng")</f>
        <v>Bojongmenteng</v>
      </c>
      <c r="X1048" s="85" t="str">
        <f>IFERROR(__xludf.DUMMYFUNCTION("""COMPUTED_VALUE"""),"Leuwidamar")</f>
        <v>Leuwidamar</v>
      </c>
      <c r="Y1048" s="85" t="str">
        <f>IFERROR(__xludf.DUMMYFUNCTION("""COMPUTED_VALUE"""),"KAB.LEBAK")</f>
        <v>KAB.LEBAK</v>
      </c>
      <c r="Z1048" s="85" t="str">
        <f>IFERROR(__xludf.DUMMYFUNCTION("""COMPUTED_VALUE"""),"Banten")</f>
        <v>Banten</v>
      </c>
      <c r="AA1048" s="85" t="str">
        <f>IFERROR(__xludf.DUMMYFUNCTION("""COMPUTED_VALUE"""),"42362")</f>
        <v>42362</v>
      </c>
      <c r="AB1048" s="85" t="str">
        <f>IFERROR(__xludf.DUMMYFUNCTION("""COMPUTED_VALUE"""),"3602066506930005")</f>
        <v>3602066506930005</v>
      </c>
      <c r="AC1048" s="85" t="str">
        <f>IFERROR(__xludf.DUMMYFUNCTION("""COMPUTED_VALUE"""),"43.286.263.9-419.000")</f>
        <v>43.286.263.9-419.000</v>
      </c>
      <c r="AD1048" s="85" t="str">
        <f>IFERROR(__xludf.DUMMYFUNCTION("""COMPUTED_VALUE"""),"CUM - PS - NON KORGEN")</f>
        <v>CUM - PS - NON KORGEN</v>
      </c>
      <c r="AE1048" s="85" t="str">
        <f>IFERROR(__xludf.DUMMYFUNCTION("""COMPUTED_VALUE"""),"BU RISNA KC RANGKAS")</f>
        <v>BU RISNA KC RANGKAS</v>
      </c>
      <c r="AF1048" s="85" t="str">
        <f>IFERROR(__xludf.DUMMYFUNCTION("""COMPUTED_VALUE"""),"85716061348")</f>
        <v>85716061348</v>
      </c>
      <c r="AG1048" s="85"/>
      <c r="AH1048" s="85" t="str">
        <f>IFERROR(__xludf.DUMMYFUNCTION("""COMPUTED_VALUE"""),"rohamahmanah@gmail.com")</f>
        <v>rohamahmanah@gmail.com</v>
      </c>
      <c r="AI1048" s="85" t="str">
        <f>IFERROR(__xludf.DUMMYFUNCTION("""COMPUTED_VALUE"""),"42362S3")</f>
        <v>42362S3</v>
      </c>
      <c r="AJ1048" s="85" t="str">
        <f>IFERROR(__xludf.DUMMYFUNCTION("""COMPUTED_VALUE"""),"6a29f499d0db88e1880affff")</f>
        <v>6a29f499d0db88e1880affff</v>
      </c>
      <c r="AK1048" s="85" t="str">
        <f>IFERROR(__xludf.DUMMYFUNCTION("""COMPUTED_VALUE"""),"rohamahmanah@gmail.com")</f>
        <v>rohamahmanah@gmail.com</v>
      </c>
      <c r="AL1048" s="85" t="str">
        <f>IFERROR(__xludf.DUMMYFUNCTION("""COMPUTED_VALUE"""),"#Muc42362S3$")</f>
        <v>#Muc42362S3$</v>
      </c>
      <c r="AM1048" s="85" t="str">
        <f>IFERROR(__xludf.DUMMYFUNCTION("""COMPUTED_VALUE"""),"KANTOR REGIONAL II JAKARTA 10004")</f>
        <v>KANTOR REGIONAL II JAKARTA 10004</v>
      </c>
      <c r="AN1048" s="85" t="str">
        <f>IFERROR(__xludf.DUMMYFUNCTION("""COMPUTED_VALUE"""),"KC RANGKASBITUNG 42300")</f>
        <v>KC RANGKASBITUNG 42300</v>
      </c>
      <c r="AO1048" s="85" t="str">
        <f>IFERROR(__xludf.DUMMYFUNCTION("""COMPUTED_VALUE"""),"2611250029141")</f>
        <v>2611250029141</v>
      </c>
      <c r="AP1048" s="85" t="str">
        <f>IFERROR(__xludf.DUMMYFUNCTION("""COMPUTED_VALUE"""),"26112500291410001")</f>
        <v>26112500291410001</v>
      </c>
      <c r="AQ1048" s="93" t="str">
        <f>IFERROR(__xludf.DUMMYFUNCTION("""COMPUTED_VALUE"""),"117101500041609")</f>
        <v>117101500041609</v>
      </c>
      <c r="AR1048" s="85" t="str">
        <f>IFERROR(__xludf.DUMMYFUNCTION("""COMPUTED_VALUE"""),"BTN")</f>
        <v>BTN</v>
      </c>
      <c r="AS1048" s="85" t="str">
        <f>IFERROR(__xludf.DUMMYFUNCTION("""COMPUTED_VALUE"""),"Manah Rohamah")</f>
        <v>Manah Rohamah</v>
      </c>
      <c r="AT1048" s="85" t="str">
        <f>IFERROR(__xludf.DUMMYFUNCTION("""COMPUTED_VALUE"""),"-6,590,898")</f>
        <v>-6,590,898</v>
      </c>
      <c r="AU1048" s="85" t="str">
        <f>IFERROR(__xludf.DUMMYFUNCTION("""COMPUTED_VALUE"""),"106,221,562")</f>
        <v>106,221,562</v>
      </c>
      <c r="AV1048" s="85"/>
      <c r="AW1048" s="85"/>
      <c r="AX1048" s="85"/>
      <c r="AY1048" s="85"/>
      <c r="AZ1048" s="85"/>
      <c r="BA1048" s="85"/>
      <c r="BB1048" s="85"/>
      <c r="BC1048" s="85"/>
      <c r="BD1048" s="85"/>
      <c r="BE1048" s="85"/>
      <c r="BF1048" s="85"/>
      <c r="BG1048" s="85"/>
      <c r="BH1048" s="85"/>
      <c r="BI1048" s="85"/>
      <c r="BJ1048" s="85"/>
      <c r="BK1048" s="85"/>
      <c r="BL1048" s="85"/>
      <c r="BM1048" s="85"/>
      <c r="BN1048" s="85"/>
      <c r="BO1048" s="85"/>
      <c r="BP1048" s="85"/>
      <c r="BQ1048" s="85"/>
      <c r="BR1048" s="85"/>
      <c r="BS1048" s="85"/>
      <c r="BT1048" s="85"/>
      <c r="BU1048" s="85"/>
      <c r="BV1048" s="85"/>
      <c r="BW1048" s="85"/>
      <c r="BX1048" s="85"/>
      <c r="BY1048" s="85"/>
      <c r="BZ1048" s="85"/>
      <c r="CA1048" s="85"/>
      <c r="CB1048" s="85"/>
      <c r="CC1048" s="85"/>
      <c r="CD1048" s="85"/>
      <c r="CE1048" s="85"/>
      <c r="CF1048" s="85"/>
      <c r="CG1048" s="85"/>
      <c r="CH1048" s="85"/>
      <c r="CI1048" s="85"/>
      <c r="CJ1048" s="85"/>
      <c r="CK1048" s="2"/>
    </row>
    <row r="1049" ht="12.75" customHeight="1">
      <c r="A1049" s="80">
        <f>IFERROR(__xludf.DUMMYFUNCTION("""COMPUTED_VALUE"""),1045.0)</f>
        <v>1045</v>
      </c>
      <c r="B1049" s="80"/>
      <c r="C1049" s="80"/>
      <c r="D1049" s="81">
        <f>IFERROR(__xludf.DUMMYFUNCTION("""COMPUTED_VALUE"""),46181.0)</f>
        <v>46181</v>
      </c>
      <c r="E1049" s="82"/>
      <c r="F1049" s="80"/>
      <c r="G1049" s="81"/>
      <c r="H1049" s="80"/>
      <c r="I1049" s="80"/>
      <c r="J1049" s="80"/>
      <c r="K1049" s="80"/>
      <c r="L1049" s="80"/>
      <c r="M1049" s="80"/>
      <c r="N1049" s="80"/>
      <c r="O1049" s="80"/>
      <c r="P1049" s="80" t="str">
        <f>IFERROR(__xludf.DUMMYFUNCTION("""COMPUTED_VALUE"""),"MUCSPA63511PSIND")</f>
        <v>MUCSPA63511PSIND</v>
      </c>
      <c r="Q1049" s="80" t="str">
        <f>IFERROR(__xludf.DUMMYFUNCTION("""COMPUTED_VALUE"""),"MUC MANGUHARJO")</f>
        <v>MUC MANGUHARJO</v>
      </c>
      <c r="R1049" s="80" t="str">
        <f>IFERROR(__xludf.DUMMYFUNCTION("""COMPUTED_VALUE"""),"MUC MANGUHARJO")</f>
        <v>MUC MANGUHARJO</v>
      </c>
      <c r="S1049" s="80" t="str">
        <f>IFERROR(__xludf.DUMMYFUNCTION("""COMPUTED_VALUE"""),"WIDA SAPUTRI")</f>
        <v>WIDA SAPUTRI</v>
      </c>
      <c r="T1049" s="80" t="str">
        <f>IFERROR(__xludf.DUMMYFUNCTION("""COMPUTED_VALUE"""),"JL. MOJOPAHIT GG. II RT 021 RW 009 WINONGO, MANGUHARJO, MADIUN")</f>
        <v>JL. MOJOPAHIT GG. II RT 021 RW 009 WINONGO, MANGUHARJO, MADIUN</v>
      </c>
      <c r="U1049" s="80" t="str">
        <f>IFERROR(__xludf.DUMMYFUNCTION("""COMPUTED_VALUE"""),"JL. HAYAM WURUK NO.12")</f>
        <v>JL. HAYAM WURUK NO.12</v>
      </c>
      <c r="V1049" s="80" t="str">
        <f>IFERROR(__xludf.DUMMYFUNCTION("""COMPUTED_VALUE"""),"RT 021 \ RW 009")</f>
        <v>RT 021 \ RW 009</v>
      </c>
      <c r="W1049" s="80" t="str">
        <f>IFERROR(__xludf.DUMMYFUNCTION("""COMPUTED_VALUE"""),"MANGUHARJO")</f>
        <v>MANGUHARJO</v>
      </c>
      <c r="X1049" s="80" t="str">
        <f>IFERROR(__xludf.DUMMYFUNCTION("""COMPUTED_VALUE"""),"MANGUHARJO")</f>
        <v>MANGUHARJO</v>
      </c>
      <c r="Y1049" s="80" t="str">
        <f>IFERROR(__xludf.DUMMYFUNCTION("""COMPUTED_VALUE"""),"MADIUN")</f>
        <v>MADIUN</v>
      </c>
      <c r="Z1049" s="80" t="str">
        <f>IFERROR(__xludf.DUMMYFUNCTION("""COMPUTED_VALUE"""),"JAWA TIMUR")</f>
        <v>JAWA TIMUR</v>
      </c>
      <c r="AA1049" s="80" t="str">
        <f>IFERROR(__xludf.DUMMYFUNCTION("""COMPUTED_VALUE"""),"63127")</f>
        <v>63127</v>
      </c>
      <c r="AB1049" s="80" t="str">
        <f>IFERROR(__xludf.DUMMYFUNCTION("""COMPUTED_VALUE"""),"3577026712860001")</f>
        <v>3577026712860001</v>
      </c>
      <c r="AC1049" s="80" t="str">
        <f>IFERROR(__xludf.DUMMYFUNCTION("""COMPUTED_VALUE"""),"72.287.737.0-621.000")</f>
        <v>72.287.737.0-621.000</v>
      </c>
      <c r="AD1049" s="80" t="str">
        <f>IFERROR(__xludf.DUMMYFUNCTION("""COMPUTED_VALUE"""),"PAK ARIS KC MADIUN")</f>
        <v>PAK ARIS KC MADIUN</v>
      </c>
      <c r="AE1049" s="80" t="str">
        <f>IFERROR(__xludf.DUMMYFUNCTION("""COMPUTED_VALUE"""),"PAK ARIS KC MADIUN")</f>
        <v>PAK ARIS KC MADIUN</v>
      </c>
      <c r="AF1049" s="80" t="str">
        <f>IFERROR(__xludf.DUMMYFUNCTION("""COMPUTED_VALUE"""),"85645861881")</f>
        <v>85645861881</v>
      </c>
      <c r="AG1049" s="80" t="str">
        <f>IFERROR(__xludf.DUMMYFUNCTION("""COMPUTED_VALUE"""),"85645861881")</f>
        <v>85645861881</v>
      </c>
      <c r="AH1049" s="80" t="str">
        <f>IFERROR(__xludf.DUMMYFUNCTION("""COMPUTED_VALUE"""),"widasaputri77@gamil.com")</f>
        <v>widasaputri77@gamil.com</v>
      </c>
      <c r="AI1049" s="80"/>
      <c r="AJ1049" s="80"/>
      <c r="AK1049" s="80"/>
      <c r="AL1049" s="80"/>
      <c r="AM1049" s="80" t="str">
        <f>IFERROR(__xludf.DUMMYFUNCTION("""COMPUTED_VALUE"""),"KANTOR REGIONAL V SURABAYA 60004")</f>
        <v>KANTOR REGIONAL V SURABAYA 60004</v>
      </c>
      <c r="AN1049" s="80" t="str">
        <f>IFERROR(__xludf.DUMMYFUNCTION("""COMPUTED_VALUE"""),"KCU MADIUN 63100")</f>
        <v>KCU MADIUN 63100</v>
      </c>
      <c r="AO1049" s="80" t="str">
        <f>IFERROR(__xludf.DUMMYFUNCTION("""COMPUTED_VALUE"""),"108220004723")</f>
        <v>108220004723</v>
      </c>
      <c r="AP1049" s="80" t="str">
        <f>IFERROR(__xludf.DUMMYFUNCTION("""COMPUTED_VALUE"""),"01082200047230001")</f>
        <v>01082200047230001</v>
      </c>
      <c r="AQ1049" s="83" t="str">
        <f>IFERROR(__xludf.DUMMYFUNCTION("""COMPUTED_VALUE"""),"1771291240")</f>
        <v>1771291240</v>
      </c>
      <c r="AR1049" s="80" t="str">
        <f>IFERROR(__xludf.DUMMYFUNCTION("""COMPUTED_VALUE"""),"BCA")</f>
        <v>BCA</v>
      </c>
      <c r="AS1049" s="80" t="str">
        <f>IFERROR(__xludf.DUMMYFUNCTION("""COMPUTED_VALUE"""),"WIDA SAPUTRI")</f>
        <v>WIDA SAPUTRI</v>
      </c>
      <c r="AT1049" s="80" t="str">
        <f>IFERROR(__xludf.DUMMYFUNCTION("""COMPUTED_VALUE"""),"-76,295,209")</f>
        <v>-76,295,209</v>
      </c>
      <c r="AU1049" s="80" t="str">
        <f>IFERROR(__xludf.DUMMYFUNCTION("""COMPUTED_VALUE"""),"1,115,092,639")</f>
        <v>1,115,092,639</v>
      </c>
      <c r="AV1049" s="80"/>
      <c r="AW1049" s="80"/>
      <c r="AX1049" s="80"/>
      <c r="AY1049" s="80"/>
      <c r="AZ1049" s="80"/>
      <c r="BA1049" s="80"/>
      <c r="BB1049" s="80"/>
      <c r="BC1049" s="80"/>
      <c r="BD1049" s="80"/>
      <c r="BE1049" s="80"/>
      <c r="BF1049" s="80"/>
      <c r="BG1049" s="80"/>
      <c r="BH1049" s="80"/>
      <c r="BI1049" s="80"/>
      <c r="BJ1049" s="80"/>
      <c r="BK1049" s="80"/>
      <c r="BL1049" s="80"/>
      <c r="BM1049" s="80"/>
      <c r="BN1049" s="80"/>
      <c r="BO1049" s="80"/>
      <c r="BP1049" s="80"/>
      <c r="BQ1049" s="80"/>
      <c r="BR1049" s="80"/>
      <c r="BS1049" s="80"/>
      <c r="BT1049" s="80"/>
      <c r="BU1049" s="80"/>
      <c r="BV1049" s="80"/>
      <c r="BW1049" s="80"/>
      <c r="BX1049" s="80"/>
      <c r="BY1049" s="80"/>
      <c r="BZ1049" s="80"/>
      <c r="CA1049" s="80"/>
      <c r="CB1049" s="80"/>
      <c r="CC1049" s="80"/>
      <c r="CD1049" s="80"/>
      <c r="CE1049" s="80"/>
      <c r="CF1049" s="80"/>
      <c r="CG1049" s="80"/>
      <c r="CH1049" s="80"/>
      <c r="CI1049" s="80"/>
      <c r="CJ1049" s="80"/>
      <c r="CK1049" s="2"/>
    </row>
    <row r="1050" ht="12.75" customHeight="1">
      <c r="A1050" s="85">
        <f>IFERROR(__xludf.DUMMYFUNCTION("""COMPUTED_VALUE"""),1046.0)</f>
        <v>1046</v>
      </c>
      <c r="B1050" s="85"/>
      <c r="C1050" s="85"/>
      <c r="D1050" s="86">
        <f>IFERROR(__xludf.DUMMYFUNCTION("""COMPUTED_VALUE"""),46181.0)</f>
        <v>46181</v>
      </c>
      <c r="E1050" s="88"/>
      <c r="F1050" s="85"/>
      <c r="G1050" s="86">
        <f>IFERROR(__xludf.DUMMYFUNCTION("""COMPUTED_VALUE"""),46191.0)</f>
        <v>46191</v>
      </c>
      <c r="H1050" s="85"/>
      <c r="I1050" s="85"/>
      <c r="J1050" s="85"/>
      <c r="K1050" s="85"/>
      <c r="L1050" s="85">
        <f>IFERROR(__xludf.DUMMYFUNCTION("""COMPUTED_VALUE"""),10.0)</f>
        <v>10</v>
      </c>
      <c r="M1050" s="85"/>
      <c r="N1050" s="85"/>
      <c r="O1050" s="85"/>
      <c r="P1050" s="85" t="str">
        <f>IFERROR(__xludf.DUMMYFUNCTION("""COMPUTED_VALUE"""),"MUCSPA63143PSIND")</f>
        <v>MUCSPA63143PSIND</v>
      </c>
      <c r="Q1050" s="85" t="str">
        <f>IFERROR(__xludf.DUMMYFUNCTION("""COMPUTED_VALUE"""),"MUC 11 Perwira")</f>
        <v>MUC 11 Perwira</v>
      </c>
      <c r="R1050" s="85" t="str">
        <f>IFERROR(__xludf.DUMMYFUNCTION("""COMPUTED_VALUE"""),"MUC 11 Perwira")</f>
        <v>MUC 11 Perwira</v>
      </c>
      <c r="S1050" s="85" t="str">
        <f>IFERROR(__xludf.DUMMYFUNCTION("""COMPUTED_VALUE"""),"RAGIL ZAINUDIN")</f>
        <v>RAGIL ZAINUDIN</v>
      </c>
      <c r="T1050" s="85" t="str">
        <f>IFERROR(__xludf.DUMMYFUNCTION("""COMPUTED_VALUE"""),"PERMATA HIJAU PERMAI BLOK I NO.37 RT/RW:005/020 KEL. KALIABANG TENGAH KEC. BEKASI UTARA KOTA BEKASI")</f>
        <v>PERMATA HIJAU PERMAI BLOK I NO.37 RT/RW:005/020 KEL. KALIABANG TENGAH KEC. BEKASI UTARA KOTA BEKASI</v>
      </c>
      <c r="U1050" s="85" t="str">
        <f>IFERROR(__xludf.DUMMYFUNCTION("""COMPUTED_VALUE"""),"Jln Raya Muhktar Thabrani RT 02 RW 06")</f>
        <v>Jln Raya Muhktar Thabrani RT 02 RW 06</v>
      </c>
      <c r="V1050" s="85"/>
      <c r="W1050" s="85" t="str">
        <f>IFERROR(__xludf.DUMMYFUNCTION("""COMPUTED_VALUE"""),"Perwira")</f>
        <v>Perwira</v>
      </c>
      <c r="X1050" s="85" t="str">
        <f>IFERROR(__xludf.DUMMYFUNCTION("""COMPUTED_VALUE"""),"Bekari Utara")</f>
        <v>Bekari Utara</v>
      </c>
      <c r="Y1050" s="85" t="str">
        <f>IFERROR(__xludf.DUMMYFUNCTION("""COMPUTED_VALUE"""),"Kota Bekasi")</f>
        <v>Kota Bekasi</v>
      </c>
      <c r="Z1050" s="85" t="str">
        <f>IFERROR(__xludf.DUMMYFUNCTION("""COMPUTED_VALUE"""),"Jawa Barat")</f>
        <v>Jawa Barat</v>
      </c>
      <c r="AA1050" s="85" t="str">
        <f>IFERROR(__xludf.DUMMYFUNCTION("""COMPUTED_VALUE"""),"17124")</f>
        <v>17124</v>
      </c>
      <c r="AB1050" s="85" t="str">
        <f>IFERROR(__xludf.DUMMYFUNCTION("""COMPUTED_VALUE"""),"3275031307680031")</f>
        <v>3275031307680031</v>
      </c>
      <c r="AC1050" s="85" t="str">
        <f>IFERROR(__xludf.DUMMYFUNCTION("""COMPUTED_VALUE"""),"36.471.155.6-407.000")</f>
        <v>36.471.155.6-407.000</v>
      </c>
      <c r="AD1050" s="85" t="str">
        <f>IFERROR(__xludf.DUMMYFUNCTION("""COMPUTED_VALUE"""),"CUM - PS - AYS")</f>
        <v>CUM - PS - AYS</v>
      </c>
      <c r="AE1050" s="85" t="str">
        <f>IFERROR(__xludf.DUMMYFUNCTION("""COMPUTED_VALUE"""),"SUB YUNUS POS")</f>
        <v>SUB YUNUS POS</v>
      </c>
      <c r="AF1050" s="85" t="str">
        <f>IFERROR(__xludf.DUMMYFUNCTION("""COMPUTED_VALUE"""),"0817115686")</f>
        <v>0817115686</v>
      </c>
      <c r="AG1050" s="85"/>
      <c r="AH1050" s="85" t="str">
        <f>IFERROR(__xludf.DUMMYFUNCTION("""COMPUTED_VALUE"""),"ragilzainudin70@gmail.com")</f>
        <v>ragilzainudin70@gmail.com</v>
      </c>
      <c r="AI1050" s="85" t="str">
        <f>IFERROR(__xludf.DUMMYFUNCTION("""COMPUTED_VALUE"""),"17122S4")</f>
        <v>17122S4</v>
      </c>
      <c r="AJ1050" s="85" t="str">
        <f>IFERROR(__xludf.DUMMYFUNCTION("""COMPUTED_VALUE"""),"6a333e6dc84fac769a045259")</f>
        <v>6a333e6dc84fac769a045259</v>
      </c>
      <c r="AK1050" s="85" t="str">
        <f>IFERROR(__xludf.DUMMYFUNCTION("""COMPUTED_VALUE"""),"ragilzainudin70@gmail.com  ")</f>
        <v>ragilzainudin70@gmail.com  </v>
      </c>
      <c r="AL1050" s="85" t="str">
        <f>IFERROR(__xludf.DUMMYFUNCTION("""COMPUTED_VALUE"""),"#Muc17122S4$")</f>
        <v>#Muc17122S4$</v>
      </c>
      <c r="AM1050" s="85" t="str">
        <f>IFERROR(__xludf.DUMMYFUNCTION("""COMPUTED_VALUE"""),"KANTOR REGIONAL II JAKARTA 10004")</f>
        <v>KANTOR REGIONAL II JAKARTA 10004</v>
      </c>
      <c r="AN1050" s="85" t="str">
        <f>IFERROR(__xludf.DUMMYFUNCTION("""COMPUTED_VALUE"""),"KCU BEKASI 17000")</f>
        <v>KCU BEKASI 17000</v>
      </c>
      <c r="AO1050" s="85" t="str">
        <f>IFERROR(__xludf.DUMMYFUNCTION("""COMPUTED_VALUE"""),"2705250089989")</f>
        <v>2705250089989</v>
      </c>
      <c r="AP1050" s="85" t="str">
        <f>IFERROR(__xludf.DUMMYFUNCTION("""COMPUTED_VALUE"""),"27052500899890001")</f>
        <v>27052500899890001</v>
      </c>
      <c r="AQ1050" s="93" t="str">
        <f>IFERROR(__xludf.DUMMYFUNCTION("""COMPUTED_VALUE"""),"7635234610")</f>
        <v>7635234610</v>
      </c>
      <c r="AR1050" s="85" t="str">
        <f>IFERROR(__xludf.DUMMYFUNCTION("""COMPUTED_VALUE"""),"BCA")</f>
        <v>BCA</v>
      </c>
      <c r="AS1050" s="85" t="str">
        <f>IFERROR(__xludf.DUMMYFUNCTION("""COMPUTED_VALUE"""),"Suparwati")</f>
        <v>Suparwati</v>
      </c>
      <c r="AT1050" s="85" t="str">
        <f>IFERROR(__xludf.DUMMYFUNCTION("""COMPUTED_VALUE"""),"-6.204986")</f>
        <v>-6.204986</v>
      </c>
      <c r="AU1050" s="85" t="str">
        <f>IFERROR(__xludf.DUMMYFUNCTION("""COMPUTED_VALUE"""),"107.002499")</f>
        <v>107.002499</v>
      </c>
      <c r="AV1050" s="85"/>
      <c r="AW1050" s="85"/>
      <c r="AX1050" s="85" t="str">
        <f>IFERROR(__xludf.DUMMYFUNCTION("""COMPUTED_VALUE"""),"h")</f>
        <v>h</v>
      </c>
      <c r="AY1050" s="85"/>
      <c r="AZ1050" s="85"/>
      <c r="BA1050" s="85"/>
      <c r="BB1050" s="85"/>
      <c r="BC1050" s="85"/>
      <c r="BD1050" s="85"/>
      <c r="BE1050" s="85"/>
      <c r="BF1050" s="85"/>
      <c r="BG1050" s="85"/>
      <c r="BH1050" s="85"/>
      <c r="BI1050" s="85"/>
      <c r="BJ1050" s="85"/>
      <c r="BK1050" s="85"/>
      <c r="BL1050" s="85"/>
      <c r="BM1050" s="85"/>
      <c r="BN1050" s="85"/>
      <c r="BO1050" s="85"/>
      <c r="BP1050" s="85"/>
      <c r="BQ1050" s="85"/>
      <c r="BR1050" s="85"/>
      <c r="BS1050" s="85"/>
      <c r="BT1050" s="85"/>
      <c r="BU1050" s="85"/>
      <c r="BV1050" s="85"/>
      <c r="BW1050" s="85"/>
      <c r="BX1050" s="85" t="str">
        <f>IFERROR(__xludf.DUMMYFUNCTION("""COMPUTED_VALUE"""),"MULTIKURIR - TIKI")</f>
        <v>MULTIKURIR - TIKI</v>
      </c>
      <c r="BY1050" s="85"/>
      <c r="BZ1050" s="85"/>
      <c r="CA1050" s="85"/>
      <c r="CB1050" s="85"/>
      <c r="CC1050" s="85"/>
      <c r="CD1050" s="85"/>
      <c r="CE1050" s="85"/>
      <c r="CF1050" s="85"/>
      <c r="CG1050" s="85"/>
      <c r="CH1050" s="85"/>
      <c r="CI1050" s="85"/>
      <c r="CJ1050" s="85"/>
      <c r="CK1050" s="2"/>
    </row>
    <row r="1051" ht="12.75" customHeight="1">
      <c r="A1051" s="80">
        <f>IFERROR(__xludf.DUMMYFUNCTION("""COMPUTED_VALUE"""),1047.0)</f>
        <v>1047</v>
      </c>
      <c r="B1051" s="80"/>
      <c r="C1051" s="80"/>
      <c r="D1051" s="81">
        <f>IFERROR(__xludf.DUMMYFUNCTION("""COMPUTED_VALUE"""),46182.0)</f>
        <v>46182</v>
      </c>
      <c r="E1051" s="82"/>
      <c r="F1051" s="80"/>
      <c r="G1051" s="81">
        <f>IFERROR(__xludf.DUMMYFUNCTION("""COMPUTED_VALUE"""),46230.0)</f>
        <v>46230</v>
      </c>
      <c r="H1051" s="80"/>
      <c r="I1051" s="80"/>
      <c r="J1051" s="80"/>
      <c r="K1051" s="80"/>
      <c r="L1051" s="80">
        <f>IFERROR(__xludf.DUMMYFUNCTION("""COMPUTED_VALUE"""),48.0)</f>
        <v>48</v>
      </c>
      <c r="M1051" s="80"/>
      <c r="N1051" s="80"/>
      <c r="O1051" s="80"/>
      <c r="P1051" s="80" t="str">
        <f>IFERROR(__xludf.DUMMYFUNCTION("""COMPUTED_VALUE"""),"MUCSPA63510PSIND")</f>
        <v>MUCSPA63510PSIND</v>
      </c>
      <c r="Q1051" s="80" t="str">
        <f>IFERROR(__xludf.DUMMYFUNCTION("""COMPUTED_VALUE"""),"MUC Aditya Risi Pratama")</f>
        <v>MUC Aditya Risi Pratama</v>
      </c>
      <c r="R1051" s="80" t="str">
        <f>IFERROR(__xludf.DUMMYFUNCTION("""COMPUTED_VALUE"""),"MUC Aditya Risi Pratama")</f>
        <v>MUC Aditya Risi Pratama</v>
      </c>
      <c r="S1051" s="80" t="str">
        <f>IFERROR(__xludf.DUMMYFUNCTION("""COMPUTED_VALUE"""),"LESI AFRIZA")</f>
        <v>LESI AFRIZA</v>
      </c>
      <c r="T1051" s="80" t="str">
        <f>IFERROR(__xludf.DUMMYFUNCTION("""COMPUTED_VALUE"""),"JL. RA KARTINI NO. 06 RT 004 RW 002 PASAR II, MUARA ENIM")</f>
        <v>JL. RA KARTINI NO. 06 RT 004 RW 002 PASAR II, MUARA ENIM</v>
      </c>
      <c r="U1051" s="80" t="str">
        <f>IFERROR(__xludf.DUMMYFUNCTION("""COMPUTED_VALUE"""),"JL. RA KARTINI NO. 06 RT 004 RW 002 PASAR II, MUARA ENIM")</f>
        <v>JL. RA KARTINI NO. 06 RT 004 RW 002 PASAR II, MUARA ENIM</v>
      </c>
      <c r="V1051" s="80" t="str">
        <f>IFERROR(__xludf.DUMMYFUNCTION("""COMPUTED_VALUE"""),"RTINI  \ RW 002")</f>
        <v>RTINI  \ RW 002</v>
      </c>
      <c r="W1051" s="80" t="str">
        <f>IFERROR(__xludf.DUMMYFUNCTION("""COMPUTED_VALUE"""),"PASAR II")</f>
        <v>PASAR II</v>
      </c>
      <c r="X1051" s="80" t="str">
        <f>IFERROR(__xludf.DUMMYFUNCTION("""COMPUTED_VALUE"""),"MUARA ENIM")</f>
        <v>MUARA ENIM</v>
      </c>
      <c r="Y1051" s="80" t="str">
        <f>IFERROR(__xludf.DUMMYFUNCTION("""COMPUTED_VALUE"""),"KAB. MUARA ENIM")</f>
        <v>KAB. MUARA ENIM</v>
      </c>
      <c r="Z1051" s="80" t="str">
        <f>IFERROR(__xludf.DUMMYFUNCTION("""COMPUTED_VALUE"""),"SUMATERA SELATAN")</f>
        <v>SUMATERA SELATAN</v>
      </c>
      <c r="AA1051" s="80" t="str">
        <f>IFERROR(__xludf.DUMMYFUNCTION("""COMPUTED_VALUE"""),"31315")</f>
        <v>31315</v>
      </c>
      <c r="AB1051" s="80" t="str">
        <f>IFERROR(__xludf.DUMMYFUNCTION("""COMPUTED_VALUE"""),"1603015705990002")</f>
        <v>1603015705990002</v>
      </c>
      <c r="AC1051" s="80" t="str">
        <f>IFERROR(__xludf.DUMMYFUNCTION("""COMPUTED_VALUE"""),"82.129.175.4-313.000")</f>
        <v>82.129.175.4-313.000</v>
      </c>
      <c r="AD1051" s="80" t="str">
        <f>IFERROR(__xludf.DUMMYFUNCTION("""COMPUTED_VALUE"""),"PAK FAUZAN KC MUARA ENIM")</f>
        <v>PAK FAUZAN KC MUARA ENIM</v>
      </c>
      <c r="AE1051" s="80" t="str">
        <f>IFERROR(__xludf.DUMMYFUNCTION("""COMPUTED_VALUE"""),"PAK FAUZAN KC MUARA ENIM")</f>
        <v>PAK FAUZAN KC MUARA ENIM</v>
      </c>
      <c r="AF1051" s="80" t="str">
        <f>IFERROR(__xludf.DUMMYFUNCTION("""COMPUTED_VALUE"""),"83166276116")</f>
        <v>83166276116</v>
      </c>
      <c r="AG1051" s="80" t="str">
        <f>IFERROR(__xludf.DUMMYFUNCTION("""COMPUTED_VALUE"""),"83166276116")</f>
        <v>83166276116</v>
      </c>
      <c r="AH1051" s="80" t="str">
        <f>IFERROR(__xludf.DUMMYFUNCTION("""COMPUTED_VALUE"""),"alesiapriza@gmail.com")</f>
        <v>alesiapriza@gmail.com</v>
      </c>
      <c r="AI1051" s="80" t="str">
        <f>IFERROR(__xludf.DUMMYFUNCTION("""COMPUTED_VALUE"""),"31314S2")</f>
        <v>31314S2</v>
      </c>
      <c r="AJ1051" s="80" t="str">
        <f>IFERROR(__xludf.DUMMYFUNCTION("""COMPUTED_VALUE"""),"6a648edfb315f71dce074226")</f>
        <v>6a648edfb315f71dce074226</v>
      </c>
      <c r="AK1051" s="80" t="str">
        <f>IFERROR(__xludf.DUMMYFUNCTION("""COMPUTED_VALUE"""),"alesiapriza@gmail.com")</f>
        <v>alesiapriza@gmail.com</v>
      </c>
      <c r="AL1051" s="80" t="str">
        <f>IFERROR(__xludf.DUMMYFUNCTION("""COMPUTED_VALUE"""),"#Muc31314S2$")</f>
        <v>#Muc31314S2$</v>
      </c>
      <c r="AM1051" s="80" t="str">
        <f>IFERROR(__xludf.DUMMYFUNCTION("""COMPUTED_VALUE"""),"KANTOR REGIONAL I MEDAN 20004")</f>
        <v>KANTOR REGIONAL I MEDAN 20004</v>
      </c>
      <c r="AN1051" s="80" t="str">
        <f>IFERROR(__xludf.DUMMYFUNCTION("""COMPUTED_VALUE"""),"KC MUARAENIM 31300")</f>
        <v>KC MUARAENIM 31300</v>
      </c>
      <c r="AO1051" s="80" t="str">
        <f>IFERROR(__xludf.DUMMYFUNCTION("""COMPUTED_VALUE"""),"410230086552")</f>
        <v>410230086552</v>
      </c>
      <c r="AP1051" s="80" t="str">
        <f>IFERROR(__xludf.DUMMYFUNCTION("""COMPUTED_VALUE"""),"04102300865520001")</f>
        <v>04102300865520001</v>
      </c>
      <c r="AQ1051" s="83" t="str">
        <f>IFERROR(__xludf.DUMMYFUNCTION("""COMPUTED_VALUE"""),"8120392507")</f>
        <v>8120392507</v>
      </c>
      <c r="AR1051" s="80" t="str">
        <f>IFERROR(__xludf.DUMMYFUNCTION("""COMPUTED_VALUE"""),"BCA")</f>
        <v>BCA</v>
      </c>
      <c r="AS1051" s="80" t="str">
        <f>IFERROR(__xludf.DUMMYFUNCTION("""COMPUTED_VALUE"""),"LESI AFRIZA")</f>
        <v>LESI AFRIZA</v>
      </c>
      <c r="AT1051" s="80" t="str">
        <f>IFERROR(__xludf.DUMMYFUNCTION("""COMPUTED_VALUE"""),"-36,673,933")</f>
        <v>-36,673,933</v>
      </c>
      <c r="AU1051" s="80" t="str">
        <f>IFERROR(__xludf.DUMMYFUNCTION("""COMPUTED_VALUE"""),"1,037,676,284")</f>
        <v>1,037,676,284</v>
      </c>
      <c r="AV1051" s="80"/>
      <c r="AW1051" s="80"/>
      <c r="AX1051" s="80"/>
      <c r="AY1051" s="80"/>
      <c r="AZ1051" s="80"/>
      <c r="BA1051" s="80"/>
      <c r="BB1051" s="80"/>
      <c r="BC1051" s="80"/>
      <c r="BD1051" s="80"/>
      <c r="BE1051" s="80"/>
      <c r="BF1051" s="80"/>
      <c r="BG1051" s="80"/>
      <c r="BH1051" s="80"/>
      <c r="BI1051" s="80"/>
      <c r="BJ1051" s="80"/>
      <c r="BK1051" s="80"/>
      <c r="BL1051" s="80"/>
      <c r="BM1051" s="80"/>
      <c r="BN1051" s="80"/>
      <c r="BO1051" s="80"/>
      <c r="BP1051" s="80"/>
      <c r="BQ1051" s="80"/>
      <c r="BR1051" s="80"/>
      <c r="BS1051" s="80"/>
      <c r="BT1051" s="80"/>
      <c r="BU1051" s="80"/>
      <c r="BV1051" s="80"/>
      <c r="BW1051" s="80"/>
      <c r="BX1051" s="80"/>
      <c r="BY1051" s="80"/>
      <c r="BZ1051" s="80"/>
      <c r="CA1051" s="80"/>
      <c r="CB1051" s="80"/>
      <c r="CC1051" s="80"/>
      <c r="CD1051" s="80"/>
      <c r="CE1051" s="80"/>
      <c r="CF1051" s="80"/>
      <c r="CG1051" s="80"/>
      <c r="CH1051" s="80"/>
      <c r="CI1051" s="80"/>
      <c r="CJ1051" s="80"/>
      <c r="CK1051" s="2"/>
    </row>
    <row r="1052" ht="12.75" customHeight="1">
      <c r="A1052" s="85">
        <f>IFERROR(__xludf.DUMMYFUNCTION("""COMPUTED_VALUE"""),1048.0)</f>
        <v>1048</v>
      </c>
      <c r="B1052" s="85"/>
      <c r="C1052" s="85"/>
      <c r="D1052" s="86">
        <f>IFERROR(__xludf.DUMMYFUNCTION("""COMPUTED_VALUE"""),46182.0)</f>
        <v>46182</v>
      </c>
      <c r="E1052" s="88"/>
      <c r="F1052" s="85"/>
      <c r="G1052" s="86">
        <f>IFERROR(__xludf.DUMMYFUNCTION("""COMPUTED_VALUE"""),46188.0)</f>
        <v>46188</v>
      </c>
      <c r="H1052" s="85"/>
      <c r="I1052" s="85"/>
      <c r="J1052" s="85"/>
      <c r="K1052" s="85"/>
      <c r="L1052" s="85">
        <f>IFERROR(__xludf.DUMMYFUNCTION("""COMPUTED_VALUE"""),6.0)</f>
        <v>6</v>
      </c>
      <c r="M1052" s="85"/>
      <c r="N1052" s="85"/>
      <c r="O1052" s="85"/>
      <c r="P1052" s="85" t="str">
        <f>IFERROR(__xludf.DUMMYFUNCTION("""COMPUTED_VALUE"""),"53BSPA17062JBNDS")</f>
        <v>53BSPA17062JBNDS</v>
      </c>
      <c r="Q1052" s="85" t="str">
        <f>IFERROR(__xludf.DUMMYFUNCTION("""COMPUTED_VALUE"""),"MUC TOKO AKBAR")</f>
        <v>MUC TOKO AKBAR</v>
      </c>
      <c r="R1052" s="85" t="str">
        <f>IFERROR(__xludf.DUMMYFUNCTION("""COMPUTED_VALUE"""),"MUC TOKO AKBAR")</f>
        <v>MUC TOKO AKBAR</v>
      </c>
      <c r="S1052" s="85" t="str">
        <f>IFERROR(__xludf.DUMMYFUNCTION("""COMPUTED_VALUE"""),"NANANG SULISTYANTO")</f>
        <v>NANANG SULISTYANTO</v>
      </c>
      <c r="T1052" s="85" t="str">
        <f>IFERROR(__xludf.DUMMYFUNCTION("""COMPUTED_VALUE"""),"JL. JELAMBAR ILIR RT 10 RW 11 JLAMBAR BARU GROGOL PETAMBURAN")</f>
        <v>JL. JELAMBAR ILIR RT 10 RW 11 JLAMBAR BARU GROGOL PETAMBURAN</v>
      </c>
      <c r="U1052" s="85" t="str">
        <f>IFERROR(__xludf.DUMMYFUNCTION("""COMPUTED_VALUE"""),"JL. RAYA BINTARA KOMPLEK PUURI BINTARA REGENCY BLOK R NO. 3")</f>
        <v>JL. RAYA BINTARA KOMPLEK PUURI BINTARA REGENCY BLOK R NO. 3</v>
      </c>
      <c r="V1052" s="85" t="str">
        <f>IFERROR(__xludf.DUMMYFUNCTION("""COMPUTED_VALUE"""),"RT 10  \ RW 11")</f>
        <v>RT 10  \ RW 11</v>
      </c>
      <c r="W1052" s="85" t="str">
        <f>IFERROR(__xludf.DUMMYFUNCTION("""COMPUTED_VALUE"""),"BINTARA")</f>
        <v>BINTARA</v>
      </c>
      <c r="X1052" s="85" t="str">
        <f>IFERROR(__xludf.DUMMYFUNCTION("""COMPUTED_VALUE"""),"BEKASI BARAT")</f>
        <v>BEKASI BARAT</v>
      </c>
      <c r="Y1052" s="85" t="str">
        <f>IFERROR(__xludf.DUMMYFUNCTION("""COMPUTED_VALUE"""),"KOTA BEKASI")</f>
        <v>KOTA BEKASI</v>
      </c>
      <c r="Z1052" s="85" t="str">
        <f>IFERROR(__xludf.DUMMYFUNCTION("""COMPUTED_VALUE"""),"JAWA BARAT")</f>
        <v>JAWA BARAT</v>
      </c>
      <c r="AA1052" s="85" t="str">
        <f>IFERROR(__xludf.DUMMYFUNCTION("""COMPUTED_VALUE"""),"17134")</f>
        <v>17134</v>
      </c>
      <c r="AB1052" s="85" t="str">
        <f>IFERROR(__xludf.DUMMYFUNCTION("""COMPUTED_VALUE"""),"3173022807740004")</f>
        <v>3173022807740004</v>
      </c>
      <c r="AC1052" s="85" t="str">
        <f>IFERROR(__xludf.DUMMYFUNCTION("""COMPUTED_VALUE"""),"44.295.873.2-407.000")</f>
        <v>44.295.873.2-407.000</v>
      </c>
      <c r="AD1052" s="85" t="str">
        <f>IFERROR(__xludf.DUMMYFUNCTION("""COMPUTED_VALUE"""),"SUB NDS")</f>
        <v>SUB NDS</v>
      </c>
      <c r="AE1052" s="85" t="str">
        <f>IFERROR(__xludf.DUMMYFUNCTION("""COMPUTED_VALUE"""),"SUB NDS")</f>
        <v>SUB NDS</v>
      </c>
      <c r="AF1052" s="85" t="str">
        <f>IFERROR(__xludf.DUMMYFUNCTION("""COMPUTED_VALUE"""),"87823692452")</f>
        <v>87823692452</v>
      </c>
      <c r="AG1052" s="85" t="str">
        <f>IFERROR(__xludf.DUMMYFUNCTION("""COMPUTED_VALUE"""),"87823692452")</f>
        <v>87823692452</v>
      </c>
      <c r="AH1052" s="85" t="str">
        <f>IFERROR(__xludf.DUMMYFUNCTION("""COMPUTED_VALUE"""),"nanangsulistyanto66@gmail.com")</f>
        <v>nanangsulistyanto66@gmail.com</v>
      </c>
      <c r="AI1052" s="85" t="str">
        <f>IFERROR(__xludf.DUMMYFUNCTION("""COMPUTED_VALUE"""),"17134S2")</f>
        <v>17134S2</v>
      </c>
      <c r="AJ1052" s="85" t="str">
        <f>IFERROR(__xludf.DUMMYFUNCTION("""COMPUTED_VALUE"""),"6a2ec631c70b6bf0910ec172")</f>
        <v>6a2ec631c70b6bf0910ec172</v>
      </c>
      <c r="AK1052" s="85" t="str">
        <f>IFERROR(__xludf.DUMMYFUNCTION("""COMPUTED_VALUE"""),"nanangsulistyanto66@gmail.com")</f>
        <v>nanangsulistyanto66@gmail.com</v>
      </c>
      <c r="AL1052" s="85" t="str">
        <f>IFERROR(__xludf.DUMMYFUNCTION("""COMPUTED_VALUE"""),"#Muc17134S2$")</f>
        <v>#Muc17134S2$</v>
      </c>
      <c r="AM1052" s="85" t="str">
        <f>IFERROR(__xludf.DUMMYFUNCTION("""COMPUTED_VALUE"""),"KANTOR REGIONAL II JAKARTA 10004")</f>
        <v>KANTOR REGIONAL II JAKARTA 10004</v>
      </c>
      <c r="AN1052" s="85" t="str">
        <f>IFERROR(__xludf.DUMMYFUNCTION("""COMPUTED_VALUE"""),"KCU BEKASI 17000")</f>
        <v>KCU BEKASI 17000</v>
      </c>
      <c r="AO1052" s="85" t="str">
        <f>IFERROR(__xludf.DUMMYFUNCTION("""COMPUTED_VALUE"""),"506260049033")</f>
        <v>506260049033</v>
      </c>
      <c r="AP1052" s="85" t="str">
        <f>IFERROR(__xludf.DUMMYFUNCTION("""COMPUTED_VALUE"""),"05062600490330001")</f>
        <v>05062600490330001</v>
      </c>
      <c r="AQ1052" s="93" t="str">
        <f>IFERROR(__xludf.DUMMYFUNCTION("""COMPUTED_VALUE"""),"0044801500002044")</f>
        <v>0044801500002044</v>
      </c>
      <c r="AR1052" s="85" t="str">
        <f>IFERROR(__xludf.DUMMYFUNCTION("""COMPUTED_VALUE"""),"BTN")</f>
        <v>BTN</v>
      </c>
      <c r="AS1052" s="85" t="str">
        <f>IFERROR(__xludf.DUMMYFUNCTION("""COMPUTED_VALUE"""),"NANANG SULISTYANTO")</f>
        <v>NANANG SULISTYANTO</v>
      </c>
      <c r="AT1052" s="85" t="str">
        <f>IFERROR(__xludf.DUMMYFUNCTION("""COMPUTED_VALUE"""),"-62,292,351")</f>
        <v>-62,292,351</v>
      </c>
      <c r="AU1052" s="85" t="str">
        <f>IFERROR(__xludf.DUMMYFUNCTION("""COMPUTED_VALUE"""),"1,069,490,424")</f>
        <v>1,069,490,424</v>
      </c>
      <c r="AV1052" s="85"/>
      <c r="AW1052" s="85"/>
      <c r="AX1052" s="85"/>
      <c r="AY1052" s="85"/>
      <c r="AZ1052" s="85"/>
      <c r="BA1052" s="85"/>
      <c r="BB1052" s="85"/>
      <c r="BC1052" s="85"/>
      <c r="BD1052" s="85"/>
      <c r="BE1052" s="85"/>
      <c r="BF1052" s="85"/>
      <c r="BG1052" s="85"/>
      <c r="BH1052" s="85"/>
      <c r="BI1052" s="85"/>
      <c r="BJ1052" s="85"/>
      <c r="BK1052" s="85"/>
      <c r="BL1052" s="85"/>
      <c r="BM1052" s="85"/>
      <c r="BN1052" s="85"/>
      <c r="BO1052" s="85"/>
      <c r="BP1052" s="85"/>
      <c r="BQ1052" s="85"/>
      <c r="BR1052" s="85"/>
      <c r="BS1052" s="85"/>
      <c r="BT1052" s="85"/>
      <c r="BU1052" s="85"/>
      <c r="BV1052" s="85"/>
      <c r="BW1052" s="85"/>
      <c r="BX1052" s="85"/>
      <c r="BY1052" s="85"/>
      <c r="BZ1052" s="85"/>
      <c r="CA1052" s="85"/>
      <c r="CB1052" s="85"/>
      <c r="CC1052" s="85"/>
      <c r="CD1052" s="85"/>
      <c r="CE1052" s="85"/>
      <c r="CF1052" s="85"/>
      <c r="CG1052" s="85"/>
      <c r="CH1052" s="85"/>
      <c r="CI1052" s="85"/>
      <c r="CJ1052" s="85"/>
      <c r="CK1052" s="2"/>
    </row>
    <row r="1053" ht="12.75" customHeight="1">
      <c r="A1053" s="80">
        <f>IFERROR(__xludf.DUMMYFUNCTION("""COMPUTED_VALUE"""),1049.0)</f>
        <v>1049</v>
      </c>
      <c r="B1053" s="80"/>
      <c r="C1053" s="80"/>
      <c r="D1053" s="81">
        <f>IFERROR(__xludf.DUMMYFUNCTION("""COMPUTED_VALUE"""),46182.0)</f>
        <v>46182</v>
      </c>
      <c r="E1053" s="82"/>
      <c r="F1053" s="80"/>
      <c r="G1053" s="81"/>
      <c r="H1053" s="80"/>
      <c r="I1053" s="80"/>
      <c r="J1053" s="80"/>
      <c r="K1053" s="80"/>
      <c r="L1053" s="80"/>
      <c r="M1053" s="80"/>
      <c r="N1053" s="80"/>
      <c r="O1053" s="80"/>
      <c r="P1053" s="80" t="str">
        <f>IFERROR(__xludf.DUMMYFUNCTION("""COMPUTED_VALUE"""),"MUCSPA63512PSIND")</f>
        <v>MUCSPA63512PSIND</v>
      </c>
      <c r="Q1053" s="80" t="str">
        <f>IFERROR(__xludf.DUMMYFUNCTION("""COMPUTED_VALUE"""),"MUC MALAKA")</f>
        <v>MUC MALAKA</v>
      </c>
      <c r="R1053" s="80" t="str">
        <f>IFERROR(__xludf.DUMMYFUNCTION("""COMPUTED_VALUE"""),"MUC MALAKA")</f>
        <v>MUC MALAKA</v>
      </c>
      <c r="S1053" s="80" t="str">
        <f>IFERROR(__xludf.DUMMYFUNCTION("""COMPUTED_VALUE"""),"IMAN FIRMAN")</f>
        <v>IMAN FIRMAN</v>
      </c>
      <c r="T1053" s="80" t="str">
        <f>IFERROR(__xludf.DUMMYFUNCTION("""COMPUTED_VALUE"""),"PERUM GRIYA BEKASI PERMAI BLOK L 16 NO.31 RT.001 RW.011, TELAJUNG, CIKARANG BARAT, KAB. BEKASI")</f>
        <v>PERUM GRIYA BEKASI PERMAI BLOK L 16 NO.31 RT.001 RW.011, TELAJUNG, CIKARANG BARAT, KAB. BEKASI</v>
      </c>
      <c r="U1053" s="80" t="str">
        <f>IFERROR(__xludf.DUMMYFUNCTION("""COMPUTED_VALUE"""),"Jl. Maimun Nawawi Kp Malaka Rt 01 Rw 06")</f>
        <v>Jl. Maimun Nawawi Kp Malaka Rt 01 Rw 06</v>
      </c>
      <c r="V1053" s="80" t="str">
        <f>IFERROR(__xludf.DUMMYFUNCTION("""COMPUTED_VALUE"""),"RT.001 \ RW.011")</f>
        <v>RT.001 \ RW.011</v>
      </c>
      <c r="W1053" s="80" t="str">
        <f>IFERROR(__xludf.DUMMYFUNCTION("""COMPUTED_VALUE"""),"Cibarusahkota")</f>
        <v>Cibarusahkota</v>
      </c>
      <c r="X1053" s="80" t="str">
        <f>IFERROR(__xludf.DUMMYFUNCTION("""COMPUTED_VALUE"""),"Cibarusah")</f>
        <v>Cibarusah</v>
      </c>
      <c r="Y1053" s="80" t="str">
        <f>IFERROR(__xludf.DUMMYFUNCTION("""COMPUTED_VALUE"""),"Kab. Bekasi")</f>
        <v>Kab. Bekasi</v>
      </c>
      <c r="Z1053" s="80" t="str">
        <f>IFERROR(__xludf.DUMMYFUNCTION("""COMPUTED_VALUE"""),"Jawa Barat")</f>
        <v>Jawa Barat</v>
      </c>
      <c r="AA1053" s="80" t="str">
        <f>IFERROR(__xludf.DUMMYFUNCTION("""COMPUTED_VALUE"""),"17340")</f>
        <v>17340</v>
      </c>
      <c r="AB1053" s="80" t="str">
        <f>IFERROR(__xludf.DUMMYFUNCTION("""COMPUTED_VALUE"""),"3216080301700007")</f>
        <v>3216080301700007</v>
      </c>
      <c r="AC1053" s="80" t="str">
        <f>IFERROR(__xludf.DUMMYFUNCTION("""COMPUTED_VALUE"""),"48.040.096.9-407.000")</f>
        <v>48.040.096.9-407.000</v>
      </c>
      <c r="AD1053" s="80" t="str">
        <f>IFERROR(__xludf.DUMMYFUNCTION("""COMPUTED_VALUE"""),"CUM - PS - JMN / SUB JAMJAM POS")</f>
        <v>CUM - PS - JMN / SUB JAMJAM POS</v>
      </c>
      <c r="AE1053" s="80" t="str">
        <f>IFERROR(__xludf.DUMMYFUNCTION("""COMPUTED_VALUE"""),"CUM - PS - JMN / SUB JAMJAM POS")</f>
        <v>CUM - PS - JMN / SUB JAMJAM POS</v>
      </c>
      <c r="AF1053" s="80" t="str">
        <f>IFERROR(__xludf.DUMMYFUNCTION("""COMPUTED_VALUE"""),"81910981894")</f>
        <v>81910981894</v>
      </c>
      <c r="AG1053" s="80" t="str">
        <f>IFERROR(__xludf.DUMMYFUNCTION("""COMPUTED_VALUE"""),"81910981894")</f>
        <v>81910981894</v>
      </c>
      <c r="AH1053" s="80" t="str">
        <f>IFERROR(__xludf.DUMMYFUNCTION("""COMPUTED_VALUE"""),"bksfik@gmail.com")</f>
        <v>bksfik@gmail.com</v>
      </c>
      <c r="AI1053" s="80"/>
      <c r="AJ1053" s="80"/>
      <c r="AK1053" s="80"/>
      <c r="AL1053" s="80"/>
      <c r="AM1053" s="80" t="str">
        <f>IFERROR(__xludf.DUMMYFUNCTION("""COMPUTED_VALUE"""),"KANTOR REGIONAL II JAKARTA 10004")</f>
        <v>KANTOR REGIONAL II JAKARTA 10004</v>
      </c>
      <c r="AN1053" s="80" t="str">
        <f>IFERROR(__xludf.DUMMYFUNCTION("""COMPUTED_VALUE"""),"KC CIKARANG 17500")</f>
        <v>KC CIKARANG 17500</v>
      </c>
      <c r="AO1053" s="80" t="str">
        <f>IFERROR(__xludf.DUMMYFUNCTION("""COMPUTED_VALUE"""),"906260034898")</f>
        <v>906260034898</v>
      </c>
      <c r="AP1053" s="80" t="str">
        <f>IFERROR(__xludf.DUMMYFUNCTION("""COMPUTED_VALUE"""),"09062600348980001")</f>
        <v>09062600348980001</v>
      </c>
      <c r="AQ1053" s="83" t="str">
        <f>IFERROR(__xludf.DUMMYFUNCTION("""COMPUTED_VALUE"""),"101903987")</f>
        <v>101903987</v>
      </c>
      <c r="AR1053" s="80" t="str">
        <f>IFERROR(__xludf.DUMMYFUNCTION("""COMPUTED_VALUE"""),"POSPAY")</f>
        <v>POSPAY</v>
      </c>
      <c r="AS1053" s="80" t="str">
        <f>IFERROR(__xludf.DUMMYFUNCTION("""COMPUTED_VALUE"""),"Dina Herniati")</f>
        <v>Dina Herniati</v>
      </c>
      <c r="AT1053" s="80" t="str">
        <f>IFERROR(__xludf.DUMMYFUNCTION("""COMPUTED_VALUE"""),"-6,431,773")</f>
        <v>-6,431,773</v>
      </c>
      <c r="AU1053" s="80" t="str">
        <f>IFERROR(__xludf.DUMMYFUNCTION("""COMPUTED_VALUE"""),"107,080,766")</f>
        <v>107,080,766</v>
      </c>
      <c r="AV1053" s="80"/>
      <c r="AW1053" s="80"/>
      <c r="AX1053" s="80"/>
      <c r="AY1053" s="80"/>
      <c r="AZ1053" s="80"/>
      <c r="BA1053" s="80"/>
      <c r="BB1053" s="80"/>
      <c r="BC1053" s="80"/>
      <c r="BD1053" s="80"/>
      <c r="BE1053" s="80"/>
      <c r="BF1053" s="80"/>
      <c r="BG1053" s="80"/>
      <c r="BH1053" s="80"/>
      <c r="BI1053" s="80"/>
      <c r="BJ1053" s="80"/>
      <c r="BK1053" s="80"/>
      <c r="BL1053" s="80"/>
      <c r="BM1053" s="80"/>
      <c r="BN1053" s="80"/>
      <c r="BO1053" s="80"/>
      <c r="BP1053" s="80"/>
      <c r="BQ1053" s="80"/>
      <c r="BR1053" s="80"/>
      <c r="BS1053" s="80"/>
      <c r="BT1053" s="80"/>
      <c r="BU1053" s="80"/>
      <c r="BV1053" s="80"/>
      <c r="BW1053" s="80"/>
      <c r="BX1053" s="80"/>
      <c r="BY1053" s="80"/>
      <c r="BZ1053" s="80"/>
      <c r="CA1053" s="80"/>
      <c r="CB1053" s="80"/>
      <c r="CC1053" s="80"/>
      <c r="CD1053" s="80"/>
      <c r="CE1053" s="80"/>
      <c r="CF1053" s="80"/>
      <c r="CG1053" s="80"/>
      <c r="CH1053" s="80"/>
      <c r="CI1053" s="80"/>
      <c r="CJ1053" s="80"/>
      <c r="CK1053" s="2"/>
    </row>
    <row r="1054" ht="12.75" customHeight="1">
      <c r="A1054" s="85">
        <f>IFERROR(__xludf.DUMMYFUNCTION("""COMPUTED_VALUE"""),1050.0)</f>
        <v>1050</v>
      </c>
      <c r="B1054" s="85"/>
      <c r="C1054" s="85"/>
      <c r="D1054" s="86">
        <f>IFERROR(__xludf.DUMMYFUNCTION("""COMPUTED_VALUE"""),46182.0)</f>
        <v>46182</v>
      </c>
      <c r="E1054" s="88"/>
      <c r="F1054" s="85"/>
      <c r="G1054" s="86">
        <f>IFERROR(__xludf.DUMMYFUNCTION("""COMPUTED_VALUE"""),46272.0)</f>
        <v>46272</v>
      </c>
      <c r="H1054" s="85"/>
      <c r="I1054" s="85"/>
      <c r="J1054" s="85"/>
      <c r="K1054" s="85"/>
      <c r="L1054" s="85">
        <f>IFERROR(__xludf.DUMMYFUNCTION("""COMPUTED_VALUE"""),90.0)</f>
        <v>90</v>
      </c>
      <c r="M1054" s="85"/>
      <c r="N1054" s="85"/>
      <c r="O1054" s="85"/>
      <c r="P1054" s="85" t="str">
        <f>IFERROR(__xludf.DUMMYFUNCTION("""COMPUTED_VALUE"""),"53BSPA17105JBEEN")</f>
        <v>53BSPA17105JBEEN</v>
      </c>
      <c r="Q1054" s="85" t="str">
        <f>IFERROR(__xludf.DUMMYFUNCTION("""COMPUTED_VALUE"""),"MUC Multi Expedisi Sleman")</f>
        <v>MUC Multi Expedisi Sleman</v>
      </c>
      <c r="R1054" s="85" t="str">
        <f>IFERROR(__xludf.DUMMYFUNCTION("""COMPUTED_VALUE"""),"MUC Multi Expedisi Sleman")</f>
        <v>MUC Multi Expedisi Sleman</v>
      </c>
      <c r="S1054" s="85" t="str">
        <f>IFERROR(__xludf.DUMMYFUNCTION("""COMPUTED_VALUE"""),"VINA ARIVAN")</f>
        <v>VINA ARIVAN</v>
      </c>
      <c r="T1054" s="85" t="str">
        <f>IFERROR(__xludf.DUMMYFUNCTION("""COMPUTED_VALUE"""),"BENDO RT.006 RW.004, WUKIRSARI, IMOGIRI, KAB. BANTUL, DIY")</f>
        <v>BENDO RT.006 RW.004, WUKIRSARI, IMOGIRI, KAB. BANTUL, DIY</v>
      </c>
      <c r="U1054" s="85" t="str">
        <f>IFERROR(__xludf.DUMMYFUNCTION("""COMPUTED_VALUE"""),"Kaliurang St No.km 13,5 Besi")</f>
        <v>Kaliurang St No.km 13,5 Besi</v>
      </c>
      <c r="V1054" s="85" t="str">
        <f>IFERROR(__xludf.DUMMYFUNCTION("""COMPUTED_VALUE"""),"RT.006 \ RW.004")</f>
        <v>RT.006 \ RW.004</v>
      </c>
      <c r="W1054" s="85" t="str">
        <f>IFERROR(__xludf.DUMMYFUNCTION("""COMPUTED_VALUE"""),"SARDONOHARJO")</f>
        <v>SARDONOHARJO</v>
      </c>
      <c r="X1054" s="85" t="str">
        <f>IFERROR(__xludf.DUMMYFUNCTION("""COMPUTED_VALUE"""),"NGAGLIK")</f>
        <v>NGAGLIK</v>
      </c>
      <c r="Y1054" s="85" t="str">
        <f>IFERROR(__xludf.DUMMYFUNCTION("""COMPUTED_VALUE"""),"KAB. SLEMAN")</f>
        <v>KAB. SLEMAN</v>
      </c>
      <c r="Z1054" s="85" t="str">
        <f>IFERROR(__xludf.DUMMYFUNCTION("""COMPUTED_VALUE"""),"DI YOGYAKARTA")</f>
        <v>DI YOGYAKARTA</v>
      </c>
      <c r="AA1054" s="85" t="str">
        <f>IFERROR(__xludf.DUMMYFUNCTION("""COMPUTED_VALUE"""),"55581")</f>
        <v>55581</v>
      </c>
      <c r="AB1054" s="85" t="str">
        <f>IFERROR(__xludf.DUMMYFUNCTION("""COMPUTED_VALUE"""),"3402100707900001")</f>
        <v>3402100707900001</v>
      </c>
      <c r="AC1054" s="85" t="str">
        <f>IFERROR(__xludf.DUMMYFUNCTION("""COMPUTED_VALUE"""),"70.745.732.1-543.000")</f>
        <v>70.745.732.1-543.000</v>
      </c>
      <c r="AD1054" s="85" t="str">
        <f>IFERROR(__xludf.DUMMYFUNCTION("""COMPUTED_VALUE"""),"CUM - EEN")</f>
        <v>CUM - EEN</v>
      </c>
      <c r="AE1054" s="85" t="str">
        <f>IFERROR(__xludf.DUMMYFUNCTION("""COMPUTED_VALUE"""),"CUM - EEN")</f>
        <v>CUM - EEN</v>
      </c>
      <c r="AF1054" s="85" t="str">
        <f>IFERROR(__xludf.DUMMYFUNCTION("""COMPUTED_VALUE"""),"87882337844")</f>
        <v>87882337844</v>
      </c>
      <c r="AG1054" s="85" t="str">
        <f>IFERROR(__xludf.DUMMYFUNCTION("""COMPUTED_VALUE"""),"87882337844")</f>
        <v>87882337844</v>
      </c>
      <c r="AH1054" s="85" t="str">
        <f>IFERROR(__xludf.DUMMYFUNCTION("""COMPUTED_VALUE"""),"vino.arivan79@gmail.com")</f>
        <v>vino.arivan79@gmail.com</v>
      </c>
      <c r="AI1054" s="85" t="str">
        <f>IFERROR(__xludf.DUMMYFUNCTION("""COMPUTED_VALUE"""),"55581SF")</f>
        <v>55581SF</v>
      </c>
      <c r="AJ1054" s="85" t="str">
        <f>IFERROR(__xludf.DUMMYFUNCTION("""COMPUTED_VALUE"""),"6a9bed8ddd644f1f570d1dfc")</f>
        <v>6a9bed8ddd644f1f570d1dfc</v>
      </c>
      <c r="AK1054" s="85" t="str">
        <f>IFERROR(__xludf.DUMMYFUNCTION("""COMPUTED_VALUE"""),"vino.arivan79@gmail.com")</f>
        <v>vino.arivan79@gmail.com</v>
      </c>
      <c r="AL1054" s="85" t="str">
        <f>IFERROR(__xludf.DUMMYFUNCTION("""COMPUTED_VALUE"""),"#Muc55581SF$")</f>
        <v>#Muc55581SF$</v>
      </c>
      <c r="AM1054" s="85" t="str">
        <f>IFERROR(__xludf.DUMMYFUNCTION("""COMPUTED_VALUE"""),"KANTOR REGIONAL IV SEMARANG 50004")</f>
        <v>KANTOR REGIONAL IV SEMARANG 50004</v>
      </c>
      <c r="AN1054" s="85" t="str">
        <f>IFERROR(__xludf.DUMMYFUNCTION("""COMPUTED_VALUE"""),"KCU YOGYAKARTA 55000")</f>
        <v>KCU YOGYAKARTA 55000</v>
      </c>
      <c r="AO1054" s="85" t="str">
        <f>IFERROR(__xludf.DUMMYFUNCTION("""COMPUTED_VALUE"""),"2402260037352")</f>
        <v>2402260037352</v>
      </c>
      <c r="AP1054" s="85" t="str">
        <f>IFERROR(__xludf.DUMMYFUNCTION("""COMPUTED_VALUE"""),"24022600373520003")</f>
        <v>24022600373520003</v>
      </c>
      <c r="AQ1054" s="93" t="str">
        <f>IFERROR(__xludf.DUMMYFUNCTION("""COMPUTED_VALUE"""),"670873501")</f>
        <v>670873501</v>
      </c>
      <c r="AR1054" s="85" t="str">
        <f>IFERROR(__xludf.DUMMYFUNCTION("""COMPUTED_VALUE"""),"BCA")</f>
        <v>BCA</v>
      </c>
      <c r="AS1054" s="85" t="str">
        <f>IFERROR(__xludf.DUMMYFUNCTION("""COMPUTED_VALUE"""),"VINA ARIVAN")</f>
        <v>VINA ARIVAN</v>
      </c>
      <c r="AT1054" s="85" t="str">
        <f>IFERROR(__xludf.DUMMYFUNCTION("""COMPUTED_VALUE"""),"-76,977,442")</f>
        <v>-76,977,442</v>
      </c>
      <c r="AU1054" s="85" t="str">
        <f>IFERROR(__xludf.DUMMYFUNCTION("""COMPUTED_VALUE"""),"1,104,169,018")</f>
        <v>1,104,169,018</v>
      </c>
      <c r="AV1054" s="85"/>
      <c r="AW1054" s="85"/>
      <c r="AX1054" s="85"/>
      <c r="AY1054" s="85"/>
      <c r="AZ1054" s="85"/>
      <c r="BA1054" s="85"/>
      <c r="BB1054" s="85"/>
      <c r="BC1054" s="85"/>
      <c r="BD1054" s="85"/>
      <c r="BE1054" s="85"/>
      <c r="BF1054" s="85"/>
      <c r="BG1054" s="85"/>
      <c r="BH1054" s="85"/>
      <c r="BI1054" s="85"/>
      <c r="BJ1054" s="85"/>
      <c r="BK1054" s="85"/>
      <c r="BL1054" s="85"/>
      <c r="BM1054" s="85"/>
      <c r="BN1054" s="85"/>
      <c r="BO1054" s="85"/>
      <c r="BP1054" s="85"/>
      <c r="BQ1054" s="85"/>
      <c r="BR1054" s="85"/>
      <c r="BS1054" s="85"/>
      <c r="BT1054" s="85"/>
      <c r="BU1054" s="85"/>
      <c r="BV1054" s="85"/>
      <c r="BW1054" s="85"/>
      <c r="BX1054" s="85"/>
      <c r="BY1054" s="85"/>
      <c r="BZ1054" s="85"/>
      <c r="CA1054" s="85"/>
      <c r="CB1054" s="85"/>
      <c r="CC1054" s="85"/>
      <c r="CD1054" s="85"/>
      <c r="CE1054" s="85"/>
      <c r="CF1054" s="85"/>
      <c r="CG1054" s="85"/>
      <c r="CH1054" s="85"/>
      <c r="CI1054" s="85"/>
      <c r="CJ1054" s="85"/>
      <c r="CK1054" s="2"/>
    </row>
    <row r="1055" ht="12.75" customHeight="1">
      <c r="A1055" s="80">
        <f>IFERROR(__xludf.DUMMYFUNCTION("""COMPUTED_VALUE"""),1051.0)</f>
        <v>1051</v>
      </c>
      <c r="B1055" s="80"/>
      <c r="C1055" s="80"/>
      <c r="D1055" s="81">
        <f>IFERROR(__xludf.DUMMYFUNCTION("""COMPUTED_VALUE"""),46183.0)</f>
        <v>46183</v>
      </c>
      <c r="E1055" s="82"/>
      <c r="F1055" s="80"/>
      <c r="G1055" s="81">
        <f>IFERROR(__xludf.DUMMYFUNCTION("""COMPUTED_VALUE"""),46188.0)</f>
        <v>46188</v>
      </c>
      <c r="H1055" s="80"/>
      <c r="I1055" s="80"/>
      <c r="J1055" s="80"/>
      <c r="K1055" s="80"/>
      <c r="L1055" s="80">
        <f>IFERROR(__xludf.DUMMYFUNCTION("""COMPUTED_VALUE"""),5.0)</f>
        <v>5</v>
      </c>
      <c r="M1055" s="80"/>
      <c r="N1055" s="80"/>
      <c r="O1055" s="80"/>
      <c r="P1055" s="80" t="str">
        <f>IFERROR(__xludf.DUMMYFUNCTION("""COMPUTED_VALUE"""),"MUCSPA63513PSIND")</f>
        <v>MUCSPA63513PSIND</v>
      </c>
      <c r="Q1055" s="80" t="str">
        <f>IFERROR(__xludf.DUMMYFUNCTION("""COMPUTED_VALUE"""),"MUC Koperasi Sejahtera Imigrasi")</f>
        <v>MUC Koperasi Sejahtera Imigrasi</v>
      </c>
      <c r="R1055" s="80" t="str">
        <f>IFERROR(__xludf.DUMMYFUNCTION("""COMPUTED_VALUE"""),"MUC Koperasi Sejahtera Imigras")</f>
        <v>MUC Koperasi Sejahtera Imigras</v>
      </c>
      <c r="S1055" s="80" t="str">
        <f>IFERROR(__xludf.DUMMYFUNCTION("""COMPUTED_VALUE"""),"M. IWAN ARDIYANSYAH")</f>
        <v>M. IWAN ARDIYANSYAH</v>
      </c>
      <c r="T1055" s="80" t="str">
        <f>IFERROR(__xludf.DUMMYFUNCTION("""COMPUTED_VALUE"""),"KP PINTU AIR RT 004 RW 003 HARAPAN MULYA, MEDAN SATRIA, BEKASI")</f>
        <v>KP PINTU AIR RT 004 RW 003 HARAPAN MULYA, MEDAN SATRIA, BEKASI</v>
      </c>
      <c r="U1055" s="80" t="str">
        <f>IFERROR(__xludf.DUMMYFUNCTION("""COMPUTED_VALUE"""),"Jl. Perjuangan No.100 RT 002 RW 001")</f>
        <v>Jl. Perjuangan No.100 RT 002 RW 001</v>
      </c>
      <c r="V1055" s="80" t="str">
        <f>IFERROR(__xludf.DUMMYFUNCTION("""COMPUTED_VALUE"""),"RT 004 \ RW 003")</f>
        <v>RT 004 \ RW 003</v>
      </c>
      <c r="W1055" s="80" t="str">
        <f>IFERROR(__xludf.DUMMYFUNCTION("""COMPUTED_VALUE"""),"TELUK PUCUNG")</f>
        <v>TELUK PUCUNG</v>
      </c>
      <c r="X1055" s="80" t="str">
        <f>IFERROR(__xludf.DUMMYFUNCTION("""COMPUTED_VALUE"""),"BEKASI UTARA")</f>
        <v>BEKASI UTARA</v>
      </c>
      <c r="Y1055" s="80" t="str">
        <f>IFERROR(__xludf.DUMMYFUNCTION("""COMPUTED_VALUE"""),"KOTA BEKASI")</f>
        <v>KOTA BEKASI</v>
      </c>
      <c r="Z1055" s="80" t="str">
        <f>IFERROR(__xludf.DUMMYFUNCTION("""COMPUTED_VALUE"""),"Jawa Barat")</f>
        <v>Jawa Barat</v>
      </c>
      <c r="AA1055" s="80" t="str">
        <f>IFERROR(__xludf.DUMMYFUNCTION("""COMPUTED_VALUE"""),"17121")</f>
        <v>17121</v>
      </c>
      <c r="AB1055" s="80" t="str">
        <f>IFERROR(__xludf.DUMMYFUNCTION("""COMPUTED_VALUE"""),"3275060311810006")</f>
        <v>3275060311810006</v>
      </c>
      <c r="AC1055" s="80" t="str">
        <f>IFERROR(__xludf.DUMMYFUNCTION("""COMPUTED_VALUE"""),"36.152.583.5-407.000")</f>
        <v>36.152.583.5-407.000</v>
      </c>
      <c r="AD1055" s="80" t="str">
        <f>IFERROR(__xludf.DUMMYFUNCTION("""COMPUTED_VALUE"""),"CUM - PS - AYS")</f>
        <v>CUM - PS - AYS</v>
      </c>
      <c r="AE1055" s="80" t="str">
        <f>IFERROR(__xludf.DUMMYFUNCTION("""COMPUTED_VALUE"""),"CUM - PS - AYS")</f>
        <v>CUM - PS - AYS</v>
      </c>
      <c r="AF1055" s="80" t="str">
        <f>IFERROR(__xludf.DUMMYFUNCTION("""COMPUTED_VALUE"""),"8212075597")</f>
        <v>8212075597</v>
      </c>
      <c r="AG1055" s="80" t="str">
        <f>IFERROR(__xludf.DUMMYFUNCTION("""COMPUTED_VALUE"""),"8212075597")</f>
        <v>8212075597</v>
      </c>
      <c r="AH1055" s="80" t="str">
        <f>IFERROR(__xludf.DUMMYFUNCTION("""COMPUTED_VALUE"""),"koperasiimigrasibekasi@gmail.com")</f>
        <v>koperasiimigrasibekasi@gmail.com</v>
      </c>
      <c r="AI1055" s="80" t="str">
        <f>IFERROR(__xludf.DUMMYFUNCTION("""COMPUTED_VALUE"""),"17121S4")</f>
        <v>17121S4</v>
      </c>
      <c r="AJ1055" s="80" t="str">
        <f>IFERROR(__xludf.DUMMYFUNCTION("""COMPUTED_VALUE"""),"6a2e3faf6fee298b4104bfb2")</f>
        <v>6a2e3faf6fee298b4104bfb2</v>
      </c>
      <c r="AK1055" s="80" t="str">
        <f>IFERROR(__xludf.DUMMYFUNCTION("""COMPUTED_VALUE"""),"koperasiimigrasibekasi@gmail.com")</f>
        <v>koperasiimigrasibekasi@gmail.com</v>
      </c>
      <c r="AL1055" s="80" t="str">
        <f>IFERROR(__xludf.DUMMYFUNCTION("""COMPUTED_VALUE"""),"#Muc17121S4$")</f>
        <v>#Muc17121S4$</v>
      </c>
      <c r="AM1055" s="80" t="str">
        <f>IFERROR(__xludf.DUMMYFUNCTION("""COMPUTED_VALUE"""),"KANTOR REGIONAL II JAKARTA 10004")</f>
        <v>KANTOR REGIONAL II JAKARTA 10004</v>
      </c>
      <c r="AN1055" s="80" t="str">
        <f>IFERROR(__xludf.DUMMYFUNCTION("""COMPUTED_VALUE"""),"KCU BEKASI 17000")</f>
        <v>KCU BEKASI 17000</v>
      </c>
      <c r="AO1055" s="80" t="str">
        <f>IFERROR(__xludf.DUMMYFUNCTION("""COMPUTED_VALUE"""),"1006260038251")</f>
        <v>1006260038251</v>
      </c>
      <c r="AP1055" s="80" t="str">
        <f>IFERROR(__xludf.DUMMYFUNCTION("""COMPUTED_VALUE"""),"10062600382510001")</f>
        <v>10062600382510001</v>
      </c>
      <c r="AQ1055" s="83" t="str">
        <f>IFERROR(__xludf.DUMMYFUNCTION("""COMPUTED_VALUE"""),"44401001617563")</f>
        <v>44401001617563</v>
      </c>
      <c r="AR1055" s="80" t="str">
        <f>IFERROR(__xludf.DUMMYFUNCTION("""COMPUTED_VALUE"""),"BRI")</f>
        <v>BRI</v>
      </c>
      <c r="AS1055" s="80" t="str">
        <f>IFERROR(__xludf.DUMMYFUNCTION("""COMPUTED_VALUE"""),"Koperasi Sejahtera Imigrasi Bekasi")</f>
        <v>Koperasi Sejahtera Imigrasi Bekasi</v>
      </c>
      <c r="AT1055" s="80" t="str">
        <f>IFERROR(__xludf.DUMMYFUNCTION("""COMPUTED_VALUE"""),"-62,195,333")</f>
        <v>-62,195,333</v>
      </c>
      <c r="AU1055" s="80" t="str">
        <f>IFERROR(__xludf.DUMMYFUNCTION("""COMPUTED_VALUE"""),"1,070,246,541")</f>
        <v>1,070,246,541</v>
      </c>
      <c r="AV1055" s="80"/>
      <c r="AW1055" s="80"/>
      <c r="AX1055" s="80"/>
      <c r="AY1055" s="80"/>
      <c r="AZ1055" s="80"/>
      <c r="BA1055" s="80"/>
      <c r="BB1055" s="80"/>
      <c r="BC1055" s="80"/>
      <c r="BD1055" s="80"/>
      <c r="BE1055" s="80"/>
      <c r="BF1055" s="80"/>
      <c r="BG1055" s="80"/>
      <c r="BH1055" s="80"/>
      <c r="BI1055" s="80"/>
      <c r="BJ1055" s="80"/>
      <c r="BK1055" s="80"/>
      <c r="BL1055" s="80"/>
      <c r="BM1055" s="80"/>
      <c r="BN1055" s="80"/>
      <c r="BO1055" s="80"/>
      <c r="BP1055" s="80"/>
      <c r="BQ1055" s="80"/>
      <c r="BR1055" s="80"/>
      <c r="BS1055" s="80"/>
      <c r="BT1055" s="80"/>
      <c r="BU1055" s="80"/>
      <c r="BV1055" s="80"/>
      <c r="BW1055" s="80"/>
      <c r="BX1055" s="80"/>
      <c r="BY1055" s="80"/>
      <c r="BZ1055" s="80"/>
      <c r="CA1055" s="80"/>
      <c r="CB1055" s="80"/>
      <c r="CC1055" s="80"/>
      <c r="CD1055" s="80"/>
      <c r="CE1055" s="80"/>
      <c r="CF1055" s="80"/>
      <c r="CG1055" s="80"/>
      <c r="CH1055" s="80"/>
      <c r="CI1055" s="80"/>
      <c r="CJ1055" s="80"/>
      <c r="CK1055" s="2"/>
    </row>
    <row r="1056" ht="12.75" customHeight="1">
      <c r="A1056" s="85">
        <f>IFERROR(__xludf.DUMMYFUNCTION("""COMPUTED_VALUE"""),1052.0)</f>
        <v>1052</v>
      </c>
      <c r="B1056" s="85"/>
      <c r="C1056" s="85"/>
      <c r="D1056" s="86">
        <f>IFERROR(__xludf.DUMMYFUNCTION("""COMPUTED_VALUE"""),46183.0)</f>
        <v>46183</v>
      </c>
      <c r="E1056" s="88"/>
      <c r="F1056" s="85"/>
      <c r="G1056" s="86"/>
      <c r="H1056" s="85"/>
      <c r="I1056" s="85"/>
      <c r="J1056" s="85"/>
      <c r="K1056" s="85"/>
      <c r="L1056" s="85"/>
      <c r="M1056" s="85"/>
      <c r="N1056" s="85"/>
      <c r="O1056" s="85"/>
      <c r="P1056" s="85" t="str">
        <f>IFERROR(__xludf.DUMMYFUNCTION("""COMPUTED_VALUE"""),"MUCSPA63514PSIND")</f>
        <v>MUCSPA63514PSIND</v>
      </c>
      <c r="Q1056" s="85" t="str">
        <f>IFERROR(__xludf.DUMMYFUNCTION("""COMPUTED_VALUE"""),"MUC HOSANA")</f>
        <v>MUC HOSANA</v>
      </c>
      <c r="R1056" s="85" t="str">
        <f>IFERROR(__xludf.DUMMYFUNCTION("""COMPUTED_VALUE"""),"MUC HOSANA")</f>
        <v>MUC HOSANA</v>
      </c>
      <c r="S1056" s="85" t="str">
        <f>IFERROR(__xludf.DUMMYFUNCTION("""COMPUTED_VALUE"""),"RAYMOND MEISAR")</f>
        <v>RAYMOND MEISAR</v>
      </c>
      <c r="T1056" s="85" t="str">
        <f>IFERROR(__xludf.DUMMYFUNCTION("""COMPUTED_VALUE"""),"JL. DG NGEPPE 24 RT 002 RW 006 BALANG BARU, TAMALATE, MAKASSAR")</f>
        <v>JL. DG NGEPPE 24 RT 002 RW 006 BALANG BARU, TAMALATE, MAKASSAR</v>
      </c>
      <c r="U1056" s="85" t="str">
        <f>IFERROR(__xludf.DUMMYFUNCTION("""COMPUTED_VALUE"""),"JL. DG NGEPPE 24 RT 002 RW 006 BALANG BARU, TAMALATE, MAKASSAR")</f>
        <v>JL. DG NGEPPE 24 RT 002 RW 006 BALANG BARU, TAMALATE, MAKASSAR</v>
      </c>
      <c r="V1056" s="85" t="str">
        <f>IFERROR(__xludf.DUMMYFUNCTION("""COMPUTED_VALUE"""),"RT 002 \ RW 006")</f>
        <v>RT 002 \ RW 006</v>
      </c>
      <c r="W1056" s="85" t="str">
        <f>IFERROR(__xludf.DUMMYFUNCTION("""COMPUTED_VALUE"""),"BALANG BARU")</f>
        <v>BALANG BARU</v>
      </c>
      <c r="X1056" s="85" t="str">
        <f>IFERROR(__xludf.DUMMYFUNCTION("""COMPUTED_VALUE"""),"TAMALATE")</f>
        <v>TAMALATE</v>
      </c>
      <c r="Y1056" s="85" t="str">
        <f>IFERROR(__xludf.DUMMYFUNCTION("""COMPUTED_VALUE"""),"MAKASSAR")</f>
        <v>MAKASSAR</v>
      </c>
      <c r="Z1056" s="85" t="str">
        <f>IFERROR(__xludf.DUMMYFUNCTION("""COMPUTED_VALUE"""),"SULAWESI SELATAN")</f>
        <v>SULAWESI SELATAN</v>
      </c>
      <c r="AA1056" s="85" t="str">
        <f>IFERROR(__xludf.DUMMYFUNCTION("""COMPUTED_VALUE"""),"90224")</f>
        <v>90224</v>
      </c>
      <c r="AB1056" s="85" t="str">
        <f>IFERROR(__xludf.DUMMYFUNCTION("""COMPUTED_VALUE"""),"7371130305810013")</f>
        <v>7371130305810013</v>
      </c>
      <c r="AC1056" s="85" t="str">
        <f>IFERROR(__xludf.DUMMYFUNCTION("""COMPUTED_VALUE"""),"88.599.995.3-952.000")</f>
        <v>88.599.995.3-952.000</v>
      </c>
      <c r="AD1056" s="85" t="str">
        <f>IFERROR(__xludf.DUMMYFUNCTION("""COMPUTED_VALUE"""),"Pak Daos KCU MAKASAR")</f>
        <v>Pak Daos KCU MAKASAR</v>
      </c>
      <c r="AE1056" s="85" t="str">
        <f>IFERROR(__xludf.DUMMYFUNCTION("""COMPUTED_VALUE"""),"Pak Daos KCU MAKASAR")</f>
        <v>Pak Daos KCU MAKASAR</v>
      </c>
      <c r="AF1056" s="85" t="str">
        <f>IFERROR(__xludf.DUMMYFUNCTION("""COMPUTED_VALUE"""),"081244013878")</f>
        <v>081244013878</v>
      </c>
      <c r="AG1056" s="85" t="str">
        <f>IFERROR(__xludf.DUMMYFUNCTION("""COMPUTED_VALUE"""),"81244013878")</f>
        <v>81244013878</v>
      </c>
      <c r="AH1056" s="85" t="str">
        <f>IFERROR(__xludf.DUMMYFUNCTION("""COMPUTED_VALUE"""),"raymondvelly@gmail.com")</f>
        <v>raymondvelly@gmail.com</v>
      </c>
      <c r="AI1056" s="85"/>
      <c r="AJ1056" s="85"/>
      <c r="AK1056" s="85"/>
      <c r="AL1056" s="85"/>
      <c r="AM1056" s="85" t="str">
        <f>IFERROR(__xludf.DUMMYFUNCTION("""COMPUTED_VALUE"""),"KANTOR REGIONAL VI MAKASAR 90004")</f>
        <v>KANTOR REGIONAL VI MAKASAR 90004</v>
      </c>
      <c r="AN1056" s="85" t="str">
        <f>IFERROR(__xludf.DUMMYFUNCTION("""COMPUTED_VALUE"""),"KCU MAKASSAR 90000")</f>
        <v>KCU MAKASSAR 90000</v>
      </c>
      <c r="AO1056" s="85" t="str">
        <f>IFERROR(__xludf.DUMMYFUNCTION("""COMPUTED_VALUE"""),"1901240009205")</f>
        <v>1901240009205</v>
      </c>
      <c r="AP1056" s="85" t="str">
        <f>IFERROR(__xludf.DUMMYFUNCTION("""COMPUTED_VALUE"""),"19012400092050001")</f>
        <v>19012400092050001</v>
      </c>
      <c r="AQ1056" s="93" t="str">
        <f>IFERROR(__xludf.DUMMYFUNCTION("""COMPUTED_VALUE"""),"4050286679")</f>
        <v>4050286679</v>
      </c>
      <c r="AR1056" s="85" t="str">
        <f>IFERROR(__xludf.DUMMYFUNCTION("""COMPUTED_VALUE"""),"BCA")</f>
        <v>BCA</v>
      </c>
      <c r="AS1056" s="85" t="str">
        <f>IFERROR(__xludf.DUMMYFUNCTION("""COMPUTED_VALUE"""),"RAYMOND MEISAR")</f>
        <v>RAYMOND MEISAR</v>
      </c>
      <c r="AT1056" s="85" t="str">
        <f>IFERROR(__xludf.DUMMYFUNCTION("""COMPUTED_VALUE"""),"-5,180,421")</f>
        <v>-5,180,421</v>
      </c>
      <c r="AU1056" s="85" t="str">
        <f>IFERROR(__xludf.DUMMYFUNCTION("""COMPUTED_VALUE"""),"119,416,703")</f>
        <v>119,416,703</v>
      </c>
      <c r="AV1056" s="85"/>
      <c r="AW1056" s="85"/>
      <c r="AX1056" s="85"/>
      <c r="AY1056" s="85"/>
      <c r="AZ1056" s="85"/>
      <c r="BA1056" s="85"/>
      <c r="BB1056" s="85"/>
      <c r="BC1056" s="85"/>
      <c r="BD1056" s="85"/>
      <c r="BE1056" s="85"/>
      <c r="BF1056" s="85"/>
      <c r="BG1056" s="85"/>
      <c r="BH1056" s="85"/>
      <c r="BI1056" s="85"/>
      <c r="BJ1056" s="85"/>
      <c r="BK1056" s="85"/>
      <c r="BL1056" s="85"/>
      <c r="BM1056" s="85"/>
      <c r="BN1056" s="85"/>
      <c r="BO1056" s="85"/>
      <c r="BP1056" s="85"/>
      <c r="BQ1056" s="85"/>
      <c r="BR1056" s="85"/>
      <c r="BS1056" s="85"/>
      <c r="BT1056" s="85"/>
      <c r="BU1056" s="85"/>
      <c r="BV1056" s="85"/>
      <c r="BW1056" s="85"/>
      <c r="BX1056" s="85"/>
      <c r="BY1056" s="85"/>
      <c r="BZ1056" s="85"/>
      <c r="CA1056" s="85"/>
      <c r="CB1056" s="85"/>
      <c r="CC1056" s="85"/>
      <c r="CD1056" s="85"/>
      <c r="CE1056" s="85"/>
      <c r="CF1056" s="85"/>
      <c r="CG1056" s="85"/>
      <c r="CH1056" s="85"/>
      <c r="CI1056" s="85"/>
      <c r="CJ1056" s="85"/>
      <c r="CK1056" s="2"/>
    </row>
    <row r="1057" ht="12.75" customHeight="1">
      <c r="A1057" s="80">
        <f>IFERROR(__xludf.DUMMYFUNCTION("""COMPUTED_VALUE"""),1053.0)</f>
        <v>1053</v>
      </c>
      <c r="B1057" s="80"/>
      <c r="C1057" s="80"/>
      <c r="D1057" s="81">
        <f>IFERROR(__xludf.DUMMYFUNCTION("""COMPUTED_VALUE"""),46183.0)</f>
        <v>46183</v>
      </c>
      <c r="E1057" s="82"/>
      <c r="F1057" s="80"/>
      <c r="G1057" s="81"/>
      <c r="H1057" s="80"/>
      <c r="I1057" s="80"/>
      <c r="J1057" s="80"/>
      <c r="K1057" s="80"/>
      <c r="L1057" s="80"/>
      <c r="M1057" s="80"/>
      <c r="N1057" s="80"/>
      <c r="O1057" s="80"/>
      <c r="P1057" s="80" t="str">
        <f>IFERROR(__xludf.DUMMYFUNCTION("""COMPUTED_VALUE"""),"MUCSPA63515PSIND")</f>
        <v>MUCSPA63515PSIND</v>
      </c>
      <c r="Q1057" s="80" t="str">
        <f>IFERROR(__xludf.DUMMYFUNCTION("""COMPUTED_VALUE"""),"MUC KOPERASI KOPI LAMPUNG")</f>
        <v>MUC KOPERASI KOPI LAMPUNG</v>
      </c>
      <c r="R1057" s="80" t="str">
        <f>IFERROR(__xludf.DUMMYFUNCTION("""COMPUTED_VALUE"""),"MUC KOPERASI KOPI LAMPUNG")</f>
        <v>MUC KOPERASI KOPI LAMPUNG</v>
      </c>
      <c r="S1057" s="80" t="str">
        <f>IFERROR(__xludf.DUMMYFUNCTION("""COMPUTED_VALUE"""),"Drh. Yadi Adi Rostandi. R")</f>
        <v>Drh. Yadi Adi Rostandi. R</v>
      </c>
      <c r="T1057" s="80" t="str">
        <f>IFERROR(__xludf.DUMMYFUNCTION("""COMPUTED_VALUE"""),"Perum Bukit Az-Zikra Jl. Syukur III No. 04 RT 001 RW 005 Cipambuan, Babakan Madang, Kab. Bogor")</f>
        <v>Perum Bukit Az-Zikra Jl. Syukur III No. 04 RT 001 RW 005 Cipambuan, Babakan Madang, Kab. Bogor</v>
      </c>
      <c r="U1057" s="80" t="str">
        <f>IFERROR(__xludf.DUMMYFUNCTION("""COMPUTED_VALUE"""),"JL. Soekarno Hatta KM 20, Way Laga, Sukabumi, Bandar Lampung")</f>
        <v>JL. Soekarno Hatta KM 20, Way Laga, Sukabumi, Bandar Lampung</v>
      </c>
      <c r="V1057" s="80" t="str">
        <f>IFERROR(__xludf.DUMMYFUNCTION("""COMPUTED_VALUE"""),"RT 001 \ RW 005")</f>
        <v>RT 001 \ RW 005</v>
      </c>
      <c r="W1057" s="80" t="str">
        <f>IFERROR(__xludf.DUMMYFUNCTION("""COMPUTED_VALUE"""),"Way Laga")</f>
        <v>Way Laga</v>
      </c>
      <c r="X1057" s="80" t="str">
        <f>IFERROR(__xludf.DUMMYFUNCTION("""COMPUTED_VALUE"""),"Sukabumi")</f>
        <v>Sukabumi</v>
      </c>
      <c r="Y1057" s="80" t="str">
        <f>IFERROR(__xludf.DUMMYFUNCTION("""COMPUTED_VALUE"""),"Bandar Lampung")</f>
        <v>Bandar Lampung</v>
      </c>
      <c r="Z1057" s="80" t="str">
        <f>IFERROR(__xludf.DUMMYFUNCTION("""COMPUTED_VALUE"""),"Lampung")</f>
        <v>Lampung</v>
      </c>
      <c r="AA1057" s="80" t="str">
        <f>IFERROR(__xludf.DUMMYFUNCTION("""COMPUTED_VALUE"""),"35246")</f>
        <v>35246</v>
      </c>
      <c r="AB1057" s="80" t="str">
        <f>IFERROR(__xludf.DUMMYFUNCTION("""COMPUTED_VALUE"""),"3201050705790005")</f>
        <v>3201050705790005</v>
      </c>
      <c r="AC1057" s="80" t="str">
        <f>IFERROR(__xludf.DUMMYFUNCTION("""COMPUTED_VALUE"""),"10.000.000.0-227.5398")</f>
        <v>10.000.000.0-227.5398</v>
      </c>
      <c r="AD1057" s="80" t="str">
        <f>IFERROR(__xludf.DUMMYFUNCTION("""COMPUTED_VALUE"""),"CUM - PS -WUMAR")</f>
        <v>CUM - PS -WUMAR</v>
      </c>
      <c r="AE1057" s="80" t="str">
        <f>IFERROR(__xludf.DUMMYFUNCTION("""COMPUTED_VALUE"""),"CUM - PS -WUMAR")</f>
        <v>CUM - PS -WUMAR</v>
      </c>
      <c r="AF1057" s="80" t="str">
        <f>IFERROR(__xludf.DUMMYFUNCTION("""COMPUTED_VALUE"""),"0895428272808")</f>
        <v>0895428272808</v>
      </c>
      <c r="AG1057" s="80" t="str">
        <f>IFERROR(__xludf.DUMMYFUNCTION("""COMPUTED_VALUE"""),"895428272808")</f>
        <v>895428272808</v>
      </c>
      <c r="AH1057" s="80" t="str">
        <f>IFERROR(__xludf.DUMMYFUNCTION("""COMPUTED_VALUE"""),"kopikampung25@gmail.com")</f>
        <v>kopikampung25@gmail.com</v>
      </c>
      <c r="AI1057" s="80"/>
      <c r="AJ1057" s="80"/>
      <c r="AK1057" s="80"/>
      <c r="AL1057" s="80"/>
      <c r="AM1057" s="80" t="str">
        <f>IFERROR(__xludf.DUMMYFUNCTION("""COMPUTED_VALUE"""),"KANTOR REGIONAL I MEDAN 20004")</f>
        <v>KANTOR REGIONAL I MEDAN 20004</v>
      </c>
      <c r="AN1057" s="80" t="str">
        <f>IFERROR(__xludf.DUMMYFUNCTION("""COMPUTED_VALUE"""),"KCU BANDARLAMPUNG 35000")</f>
        <v>KCU BANDARLAMPUNG 35000</v>
      </c>
      <c r="AO1057" s="80" t="str">
        <f>IFERROR(__xludf.DUMMYFUNCTION("""COMPUTED_VALUE"""),"2105250011363")</f>
        <v>2105250011363</v>
      </c>
      <c r="AP1057" s="80" t="str">
        <f>IFERROR(__xludf.DUMMYFUNCTION("""COMPUTED_VALUE"""),"21052500113630001")</f>
        <v>21052500113630001</v>
      </c>
      <c r="AQ1057" s="83" t="str">
        <f>IFERROR(__xludf.DUMMYFUNCTION("""COMPUTED_VALUE"""),"028501003511569")</f>
        <v>028501003511569</v>
      </c>
      <c r="AR1057" s="80" t="str">
        <f>IFERROR(__xludf.DUMMYFUNCTION("""COMPUTED_VALUE"""),"BRI")</f>
        <v>BRI</v>
      </c>
      <c r="AS1057" s="80" t="str">
        <f>IFERROR(__xludf.DUMMYFUNCTION("""COMPUTED_VALUE"""),"Koperasi Konsumen Kopi Kampung")</f>
        <v>Koperasi Konsumen Kopi Kampung</v>
      </c>
      <c r="AT1057" s="80" t="str">
        <f>IFERROR(__xludf.DUMMYFUNCTION("""COMPUTED_VALUE"""),"-5,450,370,659,835,440")</f>
        <v>-5,450,370,659,835,440</v>
      </c>
      <c r="AU1057" s="80" t="str">
        <f>IFERROR(__xludf.DUMMYFUNCTION("""COMPUTED_VALUE"""),"10,531,409,655,952,500")</f>
        <v>10,531,409,655,952,500</v>
      </c>
      <c r="AV1057" s="80"/>
      <c r="AW1057" s="80"/>
      <c r="AX1057" s="80"/>
      <c r="AY1057" s="80"/>
      <c r="AZ1057" s="80"/>
      <c r="BA1057" s="80"/>
      <c r="BB1057" s="80"/>
      <c r="BC1057" s="80"/>
      <c r="BD1057" s="80"/>
      <c r="BE1057" s="80"/>
      <c r="BF1057" s="80"/>
      <c r="BG1057" s="80"/>
      <c r="BH1057" s="80"/>
      <c r="BI1057" s="80"/>
      <c r="BJ1057" s="80"/>
      <c r="BK1057" s="80"/>
      <c r="BL1057" s="80"/>
      <c r="BM1057" s="80"/>
      <c r="BN1057" s="80"/>
      <c r="BO1057" s="80"/>
      <c r="BP1057" s="80"/>
      <c r="BQ1057" s="80"/>
      <c r="BR1057" s="80"/>
      <c r="BS1057" s="80"/>
      <c r="BT1057" s="80"/>
      <c r="BU1057" s="80"/>
      <c r="BV1057" s="80"/>
      <c r="BW1057" s="80"/>
      <c r="BX1057" s="80"/>
      <c r="BY1057" s="80"/>
      <c r="BZ1057" s="80"/>
      <c r="CA1057" s="80"/>
      <c r="CB1057" s="80"/>
      <c r="CC1057" s="80"/>
      <c r="CD1057" s="80"/>
      <c r="CE1057" s="80"/>
      <c r="CF1057" s="80"/>
      <c r="CG1057" s="80"/>
      <c r="CH1057" s="80"/>
      <c r="CI1057" s="80"/>
      <c r="CJ1057" s="80"/>
      <c r="CK1057" s="2"/>
    </row>
    <row r="1058" ht="12.75" customHeight="1">
      <c r="A1058" s="85">
        <f>IFERROR(__xludf.DUMMYFUNCTION("""COMPUTED_VALUE"""),1054.0)</f>
        <v>1054</v>
      </c>
      <c r="B1058" s="85"/>
      <c r="C1058" s="85"/>
      <c r="D1058" s="86">
        <f>IFERROR(__xludf.DUMMYFUNCTION("""COMPUTED_VALUE"""),46184.0)</f>
        <v>46184</v>
      </c>
      <c r="E1058" s="88"/>
      <c r="F1058" s="85"/>
      <c r="G1058" s="86">
        <f>IFERROR(__xludf.DUMMYFUNCTION("""COMPUTED_VALUE"""),46280.0)</f>
        <v>46280</v>
      </c>
      <c r="H1058" s="85"/>
      <c r="I1058" s="85"/>
      <c r="J1058" s="85"/>
      <c r="K1058" s="85"/>
      <c r="L1058" s="85">
        <f>IFERROR(__xludf.DUMMYFUNCTION("""COMPUTED_VALUE"""),96.0)</f>
        <v>96</v>
      </c>
      <c r="M1058" s="85"/>
      <c r="N1058" s="85"/>
      <c r="O1058" s="85"/>
      <c r="P1058" s="85" t="str">
        <f>IFERROR(__xludf.DUMMYFUNCTION("""COMPUTED_VALUE"""),"MUCSPA63516PSIND")</f>
        <v>MUCSPA63516PSIND</v>
      </c>
      <c r="Q1058" s="85" t="str">
        <f>IFERROR(__xludf.DUMMYFUNCTION("""COMPUTED_VALUE"""),"MUC BM CELL 1")</f>
        <v>MUC BM CELL 1</v>
      </c>
      <c r="R1058" s="85" t="str">
        <f>IFERROR(__xludf.DUMMYFUNCTION("""COMPUTED_VALUE"""),"MUC BM CELL 1")</f>
        <v>MUC BM CELL 1</v>
      </c>
      <c r="S1058" s="85" t="str">
        <f>IFERROR(__xludf.DUMMYFUNCTION("""COMPUTED_VALUE"""),"RAHMAT RAMADHANI")</f>
        <v>RAHMAT RAMADHANI</v>
      </c>
      <c r="T1058" s="85" t="str">
        <f>IFERROR(__xludf.DUMMYFUNCTION("""COMPUTED_VALUE"""),"DUSUN CUKANGGALEUH RT 025 RW 011 PARIGIMULYA, CIPUNAGARA, KAB.SUBANG")</f>
        <v>DUSUN CUKANGGALEUH RT 025 RW 011 PARIGIMULYA, CIPUNAGARA, KAB.SUBANG</v>
      </c>
      <c r="U1058" s="85" t="str">
        <f>IFERROR(__xludf.DUMMYFUNCTION("""COMPUTED_VALUE"""),"JL. RAYA PAGADEN CIPUNAGARA")</f>
        <v>JL. RAYA PAGADEN CIPUNAGARA</v>
      </c>
      <c r="V1058" s="85" t="str">
        <f>IFERROR(__xludf.DUMMYFUNCTION("""COMPUTED_VALUE"""),"RT 025 \ RW 011")</f>
        <v>RT 025 \ RW 011</v>
      </c>
      <c r="W1058" s="85" t="str">
        <f>IFERROR(__xludf.DUMMYFUNCTION("""COMPUTED_VALUE"""),"Tanjung")</f>
        <v>Tanjung</v>
      </c>
      <c r="X1058" s="85" t="str">
        <f>IFERROR(__xludf.DUMMYFUNCTION("""COMPUTED_VALUE"""),"Cipunagara")</f>
        <v>Cipunagara</v>
      </c>
      <c r="Y1058" s="85" t="str">
        <f>IFERROR(__xludf.DUMMYFUNCTION("""COMPUTED_VALUE"""),"Kabupaten Subang")</f>
        <v>Kabupaten Subang</v>
      </c>
      <c r="Z1058" s="85" t="str">
        <f>IFERROR(__xludf.DUMMYFUNCTION("""COMPUTED_VALUE"""),"Jawa Barat")</f>
        <v>Jawa Barat</v>
      </c>
      <c r="AA1058" s="85" t="str">
        <f>IFERROR(__xludf.DUMMYFUNCTION("""COMPUTED_VALUE"""),"41257")</f>
        <v>41257</v>
      </c>
      <c r="AB1058" s="85" t="str">
        <f>IFERROR(__xludf.DUMMYFUNCTION("""COMPUTED_VALUE"""),"3213150902950003")</f>
        <v>3213150902950003</v>
      </c>
      <c r="AC1058" s="85" t="str">
        <f>IFERROR(__xludf.DUMMYFUNCTION("""COMPUTED_VALUE"""),"32.131.509.0-295.0003")</f>
        <v>32.131.509.0-295.0003</v>
      </c>
      <c r="AD1058" s="85" t="str">
        <f>IFERROR(__xludf.DUMMYFUNCTION("""COMPUTED_VALUE"""),"PAK KOSIM KC SUBANG")</f>
        <v>PAK KOSIM KC SUBANG</v>
      </c>
      <c r="AE1058" s="85" t="str">
        <f>IFERROR(__xludf.DUMMYFUNCTION("""COMPUTED_VALUE"""),"PAK KOSIM KC SUBANG")</f>
        <v>PAK KOSIM KC SUBANG</v>
      </c>
      <c r="AF1058" s="85" t="str">
        <f>IFERROR(__xludf.DUMMYFUNCTION("""COMPUTED_VALUE"""),"81222888125")</f>
        <v>81222888125</v>
      </c>
      <c r="AG1058" s="85" t="str">
        <f>IFERROR(__xludf.DUMMYFUNCTION("""COMPUTED_VALUE"""),"81222888125")</f>
        <v>81222888125</v>
      </c>
      <c r="AH1058" s="85" t="str">
        <f>IFERROR(__xludf.DUMMYFUNCTION("""COMPUTED_VALUE"""),"rahmatramdhani757@gmail.com")</f>
        <v>rahmatramdhani757@gmail.com</v>
      </c>
      <c r="AI1058" s="85" t="str">
        <f>IFERROR(__xludf.DUMMYFUNCTION("""COMPUTED_VALUE"""),"41257S2 ")</f>
        <v>41257S2 </v>
      </c>
      <c r="AJ1058" s="85" t="str">
        <f>IFERROR(__xludf.DUMMYFUNCTION("""COMPUTED_VALUE"""),"6aa8f48229541b4b36050e0d ")</f>
        <v>6aa8f48229541b4b36050e0d </v>
      </c>
      <c r="AK1058" s="85" t="str">
        <f>IFERROR(__xludf.DUMMYFUNCTION("""COMPUTED_VALUE"""),"rahmatramdhani757@gmail.com")</f>
        <v>rahmatramdhani757@gmail.com</v>
      </c>
      <c r="AL1058" s="85" t="str">
        <f>IFERROR(__xludf.DUMMYFUNCTION("""COMPUTED_VALUE"""),"#Muc41257S2$")</f>
        <v>#Muc41257S2$</v>
      </c>
      <c r="AM1058" s="85" t="str">
        <f>IFERROR(__xludf.DUMMYFUNCTION("""COMPUTED_VALUE"""),"KANTOR REGIONAL III BANDUNG 40004")</f>
        <v>KANTOR REGIONAL III BANDUNG 40004</v>
      </c>
      <c r="AN1058" s="85" t="str">
        <f>IFERROR(__xludf.DUMMYFUNCTION("""COMPUTED_VALUE"""),"KC SUBANG 41200")</f>
        <v>KC SUBANG 41200</v>
      </c>
      <c r="AO1058" s="85" t="str">
        <f>IFERROR(__xludf.DUMMYFUNCTION("""COMPUTED_VALUE"""),"1006260107992")</f>
        <v>1006260107992</v>
      </c>
      <c r="AP1058" s="85" t="str">
        <f>IFERROR(__xludf.DUMMYFUNCTION("""COMPUTED_VALUE"""),"10062601079920001")</f>
        <v>10062601079920001</v>
      </c>
      <c r="AQ1058" s="93" t="str">
        <f>IFERROR(__xludf.DUMMYFUNCTION("""COMPUTED_VALUE"""),"551304271")</f>
        <v>551304271</v>
      </c>
      <c r="AR1058" s="85" t="str">
        <f>IFERROR(__xludf.DUMMYFUNCTION("""COMPUTED_VALUE"""),"BCA")</f>
        <v>BCA</v>
      </c>
      <c r="AS1058" s="85" t="str">
        <f>IFERROR(__xludf.DUMMYFUNCTION("""COMPUTED_VALUE"""),"RAHMAT RAMADHANI")</f>
        <v>RAHMAT RAMADHANI</v>
      </c>
      <c r="AT1058" s="85" t="str">
        <f>IFERROR(__xludf.DUMMYFUNCTION("""COMPUTED_VALUE"""),"-64,644,486")</f>
        <v>-64,644,486</v>
      </c>
      <c r="AU1058" s="85" t="str">
        <f>IFERROR(__xludf.DUMMYFUNCTION("""COMPUTED_VALUE"""),"1,078,815,108")</f>
        <v>1,078,815,108</v>
      </c>
      <c r="AV1058" s="85"/>
      <c r="AW1058" s="85"/>
      <c r="AX1058" s="85"/>
      <c r="AY1058" s="85"/>
      <c r="AZ1058" s="85"/>
      <c r="BA1058" s="85"/>
      <c r="BB1058" s="85"/>
      <c r="BC1058" s="85"/>
      <c r="BD1058" s="85"/>
      <c r="BE1058" s="85"/>
      <c r="BF1058" s="85"/>
      <c r="BG1058" s="85"/>
      <c r="BH1058" s="85"/>
      <c r="BI1058" s="85"/>
      <c r="BJ1058" s="85"/>
      <c r="BK1058" s="85"/>
      <c r="BL1058" s="85"/>
      <c r="BM1058" s="85"/>
      <c r="BN1058" s="85"/>
      <c r="BO1058" s="85"/>
      <c r="BP1058" s="85"/>
      <c r="BQ1058" s="85"/>
      <c r="BR1058" s="85"/>
      <c r="BS1058" s="85"/>
      <c r="BT1058" s="85"/>
      <c r="BU1058" s="85"/>
      <c r="BV1058" s="85"/>
      <c r="BW1058" s="85"/>
      <c r="BX1058" s="85"/>
      <c r="BY1058" s="85"/>
      <c r="BZ1058" s="85"/>
      <c r="CA1058" s="85"/>
      <c r="CB1058" s="85"/>
      <c r="CC1058" s="85"/>
      <c r="CD1058" s="85"/>
      <c r="CE1058" s="85"/>
      <c r="CF1058" s="85"/>
      <c r="CG1058" s="85"/>
      <c r="CH1058" s="85"/>
      <c r="CI1058" s="85"/>
      <c r="CJ1058" s="85"/>
      <c r="CK1058" s="2"/>
    </row>
    <row r="1059" ht="12.75" customHeight="1">
      <c r="A1059" s="80">
        <f>IFERROR(__xludf.DUMMYFUNCTION("""COMPUTED_VALUE"""),1055.0)</f>
        <v>1055</v>
      </c>
      <c r="B1059" s="80"/>
      <c r="C1059" s="80"/>
      <c r="D1059" s="81">
        <f>IFERROR(__xludf.DUMMYFUNCTION("""COMPUTED_VALUE"""),46184.0)</f>
        <v>46184</v>
      </c>
      <c r="E1059" s="82"/>
      <c r="F1059" s="80"/>
      <c r="G1059" s="81"/>
      <c r="H1059" s="80"/>
      <c r="I1059" s="80"/>
      <c r="J1059" s="80"/>
      <c r="K1059" s="80"/>
      <c r="L1059" s="80"/>
      <c r="M1059" s="80"/>
      <c r="N1059" s="80"/>
      <c r="O1059" s="80"/>
      <c r="P1059" s="80" t="str">
        <f>IFERROR(__xludf.DUMMYFUNCTION("""COMPUTED_VALUE"""),"MUCSPA63517PSIND")</f>
        <v>MUCSPA63517PSIND</v>
      </c>
      <c r="Q1059" s="80" t="str">
        <f>IFERROR(__xludf.DUMMYFUNCTION("""COMPUTED_VALUE"""),"MUC NJ PAYMENT")</f>
        <v>MUC NJ PAYMENT</v>
      </c>
      <c r="R1059" s="80" t="str">
        <f>IFERROR(__xludf.DUMMYFUNCTION("""COMPUTED_VALUE"""),"MUC NJ PAYMENT")</f>
        <v>MUC NJ PAYMENT</v>
      </c>
      <c r="S1059" s="80" t="str">
        <f>IFERROR(__xludf.DUMMYFUNCTION("""COMPUTED_VALUE"""),"Muhamad Jafar Sidiq")</f>
        <v>Muhamad Jafar Sidiq</v>
      </c>
      <c r="T1059" s="80" t="str">
        <f>IFERROR(__xludf.DUMMYFUNCTION("""COMPUTED_VALUE"""),"KP BABAKAN TIPAR RT OO2 RW 006 SUSUKAN, CAMPAKA, KAB.CIANJUR")</f>
        <v>KP BABAKAN TIPAR RT OO2 RW 006 SUSUKAN, CAMPAKA, KAB.CIANJUR</v>
      </c>
      <c r="U1059" s="80" t="str">
        <f>IFERROR(__xludf.DUMMYFUNCTION("""COMPUTED_VALUE"""),"KP BABAKAN TIPAR RT OO2 RW 006")</f>
        <v>KP BABAKAN TIPAR RT OO2 RW 006</v>
      </c>
      <c r="V1059" s="80" t="str">
        <f>IFERROR(__xludf.DUMMYFUNCTION("""COMPUTED_VALUE"""),"RT OO2 \ RW 006")</f>
        <v>RT OO2 \ RW 006</v>
      </c>
      <c r="W1059" s="80" t="str">
        <f>IFERROR(__xludf.DUMMYFUNCTION("""COMPUTED_VALUE"""),"SUSUKAN")</f>
        <v>SUSUKAN</v>
      </c>
      <c r="X1059" s="80" t="str">
        <f>IFERROR(__xludf.DUMMYFUNCTION("""COMPUTED_VALUE"""),"CAMPAKA")</f>
        <v>CAMPAKA</v>
      </c>
      <c r="Y1059" s="80" t="str">
        <f>IFERROR(__xludf.DUMMYFUNCTION("""COMPUTED_VALUE"""),"KAB.CIANJUR")</f>
        <v>KAB.CIANJUR</v>
      </c>
      <c r="Z1059" s="80" t="str">
        <f>IFERROR(__xludf.DUMMYFUNCTION("""COMPUTED_VALUE"""),"Jawa Barat")</f>
        <v>Jawa Barat</v>
      </c>
      <c r="AA1059" s="80" t="str">
        <f>IFERROR(__xludf.DUMMYFUNCTION("""COMPUTED_VALUE"""),"43263")</f>
        <v>43263</v>
      </c>
      <c r="AB1059" s="80" t="str">
        <f>IFERROR(__xludf.DUMMYFUNCTION("""COMPUTED_VALUE"""),"3203150910980002")</f>
        <v>3203150910980002</v>
      </c>
      <c r="AC1059" s="80" t="str">
        <f>IFERROR(__xludf.DUMMYFUNCTION("""COMPUTED_VALUE"""),"61.120.724.2-406.000")</f>
        <v>61.120.724.2-406.000</v>
      </c>
      <c r="AD1059" s="80" t="str">
        <f>IFERROR(__xludf.DUMMYFUNCTION("""COMPUTED_VALUE"""),"Pak Andre KC Cianjur")</f>
        <v>Pak Andre KC Cianjur</v>
      </c>
      <c r="AE1059" s="80" t="str">
        <f>IFERROR(__xludf.DUMMYFUNCTION("""COMPUTED_VALUE"""),"Pak Andre KC Cianjur")</f>
        <v>Pak Andre KC Cianjur</v>
      </c>
      <c r="AF1059" s="80" t="str">
        <f>IFERROR(__xludf.DUMMYFUNCTION("""COMPUTED_VALUE"""),"85221302853")</f>
        <v>85221302853</v>
      </c>
      <c r="AG1059" s="80" t="str">
        <f>IFERROR(__xludf.DUMMYFUNCTION("""COMPUTED_VALUE"""),"85221302853")</f>
        <v>85221302853</v>
      </c>
      <c r="AH1059" s="80" t="str">
        <f>IFERROR(__xludf.DUMMYFUNCTION("""COMPUTED_VALUE"""),"jafarsidiqdiki@gmail.com")</f>
        <v>jafarsidiqdiki@gmail.com</v>
      </c>
      <c r="AI1059" s="80"/>
      <c r="AJ1059" s="80"/>
      <c r="AK1059" s="80"/>
      <c r="AL1059" s="80"/>
      <c r="AM1059" s="80" t="str">
        <f>IFERROR(__xludf.DUMMYFUNCTION("""COMPUTED_VALUE"""),"KANTOR REGIONAL III BANDUNG 40004")</f>
        <v>KANTOR REGIONAL III BANDUNG 40004</v>
      </c>
      <c r="AN1059" s="80" t="str">
        <f>IFERROR(__xludf.DUMMYFUNCTION("""COMPUTED_VALUE"""),"KC CIANJUR 43200")</f>
        <v>KC CIANJUR 43200</v>
      </c>
      <c r="AO1059" s="80" t="str">
        <f>IFERROR(__xludf.DUMMYFUNCTION("""COMPUTED_VALUE"""),"0310240109794")</f>
        <v>0310240109794</v>
      </c>
      <c r="AP1059" s="80" t="str">
        <f>IFERROR(__xludf.DUMMYFUNCTION("""COMPUTED_VALUE"""),"03102401097940001")</f>
        <v>03102401097940001</v>
      </c>
      <c r="AQ1059" s="83" t="str">
        <f>IFERROR(__xludf.DUMMYFUNCTION("""COMPUTED_VALUE"""),"1820000653212")</f>
        <v>1820000653212</v>
      </c>
      <c r="AR1059" s="80" t="str">
        <f>IFERROR(__xludf.DUMMYFUNCTION("""COMPUTED_VALUE"""),"Mandiri")</f>
        <v>Mandiri</v>
      </c>
      <c r="AS1059" s="80" t="str">
        <f>IFERROR(__xludf.DUMMYFUNCTION("""COMPUTED_VALUE"""),"Muhamad Jafar Sidiq")</f>
        <v>Muhamad Jafar Sidiq</v>
      </c>
      <c r="AT1059" s="80" t="str">
        <f>IFERROR(__xludf.DUMMYFUNCTION("""COMPUTED_VALUE"""),"-69,537,497")</f>
        <v>-69,537,497</v>
      </c>
      <c r="AU1059" s="80" t="str">
        <f>IFERROR(__xludf.DUMMYFUNCTION("""COMPUTED_VALUE"""),"1,071,209,502")</f>
        <v>1,071,209,502</v>
      </c>
      <c r="AV1059" s="80"/>
      <c r="AW1059" s="80"/>
      <c r="AX1059" s="80"/>
      <c r="AY1059" s="80"/>
      <c r="AZ1059" s="80"/>
      <c r="BA1059" s="80"/>
      <c r="BB1059" s="80"/>
      <c r="BC1059" s="80"/>
      <c r="BD1059" s="80"/>
      <c r="BE1059" s="80"/>
      <c r="BF1059" s="80"/>
      <c r="BG1059" s="80"/>
      <c r="BH1059" s="80"/>
      <c r="BI1059" s="80"/>
      <c r="BJ1059" s="80"/>
      <c r="BK1059" s="80"/>
      <c r="BL1059" s="80"/>
      <c r="BM1059" s="80"/>
      <c r="BN1059" s="80"/>
      <c r="BO1059" s="80"/>
      <c r="BP1059" s="80"/>
      <c r="BQ1059" s="80"/>
      <c r="BR1059" s="80"/>
      <c r="BS1059" s="80"/>
      <c r="BT1059" s="80"/>
      <c r="BU1059" s="80"/>
      <c r="BV1059" s="80"/>
      <c r="BW1059" s="80"/>
      <c r="BX1059" s="80"/>
      <c r="BY1059" s="80"/>
      <c r="BZ1059" s="80"/>
      <c r="CA1059" s="80"/>
      <c r="CB1059" s="80"/>
      <c r="CC1059" s="80"/>
      <c r="CD1059" s="80"/>
      <c r="CE1059" s="80"/>
      <c r="CF1059" s="80"/>
      <c r="CG1059" s="80"/>
      <c r="CH1059" s="80"/>
      <c r="CI1059" s="80"/>
      <c r="CJ1059" s="80"/>
      <c r="CK1059" s="2"/>
    </row>
    <row r="1060" ht="12.75" customHeight="1">
      <c r="A1060" s="85">
        <f>IFERROR(__xludf.DUMMYFUNCTION("""COMPUTED_VALUE"""),1056.0)</f>
        <v>1056</v>
      </c>
      <c r="B1060" s="85"/>
      <c r="C1060" s="85"/>
      <c r="D1060" s="86">
        <f>IFERROR(__xludf.DUMMYFUNCTION("""COMPUTED_VALUE"""),46184.0)</f>
        <v>46184</v>
      </c>
      <c r="E1060" s="88"/>
      <c r="F1060" s="85"/>
      <c r="G1060" s="86"/>
      <c r="H1060" s="85"/>
      <c r="I1060" s="85"/>
      <c r="J1060" s="85"/>
      <c r="K1060" s="85"/>
      <c r="L1060" s="85"/>
      <c r="M1060" s="85"/>
      <c r="N1060" s="85"/>
      <c r="O1060" s="85"/>
      <c r="P1060" s="85" t="str">
        <f>IFERROR(__xludf.DUMMYFUNCTION("""COMPUTED_VALUE"""),"MUCSPA63518PSIND")</f>
        <v>MUCSPA63518PSIND</v>
      </c>
      <c r="Q1060" s="85" t="str">
        <f>IFERROR(__xludf.DUMMYFUNCTION("""COMPUTED_VALUE"""),"MUC DIMAS CELL")</f>
        <v>MUC DIMAS CELL</v>
      </c>
      <c r="R1060" s="85" t="str">
        <f>IFERROR(__xludf.DUMMYFUNCTION("""COMPUTED_VALUE"""),"MUC DIMAS CELL")</f>
        <v>MUC DIMAS CELL</v>
      </c>
      <c r="S1060" s="85" t="str">
        <f>IFERROR(__xludf.DUMMYFUNCTION("""COMPUTED_VALUE"""),"SUDIRMAN")</f>
        <v>SUDIRMAN</v>
      </c>
      <c r="T1060" s="85" t="str">
        <f>IFERROR(__xludf.DUMMYFUNCTION("""COMPUTED_VALUE"""),"KP.CIATEUL RT 003 RW 005 PURASEDA, LEUWILIANG, KAB.BOGOR")</f>
        <v>KP.CIATEUL RT 003 RW 005 PURASEDA, LEUWILIANG, KAB.BOGOR</v>
      </c>
      <c r="U1060" s="85" t="str">
        <f>IFERROR(__xludf.DUMMYFUNCTION("""COMPUTED_VALUE"""),"KP.CIATEUL RT 003 RW 005")</f>
        <v>KP.CIATEUL RT 003 RW 005</v>
      </c>
      <c r="V1060" s="85" t="str">
        <f>IFERROR(__xludf.DUMMYFUNCTION("""COMPUTED_VALUE"""),"RT 003 \ RW 005")</f>
        <v>RT 003 \ RW 005</v>
      </c>
      <c r="W1060" s="85" t="str">
        <f>IFERROR(__xludf.DUMMYFUNCTION("""COMPUTED_VALUE"""),"PURASEDA")</f>
        <v>PURASEDA</v>
      </c>
      <c r="X1060" s="85" t="str">
        <f>IFERROR(__xludf.DUMMYFUNCTION("""COMPUTED_VALUE"""),"LEUWILIANG")</f>
        <v>LEUWILIANG</v>
      </c>
      <c r="Y1060" s="85" t="str">
        <f>IFERROR(__xludf.DUMMYFUNCTION("""COMPUTED_VALUE"""),"KAB.BOGOR")</f>
        <v>KAB.BOGOR</v>
      </c>
      <c r="Z1060" s="85" t="str">
        <f>IFERROR(__xludf.DUMMYFUNCTION("""COMPUTED_VALUE"""),"JAWA BARAT")</f>
        <v>JAWA BARAT</v>
      </c>
      <c r="AA1060" s="85" t="str">
        <f>IFERROR(__xludf.DUMMYFUNCTION("""COMPUTED_VALUE"""),"16640")</f>
        <v>16640</v>
      </c>
      <c r="AB1060" s="85" t="str">
        <f>IFERROR(__xludf.DUMMYFUNCTION("""COMPUTED_VALUE"""),"3201141501830005")</f>
        <v>3201141501830005</v>
      </c>
      <c r="AC1060" s="85" t="str">
        <f>IFERROR(__xludf.DUMMYFUNCTION("""COMPUTED_VALUE"""),"21.382.165.5-434.000")</f>
        <v>21.382.165.5-434.000</v>
      </c>
      <c r="AD1060" s="85" t="str">
        <f>IFERROR(__xludf.DUMMYFUNCTION("""COMPUTED_VALUE"""),"CUM - PS - ASEPN")</f>
        <v>CUM - PS - ASEPN</v>
      </c>
      <c r="AE1060" s="85" t="str">
        <f>IFERROR(__xludf.DUMMYFUNCTION("""COMPUTED_VALUE"""),"CUM - PS - ASEPN")</f>
        <v>CUM - PS - ASEPN</v>
      </c>
      <c r="AF1060" s="85" t="str">
        <f>IFERROR(__xludf.DUMMYFUNCTION("""COMPUTED_VALUE"""),"85779295553")</f>
        <v>85779295553</v>
      </c>
      <c r="AG1060" s="85" t="str">
        <f>IFERROR(__xludf.DUMMYFUNCTION("""COMPUTED_VALUE"""),"85779295553")</f>
        <v>85779295553</v>
      </c>
      <c r="AH1060" s="85" t="str">
        <f>IFERROR(__xludf.DUMMYFUNCTION("""COMPUTED_VALUE"""),"firmansyah151983@gmail.com")</f>
        <v>firmansyah151983@gmail.com</v>
      </c>
      <c r="AI1060" s="85"/>
      <c r="AJ1060" s="85"/>
      <c r="AK1060" s="85"/>
      <c r="AL1060" s="85"/>
      <c r="AM1060" s="85" t="str">
        <f>IFERROR(__xludf.DUMMYFUNCTION("""COMPUTED_VALUE"""),"KANTOR REGIONAL II JAKARTA 10004")</f>
        <v>KANTOR REGIONAL II JAKARTA 10004</v>
      </c>
      <c r="AN1060" s="85" t="str">
        <f>IFERROR(__xludf.DUMMYFUNCTION("""COMPUTED_VALUE"""),"KCU BOGOR 16000")</f>
        <v>KCU BOGOR 16000</v>
      </c>
      <c r="AO1060" s="85" t="str">
        <f>IFERROR(__xludf.DUMMYFUNCTION("""COMPUTED_VALUE"""),"1106260094906")</f>
        <v>1106260094906</v>
      </c>
      <c r="AP1060" s="85" t="str">
        <f>IFERROR(__xludf.DUMMYFUNCTION("""COMPUTED_VALUE"""),"11062600949060001")</f>
        <v>11062600949060001</v>
      </c>
      <c r="AQ1060" s="93" t="str">
        <f>IFERROR(__xludf.DUMMYFUNCTION("""COMPUTED_VALUE"""),"324601003510508")</f>
        <v>324601003510508</v>
      </c>
      <c r="AR1060" s="85" t="str">
        <f>IFERROR(__xludf.DUMMYFUNCTION("""COMPUTED_VALUE"""),"BRI")</f>
        <v>BRI</v>
      </c>
      <c r="AS1060" s="85" t="str">
        <f>IFERROR(__xludf.DUMMYFUNCTION("""COMPUTED_VALUE"""),"SUDIRMAN")</f>
        <v>SUDIRMAN</v>
      </c>
      <c r="AT1060" s="85" t="str">
        <f>IFERROR(__xludf.DUMMYFUNCTION("""COMPUTED_VALUE"""),"-66,559,255")</f>
        <v>-66,559,255</v>
      </c>
      <c r="AU1060" s="85" t="str">
        <f>IFERROR(__xludf.DUMMYFUNCTION("""COMPUTED_VALUE"""),"1,066,058,779")</f>
        <v>1,066,058,779</v>
      </c>
      <c r="AV1060" s="85"/>
      <c r="AW1060" s="85"/>
      <c r="AX1060" s="85"/>
      <c r="AY1060" s="85"/>
      <c r="AZ1060" s="85"/>
      <c r="BA1060" s="85"/>
      <c r="BB1060" s="85"/>
      <c r="BC1060" s="85"/>
      <c r="BD1060" s="85"/>
      <c r="BE1060" s="85"/>
      <c r="BF1060" s="85"/>
      <c r="BG1060" s="85"/>
      <c r="BH1060" s="85"/>
      <c r="BI1060" s="85"/>
      <c r="BJ1060" s="85"/>
      <c r="BK1060" s="85"/>
      <c r="BL1060" s="85"/>
      <c r="BM1060" s="85"/>
      <c r="BN1060" s="85"/>
      <c r="BO1060" s="85"/>
      <c r="BP1060" s="85"/>
      <c r="BQ1060" s="85"/>
      <c r="BR1060" s="85"/>
      <c r="BS1060" s="85"/>
      <c r="BT1060" s="85"/>
      <c r="BU1060" s="85"/>
      <c r="BV1060" s="85"/>
      <c r="BW1060" s="85"/>
      <c r="BX1060" s="85"/>
      <c r="BY1060" s="85"/>
      <c r="BZ1060" s="85"/>
      <c r="CA1060" s="85"/>
      <c r="CB1060" s="85"/>
      <c r="CC1060" s="85"/>
      <c r="CD1060" s="85"/>
      <c r="CE1060" s="85"/>
      <c r="CF1060" s="85"/>
      <c r="CG1060" s="85"/>
      <c r="CH1060" s="85"/>
      <c r="CI1060" s="85"/>
      <c r="CJ1060" s="85"/>
      <c r="CK1060" s="2"/>
    </row>
    <row r="1061" ht="12.75" customHeight="1">
      <c r="A1061" s="80">
        <f>IFERROR(__xludf.DUMMYFUNCTION("""COMPUTED_VALUE"""),1057.0)</f>
        <v>1057</v>
      </c>
      <c r="B1061" s="80"/>
      <c r="C1061" s="80"/>
      <c r="D1061" s="81">
        <f>IFERROR(__xludf.DUMMYFUNCTION("""COMPUTED_VALUE"""),46184.0)</f>
        <v>46184</v>
      </c>
      <c r="E1061" s="82"/>
      <c r="F1061" s="80"/>
      <c r="G1061" s="81">
        <f>IFERROR(__xludf.DUMMYFUNCTION("""COMPUTED_VALUE"""),46258.0)</f>
        <v>46258</v>
      </c>
      <c r="H1061" s="80"/>
      <c r="I1061" s="80"/>
      <c r="J1061" s="80"/>
      <c r="K1061" s="80"/>
      <c r="L1061" s="80">
        <f>IFERROR(__xludf.DUMMYFUNCTION("""COMPUTED_VALUE"""),74.0)</f>
        <v>74</v>
      </c>
      <c r="M1061" s="80"/>
      <c r="N1061" s="80"/>
      <c r="O1061" s="80"/>
      <c r="P1061" s="80" t="str">
        <f>IFERROR(__xludf.DUMMYFUNCTION("""COMPUTED_VALUE"""),"MUCSPA63519PSIND")</f>
        <v>MUCSPA63519PSIND</v>
      </c>
      <c r="Q1061" s="80" t="str">
        <f>IFERROR(__xludf.DUMMYFUNCTION("""COMPUTED_VALUE"""),"MUC RAFANDRA MARANNU SEJAHTERA")</f>
        <v>MUC RAFANDRA MARANNU SEJAHTERA</v>
      </c>
      <c r="R1061" s="80" t="str">
        <f>IFERROR(__xludf.DUMMYFUNCTION("""COMPUTED_VALUE"""),"MUC RAFANDRA MARANNU SEJAHTERA")</f>
        <v>MUC RAFANDRA MARANNU SEJAHTERA</v>
      </c>
      <c r="S1061" s="80" t="str">
        <f>IFERROR(__xludf.DUMMYFUNCTION("""COMPUTED_VALUE"""),"SUBIR MUIS, DRS")</f>
        <v>SUBIR MUIS, DRS</v>
      </c>
      <c r="T1061" s="80" t="str">
        <f>IFERROR(__xludf.DUMMYFUNCTION("""COMPUTED_VALUE"""),"JL PENGADEGAN UTARA IV RT.004 RW.007, PENGADEGAN, PANCORAN, JAKARTA SELATAN DKI JAKARTA")</f>
        <v>JL PENGADEGAN UTARA IV RT.004 RW.007, PENGADEGAN, PANCORAN, JAKARTA SELATAN DKI JAKARTA</v>
      </c>
      <c r="U1061" s="80" t="str">
        <f>IFERROR(__xludf.DUMMYFUNCTION("""COMPUTED_VALUE"""),"Jl. Raya Jakarta-Bogor No.KM. 49")</f>
        <v>Jl. Raya Jakarta-Bogor No.KM. 49</v>
      </c>
      <c r="V1061" s="80" t="str">
        <f>IFERROR(__xludf.DUMMYFUNCTION("""COMPUTED_VALUE"""),"RT.004 \ RW.007")</f>
        <v>RT.004 \ RW.007</v>
      </c>
      <c r="W1061" s="80" t="str">
        <f>IFERROR(__xludf.DUMMYFUNCTION("""COMPUTED_VALUE"""),"Nanggewer")</f>
        <v>Nanggewer</v>
      </c>
      <c r="X1061" s="80" t="str">
        <f>IFERROR(__xludf.DUMMYFUNCTION("""COMPUTED_VALUE"""),"Cibinong")</f>
        <v>Cibinong</v>
      </c>
      <c r="Y1061" s="80" t="str">
        <f>IFERROR(__xludf.DUMMYFUNCTION("""COMPUTED_VALUE"""),"Kabupaten Bogor")</f>
        <v>Kabupaten Bogor</v>
      </c>
      <c r="Z1061" s="80" t="str">
        <f>IFERROR(__xludf.DUMMYFUNCTION("""COMPUTED_VALUE"""),"Jawa Barat")</f>
        <v>Jawa Barat</v>
      </c>
      <c r="AA1061" s="80" t="str">
        <f>IFERROR(__xludf.DUMMYFUNCTION("""COMPUTED_VALUE"""),"16912")</f>
        <v>16912</v>
      </c>
      <c r="AB1061" s="80" t="str">
        <f>IFERROR(__xludf.DUMMYFUNCTION("""COMPUTED_VALUE"""),"3174081405660008")</f>
        <v>3174081405660008</v>
      </c>
      <c r="AC1061" s="80" t="str">
        <f>IFERROR(__xludf.DUMMYFUNCTION("""COMPUTED_VALUE"""),"49.452.000.0-061.000")</f>
        <v>49.452.000.0-061.000</v>
      </c>
      <c r="AD1061" s="80" t="str">
        <f>IFERROR(__xludf.DUMMYFUNCTION("""COMPUTED_VALUE"""),"BU NOCA")</f>
        <v>BU NOCA</v>
      </c>
      <c r="AE1061" s="80" t="str">
        <f>IFERROR(__xludf.DUMMYFUNCTION("""COMPUTED_VALUE"""),"BU NOCA")</f>
        <v>BU NOCA</v>
      </c>
      <c r="AF1061" s="80" t="str">
        <f>IFERROR(__xludf.DUMMYFUNCTION("""COMPUTED_VALUE"""),"08118741966")</f>
        <v>08118741966</v>
      </c>
      <c r="AG1061" s="80" t="str">
        <f>IFERROR(__xludf.DUMMYFUNCTION("""COMPUTED_VALUE"""),"8118741966")</f>
        <v>8118741966</v>
      </c>
      <c r="AH1061" s="80" t="str">
        <f>IFERROR(__xludf.DUMMYFUNCTION("""COMPUTED_VALUE"""),"marannurafandra@gmail.com")</f>
        <v>marannurafandra@gmail.com</v>
      </c>
      <c r="AI1061" s="80" t="str">
        <f>IFERROR(__xludf.DUMMYFUNCTION("""COMPUTED_VALUE"""),"16912S8")</f>
        <v>16912S8</v>
      </c>
      <c r="AJ1061" s="80" t="str">
        <f>IFERROR(__xludf.DUMMYFUNCTION("""COMPUTED_VALUE"""),"6a8a49d2bb345619130e01fc")</f>
        <v>6a8a49d2bb345619130e01fc</v>
      </c>
      <c r="AK1061" s="80" t="str">
        <f>IFERROR(__xludf.DUMMYFUNCTION("""COMPUTED_VALUE"""),"marannurafandra@gmail.com")</f>
        <v>marannurafandra@gmail.com</v>
      </c>
      <c r="AL1061" s="80" t="str">
        <f>IFERROR(__xludf.DUMMYFUNCTION("""COMPUTED_VALUE"""),"#Muc16912S8$")</f>
        <v>#Muc16912S8$</v>
      </c>
      <c r="AM1061" s="80" t="str">
        <f>IFERROR(__xludf.DUMMYFUNCTION("""COMPUTED_VALUE"""),"KANTOR REGIONAL II JAKARTA 10004")</f>
        <v>KANTOR REGIONAL II JAKARTA 10004</v>
      </c>
      <c r="AN1061" s="80" t="str">
        <f>IFERROR(__xludf.DUMMYFUNCTION("""COMPUTED_VALUE"""),"KC CIBINONG 16900")</f>
        <v>KC CIBINONG 16900</v>
      </c>
      <c r="AO1061" s="80" t="str">
        <f>IFERROR(__xludf.DUMMYFUNCTION("""COMPUTED_VALUE"""),"1106260101961")</f>
        <v>1106260101961</v>
      </c>
      <c r="AP1061" s="80" t="str">
        <f>IFERROR(__xludf.DUMMYFUNCTION("""COMPUTED_VALUE"""),"11062601019610001")</f>
        <v>11062601019610001</v>
      </c>
      <c r="AQ1061" s="83" t="str">
        <f>IFERROR(__xludf.DUMMYFUNCTION("""COMPUTED_VALUE"""),"1280709332")</f>
        <v>1280709332</v>
      </c>
      <c r="AR1061" s="80" t="str">
        <f>IFERROR(__xludf.DUMMYFUNCTION("""COMPUTED_VALUE"""),"BCA")</f>
        <v>BCA</v>
      </c>
      <c r="AS1061" s="80" t="str">
        <f>IFERROR(__xludf.DUMMYFUNCTION("""COMPUTED_VALUE"""),"PT Rafandra Marannu Sejahtera")</f>
        <v>PT Rafandra Marannu Sejahtera</v>
      </c>
      <c r="AT1061" s="80" t="str">
        <f>IFERROR(__xludf.DUMMYFUNCTION("""COMPUTED_VALUE"""),"-6,516,588")</f>
        <v>-6,516,588</v>
      </c>
      <c r="AU1061" s="80" t="str">
        <f>IFERROR(__xludf.DUMMYFUNCTION("""COMPUTED_VALUE"""),"106,837,143")</f>
        <v>106,837,143</v>
      </c>
      <c r="AV1061" s="80"/>
      <c r="AW1061" s="80"/>
      <c r="AX1061" s="80"/>
      <c r="AY1061" s="80"/>
      <c r="AZ1061" s="80"/>
      <c r="BA1061" s="80"/>
      <c r="BB1061" s="80"/>
      <c r="BC1061" s="80"/>
      <c r="BD1061" s="80"/>
      <c r="BE1061" s="80"/>
      <c r="BF1061" s="80"/>
      <c r="BG1061" s="80"/>
      <c r="BH1061" s="80"/>
      <c r="BI1061" s="80"/>
      <c r="BJ1061" s="80"/>
      <c r="BK1061" s="80"/>
      <c r="BL1061" s="80"/>
      <c r="BM1061" s="80"/>
      <c r="BN1061" s="80"/>
      <c r="BO1061" s="80"/>
      <c r="BP1061" s="80"/>
      <c r="BQ1061" s="80"/>
      <c r="BR1061" s="80"/>
      <c r="BS1061" s="80"/>
      <c r="BT1061" s="80"/>
      <c r="BU1061" s="80"/>
      <c r="BV1061" s="80"/>
      <c r="BW1061" s="80"/>
      <c r="BX1061" s="80"/>
      <c r="BY1061" s="80"/>
      <c r="BZ1061" s="80"/>
      <c r="CA1061" s="80"/>
      <c r="CB1061" s="80"/>
      <c r="CC1061" s="80"/>
      <c r="CD1061" s="80"/>
      <c r="CE1061" s="80"/>
      <c r="CF1061" s="80"/>
      <c r="CG1061" s="80"/>
      <c r="CH1061" s="80"/>
      <c r="CI1061" s="80"/>
      <c r="CJ1061" s="80"/>
      <c r="CK1061" s="2"/>
    </row>
    <row r="1062" ht="12.75" customHeight="1">
      <c r="A1062" s="85">
        <f>IFERROR(__xludf.DUMMYFUNCTION("""COMPUTED_VALUE"""),1058.0)</f>
        <v>1058</v>
      </c>
      <c r="B1062" s="85"/>
      <c r="C1062" s="85"/>
      <c r="D1062" s="86">
        <f>IFERROR(__xludf.DUMMYFUNCTION("""COMPUTED_VALUE"""),46184.0)</f>
        <v>46184</v>
      </c>
      <c r="E1062" s="88"/>
      <c r="F1062" s="85"/>
      <c r="G1062" s="86">
        <f>IFERROR(__xludf.DUMMYFUNCTION("""COMPUTED_VALUE"""),46188.0)</f>
        <v>46188</v>
      </c>
      <c r="H1062" s="85"/>
      <c r="I1062" s="85"/>
      <c r="J1062" s="85"/>
      <c r="K1062" s="85"/>
      <c r="L1062" s="85">
        <f>IFERROR(__xludf.DUMMYFUNCTION("""COMPUTED_VALUE"""),4.0)</f>
        <v>4</v>
      </c>
      <c r="M1062" s="85"/>
      <c r="N1062" s="85"/>
      <c r="O1062" s="85"/>
      <c r="P1062" s="85" t="str">
        <f>IFERROR(__xludf.DUMMYFUNCTION("""COMPUTED_VALUE"""),"MUCSPA63520PSIND")</f>
        <v>MUCSPA63520PSIND</v>
      </c>
      <c r="Q1062" s="85" t="str">
        <f>IFERROR(__xludf.DUMMYFUNCTION("""COMPUTED_VALUE"""),"MUC SUMBER RIZKI")</f>
        <v>MUC SUMBER RIZKI</v>
      </c>
      <c r="R1062" s="85" t="str">
        <f>IFERROR(__xludf.DUMMYFUNCTION("""COMPUTED_VALUE"""),"MUC SUMBER RIZKI")</f>
        <v>MUC SUMBER RIZKI</v>
      </c>
      <c r="S1062" s="85" t="str">
        <f>IFERROR(__xludf.DUMMYFUNCTION("""COMPUTED_VALUE"""),"HENDRA BUDI SETIAWAN")</f>
        <v>HENDRA BUDI SETIAWAN</v>
      </c>
      <c r="T1062" s="85" t="str">
        <f>IFERROR(__xludf.DUMMYFUNCTION("""COMPUTED_VALUE"""),"KP.KAUM RT 003 RW 002 KARANG ASEM BARAT, CITEUREUP, KAB.BOGOR")</f>
        <v>KP.KAUM RT 003 RW 002 KARANG ASEM BARAT, CITEUREUP, KAB.BOGOR</v>
      </c>
      <c r="U1062" s="85" t="str">
        <f>IFERROR(__xludf.DUMMYFUNCTION("""COMPUTED_VALUE"""),"Bogor Regency, Gunung Sari, Citeureup")</f>
        <v>Bogor Regency, Gunung Sari, Citeureup</v>
      </c>
      <c r="V1062" s="85" t="str">
        <f>IFERROR(__xludf.DUMMYFUNCTION("""COMPUTED_VALUE"""),"RT 003 \ RW 002")</f>
        <v>RT 003 \ RW 002</v>
      </c>
      <c r="W1062" s="85" t="str">
        <f>IFERROR(__xludf.DUMMYFUNCTION("""COMPUTED_VALUE"""),"GunungSari")</f>
        <v>GunungSari</v>
      </c>
      <c r="X1062" s="85" t="str">
        <f>IFERROR(__xludf.DUMMYFUNCTION("""COMPUTED_VALUE"""),"Citeureup")</f>
        <v>Citeureup</v>
      </c>
      <c r="Y1062" s="85" t="str">
        <f>IFERROR(__xludf.DUMMYFUNCTION("""COMPUTED_VALUE"""),"KAB.BOGOR")</f>
        <v>KAB.BOGOR</v>
      </c>
      <c r="Z1062" s="85" t="str">
        <f>IFERROR(__xludf.DUMMYFUNCTION("""COMPUTED_VALUE"""),"JAWA BARAT")</f>
        <v>JAWA BARAT</v>
      </c>
      <c r="AA1062" s="85" t="str">
        <f>IFERROR(__xludf.DUMMYFUNCTION("""COMPUTED_VALUE"""),"16810")</f>
        <v>16810</v>
      </c>
      <c r="AB1062" s="85" t="str">
        <f>IFERROR(__xludf.DUMMYFUNCTION("""COMPUTED_VALUE"""),"3201031908860001")</f>
        <v>3201031908860001</v>
      </c>
      <c r="AC1062" s="85" t="str">
        <f>IFERROR(__xludf.DUMMYFUNCTION("""COMPUTED_VALUE"""),"68.675.135.5-436.000")</f>
        <v>68.675.135.5-436.000</v>
      </c>
      <c r="AD1062" s="85" t="str">
        <f>IFERROR(__xludf.DUMMYFUNCTION("""COMPUTED_VALUE"""),"CUM - PS - NON KORGEN")</f>
        <v>CUM - PS - NON KORGEN</v>
      </c>
      <c r="AE1062" s="85" t="str">
        <f>IFERROR(__xludf.DUMMYFUNCTION("""COMPUTED_VALUE"""),"BU THALIA")</f>
        <v>BU THALIA</v>
      </c>
      <c r="AF1062" s="85" t="str">
        <f>IFERROR(__xludf.DUMMYFUNCTION("""COMPUTED_VALUE"""),"0895345566677")</f>
        <v>0895345566677</v>
      </c>
      <c r="AG1062" s="85" t="str">
        <f>IFERROR(__xludf.DUMMYFUNCTION("""COMPUTED_VALUE"""),"895345566677")</f>
        <v>895345566677</v>
      </c>
      <c r="AH1062" s="85" t="str">
        <f>IFERROR(__xludf.DUMMYFUNCTION("""COMPUTED_VALUE"""),"mr.bimbim72@gmail.com")</f>
        <v>mr.bimbim72@gmail.com</v>
      </c>
      <c r="AI1062" s="85" t="str">
        <f>IFERROR(__xludf.DUMMYFUNCTION("""COMPUTED_VALUE"""),"16819S2")</f>
        <v>16819S2</v>
      </c>
      <c r="AJ1062" s="85" t="str">
        <f>IFERROR(__xludf.DUMMYFUNCTION("""COMPUTED_VALUE"""),"6a2e22d932a6c7499805f104")</f>
        <v>6a2e22d932a6c7499805f104</v>
      </c>
      <c r="AK1062" s="85" t="str">
        <f>IFERROR(__xludf.DUMMYFUNCTION("""COMPUTED_VALUE"""),"mr.bimbim72@gmail.com")</f>
        <v>mr.bimbim72@gmail.com</v>
      </c>
      <c r="AL1062" s="85" t="str">
        <f>IFERROR(__xludf.DUMMYFUNCTION("""COMPUTED_VALUE"""),"#Muc16819S2")</f>
        <v>#Muc16819S2</v>
      </c>
      <c r="AM1062" s="85" t="str">
        <f>IFERROR(__xludf.DUMMYFUNCTION("""COMPUTED_VALUE"""),"KANTOR REGIONAL II JAKARTA 10004")</f>
        <v>KANTOR REGIONAL II JAKARTA 10004</v>
      </c>
      <c r="AN1062" s="85" t="str">
        <f>IFERROR(__xludf.DUMMYFUNCTION("""COMPUTED_VALUE"""),"KC CIBINONG 16900")</f>
        <v>KC CIBINONG 16900</v>
      </c>
      <c r="AO1062" s="85" t="str">
        <f>IFERROR(__xludf.DUMMYFUNCTION("""COMPUTED_VALUE"""),"1106260110588")</f>
        <v>1106260110588</v>
      </c>
      <c r="AP1062" s="85" t="str">
        <f>IFERROR(__xludf.DUMMYFUNCTION("""COMPUTED_VALUE"""),"11062601105880001")</f>
        <v>11062601105880001</v>
      </c>
      <c r="AQ1062" s="93" t="str">
        <f>IFERROR(__xludf.DUMMYFUNCTION("""COMPUTED_VALUE"""),"5720859493")</f>
        <v>5720859493</v>
      </c>
      <c r="AR1062" s="85" t="str">
        <f>IFERROR(__xludf.DUMMYFUNCTION("""COMPUTED_VALUE"""),"BCA")</f>
        <v>BCA</v>
      </c>
      <c r="AS1062" s="85" t="str">
        <f>IFERROR(__xludf.DUMMYFUNCTION("""COMPUTED_VALUE"""),"HENDRA BUDI SETIAWAN")</f>
        <v>HENDRA BUDI SETIAWAN</v>
      </c>
      <c r="AT1062" s="85" t="str">
        <f>IFERROR(__xludf.DUMMYFUNCTION("""COMPUTED_VALUE"""),"-649,302")</f>
        <v>-649,302</v>
      </c>
      <c r="AU1062" s="85" t="str">
        <f>IFERROR(__xludf.DUMMYFUNCTION("""COMPUTED_VALUE"""),"1,069,035,723")</f>
        <v>1,069,035,723</v>
      </c>
      <c r="AV1062" s="85"/>
      <c r="AW1062" s="85"/>
      <c r="AX1062" s="85"/>
      <c r="AY1062" s="85"/>
      <c r="AZ1062" s="85"/>
      <c r="BA1062" s="85"/>
      <c r="BB1062" s="85"/>
      <c r="BC1062" s="85"/>
      <c r="BD1062" s="85"/>
      <c r="BE1062" s="85"/>
      <c r="BF1062" s="85"/>
      <c r="BG1062" s="85"/>
      <c r="BH1062" s="85"/>
      <c r="BI1062" s="85"/>
      <c r="BJ1062" s="85"/>
      <c r="BK1062" s="85"/>
      <c r="BL1062" s="85"/>
      <c r="BM1062" s="85"/>
      <c r="BN1062" s="85"/>
      <c r="BO1062" s="85"/>
      <c r="BP1062" s="85"/>
      <c r="BQ1062" s="85"/>
      <c r="BR1062" s="85"/>
      <c r="BS1062" s="85"/>
      <c r="BT1062" s="85"/>
      <c r="BU1062" s="85"/>
      <c r="BV1062" s="85"/>
      <c r="BW1062" s="85"/>
      <c r="BX1062" s="85"/>
      <c r="BY1062" s="85"/>
      <c r="BZ1062" s="85"/>
      <c r="CA1062" s="85"/>
      <c r="CB1062" s="85"/>
      <c r="CC1062" s="85"/>
      <c r="CD1062" s="85"/>
      <c r="CE1062" s="85"/>
      <c r="CF1062" s="85"/>
      <c r="CG1062" s="85"/>
      <c r="CH1062" s="85"/>
      <c r="CI1062" s="85"/>
      <c r="CJ1062" s="85"/>
      <c r="CK1062" s="2"/>
    </row>
    <row r="1063" ht="12.75" customHeight="1">
      <c r="A1063" s="80">
        <f>IFERROR(__xludf.DUMMYFUNCTION("""COMPUTED_VALUE"""),1059.0)</f>
        <v>1059</v>
      </c>
      <c r="B1063" s="80"/>
      <c r="C1063" s="80"/>
      <c r="D1063" s="81">
        <f>IFERROR(__xludf.DUMMYFUNCTION("""COMPUTED_VALUE"""),46185.0)</f>
        <v>46185</v>
      </c>
      <c r="E1063" s="82"/>
      <c r="F1063" s="80"/>
      <c r="G1063" s="81">
        <f>IFERROR(__xludf.DUMMYFUNCTION("""COMPUTED_VALUE"""),46215.0)</f>
        <v>46215</v>
      </c>
      <c r="H1063" s="80"/>
      <c r="I1063" s="80"/>
      <c r="J1063" s="80"/>
      <c r="K1063" s="80"/>
      <c r="L1063" s="80">
        <f>IFERROR(__xludf.DUMMYFUNCTION("""COMPUTED_VALUE"""),30.0)</f>
        <v>30</v>
      </c>
      <c r="M1063" s="80"/>
      <c r="N1063" s="80"/>
      <c r="O1063" s="80"/>
      <c r="P1063" s="80" t="str">
        <f>IFERROR(__xludf.DUMMYFUNCTION("""COMPUTED_VALUE"""),"53BSPA17063JBNDS")</f>
        <v>53BSPA17063JBNDS</v>
      </c>
      <c r="Q1063" s="80" t="str">
        <f>IFERROR(__xludf.DUMMYFUNCTION("""COMPUTED_VALUE"""),"MUC DR SETIABUDI")</f>
        <v>MUC DR SETIABUDI</v>
      </c>
      <c r="R1063" s="80" t="str">
        <f>IFERROR(__xludf.DUMMYFUNCTION("""COMPUTED_VALUE"""),"MUC DR SETIABUDI")</f>
        <v>MUC DR SETIABUDI</v>
      </c>
      <c r="S1063" s="80" t="str">
        <f>IFERROR(__xludf.DUMMYFUNCTION("""COMPUTED_VALUE"""),"SULISTIYO BAMBANG KOENCORO")</f>
        <v>SULISTIYO BAMBANG KOENCORO</v>
      </c>
      <c r="T1063" s="80" t="str">
        <f>IFERROR(__xludf.DUMMYFUNCTION("""COMPUTED_VALUE"""),"PONDOK MAHARTA I BLOK A6/09 RT 18 RW 10")</f>
        <v>PONDOK MAHARTA I BLOK A6/09 RT 18 RW 10</v>
      </c>
      <c r="U1063" s="80" t="str">
        <f>IFERROR(__xludf.DUMMYFUNCTION("""COMPUTED_VALUE"""),"JL. DR. SETIABUDI NO. 74")</f>
        <v>JL. DR. SETIABUDI NO. 74</v>
      </c>
      <c r="V1063" s="80" t="str">
        <f>IFERROR(__xludf.DUMMYFUNCTION("""COMPUTED_VALUE"""),"RTA I  \ RW 10")</f>
        <v>RTA I  \ RW 10</v>
      </c>
      <c r="W1063" s="80" t="str">
        <f>IFERROR(__xludf.DUMMYFUNCTION("""COMPUTED_VALUE"""),"PONDOK KACANG TIMUR")</f>
        <v>PONDOK KACANG TIMUR</v>
      </c>
      <c r="X1063" s="80" t="str">
        <f>IFERROR(__xludf.DUMMYFUNCTION("""COMPUTED_VALUE"""),"PONDOK AREN")</f>
        <v>PONDOK AREN</v>
      </c>
      <c r="Y1063" s="80" t="str">
        <f>IFERROR(__xludf.DUMMYFUNCTION("""COMPUTED_VALUE"""),"TANGERANG SELATAN")</f>
        <v>TANGERANG SELATAN</v>
      </c>
      <c r="Z1063" s="80" t="str">
        <f>IFERROR(__xludf.DUMMYFUNCTION("""COMPUTED_VALUE"""),"BANTEN")</f>
        <v>BANTEN</v>
      </c>
      <c r="AA1063" s="80" t="str">
        <f>IFERROR(__xludf.DUMMYFUNCTION("""COMPUTED_VALUE"""),"15226")</f>
        <v>15226</v>
      </c>
      <c r="AB1063" s="80" t="str">
        <f>IFERROR(__xludf.DUMMYFUNCTION("""COMPUTED_VALUE"""),"3173080901760002")</f>
        <v>3173080901760002</v>
      </c>
      <c r="AC1063" s="80" t="str">
        <f>IFERROR(__xludf.DUMMYFUNCTION("""COMPUTED_VALUE"""),"87.673.562.2-086.000")</f>
        <v>87.673.562.2-086.000</v>
      </c>
      <c r="AD1063" s="80" t="str">
        <f>IFERROR(__xludf.DUMMYFUNCTION("""COMPUTED_VALUE"""),"SUB NDS")</f>
        <v>SUB NDS</v>
      </c>
      <c r="AE1063" s="80" t="str">
        <f>IFERROR(__xludf.DUMMYFUNCTION("""COMPUTED_VALUE"""),"SUB NDS")</f>
        <v>SUB NDS</v>
      </c>
      <c r="AF1063" s="80" t="str">
        <f>IFERROR(__xludf.DUMMYFUNCTION("""COMPUTED_VALUE"""),"0895324864209")</f>
        <v>0895324864209</v>
      </c>
      <c r="AG1063" s="80" t="str">
        <f>IFERROR(__xludf.DUMMYFUNCTION("""COMPUTED_VALUE"""),"895324864209")</f>
        <v>895324864209</v>
      </c>
      <c r="AH1063" s="80" t="str">
        <f>IFERROR(__xludf.DUMMYFUNCTION("""COMPUTED_VALUE"""),"Sulistbkoen@gmail.com")</f>
        <v>Sulistbkoen@gmail.com</v>
      </c>
      <c r="AI1063" s="80" t="str">
        <f>IFERROR(__xludf.DUMMYFUNCTION("""COMPUTED_VALUE"""),"15426S8")</f>
        <v>15426S8</v>
      </c>
      <c r="AJ1063" s="80" t="str">
        <f>IFERROR(__xludf.DUMMYFUNCTION("""COMPUTED_VALUE"""),"6a530460fbddfbdb0e0e42ef")</f>
        <v>6a530460fbddfbdb0e0e42ef</v>
      </c>
      <c r="AK1063" s="80" t="str">
        <f>IFERROR(__xludf.DUMMYFUNCTION("""COMPUTED_VALUE"""),"Sulistbkoen@gmail.com")</f>
        <v>Sulistbkoen@gmail.com</v>
      </c>
      <c r="AL1063" s="80" t="str">
        <f>IFERROR(__xludf.DUMMYFUNCTION("""COMPUTED_VALUE"""),"#Muc15426S8$")</f>
        <v>#Muc15426S8$</v>
      </c>
      <c r="AM1063" s="80" t="str">
        <f>IFERROR(__xludf.DUMMYFUNCTION("""COMPUTED_VALUE"""),"KANTOR REGIONAL II JAKARTA 10004")</f>
        <v>KANTOR REGIONAL II JAKARTA 10004</v>
      </c>
      <c r="AN1063" s="80" t="str">
        <f>IFERROR(__xludf.DUMMYFUNCTION("""COMPUTED_VALUE"""),"KC TANGERANGSELATAN 15400")</f>
        <v>KC TANGERANGSELATAN 15400</v>
      </c>
      <c r="AO1063" s="80" t="str">
        <f>IFERROR(__xludf.DUMMYFUNCTION("""COMPUTED_VALUE"""),"1206260027995")</f>
        <v>1206260027995</v>
      </c>
      <c r="AP1063" s="80" t="str">
        <f>IFERROR(__xludf.DUMMYFUNCTION("""COMPUTED_VALUE"""),"12062600279950001")</f>
        <v>12062600279950001</v>
      </c>
      <c r="AQ1063" s="83" t="str">
        <f>IFERROR(__xludf.DUMMYFUNCTION("""COMPUTED_VALUE"""),"1640006592994")</f>
        <v>1640006592994</v>
      </c>
      <c r="AR1063" s="80" t="str">
        <f>IFERROR(__xludf.DUMMYFUNCTION("""COMPUTED_VALUE"""),"MANDIRI")</f>
        <v>MANDIRI</v>
      </c>
      <c r="AS1063" s="80" t="str">
        <f>IFERROR(__xludf.DUMMYFUNCTION("""COMPUTED_VALUE"""),"SULISTIYO BAMBANG KOENCORO")</f>
        <v>SULISTIYO BAMBANG KOENCORO</v>
      </c>
      <c r="AT1063" s="80" t="str">
        <f>IFERROR(__xludf.DUMMYFUNCTION("""COMPUTED_VALUE"""),"-6.2532399,106.6860598")</f>
        <v>-6.2532399,106.6860598</v>
      </c>
      <c r="AU1063" s="80" t="str">
        <f>IFERROR(__xludf.DUMMYFUNCTION("""COMPUTED_VALUE"""),"-6.2532399,106.6860598")</f>
        <v>-6.2532399,106.6860598</v>
      </c>
      <c r="AV1063" s="80"/>
      <c r="AW1063" s="80"/>
      <c r="AX1063" s="80"/>
      <c r="AY1063" s="80"/>
      <c r="AZ1063" s="80"/>
      <c r="BA1063" s="80"/>
      <c r="BB1063" s="80"/>
      <c r="BC1063" s="80"/>
      <c r="BD1063" s="80"/>
      <c r="BE1063" s="80"/>
      <c r="BF1063" s="80"/>
      <c r="BG1063" s="80"/>
      <c r="BH1063" s="80"/>
      <c r="BI1063" s="80"/>
      <c r="BJ1063" s="80"/>
      <c r="BK1063" s="80"/>
      <c r="BL1063" s="80"/>
      <c r="BM1063" s="80"/>
      <c r="BN1063" s="80"/>
      <c r="BO1063" s="80"/>
      <c r="BP1063" s="80"/>
      <c r="BQ1063" s="80"/>
      <c r="BR1063" s="80"/>
      <c r="BS1063" s="80"/>
      <c r="BT1063" s="80"/>
      <c r="BU1063" s="80"/>
      <c r="BV1063" s="80"/>
      <c r="BW1063" s="80"/>
      <c r="BX1063" s="80"/>
      <c r="BY1063" s="80"/>
      <c r="BZ1063" s="80"/>
      <c r="CA1063" s="80"/>
      <c r="CB1063" s="80"/>
      <c r="CC1063" s="80"/>
      <c r="CD1063" s="80"/>
      <c r="CE1063" s="80"/>
      <c r="CF1063" s="80"/>
      <c r="CG1063" s="80"/>
      <c r="CH1063" s="80"/>
      <c r="CI1063" s="80"/>
      <c r="CJ1063" s="80"/>
      <c r="CK1063" s="2"/>
    </row>
    <row r="1064" ht="12.75" customHeight="1">
      <c r="A1064" s="85">
        <f>IFERROR(__xludf.DUMMYFUNCTION("""COMPUTED_VALUE"""),1060.0)</f>
        <v>1060</v>
      </c>
      <c r="B1064" s="85"/>
      <c r="C1064" s="85"/>
      <c r="D1064" s="86">
        <f>IFERROR(__xludf.DUMMYFUNCTION("""COMPUTED_VALUE"""),46185.0)</f>
        <v>46185</v>
      </c>
      <c r="E1064" s="88"/>
      <c r="F1064" s="85"/>
      <c r="G1064" s="86"/>
      <c r="H1064" s="85"/>
      <c r="I1064" s="85"/>
      <c r="J1064" s="85"/>
      <c r="K1064" s="85"/>
      <c r="L1064" s="85"/>
      <c r="M1064" s="85"/>
      <c r="N1064" s="85"/>
      <c r="O1064" s="85"/>
      <c r="P1064" s="85" t="str">
        <f>IFERROR(__xludf.DUMMYFUNCTION("""COMPUTED_VALUE"""),"MUCSPA63521PSIND")</f>
        <v>MUCSPA63521PSIND</v>
      </c>
      <c r="Q1064" s="85" t="str">
        <f>IFERROR(__xludf.DUMMYFUNCTION("""COMPUTED_VALUE"""),"MUC TOKO BENANG HZ")</f>
        <v>MUC TOKO BENANG HZ</v>
      </c>
      <c r="R1064" s="85" t="str">
        <f>IFERROR(__xludf.DUMMYFUNCTION("""COMPUTED_VALUE"""),"MUC TOKO BENANG HZ")</f>
        <v>MUC TOKO BENANG HZ</v>
      </c>
      <c r="S1064" s="85" t="str">
        <f>IFERROR(__xludf.DUMMYFUNCTION("""COMPUTED_VALUE"""),"OPI SUROYO")</f>
        <v>OPI SUROYO</v>
      </c>
      <c r="T1064" s="85" t="str">
        <f>IFERROR(__xludf.DUMMYFUNCTION("""COMPUTED_VALUE"""),"JL. TIRTO MULYO E-2, PERUMNAS REJOMULYO RT 034 RW 010 REJOMULYO, KARTOHARJO, MADIUN")</f>
        <v>JL. TIRTO MULYO E-2, PERUMNAS REJOMULYO RT 034 RW 010 REJOMULYO, KARTOHARJO, MADIUN</v>
      </c>
      <c r="U1064" s="85" t="str">
        <f>IFERROR(__xludf.DUMMYFUNCTION("""COMPUTED_VALUE"""),"JL. SARIMULYA NO 02A")</f>
        <v>JL. SARIMULYA NO 02A</v>
      </c>
      <c r="V1064" s="85" t="str">
        <f>IFERROR(__xludf.DUMMYFUNCTION("""COMPUTED_VALUE"""),"RTO MU \ RW 010")</f>
        <v>RTO MU \ RW 010</v>
      </c>
      <c r="W1064" s="85" t="str">
        <f>IFERROR(__xludf.DUMMYFUNCTION("""COMPUTED_VALUE"""),"REJOMULYO")</f>
        <v>REJOMULYO</v>
      </c>
      <c r="X1064" s="85" t="str">
        <f>IFERROR(__xludf.DUMMYFUNCTION("""COMPUTED_VALUE"""),"KARTOHARJO")</f>
        <v>KARTOHARJO</v>
      </c>
      <c r="Y1064" s="85" t="str">
        <f>IFERROR(__xludf.DUMMYFUNCTION("""COMPUTED_VALUE"""),"MADIUN")</f>
        <v>MADIUN</v>
      </c>
      <c r="Z1064" s="85" t="str">
        <f>IFERROR(__xludf.DUMMYFUNCTION("""COMPUTED_VALUE"""),"JAWA TIMUR")</f>
        <v>JAWA TIMUR</v>
      </c>
      <c r="AA1064" s="85" t="str">
        <f>IFERROR(__xludf.DUMMYFUNCTION("""COMPUTED_VALUE"""),"63111")</f>
        <v>63111</v>
      </c>
      <c r="AB1064" s="85" t="str">
        <f>IFERROR(__xludf.DUMMYFUNCTION("""COMPUTED_VALUE"""),"3519131812760001")</f>
        <v>3519131812760001</v>
      </c>
      <c r="AC1064" s="85" t="str">
        <f>IFERROR(__xludf.DUMMYFUNCTION("""COMPUTED_VALUE"""),"59.779.709.1-621.000")</f>
        <v>59.779.709.1-621.000</v>
      </c>
      <c r="AD1064" s="85" t="str">
        <f>IFERROR(__xludf.DUMMYFUNCTION("""COMPUTED_VALUE"""),"PAK ARIS KC MADIUN")</f>
        <v>PAK ARIS KC MADIUN</v>
      </c>
      <c r="AE1064" s="85" t="str">
        <f>IFERROR(__xludf.DUMMYFUNCTION("""COMPUTED_VALUE"""),"PAK ARIS KC MADIUN")</f>
        <v>PAK ARIS KC MADIUN</v>
      </c>
      <c r="AF1064" s="85" t="str">
        <f>IFERROR(__xludf.DUMMYFUNCTION("""COMPUTED_VALUE"""),"085707123147")</f>
        <v>085707123147</v>
      </c>
      <c r="AG1064" s="85" t="str">
        <f>IFERROR(__xludf.DUMMYFUNCTION("""COMPUTED_VALUE"""),"85707123147")</f>
        <v>85707123147</v>
      </c>
      <c r="AH1064" s="85" t="str">
        <f>IFERROR(__xludf.DUMMYFUNCTION("""COMPUTED_VALUE"""),"henyimbiyastuti83@gmail.com")</f>
        <v>henyimbiyastuti83@gmail.com</v>
      </c>
      <c r="AI1064" s="85"/>
      <c r="AJ1064" s="85"/>
      <c r="AK1064" s="85"/>
      <c r="AL1064" s="85"/>
      <c r="AM1064" s="85" t="str">
        <f>IFERROR(__xludf.DUMMYFUNCTION("""COMPUTED_VALUE"""),"KANTOR REGIONAL V SURABAYA 60004")</f>
        <v>KANTOR REGIONAL V SURABAYA 60004</v>
      </c>
      <c r="AN1064" s="85" t="str">
        <f>IFERROR(__xludf.DUMMYFUNCTION("""COMPUTED_VALUE"""),"KCU MADIUN 63100")</f>
        <v>KCU MADIUN 63100</v>
      </c>
      <c r="AO1064" s="85" t="str">
        <f>IFERROR(__xludf.DUMMYFUNCTION("""COMPUTED_VALUE"""),"1206260032335")</f>
        <v>1206260032335</v>
      </c>
      <c r="AP1064" s="85" t="str">
        <f>IFERROR(__xludf.DUMMYFUNCTION("""COMPUTED_VALUE"""),"12062600323350001")</f>
        <v>12062600323350001</v>
      </c>
      <c r="AQ1064" s="93" t="str">
        <f>IFERROR(__xludf.DUMMYFUNCTION("""COMPUTED_VALUE"""),"1771785013")</f>
        <v>1771785013</v>
      </c>
      <c r="AR1064" s="85" t="str">
        <f>IFERROR(__xludf.DUMMYFUNCTION("""COMPUTED_VALUE"""),"BCA")</f>
        <v>BCA</v>
      </c>
      <c r="AS1064" s="85" t="str">
        <f>IFERROR(__xludf.DUMMYFUNCTION("""COMPUTED_VALUE"""),"0PI SUROYO")</f>
        <v>0PI SUROYO</v>
      </c>
      <c r="AT1064" s="85" t="str">
        <f>IFERROR(__xludf.DUMMYFUNCTION("""COMPUTED_VALUE"""),"-7,610,282")</f>
        <v>-7,610,282</v>
      </c>
      <c r="AU1064" s="85" t="str">
        <f>IFERROR(__xludf.DUMMYFUNCTION("""COMPUTED_VALUE"""),"1,115,487,774")</f>
        <v>1,115,487,774</v>
      </c>
      <c r="AV1064" s="85"/>
      <c r="AW1064" s="85"/>
      <c r="AX1064" s="85"/>
      <c r="AY1064" s="85"/>
      <c r="AZ1064" s="85"/>
      <c r="BA1064" s="85"/>
      <c r="BB1064" s="85"/>
      <c r="BC1064" s="85"/>
      <c r="BD1064" s="85"/>
      <c r="BE1064" s="85"/>
      <c r="BF1064" s="85"/>
      <c r="BG1064" s="85"/>
      <c r="BH1064" s="85"/>
      <c r="BI1064" s="85"/>
      <c r="BJ1064" s="85"/>
      <c r="BK1064" s="85"/>
      <c r="BL1064" s="85"/>
      <c r="BM1064" s="85"/>
      <c r="BN1064" s="85"/>
      <c r="BO1064" s="85"/>
      <c r="BP1064" s="85"/>
      <c r="BQ1064" s="85"/>
      <c r="BR1064" s="85"/>
      <c r="BS1064" s="85"/>
      <c r="BT1064" s="85"/>
      <c r="BU1064" s="85"/>
      <c r="BV1064" s="85"/>
      <c r="BW1064" s="85"/>
      <c r="BX1064" s="85"/>
      <c r="BY1064" s="85"/>
      <c r="BZ1064" s="85"/>
      <c r="CA1064" s="85"/>
      <c r="CB1064" s="85"/>
      <c r="CC1064" s="85"/>
      <c r="CD1064" s="85"/>
      <c r="CE1064" s="85"/>
      <c r="CF1064" s="85"/>
      <c r="CG1064" s="85"/>
      <c r="CH1064" s="85"/>
      <c r="CI1064" s="85"/>
      <c r="CJ1064" s="85"/>
      <c r="CK1064" s="2"/>
    </row>
    <row r="1065" ht="12.75" customHeight="1">
      <c r="A1065" s="80">
        <f>IFERROR(__xludf.DUMMYFUNCTION("""COMPUTED_VALUE"""),1061.0)</f>
        <v>1061</v>
      </c>
      <c r="B1065" s="80"/>
      <c r="C1065" s="80"/>
      <c r="D1065" s="81">
        <f>IFERROR(__xludf.DUMMYFUNCTION("""COMPUTED_VALUE"""),46185.0)</f>
        <v>46185</v>
      </c>
      <c r="E1065" s="82"/>
      <c r="F1065" s="80"/>
      <c r="G1065" s="81">
        <f>IFERROR(__xludf.DUMMYFUNCTION("""COMPUTED_VALUE"""),46237.0)</f>
        <v>46237</v>
      </c>
      <c r="H1065" s="80"/>
      <c r="I1065" s="80"/>
      <c r="J1065" s="80"/>
      <c r="K1065" s="80"/>
      <c r="L1065" s="80">
        <f>IFERROR(__xludf.DUMMYFUNCTION("""COMPUTED_VALUE"""),52.0)</f>
        <v>52</v>
      </c>
      <c r="M1065" s="80"/>
      <c r="N1065" s="80"/>
      <c r="O1065" s="80"/>
      <c r="P1065" s="80" t="str">
        <f>IFERROR(__xludf.DUMMYFUNCTION("""COMPUTED_VALUE"""),"MUCSPA63522PSIND")</f>
        <v>MUCSPA63522PSIND</v>
      </c>
      <c r="Q1065" s="80" t="str">
        <f>IFERROR(__xludf.DUMMYFUNCTION("""COMPUTED_VALUE"""),"MUC NAMIRA")</f>
        <v>MUC NAMIRA</v>
      </c>
      <c r="R1065" s="80" t="str">
        <f>IFERROR(__xludf.DUMMYFUNCTION("""COMPUTED_VALUE"""),"MUC NAMIRA")</f>
        <v>MUC NAMIRA</v>
      </c>
      <c r="S1065" s="80" t="str">
        <f>IFERROR(__xludf.DUMMYFUNCTION("""COMPUTED_VALUE"""),"MUHAMMAD SAIFUDIN")</f>
        <v>MUHAMMAD SAIFUDIN</v>
      </c>
      <c r="T1065" s="80" t="str">
        <f>IFERROR(__xludf.DUMMYFUNCTION("""COMPUTED_VALUE"""),"POTON NO.27 RT 005 RW 006 SARIHARJO, NGAGLIK, KAB.SLEMAN")</f>
        <v>POTON NO.27 RT 005 RW 006 SARIHARJO, NGAGLIK, KAB.SLEMAN</v>
      </c>
      <c r="U1065" s="80" t="str">
        <f>IFERROR(__xludf.DUMMYFUNCTION("""COMPUTED_VALUE"""),"KAMPUNG GUNUNG BATU NO 21")</f>
        <v>KAMPUNG GUNUNG BATU NO 21</v>
      </c>
      <c r="V1065" s="80" t="str">
        <f>IFERROR(__xludf.DUMMYFUNCTION("""COMPUTED_VALUE"""),"RT 005 \ RW 006")</f>
        <v>RT 005 \ RW 006</v>
      </c>
      <c r="W1065" s="80" t="str">
        <f>IFERROR(__xludf.DUMMYFUNCTION("""COMPUTED_VALUE"""),"PASIRBUNGUR")</f>
        <v>PASIRBUNGUR</v>
      </c>
      <c r="X1065" s="80" t="str">
        <f>IFERROR(__xludf.DUMMYFUNCTION("""COMPUTED_VALUE"""),"CILOGRANG")</f>
        <v>CILOGRANG</v>
      </c>
      <c r="Y1065" s="80" t="str">
        <f>IFERROR(__xludf.DUMMYFUNCTION("""COMPUTED_VALUE"""),"KAB.LEBAK")</f>
        <v>KAB.LEBAK</v>
      </c>
      <c r="Z1065" s="80" t="str">
        <f>IFERROR(__xludf.DUMMYFUNCTION("""COMPUTED_VALUE"""),"BANTEN")</f>
        <v>BANTEN</v>
      </c>
      <c r="AA1065" s="80" t="str">
        <f>IFERROR(__xludf.DUMMYFUNCTION("""COMPUTED_VALUE"""),"42393")</f>
        <v>42393</v>
      </c>
      <c r="AB1065" s="80" t="str">
        <f>IFERROR(__xludf.DUMMYFUNCTION("""COMPUTED_VALUE"""),"3404121509860003")</f>
        <v>3404121509860003</v>
      </c>
      <c r="AC1065" s="80" t="str">
        <f>IFERROR(__xludf.DUMMYFUNCTION("""COMPUTED_VALUE"""),"45.910.217.4-542.000")</f>
        <v>45.910.217.4-542.000</v>
      </c>
      <c r="AD1065" s="80" t="str">
        <f>IFERROR(__xludf.DUMMYFUNCTION("""COMPUTED_VALUE"""),"BU ASTRI KC RANGKASBITUNG")</f>
        <v>BU ASTRI KC RANGKASBITUNG</v>
      </c>
      <c r="AE1065" s="80" t="str">
        <f>IFERROR(__xludf.DUMMYFUNCTION("""COMPUTED_VALUE"""),"BU ASTRI KC RANGKASBITUNG")</f>
        <v>BU ASTRI KC RANGKASBITUNG</v>
      </c>
      <c r="AF1065" s="80" t="str">
        <f>IFERROR(__xludf.DUMMYFUNCTION("""COMPUTED_VALUE"""),"081904146450")</f>
        <v>081904146450</v>
      </c>
      <c r="AG1065" s="80" t="str">
        <f>IFERROR(__xludf.DUMMYFUNCTION("""COMPUTED_VALUE"""),"81904146450")</f>
        <v>81904146450</v>
      </c>
      <c r="AH1065" s="80" t="str">
        <f>IFERROR(__xludf.DUMMYFUNCTION("""COMPUTED_VALUE"""),"novia.fitrianisa90@gmail.com")</f>
        <v>novia.fitrianisa90@gmail.com</v>
      </c>
      <c r="AI1065" s="80" t="str">
        <f>IFERROR(__xludf.DUMMYFUNCTION("""COMPUTED_VALUE"""),"42399S2")</f>
        <v>42399S2</v>
      </c>
      <c r="AJ1065" s="80" t="str">
        <f>IFERROR(__xludf.DUMMYFUNCTION("""COMPUTED_VALUE"""),"6a6f3cd6caac07dda005d796")</f>
        <v>6a6f3cd6caac07dda005d796</v>
      </c>
      <c r="AK1065" s="80" t="str">
        <f>IFERROR(__xludf.DUMMYFUNCTION("""COMPUTED_VALUE"""),"novia.fitrianisa90@gmail.com")</f>
        <v>novia.fitrianisa90@gmail.com</v>
      </c>
      <c r="AL1065" s="80" t="str">
        <f>IFERROR(__xludf.DUMMYFUNCTION("""COMPUTED_VALUE"""),"@Muc42399S2!")</f>
        <v>@Muc42399S2!</v>
      </c>
      <c r="AM1065" s="80" t="str">
        <f>IFERROR(__xludf.DUMMYFUNCTION("""COMPUTED_VALUE"""),"KANTOR REGIONAL II JAKARTA 10004")</f>
        <v>KANTOR REGIONAL II JAKARTA 10004</v>
      </c>
      <c r="AN1065" s="80" t="str">
        <f>IFERROR(__xludf.DUMMYFUNCTION("""COMPUTED_VALUE"""),"KC RANGKASBITUNG 42300")</f>
        <v>KC RANGKASBITUNG 42300</v>
      </c>
      <c r="AO1065" s="80" t="str">
        <f>IFERROR(__xludf.DUMMYFUNCTION("""COMPUTED_VALUE"""),"1206260050335")</f>
        <v>1206260050335</v>
      </c>
      <c r="AP1065" s="80" t="str">
        <f>IFERROR(__xludf.DUMMYFUNCTION("""COMPUTED_VALUE"""),"12062600503350001")</f>
        <v>12062600503350001</v>
      </c>
      <c r="AQ1065" s="83" t="str">
        <f>IFERROR(__xludf.DUMMYFUNCTION("""COMPUTED_VALUE"""),"1370006593319")</f>
        <v>1370006593319</v>
      </c>
      <c r="AR1065" s="80" t="str">
        <f>IFERROR(__xludf.DUMMYFUNCTION("""COMPUTED_VALUE"""),"MANDIRI")</f>
        <v>MANDIRI</v>
      </c>
      <c r="AS1065" s="80" t="str">
        <f>IFERROR(__xludf.DUMMYFUNCTION("""COMPUTED_VALUE"""),"MUHAMMAD SAIFUDIN")</f>
        <v>MUHAMMAD SAIFUDIN</v>
      </c>
      <c r="AT1065" s="80" t="str">
        <f>IFERROR(__xludf.DUMMYFUNCTION("""COMPUTED_VALUE"""),"-69,294,978")</f>
        <v>-69,294,978</v>
      </c>
      <c r="AU1065" s="80" t="str">
        <f>IFERROR(__xludf.DUMMYFUNCTION("""COMPUTED_VALUE"""),"1,063,763,654")</f>
        <v>1,063,763,654</v>
      </c>
      <c r="AV1065" s="80"/>
      <c r="AW1065" s="80"/>
      <c r="AX1065" s="80"/>
      <c r="AY1065" s="80"/>
      <c r="AZ1065" s="80"/>
      <c r="BA1065" s="80"/>
      <c r="BB1065" s="80"/>
      <c r="BC1065" s="80"/>
      <c r="BD1065" s="80"/>
      <c r="BE1065" s="80"/>
      <c r="BF1065" s="80"/>
      <c r="BG1065" s="80"/>
      <c r="BH1065" s="80"/>
      <c r="BI1065" s="80"/>
      <c r="BJ1065" s="80"/>
      <c r="BK1065" s="80"/>
      <c r="BL1065" s="80"/>
      <c r="BM1065" s="80"/>
      <c r="BN1065" s="80"/>
      <c r="BO1065" s="80"/>
      <c r="BP1065" s="80"/>
      <c r="BQ1065" s="80"/>
      <c r="BR1065" s="80"/>
      <c r="BS1065" s="80"/>
      <c r="BT1065" s="80"/>
      <c r="BU1065" s="80"/>
      <c r="BV1065" s="80"/>
      <c r="BW1065" s="80"/>
      <c r="BX1065" s="80"/>
      <c r="BY1065" s="80"/>
      <c r="BZ1065" s="80"/>
      <c r="CA1065" s="80"/>
      <c r="CB1065" s="80"/>
      <c r="CC1065" s="80"/>
      <c r="CD1065" s="80"/>
      <c r="CE1065" s="80"/>
      <c r="CF1065" s="80"/>
      <c r="CG1065" s="80"/>
      <c r="CH1065" s="80"/>
      <c r="CI1065" s="80"/>
      <c r="CJ1065" s="80"/>
      <c r="CK1065" s="2"/>
    </row>
    <row r="1066" ht="12.75" customHeight="1">
      <c r="A1066" s="85">
        <f>IFERROR(__xludf.DUMMYFUNCTION("""COMPUTED_VALUE"""),1062.0)</f>
        <v>1062</v>
      </c>
      <c r="B1066" s="85"/>
      <c r="C1066" s="85"/>
      <c r="D1066" s="86">
        <f>IFERROR(__xludf.DUMMYFUNCTION("""COMPUTED_VALUE"""),46185.0)</f>
        <v>46185</v>
      </c>
      <c r="E1066" s="88"/>
      <c r="F1066" s="85"/>
      <c r="G1066" s="86">
        <f>IFERROR(__xludf.DUMMYFUNCTION("""COMPUTED_VALUE"""),46272.0)</f>
        <v>46272</v>
      </c>
      <c r="H1066" s="85"/>
      <c r="I1066" s="85"/>
      <c r="J1066" s="85"/>
      <c r="K1066" s="85"/>
      <c r="L1066" s="85">
        <f>IFERROR(__xludf.DUMMYFUNCTION("""COMPUTED_VALUE"""),87.0)</f>
        <v>87</v>
      </c>
      <c r="M1066" s="85"/>
      <c r="N1066" s="85"/>
      <c r="O1066" s="85"/>
      <c r="P1066" s="85" t="str">
        <f>IFERROR(__xludf.DUMMYFUNCTION("""COMPUTED_VALUE"""),"MUCSPA63523PSIND")</f>
        <v>MUCSPA63523PSIND</v>
      </c>
      <c r="Q1066" s="85" t="str">
        <f>IFERROR(__xludf.DUMMYFUNCTION("""COMPUTED_VALUE"""),"MUC LULU HIDAYAT")</f>
        <v>MUC LULU HIDAYAT</v>
      </c>
      <c r="R1066" s="85" t="str">
        <f>IFERROR(__xludf.DUMMYFUNCTION("""COMPUTED_VALUE"""),"MUC LULU HIDAYAT")</f>
        <v>MUC LULU HIDAYAT</v>
      </c>
      <c r="S1066" s="85" t="str">
        <f>IFERROR(__xludf.DUMMYFUNCTION("""COMPUTED_VALUE"""),"ASEP HIDAYAT")</f>
        <v>ASEP HIDAYAT</v>
      </c>
      <c r="T1066" s="85" t="str">
        <f>IFERROR(__xludf.DUMMYFUNCTION("""COMPUTED_VALUE"""),"KP CIHIDEUNG RT 004 RW 002 BATUBANTAR, CIMANUK, KAB.PANDEGLANG")</f>
        <v>KP CIHIDEUNG RT 004 RW 002 BATUBANTAR, CIMANUK, KAB.PANDEGLANG</v>
      </c>
      <c r="U1066" s="85" t="str">
        <f>IFERROR(__xludf.DUMMYFUNCTION("""COMPUTED_VALUE"""),"JL. RAYA LABUAN BABAKAN SOMPOK")</f>
        <v>JL. RAYA LABUAN BABAKAN SOMPOK</v>
      </c>
      <c r="V1066" s="85" t="str">
        <f>IFERROR(__xludf.DUMMYFUNCTION("""COMPUTED_VALUE"""),"RT 004 \ RW 002")</f>
        <v>RT 004 \ RW 002</v>
      </c>
      <c r="W1066" s="85" t="str">
        <f>IFERROR(__xludf.DUMMYFUNCTION("""COMPUTED_VALUE"""),"GUNUNGCUPU")</f>
        <v>GUNUNGCUPU</v>
      </c>
      <c r="X1066" s="85" t="str">
        <f>IFERROR(__xludf.DUMMYFUNCTION("""COMPUTED_VALUE"""),"CIMANUK")</f>
        <v>CIMANUK</v>
      </c>
      <c r="Y1066" s="85" t="str">
        <f>IFERROR(__xludf.DUMMYFUNCTION("""COMPUTED_VALUE"""),"KAB.PANDEGLANG")</f>
        <v>KAB.PANDEGLANG</v>
      </c>
      <c r="Z1066" s="85" t="str">
        <f>IFERROR(__xludf.DUMMYFUNCTION("""COMPUTED_VALUE"""),"BANTEN")</f>
        <v>BANTEN</v>
      </c>
      <c r="AA1066" s="85" t="str">
        <f>IFERROR(__xludf.DUMMYFUNCTION("""COMPUTED_VALUE"""),"42271")</f>
        <v>42271</v>
      </c>
      <c r="AB1066" s="85" t="str">
        <f>IFERROR(__xludf.DUMMYFUNCTION("""COMPUTED_VALUE"""),"3601180711960001")</f>
        <v>3601180711960001</v>
      </c>
      <c r="AC1066" s="85" t="str">
        <f>IFERROR(__xludf.DUMMYFUNCTION("""COMPUTED_VALUE"""),"36.011.807.1-196.0001")</f>
        <v>36.011.807.1-196.0001</v>
      </c>
      <c r="AD1066" s="85" t="str">
        <f>IFERROR(__xludf.DUMMYFUNCTION("""COMPUTED_VALUE"""),"CUM - PS - MARVEL")</f>
        <v>CUM - PS - MARVEL</v>
      </c>
      <c r="AE1066" s="85" t="str">
        <f>IFERROR(__xludf.DUMMYFUNCTION("""COMPUTED_VALUE"""),"CUM - PS - MARVEL")</f>
        <v>CUM - PS - MARVEL</v>
      </c>
      <c r="AF1066" s="85" t="str">
        <f>IFERROR(__xludf.DUMMYFUNCTION("""COMPUTED_VALUE"""),"081381020549")</f>
        <v>081381020549</v>
      </c>
      <c r="AG1066" s="85" t="str">
        <f>IFERROR(__xludf.DUMMYFUNCTION("""COMPUTED_VALUE"""),"81381020549")</f>
        <v>81381020549</v>
      </c>
      <c r="AH1066" s="85" t="str">
        <f>IFERROR(__xludf.DUMMYFUNCTION("""COMPUTED_VALUE"""),"luluulhanif20@gmail.com")</f>
        <v>luluulhanif20@gmail.com</v>
      </c>
      <c r="AI1066" s="85" t="str">
        <f>IFERROR(__xludf.DUMMYFUNCTION("""COMPUTED_VALUE"""),"42271S1")</f>
        <v>42271S1</v>
      </c>
      <c r="AJ1066" s="85" t="str">
        <f>IFERROR(__xludf.DUMMYFUNCTION("""COMPUTED_VALUE"""),"6a9cc4e31c00fd6df80c1c9c")</f>
        <v>6a9cc4e31c00fd6df80c1c9c</v>
      </c>
      <c r="AK1066" s="85" t="str">
        <f>IFERROR(__xludf.DUMMYFUNCTION("""COMPUTED_VALUE"""),"luluulhanif20@gmail.com")</f>
        <v>luluulhanif20@gmail.com</v>
      </c>
      <c r="AL1066" s="85" t="str">
        <f>IFERROR(__xludf.DUMMYFUNCTION("""COMPUTED_VALUE"""),"#Muc42271S1$")</f>
        <v>#Muc42271S1$</v>
      </c>
      <c r="AM1066" s="85" t="str">
        <f>IFERROR(__xludf.DUMMYFUNCTION("""COMPUTED_VALUE"""),"KANTOR REGIONAL II JAKARTA 10004")</f>
        <v>KANTOR REGIONAL II JAKARTA 10004</v>
      </c>
      <c r="AN1066" s="85" t="str">
        <f>IFERROR(__xludf.DUMMYFUNCTION("""COMPUTED_VALUE"""),"KC PANDEGLANG 42200")</f>
        <v>KC PANDEGLANG 42200</v>
      </c>
      <c r="AO1066" s="85" t="str">
        <f>IFERROR(__xludf.DUMMYFUNCTION("""COMPUTED_VALUE"""),"1206260087856")</f>
        <v>1206260087856</v>
      </c>
      <c r="AP1066" s="85" t="str">
        <f>IFERROR(__xludf.DUMMYFUNCTION("""COMPUTED_VALUE"""),"12062600878560001")</f>
        <v>12062600878560001</v>
      </c>
      <c r="AQ1066" s="93" t="str">
        <f>IFERROR(__xludf.DUMMYFUNCTION("""COMPUTED_VALUE"""),"482501053420538")</f>
        <v>482501053420538</v>
      </c>
      <c r="AR1066" s="85" t="str">
        <f>IFERROR(__xludf.DUMMYFUNCTION("""COMPUTED_VALUE"""),"BRI")</f>
        <v>BRI</v>
      </c>
      <c r="AS1066" s="85" t="str">
        <f>IFERROR(__xludf.DUMMYFUNCTION("""COMPUTED_VALUE"""),"ASEP HIDAYAT")</f>
        <v>ASEP HIDAYAT</v>
      </c>
      <c r="AT1066" s="85" t="str">
        <f>IFERROR(__xludf.DUMMYFUNCTION("""COMPUTED_VALUE"""),"-63,528,237")</f>
        <v>-63,528,237</v>
      </c>
      <c r="AU1066" s="85" t="str">
        <f>IFERROR(__xludf.DUMMYFUNCTION("""COMPUTED_VALUE"""),"1,060,365,987")</f>
        <v>1,060,365,987</v>
      </c>
      <c r="AV1066" s="85"/>
      <c r="AW1066" s="85"/>
      <c r="AX1066" s="85"/>
      <c r="AY1066" s="85"/>
      <c r="AZ1066" s="85"/>
      <c r="BA1066" s="85"/>
      <c r="BB1066" s="85"/>
      <c r="BC1066" s="85"/>
      <c r="BD1066" s="85"/>
      <c r="BE1066" s="85"/>
      <c r="BF1066" s="85"/>
      <c r="BG1066" s="85"/>
      <c r="BH1066" s="85"/>
      <c r="BI1066" s="85"/>
      <c r="BJ1066" s="85"/>
      <c r="BK1066" s="85"/>
      <c r="BL1066" s="85"/>
      <c r="BM1066" s="85"/>
      <c r="BN1066" s="85"/>
      <c r="BO1066" s="85"/>
      <c r="BP1066" s="85"/>
      <c r="BQ1066" s="85"/>
      <c r="BR1066" s="85"/>
      <c r="BS1066" s="85"/>
      <c r="BT1066" s="85"/>
      <c r="BU1066" s="85"/>
      <c r="BV1066" s="85"/>
      <c r="BW1066" s="85"/>
      <c r="BX1066" s="85"/>
      <c r="BY1066" s="85"/>
      <c r="BZ1066" s="85"/>
      <c r="CA1066" s="85"/>
      <c r="CB1066" s="85"/>
      <c r="CC1066" s="85"/>
      <c r="CD1066" s="85"/>
      <c r="CE1066" s="85"/>
      <c r="CF1066" s="85"/>
      <c r="CG1066" s="85"/>
      <c r="CH1066" s="85"/>
      <c r="CI1066" s="85"/>
      <c r="CJ1066" s="85"/>
      <c r="CK1066" s="2"/>
    </row>
    <row r="1067" ht="12.75" customHeight="1">
      <c r="A1067" s="80">
        <f>IFERROR(__xludf.DUMMYFUNCTION("""COMPUTED_VALUE"""),1063.0)</f>
        <v>1063</v>
      </c>
      <c r="B1067" s="80"/>
      <c r="C1067" s="80"/>
      <c r="D1067" s="81">
        <f>IFERROR(__xludf.DUMMYFUNCTION("""COMPUTED_VALUE"""),46186.0)</f>
        <v>46186</v>
      </c>
      <c r="E1067" s="82"/>
      <c r="F1067" s="80"/>
      <c r="G1067" s="81"/>
      <c r="H1067" s="80"/>
      <c r="I1067" s="80"/>
      <c r="J1067" s="80"/>
      <c r="K1067" s="80"/>
      <c r="L1067" s="80"/>
      <c r="M1067" s="80"/>
      <c r="N1067" s="80"/>
      <c r="O1067" s="80"/>
      <c r="P1067" s="80" t="str">
        <f>IFERROR(__xludf.DUMMYFUNCTION("""COMPUTED_VALUE"""),"-")</f>
        <v>-</v>
      </c>
      <c r="Q1067" s="80" t="str">
        <f>IFERROR(__xludf.DUMMYFUNCTION("""COMPUTED_VALUE"""),"MUC GUZDHIPOS")</f>
        <v>MUC GUZDHIPOS</v>
      </c>
      <c r="R1067" s="80" t="str">
        <f>IFERROR(__xludf.DUMMYFUNCTION("""COMPUTED_VALUE"""),"MUC GUZDHIPOS")</f>
        <v>MUC GUZDHIPOS</v>
      </c>
      <c r="S1067" s="80" t="str">
        <f>IFERROR(__xludf.DUMMYFUNCTION("""COMPUTED_VALUE"""),"H. AGUS BUDIHARI, SE")</f>
        <v>H. AGUS BUDIHARI, SE</v>
      </c>
      <c r="T1067" s="80"/>
      <c r="U1067" s="80"/>
      <c r="V1067" s="80"/>
      <c r="W1067" s="80"/>
      <c r="X1067" s="80"/>
      <c r="Y1067" s="80"/>
      <c r="Z1067" s="80"/>
      <c r="AA1067" s="80"/>
      <c r="AB1067" s="80"/>
      <c r="AC1067" s="80"/>
      <c r="AD1067" s="80"/>
      <c r="AE1067" s="80"/>
      <c r="AF1067" s="80"/>
      <c r="AG1067" s="80"/>
      <c r="AH1067" s="80"/>
      <c r="AI1067" s="80"/>
      <c r="AJ1067" s="80"/>
      <c r="AK1067" s="80"/>
      <c r="AL1067" s="80"/>
      <c r="AM1067" s="80"/>
      <c r="AN1067" s="80"/>
      <c r="AO1067" s="80"/>
      <c r="AP1067" s="80"/>
      <c r="AQ1067" s="83"/>
      <c r="AR1067" s="80"/>
      <c r="AS1067" s="80"/>
      <c r="AT1067" s="80"/>
      <c r="AU1067" s="80"/>
      <c r="AV1067" s="80"/>
      <c r="AW1067" s="80"/>
      <c r="AX1067" s="80"/>
      <c r="AY1067" s="80"/>
      <c r="AZ1067" s="80"/>
      <c r="BA1067" s="80"/>
      <c r="BB1067" s="80"/>
      <c r="BC1067" s="80"/>
      <c r="BD1067" s="80"/>
      <c r="BE1067" s="80"/>
      <c r="BF1067" s="80"/>
      <c r="BG1067" s="80"/>
      <c r="BH1067" s="80"/>
      <c r="BI1067" s="80"/>
      <c r="BJ1067" s="80"/>
      <c r="BK1067" s="80"/>
      <c r="BL1067" s="80"/>
      <c r="BM1067" s="80"/>
      <c r="BN1067" s="80"/>
      <c r="BO1067" s="80"/>
      <c r="BP1067" s="80"/>
      <c r="BQ1067" s="80"/>
      <c r="BR1067" s="80"/>
      <c r="BS1067" s="80"/>
      <c r="BT1067" s="80"/>
      <c r="BU1067" s="80"/>
      <c r="BV1067" s="80"/>
      <c r="BW1067" s="80"/>
      <c r="BX1067" s="80"/>
      <c r="BY1067" s="80"/>
      <c r="BZ1067" s="80"/>
      <c r="CA1067" s="80"/>
      <c r="CB1067" s="80"/>
      <c r="CC1067" s="80"/>
      <c r="CD1067" s="80"/>
      <c r="CE1067" s="80"/>
      <c r="CF1067" s="80"/>
      <c r="CG1067" s="80"/>
      <c r="CH1067" s="80"/>
      <c r="CI1067" s="80"/>
      <c r="CJ1067" s="80"/>
      <c r="CK1067" s="2"/>
    </row>
    <row r="1068" ht="12.75" customHeight="1">
      <c r="A1068" s="85">
        <f>IFERROR(__xludf.DUMMYFUNCTION("""COMPUTED_VALUE"""),1064.0)</f>
        <v>1064</v>
      </c>
      <c r="B1068" s="85"/>
      <c r="C1068" s="85"/>
      <c r="D1068" s="86">
        <f>IFERROR(__xludf.DUMMYFUNCTION("""COMPUTED_VALUE"""),46188.0)</f>
        <v>46188</v>
      </c>
      <c r="E1068" s="88"/>
      <c r="F1068" s="85"/>
      <c r="G1068" s="86">
        <f>IFERROR(__xludf.DUMMYFUNCTION("""COMPUTED_VALUE"""),46217.0)</f>
        <v>46217</v>
      </c>
      <c r="H1068" s="85"/>
      <c r="I1068" s="85"/>
      <c r="J1068" s="85"/>
      <c r="K1068" s="85"/>
      <c r="L1068" s="85">
        <f>IFERROR(__xludf.DUMMYFUNCTION("""COMPUTED_VALUE"""),29.0)</f>
        <v>29</v>
      </c>
      <c r="M1068" s="85"/>
      <c r="N1068" s="85"/>
      <c r="O1068" s="85"/>
      <c r="P1068" s="85" t="str">
        <f>IFERROR(__xludf.DUMMYFUNCTION("""COMPUTED_VALUE"""),"MUCSPA63524PSIND")</f>
        <v>MUCSPA63524PSIND</v>
      </c>
      <c r="Q1068" s="85" t="str">
        <f>IFERROR(__xludf.DUMMYFUNCTION("""COMPUTED_VALUE"""),"MUC POJOK SETIAMANAH")</f>
        <v>MUC POJOK SETIAMANAH</v>
      </c>
      <c r="R1068" s="85" t="str">
        <f>IFERROR(__xludf.DUMMYFUNCTION("""COMPUTED_VALUE"""),"MUC POJOK SETIAMANAH")</f>
        <v>MUC POJOK SETIAMANAH</v>
      </c>
      <c r="S1068" s="85" t="str">
        <f>IFERROR(__xludf.DUMMYFUNCTION("""COMPUTED_VALUE"""),"NOOR SATRIA ANGGARA")</f>
        <v>NOOR SATRIA ANGGARA</v>
      </c>
      <c r="T1068" s="85" t="str">
        <f>IFERROR(__xludf.DUMMYFUNCTION("""COMPUTED_VALUE"""),"JL POJOK UTARA 2 RT. 02 RW. 05 KEL. SETIAMANAH KEC. CIMAHI TENGAH KOTA CIMAHI")</f>
        <v>JL POJOK UTARA 2 RT. 02 RW. 05 KEL. SETIAMANAH KEC. CIMAHI TENGAH KOTA CIMAHI</v>
      </c>
      <c r="U1068" s="85" t="str">
        <f>IFERROR(__xludf.DUMMYFUNCTION("""COMPUTED_VALUE"""),"JL. SISINGAMANGARAJA NO. 39 RT 01 RW 13")</f>
        <v>JL. SISINGAMANGARAJA NO. 39 RT 01 RW 13</v>
      </c>
      <c r="V1068" s="85" t="str">
        <f>IFERROR(__xludf.DUMMYFUNCTION("""COMPUTED_VALUE"""),"RT. 02 \ RW. 05")</f>
        <v>RT. 02 \ RW. 05</v>
      </c>
      <c r="W1068" s="85" t="str">
        <f>IFERROR(__xludf.DUMMYFUNCTION("""COMPUTED_VALUE"""),"SETIAMANAH")</f>
        <v>SETIAMANAH</v>
      </c>
      <c r="X1068" s="85" t="str">
        <f>IFERROR(__xludf.DUMMYFUNCTION("""COMPUTED_VALUE"""),"CIMAHI TENGAH")</f>
        <v>CIMAHI TENGAH</v>
      </c>
      <c r="Y1068" s="85" t="str">
        <f>IFERROR(__xludf.DUMMYFUNCTION("""COMPUTED_VALUE"""),"CIMAHI")</f>
        <v>CIMAHI</v>
      </c>
      <c r="Z1068" s="85" t="str">
        <f>IFERROR(__xludf.DUMMYFUNCTION("""COMPUTED_VALUE"""),"JAWA BARAT")</f>
        <v>JAWA BARAT</v>
      </c>
      <c r="AA1068" s="85" t="str">
        <f>IFERROR(__xludf.DUMMYFUNCTION("""COMPUTED_VALUE"""),"40524")</f>
        <v>40524</v>
      </c>
      <c r="AB1068" s="85" t="str">
        <f>IFERROR(__xludf.DUMMYFUNCTION("""COMPUTED_VALUE"""),"3277022903870005")</f>
        <v>3277022903870005</v>
      </c>
      <c r="AC1068" s="85" t="str">
        <f>IFERROR(__xludf.DUMMYFUNCTION("""COMPUTED_VALUE"""),"98.301.382.2-421.000")</f>
        <v>98.301.382.2-421.000</v>
      </c>
      <c r="AD1068" s="85" t="str">
        <f>IFERROR(__xludf.DUMMYFUNCTION("""COMPUTED_VALUE"""),"CUM - PS - GUMLR")</f>
        <v>CUM - PS - GUMLR</v>
      </c>
      <c r="AE1068" s="85" t="str">
        <f>IFERROR(__xludf.DUMMYFUNCTION("""COMPUTED_VALUE"""),"CUM - PS - GUMLR")</f>
        <v>CUM - PS - GUMLR</v>
      </c>
      <c r="AF1068" s="85" t="str">
        <f>IFERROR(__xludf.DUMMYFUNCTION("""COMPUTED_VALUE"""),"081222056121")</f>
        <v>081222056121</v>
      </c>
      <c r="AG1068" s="85" t="str">
        <f>IFERROR(__xludf.DUMMYFUNCTION("""COMPUTED_VALUE"""),"81222056121")</f>
        <v>81222056121</v>
      </c>
      <c r="AH1068" s="85" t="str">
        <f>IFERROR(__xludf.DUMMYFUNCTION("""COMPUTED_VALUE"""),"satria.anggara49@gmail.com")</f>
        <v>satria.anggara49@gmail.com</v>
      </c>
      <c r="AI1068" s="85" t="str">
        <f>IFERROR(__xludf.DUMMYFUNCTION("""COMPUTED_VALUE"""),"40524S3")</f>
        <v>40524S3</v>
      </c>
      <c r="AJ1068" s="85" t="str">
        <f>IFERROR(__xludf.DUMMYFUNCTION("""COMPUTED_VALUE"""),"6a3634ab6eee4b6f2c00fcb9")</f>
        <v>6a3634ab6eee4b6f2c00fcb9</v>
      </c>
      <c r="AK1068" s="85" t="str">
        <f>IFERROR(__xludf.DUMMYFUNCTION("""COMPUTED_VALUE"""),"satria.anggara49@gmail.com")</f>
        <v>satria.anggara49@gmail.com</v>
      </c>
      <c r="AL1068" s="85" t="str">
        <f>IFERROR(__xludf.DUMMYFUNCTION("""COMPUTED_VALUE"""),"#Muc40524S3$")</f>
        <v>#Muc40524S3$</v>
      </c>
      <c r="AM1068" s="85" t="str">
        <f>IFERROR(__xludf.DUMMYFUNCTION("""COMPUTED_VALUE"""),"KANTOR REGIONAL III BANDUNG 40004")</f>
        <v>KANTOR REGIONAL III BANDUNG 40004</v>
      </c>
      <c r="AN1068" s="85" t="str">
        <f>IFERROR(__xludf.DUMMYFUNCTION("""COMPUTED_VALUE"""),"KC CIMAHI 40500")</f>
        <v>KC CIMAHI 40500</v>
      </c>
      <c r="AO1068" s="85" t="str">
        <f>IFERROR(__xludf.DUMMYFUNCTION("""COMPUTED_VALUE"""),"1206260104017")</f>
        <v>1206260104017</v>
      </c>
      <c r="AP1068" s="85" t="str">
        <f>IFERROR(__xludf.DUMMYFUNCTION("""COMPUTED_VALUE"""),"12062601040170001")</f>
        <v>12062601040170001</v>
      </c>
      <c r="AQ1068" s="93" t="str">
        <f>IFERROR(__xludf.DUMMYFUNCTION("""COMPUTED_VALUE"""),"BCA 1393312631")</f>
        <v>BCA 1393312631</v>
      </c>
      <c r="AR1068" s="85" t="str">
        <f>IFERROR(__xludf.DUMMYFUNCTION("""COMPUTED_VALUE"""),"BCA")</f>
        <v>BCA</v>
      </c>
      <c r="AS1068" s="85" t="str">
        <f>IFERROR(__xludf.DUMMYFUNCTION("""COMPUTED_VALUE"""),"NOOR SATRIA ANGGARA")</f>
        <v>NOOR SATRIA ANGGARA</v>
      </c>
      <c r="AT1068" s="85" t="str">
        <f>IFERROR(__xludf.DUMMYFUNCTION("""COMPUTED_VALUE"""),"-6,874,089")</f>
        <v>-6,874,089</v>
      </c>
      <c r="AU1068" s="85" t="str">
        <f>IFERROR(__xludf.DUMMYFUNCTION("""COMPUTED_VALUE"""),"1,075,375,267")</f>
        <v>1,075,375,267</v>
      </c>
      <c r="AV1068" s="85"/>
      <c r="AW1068" s="85"/>
      <c r="AX1068" s="85"/>
      <c r="AY1068" s="85"/>
      <c r="AZ1068" s="85"/>
      <c r="BA1068" s="85"/>
      <c r="BB1068" s="85"/>
      <c r="BC1068" s="85"/>
      <c r="BD1068" s="85"/>
      <c r="BE1068" s="85"/>
      <c r="BF1068" s="85"/>
      <c r="BG1068" s="85"/>
      <c r="BH1068" s="85"/>
      <c r="BI1068" s="85"/>
      <c r="BJ1068" s="85"/>
      <c r="BK1068" s="85"/>
      <c r="BL1068" s="85"/>
      <c r="BM1068" s="85"/>
      <c r="BN1068" s="85"/>
      <c r="BO1068" s="85"/>
      <c r="BP1068" s="85"/>
      <c r="BQ1068" s="85"/>
      <c r="BR1068" s="85"/>
      <c r="BS1068" s="85"/>
      <c r="BT1068" s="85"/>
      <c r="BU1068" s="85"/>
      <c r="BV1068" s="85"/>
      <c r="BW1068" s="85"/>
      <c r="BX1068" s="85"/>
      <c r="BY1068" s="85"/>
      <c r="BZ1068" s="85"/>
      <c r="CA1068" s="85"/>
      <c r="CB1068" s="85"/>
      <c r="CC1068" s="85"/>
      <c r="CD1068" s="85"/>
      <c r="CE1068" s="85"/>
      <c r="CF1068" s="85"/>
      <c r="CG1068" s="85"/>
      <c r="CH1068" s="85"/>
      <c r="CI1068" s="85"/>
      <c r="CJ1068" s="85"/>
      <c r="CK1068" s="2"/>
    </row>
    <row r="1069" ht="12.75" customHeight="1">
      <c r="A1069" s="80">
        <f>IFERROR(__xludf.DUMMYFUNCTION("""COMPUTED_VALUE"""),1065.0)</f>
        <v>1065</v>
      </c>
      <c r="B1069" s="80"/>
      <c r="C1069" s="80"/>
      <c r="D1069" s="81">
        <f>IFERROR(__xludf.DUMMYFUNCTION("""COMPUTED_VALUE"""),46190.0)</f>
        <v>46190</v>
      </c>
      <c r="E1069" s="82"/>
      <c r="F1069" s="80"/>
      <c r="G1069" s="81"/>
      <c r="H1069" s="80"/>
      <c r="I1069" s="80"/>
      <c r="J1069" s="80"/>
      <c r="K1069" s="80"/>
      <c r="L1069" s="80"/>
      <c r="M1069" s="80"/>
      <c r="N1069" s="80"/>
      <c r="O1069" s="80"/>
      <c r="P1069" s="80" t="str">
        <f>IFERROR(__xludf.DUMMYFUNCTION("""COMPUTED_VALUE"""),"53BSPA17137JBNOV")</f>
        <v>53BSPA17137JBNOV</v>
      </c>
      <c r="Q1069" s="80" t="str">
        <f>IFERROR(__xludf.DUMMYFUNCTION("""COMPUTED_VALUE"""),"MUC PAMEKARAN")</f>
        <v>MUC PAMEKARAN</v>
      </c>
      <c r="R1069" s="80" t="str">
        <f>IFERROR(__xludf.DUMMYFUNCTION("""COMPUTED_VALUE"""),"MUC PAMEKARAN")</f>
        <v>MUC PAMEKARAN</v>
      </c>
      <c r="S1069" s="80" t="str">
        <f>IFERROR(__xludf.DUMMYFUNCTION("""COMPUTED_VALUE"""),"TINEU LISMAYANTI")</f>
        <v>TINEU LISMAYANTI</v>
      </c>
      <c r="T1069" s="80" t="str">
        <f>IFERROR(__xludf.DUMMYFUNCTION("""COMPUTED_VALUE"""),"KP. BOJONG SAYANG RT 3 RW 2 PANANJUNG CANGKUANG")</f>
        <v>KP. BOJONG SAYANG RT 3 RW 2 PANANJUNG CANGKUANG</v>
      </c>
      <c r="U1069" s="80" t="str">
        <f>IFERROR(__xludf.DUMMYFUNCTION("""COMPUTED_VALUE"""),"KP. BOJONG SAYANG RT 3 RW 2")</f>
        <v>KP. BOJONG SAYANG RT 3 RW 2</v>
      </c>
      <c r="V1069" s="80" t="str">
        <f>IFERROR(__xludf.DUMMYFUNCTION("""COMPUTED_VALUE"""),"RT 3 R \ RW 2 P")</f>
        <v>RT 3 R \ RW 2 P</v>
      </c>
      <c r="W1069" s="80" t="str">
        <f>IFERROR(__xludf.DUMMYFUNCTION("""COMPUTED_VALUE"""),"PANANJUNG")</f>
        <v>PANANJUNG</v>
      </c>
      <c r="X1069" s="80" t="str">
        <f>IFERROR(__xludf.DUMMYFUNCTION("""COMPUTED_VALUE"""),"CANGKUANG")</f>
        <v>CANGKUANG</v>
      </c>
      <c r="Y1069" s="80" t="str">
        <f>IFERROR(__xludf.DUMMYFUNCTION("""COMPUTED_VALUE"""),"KAB. BANDUNG")</f>
        <v>KAB. BANDUNG</v>
      </c>
      <c r="Z1069" s="80" t="str">
        <f>IFERROR(__xludf.DUMMYFUNCTION("""COMPUTED_VALUE"""),"JAWA BARAT")</f>
        <v>JAWA BARAT</v>
      </c>
      <c r="AA1069" s="80" t="str">
        <f>IFERROR(__xludf.DUMMYFUNCTION("""COMPUTED_VALUE"""),"40238")</f>
        <v>40238</v>
      </c>
      <c r="AB1069" s="80" t="str">
        <f>IFERROR(__xludf.DUMMYFUNCTION("""COMPUTED_VALUE"""),"3204444612950004")</f>
        <v>3204444612950004</v>
      </c>
      <c r="AC1069" s="80" t="str">
        <f>IFERROR(__xludf.DUMMYFUNCTION("""COMPUTED_VALUE"""),"32.044.446.1-295.0004")</f>
        <v>32.044.446.1-295.0004</v>
      </c>
      <c r="AD1069" s="80" t="str">
        <f>IFERROR(__xludf.DUMMYFUNCTION("""COMPUTED_VALUE"""),"SUB NOVI")</f>
        <v>SUB NOVI</v>
      </c>
      <c r="AE1069" s="80" t="str">
        <f>IFERROR(__xludf.DUMMYFUNCTION("""COMPUTED_VALUE"""),"SUB NOVI")</f>
        <v>SUB NOVI</v>
      </c>
      <c r="AF1069" s="80" t="str">
        <f>IFERROR(__xludf.DUMMYFUNCTION("""COMPUTED_VALUE"""),"085892938712")</f>
        <v>085892938712</v>
      </c>
      <c r="AG1069" s="80" t="str">
        <f>IFERROR(__xludf.DUMMYFUNCTION("""COMPUTED_VALUE"""),"85892938712")</f>
        <v>85892938712</v>
      </c>
      <c r="AH1069" s="80" t="str">
        <f>IFERROR(__xludf.DUMMYFUNCTION("""COMPUTED_VALUE"""),"lismayantitineu6@gmail.com")</f>
        <v>lismayantitineu6@gmail.com</v>
      </c>
      <c r="AI1069" s="80"/>
      <c r="AJ1069" s="80"/>
      <c r="AK1069" s="80"/>
      <c r="AL1069" s="80"/>
      <c r="AM1069" s="80" t="str">
        <f>IFERROR(__xludf.DUMMYFUNCTION("""COMPUTED_VALUE"""),"KANTOR REGIONAL III BANDUNG 40004")</f>
        <v>KANTOR REGIONAL III BANDUNG 40004</v>
      </c>
      <c r="AN1069" s="80" t="str">
        <f>IFERROR(__xludf.DUMMYFUNCTION("""COMPUTED_VALUE"""),"KC SOREANG 40900")</f>
        <v>KC SOREANG 40900</v>
      </c>
      <c r="AO1069" s="80" t="str">
        <f>IFERROR(__xludf.DUMMYFUNCTION("""COMPUTED_VALUE"""),"1411240220396")</f>
        <v>1411240220396</v>
      </c>
      <c r="AP1069" s="80" t="str">
        <f>IFERROR(__xludf.DUMMYFUNCTION("""COMPUTED_VALUE"""),"14112402203960004")</f>
        <v>14112402203960004</v>
      </c>
      <c r="AQ1069" s="83" t="str">
        <f>IFERROR(__xludf.DUMMYFUNCTION("""COMPUTED_VALUE"""),"0083982451")</f>
        <v>0083982451</v>
      </c>
      <c r="AR1069" s="80" t="str">
        <f>IFERROR(__xludf.DUMMYFUNCTION("""COMPUTED_VALUE"""),"BCA")</f>
        <v>BCA</v>
      </c>
      <c r="AS1069" s="80" t="str">
        <f>IFERROR(__xludf.DUMMYFUNCTION("""COMPUTED_VALUE"""),"TINEU LISMAYANTI")</f>
        <v>TINEU LISMAYANTI</v>
      </c>
      <c r="AT1069" s="80" t="str">
        <f>IFERROR(__xludf.DUMMYFUNCTION("""COMPUTED_VALUE"""),"-7.02014,107.5254951")</f>
        <v>-7.02014,107.5254951</v>
      </c>
      <c r="AU1069" s="80" t="str">
        <f>IFERROR(__xludf.DUMMYFUNCTION("""COMPUTED_VALUE"""),"-7.02014,107.5254951")</f>
        <v>-7.02014,107.5254951</v>
      </c>
      <c r="AV1069" s="80"/>
      <c r="AW1069" s="80"/>
      <c r="AX1069" s="80"/>
      <c r="AY1069" s="80"/>
      <c r="AZ1069" s="80"/>
      <c r="BA1069" s="80"/>
      <c r="BB1069" s="80"/>
      <c r="BC1069" s="80"/>
      <c r="BD1069" s="80"/>
      <c r="BE1069" s="80"/>
      <c r="BF1069" s="80"/>
      <c r="BG1069" s="80"/>
      <c r="BH1069" s="80"/>
      <c r="BI1069" s="80"/>
      <c r="BJ1069" s="80"/>
      <c r="BK1069" s="80"/>
      <c r="BL1069" s="80"/>
      <c r="BM1069" s="80"/>
      <c r="BN1069" s="80"/>
      <c r="BO1069" s="80"/>
      <c r="BP1069" s="80"/>
      <c r="BQ1069" s="80"/>
      <c r="BR1069" s="80"/>
      <c r="BS1069" s="80"/>
      <c r="BT1069" s="80"/>
      <c r="BU1069" s="80"/>
      <c r="BV1069" s="80"/>
      <c r="BW1069" s="80"/>
      <c r="BX1069" s="80"/>
      <c r="BY1069" s="80"/>
      <c r="BZ1069" s="80"/>
      <c r="CA1069" s="80"/>
      <c r="CB1069" s="80"/>
      <c r="CC1069" s="80"/>
      <c r="CD1069" s="80"/>
      <c r="CE1069" s="80"/>
      <c r="CF1069" s="80"/>
      <c r="CG1069" s="80"/>
      <c r="CH1069" s="80"/>
      <c r="CI1069" s="80"/>
      <c r="CJ1069" s="80"/>
      <c r="CK1069" s="2"/>
    </row>
    <row r="1070" ht="12.75" customHeight="1">
      <c r="A1070" s="85">
        <f>IFERROR(__xludf.DUMMYFUNCTION("""COMPUTED_VALUE"""),1066.0)</f>
        <v>1066</v>
      </c>
      <c r="B1070" s="85"/>
      <c r="C1070" s="85"/>
      <c r="D1070" s="86">
        <f>IFERROR(__xludf.DUMMYFUNCTION("""COMPUTED_VALUE"""),46190.0)</f>
        <v>46190</v>
      </c>
      <c r="E1070" s="88"/>
      <c r="F1070" s="85"/>
      <c r="G1070" s="86"/>
      <c r="H1070" s="85"/>
      <c r="I1070" s="85"/>
      <c r="J1070" s="85"/>
      <c r="K1070" s="85"/>
      <c r="L1070" s="85"/>
      <c r="M1070" s="85"/>
      <c r="N1070" s="85"/>
      <c r="O1070" s="85"/>
      <c r="P1070" s="85" t="str">
        <f>IFERROR(__xludf.DUMMYFUNCTION("""COMPUTED_VALUE"""),"MUCSPA63531PSIND")</f>
        <v>MUCSPA63531PSIND</v>
      </c>
      <c r="Q1070" s="85" t="str">
        <f>IFERROR(__xludf.DUMMYFUNCTION("""COMPUTED_VALUE"""),"MUC SILIWANGI")</f>
        <v>MUC SILIWANGI</v>
      </c>
      <c r="R1070" s="85" t="str">
        <f>IFERROR(__xludf.DUMMYFUNCTION("""COMPUTED_VALUE"""),"MUC SILIWANGI")</f>
        <v>MUC SILIWANGI</v>
      </c>
      <c r="S1070" s="85" t="str">
        <f>IFERROR(__xludf.DUMMYFUNCTION("""COMPUTED_VALUE"""),"FIRLY AJI MULYANA")</f>
        <v>FIRLY AJI MULYANA</v>
      </c>
      <c r="T1070" s="85" t="str">
        <f>IFERROR(__xludf.DUMMYFUNCTION("""COMPUTED_VALUE"""),"PANGKALAN II RT 005 RW 008 KERSAMENAK, KAWALU, TASIKMALAYA")</f>
        <v>PANGKALAN II RT 005 RW 008 KERSAMENAK, KAWALU, TASIKMALAYA</v>
      </c>
      <c r="U1070" s="85" t="str">
        <f>IFERROR(__xludf.DUMMYFUNCTION("""COMPUTED_VALUE"""),"JL. SILIWANGI RUKO PERMATA REGENCY BLOK B1")</f>
        <v>JL. SILIWANGI RUKO PERMATA REGENCY BLOK B1</v>
      </c>
      <c r="V1070" s="85" t="str">
        <f>IFERROR(__xludf.DUMMYFUNCTION("""COMPUTED_VALUE"""),"RT 005 \ RW 008")</f>
        <v>RT 005 \ RW 008</v>
      </c>
      <c r="W1070" s="85" t="str">
        <f>IFERROR(__xludf.DUMMYFUNCTION("""COMPUTED_VALUE"""),"TUGUJAYA")</f>
        <v>TUGUJAYA</v>
      </c>
      <c r="X1070" s="85" t="str">
        <f>IFERROR(__xludf.DUMMYFUNCTION("""COMPUTED_VALUE"""),"CIHIDEUNG")</f>
        <v>CIHIDEUNG</v>
      </c>
      <c r="Y1070" s="85" t="str">
        <f>IFERROR(__xludf.DUMMYFUNCTION("""COMPUTED_VALUE"""),"TASIKMALAYA")</f>
        <v>TASIKMALAYA</v>
      </c>
      <c r="Z1070" s="85" t="str">
        <f>IFERROR(__xludf.DUMMYFUNCTION("""COMPUTED_VALUE"""),"JAWA BARAT")</f>
        <v>JAWA BARAT</v>
      </c>
      <c r="AA1070" s="85" t="str">
        <f>IFERROR(__xludf.DUMMYFUNCTION("""COMPUTED_VALUE"""),"46126")</f>
        <v>46126</v>
      </c>
      <c r="AB1070" s="85" t="str">
        <f>IFERROR(__xludf.DUMMYFUNCTION("""COMPUTED_VALUE"""),"3278052907990005")</f>
        <v>3278052907990005</v>
      </c>
      <c r="AC1070" s="85" t="str">
        <f>IFERROR(__xludf.DUMMYFUNCTION("""COMPUTED_VALUE"""),"82.087.575.5-425.000")</f>
        <v>82.087.575.5-425.000</v>
      </c>
      <c r="AD1070" s="85" t="str">
        <f>IFERROR(__xludf.DUMMYFUNCTION("""COMPUTED_VALUE"""),"CUM - LP - ANGGI")</f>
        <v>CUM - LP - ANGGI</v>
      </c>
      <c r="AE1070" s="85" t="str">
        <f>IFERROR(__xludf.DUMMYFUNCTION("""COMPUTED_VALUE"""),"CUM - LP - ANGGI")</f>
        <v>CUM - LP - ANGGI</v>
      </c>
      <c r="AF1070" s="85" t="str">
        <f>IFERROR(__xludf.DUMMYFUNCTION("""COMPUTED_VALUE"""),"081287397828")</f>
        <v>081287397828</v>
      </c>
      <c r="AG1070" s="85" t="str">
        <f>IFERROR(__xludf.DUMMYFUNCTION("""COMPUTED_VALUE"""),"81287397828")</f>
        <v>81287397828</v>
      </c>
      <c r="AH1070" s="85" t="str">
        <f>IFERROR(__xludf.DUMMYFUNCTION("""COMPUTED_VALUE"""),"firlyajimulyana12@gmail.com")</f>
        <v>firlyajimulyana12@gmail.com</v>
      </c>
      <c r="AI1070" s="85"/>
      <c r="AJ1070" s="85"/>
      <c r="AK1070" s="85"/>
      <c r="AL1070" s="85"/>
      <c r="AM1070" s="85" t="str">
        <f>IFERROR(__xludf.DUMMYFUNCTION("""COMPUTED_VALUE"""),"KANTOR REGIONAL III BANDUNG 40004")</f>
        <v>KANTOR REGIONAL III BANDUNG 40004</v>
      </c>
      <c r="AN1070" s="85" t="str">
        <f>IFERROR(__xludf.DUMMYFUNCTION("""COMPUTED_VALUE"""),"KC TASIKMALAYA 46100")</f>
        <v>KC TASIKMALAYA 46100</v>
      </c>
      <c r="AO1070" s="85" t="str">
        <f>IFERROR(__xludf.DUMMYFUNCTION("""COMPUTED_VALUE"""),"1706260045451")</f>
        <v>1706260045451</v>
      </c>
      <c r="AP1070" s="85" t="str">
        <f>IFERROR(__xludf.DUMMYFUNCTION("""COMPUTED_VALUE"""),"1706260045451")</f>
        <v>1706260045451</v>
      </c>
      <c r="AQ1070" s="93" t="str">
        <f>IFERROR(__xludf.DUMMYFUNCTION("""COMPUTED_VALUE"""),"3211234502")</f>
        <v>3211234502</v>
      </c>
      <c r="AR1070" s="85" t="str">
        <f>IFERROR(__xludf.DUMMYFUNCTION("""COMPUTED_VALUE"""),"BCA")</f>
        <v>BCA</v>
      </c>
      <c r="AS1070" s="85" t="str">
        <f>IFERROR(__xludf.DUMMYFUNCTION("""COMPUTED_VALUE"""),"FIRLY AJI MULYANA")</f>
        <v>FIRLY AJI MULYANA</v>
      </c>
      <c r="AT1070" s="85" t="str">
        <f>IFERROR(__xludf.DUMMYFUNCTION("""COMPUTED_VALUE"""),"-73,484,825")</f>
        <v>-73,484,825</v>
      </c>
      <c r="AU1070" s="85" t="str">
        <f>IFERROR(__xludf.DUMMYFUNCTION("""COMPUTED_VALUE"""),"1,082,196,798")</f>
        <v>1,082,196,798</v>
      </c>
      <c r="AV1070" s="85"/>
      <c r="AW1070" s="85"/>
      <c r="AX1070" s="85"/>
      <c r="AY1070" s="85"/>
      <c r="AZ1070" s="85"/>
      <c r="BA1070" s="85"/>
      <c r="BB1070" s="85"/>
      <c r="BC1070" s="85"/>
      <c r="BD1070" s="85"/>
      <c r="BE1070" s="85"/>
      <c r="BF1070" s="85"/>
      <c r="BG1070" s="85"/>
      <c r="BH1070" s="85"/>
      <c r="BI1070" s="85"/>
      <c r="BJ1070" s="85"/>
      <c r="BK1070" s="85"/>
      <c r="BL1070" s="85"/>
      <c r="BM1070" s="85"/>
      <c r="BN1070" s="85"/>
      <c r="BO1070" s="85"/>
      <c r="BP1070" s="85"/>
      <c r="BQ1070" s="85"/>
      <c r="BR1070" s="85"/>
      <c r="BS1070" s="85"/>
      <c r="BT1070" s="85"/>
      <c r="BU1070" s="85"/>
      <c r="BV1070" s="85"/>
      <c r="BW1070" s="85"/>
      <c r="BX1070" s="85"/>
      <c r="BY1070" s="85"/>
      <c r="BZ1070" s="85"/>
      <c r="CA1070" s="85"/>
      <c r="CB1070" s="85"/>
      <c r="CC1070" s="85"/>
      <c r="CD1070" s="85"/>
      <c r="CE1070" s="85"/>
      <c r="CF1070" s="85"/>
      <c r="CG1070" s="85"/>
      <c r="CH1070" s="85"/>
      <c r="CI1070" s="85"/>
      <c r="CJ1070" s="85"/>
      <c r="CK1070" s="2"/>
    </row>
    <row r="1071" ht="12.75" customHeight="1">
      <c r="A1071" s="80">
        <f>IFERROR(__xludf.DUMMYFUNCTION("""COMPUTED_VALUE"""),1067.0)</f>
        <v>1067</v>
      </c>
      <c r="B1071" s="80"/>
      <c r="C1071" s="80"/>
      <c r="D1071" s="81">
        <f>IFERROR(__xludf.DUMMYFUNCTION("""COMPUTED_VALUE"""),46190.0)</f>
        <v>46190</v>
      </c>
      <c r="E1071" s="82"/>
      <c r="F1071" s="80"/>
      <c r="G1071" s="81">
        <f>IFERROR(__xludf.DUMMYFUNCTION("""COMPUTED_VALUE"""),46199.0)</f>
        <v>46199</v>
      </c>
      <c r="H1071" s="80"/>
      <c r="I1071" s="80"/>
      <c r="J1071" s="80"/>
      <c r="K1071" s="80"/>
      <c r="L1071" s="80">
        <f>IFERROR(__xludf.DUMMYFUNCTION("""COMPUTED_VALUE"""),9.0)</f>
        <v>9</v>
      </c>
      <c r="M1071" s="80"/>
      <c r="N1071" s="80"/>
      <c r="O1071" s="80"/>
      <c r="P1071" s="80" t="str">
        <f>IFERROR(__xludf.DUMMYFUNCTION("""COMPUTED_VALUE"""),"53BSPA17067JBNDS")</f>
        <v>53BSPA17067JBNDS</v>
      </c>
      <c r="Q1071" s="80" t="str">
        <f>IFERROR(__xludf.DUMMYFUNCTION("""COMPUTED_VALUE"""),"MUC THE LOGISTIK")</f>
        <v>MUC THE LOGISTIK</v>
      </c>
      <c r="R1071" s="80" t="str">
        <f>IFERROR(__xludf.DUMMYFUNCTION("""COMPUTED_VALUE"""),"MUC THE LOGISTIK")</f>
        <v>MUC THE LOGISTIK</v>
      </c>
      <c r="S1071" s="80" t="str">
        <f>IFERROR(__xludf.DUMMYFUNCTION("""COMPUTED_VALUE"""),"HARI HERMANTO")</f>
        <v>HARI HERMANTO</v>
      </c>
      <c r="T1071" s="80" t="str">
        <f>IFERROR(__xludf.DUMMYFUNCTION("""COMPUTED_VALUE"""),"JL. BENOSA RT 2 RW 7 BUARAN SERPONG")</f>
        <v>JL. BENOSA RT 2 RW 7 BUARAN SERPONG</v>
      </c>
      <c r="U1071" s="80" t="str">
        <f>IFERROR(__xludf.DUMMYFUNCTION("""COMPUTED_VALUE"""),"JL. GG. BENOSA RT 2 RW 7")</f>
        <v>JL. GG. BENOSA RT 2 RW 7</v>
      </c>
      <c r="V1071" s="80" t="str">
        <f>IFERROR(__xludf.DUMMYFUNCTION("""COMPUTED_VALUE"""),"RT 2 R \ RW 7 B")</f>
        <v>RT 2 R \ RW 7 B</v>
      </c>
      <c r="W1071" s="80" t="str">
        <f>IFERROR(__xludf.DUMMYFUNCTION("""COMPUTED_VALUE"""),"BUARAN")</f>
        <v>BUARAN</v>
      </c>
      <c r="X1071" s="80" t="str">
        <f>IFERROR(__xludf.DUMMYFUNCTION("""COMPUTED_VALUE"""),"SERPONG")</f>
        <v>SERPONG</v>
      </c>
      <c r="Y1071" s="80" t="str">
        <f>IFERROR(__xludf.DUMMYFUNCTION("""COMPUTED_VALUE"""),"TANGERANG SELATAN")</f>
        <v>TANGERANG SELATAN</v>
      </c>
      <c r="Z1071" s="80" t="str">
        <f>IFERROR(__xludf.DUMMYFUNCTION("""COMPUTED_VALUE"""),"BANTEN")</f>
        <v>BANTEN</v>
      </c>
      <c r="AA1071" s="80" t="str">
        <f>IFERROR(__xludf.DUMMYFUNCTION("""COMPUTED_VALUE"""),"15310")</f>
        <v>15310</v>
      </c>
      <c r="AB1071" s="80" t="str">
        <f>IFERROR(__xludf.DUMMYFUNCTION("""COMPUTED_VALUE"""),"3171022104790002")</f>
        <v>3171022104790002</v>
      </c>
      <c r="AC1071" s="80" t="str">
        <f>IFERROR(__xludf.DUMMYFUNCTION("""COMPUTED_VALUE"""),"35.538.056.9-411.000")</f>
        <v>35.538.056.9-411.000</v>
      </c>
      <c r="AD1071" s="80" t="str">
        <f>IFERROR(__xludf.DUMMYFUNCTION("""COMPUTED_VALUE"""),"SUB NDS")</f>
        <v>SUB NDS</v>
      </c>
      <c r="AE1071" s="80" t="str">
        <f>IFERROR(__xludf.DUMMYFUNCTION("""COMPUTED_VALUE"""),"SUB NDS")</f>
        <v>SUB NDS</v>
      </c>
      <c r="AF1071" s="80" t="str">
        <f>IFERROR(__xludf.DUMMYFUNCTION("""COMPUTED_VALUE"""),"083890621222")</f>
        <v>083890621222</v>
      </c>
      <c r="AG1071" s="80" t="str">
        <f>IFERROR(__xludf.DUMMYFUNCTION("""COMPUTED_VALUE"""),"83890621222")</f>
        <v>83890621222</v>
      </c>
      <c r="AH1071" s="80" t="str">
        <f>IFERROR(__xludf.DUMMYFUNCTION("""COMPUTED_VALUE"""),"hari.hermanto01@gmail.com")</f>
        <v>hari.hermanto01@gmail.com</v>
      </c>
      <c r="AI1071" s="80" t="str">
        <f>IFERROR(__xludf.DUMMYFUNCTION("""COMPUTED_VALUE"""),"15316S4")</f>
        <v>15316S4</v>
      </c>
      <c r="AJ1071" s="80" t="str">
        <f>IFERROR(__xludf.DUMMYFUNCTION("""COMPUTED_VALUE"""),"6a407363adf4a6c8800abd57")</f>
        <v>6a407363adf4a6c8800abd57</v>
      </c>
      <c r="AK1071" s="80" t="str">
        <f>IFERROR(__xludf.DUMMYFUNCTION("""COMPUTED_VALUE"""),"hari.hermanto01@gmail.com")</f>
        <v>hari.hermanto01@gmail.com</v>
      </c>
      <c r="AL1071" s="80" t="str">
        <f>IFERROR(__xludf.DUMMYFUNCTION("""COMPUTED_VALUE"""),"#Muc15316S4$")</f>
        <v>#Muc15316S4$</v>
      </c>
      <c r="AM1071" s="80" t="str">
        <f>IFERROR(__xludf.DUMMYFUNCTION("""COMPUTED_VALUE"""),"KANTOR REGIONAL II JAKARTA 10004")</f>
        <v>KANTOR REGIONAL II JAKARTA 10004</v>
      </c>
      <c r="AN1071" s="80" t="str">
        <f>IFERROR(__xludf.DUMMYFUNCTION("""COMPUTED_VALUE"""),"KC TANGERANGSELATAN 15400")</f>
        <v>KC TANGERANGSELATAN 15400</v>
      </c>
      <c r="AO1071" s="80" t="str">
        <f>IFERROR(__xludf.DUMMYFUNCTION("""COMPUTED_VALUE"""),"1706260051916")</f>
        <v>1706260051916</v>
      </c>
      <c r="AP1071" s="80"/>
      <c r="AQ1071" s="83" t="str">
        <f>IFERROR(__xludf.DUMMYFUNCTION("""COMPUTED_VALUE"""),"8010442681")</f>
        <v>8010442681</v>
      </c>
      <c r="AR1071" s="80" t="str">
        <f>IFERROR(__xludf.DUMMYFUNCTION("""COMPUTED_VALUE"""),"BCA")</f>
        <v>BCA</v>
      </c>
      <c r="AS1071" s="80" t="str">
        <f>IFERROR(__xludf.DUMMYFUNCTION("""COMPUTED_VALUE"""),"HARI HERMANTO")</f>
        <v>HARI HERMANTO</v>
      </c>
      <c r="AT1071" s="80" t="str">
        <f>IFERROR(__xludf.DUMMYFUNCTION("""COMPUTED_VALUE"""),"-6,341,097")</f>
        <v>-6,341,097</v>
      </c>
      <c r="AU1071" s="80" t="str">
        <f>IFERROR(__xludf.DUMMYFUNCTION("""COMPUTED_VALUE"""),"1,066,884,712")</f>
        <v>1,066,884,712</v>
      </c>
      <c r="AV1071" s="80"/>
      <c r="AW1071" s="80"/>
      <c r="AX1071" s="80"/>
      <c r="AY1071" s="80"/>
      <c r="AZ1071" s="80"/>
      <c r="BA1071" s="80"/>
      <c r="BB1071" s="80"/>
      <c r="BC1071" s="80"/>
      <c r="BD1071" s="80"/>
      <c r="BE1071" s="80"/>
      <c r="BF1071" s="80"/>
      <c r="BG1071" s="80"/>
      <c r="BH1071" s="80"/>
      <c r="BI1071" s="80"/>
      <c r="BJ1071" s="80"/>
      <c r="BK1071" s="80"/>
      <c r="BL1071" s="80"/>
      <c r="BM1071" s="80"/>
      <c r="BN1071" s="80"/>
      <c r="BO1071" s="80"/>
      <c r="BP1071" s="80"/>
      <c r="BQ1071" s="80"/>
      <c r="BR1071" s="80"/>
      <c r="BS1071" s="80"/>
      <c r="BT1071" s="80"/>
      <c r="BU1071" s="80"/>
      <c r="BV1071" s="80"/>
      <c r="BW1071" s="80"/>
      <c r="BX1071" s="80"/>
      <c r="BY1071" s="80"/>
      <c r="BZ1071" s="80"/>
      <c r="CA1071" s="80"/>
      <c r="CB1071" s="80"/>
      <c r="CC1071" s="80"/>
      <c r="CD1071" s="80"/>
      <c r="CE1071" s="80"/>
      <c r="CF1071" s="80"/>
      <c r="CG1071" s="80"/>
      <c r="CH1071" s="80"/>
      <c r="CI1071" s="80"/>
      <c r="CJ1071" s="80"/>
      <c r="CK1071" s="2"/>
    </row>
    <row r="1072" ht="12.75" customHeight="1">
      <c r="A1072" s="85">
        <f>IFERROR(__xludf.DUMMYFUNCTION("""COMPUTED_VALUE"""),1068.0)</f>
        <v>1068</v>
      </c>
      <c r="B1072" s="85"/>
      <c r="C1072" s="85"/>
      <c r="D1072" s="86">
        <f>IFERROR(__xludf.DUMMYFUNCTION("""COMPUTED_VALUE"""),46190.0)</f>
        <v>46190</v>
      </c>
      <c r="E1072" s="88"/>
      <c r="F1072" s="85"/>
      <c r="G1072" s="86">
        <f>IFERROR(__xludf.DUMMYFUNCTION("""COMPUTED_VALUE"""),46215.0)</f>
        <v>46215</v>
      </c>
      <c r="H1072" s="85"/>
      <c r="I1072" s="85"/>
      <c r="J1072" s="85"/>
      <c r="K1072" s="85"/>
      <c r="L1072" s="85">
        <f>IFERROR(__xludf.DUMMYFUNCTION("""COMPUTED_VALUE"""),25.0)</f>
        <v>25</v>
      </c>
      <c r="M1072" s="85"/>
      <c r="N1072" s="85"/>
      <c r="O1072" s="85"/>
      <c r="P1072" s="85" t="str">
        <f>IFERROR(__xludf.DUMMYFUNCTION("""COMPUTED_VALUE"""),"MUCSPA63528PSIND")</f>
        <v>MUCSPA63528PSIND</v>
      </c>
      <c r="Q1072" s="85" t="str">
        <f>IFERROR(__xludf.DUMMYFUNCTION("""COMPUTED_VALUE"""),"MUC MANGGA BESAR XIII")</f>
        <v>MUC MANGGA BESAR XIII</v>
      </c>
      <c r="R1072" s="85" t="str">
        <f>IFERROR(__xludf.DUMMYFUNCTION("""COMPUTED_VALUE"""),"MUC MANGGA BESAR XIII")</f>
        <v>MUC MANGGA BESAR XIII</v>
      </c>
      <c r="S1072" s="85" t="str">
        <f>IFERROR(__xludf.DUMMYFUNCTION("""COMPUTED_VALUE"""),"JAYSON YAVIN")</f>
        <v>JAYSON YAVIN</v>
      </c>
      <c r="T1072" s="85" t="str">
        <f>IFERROR(__xludf.DUMMYFUNCTION("""COMPUTED_VALUE"""),"JL. MANGGA BESAR XIII/6 RT 003 RW 001 MANGGA DUA SELATAN, SAWAH BESAR, JAKARTA PUSAT")</f>
        <v>JL. MANGGA BESAR XIII/6 RT 003 RW 001 MANGGA DUA SELATAN, SAWAH BESAR, JAKARTA PUSAT</v>
      </c>
      <c r="U1072" s="85" t="str">
        <f>IFERROR(__xludf.DUMMYFUNCTION("""COMPUTED_VALUE"""),"JL. MANGGA BESAR XIII NO.6 RT 006 RW 001")</f>
        <v>JL. MANGGA BESAR XIII NO.6 RT 006 RW 001</v>
      </c>
      <c r="V1072" s="85" t="str">
        <f>IFERROR(__xludf.DUMMYFUNCTION("""COMPUTED_VALUE"""),"RT 003 \ RW 001")</f>
        <v>RT 003 \ RW 001</v>
      </c>
      <c r="W1072" s="85" t="str">
        <f>IFERROR(__xludf.DUMMYFUNCTION("""COMPUTED_VALUE"""),"MANGGA DUA SELATAN")</f>
        <v>MANGGA DUA SELATAN</v>
      </c>
      <c r="X1072" s="85" t="str">
        <f>IFERROR(__xludf.DUMMYFUNCTION("""COMPUTED_VALUE"""),"SAWAH BESAR")</f>
        <v>SAWAH BESAR</v>
      </c>
      <c r="Y1072" s="85" t="str">
        <f>IFERROR(__xludf.DUMMYFUNCTION("""COMPUTED_VALUE"""),"JAKARTA PUSAT")</f>
        <v>JAKARTA PUSAT</v>
      </c>
      <c r="Z1072" s="85" t="str">
        <f>IFERROR(__xludf.DUMMYFUNCTION("""COMPUTED_VALUE"""),"DKI JAKARTA")</f>
        <v>DKI JAKARTA</v>
      </c>
      <c r="AA1072" s="85" t="str">
        <f>IFERROR(__xludf.DUMMYFUNCTION("""COMPUTED_VALUE"""),"10730")</f>
        <v>10730</v>
      </c>
      <c r="AB1072" s="85" t="str">
        <f>IFERROR(__xludf.DUMMYFUNCTION("""COMPUTED_VALUE"""),"3171022805010002")</f>
        <v>3171022805010002</v>
      </c>
      <c r="AC1072" s="85" t="str">
        <f>IFERROR(__xludf.DUMMYFUNCTION("""COMPUTED_VALUE"""),"26.865.159.3-026.000")</f>
        <v>26.865.159.3-026.000</v>
      </c>
      <c r="AD1072" s="85" t="str">
        <f>IFERROR(__xludf.DUMMYFUNCTION("""COMPUTED_VALUE"""),"PAK WANTO KCU CENTRUM")</f>
        <v>PAK WANTO KCU CENTRUM</v>
      </c>
      <c r="AE1072" s="85" t="str">
        <f>IFERROR(__xludf.DUMMYFUNCTION("""COMPUTED_VALUE"""),"PAK WANTO KCU CENTRUM")</f>
        <v>PAK WANTO KCU CENTRUM</v>
      </c>
      <c r="AF1072" s="85" t="str">
        <f>IFERROR(__xludf.DUMMYFUNCTION("""COMPUTED_VALUE"""),"08999989381")</f>
        <v>08999989381</v>
      </c>
      <c r="AG1072" s="85" t="str">
        <f>IFERROR(__xludf.DUMMYFUNCTION("""COMPUTED_VALUE"""),"8999989381")</f>
        <v>8999989381</v>
      </c>
      <c r="AH1072" s="85" t="str">
        <f>IFERROR(__xludf.DUMMYFUNCTION("""COMPUTED_VALUE"""),"jayson.yavin@yahoo.com")</f>
        <v>jayson.yavin@yahoo.com</v>
      </c>
      <c r="AI1072" s="85" t="str">
        <f>IFERROR(__xludf.DUMMYFUNCTION("""COMPUTED_VALUE"""),"10730S3")</f>
        <v>10730S3</v>
      </c>
      <c r="AJ1072" s="85" t="str">
        <f>IFERROR(__xludf.DUMMYFUNCTION("""COMPUTED_VALUE"""),"6a5217944cdcf491470decbd")</f>
        <v>6a5217944cdcf491470decbd</v>
      </c>
      <c r="AK1072" s="85" t="str">
        <f>IFERROR(__xludf.DUMMYFUNCTION("""COMPUTED_VALUE"""),"jayson.yavin@yahoo.com")</f>
        <v>jayson.yavin@yahoo.com</v>
      </c>
      <c r="AL1072" s="85" t="str">
        <f>IFERROR(__xludf.DUMMYFUNCTION("""COMPUTED_VALUE"""),"#Muc10730S3$")</f>
        <v>#Muc10730S3$</v>
      </c>
      <c r="AM1072" s="85" t="str">
        <f>IFERROR(__xludf.DUMMYFUNCTION("""COMPUTED_VALUE"""),"KANTOR REGIONAL II JAKARTA 10004")</f>
        <v>KANTOR REGIONAL II JAKARTA 10004</v>
      </c>
      <c r="AN1072" s="85" t="str">
        <f>IFERROR(__xludf.DUMMYFUNCTION("""COMPUTED_VALUE"""),"KCU JAKARTACENTRUM 10000")</f>
        <v>KCU JAKARTACENTRUM 10000</v>
      </c>
      <c r="AO1072" s="85" t="str">
        <f>IFERROR(__xludf.DUMMYFUNCTION("""COMPUTED_VALUE"""),"1706260056824")</f>
        <v>1706260056824</v>
      </c>
      <c r="AP1072" s="85" t="str">
        <f>IFERROR(__xludf.DUMMYFUNCTION("""COMPUTED_VALUE"""),"1706260056824")</f>
        <v>1706260056824</v>
      </c>
      <c r="AQ1072" s="93" t="str">
        <f>IFERROR(__xludf.DUMMYFUNCTION("""COMPUTED_VALUE"""),"4850366123")</f>
        <v>4850366123</v>
      </c>
      <c r="AR1072" s="85" t="str">
        <f>IFERROR(__xludf.DUMMYFUNCTION("""COMPUTED_VALUE"""),"BCA")</f>
        <v>BCA</v>
      </c>
      <c r="AS1072" s="85" t="str">
        <f>IFERROR(__xludf.DUMMYFUNCTION("""COMPUTED_VALUE"""),"JAYSON YAVIN")</f>
        <v>JAYSON YAVIN</v>
      </c>
      <c r="AT1072" s="85" t="str">
        <f>IFERROR(__xludf.DUMMYFUNCTION("""COMPUTED_VALUE"""),"-61,474,935")</f>
        <v>-61,474,935</v>
      </c>
      <c r="AU1072" s="85" t="str">
        <f>IFERROR(__xludf.DUMMYFUNCTION("""COMPUTED_VALUE"""),"1,068,267,524")</f>
        <v>1,068,267,524</v>
      </c>
      <c r="AV1072" s="85"/>
      <c r="AW1072" s="85"/>
      <c r="AX1072" s="85"/>
      <c r="AY1072" s="85"/>
      <c r="AZ1072" s="85"/>
      <c r="BA1072" s="85"/>
      <c r="BB1072" s="85"/>
      <c r="BC1072" s="85"/>
      <c r="BD1072" s="85"/>
      <c r="BE1072" s="85"/>
      <c r="BF1072" s="85"/>
      <c r="BG1072" s="85"/>
      <c r="BH1072" s="85"/>
      <c r="BI1072" s="85"/>
      <c r="BJ1072" s="85"/>
      <c r="BK1072" s="85"/>
      <c r="BL1072" s="85"/>
      <c r="BM1072" s="85"/>
      <c r="BN1072" s="85"/>
      <c r="BO1072" s="85"/>
      <c r="BP1072" s="85"/>
      <c r="BQ1072" s="85"/>
      <c r="BR1072" s="85"/>
      <c r="BS1072" s="85"/>
      <c r="BT1072" s="85"/>
      <c r="BU1072" s="85"/>
      <c r="BV1072" s="85"/>
      <c r="BW1072" s="85"/>
      <c r="BX1072" s="85"/>
      <c r="BY1072" s="85"/>
      <c r="BZ1072" s="85"/>
      <c r="CA1072" s="85"/>
      <c r="CB1072" s="85"/>
      <c r="CC1072" s="85"/>
      <c r="CD1072" s="85"/>
      <c r="CE1072" s="85"/>
      <c r="CF1072" s="85"/>
      <c r="CG1072" s="85"/>
      <c r="CH1072" s="85"/>
      <c r="CI1072" s="85"/>
      <c r="CJ1072" s="85"/>
      <c r="CK1072" s="2"/>
    </row>
    <row r="1073" ht="12.75" customHeight="1">
      <c r="A1073" s="80">
        <f>IFERROR(__xludf.DUMMYFUNCTION("""COMPUTED_VALUE"""),1069.0)</f>
        <v>1069</v>
      </c>
      <c r="B1073" s="80"/>
      <c r="C1073" s="80"/>
      <c r="D1073" s="81">
        <f>IFERROR(__xludf.DUMMYFUNCTION("""COMPUTED_VALUE"""),46191.0)</f>
        <v>46191</v>
      </c>
      <c r="E1073" s="82"/>
      <c r="F1073" s="80"/>
      <c r="G1073" s="81">
        <f>IFERROR(__xludf.DUMMYFUNCTION("""COMPUTED_VALUE"""),46202.0)</f>
        <v>46202</v>
      </c>
      <c r="H1073" s="80"/>
      <c r="I1073" s="80"/>
      <c r="J1073" s="80"/>
      <c r="K1073" s="80"/>
      <c r="L1073" s="80">
        <f>IFERROR(__xludf.DUMMYFUNCTION("""COMPUTED_VALUE"""),11.0)</f>
        <v>11</v>
      </c>
      <c r="M1073" s="80"/>
      <c r="N1073" s="80"/>
      <c r="O1073" s="80"/>
      <c r="P1073" s="80" t="str">
        <f>IFERROR(__xludf.DUMMYFUNCTION("""COMPUTED_VALUE"""),"53BSPA17065JBNDS")</f>
        <v>53BSPA17065JBNDS</v>
      </c>
      <c r="Q1073" s="80" t="str">
        <f>IFERROR(__xludf.DUMMYFUNCTION("""COMPUTED_VALUE"""),"MUC HASSA EXPRESS")</f>
        <v>MUC HASSA EXPRESS</v>
      </c>
      <c r="R1073" s="80" t="str">
        <f>IFERROR(__xludf.DUMMYFUNCTION("""COMPUTED_VALUE"""),"MUC HASSA EXPRESS")</f>
        <v>MUC HASSA EXPRESS</v>
      </c>
      <c r="S1073" s="80" t="str">
        <f>IFERROR(__xludf.DUMMYFUNCTION("""COMPUTED_VALUE"""),"SACHRUL RAMDANI")</f>
        <v>SACHRUL RAMDANI</v>
      </c>
      <c r="T1073" s="80" t="str">
        <f>IFERROR(__xludf.DUMMYFUNCTION("""COMPUTED_VALUE"""),"GG. SWADAYA RT 004 RW 001 SUKAMAJU BARU, TAPOS, KOTA DEPOK")</f>
        <v>GG. SWADAYA RT 004 RW 001 SUKAMAJU BARU, TAPOS, KOTA DEPOK</v>
      </c>
      <c r="U1073" s="80" t="str">
        <f>IFERROR(__xludf.DUMMYFUNCTION("""COMPUTED_VALUE"""),"Jl. Raya Jakarta-Bogor, GG. SWADAYA, RT 004 RW 001")</f>
        <v>Jl. Raya Jakarta-Bogor, GG. SWADAYA, RT 004 RW 001</v>
      </c>
      <c r="V1073" s="80" t="str">
        <f>IFERROR(__xludf.DUMMYFUNCTION("""COMPUTED_VALUE"""),"RT 004 \ RW 001")</f>
        <v>RT 004 \ RW 001</v>
      </c>
      <c r="W1073" s="80" t="str">
        <f>IFERROR(__xludf.DUMMYFUNCTION("""COMPUTED_VALUE"""),"SUKAMAJU BARU")</f>
        <v>SUKAMAJU BARU</v>
      </c>
      <c r="X1073" s="80" t="str">
        <f>IFERROR(__xludf.DUMMYFUNCTION("""COMPUTED_VALUE"""),"TAPOS")</f>
        <v>TAPOS</v>
      </c>
      <c r="Y1073" s="80" t="str">
        <f>IFERROR(__xludf.DUMMYFUNCTION("""COMPUTED_VALUE"""),"DEPOK")</f>
        <v>DEPOK</v>
      </c>
      <c r="Z1073" s="80" t="str">
        <f>IFERROR(__xludf.DUMMYFUNCTION("""COMPUTED_VALUE"""),"JAWA BARAT")</f>
        <v>JAWA BARAT</v>
      </c>
      <c r="AA1073" s="80" t="str">
        <f>IFERROR(__xludf.DUMMYFUNCTION("""COMPUTED_VALUE"""),"16462")</f>
        <v>16462</v>
      </c>
      <c r="AB1073" s="80" t="str">
        <f>IFERROR(__xludf.DUMMYFUNCTION("""COMPUTED_VALUE"""),"3276021108790007")</f>
        <v>3276021108790007</v>
      </c>
      <c r="AC1073" s="80" t="str">
        <f>IFERROR(__xludf.DUMMYFUNCTION("""COMPUTED_VALUE"""),"07.768.857.0-412.000")</f>
        <v>07.768.857.0-412.000</v>
      </c>
      <c r="AD1073" s="80" t="str">
        <f>IFERROR(__xludf.DUMMYFUNCTION("""COMPUTED_VALUE"""),"SUB NDS")</f>
        <v>SUB NDS</v>
      </c>
      <c r="AE1073" s="80" t="str">
        <f>IFERROR(__xludf.DUMMYFUNCTION("""COMPUTED_VALUE"""),"SUB NDS")</f>
        <v>SUB NDS</v>
      </c>
      <c r="AF1073" s="80" t="str">
        <f>IFERROR(__xludf.DUMMYFUNCTION("""COMPUTED_VALUE"""),"085211119399")</f>
        <v>085211119399</v>
      </c>
      <c r="AG1073" s="80" t="str">
        <f>IFERROR(__xludf.DUMMYFUNCTION("""COMPUTED_VALUE"""),"85211119399")</f>
        <v>85211119399</v>
      </c>
      <c r="AH1073" s="80" t="str">
        <f>IFERROR(__xludf.DUMMYFUNCTION("""COMPUTED_VALUE"""),"sachrul.hassa@gmail.com")</f>
        <v>sachrul.hassa@gmail.com</v>
      </c>
      <c r="AI1073" s="80" t="str">
        <f>IFERROR(__xludf.DUMMYFUNCTION("""COMPUTED_VALUE"""),"16462S2")</f>
        <v>16462S2</v>
      </c>
      <c r="AJ1073" s="80" t="str">
        <f>IFERROR(__xludf.DUMMYFUNCTION("""COMPUTED_VALUE"""),"6a40c696c3072bd0e503039d")</f>
        <v>6a40c696c3072bd0e503039d</v>
      </c>
      <c r="AK1073" s="80" t="str">
        <f>IFERROR(__xludf.DUMMYFUNCTION("""COMPUTED_VALUE"""),"sachrul.hassa@gmail.com")</f>
        <v>sachrul.hassa@gmail.com</v>
      </c>
      <c r="AL1073" s="80" t="str">
        <f>IFERROR(__xludf.DUMMYFUNCTION("""COMPUTED_VALUE"""),"#Muc16462S2$")</f>
        <v>#Muc16462S2$</v>
      </c>
      <c r="AM1073" s="80" t="str">
        <f>IFERROR(__xludf.DUMMYFUNCTION("""COMPUTED_VALUE"""),"KANTOR REGIONAL II JAKARTA 10004")</f>
        <v>KANTOR REGIONAL II JAKARTA 10004</v>
      </c>
      <c r="AN1073" s="80" t="str">
        <f>IFERROR(__xludf.DUMMYFUNCTION("""COMPUTED_VALUE"""),"KC DEPOK 16400")</f>
        <v>KC DEPOK 16400</v>
      </c>
      <c r="AO1073" s="80" t="str">
        <f>IFERROR(__xludf.DUMMYFUNCTION("""COMPUTED_VALUE"""),"1237001431436")</f>
        <v>1237001431436</v>
      </c>
      <c r="AP1073" s="80" t="str">
        <f>IFERROR(__xludf.DUMMYFUNCTION("""COMPUTED_VALUE"""),"1237001431436")</f>
        <v>1237001431436</v>
      </c>
      <c r="AQ1073" s="83" t="str">
        <f>IFERROR(__xludf.DUMMYFUNCTION("""COMPUTED_VALUE"""),"6610884031")</f>
        <v>6610884031</v>
      </c>
      <c r="AR1073" s="80" t="str">
        <f>IFERROR(__xludf.DUMMYFUNCTION("""COMPUTED_VALUE"""),"BCA")</f>
        <v>BCA</v>
      </c>
      <c r="AS1073" s="80" t="str">
        <f>IFERROR(__xludf.DUMMYFUNCTION("""COMPUTED_VALUE"""),"SACHRUL RAMDANI")</f>
        <v>SACHRUL RAMDANI</v>
      </c>
      <c r="AT1073" s="80" t="str">
        <f>IFERROR(__xludf.DUMMYFUNCTION("""COMPUTED_VALUE"""),"-63,990,737")</f>
        <v>-63,990,737</v>
      </c>
      <c r="AU1073" s="80" t="str">
        <f>IFERROR(__xludf.DUMMYFUNCTION("""COMPUTED_VALUE"""),"1,068,644,485")</f>
        <v>1,068,644,485</v>
      </c>
      <c r="AV1073" s="80"/>
      <c r="AW1073" s="80"/>
      <c r="AX1073" s="80"/>
      <c r="AY1073" s="80"/>
      <c r="AZ1073" s="80"/>
      <c r="BA1073" s="80"/>
      <c r="BB1073" s="80"/>
      <c r="BC1073" s="80"/>
      <c r="BD1073" s="80"/>
      <c r="BE1073" s="80"/>
      <c r="BF1073" s="80"/>
      <c r="BG1073" s="80"/>
      <c r="BH1073" s="80"/>
      <c r="BI1073" s="80"/>
      <c r="BJ1073" s="80"/>
      <c r="BK1073" s="80"/>
      <c r="BL1073" s="80"/>
      <c r="BM1073" s="80"/>
      <c r="BN1073" s="80"/>
      <c r="BO1073" s="80"/>
      <c r="BP1073" s="80"/>
      <c r="BQ1073" s="80"/>
      <c r="BR1073" s="80"/>
      <c r="BS1073" s="80"/>
      <c r="BT1073" s="80"/>
      <c r="BU1073" s="80"/>
      <c r="BV1073" s="80"/>
      <c r="BW1073" s="80"/>
      <c r="BX1073" s="80"/>
      <c r="BY1073" s="80"/>
      <c r="BZ1073" s="80"/>
      <c r="CA1073" s="80"/>
      <c r="CB1073" s="80"/>
      <c r="CC1073" s="80"/>
      <c r="CD1073" s="80"/>
      <c r="CE1073" s="80"/>
      <c r="CF1073" s="80"/>
      <c r="CG1073" s="80"/>
      <c r="CH1073" s="80"/>
      <c r="CI1073" s="80"/>
      <c r="CJ1073" s="80"/>
      <c r="CK1073" s="2"/>
    </row>
    <row r="1074" ht="12.75" customHeight="1">
      <c r="A1074" s="85">
        <f>IFERROR(__xludf.DUMMYFUNCTION("""COMPUTED_VALUE"""),1070.0)</f>
        <v>1070</v>
      </c>
      <c r="B1074" s="85"/>
      <c r="C1074" s="85"/>
      <c r="D1074" s="86">
        <f>IFERROR(__xludf.DUMMYFUNCTION("""COMPUTED_VALUE"""),46191.0)</f>
        <v>46191</v>
      </c>
      <c r="E1074" s="88"/>
      <c r="F1074" s="85"/>
      <c r="G1074" s="86">
        <f>IFERROR(__xludf.DUMMYFUNCTION("""COMPUTED_VALUE"""),46202.0)</f>
        <v>46202</v>
      </c>
      <c r="H1074" s="85"/>
      <c r="I1074" s="85"/>
      <c r="J1074" s="85"/>
      <c r="K1074" s="85"/>
      <c r="L1074" s="85">
        <f>IFERROR(__xludf.DUMMYFUNCTION("""COMPUTED_VALUE"""),11.0)</f>
        <v>11</v>
      </c>
      <c r="M1074" s="85"/>
      <c r="N1074" s="85"/>
      <c r="O1074" s="85"/>
      <c r="P1074" s="85" t="str">
        <f>IFERROR(__xludf.DUMMYFUNCTION("""COMPUTED_VALUE"""),"MUCSPA63526PSIND")</f>
        <v>MUCSPA63526PSIND</v>
      </c>
      <c r="Q1074" s="85" t="str">
        <f>IFERROR(__xludf.DUMMYFUNCTION("""COMPUTED_VALUE"""),"MUC BENAYA EXPRESS")</f>
        <v>MUC BENAYA EXPRESS</v>
      </c>
      <c r="R1074" s="85" t="str">
        <f>IFERROR(__xludf.DUMMYFUNCTION("""COMPUTED_VALUE"""),"MUC BENAYA EXPRESS")</f>
        <v>MUC BENAYA EXPRESS</v>
      </c>
      <c r="S1074" s="85" t="str">
        <f>IFERROR(__xludf.DUMMYFUNCTION("""COMPUTED_VALUE"""),"MAULVI NABILA HUDAINI")</f>
        <v>MAULVI NABILA HUDAINI</v>
      </c>
      <c r="T1074" s="85" t="str">
        <f>IFERROR(__xludf.DUMMYFUNCTION("""COMPUTED_VALUE"""),"JL. RE MARTADINATA NO.310 RT 002 RW 004 PANYINGKIRAN, INDIHIANG, TASIKMALAYA")</f>
        <v>JL. RE MARTADINATA NO.310 RT 002 RW 004 PANYINGKIRAN, INDIHIANG, TASIKMALAYA</v>
      </c>
      <c r="U1074" s="85" t="str">
        <f>IFERROR(__xludf.DUMMYFUNCTION("""COMPUTED_VALUE"""),"JL. RE MARTADINATA NO.310 RT 002 RW 004 PANYINGKIRAN, INDIHIANG, TASIKMALAYA")</f>
        <v>JL. RE MARTADINATA NO.310 RT 002 RW 004 PANYINGKIRAN, INDIHIANG, TASIKMALAYA</v>
      </c>
      <c r="V1074" s="85" t="str">
        <f>IFERROR(__xludf.DUMMYFUNCTION("""COMPUTED_VALUE"""),"RTADIN \ RW 004")</f>
        <v>RTADIN \ RW 004</v>
      </c>
      <c r="W1074" s="85" t="str">
        <f>IFERROR(__xludf.DUMMYFUNCTION("""COMPUTED_VALUE"""),"PANYINGKIRAN")</f>
        <v>PANYINGKIRAN</v>
      </c>
      <c r="X1074" s="85" t="str">
        <f>IFERROR(__xludf.DUMMYFUNCTION("""COMPUTED_VALUE"""),"INDIHIANG")</f>
        <v>INDIHIANG</v>
      </c>
      <c r="Y1074" s="85" t="str">
        <f>IFERROR(__xludf.DUMMYFUNCTION("""COMPUTED_VALUE"""),"TASIKMALAYA")</f>
        <v>TASIKMALAYA</v>
      </c>
      <c r="Z1074" s="85" t="str">
        <f>IFERROR(__xludf.DUMMYFUNCTION("""COMPUTED_VALUE"""),"JAWA BARAT")</f>
        <v>JAWA BARAT</v>
      </c>
      <c r="AA1074" s="85" t="str">
        <f>IFERROR(__xludf.DUMMYFUNCTION("""COMPUTED_VALUE"""),"46136")</f>
        <v>46136</v>
      </c>
      <c r="AB1074" s="85" t="str">
        <f>IFERROR(__xludf.DUMMYFUNCTION("""COMPUTED_VALUE"""),"3275015305930011")</f>
        <v>3275015305930011</v>
      </c>
      <c r="AC1074" s="85" t="str">
        <f>IFERROR(__xludf.DUMMYFUNCTION("""COMPUTED_VALUE"""),"32.750.153.0-593.0011")</f>
        <v>32.750.153.0-593.0011</v>
      </c>
      <c r="AD1074" s="85" t="str">
        <f>IFERROR(__xludf.DUMMYFUNCTION("""COMPUTED_VALUE"""),"CUM - LP - ANGGI")</f>
        <v>CUM - LP - ANGGI</v>
      </c>
      <c r="AE1074" s="85" t="str">
        <f>IFERROR(__xludf.DUMMYFUNCTION("""COMPUTED_VALUE"""),"CUM - LP - ANGGI")</f>
        <v>CUM - LP - ANGGI</v>
      </c>
      <c r="AF1074" s="85" t="str">
        <f>IFERROR(__xludf.DUMMYFUNCTION("""COMPUTED_VALUE"""),"085121318088")</f>
        <v>085121318088</v>
      </c>
      <c r="AG1074" s="85" t="str">
        <f>IFERROR(__xludf.DUMMYFUNCTION("""COMPUTED_VALUE"""),"85121318088")</f>
        <v>85121318088</v>
      </c>
      <c r="AH1074" s="85" t="str">
        <f>IFERROR(__xludf.DUMMYFUNCTION("""COMPUTED_VALUE"""),"Benaya.house88@gmail.com")</f>
        <v>Benaya.house88@gmail.com</v>
      </c>
      <c r="AI1074" s="85" t="str">
        <f>IFERROR(__xludf.DUMMYFUNCTION("""COMPUTED_VALUE"""),"46136S1")</f>
        <v>46136S1</v>
      </c>
      <c r="AJ1074" s="85" t="str">
        <f>IFERROR(__xludf.DUMMYFUNCTION("""COMPUTED_VALUE"""),"6a408075fe4e9aec280cda04")</f>
        <v>6a408075fe4e9aec280cda04</v>
      </c>
      <c r="AK1074" s="85" t="str">
        <f>IFERROR(__xludf.DUMMYFUNCTION("""COMPUTED_VALUE"""),"Benaya.house88@gmail.com")</f>
        <v>Benaya.house88@gmail.com</v>
      </c>
      <c r="AL1074" s="85" t="str">
        <f>IFERROR(__xludf.DUMMYFUNCTION("""COMPUTED_VALUE"""),"#Muc46136S1$")</f>
        <v>#Muc46136S1$</v>
      </c>
      <c r="AM1074" s="85" t="str">
        <f>IFERROR(__xludf.DUMMYFUNCTION("""COMPUTED_VALUE"""),"KANTOR REGIONAL III BANDUNG 40004")</f>
        <v>KANTOR REGIONAL III BANDUNG 40004</v>
      </c>
      <c r="AN1074" s="85" t="str">
        <f>IFERROR(__xludf.DUMMYFUNCTION("""COMPUTED_VALUE"""),"KC TASIKMALAYA 46100")</f>
        <v>KC TASIKMALAYA 46100</v>
      </c>
      <c r="AO1074" s="85" t="str">
        <f>IFERROR(__xludf.DUMMYFUNCTION("""COMPUTED_VALUE"""),"1806260017495")</f>
        <v>1806260017495</v>
      </c>
      <c r="AP1074" s="85" t="str">
        <f>IFERROR(__xludf.DUMMYFUNCTION("""COMPUTED_VALUE"""),"1806260017495")</f>
        <v>1806260017495</v>
      </c>
      <c r="AQ1074" s="93" t="str">
        <f>IFERROR(__xludf.DUMMYFUNCTION("""COMPUTED_VALUE"""),"5780572258")</f>
        <v>5780572258</v>
      </c>
      <c r="AR1074" s="85" t="str">
        <f>IFERROR(__xludf.DUMMYFUNCTION("""COMPUTED_VALUE"""),"BCA")</f>
        <v>BCA</v>
      </c>
      <c r="AS1074" s="85" t="str">
        <f>IFERROR(__xludf.DUMMYFUNCTION("""COMPUTED_VALUE"""),"MAULVI NABILA")</f>
        <v>MAULVI NABILA</v>
      </c>
      <c r="AT1074" s="85" t="str">
        <f>IFERROR(__xludf.DUMMYFUNCTION("""COMPUTED_VALUE"""),"-73,043,154")</f>
        <v>-73,043,154</v>
      </c>
      <c r="AU1074" s="85" t="str">
        <f>IFERROR(__xludf.DUMMYFUNCTION("""COMPUTED_VALUE"""),"1,081,961,969")</f>
        <v>1,081,961,969</v>
      </c>
      <c r="AV1074" s="85"/>
      <c r="AW1074" s="85"/>
      <c r="AX1074" s="85"/>
      <c r="AY1074" s="85"/>
      <c r="AZ1074" s="85"/>
      <c r="BA1074" s="85"/>
      <c r="BB1074" s="85"/>
      <c r="BC1074" s="85"/>
      <c r="BD1074" s="85"/>
      <c r="BE1074" s="85"/>
      <c r="BF1074" s="85"/>
      <c r="BG1074" s="85"/>
      <c r="BH1074" s="85"/>
      <c r="BI1074" s="85"/>
      <c r="BJ1074" s="85"/>
      <c r="BK1074" s="85"/>
      <c r="BL1074" s="85"/>
      <c r="BM1074" s="85"/>
      <c r="BN1074" s="85"/>
      <c r="BO1074" s="85"/>
      <c r="BP1074" s="85"/>
      <c r="BQ1074" s="85"/>
      <c r="BR1074" s="85"/>
      <c r="BS1074" s="85"/>
      <c r="BT1074" s="85"/>
      <c r="BU1074" s="85"/>
      <c r="BV1074" s="85"/>
      <c r="BW1074" s="85"/>
      <c r="BX1074" s="85"/>
      <c r="BY1074" s="85"/>
      <c r="BZ1074" s="85"/>
      <c r="CA1074" s="85"/>
      <c r="CB1074" s="85"/>
      <c r="CC1074" s="85"/>
      <c r="CD1074" s="85"/>
      <c r="CE1074" s="85"/>
      <c r="CF1074" s="85"/>
      <c r="CG1074" s="85"/>
      <c r="CH1074" s="85"/>
      <c r="CI1074" s="85"/>
      <c r="CJ1074" s="85"/>
      <c r="CK1074" s="2"/>
    </row>
    <row r="1075" ht="12.75" customHeight="1">
      <c r="A1075" s="80">
        <f>IFERROR(__xludf.DUMMYFUNCTION("""COMPUTED_VALUE"""),1071.0)</f>
        <v>1071</v>
      </c>
      <c r="B1075" s="80"/>
      <c r="C1075" s="80"/>
      <c r="D1075" s="81">
        <f>IFERROR(__xludf.DUMMYFUNCTION("""COMPUTED_VALUE"""),46191.0)</f>
        <v>46191</v>
      </c>
      <c r="E1075" s="82"/>
      <c r="F1075" s="80"/>
      <c r="G1075" s="81">
        <f>IFERROR(__xludf.DUMMYFUNCTION("""COMPUTED_VALUE"""),46230.0)</f>
        <v>46230</v>
      </c>
      <c r="H1075" s="80"/>
      <c r="I1075" s="80"/>
      <c r="J1075" s="80"/>
      <c r="K1075" s="80"/>
      <c r="L1075" s="80">
        <f>IFERROR(__xludf.DUMMYFUNCTION("""COMPUTED_VALUE"""),39.0)</f>
        <v>39</v>
      </c>
      <c r="M1075" s="80"/>
      <c r="N1075" s="80"/>
      <c r="O1075" s="80"/>
      <c r="P1075" s="80" t="str">
        <f>IFERROR(__xludf.DUMMYFUNCTION("""COMPUTED_VALUE"""),"53BSPA17066JBNDS")</f>
        <v>53BSPA17066JBNDS</v>
      </c>
      <c r="Q1075" s="80" t="str">
        <f>IFERROR(__xludf.DUMMYFUNCTION("""COMPUTED_VALUE"""),"MUC MANTUL EXPRES")</f>
        <v>MUC MANTUL EXPRES</v>
      </c>
      <c r="R1075" s="80" t="str">
        <f>IFERROR(__xludf.DUMMYFUNCTION("""COMPUTED_VALUE"""),"MUC MANTUL EXPRES")</f>
        <v>MUC MANTUL EXPRES</v>
      </c>
      <c r="S1075" s="80" t="str">
        <f>IFERROR(__xludf.DUMMYFUNCTION("""COMPUTED_VALUE"""),"NURCHOLIS")</f>
        <v>NURCHOLIS</v>
      </c>
      <c r="T1075" s="80" t="str">
        <f>IFERROR(__xludf.DUMMYFUNCTION("""COMPUTED_VALUE"""),"KP. KEDUNG RINGIN RT 003 RW 002 SUKARINGIN SUKAWANGI")</f>
        <v>KP. KEDUNG RINGIN RT 003 RW 002 SUKARINGIN SUKAWANGI</v>
      </c>
      <c r="U1075" s="80" t="str">
        <f>IFERROR(__xludf.DUMMYFUNCTION("""COMPUTED_VALUE"""),"KP. KEDUNG RINGIN RT 003 RW 002")</f>
        <v>KP. KEDUNG RINGIN RT 003 RW 002</v>
      </c>
      <c r="V1075" s="80" t="str">
        <f>IFERROR(__xludf.DUMMYFUNCTION("""COMPUTED_VALUE"""),"RT 003 \ RW 002")</f>
        <v>RT 003 \ RW 002</v>
      </c>
      <c r="W1075" s="80" t="str">
        <f>IFERROR(__xludf.DUMMYFUNCTION("""COMPUTED_VALUE"""),"SUKARINGIN")</f>
        <v>SUKARINGIN</v>
      </c>
      <c r="X1075" s="80" t="str">
        <f>IFERROR(__xludf.DUMMYFUNCTION("""COMPUTED_VALUE"""),"SUKAWANGI")</f>
        <v>SUKAWANGI</v>
      </c>
      <c r="Y1075" s="80" t="str">
        <f>IFERROR(__xludf.DUMMYFUNCTION("""COMPUTED_VALUE"""),"KAB. BEKASI")</f>
        <v>KAB. BEKASI</v>
      </c>
      <c r="Z1075" s="80" t="str">
        <f>IFERROR(__xludf.DUMMYFUNCTION("""COMPUTED_VALUE"""),"JAWA BARAT")</f>
        <v>JAWA BARAT</v>
      </c>
      <c r="AA1075" s="80" t="str">
        <f>IFERROR(__xludf.DUMMYFUNCTION("""COMPUTED_VALUE"""),"17653")</f>
        <v>17653</v>
      </c>
      <c r="AB1075" s="80" t="str">
        <f>IFERROR(__xludf.DUMMYFUNCTION("""COMPUTED_VALUE"""),"3216032612920001")</f>
        <v>3216032612920001</v>
      </c>
      <c r="AC1075" s="80" t="str">
        <f>IFERROR(__xludf.DUMMYFUNCTION("""COMPUTED_VALUE"""),"32.160.326.1-292.0001")</f>
        <v>32.160.326.1-292.0001</v>
      </c>
      <c r="AD1075" s="80" t="str">
        <f>IFERROR(__xludf.DUMMYFUNCTION("""COMPUTED_VALUE"""),"SUB NDS")</f>
        <v>SUB NDS</v>
      </c>
      <c r="AE1075" s="80" t="str">
        <f>IFERROR(__xludf.DUMMYFUNCTION("""COMPUTED_VALUE"""),"SUB NDS")</f>
        <v>SUB NDS</v>
      </c>
      <c r="AF1075" s="80" t="str">
        <f>IFERROR(__xludf.DUMMYFUNCTION("""COMPUTED_VALUE"""),"085218566787")</f>
        <v>085218566787</v>
      </c>
      <c r="AG1075" s="80" t="str">
        <f>IFERROR(__xludf.DUMMYFUNCTION("""COMPUTED_VALUE"""),"85218566787")</f>
        <v>85218566787</v>
      </c>
      <c r="AH1075" s="80" t="str">
        <f>IFERROR(__xludf.DUMMYFUNCTION("""COMPUTED_VALUE"""),"cholis.369.nc@gmail.com")</f>
        <v>cholis.369.nc@gmail.com</v>
      </c>
      <c r="AI1075" s="80" t="str">
        <f>IFERROR(__xludf.DUMMYFUNCTION("""COMPUTED_VALUE"""),"17653S1")</f>
        <v>17653S1</v>
      </c>
      <c r="AJ1075" s="80" t="str">
        <f>IFERROR(__xludf.DUMMYFUNCTION("""COMPUTED_VALUE"""),"6a4dc608eb9956b38102a42f")</f>
        <v>6a4dc608eb9956b38102a42f</v>
      </c>
      <c r="AK1075" s="80" t="str">
        <f>IFERROR(__xludf.DUMMYFUNCTION("""COMPUTED_VALUE"""),"cholis.369.nc@gmail.com")</f>
        <v>cholis.369.nc@gmail.com</v>
      </c>
      <c r="AL1075" s="80" t="str">
        <f>IFERROR(__xludf.DUMMYFUNCTION("""COMPUTED_VALUE"""),"#Muc17653S1$")</f>
        <v>#Muc17653S1$</v>
      </c>
      <c r="AM1075" s="80" t="str">
        <f>IFERROR(__xludf.DUMMYFUNCTION("""COMPUTED_VALUE"""),"KANTOR REGIONAL II JAKARTA 10004")</f>
        <v>KANTOR REGIONAL II JAKARTA 10004</v>
      </c>
      <c r="AN1075" s="80" t="str">
        <f>IFERROR(__xludf.DUMMYFUNCTION("""COMPUTED_VALUE"""),"KC CIKARANG 17500")</f>
        <v>KC CIKARANG 17500</v>
      </c>
      <c r="AO1075" s="80" t="str">
        <f>IFERROR(__xludf.DUMMYFUNCTION("""COMPUTED_VALUE"""),"1506260010942")</f>
        <v>1506260010942</v>
      </c>
      <c r="AP1075" s="80" t="str">
        <f>IFERROR(__xludf.DUMMYFUNCTION("""COMPUTED_VALUE"""),"1506260010942")</f>
        <v>1506260010942</v>
      </c>
      <c r="AQ1075" s="83" t="str">
        <f>IFERROR(__xludf.DUMMYFUNCTION("""COMPUTED_VALUE"""),"5211797941")</f>
        <v>5211797941</v>
      </c>
      <c r="AR1075" s="80" t="str">
        <f>IFERROR(__xludf.DUMMYFUNCTION("""COMPUTED_VALUE"""),"BCA")</f>
        <v>BCA</v>
      </c>
      <c r="AS1075" s="80" t="str">
        <f>IFERROR(__xludf.DUMMYFUNCTION("""COMPUTED_VALUE"""),"NURCHOLIS")</f>
        <v>NURCHOLIS</v>
      </c>
      <c r="AT1075" s="80" t="str">
        <f>IFERROR(__xludf.DUMMYFUNCTION("""COMPUTED_VALUE"""),"-60,941,542")</f>
        <v>-60,941,542</v>
      </c>
      <c r="AU1075" s="80" t="str">
        <f>IFERROR(__xludf.DUMMYFUNCTION("""COMPUTED_VALUE"""),"1,070,886,057")</f>
        <v>1,070,886,057</v>
      </c>
      <c r="AV1075" s="80"/>
      <c r="AW1075" s="80"/>
      <c r="AX1075" s="80"/>
      <c r="AY1075" s="80"/>
      <c r="AZ1075" s="80"/>
      <c r="BA1075" s="80"/>
      <c r="BB1075" s="80"/>
      <c r="BC1075" s="80"/>
      <c r="BD1075" s="80"/>
      <c r="BE1075" s="80"/>
      <c r="BF1075" s="80"/>
      <c r="BG1075" s="80"/>
      <c r="BH1075" s="80"/>
      <c r="BI1075" s="80"/>
      <c r="BJ1075" s="80"/>
      <c r="BK1075" s="80"/>
      <c r="BL1075" s="80"/>
      <c r="BM1075" s="80"/>
      <c r="BN1075" s="80"/>
      <c r="BO1075" s="80"/>
      <c r="BP1075" s="80"/>
      <c r="BQ1075" s="80"/>
      <c r="BR1075" s="80"/>
      <c r="BS1075" s="80"/>
      <c r="BT1075" s="80"/>
      <c r="BU1075" s="80"/>
      <c r="BV1075" s="80"/>
      <c r="BW1075" s="80"/>
      <c r="BX1075" s="80"/>
      <c r="BY1075" s="80"/>
      <c r="BZ1075" s="80"/>
      <c r="CA1075" s="80"/>
      <c r="CB1075" s="80"/>
      <c r="CC1075" s="80"/>
      <c r="CD1075" s="80"/>
      <c r="CE1075" s="80"/>
      <c r="CF1075" s="80"/>
      <c r="CG1075" s="80"/>
      <c r="CH1075" s="80"/>
      <c r="CI1075" s="80"/>
      <c r="CJ1075" s="80"/>
      <c r="CK1075" s="2"/>
    </row>
    <row r="1076" ht="12.75" customHeight="1">
      <c r="A1076" s="85">
        <f>IFERROR(__xludf.DUMMYFUNCTION("""COMPUTED_VALUE"""),1072.0)</f>
        <v>1072</v>
      </c>
      <c r="B1076" s="85"/>
      <c r="C1076" s="85"/>
      <c r="D1076" s="86">
        <f>IFERROR(__xludf.DUMMYFUNCTION("""COMPUTED_VALUE"""),46191.0)</f>
        <v>46191</v>
      </c>
      <c r="E1076" s="88"/>
      <c r="F1076" s="85"/>
      <c r="G1076" s="86">
        <f>IFERROR(__xludf.DUMMYFUNCTION("""COMPUTED_VALUE"""),46230.0)</f>
        <v>46230</v>
      </c>
      <c r="H1076" s="85"/>
      <c r="I1076" s="85"/>
      <c r="J1076" s="85"/>
      <c r="K1076" s="85"/>
      <c r="L1076" s="85">
        <f>IFERROR(__xludf.DUMMYFUNCTION("""COMPUTED_VALUE"""),39.0)</f>
        <v>39</v>
      </c>
      <c r="M1076" s="85"/>
      <c r="N1076" s="85"/>
      <c r="O1076" s="85"/>
      <c r="P1076" s="85" t="str">
        <f>IFERROR(__xludf.DUMMYFUNCTION("""COMPUTED_VALUE"""),"53BSPA17064JBNDS")</f>
        <v>53BSPA17064JBNDS</v>
      </c>
      <c r="Q1076" s="85" t="str">
        <f>IFERROR(__xludf.DUMMYFUNCTION("""COMPUTED_VALUE"""),"MUC MAY")</f>
        <v>MUC MAY</v>
      </c>
      <c r="R1076" s="85" t="str">
        <f>IFERROR(__xludf.DUMMYFUNCTION("""COMPUTED_VALUE"""),"MUC MAY")</f>
        <v>MUC MAY</v>
      </c>
      <c r="S1076" s="85" t="str">
        <f>IFERROR(__xludf.DUMMYFUNCTION("""COMPUTED_VALUE"""),"ARDYANTO")</f>
        <v>ARDYANTO</v>
      </c>
      <c r="T1076" s="85" t="str">
        <f>IFERROR(__xludf.DUMMYFUNCTION("""COMPUTED_VALUE"""),"JL. BINTARA 14 NO. 27 RT 006 RW 014 BINTARA, BEKASI BARAT, KOTA BEKASI")</f>
        <v>JL. BINTARA 14 NO. 27 RT 006 RW 014 BINTARA, BEKASI BARAT, KOTA BEKASI</v>
      </c>
      <c r="U1076" s="85" t="str">
        <f>IFERROR(__xludf.DUMMYFUNCTION("""COMPUTED_VALUE"""),"JL. MAYOR MADMUIN HASIBUAN NO.1-3 RT 004 RW 004")</f>
        <v>JL. MAYOR MADMUIN HASIBUAN NO.1-3 RT 004 RW 004</v>
      </c>
      <c r="V1076" s="85" t="str">
        <f>IFERROR(__xludf.DUMMYFUNCTION("""COMPUTED_VALUE"""),"RT 006 \ RW 014")</f>
        <v>RT 006 \ RW 014</v>
      </c>
      <c r="W1076" s="85" t="str">
        <f>IFERROR(__xludf.DUMMYFUNCTION("""COMPUTED_VALUE"""),"MARGAHAYU")</f>
        <v>MARGAHAYU</v>
      </c>
      <c r="X1076" s="85" t="str">
        <f>IFERROR(__xludf.DUMMYFUNCTION("""COMPUTED_VALUE"""),"BEKASI TIMUR")</f>
        <v>BEKASI TIMUR</v>
      </c>
      <c r="Y1076" s="85" t="str">
        <f>IFERROR(__xludf.DUMMYFUNCTION("""COMPUTED_VALUE"""),"BEKASI")</f>
        <v>BEKASI</v>
      </c>
      <c r="Z1076" s="85" t="str">
        <f>IFERROR(__xludf.DUMMYFUNCTION("""COMPUTED_VALUE"""),"JAWA BARAT")</f>
        <v>JAWA BARAT</v>
      </c>
      <c r="AA1076" s="85" t="str">
        <f>IFERROR(__xludf.DUMMYFUNCTION("""COMPUTED_VALUE"""),"17113")</f>
        <v>17113</v>
      </c>
      <c r="AB1076" s="85" t="str">
        <f>IFERROR(__xludf.DUMMYFUNCTION("""COMPUTED_VALUE"""),"3174082908860002")</f>
        <v>3174082908860002</v>
      </c>
      <c r="AC1076" s="85" t="str">
        <f>IFERROR(__xludf.DUMMYFUNCTION("""COMPUTED_VALUE"""),"72.091.320.1-414.000")</f>
        <v>72.091.320.1-414.000</v>
      </c>
      <c r="AD1076" s="85" t="str">
        <f>IFERROR(__xludf.DUMMYFUNCTION("""COMPUTED_VALUE"""),"SUB NDS")</f>
        <v>SUB NDS</v>
      </c>
      <c r="AE1076" s="85" t="str">
        <f>IFERROR(__xludf.DUMMYFUNCTION("""COMPUTED_VALUE"""),"SUB NDS")</f>
        <v>SUB NDS</v>
      </c>
      <c r="AF1076" s="85" t="str">
        <f>IFERROR(__xludf.DUMMYFUNCTION("""COMPUTED_VALUE"""),"087745671985")</f>
        <v>087745671985</v>
      </c>
      <c r="AG1076" s="85" t="str">
        <f>IFERROR(__xludf.DUMMYFUNCTION("""COMPUTED_VALUE"""),"87745671985")</f>
        <v>87745671985</v>
      </c>
      <c r="AH1076" s="85" t="str">
        <f>IFERROR(__xludf.DUMMYFUNCTION("""COMPUTED_VALUE"""),"Ipunk.ardyanto@gmail.com")</f>
        <v>Ipunk.ardyanto@gmail.com</v>
      </c>
      <c r="AI1076" s="85" t="str">
        <f>IFERROR(__xludf.DUMMYFUNCTION("""COMPUTED_VALUE"""),"17113S5")</f>
        <v>17113S5</v>
      </c>
      <c r="AJ1076" s="85" t="str">
        <f>IFERROR(__xludf.DUMMYFUNCTION("""COMPUTED_VALUE"""),"6a3a036ff1c1a91743016838")</f>
        <v>6a3a036ff1c1a91743016838</v>
      </c>
      <c r="AK1076" s="85" t="str">
        <f>IFERROR(__xludf.DUMMYFUNCTION("""COMPUTED_VALUE"""),"Ipunk.ardyanto@gmail.com")</f>
        <v>Ipunk.ardyanto@gmail.com</v>
      </c>
      <c r="AL1076" s="85" t="str">
        <f>IFERROR(__xludf.DUMMYFUNCTION("""COMPUTED_VALUE"""),"#Muc17113S5$")</f>
        <v>#Muc17113S5$</v>
      </c>
      <c r="AM1076" s="85" t="str">
        <f>IFERROR(__xludf.DUMMYFUNCTION("""COMPUTED_VALUE"""),"KANTOR REGIONAL II JAKARTA 10004")</f>
        <v>KANTOR REGIONAL II JAKARTA 10004</v>
      </c>
      <c r="AN1076" s="85" t="str">
        <f>IFERROR(__xludf.DUMMYFUNCTION("""COMPUTED_VALUE"""),"KCU BEKASI 17000")</f>
        <v>KCU BEKASI 17000</v>
      </c>
      <c r="AO1076" s="85" t="str">
        <f>IFERROR(__xludf.DUMMYFUNCTION("""COMPUTED_VALUE"""),"1806260029871")</f>
        <v>1806260029871</v>
      </c>
      <c r="AP1076" s="85" t="str">
        <f>IFERROR(__xludf.DUMMYFUNCTION("""COMPUTED_VALUE"""),"1806260029871")</f>
        <v>1806260029871</v>
      </c>
      <c r="AQ1076" s="93" t="str">
        <f>IFERROR(__xludf.DUMMYFUNCTION("""COMPUTED_VALUE"""),"7391928324")</f>
        <v>7391928324</v>
      </c>
      <c r="AR1076" s="85" t="str">
        <f>IFERROR(__xludf.DUMMYFUNCTION("""COMPUTED_VALUE"""),"BCA")</f>
        <v>BCA</v>
      </c>
      <c r="AS1076" s="85" t="str">
        <f>IFERROR(__xludf.DUMMYFUNCTION("""COMPUTED_VALUE"""),"ARDYANTO")</f>
        <v>ARDYANTO</v>
      </c>
      <c r="AT1076" s="85" t="str">
        <f>IFERROR(__xludf.DUMMYFUNCTION("""COMPUTED_VALUE"""),"-62,529,456")</f>
        <v>-62,529,456</v>
      </c>
      <c r="AU1076" s="85" t="str">
        <f>IFERROR(__xludf.DUMMYFUNCTION("""COMPUTED_VALUE"""),"1,070,026,334")</f>
        <v>1,070,026,334</v>
      </c>
      <c r="AV1076" s="85"/>
      <c r="AW1076" s="85"/>
      <c r="AX1076" s="85"/>
      <c r="AY1076" s="85"/>
      <c r="AZ1076" s="85"/>
      <c r="BA1076" s="85"/>
      <c r="BB1076" s="85"/>
      <c r="BC1076" s="85"/>
      <c r="BD1076" s="85"/>
      <c r="BE1076" s="85"/>
      <c r="BF1076" s="85"/>
      <c r="BG1076" s="85"/>
      <c r="BH1076" s="85"/>
      <c r="BI1076" s="85"/>
      <c r="BJ1076" s="85"/>
      <c r="BK1076" s="85"/>
      <c r="BL1076" s="85"/>
      <c r="BM1076" s="85"/>
      <c r="BN1076" s="85"/>
      <c r="BO1076" s="85"/>
      <c r="BP1076" s="85"/>
      <c r="BQ1076" s="85"/>
      <c r="BR1076" s="85"/>
      <c r="BS1076" s="85"/>
      <c r="BT1076" s="85"/>
      <c r="BU1076" s="85"/>
      <c r="BV1076" s="85"/>
      <c r="BW1076" s="85"/>
      <c r="BX1076" s="85"/>
      <c r="BY1076" s="85"/>
      <c r="BZ1076" s="85"/>
      <c r="CA1076" s="85"/>
      <c r="CB1076" s="85"/>
      <c r="CC1076" s="85"/>
      <c r="CD1076" s="85"/>
      <c r="CE1076" s="85"/>
      <c r="CF1076" s="85"/>
      <c r="CG1076" s="85"/>
      <c r="CH1076" s="85"/>
      <c r="CI1076" s="85"/>
      <c r="CJ1076" s="85"/>
      <c r="CK1076" s="2"/>
    </row>
    <row r="1077" ht="12.75" customHeight="1">
      <c r="A1077" s="80">
        <f>IFERROR(__xludf.DUMMYFUNCTION("""COMPUTED_VALUE"""),1073.0)</f>
        <v>1073</v>
      </c>
      <c r="B1077" s="80"/>
      <c r="C1077" s="80"/>
      <c r="D1077" s="81">
        <f>IFERROR(__xludf.DUMMYFUNCTION("""COMPUTED_VALUE"""),46191.0)</f>
        <v>46191</v>
      </c>
      <c r="E1077" s="82"/>
      <c r="F1077" s="80"/>
      <c r="G1077" s="81">
        <f>IFERROR(__xludf.DUMMYFUNCTION("""COMPUTED_VALUE"""),46197.0)</f>
        <v>46197</v>
      </c>
      <c r="H1077" s="80"/>
      <c r="I1077" s="80"/>
      <c r="J1077" s="80"/>
      <c r="K1077" s="80"/>
      <c r="L1077" s="80">
        <f>IFERROR(__xludf.DUMMYFUNCTION("""COMPUTED_VALUE"""),6.0)</f>
        <v>6</v>
      </c>
      <c r="M1077" s="80"/>
      <c r="N1077" s="80"/>
      <c r="O1077" s="80"/>
      <c r="P1077" s="80" t="str">
        <f>IFERROR(__xludf.DUMMYFUNCTION("""COMPUTED_VALUE"""),"MUCSPA63532PSIND")</f>
        <v>MUCSPA63532PSIND</v>
      </c>
      <c r="Q1077" s="80" t="str">
        <f>IFERROR(__xludf.DUMMYFUNCTION("""COMPUTED_VALUE"""),"MUC TB SUWANDI")</f>
        <v>MUC TB SUWANDI</v>
      </c>
      <c r="R1077" s="80" t="str">
        <f>IFERROR(__xludf.DUMMYFUNCTION("""COMPUTED_VALUE"""),"MUC TB SUWANDI")</f>
        <v>MUC TB SUWANDI</v>
      </c>
      <c r="S1077" s="80" t="str">
        <f>IFERROR(__xludf.DUMMYFUNCTION("""COMPUTED_VALUE"""),"SANIAH")</f>
        <v>SANIAH</v>
      </c>
      <c r="T1077" s="80" t="str">
        <f>IFERROR(__xludf.DUMMYFUNCTION("""COMPUTED_VALUE"""),"Link Kelunjukan RT 002 Rw 014 No 22")</f>
        <v>Link Kelunjukan RT 002 Rw 014 No 22</v>
      </c>
      <c r="U1077" s="80" t="str">
        <f>IFERROR(__xludf.DUMMYFUNCTION("""COMPUTED_VALUE"""),"Link Kelunjukan RT 002 Rw 014 No 22")</f>
        <v>Link Kelunjukan RT 002 Rw 014 No 22</v>
      </c>
      <c r="V1077" s="80" t="str">
        <f>IFERROR(__xludf.DUMMYFUNCTION("""COMPUTED_VALUE"""),"RT 002 \ RW 014")</f>
        <v>RT 002 \ RW 014</v>
      </c>
      <c r="W1077" s="80" t="str">
        <f>IFERROR(__xludf.DUMMYFUNCTION("""COMPUTED_VALUE"""),"Serang")</f>
        <v>Serang</v>
      </c>
      <c r="X1077" s="80" t="str">
        <f>IFERROR(__xludf.DUMMYFUNCTION("""COMPUTED_VALUE"""),"Serang")</f>
        <v>Serang</v>
      </c>
      <c r="Y1077" s="80" t="str">
        <f>IFERROR(__xludf.DUMMYFUNCTION("""COMPUTED_VALUE"""),"Serang")</f>
        <v>Serang</v>
      </c>
      <c r="Z1077" s="80" t="str">
        <f>IFERROR(__xludf.DUMMYFUNCTION("""COMPUTED_VALUE"""),"Banten")</f>
        <v>Banten</v>
      </c>
      <c r="AA1077" s="80" t="str">
        <f>IFERROR(__xludf.DUMMYFUNCTION("""COMPUTED_VALUE"""),"42116")</f>
        <v>42116</v>
      </c>
      <c r="AB1077" s="80" t="str">
        <f>IFERROR(__xludf.DUMMYFUNCTION("""COMPUTED_VALUE"""),"3604015703890238")</f>
        <v>3604015703890238</v>
      </c>
      <c r="AC1077" s="80" t="str">
        <f>IFERROR(__xludf.DUMMYFUNCTION("""COMPUTED_VALUE"""),"36.040.157.0-389.0238")</f>
        <v>36.040.157.0-389.0238</v>
      </c>
      <c r="AD1077" s="80" t="str">
        <f>IFERROR(__xludf.DUMMYFUNCTION("""COMPUTED_VALUE"""),"BU NELA KCU SERANG")</f>
        <v>BU NELA KCU SERANG</v>
      </c>
      <c r="AE1077" s="80" t="str">
        <f>IFERROR(__xludf.DUMMYFUNCTION("""COMPUTED_VALUE"""),"BU NELA KCU SERANG")</f>
        <v>BU NELA KCU SERANG</v>
      </c>
      <c r="AF1077" s="80" t="str">
        <f>IFERROR(__xludf.DUMMYFUNCTION("""COMPUTED_VALUE"""),"85777677112")</f>
        <v>85777677112</v>
      </c>
      <c r="AG1077" s="80" t="str">
        <f>IFERROR(__xludf.DUMMYFUNCTION("""COMPUTED_VALUE"""),"85777677112")</f>
        <v>85777677112</v>
      </c>
      <c r="AH1077" s="80" t="str">
        <f>IFERROR(__xludf.DUMMYFUNCTION("""COMPUTED_VALUE"""),"sanywhn@gmail.com")</f>
        <v>sanywhn@gmail.com</v>
      </c>
      <c r="AI1077" s="80" t="str">
        <f>IFERROR(__xludf.DUMMYFUNCTION("""COMPUTED_VALUE"""),"42116S2")</f>
        <v>42116S2</v>
      </c>
      <c r="AJ1077" s="80" t="str">
        <f>IFERROR(__xludf.DUMMYFUNCTION("""COMPUTED_VALUE"""),"6a3b9dd7db5239ab680374c1")</f>
        <v>6a3b9dd7db5239ab680374c1</v>
      </c>
      <c r="AK1077" s="80" t="str">
        <f>IFERROR(__xludf.DUMMYFUNCTION("""COMPUTED_VALUE"""),"sanywhn@gmail.com")</f>
        <v>sanywhn@gmail.com</v>
      </c>
      <c r="AL1077" s="80" t="str">
        <f>IFERROR(__xludf.DUMMYFUNCTION("""COMPUTED_VALUE"""),"#Muc42116S2$")</f>
        <v>#Muc42116S2$</v>
      </c>
      <c r="AM1077" s="80" t="str">
        <f>IFERROR(__xludf.DUMMYFUNCTION("""COMPUTED_VALUE"""),"KANTOR REGIONAL II JAKARTA 10004")</f>
        <v>KANTOR REGIONAL II JAKARTA 10004</v>
      </c>
      <c r="AN1077" s="80" t="str">
        <f>IFERROR(__xludf.DUMMYFUNCTION("""COMPUTED_VALUE"""),"KCU SERANG 42100")</f>
        <v>KCU SERANG 42100</v>
      </c>
      <c r="AO1077" s="80" t="str">
        <f>IFERROR(__xludf.DUMMYFUNCTION("""COMPUTED_VALUE"""),"1806260049726")</f>
        <v>1806260049726</v>
      </c>
      <c r="AP1077" s="80" t="str">
        <f>IFERROR(__xludf.DUMMYFUNCTION("""COMPUTED_VALUE"""),"1806260049726")</f>
        <v>1806260049726</v>
      </c>
      <c r="AQ1077" s="83" t="str">
        <f>IFERROR(__xludf.DUMMYFUNCTION("""COMPUTED_VALUE"""),"2453494225")</f>
        <v>2453494225</v>
      </c>
      <c r="AR1077" s="80" t="str">
        <f>IFERROR(__xludf.DUMMYFUNCTION("""COMPUTED_VALUE"""),"BCA")</f>
        <v>BCA</v>
      </c>
      <c r="AS1077" s="80" t="str">
        <f>IFERROR(__xludf.DUMMYFUNCTION("""COMPUTED_VALUE"""),"Saniah")</f>
        <v>Saniah</v>
      </c>
      <c r="AT1077" s="80" t="str">
        <f>IFERROR(__xludf.DUMMYFUNCTION("""COMPUTED_VALUE"""),"-6,126,601")</f>
        <v>-6,126,601</v>
      </c>
      <c r="AU1077" s="80" t="str">
        <f>IFERROR(__xludf.DUMMYFUNCTION("""COMPUTED_VALUE"""),"106,149,077")</f>
        <v>106,149,077</v>
      </c>
      <c r="AV1077" s="80"/>
      <c r="AW1077" s="80"/>
      <c r="AX1077" s="80"/>
      <c r="AY1077" s="80"/>
      <c r="AZ1077" s="80"/>
      <c r="BA1077" s="80"/>
      <c r="BB1077" s="80"/>
      <c r="BC1077" s="80"/>
      <c r="BD1077" s="80"/>
      <c r="BE1077" s="80"/>
      <c r="BF1077" s="80"/>
      <c r="BG1077" s="80"/>
      <c r="BH1077" s="80"/>
      <c r="BI1077" s="80"/>
      <c r="BJ1077" s="80"/>
      <c r="BK1077" s="80"/>
      <c r="BL1077" s="80"/>
      <c r="BM1077" s="80"/>
      <c r="BN1077" s="80"/>
      <c r="BO1077" s="80"/>
      <c r="BP1077" s="80"/>
      <c r="BQ1077" s="80"/>
      <c r="BR1077" s="80"/>
      <c r="BS1077" s="80"/>
      <c r="BT1077" s="80"/>
      <c r="BU1077" s="80"/>
      <c r="BV1077" s="80"/>
      <c r="BW1077" s="80"/>
      <c r="BX1077" s="80"/>
      <c r="BY1077" s="80"/>
      <c r="BZ1077" s="80"/>
      <c r="CA1077" s="80"/>
      <c r="CB1077" s="80"/>
      <c r="CC1077" s="80"/>
      <c r="CD1077" s="80"/>
      <c r="CE1077" s="80"/>
      <c r="CF1077" s="80"/>
      <c r="CG1077" s="80"/>
      <c r="CH1077" s="80"/>
      <c r="CI1077" s="80"/>
      <c r="CJ1077" s="80"/>
      <c r="CK1077" s="2"/>
    </row>
    <row r="1078" ht="12.75" customHeight="1">
      <c r="A1078" s="85">
        <f>IFERROR(__xludf.DUMMYFUNCTION("""COMPUTED_VALUE"""),1074.0)</f>
        <v>1074</v>
      </c>
      <c r="B1078" s="85"/>
      <c r="C1078" s="85"/>
      <c r="D1078" s="86">
        <f>IFERROR(__xludf.DUMMYFUNCTION("""COMPUTED_VALUE"""),46191.0)</f>
        <v>46191</v>
      </c>
      <c r="E1078" s="88"/>
      <c r="F1078" s="85"/>
      <c r="G1078" s="86">
        <f>IFERROR(__xludf.DUMMYFUNCTION("""COMPUTED_VALUE"""),46215.0)</f>
        <v>46215</v>
      </c>
      <c r="H1078" s="85"/>
      <c r="I1078" s="85"/>
      <c r="J1078" s="85"/>
      <c r="K1078" s="85"/>
      <c r="L1078" s="85">
        <f>IFERROR(__xludf.DUMMYFUNCTION("""COMPUTED_VALUE"""),24.0)</f>
        <v>24</v>
      </c>
      <c r="M1078" s="85"/>
      <c r="N1078" s="85"/>
      <c r="O1078" s="85"/>
      <c r="P1078" s="85" t="str">
        <f>IFERROR(__xludf.DUMMYFUNCTION("""COMPUTED_VALUE"""),"MUCSPA63527PSIND")</f>
        <v>MUCSPA63527PSIND</v>
      </c>
      <c r="Q1078" s="85" t="str">
        <f>IFERROR(__xludf.DUMMYFUNCTION("""COMPUTED_VALUE"""),"MUC CICAYUR")</f>
        <v>MUC CICAYUR</v>
      </c>
      <c r="R1078" s="85" t="str">
        <f>IFERROR(__xludf.DUMMYFUNCTION("""COMPUTED_VALUE"""),"MUC CICAYUR")</f>
        <v>MUC CICAYUR</v>
      </c>
      <c r="S1078" s="85" t="str">
        <f>IFERROR(__xludf.DUMMYFUNCTION("""COMPUTED_VALUE"""),"IRWAN TRISNA")</f>
        <v>IRWAN TRISNA</v>
      </c>
      <c r="T1078" s="85" t="str">
        <f>IFERROR(__xludf.DUMMYFUNCTION("""COMPUTED_VALUE"""),"DUSUN PASIRLUHUR RT 001 RW 008 CIPACING, JATINANGOR, KAB.SUMEDANG")</f>
        <v>DUSUN PASIRLUHUR RT 001 RW 008 CIPACING, JATINANGOR, KAB.SUMEDANG</v>
      </c>
      <c r="U1078" s="85" t="str">
        <f>IFERROR(__xludf.DUMMYFUNCTION("""COMPUTED_VALUE"""),"Jl. Raya Pagedangan Kp. Cicayur II")</f>
        <v>Jl. Raya Pagedangan Kp. Cicayur II</v>
      </c>
      <c r="V1078" s="85" t="str">
        <f>IFERROR(__xludf.DUMMYFUNCTION("""COMPUTED_VALUE"""),"RT 001 \ RW 008")</f>
        <v>RT 001 \ RW 008</v>
      </c>
      <c r="W1078" s="85" t="str">
        <f>IFERROR(__xludf.DUMMYFUNCTION("""COMPUTED_VALUE"""),"Cicalengka")</f>
        <v>Cicalengka</v>
      </c>
      <c r="X1078" s="85" t="str">
        <f>IFERROR(__xludf.DUMMYFUNCTION("""COMPUTED_VALUE"""),"Pagedangan")</f>
        <v>Pagedangan</v>
      </c>
      <c r="Y1078" s="85" t="str">
        <f>IFERROR(__xludf.DUMMYFUNCTION("""COMPUTED_VALUE"""),"KAB.TANGGERANG")</f>
        <v>KAB.TANGGERANG</v>
      </c>
      <c r="Z1078" s="85" t="str">
        <f>IFERROR(__xludf.DUMMYFUNCTION("""COMPUTED_VALUE"""),"BANTEN")</f>
        <v>BANTEN</v>
      </c>
      <c r="AA1078" s="85" t="str">
        <f>IFERROR(__xludf.DUMMYFUNCTION("""COMPUTED_VALUE"""),"15855")</f>
        <v>15855</v>
      </c>
      <c r="AB1078" s="85" t="str">
        <f>IFERROR(__xludf.DUMMYFUNCTION("""COMPUTED_VALUE"""),"2171101801670003")</f>
        <v>2171101801670003</v>
      </c>
      <c r="AC1078" s="85" t="str">
        <f>IFERROR(__xludf.DUMMYFUNCTION("""COMPUTED_VALUE"""),"08.180.604.4-215.000")</f>
        <v>08.180.604.4-215.000</v>
      </c>
      <c r="AD1078" s="85" t="str">
        <f>IFERROR(__xludf.DUMMYFUNCTION("""COMPUTED_VALUE"""),"CUM - LP - ANGGI")</f>
        <v>CUM - LP - ANGGI</v>
      </c>
      <c r="AE1078" s="85" t="str">
        <f>IFERROR(__xludf.DUMMYFUNCTION("""COMPUTED_VALUE"""),"CUM - LP - ANGGI")</f>
        <v>CUM - LP - ANGGI</v>
      </c>
      <c r="AF1078" s="85" t="str">
        <f>IFERROR(__xludf.DUMMYFUNCTION("""COMPUTED_VALUE"""),"08139908669")</f>
        <v>08139908669</v>
      </c>
      <c r="AG1078" s="85" t="str">
        <f>IFERROR(__xludf.DUMMYFUNCTION("""COMPUTED_VALUE"""),"8139908669")</f>
        <v>8139908669</v>
      </c>
      <c r="AH1078" s="85" t="str">
        <f>IFERROR(__xludf.DUMMYFUNCTION("""COMPUTED_VALUE"""),"irwantrisna42@gmail.com")</f>
        <v>irwantrisna42@gmail.com</v>
      </c>
      <c r="AI1078" s="85" t="str">
        <f>IFERROR(__xludf.DUMMYFUNCTION("""COMPUTED_VALUE"""),"15855S1")</f>
        <v>15855S1</v>
      </c>
      <c r="AJ1078" s="85" t="str">
        <f>IFERROR(__xludf.DUMMYFUNCTION("""COMPUTED_VALUE"""),"6a4634d846e4d83170036de4")</f>
        <v>6a4634d846e4d83170036de4</v>
      </c>
      <c r="AK1078" s="85" t="str">
        <f>IFERROR(__xludf.DUMMYFUNCTION("""COMPUTED_VALUE"""),"irwantrisna42@gmail.com")</f>
        <v>irwantrisna42@gmail.com</v>
      </c>
      <c r="AL1078" s="85" t="str">
        <f>IFERROR(__xludf.DUMMYFUNCTION("""COMPUTED_VALUE"""),"#Muc15855S1$")</f>
        <v>#Muc15855S1$</v>
      </c>
      <c r="AM1078" s="85" t="str">
        <f>IFERROR(__xludf.DUMMYFUNCTION("""COMPUTED_VALUE"""),"KANTOR REGIONAL II JAKARTA 10004")</f>
        <v>KANTOR REGIONAL II JAKARTA 10004</v>
      </c>
      <c r="AN1078" s="85" t="str">
        <f>IFERROR(__xludf.DUMMYFUNCTION("""COMPUTED_VALUE"""),"KC TANGERANGSELATAN 15400")</f>
        <v>KC TANGERANGSELATAN 15400</v>
      </c>
      <c r="AO1078" s="85" t="str">
        <f>IFERROR(__xludf.DUMMYFUNCTION("""COMPUTED_VALUE"""),"1806260072812")</f>
        <v>1806260072812</v>
      </c>
      <c r="AP1078" s="85" t="str">
        <f>IFERROR(__xludf.DUMMYFUNCTION("""COMPUTED_VALUE"""),"1806260072812")</f>
        <v>1806260072812</v>
      </c>
      <c r="AQ1078" s="93" t="str">
        <f>IFERROR(__xludf.DUMMYFUNCTION("""COMPUTED_VALUE"""),"3403794526")</f>
        <v>3403794526</v>
      </c>
      <c r="AR1078" s="85" t="str">
        <f>IFERROR(__xludf.DUMMYFUNCTION("""COMPUTED_VALUE"""),"BCA")</f>
        <v>BCA</v>
      </c>
      <c r="AS1078" s="85" t="str">
        <f>IFERROR(__xludf.DUMMYFUNCTION("""COMPUTED_VALUE"""),"IRWAN TRISNA")</f>
        <v>IRWAN TRISNA</v>
      </c>
      <c r="AT1078" s="85" t="str">
        <f>IFERROR(__xludf.DUMMYFUNCTION("""COMPUTED_VALUE"""),"-6,294,089")</f>
        <v>-6,294,089</v>
      </c>
      <c r="AU1078" s="85" t="str">
        <f>IFERROR(__xludf.DUMMYFUNCTION("""COMPUTED_VALUE"""),"1,066,128,626")</f>
        <v>1,066,128,626</v>
      </c>
      <c r="AV1078" s="85"/>
      <c r="AW1078" s="85"/>
      <c r="AX1078" s="85"/>
      <c r="AY1078" s="85"/>
      <c r="AZ1078" s="85"/>
      <c r="BA1078" s="85"/>
      <c r="BB1078" s="85"/>
      <c r="BC1078" s="85"/>
      <c r="BD1078" s="85"/>
      <c r="BE1078" s="85"/>
      <c r="BF1078" s="85"/>
      <c r="BG1078" s="85"/>
      <c r="BH1078" s="85"/>
      <c r="BI1078" s="85"/>
      <c r="BJ1078" s="85"/>
      <c r="BK1078" s="85"/>
      <c r="BL1078" s="85"/>
      <c r="BM1078" s="85"/>
      <c r="BN1078" s="85"/>
      <c r="BO1078" s="85"/>
      <c r="BP1078" s="85"/>
      <c r="BQ1078" s="85"/>
      <c r="BR1078" s="85"/>
      <c r="BS1078" s="85"/>
      <c r="BT1078" s="85"/>
      <c r="BU1078" s="85"/>
      <c r="BV1078" s="85"/>
      <c r="BW1078" s="85"/>
      <c r="BX1078" s="85"/>
      <c r="BY1078" s="85"/>
      <c r="BZ1078" s="85"/>
      <c r="CA1078" s="85"/>
      <c r="CB1078" s="85"/>
      <c r="CC1078" s="85"/>
      <c r="CD1078" s="85"/>
      <c r="CE1078" s="85"/>
      <c r="CF1078" s="85"/>
      <c r="CG1078" s="85"/>
      <c r="CH1078" s="85"/>
      <c r="CI1078" s="85"/>
      <c r="CJ1078" s="85"/>
      <c r="CK1078" s="2"/>
    </row>
    <row r="1079" ht="12.75" customHeight="1">
      <c r="A1079" s="80">
        <f>IFERROR(__xludf.DUMMYFUNCTION("""COMPUTED_VALUE"""),1075.0)</f>
        <v>1075</v>
      </c>
      <c r="B1079" s="80"/>
      <c r="C1079" s="80"/>
      <c r="D1079" s="81">
        <f>IFERROR(__xludf.DUMMYFUNCTION("""COMPUTED_VALUE"""),46192.0)</f>
        <v>46192</v>
      </c>
      <c r="E1079" s="82"/>
      <c r="F1079" s="80"/>
      <c r="G1079" s="81">
        <f>IFERROR(__xludf.DUMMYFUNCTION("""COMPUTED_VALUE"""),46209.0)</f>
        <v>46209</v>
      </c>
      <c r="H1079" s="80"/>
      <c r="I1079" s="80"/>
      <c r="J1079" s="80"/>
      <c r="K1079" s="80"/>
      <c r="L1079" s="80">
        <f>IFERROR(__xludf.DUMMYFUNCTION("""COMPUTED_VALUE"""),17.0)</f>
        <v>17</v>
      </c>
      <c r="M1079" s="80"/>
      <c r="N1079" s="80"/>
      <c r="O1079" s="80"/>
      <c r="P1079" s="80" t="str">
        <f>IFERROR(__xludf.DUMMYFUNCTION("""COMPUTED_VALUE"""),"MUCSPA63534PSIND")</f>
        <v>MUCSPA63534PSIND</v>
      </c>
      <c r="Q1079" s="80" t="str">
        <f>IFERROR(__xludf.DUMMYFUNCTION("""COMPUTED_VALUE"""),"MUC NANJUNG CIMAHI")</f>
        <v>MUC NANJUNG CIMAHI</v>
      </c>
      <c r="R1079" s="80" t="str">
        <f>IFERROR(__xludf.DUMMYFUNCTION("""COMPUTED_VALUE"""),"MUC NANJUNG CIMAHI")</f>
        <v>MUC NANJUNG CIMAHI</v>
      </c>
      <c r="S1079" s="80" t="str">
        <f>IFERROR(__xludf.DUMMYFUNCTION("""COMPUTED_VALUE"""),"RICKY MOSES")</f>
        <v>RICKY MOSES</v>
      </c>
      <c r="T1079" s="80" t="str">
        <f>IFERROR(__xludf.DUMMYFUNCTION("""COMPUTED_VALUE"""),"JL. KOMUD SUPADIO RT 001 RW 012 HUSEN SASTRANEGARA, CICENDO, BANDUNG")</f>
        <v>JL. KOMUD SUPADIO RT 001 RW 012 HUSEN SASTRANEGARA, CICENDO, BANDUNG</v>
      </c>
      <c r="U1079" s="80" t="str">
        <f>IFERROR(__xludf.DUMMYFUNCTION("""COMPUTED_VALUE"""),"JL. NANJUNG NO. 108 RT 004 RW 011")</f>
        <v>JL. NANJUNG NO. 108 RT 004 RW 011</v>
      </c>
      <c r="V1079" s="80" t="str">
        <f>IFERROR(__xludf.DUMMYFUNCTION("""COMPUTED_VALUE"""),"RT 001 \ RW 012")</f>
        <v>RT 001 \ RW 012</v>
      </c>
      <c r="W1079" s="80" t="str">
        <f>IFERROR(__xludf.DUMMYFUNCTION("""COMPUTED_VALUE"""),"UTAMA")</f>
        <v>UTAMA</v>
      </c>
      <c r="X1079" s="80" t="str">
        <f>IFERROR(__xludf.DUMMYFUNCTION("""COMPUTED_VALUE"""),"CIMAHI SELATAN")</f>
        <v>CIMAHI SELATAN</v>
      </c>
      <c r="Y1079" s="80" t="str">
        <f>IFERROR(__xludf.DUMMYFUNCTION("""COMPUTED_VALUE"""),"CIMAHI")</f>
        <v>CIMAHI</v>
      </c>
      <c r="Z1079" s="80" t="str">
        <f>IFERROR(__xludf.DUMMYFUNCTION("""COMPUTED_VALUE"""),"JAWA BARAT")</f>
        <v>JAWA BARAT</v>
      </c>
      <c r="AA1079" s="80" t="str">
        <f>IFERROR(__xludf.DUMMYFUNCTION("""COMPUTED_VALUE"""),"40533")</f>
        <v>40533</v>
      </c>
      <c r="AB1079" s="80" t="str">
        <f>IFERROR(__xludf.DUMMYFUNCTION("""COMPUTED_VALUE"""),"3674060605870006")</f>
        <v>3674060605870006</v>
      </c>
      <c r="AC1079" s="80" t="str">
        <f>IFERROR(__xludf.DUMMYFUNCTION("""COMPUTED_VALUE"""),"72.888.274.7-411.000")</f>
        <v>72.888.274.7-411.000</v>
      </c>
      <c r="AD1079" s="80" t="str">
        <f>IFERROR(__xludf.DUMMYFUNCTION("""COMPUTED_VALUE"""),"CUM - LP - ANGGI")</f>
        <v>CUM - LP - ANGGI</v>
      </c>
      <c r="AE1079" s="80" t="str">
        <f>IFERROR(__xludf.DUMMYFUNCTION("""COMPUTED_VALUE"""),"CUM - LP - ANGGI")</f>
        <v>CUM - LP - ANGGI</v>
      </c>
      <c r="AF1079" s="80" t="str">
        <f>IFERROR(__xludf.DUMMYFUNCTION("""COMPUTED_VALUE"""),"087876666633")</f>
        <v>087876666633</v>
      </c>
      <c r="AG1079" s="80" t="str">
        <f>IFERROR(__xludf.DUMMYFUNCTION("""COMPUTED_VALUE"""),"87876666633")</f>
        <v>87876666633</v>
      </c>
      <c r="AH1079" s="80" t="str">
        <f>IFERROR(__xludf.DUMMYFUNCTION("""COMPUTED_VALUE"""),"rickymoses1987@gmail.com")</f>
        <v>rickymoses1987@gmail.com</v>
      </c>
      <c r="AI1079" s="80" t="str">
        <f>IFERROR(__xludf.DUMMYFUNCTION("""COMPUTED_VALUE"""),"40533S4")</f>
        <v>40533S4</v>
      </c>
      <c r="AJ1079" s="80" t="str">
        <f>IFERROR(__xludf.DUMMYFUNCTION("""COMPUTED_VALUE"""),"6a4b548ded6bf66a8709cd74")</f>
        <v>6a4b548ded6bf66a8709cd74</v>
      </c>
      <c r="AK1079" s="80" t="str">
        <f>IFERROR(__xludf.DUMMYFUNCTION("""COMPUTED_VALUE"""),"rickymoses1987@gmail.com")</f>
        <v>rickymoses1987@gmail.com</v>
      </c>
      <c r="AL1079" s="80" t="str">
        <f>IFERROR(__xludf.DUMMYFUNCTION("""COMPUTED_VALUE"""),"#Muc40533S4$")</f>
        <v>#Muc40533S4$</v>
      </c>
      <c r="AM1079" s="80" t="str">
        <f>IFERROR(__xludf.DUMMYFUNCTION("""COMPUTED_VALUE"""),"KANTOR REGIONAL III BANDUNG 40004")</f>
        <v>KANTOR REGIONAL III BANDUNG 40004</v>
      </c>
      <c r="AN1079" s="80" t="str">
        <f>IFERROR(__xludf.DUMMYFUNCTION("""COMPUTED_VALUE"""),"KC CIMAHI 40500")</f>
        <v>KC CIMAHI 40500</v>
      </c>
      <c r="AO1079" s="80" t="str">
        <f>IFERROR(__xludf.DUMMYFUNCTION("""COMPUTED_VALUE"""),"1906260053676")</f>
        <v>1906260053676</v>
      </c>
      <c r="AP1079" s="80" t="str">
        <f>IFERROR(__xludf.DUMMYFUNCTION("""COMPUTED_VALUE"""),"1906260053676")</f>
        <v>1906260053676</v>
      </c>
      <c r="AQ1079" s="83" t="str">
        <f>IFERROR(__xludf.DUMMYFUNCTION("""COMPUTED_VALUE"""),"8480150784")</f>
        <v>8480150784</v>
      </c>
      <c r="AR1079" s="80" t="str">
        <f>IFERROR(__xludf.DUMMYFUNCTION("""COMPUTED_VALUE"""),"BCA")</f>
        <v>BCA</v>
      </c>
      <c r="AS1079" s="80" t="str">
        <f>IFERROR(__xludf.DUMMYFUNCTION("""COMPUTED_VALUE"""),"RICKY MOSES")</f>
        <v>RICKY MOSES</v>
      </c>
      <c r="AT1079" s="80" t="str">
        <f>IFERROR(__xludf.DUMMYFUNCTION("""COMPUTED_VALUE"""),"-69,181,369")</f>
        <v>-69,181,369</v>
      </c>
      <c r="AU1079" s="80" t="str">
        <f>IFERROR(__xludf.DUMMYFUNCTION("""COMPUTED_VALUE"""),"1,075,359,555")</f>
        <v>1,075,359,555</v>
      </c>
      <c r="AV1079" s="80"/>
      <c r="AW1079" s="80"/>
      <c r="AX1079" s="80"/>
      <c r="AY1079" s="80"/>
      <c r="AZ1079" s="80"/>
      <c r="BA1079" s="80"/>
      <c r="BB1079" s="80"/>
      <c r="BC1079" s="80"/>
      <c r="BD1079" s="80"/>
      <c r="BE1079" s="80"/>
      <c r="BF1079" s="80"/>
      <c r="BG1079" s="80"/>
      <c r="BH1079" s="80"/>
      <c r="BI1079" s="80"/>
      <c r="BJ1079" s="80"/>
      <c r="BK1079" s="80"/>
      <c r="BL1079" s="80"/>
      <c r="BM1079" s="80"/>
      <c r="BN1079" s="80"/>
      <c r="BO1079" s="80"/>
      <c r="BP1079" s="80"/>
      <c r="BQ1079" s="80"/>
      <c r="BR1079" s="80"/>
      <c r="BS1079" s="80"/>
      <c r="BT1079" s="80"/>
      <c r="BU1079" s="80"/>
      <c r="BV1079" s="80"/>
      <c r="BW1079" s="80"/>
      <c r="BX1079" s="80"/>
      <c r="BY1079" s="80"/>
      <c r="BZ1079" s="80"/>
      <c r="CA1079" s="80"/>
      <c r="CB1079" s="80"/>
      <c r="CC1079" s="80"/>
      <c r="CD1079" s="80"/>
      <c r="CE1079" s="80"/>
      <c r="CF1079" s="80"/>
      <c r="CG1079" s="80"/>
      <c r="CH1079" s="80"/>
      <c r="CI1079" s="80"/>
      <c r="CJ1079" s="80"/>
      <c r="CK1079" s="2"/>
    </row>
    <row r="1080" ht="12.75" customHeight="1">
      <c r="A1080" s="85">
        <f>IFERROR(__xludf.DUMMYFUNCTION("""COMPUTED_VALUE"""),1076.0)</f>
        <v>1076</v>
      </c>
      <c r="B1080" s="85"/>
      <c r="C1080" s="85"/>
      <c r="D1080" s="86">
        <f>IFERROR(__xludf.DUMMYFUNCTION("""COMPUTED_VALUE"""),46192.0)</f>
        <v>46192</v>
      </c>
      <c r="E1080" s="88"/>
      <c r="F1080" s="85"/>
      <c r="G1080" s="86">
        <f>IFERROR(__xludf.DUMMYFUNCTION("""COMPUTED_VALUE"""),46223.0)</f>
        <v>46223</v>
      </c>
      <c r="H1080" s="85"/>
      <c r="I1080" s="85"/>
      <c r="J1080" s="85"/>
      <c r="K1080" s="85"/>
      <c r="L1080" s="85">
        <f>IFERROR(__xludf.DUMMYFUNCTION("""COMPUTED_VALUE"""),31.0)</f>
        <v>31</v>
      </c>
      <c r="M1080" s="85"/>
      <c r="N1080" s="85"/>
      <c r="O1080" s="85"/>
      <c r="P1080" s="85" t="str">
        <f>IFERROR(__xludf.DUMMYFUNCTION("""COMPUTED_VALUE"""),"53BSPA17069JBNDS")</f>
        <v>53BSPA17069JBNDS</v>
      </c>
      <c r="Q1080" s="85" t="str">
        <f>IFERROR(__xludf.DUMMYFUNCTION("""COMPUTED_VALUE"""),"MUC NAMIRA EXPRESS")</f>
        <v>MUC NAMIRA EXPRESS</v>
      </c>
      <c r="R1080" s="85" t="str">
        <f>IFERROR(__xludf.DUMMYFUNCTION("""COMPUTED_VALUE"""),"MUC NAMIRA EXPRESS")</f>
        <v>MUC NAMIRA EXPRESS</v>
      </c>
      <c r="S1080" s="85" t="str">
        <f>IFERROR(__xludf.DUMMYFUNCTION("""COMPUTED_VALUE"""),"INDRIATI SULISTIYO ADJIE")</f>
        <v>INDRIATI SULISTIYO ADJIE</v>
      </c>
      <c r="T1080" s="85" t="str">
        <f>IFERROR(__xludf.DUMMYFUNCTION("""COMPUTED_VALUE"""),"JL. SAKURA NO. 14 PUTRI INDAH ESTAT RT 2 RW 9 TLAJUNG UDIK")</f>
        <v>JL. SAKURA NO. 14 PUTRI INDAH ESTAT RT 2 RW 9 TLAJUNG UDIK</v>
      </c>
      <c r="U1080" s="85" t="str">
        <f>IFERROR(__xludf.DUMMYFUNCTION("""COMPUTED_VALUE"""),"JL. RAYA NAROGONG")</f>
        <v>JL. RAYA NAROGONG</v>
      </c>
      <c r="V1080" s="85" t="str">
        <f>IFERROR(__xludf.DUMMYFUNCTION("""COMPUTED_VALUE"""),"RT 2 R \ RW 9 T")</f>
        <v>RT 2 R \ RW 9 T</v>
      </c>
      <c r="W1080" s="85" t="str">
        <f>IFERROR(__xludf.DUMMYFUNCTION("""COMPUTED_VALUE"""),"CILEUNGSI KIDUL")</f>
        <v>CILEUNGSI KIDUL</v>
      </c>
      <c r="X1080" s="85" t="str">
        <f>IFERROR(__xludf.DUMMYFUNCTION("""COMPUTED_VALUE"""),"CILEUNGSI")</f>
        <v>CILEUNGSI</v>
      </c>
      <c r="Y1080" s="85" t="str">
        <f>IFERROR(__xludf.DUMMYFUNCTION("""COMPUTED_VALUE"""),"KAB. BOGOR")</f>
        <v>KAB. BOGOR</v>
      </c>
      <c r="Z1080" s="85" t="str">
        <f>IFERROR(__xludf.DUMMYFUNCTION("""COMPUTED_VALUE"""),"JAWA BARAT")</f>
        <v>JAWA BARAT</v>
      </c>
      <c r="AA1080" s="85" t="str">
        <f>IFERROR(__xludf.DUMMYFUNCTION("""COMPUTED_VALUE"""),"16820")</f>
        <v>16820</v>
      </c>
      <c r="AB1080" s="85" t="str">
        <f>IFERROR(__xludf.DUMMYFUNCTION("""COMPUTED_VALUE"""),"3201026203820003")</f>
        <v>3201026203820003</v>
      </c>
      <c r="AC1080" s="85" t="str">
        <f>IFERROR(__xludf.DUMMYFUNCTION("""COMPUTED_VALUE"""),"82.050.183.1-403.000")</f>
        <v>82.050.183.1-403.000</v>
      </c>
      <c r="AD1080" s="85" t="str">
        <f>IFERROR(__xludf.DUMMYFUNCTION("""COMPUTED_VALUE"""),"SUB NDS")</f>
        <v>SUB NDS</v>
      </c>
      <c r="AE1080" s="85" t="str">
        <f>IFERROR(__xludf.DUMMYFUNCTION("""COMPUTED_VALUE"""),"SUB NDS")</f>
        <v>SUB NDS</v>
      </c>
      <c r="AF1080" s="85" t="str">
        <f>IFERROR(__xludf.DUMMYFUNCTION("""COMPUTED_VALUE"""),"08568230484")</f>
        <v>08568230484</v>
      </c>
      <c r="AG1080" s="85" t="str">
        <f>IFERROR(__xludf.DUMMYFUNCTION("""COMPUTED_VALUE"""),"8568230484")</f>
        <v>8568230484</v>
      </c>
      <c r="AH1080" s="85" t="str">
        <f>IFERROR(__xludf.DUMMYFUNCTION("""COMPUTED_VALUE"""),"indriatisulistyo@gmail.com")</f>
        <v>indriatisulistyo@gmail.com</v>
      </c>
      <c r="AI1080" s="85" t="str">
        <f>IFERROR(__xludf.DUMMYFUNCTION("""COMPUTED_VALUE"""),"16821S1")</f>
        <v>16821S1</v>
      </c>
      <c r="AJ1080" s="85" t="str">
        <f>IFERROR(__xludf.DUMMYFUNCTION("""COMPUTED_VALUE"""),"6a5b232aa6dfa4feb50a2f36")</f>
        <v>6a5b232aa6dfa4feb50a2f36</v>
      </c>
      <c r="AK1080" s="85" t="str">
        <f>IFERROR(__xludf.DUMMYFUNCTION("""COMPUTED_VALUE"""),"indriatisulistyo@gmail.com")</f>
        <v>indriatisulistyo@gmail.com</v>
      </c>
      <c r="AL1080" s="85" t="str">
        <f>IFERROR(__xludf.DUMMYFUNCTION("""COMPUTED_VALUE"""),"#Muc16821S1$")</f>
        <v>#Muc16821S1$</v>
      </c>
      <c r="AM1080" s="85" t="str">
        <f>IFERROR(__xludf.DUMMYFUNCTION("""COMPUTED_VALUE"""),"KANTOR REGIONAL II JAKARTA 10004")</f>
        <v>KANTOR REGIONAL II JAKARTA 10004</v>
      </c>
      <c r="AN1080" s="85" t="str">
        <f>IFERROR(__xludf.DUMMYFUNCTION("""COMPUTED_VALUE"""),"KC CIBINONG 16900")</f>
        <v>KC CIBINONG 16900</v>
      </c>
      <c r="AO1080" s="85" t="str">
        <f>IFERROR(__xludf.DUMMYFUNCTION("""COMPUTED_VALUE"""),"1906260074949")</f>
        <v>1906260074949</v>
      </c>
      <c r="AP1080" s="85" t="str">
        <f>IFERROR(__xludf.DUMMYFUNCTION("""COMPUTED_VALUE"""),"1906260074949")</f>
        <v>1906260074949</v>
      </c>
      <c r="AQ1080" s="93" t="str">
        <f>IFERROR(__xludf.DUMMYFUNCTION("""COMPUTED_VALUE"""),"5725306609")</f>
        <v>5725306609</v>
      </c>
      <c r="AR1080" s="85" t="str">
        <f>IFERROR(__xludf.DUMMYFUNCTION("""COMPUTED_VALUE"""),"BCA")</f>
        <v>BCA</v>
      </c>
      <c r="AS1080" s="85" t="str">
        <f>IFERROR(__xludf.DUMMYFUNCTION("""COMPUTED_VALUE"""),"INDRIATI SULISTIYO ADJIE")</f>
        <v>INDRIATI SULISTIYO ADJIE</v>
      </c>
      <c r="AT1080" s="85" t="str">
        <f>IFERROR(__xludf.DUMMYFUNCTION("""COMPUTED_VALUE"""),"-6.4125824,106.9593304")</f>
        <v>-6.4125824,106.9593304</v>
      </c>
      <c r="AU1080" s="85" t="str">
        <f>IFERROR(__xludf.DUMMYFUNCTION("""COMPUTED_VALUE"""),"-6.4125824,106.9593304")</f>
        <v>-6.4125824,106.9593304</v>
      </c>
      <c r="AV1080" s="85"/>
      <c r="AW1080" s="85"/>
      <c r="AX1080" s="85"/>
      <c r="AY1080" s="85"/>
      <c r="AZ1080" s="85"/>
      <c r="BA1080" s="85"/>
      <c r="BB1080" s="85"/>
      <c r="BC1080" s="85"/>
      <c r="BD1080" s="85"/>
      <c r="BE1080" s="85"/>
      <c r="BF1080" s="85"/>
      <c r="BG1080" s="85"/>
      <c r="BH1080" s="85"/>
      <c r="BI1080" s="85"/>
      <c r="BJ1080" s="85"/>
      <c r="BK1080" s="85"/>
      <c r="BL1080" s="85"/>
      <c r="BM1080" s="85"/>
      <c r="BN1080" s="85"/>
      <c r="BO1080" s="85"/>
      <c r="BP1080" s="85"/>
      <c r="BQ1080" s="85"/>
      <c r="BR1080" s="85"/>
      <c r="BS1080" s="85"/>
      <c r="BT1080" s="85"/>
      <c r="BU1080" s="85"/>
      <c r="BV1080" s="85"/>
      <c r="BW1080" s="85"/>
      <c r="BX1080" s="85"/>
      <c r="BY1080" s="85"/>
      <c r="BZ1080" s="85"/>
      <c r="CA1080" s="85"/>
      <c r="CB1080" s="85"/>
      <c r="CC1080" s="85"/>
      <c r="CD1080" s="85"/>
      <c r="CE1080" s="85"/>
      <c r="CF1080" s="85"/>
      <c r="CG1080" s="85"/>
      <c r="CH1080" s="85"/>
      <c r="CI1080" s="85"/>
      <c r="CJ1080" s="85"/>
      <c r="CK1080" s="2"/>
    </row>
    <row r="1081" ht="12.75" customHeight="1">
      <c r="A1081" s="80">
        <f>IFERROR(__xludf.DUMMYFUNCTION("""COMPUTED_VALUE"""),1077.0)</f>
        <v>1077</v>
      </c>
      <c r="B1081" s="80"/>
      <c r="C1081" s="80"/>
      <c r="D1081" s="81">
        <f>IFERROR(__xludf.DUMMYFUNCTION("""COMPUTED_VALUE"""),46192.0)</f>
        <v>46192</v>
      </c>
      <c r="E1081" s="82"/>
      <c r="F1081" s="80"/>
      <c r="G1081" s="81">
        <f>IFERROR(__xludf.DUMMYFUNCTION("""COMPUTED_VALUE"""),46203.0)</f>
        <v>46203</v>
      </c>
      <c r="H1081" s="80"/>
      <c r="I1081" s="80"/>
      <c r="J1081" s="80"/>
      <c r="K1081" s="80"/>
      <c r="L1081" s="80">
        <f>IFERROR(__xludf.DUMMYFUNCTION("""COMPUTED_VALUE"""),11.0)</f>
        <v>11</v>
      </c>
      <c r="M1081" s="80"/>
      <c r="N1081" s="80"/>
      <c r="O1081" s="80"/>
      <c r="P1081" s="80" t="str">
        <f>IFERROR(__xludf.DUMMYFUNCTION("""COMPUTED_VALUE"""),"MUCSPA63533PSIND")</f>
        <v>MUCSPA63533PSIND</v>
      </c>
      <c r="Q1081" s="80" t="str">
        <f>IFERROR(__xludf.DUMMYFUNCTION("""COMPUTED_VALUE"""),"MUC EXPRESS GERLONG")</f>
        <v>MUC EXPRESS GERLONG</v>
      </c>
      <c r="R1081" s="80" t="str">
        <f>IFERROR(__xludf.DUMMYFUNCTION("""COMPUTED_VALUE"""),"MUC EXPRESS GERLONG")</f>
        <v>MUC EXPRESS GERLONG</v>
      </c>
      <c r="S1081" s="80" t="str">
        <f>IFERROR(__xludf.DUMMYFUNCTION("""COMPUTED_VALUE"""),"Raden Azzaki Alaudin Gazi")</f>
        <v>Raden Azzaki Alaudin Gazi</v>
      </c>
      <c r="T1081" s="80" t="str">
        <f>IFERROR(__xludf.DUMMYFUNCTION("""COMPUTED_VALUE"""),"JL. GEGERKALONG TENGAH NO.52 RT 003 RW 003 GEGERKALONG, SUKASARI, BANDUNG")</f>
        <v>JL. GEGERKALONG TENGAH NO.52 RT 003 RW 003 GEGERKALONG, SUKASARI, BANDUNG</v>
      </c>
      <c r="U1081" s="80" t="str">
        <f>IFERROR(__xludf.DUMMYFUNCTION("""COMPUTED_VALUE"""),"JL. GEGERKALONG TENGAH NO. 22")</f>
        <v>JL. GEGERKALONG TENGAH NO. 22</v>
      </c>
      <c r="V1081" s="80" t="str">
        <f>IFERROR(__xludf.DUMMYFUNCTION("""COMPUTED_VALUE"""),"RT 003 \ RW 003")</f>
        <v>RT 003 \ RW 003</v>
      </c>
      <c r="W1081" s="80" t="str">
        <f>IFERROR(__xludf.DUMMYFUNCTION("""COMPUTED_VALUE"""),"GEGERKALONG")</f>
        <v>GEGERKALONG</v>
      </c>
      <c r="X1081" s="80" t="str">
        <f>IFERROR(__xludf.DUMMYFUNCTION("""COMPUTED_VALUE"""),"SUKASARI")</f>
        <v>SUKASARI</v>
      </c>
      <c r="Y1081" s="80" t="str">
        <f>IFERROR(__xludf.DUMMYFUNCTION("""COMPUTED_VALUE"""),"BANDUNG")</f>
        <v>BANDUNG</v>
      </c>
      <c r="Z1081" s="80" t="str">
        <f>IFERROR(__xludf.DUMMYFUNCTION("""COMPUTED_VALUE"""),"JAWA BARAT")</f>
        <v>JAWA BARAT</v>
      </c>
      <c r="AA1081" s="80" t="str">
        <f>IFERROR(__xludf.DUMMYFUNCTION("""COMPUTED_VALUE"""),"40153")</f>
        <v>40153</v>
      </c>
      <c r="AB1081" s="80" t="str">
        <f>IFERROR(__xludf.DUMMYFUNCTION("""COMPUTED_VALUE"""),"3273011702970002")</f>
        <v>3273011702970002</v>
      </c>
      <c r="AC1081" s="80" t="str">
        <f>IFERROR(__xludf.DUMMYFUNCTION("""COMPUTED_VALUE"""),"95.361.314.8-428.000")</f>
        <v>95.361.314.8-428.000</v>
      </c>
      <c r="AD1081" s="80" t="str">
        <f>IFERROR(__xludf.DUMMYFUNCTION("""COMPUTED_VALUE"""),"CUM - LP - ANGGI")</f>
        <v>CUM - LP - ANGGI</v>
      </c>
      <c r="AE1081" s="80" t="str">
        <f>IFERROR(__xludf.DUMMYFUNCTION("""COMPUTED_VALUE"""),"CUM - LP - ANGGI")</f>
        <v>CUM - LP - ANGGI</v>
      </c>
      <c r="AF1081" s="80" t="str">
        <f>IFERROR(__xludf.DUMMYFUNCTION("""COMPUTED_VALUE"""),"08567827914")</f>
        <v>08567827914</v>
      </c>
      <c r="AG1081" s="80" t="str">
        <f>IFERROR(__xludf.DUMMYFUNCTION("""COMPUTED_VALUE"""),"8567827914")</f>
        <v>8567827914</v>
      </c>
      <c r="AH1081" s="80" t="str">
        <f>IFERROR(__xludf.DUMMYFUNCTION("""COMPUTED_VALUE"""),"azzakialgazi@gmail.com")</f>
        <v>azzakialgazi@gmail.com</v>
      </c>
      <c r="AI1081" s="80" t="str">
        <f>IFERROR(__xludf.DUMMYFUNCTION("""COMPUTED_VALUE"""),"40153S5")</f>
        <v>40153S5</v>
      </c>
      <c r="AJ1081" s="80" t="str">
        <f>IFERROR(__xludf.DUMMYFUNCTION("""COMPUTED_VALUE"""),"6a438d0df16586266e06d331")</f>
        <v>6a438d0df16586266e06d331</v>
      </c>
      <c r="AK1081" s="80" t="str">
        <f>IFERROR(__xludf.DUMMYFUNCTION("""COMPUTED_VALUE"""),"azzakialgazi@gmail.com")</f>
        <v>azzakialgazi@gmail.com</v>
      </c>
      <c r="AL1081" s="80" t="str">
        <f>IFERROR(__xludf.DUMMYFUNCTION("""COMPUTED_VALUE"""),"#Muc40153S5$")</f>
        <v>#Muc40153S5$</v>
      </c>
      <c r="AM1081" s="80" t="str">
        <f>IFERROR(__xludf.DUMMYFUNCTION("""COMPUTED_VALUE"""),"KANTOR REGIONAL III BANDUNG 40004")</f>
        <v>KANTOR REGIONAL III BANDUNG 40004</v>
      </c>
      <c r="AN1081" s="80" t="str">
        <f>IFERROR(__xludf.DUMMYFUNCTION("""COMPUTED_VALUE"""),"KCU BANDUNG 40000")</f>
        <v>KCU BANDUNG 40000</v>
      </c>
      <c r="AO1081" s="80" t="str">
        <f>IFERROR(__xludf.DUMMYFUNCTION("""COMPUTED_VALUE"""),"1906260070631")</f>
        <v>1906260070631</v>
      </c>
      <c r="AP1081" s="80" t="str">
        <f>IFERROR(__xludf.DUMMYFUNCTION("""COMPUTED_VALUE"""),"1906260070631")</f>
        <v>1906260070631</v>
      </c>
      <c r="AQ1081" s="83" t="str">
        <f>IFERROR(__xludf.DUMMYFUNCTION("""COMPUTED_VALUE"""),"2330356009")</f>
        <v>2330356009</v>
      </c>
      <c r="AR1081" s="80" t="str">
        <f>IFERROR(__xludf.DUMMYFUNCTION("""COMPUTED_VALUE"""),"BCA")</f>
        <v>BCA</v>
      </c>
      <c r="AS1081" s="80" t="str">
        <f>IFERROR(__xludf.DUMMYFUNCTION("""COMPUTED_VALUE"""),"Raden Azzaki Alaudin Gazi")</f>
        <v>Raden Azzaki Alaudin Gazi</v>
      </c>
      <c r="AT1081" s="80" t="str">
        <f>IFERROR(__xludf.DUMMYFUNCTION("""COMPUTED_VALUE"""),"-68,680,024")</f>
        <v>-68,680,024</v>
      </c>
      <c r="AU1081" s="80" t="str">
        <f>IFERROR(__xludf.DUMMYFUNCTION("""COMPUTED_VALUE"""),"1,075,914,522")</f>
        <v>1,075,914,522</v>
      </c>
      <c r="AV1081" s="80"/>
      <c r="AW1081" s="80"/>
      <c r="AX1081" s="80"/>
      <c r="AY1081" s="80"/>
      <c r="AZ1081" s="80"/>
      <c r="BA1081" s="80"/>
      <c r="BB1081" s="80"/>
      <c r="BC1081" s="80"/>
      <c r="BD1081" s="80"/>
      <c r="BE1081" s="80"/>
      <c r="BF1081" s="80"/>
      <c r="BG1081" s="80"/>
      <c r="BH1081" s="80"/>
      <c r="BI1081" s="80"/>
      <c r="BJ1081" s="80"/>
      <c r="BK1081" s="80"/>
      <c r="BL1081" s="80"/>
      <c r="BM1081" s="80"/>
      <c r="BN1081" s="80"/>
      <c r="BO1081" s="80"/>
      <c r="BP1081" s="80"/>
      <c r="BQ1081" s="80"/>
      <c r="BR1081" s="80"/>
      <c r="BS1081" s="80"/>
      <c r="BT1081" s="80"/>
      <c r="BU1081" s="80"/>
      <c r="BV1081" s="80"/>
      <c r="BW1081" s="80"/>
      <c r="BX1081" s="80"/>
      <c r="BY1081" s="80"/>
      <c r="BZ1081" s="80"/>
      <c r="CA1081" s="80"/>
      <c r="CB1081" s="80"/>
      <c r="CC1081" s="80"/>
      <c r="CD1081" s="80"/>
      <c r="CE1081" s="80"/>
      <c r="CF1081" s="80"/>
      <c r="CG1081" s="80"/>
      <c r="CH1081" s="80"/>
      <c r="CI1081" s="80"/>
      <c r="CJ1081" s="80"/>
      <c r="CK1081" s="2"/>
    </row>
    <row r="1082" ht="12.75" customHeight="1">
      <c r="A1082" s="85">
        <f>IFERROR(__xludf.DUMMYFUNCTION("""COMPUTED_VALUE"""),1078.0)</f>
        <v>1078</v>
      </c>
      <c r="B1082" s="85"/>
      <c r="C1082" s="85"/>
      <c r="D1082" s="86">
        <f>IFERROR(__xludf.DUMMYFUNCTION("""COMPUTED_VALUE"""),46192.0)</f>
        <v>46192</v>
      </c>
      <c r="E1082" s="88"/>
      <c r="F1082" s="85"/>
      <c r="G1082" s="86">
        <f>IFERROR(__xludf.DUMMYFUNCTION("""COMPUTED_VALUE"""),46230.0)</f>
        <v>46230</v>
      </c>
      <c r="H1082" s="85"/>
      <c r="I1082" s="85"/>
      <c r="J1082" s="85"/>
      <c r="K1082" s="85"/>
      <c r="L1082" s="85">
        <f>IFERROR(__xludf.DUMMYFUNCTION("""COMPUTED_VALUE"""),38.0)</f>
        <v>38</v>
      </c>
      <c r="M1082" s="85"/>
      <c r="N1082" s="85"/>
      <c r="O1082" s="85"/>
      <c r="P1082" s="85" t="str">
        <f>IFERROR(__xludf.DUMMYFUNCTION("""COMPUTED_VALUE"""),"MUCSPA63535PSIND")</f>
        <v>MUCSPA63535PSIND</v>
      </c>
      <c r="Q1082" s="85" t="str">
        <f>IFERROR(__xludf.DUMMYFUNCTION("""COMPUTED_VALUE"""),"MUC OTIV")</f>
        <v>MUC OTIV</v>
      </c>
      <c r="R1082" s="85" t="str">
        <f>IFERROR(__xludf.DUMMYFUNCTION("""COMPUTED_VALUE"""),"MUC OTIV")</f>
        <v>MUC OTIV</v>
      </c>
      <c r="S1082" s="85" t="str">
        <f>IFERROR(__xludf.DUMMYFUNCTION("""COMPUTED_VALUE"""),"OTIV")</f>
        <v>OTIV</v>
      </c>
      <c r="T1082" s="85" t="str">
        <f>IFERROR(__xludf.DUMMYFUNCTION("""COMPUTED_VALUE"""),"POJOK SALAK RT 001 RW 008 JONGGOL, JONGGOL, KAB.BOGOR")</f>
        <v>POJOK SALAK RT 001 RW 008 JONGGOL, JONGGOL, KAB.BOGOR</v>
      </c>
      <c r="U1082" s="85" t="str">
        <f>IFERROR(__xludf.DUMMYFUNCTION("""COMPUTED_VALUE"""),"JL. PASAR HEWAN POJOK SALAK NO. 23 RT OO1 RW 008")</f>
        <v>JL. PASAR HEWAN POJOK SALAK NO. 23 RT OO1 RW 008</v>
      </c>
      <c r="V1082" s="85" t="str">
        <f>IFERROR(__xludf.DUMMYFUNCTION("""COMPUTED_VALUE"""),"RT 001 \ RW 008")</f>
        <v>RT 001 \ RW 008</v>
      </c>
      <c r="W1082" s="85" t="str">
        <f>IFERROR(__xludf.DUMMYFUNCTION("""COMPUTED_VALUE"""),"JONGGOL")</f>
        <v>JONGGOL</v>
      </c>
      <c r="X1082" s="85" t="str">
        <f>IFERROR(__xludf.DUMMYFUNCTION("""COMPUTED_VALUE"""),"JONGGOL")</f>
        <v>JONGGOL</v>
      </c>
      <c r="Y1082" s="85" t="str">
        <f>IFERROR(__xludf.DUMMYFUNCTION("""COMPUTED_VALUE"""),"KAB.BOGOR")</f>
        <v>KAB.BOGOR</v>
      </c>
      <c r="Z1082" s="85" t="str">
        <f>IFERROR(__xludf.DUMMYFUNCTION("""COMPUTED_VALUE"""),"JAWA BARAT")</f>
        <v>JAWA BARAT</v>
      </c>
      <c r="AA1082" s="85" t="str">
        <f>IFERROR(__xludf.DUMMYFUNCTION("""COMPUTED_VALUE"""),"16830")</f>
        <v>16830</v>
      </c>
      <c r="AB1082" s="85" t="str">
        <f>IFERROR(__xludf.DUMMYFUNCTION("""COMPUTED_VALUE"""),"3201061109790003")</f>
        <v>3201061109790003</v>
      </c>
      <c r="AC1082" s="85" t="str">
        <f>IFERROR(__xludf.DUMMYFUNCTION("""COMPUTED_VALUE"""),"66.833.374.3-436.000")</f>
        <v>66.833.374.3-436.000</v>
      </c>
      <c r="AD1082" s="85" t="str">
        <f>IFERROR(__xludf.DUMMYFUNCTION("""COMPUTED_VALUE"""),"BU NOCA KC CIBINONG")</f>
        <v>BU NOCA KC CIBINONG</v>
      </c>
      <c r="AE1082" s="85" t="str">
        <f>IFERROR(__xludf.DUMMYFUNCTION("""COMPUTED_VALUE"""),"BU NOCA KC CIBINONG")</f>
        <v>BU NOCA KC CIBINONG</v>
      </c>
      <c r="AF1082" s="85" t="str">
        <f>IFERROR(__xludf.DUMMYFUNCTION("""COMPUTED_VALUE"""),"085717195999")</f>
        <v>085717195999</v>
      </c>
      <c r="AG1082" s="85" t="str">
        <f>IFERROR(__xludf.DUMMYFUNCTION("""COMPUTED_VALUE"""),"85717195999")</f>
        <v>85717195999</v>
      </c>
      <c r="AH1082" s="85" t="str">
        <f>IFERROR(__xludf.DUMMYFUNCTION("""COMPUTED_VALUE"""),"vikooktora@gmail.com")</f>
        <v>vikooktora@gmail.com</v>
      </c>
      <c r="AI1082" s="85" t="str">
        <f>IFERROR(__xludf.DUMMYFUNCTION("""COMPUTED_VALUE"""),"16831S2")</f>
        <v>16831S2</v>
      </c>
      <c r="AJ1082" s="85" t="str">
        <f>IFERROR(__xludf.DUMMYFUNCTION("""COMPUTED_VALUE"""),"6a4dcee995920b7c2e056ac8")</f>
        <v>6a4dcee995920b7c2e056ac8</v>
      </c>
      <c r="AK1082" s="85" t="str">
        <f>IFERROR(__xludf.DUMMYFUNCTION("""COMPUTED_VALUE"""),"vikooktora@gmail.comvikooktora@gmail.com")</f>
        <v>vikooktora@gmail.comvikooktora@gmail.com</v>
      </c>
      <c r="AL1082" s="85" t="str">
        <f>IFERROR(__xludf.DUMMYFUNCTION("""COMPUTED_VALUE"""),"#Muc16831S2$")</f>
        <v>#Muc16831S2$</v>
      </c>
      <c r="AM1082" s="85" t="str">
        <f>IFERROR(__xludf.DUMMYFUNCTION("""COMPUTED_VALUE"""),"KANTOR REGIONAL II JAKARTA 10004")</f>
        <v>KANTOR REGIONAL II JAKARTA 10004</v>
      </c>
      <c r="AN1082" s="85" t="str">
        <f>IFERROR(__xludf.DUMMYFUNCTION("""COMPUTED_VALUE"""),"KC CIBINONG 16900")</f>
        <v>KC CIBINONG 16900</v>
      </c>
      <c r="AO1082" s="85" t="str">
        <f>IFERROR(__xludf.DUMMYFUNCTION("""COMPUTED_VALUE"""),"1906260092826")</f>
        <v>1906260092826</v>
      </c>
      <c r="AP1082" s="85" t="str">
        <f>IFERROR(__xludf.DUMMYFUNCTION("""COMPUTED_VALUE"""),"1906260092826")</f>
        <v>1906260092826</v>
      </c>
      <c r="AQ1082" s="93" t="str">
        <f>IFERROR(__xludf.DUMMYFUNCTION("""COMPUTED_VALUE"""),"080501005697501")</f>
        <v>080501005697501</v>
      </c>
      <c r="AR1082" s="85" t="str">
        <f>IFERROR(__xludf.DUMMYFUNCTION("""COMPUTED_VALUE"""),"BRI")</f>
        <v>BRI</v>
      </c>
      <c r="AS1082" s="85" t="str">
        <f>IFERROR(__xludf.DUMMYFUNCTION("""COMPUTED_VALUE"""),"OTIV")</f>
        <v>OTIV</v>
      </c>
      <c r="AT1082" s="85" t="str">
        <f>IFERROR(__xludf.DUMMYFUNCTION("""COMPUTED_VALUE"""),"-646,731")</f>
        <v>-646,731</v>
      </c>
      <c r="AU1082" s="85" t="str">
        <f>IFERROR(__xludf.DUMMYFUNCTION("""COMPUTED_VALUE"""),"107,065,731")</f>
        <v>107,065,731</v>
      </c>
      <c r="AV1082" s="85"/>
      <c r="AW1082" s="85"/>
      <c r="AX1082" s="85"/>
      <c r="AY1082" s="85"/>
      <c r="AZ1082" s="85"/>
      <c r="BA1082" s="85"/>
      <c r="BB1082" s="85"/>
      <c r="BC1082" s="85"/>
      <c r="BD1082" s="85"/>
      <c r="BE1082" s="85"/>
      <c r="BF1082" s="85"/>
      <c r="BG1082" s="85"/>
      <c r="BH1082" s="85"/>
      <c r="BI1082" s="85"/>
      <c r="BJ1082" s="85"/>
      <c r="BK1082" s="85"/>
      <c r="BL1082" s="85"/>
      <c r="BM1082" s="85"/>
      <c r="BN1082" s="85"/>
      <c r="BO1082" s="85"/>
      <c r="BP1082" s="85"/>
      <c r="BQ1082" s="85"/>
      <c r="BR1082" s="85"/>
      <c r="BS1082" s="85"/>
      <c r="BT1082" s="85"/>
      <c r="BU1082" s="85"/>
      <c r="BV1082" s="85"/>
      <c r="BW1082" s="85"/>
      <c r="BX1082" s="85"/>
      <c r="BY1082" s="85"/>
      <c r="BZ1082" s="85"/>
      <c r="CA1082" s="85"/>
      <c r="CB1082" s="85"/>
      <c r="CC1082" s="85"/>
      <c r="CD1082" s="85"/>
      <c r="CE1082" s="85"/>
      <c r="CF1082" s="85"/>
      <c r="CG1082" s="85"/>
      <c r="CH1082" s="85"/>
      <c r="CI1082" s="85"/>
      <c r="CJ1082" s="85"/>
      <c r="CK1082" s="2"/>
    </row>
    <row r="1083" ht="12.75" customHeight="1">
      <c r="A1083" s="80">
        <f>IFERROR(__xludf.DUMMYFUNCTION("""COMPUTED_VALUE"""),1079.0)</f>
        <v>1079</v>
      </c>
      <c r="B1083" s="80"/>
      <c r="C1083" s="80"/>
      <c r="D1083" s="81">
        <f>IFERROR(__xludf.DUMMYFUNCTION("""COMPUTED_VALUE"""),46192.0)</f>
        <v>46192</v>
      </c>
      <c r="E1083" s="82"/>
      <c r="F1083" s="80"/>
      <c r="G1083" s="81">
        <f>IFERROR(__xludf.DUMMYFUNCTION("""COMPUTED_VALUE"""),46202.0)</f>
        <v>46202</v>
      </c>
      <c r="H1083" s="80"/>
      <c r="I1083" s="80"/>
      <c r="J1083" s="80"/>
      <c r="K1083" s="80"/>
      <c r="L1083" s="80">
        <f>IFERROR(__xludf.DUMMYFUNCTION("""COMPUTED_VALUE"""),10.0)</f>
        <v>10</v>
      </c>
      <c r="M1083" s="80"/>
      <c r="N1083" s="80"/>
      <c r="O1083" s="80"/>
      <c r="P1083" s="80" t="str">
        <f>IFERROR(__xludf.DUMMYFUNCTION("""COMPUTED_VALUE"""),"MUCSPA63536PSIND")</f>
        <v>MUCSPA63536PSIND</v>
      </c>
      <c r="Q1083" s="80" t="str">
        <f>IFERROR(__xludf.DUMMYFUNCTION("""COMPUTED_VALUE"""),"MUC EXPEDISI JIRAPAN")</f>
        <v>MUC EXPEDISI JIRAPAN</v>
      </c>
      <c r="R1083" s="80" t="str">
        <f>IFERROR(__xludf.DUMMYFUNCTION("""COMPUTED_VALUE"""),"MUC EXPEDISI JIRAPAN")</f>
        <v>MUC EXPEDISI JIRAPAN</v>
      </c>
      <c r="S1083" s="80" t="str">
        <f>IFERROR(__xludf.DUMMYFUNCTION("""COMPUTED_VALUE"""),"Lilik Triwinarno")</f>
        <v>Lilik Triwinarno</v>
      </c>
      <c r="T1083" s="80" t="str">
        <f>IFERROR(__xludf.DUMMYFUNCTION("""COMPUTED_VALUE"""),"GONDANG RT.020 RW.018, JIRAPAN, MASARAN, KAB. SRAGEN, JAWA TENGAH")</f>
        <v>GONDANG RT.020 RW.018, JIRAPAN, MASARAN, KAB. SRAGEN, JAWA TENGAH</v>
      </c>
      <c r="U1083" s="80" t="str">
        <f>IFERROR(__xludf.DUMMYFUNCTION("""COMPUTED_VALUE"""),"Gondang")</f>
        <v>Gondang</v>
      </c>
      <c r="V1083" s="80" t="str">
        <f>IFERROR(__xludf.DUMMYFUNCTION("""COMPUTED_VALUE"""),"RT.020 \ RW.018")</f>
        <v>RT.020 \ RW.018</v>
      </c>
      <c r="W1083" s="80" t="str">
        <f>IFERROR(__xludf.DUMMYFUNCTION("""COMPUTED_VALUE"""),"Jirapan")</f>
        <v>Jirapan</v>
      </c>
      <c r="X1083" s="80" t="str">
        <f>IFERROR(__xludf.DUMMYFUNCTION("""COMPUTED_VALUE"""),"Masaran")</f>
        <v>Masaran</v>
      </c>
      <c r="Y1083" s="80" t="str">
        <f>IFERROR(__xludf.DUMMYFUNCTION("""COMPUTED_VALUE"""),"Sragen")</f>
        <v>Sragen</v>
      </c>
      <c r="Z1083" s="80" t="str">
        <f>IFERROR(__xludf.DUMMYFUNCTION("""COMPUTED_VALUE"""),"Jawa tengah")</f>
        <v>Jawa tengah</v>
      </c>
      <c r="AA1083" s="80" t="str">
        <f>IFERROR(__xludf.DUMMYFUNCTION("""COMPUTED_VALUE"""),"57282")</f>
        <v>57282</v>
      </c>
      <c r="AB1083" s="80" t="str">
        <f>IFERROR(__xludf.DUMMYFUNCTION("""COMPUTED_VALUE"""),"3314033103870004")</f>
        <v>3314033103870004</v>
      </c>
      <c r="AC1083" s="80" t="str">
        <f>IFERROR(__xludf.DUMMYFUNCTION("""COMPUTED_VALUE"""),"76.629.568.7-528.000")</f>
        <v>76.629.568.7-528.000</v>
      </c>
      <c r="AD1083" s="80" t="str">
        <f>IFERROR(__xludf.DUMMYFUNCTION("""COMPUTED_VALUE"""),"REKOEMENDER : CUM - PS - SSL")</f>
        <v>REKOEMENDER : CUM - PS - SSL</v>
      </c>
      <c r="AE1083" s="80" t="str">
        <f>IFERROR(__xludf.DUMMYFUNCTION("""COMPUTED_VALUE"""),"REKOEMENDER : CUM - PS - SSL")</f>
        <v>REKOEMENDER : CUM - PS - SSL</v>
      </c>
      <c r="AF1083" s="80" t="str">
        <f>IFERROR(__xludf.DUMMYFUNCTION("""COMPUTED_VALUE"""),"087859920554")</f>
        <v>087859920554</v>
      </c>
      <c r="AG1083" s="80" t="str">
        <f>IFERROR(__xludf.DUMMYFUNCTION("""COMPUTED_VALUE"""),"87859920554")</f>
        <v>87859920554</v>
      </c>
      <c r="AH1083" s="80" t="str">
        <f>IFERROR(__xludf.DUMMYFUNCTION("""COMPUTED_VALUE"""),"aisyahwinarno062@gmail.com")</f>
        <v>aisyahwinarno062@gmail.com</v>
      </c>
      <c r="AI1083" s="80" t="str">
        <f>IFERROR(__xludf.DUMMYFUNCTION("""COMPUTED_VALUE"""),"57282S6")</f>
        <v>57282S6</v>
      </c>
      <c r="AJ1083" s="80" t="str">
        <f>IFERROR(__xludf.DUMMYFUNCTION("""COMPUTED_VALUE"""),"6a408b304b1fe7ca240ec27a")</f>
        <v>6a408b304b1fe7ca240ec27a</v>
      </c>
      <c r="AK1083" s="80" t="str">
        <f>IFERROR(__xludf.DUMMYFUNCTION("""COMPUTED_VALUE"""),"erisulis021@gmail.com")</f>
        <v>erisulis021@gmail.com</v>
      </c>
      <c r="AL1083" s="80" t="str">
        <f>IFERROR(__xludf.DUMMYFUNCTION("""COMPUTED_VALUE"""),"#Muc57282S6$")</f>
        <v>#Muc57282S6$</v>
      </c>
      <c r="AM1083" s="80" t="str">
        <f>IFERROR(__xludf.DUMMYFUNCTION("""COMPUTED_VALUE"""),"KANTOR REGIONAL IV SEMARANG 50004")</f>
        <v>KANTOR REGIONAL IV SEMARANG 50004</v>
      </c>
      <c r="AN1083" s="80" t="str">
        <f>IFERROR(__xludf.DUMMYFUNCTION("""COMPUTED_VALUE"""),"KC SRAGEN 57200")</f>
        <v>KC SRAGEN 57200</v>
      </c>
      <c r="AO1083" s="80" t="str">
        <f>IFERROR(__xludf.DUMMYFUNCTION("""COMPUTED_VALUE"""),"0609230083133")</f>
        <v>0609230083133</v>
      </c>
      <c r="AP1083" s="80" t="str">
        <f>IFERROR(__xludf.DUMMYFUNCTION("""COMPUTED_VALUE"""),"0609230083133")</f>
        <v>0609230083133</v>
      </c>
      <c r="AQ1083" s="83" t="str">
        <f>IFERROR(__xludf.DUMMYFUNCTION("""COMPUTED_VALUE"""),"686401023289532")</f>
        <v>686401023289532</v>
      </c>
      <c r="AR1083" s="80" t="str">
        <f>IFERROR(__xludf.DUMMYFUNCTION("""COMPUTED_VALUE"""),"BRI")</f>
        <v>BRI</v>
      </c>
      <c r="AS1083" s="80" t="str">
        <f>IFERROR(__xludf.DUMMYFUNCTION("""COMPUTED_VALUE"""),"Lilik triwinarno")</f>
        <v>Lilik triwinarno</v>
      </c>
      <c r="AT1083" s="80" t="str">
        <f>IFERROR(__xludf.DUMMYFUNCTION("""COMPUTED_VALUE"""),"-7,516,580,850,276,130")</f>
        <v>-7,516,580,850,276,130</v>
      </c>
      <c r="AU1083" s="80" t="str">
        <f>IFERROR(__xludf.DUMMYFUNCTION("""COMPUTED_VALUE"""),"1,109,785,722,885,060")</f>
        <v>1,109,785,722,885,060</v>
      </c>
      <c r="AV1083" s="80"/>
      <c r="AW1083" s="80"/>
      <c r="AX1083" s="80"/>
      <c r="AY1083" s="80"/>
      <c r="AZ1083" s="80"/>
      <c r="BA1083" s="80"/>
      <c r="BB1083" s="80"/>
      <c r="BC1083" s="80"/>
      <c r="BD1083" s="80"/>
      <c r="BE1083" s="80"/>
      <c r="BF1083" s="80"/>
      <c r="BG1083" s="80"/>
      <c r="BH1083" s="80"/>
      <c r="BI1083" s="80"/>
      <c r="BJ1083" s="80"/>
      <c r="BK1083" s="80"/>
      <c r="BL1083" s="80"/>
      <c r="BM1083" s="80"/>
      <c r="BN1083" s="80"/>
      <c r="BO1083" s="80"/>
      <c r="BP1083" s="80"/>
      <c r="BQ1083" s="80"/>
      <c r="BR1083" s="80"/>
      <c r="BS1083" s="80"/>
      <c r="BT1083" s="80"/>
      <c r="BU1083" s="80"/>
      <c r="BV1083" s="80"/>
      <c r="BW1083" s="80"/>
      <c r="BX1083" s="80"/>
      <c r="BY1083" s="80"/>
      <c r="BZ1083" s="80"/>
      <c r="CA1083" s="80"/>
      <c r="CB1083" s="80"/>
      <c r="CC1083" s="80"/>
      <c r="CD1083" s="80"/>
      <c r="CE1083" s="80"/>
      <c r="CF1083" s="80"/>
      <c r="CG1083" s="80"/>
      <c r="CH1083" s="80"/>
      <c r="CI1083" s="80"/>
      <c r="CJ1083" s="80"/>
      <c r="CK1083" s="2"/>
    </row>
    <row r="1084" ht="12.75" customHeight="1">
      <c r="A1084" s="85">
        <f>IFERROR(__xludf.DUMMYFUNCTION("""COMPUTED_VALUE"""),1080.0)</f>
        <v>1080</v>
      </c>
      <c r="B1084" s="85"/>
      <c r="C1084" s="85"/>
      <c r="D1084" s="86">
        <f>IFERROR(__xludf.DUMMYFUNCTION("""COMPUTED_VALUE"""),46195.0)</f>
        <v>46195</v>
      </c>
      <c r="E1084" s="88"/>
      <c r="F1084" s="85"/>
      <c r="G1084" s="86">
        <f>IFERROR(__xludf.DUMMYFUNCTION("""COMPUTED_VALUE"""),46238.0)</f>
        <v>46238</v>
      </c>
      <c r="H1084" s="85"/>
      <c r="I1084" s="85"/>
      <c r="J1084" s="85"/>
      <c r="K1084" s="85"/>
      <c r="L1084" s="85">
        <f>IFERROR(__xludf.DUMMYFUNCTION("""COMPUTED_VALUE"""),43.0)</f>
        <v>43</v>
      </c>
      <c r="M1084" s="85"/>
      <c r="N1084" s="85"/>
      <c r="O1084" s="85"/>
      <c r="P1084" s="85" t="str">
        <f>IFERROR(__xludf.DUMMYFUNCTION("""COMPUTED_VALUE"""),"MUCSPA63538PSIND")</f>
        <v>MUCSPA63538PSIND</v>
      </c>
      <c r="Q1084" s="85" t="str">
        <f>IFERROR(__xludf.DUMMYFUNCTION("""COMPUTED_VALUE"""),"MUC BAHIRA")</f>
        <v>MUC BAHIRA</v>
      </c>
      <c r="R1084" s="85" t="str">
        <f>IFERROR(__xludf.DUMMYFUNCTION("""COMPUTED_VALUE"""),"MUC BAHIRA")</f>
        <v>MUC BAHIRA</v>
      </c>
      <c r="S1084" s="85" t="str">
        <f>IFERROR(__xludf.DUMMYFUNCTION("""COMPUTED_VALUE"""),"SAEPUL BAHRUN")</f>
        <v>SAEPUL BAHRUN</v>
      </c>
      <c r="T1084" s="85" t="str">
        <f>IFERROR(__xludf.DUMMYFUNCTION("""COMPUTED_VALUE"""),"KP. CIBEUREUM RT 01 RW 03 CIKADONGDONG, CIKEUSIK, KAB.PANDEGLANG")</f>
        <v>KP. CIBEUREUM RT 01 RW 03 CIKADONGDONG, CIKEUSIK, KAB.PANDEGLANG</v>
      </c>
      <c r="U1084" s="85" t="str">
        <f>IFERROR(__xludf.DUMMYFUNCTION("""COMPUTED_VALUE"""),"JL. CIKEUSIK - WANASALAM")</f>
        <v>JL. CIKEUSIK - WANASALAM</v>
      </c>
      <c r="V1084" s="85" t="str">
        <f>IFERROR(__xludf.DUMMYFUNCTION("""COMPUTED_VALUE"""),"RT 01  \ RW 03")</f>
        <v>RT 01  \ RW 03</v>
      </c>
      <c r="W1084" s="85" t="str">
        <f>IFERROR(__xludf.DUMMYFUNCTION("""COMPUTED_VALUE"""),"SUKASENENG")</f>
        <v>SUKASENENG</v>
      </c>
      <c r="X1084" s="85" t="str">
        <f>IFERROR(__xludf.DUMMYFUNCTION("""COMPUTED_VALUE"""),"CIKEUSIK")</f>
        <v>CIKEUSIK</v>
      </c>
      <c r="Y1084" s="85" t="str">
        <f>IFERROR(__xludf.DUMMYFUNCTION("""COMPUTED_VALUE"""),"KAB.PANDEGLANG")</f>
        <v>KAB.PANDEGLANG</v>
      </c>
      <c r="Z1084" s="85" t="str">
        <f>IFERROR(__xludf.DUMMYFUNCTION("""COMPUTED_VALUE"""),"BANTEN")</f>
        <v>BANTEN</v>
      </c>
      <c r="AA1084" s="85" t="str">
        <f>IFERROR(__xludf.DUMMYFUNCTION("""COMPUTED_VALUE"""),"42286")</f>
        <v>42286</v>
      </c>
      <c r="AB1084" s="85" t="str">
        <f>IFERROR(__xludf.DUMMYFUNCTION("""COMPUTED_VALUE"""),"3602211311940001")</f>
        <v>3602211311940001</v>
      </c>
      <c r="AC1084" s="85" t="str">
        <f>IFERROR(__xludf.DUMMYFUNCTION("""COMPUTED_VALUE"""),"40.099.310.1-419.000")</f>
        <v>40.099.310.1-419.000</v>
      </c>
      <c r="AD1084" s="85" t="str">
        <f>IFERROR(__xludf.DUMMYFUNCTION("""COMPUTED_VALUE"""),"BU IDA KC PANDEGLANG")</f>
        <v>BU IDA KC PANDEGLANG</v>
      </c>
      <c r="AE1084" s="85" t="str">
        <f>IFERROR(__xludf.DUMMYFUNCTION("""COMPUTED_VALUE"""),"BU IDA KC PANDEGLANG")</f>
        <v>BU IDA KC PANDEGLANG</v>
      </c>
      <c r="AF1084" s="85" t="str">
        <f>IFERROR(__xludf.DUMMYFUNCTION("""COMPUTED_VALUE"""),"085719445738")</f>
        <v>085719445738</v>
      </c>
      <c r="AG1084" s="85" t="str">
        <f>IFERROR(__xludf.DUMMYFUNCTION("""COMPUTED_VALUE"""),"85719445738")</f>
        <v>85719445738</v>
      </c>
      <c r="AH1084" s="85" t="str">
        <f>IFERROR(__xludf.DUMMYFUNCTION("""COMPUTED_VALUE"""),"saepulbahrun14@gmail.com")</f>
        <v>saepulbahrun14@gmail.com</v>
      </c>
      <c r="AI1084" s="85" t="str">
        <f>IFERROR(__xludf.DUMMYFUNCTION("""COMPUTED_VALUE"""),"42286S1")</f>
        <v>42286S1</v>
      </c>
      <c r="AJ1084" s="85" t="str">
        <f>IFERROR(__xludf.DUMMYFUNCTION("""COMPUTED_VALUE"""),"6a4ca6fbe507a3c88c016119")</f>
        <v>6a4ca6fbe507a3c88c016119</v>
      </c>
      <c r="AK1084" s="85" t="str">
        <f>IFERROR(__xludf.DUMMYFUNCTION("""COMPUTED_VALUE"""),"saepulbahrun14@gmail.com")</f>
        <v>saepulbahrun14@gmail.com</v>
      </c>
      <c r="AL1084" s="85" t="str">
        <f>IFERROR(__xludf.DUMMYFUNCTION("""COMPUTED_VALUE"""),"#Muc42286S1$")</f>
        <v>#Muc42286S1$</v>
      </c>
      <c r="AM1084" s="85" t="str">
        <f>IFERROR(__xludf.DUMMYFUNCTION("""COMPUTED_VALUE"""),"KANTOR REGIONAL II JAKARTA 10004")</f>
        <v>KANTOR REGIONAL II JAKARTA 10004</v>
      </c>
      <c r="AN1084" s="85" t="str">
        <f>IFERROR(__xludf.DUMMYFUNCTION("""COMPUTED_VALUE"""),"KC PANDEGLANG 42200")</f>
        <v>KC PANDEGLANG 42200</v>
      </c>
      <c r="AO1084" s="85" t="str">
        <f>IFERROR(__xludf.DUMMYFUNCTION("""COMPUTED_VALUE"""),"0303230012929")</f>
        <v>0303230012929</v>
      </c>
      <c r="AP1084" s="85" t="str">
        <f>IFERROR(__xludf.DUMMYFUNCTION("""COMPUTED_VALUE"""),"0303230012929")</f>
        <v>0303230012929</v>
      </c>
      <c r="AQ1084" s="93" t="str">
        <f>IFERROR(__xludf.DUMMYFUNCTION("""COMPUTED_VALUE"""),"1630015792412")</f>
        <v>1630015792412</v>
      </c>
      <c r="AR1084" s="85" t="str">
        <f>IFERROR(__xludf.DUMMYFUNCTION("""COMPUTED_VALUE"""),"MANDIRI")</f>
        <v>MANDIRI</v>
      </c>
      <c r="AS1084" s="85" t="str">
        <f>IFERROR(__xludf.DUMMYFUNCTION("""COMPUTED_VALUE"""),"SAEPUL BAHRUN")</f>
        <v>SAEPUL BAHRUN</v>
      </c>
      <c r="AT1084" s="85" t="str">
        <f>IFERROR(__xludf.DUMMYFUNCTION("""COMPUTED_VALUE"""),"-67,314,431")</f>
        <v>-67,314,431</v>
      </c>
      <c r="AU1084" s="85" t="str">
        <f>IFERROR(__xludf.DUMMYFUNCTION("""COMPUTED_VALUE"""),"1,058,896,327")</f>
        <v>1,058,896,327</v>
      </c>
      <c r="AV1084" s="85"/>
      <c r="AW1084" s="85"/>
      <c r="AX1084" s="85"/>
      <c r="AY1084" s="85"/>
      <c r="AZ1084" s="85"/>
      <c r="BA1084" s="85"/>
      <c r="BB1084" s="85"/>
      <c r="BC1084" s="85"/>
      <c r="BD1084" s="85"/>
      <c r="BE1084" s="85"/>
      <c r="BF1084" s="85"/>
      <c r="BG1084" s="85"/>
      <c r="BH1084" s="85"/>
      <c r="BI1084" s="85"/>
      <c r="BJ1084" s="85"/>
      <c r="BK1084" s="85"/>
      <c r="BL1084" s="85"/>
      <c r="BM1084" s="85"/>
      <c r="BN1084" s="85"/>
      <c r="BO1084" s="85"/>
      <c r="BP1084" s="85"/>
      <c r="BQ1084" s="85"/>
      <c r="BR1084" s="85"/>
      <c r="BS1084" s="85"/>
      <c r="BT1084" s="85"/>
      <c r="BU1084" s="85"/>
      <c r="BV1084" s="85"/>
      <c r="BW1084" s="85"/>
      <c r="BX1084" s="85"/>
      <c r="BY1084" s="85"/>
      <c r="BZ1084" s="85"/>
      <c r="CA1084" s="85"/>
      <c r="CB1084" s="85"/>
      <c r="CC1084" s="85"/>
      <c r="CD1084" s="85"/>
      <c r="CE1084" s="85"/>
      <c r="CF1084" s="85"/>
      <c r="CG1084" s="85"/>
      <c r="CH1084" s="85"/>
      <c r="CI1084" s="85"/>
      <c r="CJ1084" s="85"/>
      <c r="CK1084" s="2"/>
    </row>
    <row r="1085" ht="12.75" customHeight="1">
      <c r="A1085" s="80">
        <f>IFERROR(__xludf.DUMMYFUNCTION("""COMPUTED_VALUE"""),1081.0)</f>
        <v>1081</v>
      </c>
      <c r="B1085" s="80"/>
      <c r="C1085" s="80"/>
      <c r="D1085" s="81">
        <f>IFERROR(__xludf.DUMMYFUNCTION("""COMPUTED_VALUE"""),46195.0)</f>
        <v>46195</v>
      </c>
      <c r="E1085" s="82"/>
      <c r="F1085" s="80"/>
      <c r="G1085" s="81"/>
      <c r="H1085" s="80"/>
      <c r="I1085" s="80"/>
      <c r="J1085" s="80"/>
      <c r="K1085" s="80"/>
      <c r="L1085" s="80"/>
      <c r="M1085" s="80"/>
      <c r="N1085" s="80"/>
      <c r="O1085" s="80"/>
      <c r="P1085" s="80" t="str">
        <f>IFERROR(__xludf.DUMMYFUNCTION("""COMPUTED_VALUE"""),"MUCSPA63539PSIND")</f>
        <v>MUCSPA63539PSIND</v>
      </c>
      <c r="Q1085" s="80" t="str">
        <f>IFERROR(__xludf.DUMMYFUNCTION("""COMPUTED_VALUE"""),"MUC HZ MUSTOFA KAWALU")</f>
        <v>MUC HZ MUSTOFA KAWALU</v>
      </c>
      <c r="R1085" s="80" t="str">
        <f>IFERROR(__xludf.DUMMYFUNCTION("""COMPUTED_VALUE"""),"MUC HZ MUSTOFA KAWALU")</f>
        <v>MUC HZ MUSTOFA KAWALU</v>
      </c>
      <c r="S1085" s="80" t="str">
        <f>IFERROR(__xludf.DUMMYFUNCTION("""COMPUTED_VALUE"""),"JENAL MUSTOPA")</f>
        <v>JENAL MUSTOPA</v>
      </c>
      <c r="T1085" s="80" t="str">
        <f>IFERROR(__xludf.DUMMYFUNCTION("""COMPUTED_VALUE"""),"BABAKAN PALA RT 002 RW 010 KARSAMENAK, KAWALU, TASIKMALAYA")</f>
        <v>BABAKAN PALA RT 002 RW 010 KARSAMENAK, KAWALU, TASIKMALAYA</v>
      </c>
      <c r="U1085" s="80" t="str">
        <f>IFERROR(__xludf.DUMMYFUNCTION("""COMPUTED_VALUE"""),"JL. RAYA CIBEUTI NO.32, RT 002 RW 010")</f>
        <v>JL. RAYA CIBEUTI NO.32, RT 002 RW 010</v>
      </c>
      <c r="V1085" s="80" t="str">
        <f>IFERROR(__xludf.DUMMYFUNCTION("""COMPUTED_VALUE"""),"RT 002 \ RW 010")</f>
        <v>RT 002 \ RW 010</v>
      </c>
      <c r="W1085" s="80" t="str">
        <f>IFERROR(__xludf.DUMMYFUNCTION("""COMPUTED_VALUE"""),"KARSAMENAK")</f>
        <v>KARSAMENAK</v>
      </c>
      <c r="X1085" s="80" t="str">
        <f>IFERROR(__xludf.DUMMYFUNCTION("""COMPUTED_VALUE"""),"KAWALU")</f>
        <v>KAWALU</v>
      </c>
      <c r="Y1085" s="80" t="str">
        <f>IFERROR(__xludf.DUMMYFUNCTION("""COMPUTED_VALUE"""),"TASIKMALAYA")</f>
        <v>TASIKMALAYA</v>
      </c>
      <c r="Z1085" s="80" t="str">
        <f>IFERROR(__xludf.DUMMYFUNCTION("""COMPUTED_VALUE"""),"JAWA BARAT")</f>
        <v>JAWA BARAT</v>
      </c>
      <c r="AA1085" s="80" t="str">
        <f>IFERROR(__xludf.DUMMYFUNCTION("""COMPUTED_VALUE"""),"46182")</f>
        <v>46182</v>
      </c>
      <c r="AB1085" s="80" t="str">
        <f>IFERROR(__xludf.DUMMYFUNCTION("""COMPUTED_VALUE"""),"3278051510810007")</f>
        <v>3278051510810007</v>
      </c>
      <c r="AC1085" s="80" t="str">
        <f>IFERROR(__xludf.DUMMYFUNCTION("""COMPUTED_VALUE"""),"59.060.412.0-416.000")</f>
        <v>59.060.412.0-416.000</v>
      </c>
      <c r="AD1085" s="80" t="str">
        <f>IFERROR(__xludf.DUMMYFUNCTION("""COMPUTED_VALUE"""),"CUM - LP - ANGGI")</f>
        <v>CUM - LP - ANGGI</v>
      </c>
      <c r="AE1085" s="80" t="str">
        <f>IFERROR(__xludf.DUMMYFUNCTION("""COMPUTED_VALUE"""),"CUM - LP - ANGGI")</f>
        <v>CUM - LP - ANGGI</v>
      </c>
      <c r="AF1085" s="80" t="str">
        <f>IFERROR(__xludf.DUMMYFUNCTION("""COMPUTED_VALUE"""),"081333391359")</f>
        <v>081333391359</v>
      </c>
      <c r="AG1085" s="80" t="str">
        <f>IFERROR(__xludf.DUMMYFUNCTION("""COMPUTED_VALUE"""),"81333391359")</f>
        <v>81333391359</v>
      </c>
      <c r="AH1085" s="80" t="str">
        <f>IFERROR(__xludf.DUMMYFUNCTION("""COMPUTED_VALUE"""),"endoggarut@gmail.com")</f>
        <v>endoggarut@gmail.com</v>
      </c>
      <c r="AI1085" s="80"/>
      <c r="AJ1085" s="80"/>
      <c r="AK1085" s="80"/>
      <c r="AL1085" s="80"/>
      <c r="AM1085" s="80" t="str">
        <f>IFERROR(__xludf.DUMMYFUNCTION("""COMPUTED_VALUE"""),"KANTOR REGIONAL III BANDUNG 40004")</f>
        <v>KANTOR REGIONAL III BANDUNG 40004</v>
      </c>
      <c r="AN1085" s="80" t="str">
        <f>IFERROR(__xludf.DUMMYFUNCTION("""COMPUTED_VALUE"""),"KC TASIKMALAYA 46100")</f>
        <v>KC TASIKMALAYA 46100</v>
      </c>
      <c r="AO1085" s="80" t="str">
        <f>IFERROR(__xludf.DUMMYFUNCTION("""COMPUTED_VALUE"""),"2306260067878")</f>
        <v>2306260067878</v>
      </c>
      <c r="AP1085" s="80" t="str">
        <f>IFERROR(__xludf.DUMMYFUNCTION("""COMPUTED_VALUE"""),"2306260067878")</f>
        <v>2306260067878</v>
      </c>
      <c r="AQ1085" s="83" t="str">
        <f>IFERROR(__xludf.DUMMYFUNCTION("""COMPUTED_VALUE"""),"6235031878")</f>
        <v>6235031878</v>
      </c>
      <c r="AR1085" s="80" t="str">
        <f>IFERROR(__xludf.DUMMYFUNCTION("""COMPUTED_VALUE"""),"BCA")</f>
        <v>BCA</v>
      </c>
      <c r="AS1085" s="80" t="str">
        <f>IFERROR(__xludf.DUMMYFUNCTION("""COMPUTED_VALUE"""),"JENAL MUSTOPA")</f>
        <v>JENAL MUSTOPA</v>
      </c>
      <c r="AT1085" s="80" t="str">
        <f>IFERROR(__xludf.DUMMYFUNCTION("""COMPUTED_VALUE"""),"-73,808,176")</f>
        <v>-73,808,176</v>
      </c>
      <c r="AU1085" s="80" t="str">
        <f>IFERROR(__xludf.DUMMYFUNCTION("""COMPUTED_VALUE"""),"1,082,046,025")</f>
        <v>1,082,046,025</v>
      </c>
      <c r="AV1085" s="80"/>
      <c r="AW1085" s="80"/>
      <c r="AX1085" s="80"/>
      <c r="AY1085" s="80"/>
      <c r="AZ1085" s="80"/>
      <c r="BA1085" s="80"/>
      <c r="BB1085" s="80"/>
      <c r="BC1085" s="80"/>
      <c r="BD1085" s="80"/>
      <c r="BE1085" s="80"/>
      <c r="BF1085" s="80"/>
      <c r="BG1085" s="80"/>
      <c r="BH1085" s="80"/>
      <c r="BI1085" s="80"/>
      <c r="BJ1085" s="80"/>
      <c r="BK1085" s="80"/>
      <c r="BL1085" s="80"/>
      <c r="BM1085" s="80"/>
      <c r="BN1085" s="80"/>
      <c r="BO1085" s="80"/>
      <c r="BP1085" s="80"/>
      <c r="BQ1085" s="80"/>
      <c r="BR1085" s="80"/>
      <c r="BS1085" s="80"/>
      <c r="BT1085" s="80"/>
      <c r="BU1085" s="80"/>
      <c r="BV1085" s="80"/>
      <c r="BW1085" s="80"/>
      <c r="BX1085" s="80"/>
      <c r="BY1085" s="80"/>
      <c r="BZ1085" s="80"/>
      <c r="CA1085" s="80"/>
      <c r="CB1085" s="80"/>
      <c r="CC1085" s="80"/>
      <c r="CD1085" s="80"/>
      <c r="CE1085" s="80"/>
      <c r="CF1085" s="80"/>
      <c r="CG1085" s="80"/>
      <c r="CH1085" s="80"/>
      <c r="CI1085" s="80"/>
      <c r="CJ1085" s="80"/>
      <c r="CK1085" s="2"/>
    </row>
    <row r="1086" ht="12.75" customHeight="1">
      <c r="A1086" s="85">
        <f>IFERROR(__xludf.DUMMYFUNCTION("""COMPUTED_VALUE"""),1082.0)</f>
        <v>1082</v>
      </c>
      <c r="B1086" s="85"/>
      <c r="C1086" s="85"/>
      <c r="D1086" s="86">
        <f>IFERROR(__xludf.DUMMYFUNCTION("""COMPUTED_VALUE"""),46195.0)</f>
        <v>46195</v>
      </c>
      <c r="E1086" s="88"/>
      <c r="F1086" s="85"/>
      <c r="G1086" s="86">
        <f>IFERROR(__xludf.DUMMYFUNCTION("""COMPUTED_VALUE"""),46209.0)</f>
        <v>46209</v>
      </c>
      <c r="H1086" s="85"/>
      <c r="I1086" s="85"/>
      <c r="J1086" s="85"/>
      <c r="K1086" s="85"/>
      <c r="L1086" s="85">
        <f>IFERROR(__xludf.DUMMYFUNCTION("""COMPUTED_VALUE"""),14.0)</f>
        <v>14</v>
      </c>
      <c r="M1086" s="85"/>
      <c r="N1086" s="85"/>
      <c r="O1086" s="85"/>
      <c r="P1086" s="85" t="str">
        <f>IFERROR(__xludf.DUMMYFUNCTION("""COMPUTED_VALUE"""),"MUCSPA63540PSIND")</f>
        <v>MUCSPA63540PSIND</v>
      </c>
      <c r="Q1086" s="85" t="str">
        <f>IFERROR(__xludf.DUMMYFUNCTION("""COMPUTED_VALUE"""),"MUC JUWITA MANDASARI")</f>
        <v>MUC JUWITA MANDASARI</v>
      </c>
      <c r="R1086" s="85" t="str">
        <f>IFERROR(__xludf.DUMMYFUNCTION("""COMPUTED_VALUE"""),"MUC JUWITA MANDASARI")</f>
        <v>MUC JUWITA MANDASARI</v>
      </c>
      <c r="S1086" s="85" t="str">
        <f>IFERROR(__xludf.DUMMYFUNCTION("""COMPUTED_VALUE"""),"JUWITA MANDASARI")</f>
        <v>JUWITA MANDASARI</v>
      </c>
      <c r="T1086" s="85" t="str">
        <f>IFERROR(__xludf.DUMMYFUNCTION("""COMPUTED_VALUE"""),"LINK KUBANG WATES RT 001 RW 008 KOTABUMI, PURWAKARTA, CILEGON, BANTEN")</f>
        <v>LINK KUBANG WATES RT 001 RW 008 KOTABUMI, PURWAKARTA, CILEGON, BANTEN</v>
      </c>
      <c r="U1086" s="85" t="str">
        <f>IFERROR(__xludf.DUMMYFUNCTION("""COMPUTED_VALUE"""),"LINK KUBANG WATES RT 001 RW 008")</f>
        <v>LINK KUBANG WATES RT 001 RW 008</v>
      </c>
      <c r="V1086" s="85" t="str">
        <f>IFERROR(__xludf.DUMMYFUNCTION("""COMPUTED_VALUE"""),"RT 001 \ RW 008")</f>
        <v>RT 001 \ RW 008</v>
      </c>
      <c r="W1086" s="85" t="str">
        <f>IFERROR(__xludf.DUMMYFUNCTION("""COMPUTED_VALUE"""),"KOTABUMI")</f>
        <v>KOTABUMI</v>
      </c>
      <c r="X1086" s="85" t="str">
        <f>IFERROR(__xludf.DUMMYFUNCTION("""COMPUTED_VALUE"""),"PURWAKARTA")</f>
        <v>PURWAKARTA</v>
      </c>
      <c r="Y1086" s="85" t="str">
        <f>IFERROR(__xludf.DUMMYFUNCTION("""COMPUTED_VALUE"""),"CILEGON")</f>
        <v>CILEGON</v>
      </c>
      <c r="Z1086" s="85" t="str">
        <f>IFERROR(__xludf.DUMMYFUNCTION("""COMPUTED_VALUE"""),"BANTEN")</f>
        <v>BANTEN</v>
      </c>
      <c r="AA1086" s="85" t="str">
        <f>IFERROR(__xludf.DUMMYFUNCTION("""COMPUTED_VALUE"""),"42434")</f>
        <v>42434</v>
      </c>
      <c r="AB1086" s="85" t="str">
        <f>IFERROR(__xludf.DUMMYFUNCTION("""COMPUTED_VALUE"""),"3672075610920001")</f>
        <v>3672075610920001</v>
      </c>
      <c r="AC1086" s="85" t="str">
        <f>IFERROR(__xludf.DUMMYFUNCTION("""COMPUTED_VALUE"""),"75.368.322.6-417.000")</f>
        <v>75.368.322.6-417.000</v>
      </c>
      <c r="AD1086" s="85" t="str">
        <f>IFERROR(__xludf.DUMMYFUNCTION("""COMPUTED_VALUE"""),"KC CILEGON")</f>
        <v>KC CILEGON</v>
      </c>
      <c r="AE1086" s="85" t="str">
        <f>IFERROR(__xludf.DUMMYFUNCTION("""COMPUTED_VALUE"""),"KC CILEGON")</f>
        <v>KC CILEGON</v>
      </c>
      <c r="AF1086" s="85" t="str">
        <f>IFERROR(__xludf.DUMMYFUNCTION("""COMPUTED_VALUE"""),"081280506606")</f>
        <v>081280506606</v>
      </c>
      <c r="AG1086" s="85" t="str">
        <f>IFERROR(__xludf.DUMMYFUNCTION("""COMPUTED_VALUE"""),"81280506606")</f>
        <v>81280506606</v>
      </c>
      <c r="AH1086" s="85" t="str">
        <f>IFERROR(__xludf.DUMMYFUNCTION("""COMPUTED_VALUE"""),"juwitam427@gmail.com")</f>
        <v>juwitam427@gmail.com</v>
      </c>
      <c r="AI1086" s="85" t="str">
        <f>IFERROR(__xludf.DUMMYFUNCTION("""COMPUTED_VALUE"""),"42434S3")</f>
        <v>42434S3</v>
      </c>
      <c r="AJ1086" s="85" t="str">
        <f>IFERROR(__xludf.DUMMYFUNCTION("""COMPUTED_VALUE"""),"6a4b7258acfe330446069efd")</f>
        <v>6a4b7258acfe330446069efd</v>
      </c>
      <c r="AK1086" s="85" t="str">
        <f>IFERROR(__xludf.DUMMYFUNCTION("""COMPUTED_VALUE"""),"juwitam427@gmail.com")</f>
        <v>juwitam427@gmail.com</v>
      </c>
      <c r="AL1086" s="85" t="str">
        <f>IFERROR(__xludf.DUMMYFUNCTION("""COMPUTED_VALUE"""),"#Muc42434S3$")</f>
        <v>#Muc42434S3$</v>
      </c>
      <c r="AM1086" s="85" t="str">
        <f>IFERROR(__xludf.DUMMYFUNCTION("""COMPUTED_VALUE"""),"KANTOR REGIONAL II JAKARTA 10004")</f>
        <v>KANTOR REGIONAL II JAKARTA 10004</v>
      </c>
      <c r="AN1086" s="85" t="str">
        <f>IFERROR(__xludf.DUMMYFUNCTION("""COMPUTED_VALUE"""),"KC CILEGON 42400")</f>
        <v>KC CILEGON 42400</v>
      </c>
      <c r="AO1086" s="85" t="str">
        <f>IFERROR(__xludf.DUMMYFUNCTION("""COMPUTED_VALUE"""),"1234001442604")</f>
        <v>1234001442604</v>
      </c>
      <c r="AP1086" s="85" t="str">
        <f>IFERROR(__xludf.DUMMYFUNCTION("""COMPUTED_VALUE"""),"1234001442604")</f>
        <v>1234001442604</v>
      </c>
      <c r="AQ1086" s="93" t="str">
        <f>IFERROR(__xludf.DUMMYFUNCTION("""COMPUTED_VALUE"""),"0188-01-118712-50-9")</f>
        <v>0188-01-118712-50-9</v>
      </c>
      <c r="AR1086" s="85" t="str">
        <f>IFERROR(__xludf.DUMMYFUNCTION("""COMPUTED_VALUE"""),"BRI")</f>
        <v>BRI</v>
      </c>
      <c r="AS1086" s="85" t="str">
        <f>IFERROR(__xludf.DUMMYFUNCTION("""COMPUTED_VALUE"""),"JUWITA MANDASARI")</f>
        <v>JUWITA MANDASARI</v>
      </c>
      <c r="AT1086" s="85" t="str">
        <f>IFERROR(__xludf.DUMMYFUNCTION("""COMPUTED_VALUE"""),"-59,863,103")</f>
        <v>-59,863,103</v>
      </c>
      <c r="AU1086" s="85" t="str">
        <f>IFERROR(__xludf.DUMMYFUNCTION("""COMPUTED_VALUE"""),"1,060,345,293")</f>
        <v>1,060,345,293</v>
      </c>
      <c r="AV1086" s="85"/>
      <c r="AW1086" s="85"/>
      <c r="AX1086" s="85"/>
      <c r="AY1086" s="85"/>
      <c r="AZ1086" s="85"/>
      <c r="BA1086" s="85"/>
      <c r="BB1086" s="85"/>
      <c r="BC1086" s="85"/>
      <c r="BD1086" s="85"/>
      <c r="BE1086" s="85"/>
      <c r="BF1086" s="85"/>
      <c r="BG1086" s="85"/>
      <c r="BH1086" s="85"/>
      <c r="BI1086" s="85"/>
      <c r="BJ1086" s="85"/>
      <c r="BK1086" s="85"/>
      <c r="BL1086" s="85"/>
      <c r="BM1086" s="85"/>
      <c r="BN1086" s="85"/>
      <c r="BO1086" s="85"/>
      <c r="BP1086" s="85"/>
      <c r="BQ1086" s="85"/>
      <c r="BR1086" s="85"/>
      <c r="BS1086" s="85"/>
      <c r="BT1086" s="85"/>
      <c r="BU1086" s="85"/>
      <c r="BV1086" s="85"/>
      <c r="BW1086" s="85"/>
      <c r="BX1086" s="85"/>
      <c r="BY1086" s="85"/>
      <c r="BZ1086" s="85"/>
      <c r="CA1086" s="85"/>
      <c r="CB1086" s="85"/>
      <c r="CC1086" s="85"/>
      <c r="CD1086" s="85"/>
      <c r="CE1086" s="85"/>
      <c r="CF1086" s="85"/>
      <c r="CG1086" s="85"/>
      <c r="CH1086" s="85"/>
      <c r="CI1086" s="85"/>
      <c r="CJ1086" s="85"/>
      <c r="CK1086" s="2"/>
    </row>
    <row r="1087" ht="12.75" customHeight="1">
      <c r="A1087" s="80">
        <f>IFERROR(__xludf.DUMMYFUNCTION("""COMPUTED_VALUE"""),1083.0)</f>
        <v>1083</v>
      </c>
      <c r="B1087" s="80"/>
      <c r="C1087" s="80"/>
      <c r="D1087" s="81">
        <f>IFERROR(__xludf.DUMMYFUNCTION("""COMPUTED_VALUE"""),46195.0)</f>
        <v>46195</v>
      </c>
      <c r="E1087" s="82"/>
      <c r="F1087" s="80"/>
      <c r="G1087" s="81">
        <f>IFERROR(__xludf.DUMMYFUNCTION("""COMPUTED_VALUE"""),46212.0)</f>
        <v>46212</v>
      </c>
      <c r="H1087" s="80"/>
      <c r="I1087" s="80"/>
      <c r="J1087" s="80"/>
      <c r="K1087" s="80"/>
      <c r="L1087" s="80">
        <f>IFERROR(__xludf.DUMMYFUNCTION("""COMPUTED_VALUE"""),17.0)</f>
        <v>17</v>
      </c>
      <c r="M1087" s="80"/>
      <c r="N1087" s="80"/>
      <c r="O1087" s="80"/>
      <c r="P1087" s="80" t="str">
        <f>IFERROR(__xludf.DUMMYFUNCTION("""COMPUTED_VALUE"""),"MUCSPA63541PSIND")</f>
        <v>MUCSPA63541PSIND</v>
      </c>
      <c r="Q1087" s="80" t="str">
        <f>IFERROR(__xludf.DUMMYFUNCTION("""COMPUTED_VALUE"""),"MUC TOMODACHI")</f>
        <v>MUC TOMODACHI</v>
      </c>
      <c r="R1087" s="80" t="str">
        <f>IFERROR(__xludf.DUMMYFUNCTION("""COMPUTED_VALUE"""),"MUC TOMODACHI")</f>
        <v>MUC TOMODACHI</v>
      </c>
      <c r="S1087" s="80" t="str">
        <f>IFERROR(__xludf.DUMMYFUNCTION("""COMPUTED_VALUE"""),"Afifah Robbani")</f>
        <v>Afifah Robbani</v>
      </c>
      <c r="T1087" s="80" t="str">
        <f>IFERROR(__xludf.DUMMYFUNCTION("""COMPUTED_VALUE"""),"CANDI II, RT.005 RW.004 SARDONOHARJO, NGAGLIK, KAB. SLEMAN DIY")</f>
        <v>CANDI II, RT.005 RW.004 SARDONOHARJO, NGAGLIK, KAB. SLEMAN DIY</v>
      </c>
      <c r="U1087" s="80" t="str">
        <f>IFERROR(__xludf.DUMMYFUNCTION("""COMPUTED_VALUE"""),"Candi II rt05/rw04 candi dukuh")</f>
        <v>Candi II rt05/rw04 candi dukuh</v>
      </c>
      <c r="V1087" s="80" t="str">
        <f>IFERROR(__xludf.DUMMYFUNCTION("""COMPUTED_VALUE"""),"RT.005 \ RW.004")</f>
        <v>RT.005 \ RW.004</v>
      </c>
      <c r="W1087" s="80" t="str">
        <f>IFERROR(__xludf.DUMMYFUNCTION("""COMPUTED_VALUE"""),"sardonoharjo")</f>
        <v>sardonoharjo</v>
      </c>
      <c r="X1087" s="80" t="str">
        <f>IFERROR(__xludf.DUMMYFUNCTION("""COMPUTED_VALUE"""),"ngaglik")</f>
        <v>ngaglik</v>
      </c>
      <c r="Y1087" s="80" t="str">
        <f>IFERROR(__xludf.DUMMYFUNCTION("""COMPUTED_VALUE"""),"sleman")</f>
        <v>sleman</v>
      </c>
      <c r="Z1087" s="80" t="str">
        <f>IFERROR(__xludf.DUMMYFUNCTION("""COMPUTED_VALUE"""),"DI Yogyakarta")</f>
        <v>DI Yogyakarta</v>
      </c>
      <c r="AA1087" s="80" t="str">
        <f>IFERROR(__xludf.DUMMYFUNCTION("""COMPUTED_VALUE"""),"55581")</f>
        <v>55581</v>
      </c>
      <c r="AB1087" s="80" t="str">
        <f>IFERROR(__xludf.DUMMYFUNCTION("""COMPUTED_VALUE"""),"3306066307000003")</f>
        <v>3306066307000003</v>
      </c>
      <c r="AC1087" s="80" t="str">
        <f>IFERROR(__xludf.DUMMYFUNCTION("""COMPUTED_VALUE"""),"20.421.725.1-523.000")</f>
        <v>20.421.725.1-523.000</v>
      </c>
      <c r="AD1087" s="80" t="str">
        <f>IFERROR(__xludf.DUMMYFUNCTION("""COMPUTED_VALUE"""),"PAK BUDY KCU YOGYAKARTA")</f>
        <v>PAK BUDY KCU YOGYAKARTA</v>
      </c>
      <c r="AE1087" s="80" t="str">
        <f>IFERROR(__xludf.DUMMYFUNCTION("""COMPUTED_VALUE"""),"PAK BUDY KCU YOGYAKARTA")</f>
        <v>PAK BUDY KCU YOGYAKARTA</v>
      </c>
      <c r="AF1087" s="80" t="str">
        <f>IFERROR(__xludf.DUMMYFUNCTION("""COMPUTED_VALUE"""),"083861002344")</f>
        <v>083861002344</v>
      </c>
      <c r="AG1087" s="80" t="str">
        <f>IFERROR(__xludf.DUMMYFUNCTION("""COMPUTED_VALUE"""),"#ERROR!")</f>
        <v>#ERROR!</v>
      </c>
      <c r="AH1087" s="80" t="str">
        <f>IFERROR(__xludf.DUMMYFUNCTION("""COMPUTED_VALUE"""),"afifahrobbani23@gmail.com")</f>
        <v>afifahrobbani23@gmail.com</v>
      </c>
      <c r="AI1087" s="80" t="str">
        <f>IFERROR(__xludf.DUMMYFUNCTION("""COMPUTED_VALUE"""),"55581SE")</f>
        <v>55581SE</v>
      </c>
      <c r="AJ1087" s="80" t="str">
        <f>IFERROR(__xludf.DUMMYFUNCTION("""COMPUTED_VALUE"""),"6a4dc3a9f2a698ee79045ad3")</f>
        <v>6a4dc3a9f2a698ee79045ad3</v>
      </c>
      <c r="AK1087" s="80" t="str">
        <f>IFERROR(__xludf.DUMMYFUNCTION("""COMPUTED_VALUE"""),"afifahrobbani23@gmail.com")</f>
        <v>afifahrobbani23@gmail.com</v>
      </c>
      <c r="AL1087" s="80" t="str">
        <f>IFERROR(__xludf.DUMMYFUNCTION("""COMPUTED_VALUE"""),"#Muc55581SE$")</f>
        <v>#Muc55581SE$</v>
      </c>
      <c r="AM1087" s="80" t="str">
        <f>IFERROR(__xludf.DUMMYFUNCTION("""COMPUTED_VALUE"""),"KANTOR REGIONAL IV SEMARANG 50004")</f>
        <v>KANTOR REGIONAL IV SEMARANG 50004</v>
      </c>
      <c r="AN1087" s="80" t="str">
        <f>IFERROR(__xludf.DUMMYFUNCTION("""COMPUTED_VALUE"""),"KCU YOGYAKARTA 55000")</f>
        <v>KCU YOGYAKARTA 55000</v>
      </c>
      <c r="AO1087" s="80" t="str">
        <f>IFERROR(__xludf.DUMMYFUNCTION("""COMPUTED_VALUE"""),"-")</f>
        <v>-</v>
      </c>
      <c r="AP1087" s="80" t="str">
        <f>IFERROR(__xludf.DUMMYFUNCTION("""COMPUTED_VALUE"""),"-")</f>
        <v>-</v>
      </c>
      <c r="AQ1087" s="83" t="str">
        <f>IFERROR(__xludf.DUMMYFUNCTION("""COMPUTED_VALUE"""),"0601260408")</f>
        <v>0601260408</v>
      </c>
      <c r="AR1087" s="80" t="str">
        <f>IFERROR(__xludf.DUMMYFUNCTION("""COMPUTED_VALUE"""),"BCA")</f>
        <v>BCA</v>
      </c>
      <c r="AS1087" s="80" t="str">
        <f>IFERROR(__xludf.DUMMYFUNCTION("""COMPUTED_VALUE"""),"Afifah Robbani")</f>
        <v>Afifah Robbani</v>
      </c>
      <c r="AT1087" s="80" t="str">
        <f>IFERROR(__xludf.DUMMYFUNCTION("""COMPUTED_VALUE"""),"-7,705,078")</f>
        <v>-7,705,078</v>
      </c>
      <c r="AU1087" s="80" t="str">
        <f>IFERROR(__xludf.DUMMYFUNCTION("""COMPUTED_VALUE"""),"110,408,655")</f>
        <v>110,408,655</v>
      </c>
      <c r="AV1087" s="80"/>
      <c r="AW1087" s="80"/>
      <c r="AX1087" s="80"/>
      <c r="AY1087" s="80"/>
      <c r="AZ1087" s="80"/>
      <c r="BA1087" s="80"/>
      <c r="BB1087" s="80"/>
      <c r="BC1087" s="80"/>
      <c r="BD1087" s="80"/>
      <c r="BE1087" s="80"/>
      <c r="BF1087" s="80"/>
      <c r="BG1087" s="80"/>
      <c r="BH1087" s="80"/>
      <c r="BI1087" s="80"/>
      <c r="BJ1087" s="80"/>
      <c r="BK1087" s="80"/>
      <c r="BL1087" s="80"/>
      <c r="BM1087" s="80"/>
      <c r="BN1087" s="80"/>
      <c r="BO1087" s="80"/>
      <c r="BP1087" s="80"/>
      <c r="BQ1087" s="80"/>
      <c r="BR1087" s="80"/>
      <c r="BS1087" s="80"/>
      <c r="BT1087" s="80"/>
      <c r="BU1087" s="80"/>
      <c r="BV1087" s="80"/>
      <c r="BW1087" s="80"/>
      <c r="BX1087" s="80"/>
      <c r="BY1087" s="80"/>
      <c r="BZ1087" s="80"/>
      <c r="CA1087" s="80"/>
      <c r="CB1087" s="80"/>
      <c r="CC1087" s="80"/>
      <c r="CD1087" s="80"/>
      <c r="CE1087" s="80"/>
      <c r="CF1087" s="80"/>
      <c r="CG1087" s="80"/>
      <c r="CH1087" s="80"/>
      <c r="CI1087" s="80"/>
      <c r="CJ1087" s="80"/>
      <c r="CK1087" s="2"/>
    </row>
    <row r="1088" ht="12.75" customHeight="1">
      <c r="A1088" s="85">
        <f>IFERROR(__xludf.DUMMYFUNCTION("""COMPUTED_VALUE"""),1084.0)</f>
        <v>1084</v>
      </c>
      <c r="B1088" s="85"/>
      <c r="C1088" s="85"/>
      <c r="D1088" s="86">
        <f>IFERROR(__xludf.DUMMYFUNCTION("""COMPUTED_VALUE"""),46195.0)</f>
        <v>46195</v>
      </c>
      <c r="E1088" s="88"/>
      <c r="F1088" s="85"/>
      <c r="G1088" s="86">
        <f>IFERROR(__xludf.DUMMYFUNCTION("""COMPUTED_VALUE"""),46267.0)</f>
        <v>46267</v>
      </c>
      <c r="H1088" s="85"/>
      <c r="I1088" s="85"/>
      <c r="J1088" s="85"/>
      <c r="K1088" s="85"/>
      <c r="L1088" s="85">
        <f>IFERROR(__xludf.DUMMYFUNCTION("""COMPUTED_VALUE"""),72.0)</f>
        <v>72</v>
      </c>
      <c r="M1088" s="85"/>
      <c r="N1088" s="85"/>
      <c r="O1088" s="85"/>
      <c r="P1088" s="85" t="str">
        <f>IFERROR(__xludf.DUMMYFUNCTION("""COMPUTED_VALUE"""),"MUCSPA63537PSIND")</f>
        <v>MUCSPA63537PSIND</v>
      </c>
      <c r="Q1088" s="85" t="str">
        <f>IFERROR(__xludf.DUMMYFUNCTION("""COMPUTED_VALUE"""),"MUC SURYA BIROJASA CEPER")</f>
        <v>MUC SURYA BIROJASA CEPER</v>
      </c>
      <c r="R1088" s="85" t="str">
        <f>IFERROR(__xludf.DUMMYFUNCTION("""COMPUTED_VALUE"""),"MUC SURYA BIROJASA CEPER")</f>
        <v>MUC SURYA BIROJASA CEPER</v>
      </c>
      <c r="S1088" s="85" t="str">
        <f>IFERROR(__xludf.DUMMYFUNCTION("""COMPUTED_VALUE"""),"YUNIUS")</f>
        <v>YUNIUS</v>
      </c>
      <c r="T1088" s="85" t="str">
        <f>IFERROR(__xludf.DUMMYFUNCTION("""COMPUTED_VALUE"""),"JL. P SIRIH UTARA DALAM 4 DD/197 RT 005 RW 014 PEKAYONJAYA, BEKASI SELATAN, BEKASI")</f>
        <v>JL. P SIRIH UTARA DALAM 4 DD/197 RT 005 RW 014 PEKAYONJAYA, BEKASI SELATAN, BEKASI</v>
      </c>
      <c r="U1088" s="85" t="str">
        <f>IFERROR(__xludf.DUMMYFUNCTION("""COMPUTED_VALUE"""),"JL. PASIR RANDU")</f>
        <v>JL. PASIR RANDU</v>
      </c>
      <c r="V1088" s="85" t="str">
        <f>IFERROR(__xludf.DUMMYFUNCTION("""COMPUTED_VALUE"""),"RT 005 \ RW 014")</f>
        <v>RT 005 \ RW 014</v>
      </c>
      <c r="W1088" s="85" t="str">
        <f>IFERROR(__xludf.DUMMYFUNCTION("""COMPUTED_VALUE"""),"SUKASARI")</f>
        <v>SUKASARI</v>
      </c>
      <c r="X1088" s="85" t="str">
        <f>IFERROR(__xludf.DUMMYFUNCTION("""COMPUTED_VALUE"""),"SERANG BARU")</f>
        <v>SERANG BARU</v>
      </c>
      <c r="Y1088" s="85" t="str">
        <f>IFERROR(__xludf.DUMMYFUNCTION("""COMPUTED_VALUE"""),"KAB.BEKASI")</f>
        <v>KAB.BEKASI</v>
      </c>
      <c r="Z1088" s="85" t="str">
        <f>IFERROR(__xludf.DUMMYFUNCTION("""COMPUTED_VALUE"""),"JAWA BARAT")</f>
        <v>JAWA BARAT</v>
      </c>
      <c r="AA1088" s="85" t="str">
        <f>IFERROR(__xludf.DUMMYFUNCTION("""COMPUTED_VALUE"""),"17332")</f>
        <v>17332</v>
      </c>
      <c r="AB1088" s="85" t="str">
        <f>IFERROR(__xludf.DUMMYFUNCTION("""COMPUTED_VALUE"""),"3275041006860028")</f>
        <v>3275041006860028</v>
      </c>
      <c r="AC1088" s="85" t="str">
        <f>IFERROR(__xludf.DUMMYFUNCTION("""COMPUTED_VALUE"""),"27.502.131.9-432.000")</f>
        <v>27.502.131.9-432.000</v>
      </c>
      <c r="AD1088" s="85" t="str">
        <f>IFERROR(__xludf.DUMMYFUNCTION("""COMPUTED_VALUE"""),"PAK RENDRA KC CIKARANG")</f>
        <v>PAK RENDRA KC CIKARANG</v>
      </c>
      <c r="AE1088" s="85" t="str">
        <f>IFERROR(__xludf.DUMMYFUNCTION("""COMPUTED_VALUE"""),"PAK RENDRA KC CIKARANG")</f>
        <v>PAK RENDRA KC CIKARANG</v>
      </c>
      <c r="AF1088" s="85" t="str">
        <f>IFERROR(__xludf.DUMMYFUNCTION("""COMPUTED_VALUE"""),"081113802324")</f>
        <v>081113802324</v>
      </c>
      <c r="AG1088" s="85" t="str">
        <f>IFERROR(__xludf.DUMMYFUNCTION("""COMPUTED_VALUE"""),"81113802324")</f>
        <v>81113802324</v>
      </c>
      <c r="AH1088" s="85" t="str">
        <f>IFERROR(__xludf.DUMMYFUNCTION("""COMPUTED_VALUE"""),"suryabirojasaceper@gmail.com")</f>
        <v>suryabirojasaceper@gmail.com</v>
      </c>
      <c r="AI1088" s="85" t="str">
        <f>IFERROR(__xludf.DUMMYFUNCTION("""COMPUTED_VALUE"""),"17332S3")</f>
        <v>17332S3</v>
      </c>
      <c r="AJ1088" s="85" t="str">
        <f>IFERROR(__xludf.DUMMYFUNCTION("""COMPUTED_VALUE"""),"6a96ad081e725a5bdf0f3365")</f>
        <v>6a96ad081e725a5bdf0f3365</v>
      </c>
      <c r="AK1088" s="85" t="str">
        <f>IFERROR(__xludf.DUMMYFUNCTION("""COMPUTED_VALUE"""),"suryabirojasaceper@gmail.com")</f>
        <v>suryabirojasaceper@gmail.com</v>
      </c>
      <c r="AL1088" s="85" t="str">
        <f>IFERROR(__xludf.DUMMYFUNCTION("""COMPUTED_VALUE"""),"#Muc17332S3$")</f>
        <v>#Muc17332S3$</v>
      </c>
      <c r="AM1088" s="85" t="str">
        <f>IFERROR(__xludf.DUMMYFUNCTION("""COMPUTED_VALUE"""),"KANTOR REGIONAL II JAKARTA 10004")</f>
        <v>KANTOR REGIONAL II JAKARTA 10004</v>
      </c>
      <c r="AN1088" s="85" t="str">
        <f>IFERROR(__xludf.DUMMYFUNCTION("""COMPUTED_VALUE"""),"KC CIKARANG 17500")</f>
        <v>KC CIKARANG 17500</v>
      </c>
      <c r="AO1088" s="85" t="str">
        <f>IFERROR(__xludf.DUMMYFUNCTION("""COMPUTED_VALUE"""),"2306260053713")</f>
        <v>2306260053713</v>
      </c>
      <c r="AP1088" s="85" t="str">
        <f>IFERROR(__xludf.DUMMYFUNCTION("""COMPUTED_VALUE"""),"2306260053713")</f>
        <v>2306260053713</v>
      </c>
      <c r="AQ1088" s="93" t="str">
        <f>IFERROR(__xludf.DUMMYFUNCTION("""COMPUTED_VALUE"""),"8730167297")</f>
        <v>8730167297</v>
      </c>
      <c r="AR1088" s="85" t="str">
        <f>IFERROR(__xludf.DUMMYFUNCTION("""COMPUTED_VALUE"""),"BCA")</f>
        <v>BCA</v>
      </c>
      <c r="AS1088" s="85" t="str">
        <f>IFERROR(__xludf.DUMMYFUNCTION("""COMPUTED_VALUE"""),"YUNIUS")</f>
        <v>YUNIUS</v>
      </c>
      <c r="AT1088" s="85" t="str">
        <f>IFERROR(__xludf.DUMMYFUNCTION("""COMPUTED_VALUE"""),"-63,930,768")</f>
        <v>-63,930,768</v>
      </c>
      <c r="AU1088" s="85" t="str">
        <f>IFERROR(__xludf.DUMMYFUNCTION("""COMPUTED_VALUE"""),"1,070,842,914")</f>
        <v>1,070,842,914</v>
      </c>
      <c r="AV1088" s="85"/>
      <c r="AW1088" s="85"/>
      <c r="AX1088" s="85"/>
      <c r="AY1088" s="85"/>
      <c r="AZ1088" s="85"/>
      <c r="BA1088" s="85"/>
      <c r="BB1088" s="85"/>
      <c r="BC1088" s="85"/>
      <c r="BD1088" s="85"/>
      <c r="BE1088" s="85"/>
      <c r="BF1088" s="85"/>
      <c r="BG1088" s="85"/>
      <c r="BH1088" s="85"/>
      <c r="BI1088" s="85"/>
      <c r="BJ1088" s="85"/>
      <c r="BK1088" s="85"/>
      <c r="BL1088" s="85"/>
      <c r="BM1088" s="85"/>
      <c r="BN1088" s="85"/>
      <c r="BO1088" s="85"/>
      <c r="BP1088" s="85"/>
      <c r="BQ1088" s="85"/>
      <c r="BR1088" s="85"/>
      <c r="BS1088" s="85"/>
      <c r="BT1088" s="85"/>
      <c r="BU1088" s="85"/>
      <c r="BV1088" s="85"/>
      <c r="BW1088" s="85"/>
      <c r="BX1088" s="85"/>
      <c r="BY1088" s="85"/>
      <c r="BZ1088" s="85"/>
      <c r="CA1088" s="85"/>
      <c r="CB1088" s="85"/>
      <c r="CC1088" s="85"/>
      <c r="CD1088" s="85"/>
      <c r="CE1088" s="85"/>
      <c r="CF1088" s="85"/>
      <c r="CG1088" s="85"/>
      <c r="CH1088" s="85"/>
      <c r="CI1088" s="85"/>
      <c r="CJ1088" s="85"/>
      <c r="CK1088" s="2"/>
    </row>
    <row r="1089" ht="12.75" customHeight="1">
      <c r="A1089" s="80">
        <f>IFERROR(__xludf.DUMMYFUNCTION("""COMPUTED_VALUE"""),1085.0)</f>
        <v>1085</v>
      </c>
      <c r="B1089" s="80"/>
      <c r="C1089" s="80"/>
      <c r="D1089" s="81">
        <f>IFERROR(__xludf.DUMMYFUNCTION("""COMPUTED_VALUE"""),46195.0)</f>
        <v>46195</v>
      </c>
      <c r="E1089" s="82"/>
      <c r="F1089" s="80"/>
      <c r="G1089" s="81">
        <f>IFERROR(__xludf.DUMMYFUNCTION("""COMPUTED_VALUE"""),46215.0)</f>
        <v>46215</v>
      </c>
      <c r="H1089" s="80"/>
      <c r="I1089" s="80"/>
      <c r="J1089" s="80"/>
      <c r="K1089" s="80"/>
      <c r="L1089" s="80">
        <f>IFERROR(__xludf.DUMMYFUNCTION("""COMPUTED_VALUE"""),20.0)</f>
        <v>20</v>
      </c>
      <c r="M1089" s="80"/>
      <c r="N1089" s="80"/>
      <c r="O1089" s="80"/>
      <c r="P1089" s="80" t="str">
        <f>IFERROR(__xludf.DUMMYFUNCTION("""COMPUTED_VALUE"""),"MUCSPA63542PSIND")</f>
        <v>MUCSPA63542PSIND</v>
      </c>
      <c r="Q1089" s="80" t="str">
        <f>IFERROR(__xludf.DUMMYFUNCTION("""COMPUTED_VALUE"""),"MUC SURYA BIRO JASA")</f>
        <v>MUC SURYA BIRO JASA</v>
      </c>
      <c r="R1089" s="80" t="str">
        <f>IFERROR(__xludf.DUMMYFUNCTION("""COMPUTED_VALUE"""),"MUC SURYA BIRO JASA")</f>
        <v>MUC SURYA BIRO JASA</v>
      </c>
      <c r="S1089" s="80" t="str">
        <f>IFERROR(__xludf.DUMMYFUNCTION("""COMPUTED_VALUE"""),"YUNIUS")</f>
        <v>YUNIUS</v>
      </c>
      <c r="T1089" s="80" t="str">
        <f>IFERROR(__xludf.DUMMYFUNCTION("""COMPUTED_VALUE"""),"JL. P SIRIH UTARA DALAM 4 DD/197 RT 005 RW 014 PEKAYONJAYA, BEKASI SELATAN, BEKASI")</f>
        <v>JL. P SIRIH UTARA DALAM 4 DD/197 RT 005 RW 014 PEKAYONJAYA, BEKASI SELATAN, BEKASI</v>
      </c>
      <c r="U1089" s="80" t="str">
        <f>IFERROR(__xludf.DUMMYFUNCTION("""COMPUTED_VALUE"""),"JL. RAYA KH UMAR RW. ILAT")</f>
        <v>JL. RAYA KH UMAR RW. ILAT</v>
      </c>
      <c r="V1089" s="80" t="str">
        <f>IFERROR(__xludf.DUMMYFUNCTION("""COMPUTED_VALUE"""),"RT 005 \ RW 014")</f>
        <v>RT 005 \ RW 014</v>
      </c>
      <c r="W1089" s="80" t="str">
        <f>IFERROR(__xludf.DUMMYFUNCTION("""COMPUTED_VALUE"""),"MAMPIR")</f>
        <v>MAMPIR</v>
      </c>
      <c r="X1089" s="80" t="str">
        <f>IFERROR(__xludf.DUMMYFUNCTION("""COMPUTED_VALUE"""),"CILEUNGSI")</f>
        <v>CILEUNGSI</v>
      </c>
      <c r="Y1089" s="80" t="str">
        <f>IFERROR(__xludf.DUMMYFUNCTION("""COMPUTED_VALUE"""),"KAB.BOGOR")</f>
        <v>KAB.BOGOR</v>
      </c>
      <c r="Z1089" s="80" t="str">
        <f>IFERROR(__xludf.DUMMYFUNCTION("""COMPUTED_VALUE"""),"JAWA BARAT")</f>
        <v>JAWA BARAT</v>
      </c>
      <c r="AA1089" s="80" t="str">
        <f>IFERROR(__xludf.DUMMYFUNCTION("""COMPUTED_VALUE"""),"16820")</f>
        <v>16820</v>
      </c>
      <c r="AB1089" s="80" t="str">
        <f>IFERROR(__xludf.DUMMYFUNCTION("""COMPUTED_VALUE"""),"3275041006860028")</f>
        <v>3275041006860028</v>
      </c>
      <c r="AC1089" s="80" t="str">
        <f>IFERROR(__xludf.DUMMYFUNCTION("""COMPUTED_VALUE"""),"27.502.131.9-432.000")</f>
        <v>27.502.131.9-432.000</v>
      </c>
      <c r="AD1089" s="80" t="str">
        <f>IFERROR(__xludf.DUMMYFUNCTION("""COMPUTED_VALUE"""),"PAK RENDRA KC CIKARANG")</f>
        <v>PAK RENDRA KC CIKARANG</v>
      </c>
      <c r="AE1089" s="80" t="str">
        <f>IFERROR(__xludf.DUMMYFUNCTION("""COMPUTED_VALUE"""),"PAK RENDRA KC CIKARANG")</f>
        <v>PAK RENDRA KC CIKARANG</v>
      </c>
      <c r="AF1089" s="80" t="str">
        <f>IFERROR(__xludf.DUMMYFUNCTION("""COMPUTED_VALUE"""),"082299238552")</f>
        <v>082299238552</v>
      </c>
      <c r="AG1089" s="80" t="str">
        <f>IFERROR(__xludf.DUMMYFUNCTION("""COMPUTED_VALUE"""),"82299238552")</f>
        <v>82299238552</v>
      </c>
      <c r="AH1089" s="80" t="str">
        <f>IFERROR(__xludf.DUMMYFUNCTION("""COMPUTED_VALUE"""),"suryabirojasa9@gmail.com")</f>
        <v>suryabirojasa9@gmail.com</v>
      </c>
      <c r="AI1089" s="80" t="str">
        <f>IFERROR(__xludf.DUMMYFUNCTION("""COMPUTED_VALUE"""),"16823S3")</f>
        <v>16823S3</v>
      </c>
      <c r="AJ1089" s="80" t="str">
        <f>IFERROR(__xludf.DUMMYFUNCTION("""COMPUTED_VALUE"""),"6a53ad0ca625d0bc580bf095")</f>
        <v>6a53ad0ca625d0bc580bf095</v>
      </c>
      <c r="AK1089" s="80" t="str">
        <f>IFERROR(__xludf.DUMMYFUNCTION("""COMPUTED_VALUE"""),"suryabirojasa9@gmail.com")</f>
        <v>suryabirojasa9@gmail.com</v>
      </c>
      <c r="AL1089" s="80" t="str">
        <f>IFERROR(__xludf.DUMMYFUNCTION("""COMPUTED_VALUE"""),"#Muc16823S3$")</f>
        <v>#Muc16823S3$</v>
      </c>
      <c r="AM1089" s="80" t="str">
        <f>IFERROR(__xludf.DUMMYFUNCTION("""COMPUTED_VALUE"""),"KANTOR REGIONAL II JAKARTA 10004")</f>
        <v>KANTOR REGIONAL II JAKARTA 10004</v>
      </c>
      <c r="AN1089" s="80" t="str">
        <f>IFERROR(__xludf.DUMMYFUNCTION("""COMPUTED_VALUE"""),"KC CIBINONG 16900")</f>
        <v>KC CIBINONG 16900</v>
      </c>
      <c r="AO1089" s="80" t="str">
        <f>IFERROR(__xludf.DUMMYFUNCTION("""COMPUTED_VALUE"""),"2306260091561")</f>
        <v>2306260091561</v>
      </c>
      <c r="AP1089" s="80" t="str">
        <f>IFERROR(__xludf.DUMMYFUNCTION("""COMPUTED_VALUE"""),"2306260091561")</f>
        <v>2306260091561</v>
      </c>
      <c r="AQ1089" s="83" t="str">
        <f>IFERROR(__xludf.DUMMYFUNCTION("""COMPUTED_VALUE"""),"9000021421483")</f>
        <v>9000021421483</v>
      </c>
      <c r="AR1089" s="80" t="str">
        <f>IFERROR(__xludf.DUMMYFUNCTION("""COMPUTED_VALUE"""),"MANDIRI")</f>
        <v>MANDIRI</v>
      </c>
      <c r="AS1089" s="80" t="str">
        <f>IFERROR(__xludf.DUMMYFUNCTION("""COMPUTED_VALUE"""),"YUNIUS")</f>
        <v>YUNIUS</v>
      </c>
      <c r="AT1089" s="80" t="str">
        <f>IFERROR(__xludf.DUMMYFUNCTION("""COMPUTED_VALUE"""),"-64,234,463")</f>
        <v>-64,234,463</v>
      </c>
      <c r="AU1089" s="80" t="str">
        <f>IFERROR(__xludf.DUMMYFUNCTION("""COMPUTED_VALUE"""),"1,069,868,214")</f>
        <v>1,069,868,214</v>
      </c>
      <c r="AV1089" s="80"/>
      <c r="AW1089" s="80"/>
      <c r="AX1089" s="80"/>
      <c r="AY1089" s="80"/>
      <c r="AZ1089" s="80"/>
      <c r="BA1089" s="80"/>
      <c r="BB1089" s="80"/>
      <c r="BC1089" s="80"/>
      <c r="BD1089" s="80"/>
      <c r="BE1089" s="80"/>
      <c r="BF1089" s="80"/>
      <c r="BG1089" s="80"/>
      <c r="BH1089" s="80"/>
      <c r="BI1089" s="80"/>
      <c r="BJ1089" s="80"/>
      <c r="BK1089" s="80"/>
      <c r="BL1089" s="80"/>
      <c r="BM1089" s="80"/>
      <c r="BN1089" s="80"/>
      <c r="BO1089" s="80"/>
      <c r="BP1089" s="80"/>
      <c r="BQ1089" s="80"/>
      <c r="BR1089" s="80"/>
      <c r="BS1089" s="80"/>
      <c r="BT1089" s="80"/>
      <c r="BU1089" s="80"/>
      <c r="BV1089" s="80"/>
      <c r="BW1089" s="80"/>
      <c r="BX1089" s="80"/>
      <c r="BY1089" s="80"/>
      <c r="BZ1089" s="80"/>
      <c r="CA1089" s="80"/>
      <c r="CB1089" s="80"/>
      <c r="CC1089" s="80"/>
      <c r="CD1089" s="80"/>
      <c r="CE1089" s="80"/>
      <c r="CF1089" s="80"/>
      <c r="CG1089" s="80"/>
      <c r="CH1089" s="80"/>
      <c r="CI1089" s="80"/>
      <c r="CJ1089" s="80"/>
      <c r="CK1089" s="2"/>
    </row>
    <row r="1090" ht="12.75" customHeight="1">
      <c r="A1090" s="85">
        <f>IFERROR(__xludf.DUMMYFUNCTION("""COMPUTED_VALUE"""),1086.0)</f>
        <v>1086</v>
      </c>
      <c r="B1090" s="85"/>
      <c r="C1090" s="85"/>
      <c r="D1090" s="86">
        <f>IFERROR(__xludf.DUMMYFUNCTION("""COMPUTED_VALUE"""),46195.0)</f>
        <v>46195</v>
      </c>
      <c r="E1090" s="88"/>
      <c r="F1090" s="85"/>
      <c r="G1090" s="86"/>
      <c r="H1090" s="85"/>
      <c r="I1090" s="85"/>
      <c r="J1090" s="85"/>
      <c r="K1090" s="85"/>
      <c r="L1090" s="85"/>
      <c r="M1090" s="85"/>
      <c r="N1090" s="85"/>
      <c r="O1090" s="85"/>
      <c r="P1090" s="85" t="str">
        <f>IFERROR(__xludf.DUMMYFUNCTION("""COMPUTED_VALUE"""),"MUCSPA63525PSIND")</f>
        <v>MUCSPA63525PSIND</v>
      </c>
      <c r="Q1090" s="85" t="str">
        <f>IFERROR(__xludf.DUMMYFUNCTION("""COMPUTED_VALUE"""),"MUC BAROKAH")</f>
        <v>MUC BAROKAH</v>
      </c>
      <c r="R1090" s="85" t="str">
        <f>IFERROR(__xludf.DUMMYFUNCTION("""COMPUTED_VALUE"""),"MUC BAROKAH")</f>
        <v>MUC BAROKAH</v>
      </c>
      <c r="S1090" s="85" t="str">
        <f>IFERROR(__xludf.DUMMYFUNCTION("""COMPUTED_VALUE"""),"SITI AFIFAH")</f>
        <v>SITI AFIFAH</v>
      </c>
      <c r="T1090" s="85" t="str">
        <f>IFERROR(__xludf.DUMMYFUNCTION("""COMPUTED_VALUE"""),"KP SOBANG RT 001 RW 001 SOBANG, SOBANG, KAB.PANDEGLANG")</f>
        <v>KP SOBANG RT 001 RW 001 SOBANG, SOBANG, KAB.PANDEGLANG</v>
      </c>
      <c r="U1090" s="85" t="str">
        <f>IFERROR(__xludf.DUMMYFUNCTION("""COMPUTED_VALUE"""),"JALAN RAYA PASAR SOBANG RT 01 RW 02")</f>
        <v>JALAN RAYA PASAR SOBANG RT 01 RW 02</v>
      </c>
      <c r="V1090" s="85" t="str">
        <f>IFERROR(__xludf.DUMMYFUNCTION("""COMPUTED_VALUE"""),"RT 001 \ RW 001")</f>
        <v>RT 001 \ RW 001</v>
      </c>
      <c r="W1090" s="85" t="str">
        <f>IFERROR(__xludf.DUMMYFUNCTION("""COMPUTED_VALUE"""),"SOBANG")</f>
        <v>SOBANG</v>
      </c>
      <c r="X1090" s="85" t="str">
        <f>IFERROR(__xludf.DUMMYFUNCTION("""COMPUTED_VALUE"""),"SOBANG")</f>
        <v>SOBANG</v>
      </c>
      <c r="Y1090" s="85" t="str">
        <f>IFERROR(__xludf.DUMMYFUNCTION("""COMPUTED_VALUE"""),"KAB.PANDEGLANG")</f>
        <v>KAB.PANDEGLANG</v>
      </c>
      <c r="Z1090" s="85" t="str">
        <f>IFERROR(__xludf.DUMMYFUNCTION("""COMPUTED_VALUE"""),"BANTEN")</f>
        <v>BANTEN</v>
      </c>
      <c r="AA1090" s="85" t="str">
        <f>IFERROR(__xludf.DUMMYFUNCTION("""COMPUTED_VALUE"""),"42281")</f>
        <v>42281</v>
      </c>
      <c r="AB1090" s="85" t="str">
        <f>IFERROR(__xludf.DUMMYFUNCTION("""COMPUTED_VALUE"""),"3601354701840004")</f>
        <v>3601354701840004</v>
      </c>
      <c r="AC1090" s="85" t="str">
        <f>IFERROR(__xludf.DUMMYFUNCTION("""COMPUTED_VALUE"""),"36.013.505.0-280.0003")</f>
        <v>36.013.505.0-280.0003</v>
      </c>
      <c r="AD1090" s="85" t="str">
        <f>IFERROR(__xludf.DUMMYFUNCTION("""COMPUTED_VALUE"""),"CUM - PS - MARVEL")</f>
        <v>CUM - PS - MARVEL</v>
      </c>
      <c r="AE1090" s="85" t="str">
        <f>IFERROR(__xludf.DUMMYFUNCTION("""COMPUTED_VALUE"""),"CUM - PS - MARVEL")</f>
        <v>CUM - PS - MARVEL</v>
      </c>
      <c r="AF1090" s="85" t="str">
        <f>IFERROR(__xludf.DUMMYFUNCTION("""COMPUTED_VALUE"""),"081293948875")</f>
        <v>081293948875</v>
      </c>
      <c r="AG1090" s="85" t="str">
        <f>IFERROR(__xludf.DUMMYFUNCTION("""COMPUTED_VALUE"""),"81293948875")</f>
        <v>81293948875</v>
      </c>
      <c r="AH1090" s="85" t="str">
        <f>IFERROR(__xludf.DUMMYFUNCTION("""COMPUTED_VALUE"""),"barokahshop11@gmail.com")</f>
        <v>barokahshop11@gmail.com</v>
      </c>
      <c r="AI1090" s="85"/>
      <c r="AJ1090" s="85"/>
      <c r="AK1090" s="85"/>
      <c r="AL1090" s="85"/>
      <c r="AM1090" s="85" t="str">
        <f>IFERROR(__xludf.DUMMYFUNCTION("""COMPUTED_VALUE"""),"KANTOR REGIONAL II JAKARTA 10004")</f>
        <v>KANTOR REGIONAL II JAKARTA 10004</v>
      </c>
      <c r="AN1090" s="85" t="str">
        <f>IFERROR(__xludf.DUMMYFUNCTION("""COMPUTED_VALUE"""),"KC PANDEGLANG 42200")</f>
        <v>KC PANDEGLANG 42200</v>
      </c>
      <c r="AO1090" s="85" t="str">
        <f>IFERROR(__xludf.DUMMYFUNCTION("""COMPUTED_VALUE"""),"0000000000000")</f>
        <v>0000000000000</v>
      </c>
      <c r="AP1090" s="85" t="str">
        <f>IFERROR(__xludf.DUMMYFUNCTION("""COMPUTED_VALUE"""),"00000000000000000")</f>
        <v>00000000000000000</v>
      </c>
      <c r="AQ1090" s="93" t="str">
        <f>IFERROR(__xludf.DUMMYFUNCTION("""COMPUTED_VALUE"""),"481701005254506")</f>
        <v>481701005254506</v>
      </c>
      <c r="AR1090" s="85" t="str">
        <f>IFERROR(__xludf.DUMMYFUNCTION("""COMPUTED_VALUE"""),"BRI")</f>
        <v>BRI</v>
      </c>
      <c r="AS1090" s="85" t="str">
        <f>IFERROR(__xludf.DUMMYFUNCTION("""COMPUTED_VALUE"""),"SITI AFIFAH")</f>
        <v>SITI AFIFAH</v>
      </c>
      <c r="AT1090" s="85" t="str">
        <f>IFERROR(__xludf.DUMMYFUNCTION("""COMPUTED_VALUE"""),"-6,559,624")</f>
        <v>-6,559,624</v>
      </c>
      <c r="AU1090" s="85" t="str">
        <f>IFERROR(__xludf.DUMMYFUNCTION("""COMPUTED_VALUE"""),"1,057,565,581")</f>
        <v>1,057,565,581</v>
      </c>
      <c r="AV1090" s="85"/>
      <c r="AW1090" s="85"/>
      <c r="AX1090" s="85"/>
      <c r="AY1090" s="85"/>
      <c r="AZ1090" s="85"/>
      <c r="BA1090" s="85"/>
      <c r="BB1090" s="85"/>
      <c r="BC1090" s="85"/>
      <c r="BD1090" s="85"/>
      <c r="BE1090" s="85"/>
      <c r="BF1090" s="85"/>
      <c r="BG1090" s="85"/>
      <c r="BH1090" s="85"/>
      <c r="BI1090" s="85"/>
      <c r="BJ1090" s="85"/>
      <c r="BK1090" s="85"/>
      <c r="BL1090" s="85"/>
      <c r="BM1090" s="85"/>
      <c r="BN1090" s="85"/>
      <c r="BO1090" s="85"/>
      <c r="BP1090" s="85"/>
      <c r="BQ1090" s="85"/>
      <c r="BR1090" s="85"/>
      <c r="BS1090" s="85"/>
      <c r="BT1090" s="85"/>
      <c r="BU1090" s="85"/>
      <c r="BV1090" s="85"/>
      <c r="BW1090" s="85"/>
      <c r="BX1090" s="85"/>
      <c r="BY1090" s="85"/>
      <c r="BZ1090" s="85"/>
      <c r="CA1090" s="85"/>
      <c r="CB1090" s="85"/>
      <c r="CC1090" s="85"/>
      <c r="CD1090" s="85"/>
      <c r="CE1090" s="85"/>
      <c r="CF1090" s="85"/>
      <c r="CG1090" s="85"/>
      <c r="CH1090" s="85"/>
      <c r="CI1090" s="85"/>
      <c r="CJ1090" s="85"/>
      <c r="CK1090" s="2"/>
    </row>
    <row r="1091" ht="12.75" customHeight="1">
      <c r="A1091" s="80">
        <f>IFERROR(__xludf.DUMMYFUNCTION("""COMPUTED_VALUE"""),1087.0)</f>
        <v>1087</v>
      </c>
      <c r="B1091" s="80"/>
      <c r="C1091" s="80"/>
      <c r="D1091" s="81">
        <f>IFERROR(__xludf.DUMMYFUNCTION("""COMPUTED_VALUE"""),46195.0)</f>
        <v>46195</v>
      </c>
      <c r="E1091" s="82"/>
      <c r="F1091" s="80"/>
      <c r="G1091" s="81"/>
      <c r="H1091" s="80"/>
      <c r="I1091" s="80"/>
      <c r="J1091" s="80"/>
      <c r="K1091" s="80"/>
      <c r="L1091" s="80"/>
      <c r="M1091" s="80"/>
      <c r="N1091" s="80"/>
      <c r="O1091" s="80"/>
      <c r="P1091" s="80" t="str">
        <f>IFERROR(__xludf.DUMMYFUNCTION("""COMPUTED_VALUE"""),"MUCSPA63543PSIND")</f>
        <v>MUCSPA63543PSIND</v>
      </c>
      <c r="Q1091" s="80" t="str">
        <f>IFERROR(__xludf.DUMMYFUNCTION("""COMPUTED_VALUE"""),"MUC AJI SAKA")</f>
        <v>MUC AJI SAKA</v>
      </c>
      <c r="R1091" s="80" t="str">
        <f>IFERROR(__xludf.DUMMYFUNCTION("""COMPUTED_VALUE"""),"MUC AJI SAKA")</f>
        <v>MUC AJI SAKA</v>
      </c>
      <c r="S1091" s="80" t="str">
        <f>IFERROR(__xludf.DUMMYFUNCTION("""COMPUTED_VALUE"""),"NOVI HERMAWAN")</f>
        <v>NOVI HERMAWAN</v>
      </c>
      <c r="T1091" s="80" t="str">
        <f>IFERROR(__xludf.DUMMYFUNCTION("""COMPUTED_VALUE"""),"JL. RAYA PONOROGO RT 013 RW 005 UTERAN, GEGER, KAB.MADIUN")</f>
        <v>JL. RAYA PONOROGO RT 013 RW 005 UTERAN, GEGER, KAB.MADIUN</v>
      </c>
      <c r="U1091" s="80" t="str">
        <f>IFERROR(__xludf.DUMMYFUNCTION("""COMPUTED_VALUE"""),"JL. RAYA PONOROGO RT 001 RW OO1")</f>
        <v>JL. RAYA PONOROGO RT 001 RW OO1</v>
      </c>
      <c r="V1091" s="80" t="str">
        <f>IFERROR(__xludf.DUMMYFUNCTION("""COMPUTED_VALUE"""),"RT 013 \ RW 005")</f>
        <v>RT 013 \ RW 005</v>
      </c>
      <c r="W1091" s="80" t="str">
        <f>IFERROR(__xludf.DUMMYFUNCTION("""COMPUTED_VALUE"""),"UTERAN")</f>
        <v>UTERAN</v>
      </c>
      <c r="X1091" s="80" t="str">
        <f>IFERROR(__xludf.DUMMYFUNCTION("""COMPUTED_VALUE"""),"GEGER")</f>
        <v>GEGER</v>
      </c>
      <c r="Y1091" s="80" t="str">
        <f>IFERROR(__xludf.DUMMYFUNCTION("""COMPUTED_VALUE"""),"KAB.MADIUN")</f>
        <v>KAB.MADIUN</v>
      </c>
      <c r="Z1091" s="80" t="str">
        <f>IFERROR(__xludf.DUMMYFUNCTION("""COMPUTED_VALUE"""),"JAWA TIMUR")</f>
        <v>JAWA TIMUR</v>
      </c>
      <c r="AA1091" s="80" t="str">
        <f>IFERROR(__xludf.DUMMYFUNCTION("""COMPUTED_VALUE"""),"63171")</f>
        <v>63171</v>
      </c>
      <c r="AB1091" s="80" t="str">
        <f>IFERROR(__xludf.DUMMYFUNCTION("""COMPUTED_VALUE"""),"3519030911800003")</f>
        <v>3519030911800003</v>
      </c>
      <c r="AC1091" s="80" t="str">
        <f>IFERROR(__xludf.DUMMYFUNCTION("""COMPUTED_VALUE"""),"83.787.944.4-621.000")</f>
        <v>83.787.944.4-621.000</v>
      </c>
      <c r="AD1091" s="80" t="str">
        <f>IFERROR(__xludf.DUMMYFUNCTION("""COMPUTED_VALUE"""),"PAK ARIS KC MADIUN")</f>
        <v>PAK ARIS KC MADIUN</v>
      </c>
      <c r="AE1091" s="80" t="str">
        <f>IFERROR(__xludf.DUMMYFUNCTION("""COMPUTED_VALUE"""),"PAK ARIS KC MADIUN")</f>
        <v>PAK ARIS KC MADIUN</v>
      </c>
      <c r="AF1091" s="80" t="str">
        <f>IFERROR(__xludf.DUMMYFUNCTION("""COMPUTED_VALUE"""),"087779613857")</f>
        <v>087779613857</v>
      </c>
      <c r="AG1091" s="80" t="str">
        <f>IFERROR(__xludf.DUMMYFUNCTION("""COMPUTED_VALUE"""),"87779613857")</f>
        <v>87779613857</v>
      </c>
      <c r="AH1091" s="80" t="str">
        <f>IFERROR(__xludf.DUMMYFUNCTION("""COMPUTED_VALUE"""),"windisyarinah@gmail.com")</f>
        <v>windisyarinah@gmail.com</v>
      </c>
      <c r="AI1091" s="80"/>
      <c r="AJ1091" s="80"/>
      <c r="AK1091" s="80"/>
      <c r="AL1091" s="80"/>
      <c r="AM1091" s="80" t="str">
        <f>IFERROR(__xludf.DUMMYFUNCTION("""COMPUTED_VALUE"""),"KANTOR REGIONAL V SURABAYA 60004")</f>
        <v>KANTOR REGIONAL V SURABAYA 60004</v>
      </c>
      <c r="AN1091" s="80" t="str">
        <f>IFERROR(__xludf.DUMMYFUNCTION("""COMPUTED_VALUE"""),"KCU MADIUN 63100")</f>
        <v>KCU MADIUN 63100</v>
      </c>
      <c r="AO1091" s="80" t="str">
        <f>IFERROR(__xludf.DUMMYFUNCTION("""COMPUTED_VALUE"""),"0309260152762")</f>
        <v>0309260152762</v>
      </c>
      <c r="AP1091" s="80" t="str">
        <f>IFERROR(__xludf.DUMMYFUNCTION("""COMPUTED_VALUE"""),"0309260152762")</f>
        <v>0309260152762</v>
      </c>
      <c r="AQ1091" s="83" t="str">
        <f>IFERROR(__xludf.DUMMYFUNCTION("""COMPUTED_VALUE"""),"634801028449535")</f>
        <v>634801028449535</v>
      </c>
      <c r="AR1091" s="80" t="str">
        <f>IFERROR(__xludf.DUMMYFUNCTION("""COMPUTED_VALUE"""),"BRI")</f>
        <v>BRI</v>
      </c>
      <c r="AS1091" s="80" t="str">
        <f>IFERROR(__xludf.DUMMYFUNCTION("""COMPUTED_VALUE"""),"NOVI HERMAWAN")</f>
        <v>NOVI HERMAWAN</v>
      </c>
      <c r="AT1091" s="80" t="str">
        <f>IFERROR(__xludf.DUMMYFUNCTION("""COMPUTED_VALUE"""),"-77,106,209")</f>
        <v>-77,106,209</v>
      </c>
      <c r="AU1091" s="80" t="str">
        <f>IFERROR(__xludf.DUMMYFUNCTION("""COMPUTED_VALUE"""),"1,115,370,223")</f>
        <v>1,115,370,223</v>
      </c>
      <c r="AV1091" s="80"/>
      <c r="AW1091" s="80"/>
      <c r="AX1091" s="80"/>
      <c r="AY1091" s="80"/>
      <c r="AZ1091" s="80"/>
      <c r="BA1091" s="80"/>
      <c r="BB1091" s="80"/>
      <c r="BC1091" s="80"/>
      <c r="BD1091" s="80"/>
      <c r="BE1091" s="80"/>
      <c r="BF1091" s="80"/>
      <c r="BG1091" s="80"/>
      <c r="BH1091" s="80"/>
      <c r="BI1091" s="80"/>
      <c r="BJ1091" s="80"/>
      <c r="BK1091" s="80"/>
      <c r="BL1091" s="80"/>
      <c r="BM1091" s="80"/>
      <c r="BN1091" s="80"/>
      <c r="BO1091" s="80"/>
      <c r="BP1091" s="80"/>
      <c r="BQ1091" s="80"/>
      <c r="BR1091" s="80"/>
      <c r="BS1091" s="80"/>
      <c r="BT1091" s="80"/>
      <c r="BU1091" s="80"/>
      <c r="BV1091" s="80"/>
      <c r="BW1091" s="80"/>
      <c r="BX1091" s="80"/>
      <c r="BY1091" s="80"/>
      <c r="BZ1091" s="80"/>
      <c r="CA1091" s="80"/>
      <c r="CB1091" s="80"/>
      <c r="CC1091" s="80"/>
      <c r="CD1091" s="80"/>
      <c r="CE1091" s="80"/>
      <c r="CF1091" s="80"/>
      <c r="CG1091" s="80"/>
      <c r="CH1091" s="80"/>
      <c r="CI1091" s="80"/>
      <c r="CJ1091" s="80"/>
      <c r="CK1091" s="2"/>
    </row>
    <row r="1092" ht="12.75" customHeight="1">
      <c r="A1092" s="85">
        <f>IFERROR(__xludf.DUMMYFUNCTION("""COMPUTED_VALUE"""),1088.0)</f>
        <v>1088</v>
      </c>
      <c r="B1092" s="85"/>
      <c r="C1092" s="85"/>
      <c r="D1092" s="86">
        <f>IFERROR(__xludf.DUMMYFUNCTION("""COMPUTED_VALUE"""),46196.0)</f>
        <v>46196</v>
      </c>
      <c r="E1092" s="88"/>
      <c r="F1092" s="85"/>
      <c r="G1092" s="86">
        <f>IFERROR(__xludf.DUMMYFUNCTION("""COMPUTED_VALUE"""),46226.0)</f>
        <v>46226</v>
      </c>
      <c r="H1092" s="85"/>
      <c r="I1092" s="85"/>
      <c r="J1092" s="85"/>
      <c r="K1092" s="85"/>
      <c r="L1092" s="85">
        <f>IFERROR(__xludf.DUMMYFUNCTION("""COMPUTED_VALUE"""),30.0)</f>
        <v>30</v>
      </c>
      <c r="M1092" s="85"/>
      <c r="N1092" s="85"/>
      <c r="O1092" s="85"/>
      <c r="P1092" s="85" t="str">
        <f>IFERROR(__xludf.DUMMYFUNCTION("""COMPUTED_VALUE"""),"MUCSPA63544PSIND")</f>
        <v>MUCSPA63544PSIND</v>
      </c>
      <c r="Q1092" s="85" t="str">
        <f>IFERROR(__xludf.DUMMYFUNCTION("""COMPUTED_VALUE"""),"MUC KARYA SAHABI MAKMUR")</f>
        <v>MUC KARYA SAHABI MAKMUR</v>
      </c>
      <c r="R1092" s="85" t="str">
        <f>IFERROR(__xludf.DUMMYFUNCTION("""COMPUTED_VALUE"""),"MUC KARYA SAHABI MAKMUR")</f>
        <v>MUC KARYA SAHABI MAKMUR</v>
      </c>
      <c r="S1092" s="85" t="str">
        <f>IFERROR(__xludf.DUMMYFUNCTION("""COMPUTED_VALUE"""),"SANDHY PRAYOGO")</f>
        <v>SANDHY PRAYOGO</v>
      </c>
      <c r="T1092" s="85" t="str">
        <f>IFERROR(__xludf.DUMMYFUNCTION("""COMPUTED_VALUE"""),"JL. ASR POLRI CIP BLOK L/10 RT 009 RW 006 CIPINANG, PULOGADUNG, JAKARTA TIMUR")</f>
        <v>JL. ASR POLRI CIP BLOK L/10 RT 009 RW 006 CIPINANG, PULOGADUNG, JAKARTA TIMUR</v>
      </c>
      <c r="U1092" s="85" t="str">
        <f>IFERROR(__xludf.DUMMYFUNCTION("""COMPUTED_VALUE"""),"JL. PISANGAN LAMA I NO.1 RT 001 RW 005")</f>
        <v>JL. PISANGAN LAMA I NO.1 RT 001 RW 005</v>
      </c>
      <c r="V1092" s="85" t="str">
        <f>IFERROR(__xludf.DUMMYFUNCTION("""COMPUTED_VALUE"""),"RT 009 \ RW 006")</f>
        <v>RT 009 \ RW 006</v>
      </c>
      <c r="W1092" s="85" t="str">
        <f>IFERROR(__xludf.DUMMYFUNCTION("""COMPUTED_VALUE"""),"PISANGAN TIMUR")</f>
        <v>PISANGAN TIMUR</v>
      </c>
      <c r="X1092" s="85" t="str">
        <f>IFERROR(__xludf.DUMMYFUNCTION("""COMPUTED_VALUE"""),"PULOGADUNG")</f>
        <v>PULOGADUNG</v>
      </c>
      <c r="Y1092" s="85" t="str">
        <f>IFERROR(__xludf.DUMMYFUNCTION("""COMPUTED_VALUE"""),"JAKARTA TIMUR")</f>
        <v>JAKARTA TIMUR</v>
      </c>
      <c r="Z1092" s="85" t="str">
        <f>IFERROR(__xludf.DUMMYFUNCTION("""COMPUTED_VALUE"""),"DKI JAKARTA")</f>
        <v>DKI JAKARTA</v>
      </c>
      <c r="AA1092" s="85" t="str">
        <f>IFERROR(__xludf.DUMMYFUNCTION("""COMPUTED_VALUE"""),"13230")</f>
        <v>13230</v>
      </c>
      <c r="AB1092" s="85" t="str">
        <f>IFERROR(__xludf.DUMMYFUNCTION("""COMPUTED_VALUE"""),"3175022904930004")</f>
        <v>3175022904930004</v>
      </c>
      <c r="AC1092" s="85" t="str">
        <f>IFERROR(__xludf.DUMMYFUNCTION("""COMPUTED_VALUE"""),"54.248.244.3-003.000")</f>
        <v>54.248.244.3-003.000</v>
      </c>
      <c r="AD1092" s="85" t="str">
        <f>IFERROR(__xludf.DUMMYFUNCTION("""COMPUTED_VALUE"""),"Johni Eka Putra")</f>
        <v>Johni Eka Putra</v>
      </c>
      <c r="AE1092" s="85" t="str">
        <f>IFERROR(__xludf.DUMMYFUNCTION("""COMPUTED_VALUE"""),"Johni Eka Putra")</f>
        <v>Johni Eka Putra</v>
      </c>
      <c r="AF1092" s="85" t="str">
        <f>IFERROR(__xludf.DUMMYFUNCTION("""COMPUTED_VALUE"""),"081268898822")</f>
        <v>081268898822</v>
      </c>
      <c r="AG1092" s="85" t="str">
        <f>IFERROR(__xludf.DUMMYFUNCTION("""COMPUTED_VALUE"""),"81268898822")</f>
        <v>81268898822</v>
      </c>
      <c r="AH1092" s="85" t="str">
        <f>IFERROR(__xludf.DUMMYFUNCTION("""COMPUTED_VALUE"""),"ksm.indonesia1030@gmail.com")</f>
        <v>ksm.indonesia1030@gmail.com</v>
      </c>
      <c r="AI1092" s="85" t="str">
        <f>IFERROR(__xludf.DUMMYFUNCTION("""COMPUTED_VALUE"""),"13230S1")</f>
        <v>13230S1</v>
      </c>
      <c r="AJ1092" s="85" t="str">
        <f>IFERROR(__xludf.DUMMYFUNCTION("""COMPUTED_VALUE"""),"6a5313720a949f593c00238f")</f>
        <v>6a5313720a949f593c00238f</v>
      </c>
      <c r="AK1092" s="85" t="str">
        <f>IFERROR(__xludf.DUMMYFUNCTION("""COMPUTED_VALUE"""),"ksm.indonesia1030@gmail.com")</f>
        <v>ksm.indonesia1030@gmail.com</v>
      </c>
      <c r="AL1092" s="85" t="str">
        <f>IFERROR(__xludf.DUMMYFUNCTION("""COMPUTED_VALUE"""),"#Muc13230S1$")</f>
        <v>#Muc13230S1$</v>
      </c>
      <c r="AM1092" s="85" t="str">
        <f>IFERROR(__xludf.DUMMYFUNCTION("""COMPUTED_VALUE"""),"KANTOR REGIONAL II JAKARTA 10004")</f>
        <v>KANTOR REGIONAL II JAKARTA 10004</v>
      </c>
      <c r="AN1092" s="85" t="str">
        <f>IFERROR(__xludf.DUMMYFUNCTION("""COMPUTED_VALUE"""),"KCU JAKARTAPREMIER 13000")</f>
        <v>KCU JAKARTAPREMIER 13000</v>
      </c>
      <c r="AO1092" s="85" t="str">
        <f>IFERROR(__xludf.DUMMYFUNCTION("""COMPUTED_VALUE"""),"2306260132171")</f>
        <v>2306260132171</v>
      </c>
      <c r="AP1092" s="85" t="str">
        <f>IFERROR(__xludf.DUMMYFUNCTION("""COMPUTED_VALUE"""),"2306260132171")</f>
        <v>2306260132171</v>
      </c>
      <c r="AQ1092" s="93" t="str">
        <f>IFERROR(__xludf.DUMMYFUNCTION("""COMPUTED_VALUE"""),"0060014174803")</f>
        <v>0060014174803</v>
      </c>
      <c r="AR1092" s="85" t="str">
        <f>IFERROR(__xludf.DUMMYFUNCTION("""COMPUTED_VALUE"""),"MANDIRI")</f>
        <v>MANDIRI</v>
      </c>
      <c r="AS1092" s="85" t="str">
        <f>IFERROR(__xludf.DUMMYFUNCTION("""COMPUTED_VALUE"""),"karya sahabi makmur")</f>
        <v>karya sahabi makmur</v>
      </c>
      <c r="AT1092" s="85" t="str">
        <f>IFERROR(__xludf.DUMMYFUNCTION("""COMPUTED_VALUE"""),"-62,142,429")</f>
        <v>-62,142,429</v>
      </c>
      <c r="AU1092" s="85" t="str">
        <f>IFERROR(__xludf.DUMMYFUNCTION("""COMPUTED_VALUE"""),"1,068,751,355")</f>
        <v>1,068,751,355</v>
      </c>
      <c r="AV1092" s="85"/>
      <c r="AW1092" s="85"/>
      <c r="AX1092" s="85"/>
      <c r="AY1092" s="85"/>
      <c r="AZ1092" s="85"/>
      <c r="BA1092" s="85"/>
      <c r="BB1092" s="85"/>
      <c r="BC1092" s="85"/>
      <c r="BD1092" s="85"/>
      <c r="BE1092" s="85"/>
      <c r="BF1092" s="85"/>
      <c r="BG1092" s="85"/>
      <c r="BH1092" s="85"/>
      <c r="BI1092" s="85"/>
      <c r="BJ1092" s="85"/>
      <c r="BK1092" s="85"/>
      <c r="BL1092" s="85"/>
      <c r="BM1092" s="85"/>
      <c r="BN1092" s="85"/>
      <c r="BO1092" s="85"/>
      <c r="BP1092" s="85"/>
      <c r="BQ1092" s="85"/>
      <c r="BR1092" s="85"/>
      <c r="BS1092" s="85"/>
      <c r="BT1092" s="85"/>
      <c r="BU1092" s="85"/>
      <c r="BV1092" s="85"/>
      <c r="BW1092" s="85"/>
      <c r="BX1092" s="85"/>
      <c r="BY1092" s="85"/>
      <c r="BZ1092" s="85"/>
      <c r="CA1092" s="85"/>
      <c r="CB1092" s="85"/>
      <c r="CC1092" s="85"/>
      <c r="CD1092" s="85"/>
      <c r="CE1092" s="85"/>
      <c r="CF1092" s="85"/>
      <c r="CG1092" s="85"/>
      <c r="CH1092" s="85"/>
      <c r="CI1092" s="85"/>
      <c r="CJ1092" s="85"/>
      <c r="CK1092" s="2"/>
    </row>
    <row r="1093" ht="12.75" customHeight="1">
      <c r="A1093" s="80">
        <f>IFERROR(__xludf.DUMMYFUNCTION("""COMPUTED_VALUE"""),1089.0)</f>
        <v>1089</v>
      </c>
      <c r="B1093" s="80"/>
      <c r="C1093" s="80"/>
      <c r="D1093" s="81">
        <f>IFERROR(__xludf.DUMMYFUNCTION("""COMPUTED_VALUE"""),46196.0)</f>
        <v>46196</v>
      </c>
      <c r="E1093" s="82"/>
      <c r="F1093" s="80"/>
      <c r="G1093" s="81">
        <f>IFERROR(__xludf.DUMMYFUNCTION("""COMPUTED_VALUE"""),46206.0)</f>
        <v>46206</v>
      </c>
      <c r="H1093" s="80"/>
      <c r="I1093" s="80"/>
      <c r="J1093" s="80"/>
      <c r="K1093" s="80"/>
      <c r="L1093" s="80">
        <f>IFERROR(__xludf.DUMMYFUNCTION("""COMPUTED_VALUE"""),10.0)</f>
        <v>10</v>
      </c>
      <c r="M1093" s="80"/>
      <c r="N1093" s="80"/>
      <c r="O1093" s="80"/>
      <c r="P1093" s="80" t="str">
        <f>IFERROR(__xludf.DUMMYFUNCTION("""COMPUTED_VALUE"""),"MUCSPA63545PSIND")</f>
        <v>MUCSPA63545PSIND</v>
      </c>
      <c r="Q1093" s="80" t="str">
        <f>IFERROR(__xludf.DUMMYFUNCTION("""COMPUTED_VALUE"""),"MUC CIMUNCANG")</f>
        <v>MUC CIMUNCANG</v>
      </c>
      <c r="R1093" s="80" t="str">
        <f>IFERROR(__xludf.DUMMYFUNCTION("""COMPUTED_VALUE"""),"MUC CIMUNCANG")</f>
        <v>MUC CIMUNCANG</v>
      </c>
      <c r="S1093" s="80" t="str">
        <f>IFERROR(__xludf.DUMMYFUNCTION("""COMPUTED_VALUE"""),"TJEP WAHYU ADIANA")</f>
        <v>TJEP WAHYU ADIANA</v>
      </c>
      <c r="T1093" s="80" t="str">
        <f>IFERROR(__xludf.DUMMYFUNCTION("""COMPUTED_VALUE"""),"JL.CIMUNCANG NO.50 RT 005 RW 011 PASIRLAYUNG, CIBEUNYING KIDUL, BANDUNG")</f>
        <v>JL.CIMUNCANG NO.50 RT 005 RW 011 PASIRLAYUNG, CIBEUNYING KIDUL, BANDUNG</v>
      </c>
      <c r="U1093" s="80" t="str">
        <f>IFERROR(__xludf.DUMMYFUNCTION("""COMPUTED_VALUE"""),"JL.CIMUNCANG NO.50 RT 005 RW 011")</f>
        <v>JL.CIMUNCANG NO.50 RT 005 RW 011</v>
      </c>
      <c r="V1093" s="80" t="str">
        <f>IFERROR(__xludf.DUMMYFUNCTION("""COMPUTED_VALUE"""),"RT 005 \ RW 011")</f>
        <v>RT 005 \ RW 011</v>
      </c>
      <c r="W1093" s="80" t="str">
        <f>IFERROR(__xludf.DUMMYFUNCTION("""COMPUTED_VALUE"""),"PASIRLAYUNG")</f>
        <v>PASIRLAYUNG</v>
      </c>
      <c r="X1093" s="80" t="str">
        <f>IFERROR(__xludf.DUMMYFUNCTION("""COMPUTED_VALUE"""),"CIBEUNYING KIDUL")</f>
        <v>CIBEUNYING KIDUL</v>
      </c>
      <c r="Y1093" s="80" t="str">
        <f>IFERROR(__xludf.DUMMYFUNCTION("""COMPUTED_VALUE"""),"BANDUNG")</f>
        <v>BANDUNG</v>
      </c>
      <c r="Z1093" s="80" t="str">
        <f>IFERROR(__xludf.DUMMYFUNCTION("""COMPUTED_VALUE"""),"JAWA BARAT")</f>
        <v>JAWA BARAT</v>
      </c>
      <c r="AA1093" s="80" t="str">
        <f>IFERROR(__xludf.DUMMYFUNCTION("""COMPUTED_VALUE"""),"40192")</f>
        <v>40192</v>
      </c>
      <c r="AB1093" s="80" t="str">
        <f>IFERROR(__xludf.DUMMYFUNCTION("""COMPUTED_VALUE"""),"3273142711710005")</f>
        <v>3273142711710005</v>
      </c>
      <c r="AC1093" s="80" t="str">
        <f>IFERROR(__xludf.DUMMYFUNCTION("""COMPUTED_VALUE"""),"53.540.886.8-423.000")</f>
        <v>53.540.886.8-423.000</v>
      </c>
      <c r="AD1093" s="80" t="str">
        <f>IFERROR(__xludf.DUMMYFUNCTION("""COMPUTED_VALUE"""),"CUM - LP - ANGGI")</f>
        <v>CUM - LP - ANGGI</v>
      </c>
      <c r="AE1093" s="80" t="str">
        <f>IFERROR(__xludf.DUMMYFUNCTION("""COMPUTED_VALUE"""),"CUM - LP - ANGGI")</f>
        <v>CUM - LP - ANGGI</v>
      </c>
      <c r="AF1093" s="80" t="str">
        <f>IFERROR(__xludf.DUMMYFUNCTION("""COMPUTED_VALUE"""),"089690702477")</f>
        <v>089690702477</v>
      </c>
      <c r="AG1093" s="80" t="str">
        <f>IFERROR(__xludf.DUMMYFUNCTION("""COMPUTED_VALUE"""),"89690702477")</f>
        <v>89690702477</v>
      </c>
      <c r="AH1093" s="80" t="str">
        <f>IFERROR(__xludf.DUMMYFUNCTION("""COMPUTED_VALUE"""),"adianatjepwahyu@gmail.com")</f>
        <v>adianatjepwahyu@gmail.com</v>
      </c>
      <c r="AI1093" s="80" t="str">
        <f>IFERROR(__xludf.DUMMYFUNCTION("""COMPUTED_VALUE"""),"40128S2")</f>
        <v>40128S2</v>
      </c>
      <c r="AJ1093" s="80" t="str">
        <f>IFERROR(__xludf.DUMMYFUNCTION("""COMPUTED_VALUE"""),"6a4732e6b61819e3050a30b1")</f>
        <v>6a4732e6b61819e3050a30b1</v>
      </c>
      <c r="AK1093" s="80" t="str">
        <f>IFERROR(__xludf.DUMMYFUNCTION("""COMPUTED_VALUE"""),"adianatjepwahyu@gmail.com")</f>
        <v>adianatjepwahyu@gmail.com</v>
      </c>
      <c r="AL1093" s="80" t="str">
        <f>IFERROR(__xludf.DUMMYFUNCTION("""COMPUTED_VALUE"""),"#Muc40128S2$")</f>
        <v>#Muc40128S2$</v>
      </c>
      <c r="AM1093" s="80" t="str">
        <f>IFERROR(__xludf.DUMMYFUNCTION("""COMPUTED_VALUE"""),"KANTOR REGIONAL III BANDUNG 40004")</f>
        <v>KANTOR REGIONAL III BANDUNG 40004</v>
      </c>
      <c r="AN1093" s="80" t="str">
        <f>IFERROR(__xludf.DUMMYFUNCTION("""COMPUTED_VALUE"""),"KCU BANDUNG 40000")</f>
        <v>KCU BANDUNG 40000</v>
      </c>
      <c r="AO1093" s="80" t="str">
        <f>IFERROR(__xludf.DUMMYFUNCTION("""COMPUTED_VALUE"""),"2306260164233")</f>
        <v>2306260164233</v>
      </c>
      <c r="AP1093" s="80" t="str">
        <f>IFERROR(__xludf.DUMMYFUNCTION("""COMPUTED_VALUE"""),"2306260164233")</f>
        <v>2306260164233</v>
      </c>
      <c r="AQ1093" s="83" t="str">
        <f>IFERROR(__xludf.DUMMYFUNCTION("""COMPUTED_VALUE"""),"4370802713")</f>
        <v>4370802713</v>
      </c>
      <c r="AR1093" s="80" t="str">
        <f>IFERROR(__xludf.DUMMYFUNCTION("""COMPUTED_VALUE"""),"BCA")</f>
        <v>BCA</v>
      </c>
      <c r="AS1093" s="80" t="str">
        <f>IFERROR(__xludf.DUMMYFUNCTION("""COMPUTED_VALUE"""),"TJEP WAHYU ADIANA")</f>
        <v>TJEP WAHYU ADIANA</v>
      </c>
      <c r="AT1093" s="80" t="str">
        <f>IFERROR(__xludf.DUMMYFUNCTION("""COMPUTED_VALUE"""),"-69,005,646")</f>
        <v>-69,005,646</v>
      </c>
      <c r="AU1093" s="80" t="str">
        <f>IFERROR(__xludf.DUMMYFUNCTION("""COMPUTED_VALUE"""),"1,076,502,107")</f>
        <v>1,076,502,107</v>
      </c>
      <c r="AV1093" s="80"/>
      <c r="AW1093" s="80"/>
      <c r="AX1093" s="80"/>
      <c r="AY1093" s="80"/>
      <c r="AZ1093" s="80"/>
      <c r="BA1093" s="80"/>
      <c r="BB1093" s="80"/>
      <c r="BC1093" s="80"/>
      <c r="BD1093" s="80"/>
      <c r="BE1093" s="80"/>
      <c r="BF1093" s="80"/>
      <c r="BG1093" s="80"/>
      <c r="BH1093" s="80"/>
      <c r="BI1093" s="80"/>
      <c r="BJ1093" s="80"/>
      <c r="BK1093" s="80"/>
      <c r="BL1093" s="80"/>
      <c r="BM1093" s="80"/>
      <c r="BN1093" s="80"/>
      <c r="BO1093" s="80"/>
      <c r="BP1093" s="80"/>
      <c r="BQ1093" s="80"/>
      <c r="BR1093" s="80"/>
      <c r="BS1093" s="80"/>
      <c r="BT1093" s="80"/>
      <c r="BU1093" s="80"/>
      <c r="BV1093" s="80"/>
      <c r="BW1093" s="80"/>
      <c r="BX1093" s="80"/>
      <c r="BY1093" s="80"/>
      <c r="BZ1093" s="80"/>
      <c r="CA1093" s="80"/>
      <c r="CB1093" s="80"/>
      <c r="CC1093" s="80"/>
      <c r="CD1093" s="80"/>
      <c r="CE1093" s="80"/>
      <c r="CF1093" s="80"/>
      <c r="CG1093" s="80"/>
      <c r="CH1093" s="80"/>
      <c r="CI1093" s="80"/>
      <c r="CJ1093" s="80"/>
      <c r="CK1093" s="2"/>
    </row>
    <row r="1094" ht="12.75" customHeight="1">
      <c r="A1094" s="85">
        <f>IFERROR(__xludf.DUMMYFUNCTION("""COMPUTED_VALUE"""),1090.0)</f>
        <v>1090</v>
      </c>
      <c r="B1094" s="85"/>
      <c r="C1094" s="85"/>
      <c r="D1094" s="86">
        <f>IFERROR(__xludf.DUMMYFUNCTION("""COMPUTED_VALUE"""),46196.0)</f>
        <v>46196</v>
      </c>
      <c r="E1094" s="88"/>
      <c r="F1094" s="85"/>
      <c r="G1094" s="86">
        <f>IFERROR(__xludf.DUMMYFUNCTION("""COMPUTED_VALUE"""),46218.0)</f>
        <v>46218</v>
      </c>
      <c r="H1094" s="85"/>
      <c r="I1094" s="85"/>
      <c r="J1094" s="85"/>
      <c r="K1094" s="85"/>
      <c r="L1094" s="85">
        <f>IFERROR(__xludf.DUMMYFUNCTION("""COMPUTED_VALUE"""),22.0)</f>
        <v>22</v>
      </c>
      <c r="M1094" s="85"/>
      <c r="N1094" s="85"/>
      <c r="O1094" s="85"/>
      <c r="P1094" s="85" t="str">
        <f>IFERROR(__xludf.DUMMYFUNCTION("""COMPUTED_VALUE"""),"MUCSPA63546PSIND")</f>
        <v>MUCSPA63546PSIND</v>
      </c>
      <c r="Q1094" s="85" t="str">
        <f>IFERROR(__xludf.DUMMYFUNCTION("""COMPUTED_VALUE"""),"MUC KAROMAH ARFIKI")</f>
        <v>MUC KAROMAH ARFIKI</v>
      </c>
      <c r="R1094" s="85" t="str">
        <f>IFERROR(__xludf.DUMMYFUNCTION("""COMPUTED_VALUE"""),"MUC KAROMAH ARFIKI")</f>
        <v>MUC KAROMAH ARFIKI</v>
      </c>
      <c r="S1094" s="85" t="str">
        <f>IFERROR(__xludf.DUMMYFUNCTION("""COMPUTED_VALUE"""),"IPPIANDI MAHMUD")</f>
        <v>IPPIANDI MAHMUD</v>
      </c>
      <c r="T1094" s="85" t="str">
        <f>IFERROR(__xludf.DUMMYFUNCTION("""COMPUTED_VALUE"""),"JL. PULO SIRIH TIMUR VI BLOK CD 83 RT 03 RW 13 PEKAYONJAYA, BEKASI SELATAN, BEKASI")</f>
        <v>JL. PULO SIRIH TIMUR VI BLOK CD 83 RT 03 RW 13 PEKAYONJAYA, BEKASI SELATAN, BEKASI</v>
      </c>
      <c r="U1094" s="85" t="str">
        <f>IFERROR(__xludf.DUMMYFUNCTION("""COMPUTED_VALUE"""),"JL. PULO SIRIH UTAMA BOULEVARD RAYA BD NO.130B RT 04 RW 14")</f>
        <v>JL. PULO SIRIH UTAMA BOULEVARD RAYA BD NO.130B RT 04 RW 14</v>
      </c>
      <c r="V1094" s="85" t="str">
        <f>IFERROR(__xludf.DUMMYFUNCTION("""COMPUTED_VALUE"""),"RT 03  \ RW 13")</f>
        <v>RT 03  \ RW 13</v>
      </c>
      <c r="W1094" s="85" t="str">
        <f>IFERROR(__xludf.DUMMYFUNCTION("""COMPUTED_VALUE"""),"PEKAYONJAYA")</f>
        <v>PEKAYONJAYA</v>
      </c>
      <c r="X1094" s="85" t="str">
        <f>IFERROR(__xludf.DUMMYFUNCTION("""COMPUTED_VALUE"""),"BEKASI SELATAN")</f>
        <v>BEKASI SELATAN</v>
      </c>
      <c r="Y1094" s="85" t="str">
        <f>IFERROR(__xludf.DUMMYFUNCTION("""COMPUTED_VALUE"""),"BEKASI")</f>
        <v>BEKASI</v>
      </c>
      <c r="Z1094" s="85" t="str">
        <f>IFERROR(__xludf.DUMMYFUNCTION("""COMPUTED_VALUE"""),"JAWA BARAT")</f>
        <v>JAWA BARAT</v>
      </c>
      <c r="AA1094" s="85" t="str">
        <f>IFERROR(__xludf.DUMMYFUNCTION("""COMPUTED_VALUE"""),"17148")</f>
        <v>17148</v>
      </c>
      <c r="AB1094" s="85" t="str">
        <f>IFERROR(__xludf.DUMMYFUNCTION("""COMPUTED_VALUE"""),"3275042401760008")</f>
        <v>3275042401760008</v>
      </c>
      <c r="AC1094" s="85" t="str">
        <f>IFERROR(__xludf.DUMMYFUNCTION("""COMPUTED_VALUE"""),"68.883.177.5-432.000")</f>
        <v>68.883.177.5-432.000</v>
      </c>
      <c r="AD1094" s="85" t="str">
        <f>IFERROR(__xludf.DUMMYFUNCTION("""COMPUTED_VALUE"""),"CUM - PS - AYS")</f>
        <v>CUM - PS - AYS</v>
      </c>
      <c r="AE1094" s="85" t="str">
        <f>IFERROR(__xludf.DUMMYFUNCTION("""COMPUTED_VALUE"""),"CUM - PS - AYS")</f>
        <v>CUM - PS - AYS</v>
      </c>
      <c r="AF1094" s="85" t="str">
        <f>IFERROR(__xludf.DUMMYFUNCTION("""COMPUTED_VALUE"""),"081296135714")</f>
        <v>081296135714</v>
      </c>
      <c r="AG1094" s="85" t="str">
        <f>IFERROR(__xludf.DUMMYFUNCTION("""COMPUTED_VALUE"""),"81296135714")</f>
        <v>81296135714</v>
      </c>
      <c r="AH1094" s="85" t="str">
        <f>IFERROR(__xludf.DUMMYFUNCTION("""COMPUTED_VALUE"""),"ipanakarya@yahoo.co.id")</f>
        <v>ipanakarya@yahoo.co.id</v>
      </c>
      <c r="AI1094" s="85" t="str">
        <f>IFERROR(__xludf.DUMMYFUNCTION("""COMPUTED_VALUE"""),"17148S9")</f>
        <v>17148S9</v>
      </c>
      <c r="AJ1094" s="85" t="str">
        <f>IFERROR(__xludf.DUMMYFUNCTION("""COMPUTED_VALUE"""),"6a57856af32fbebc5701c6eb")</f>
        <v>6a57856af32fbebc5701c6eb</v>
      </c>
      <c r="AK1094" s="85" t="str">
        <f>IFERROR(__xludf.DUMMYFUNCTION("""COMPUTED_VALUE"""),"ipanakarya@yahoo.co.id")</f>
        <v>ipanakarya@yahoo.co.id</v>
      </c>
      <c r="AL1094" s="85" t="str">
        <f>IFERROR(__xludf.DUMMYFUNCTION("""COMPUTED_VALUE"""),"#Muc17148S9$")</f>
        <v>#Muc17148S9$</v>
      </c>
      <c r="AM1094" s="85" t="str">
        <f>IFERROR(__xludf.DUMMYFUNCTION("""COMPUTED_VALUE"""),"KANTOR REGIONAL II JAKARTA 10004")</f>
        <v>KANTOR REGIONAL II JAKARTA 10004</v>
      </c>
      <c r="AN1094" s="85" t="str">
        <f>IFERROR(__xludf.DUMMYFUNCTION("""COMPUTED_VALUE"""),"KCU BEKASI 17000")</f>
        <v>KCU BEKASI 17000</v>
      </c>
      <c r="AO1094" s="85" t="str">
        <f>IFERROR(__xludf.DUMMYFUNCTION("""COMPUTED_VALUE"""),"2306260183313")</f>
        <v>2306260183313</v>
      </c>
      <c r="AP1094" s="85" t="str">
        <f>IFERROR(__xludf.DUMMYFUNCTION("""COMPUTED_VALUE"""),"2306260183313")</f>
        <v>2306260183313</v>
      </c>
      <c r="AQ1094" s="93" t="str">
        <f>IFERROR(__xludf.DUMMYFUNCTION("""COMPUTED_VALUE"""),"115001014739508")</f>
        <v>115001014739508</v>
      </c>
      <c r="AR1094" s="85" t="str">
        <f>IFERROR(__xludf.DUMMYFUNCTION("""COMPUTED_VALUE"""),"BRI")</f>
        <v>BRI</v>
      </c>
      <c r="AS1094" s="85" t="str">
        <f>IFERROR(__xludf.DUMMYFUNCTION("""COMPUTED_VALUE"""),"AFRINA ANWAR")</f>
        <v>AFRINA ANWAR</v>
      </c>
      <c r="AT1094" s="85" t="str">
        <f>IFERROR(__xludf.DUMMYFUNCTION("""COMPUTED_VALUE"""),"-62,614,802")</f>
        <v>-62,614,802</v>
      </c>
      <c r="AU1094" s="85" t="str">
        <f>IFERROR(__xludf.DUMMYFUNCTION("""COMPUTED_VALUE"""),"1,069,725,903")</f>
        <v>1,069,725,903</v>
      </c>
      <c r="AV1094" s="85"/>
      <c r="AW1094" s="85"/>
      <c r="AX1094" s="85"/>
      <c r="AY1094" s="85"/>
      <c r="AZ1094" s="85"/>
      <c r="BA1094" s="85"/>
      <c r="BB1094" s="85"/>
      <c r="BC1094" s="85"/>
      <c r="BD1094" s="85"/>
      <c r="BE1094" s="85"/>
      <c r="BF1094" s="85"/>
      <c r="BG1094" s="85"/>
      <c r="BH1094" s="85"/>
      <c r="BI1094" s="85"/>
      <c r="BJ1094" s="85"/>
      <c r="BK1094" s="85"/>
      <c r="BL1094" s="85"/>
      <c r="BM1094" s="85"/>
      <c r="BN1094" s="85"/>
      <c r="BO1094" s="85"/>
      <c r="BP1094" s="85"/>
      <c r="BQ1094" s="85"/>
      <c r="BR1094" s="85"/>
      <c r="BS1094" s="85"/>
      <c r="BT1094" s="85"/>
      <c r="BU1094" s="85"/>
      <c r="BV1094" s="85"/>
      <c r="BW1094" s="85"/>
      <c r="BX1094" s="85"/>
      <c r="BY1094" s="85"/>
      <c r="BZ1094" s="85"/>
      <c r="CA1094" s="85"/>
      <c r="CB1094" s="85"/>
      <c r="CC1094" s="85"/>
      <c r="CD1094" s="85"/>
      <c r="CE1094" s="85"/>
      <c r="CF1094" s="85"/>
      <c r="CG1094" s="85"/>
      <c r="CH1094" s="85"/>
      <c r="CI1094" s="85"/>
      <c r="CJ1094" s="85"/>
      <c r="CK1094" s="2"/>
    </row>
    <row r="1095" ht="12.75" customHeight="1">
      <c r="A1095" s="80">
        <f>IFERROR(__xludf.DUMMYFUNCTION("""COMPUTED_VALUE"""),1091.0)</f>
        <v>1091</v>
      </c>
      <c r="B1095" s="80"/>
      <c r="C1095" s="80"/>
      <c r="D1095" s="81">
        <f>IFERROR(__xludf.DUMMYFUNCTION("""COMPUTED_VALUE"""),46197.0)</f>
        <v>46197</v>
      </c>
      <c r="E1095" s="82"/>
      <c r="F1095" s="80"/>
      <c r="G1095" s="81"/>
      <c r="H1095" s="80"/>
      <c r="I1095" s="80"/>
      <c r="J1095" s="80"/>
      <c r="K1095" s="80"/>
      <c r="L1095" s="80"/>
      <c r="M1095" s="80"/>
      <c r="N1095" s="80"/>
      <c r="O1095" s="80"/>
      <c r="P1095" s="80" t="str">
        <f>IFERROR(__xludf.DUMMYFUNCTION("""COMPUTED_VALUE"""),"53BSPA17068JBNDS")</f>
        <v>53BSPA17068JBNDS</v>
      </c>
      <c r="Q1095" s="80" t="str">
        <f>IFERROR(__xludf.DUMMYFUNCTION("""COMPUTED_VALUE"""),"MUC MINACELL")</f>
        <v>MUC MINACELL</v>
      </c>
      <c r="R1095" s="80" t="str">
        <f>IFERROR(__xludf.DUMMYFUNCTION("""COMPUTED_VALUE"""),"MUC MINACELL")</f>
        <v>MUC MINACELL</v>
      </c>
      <c r="S1095" s="80" t="str">
        <f>IFERROR(__xludf.DUMMYFUNCTION("""COMPUTED_VALUE"""),"FACHRUL UMAM")</f>
        <v>FACHRUL UMAM</v>
      </c>
      <c r="T1095" s="80" t="str">
        <f>IFERROR(__xludf.DUMMYFUNCTION("""COMPUTED_VALUE"""),"JL. KARANGANYAR GUNUNG 337 RT 4 RW 1 CANDISARI SEMARANG")</f>
        <v>JL. KARANGANYAR GUNUNG 337 RT 4 RW 1 CANDISARI SEMARANG</v>
      </c>
      <c r="U1095" s="80" t="str">
        <f>IFERROR(__xludf.DUMMYFUNCTION("""COMPUTED_VALUE"""),"JL. PADI RAYA BLOK A 92")</f>
        <v>JL. PADI RAYA BLOK A 92</v>
      </c>
      <c r="V1095" s="80" t="str">
        <f>IFERROR(__xludf.DUMMYFUNCTION("""COMPUTED_VALUE"""),"RT 4 R \ RW 1 C")</f>
        <v>RT 4 R \ RW 1 C</v>
      </c>
      <c r="W1095" s="80" t="str">
        <f>IFERROR(__xludf.DUMMYFUNCTION("""COMPUTED_VALUE"""),"GEBANGSARI")</f>
        <v>GEBANGSARI</v>
      </c>
      <c r="X1095" s="80" t="str">
        <f>IFERROR(__xludf.DUMMYFUNCTION("""COMPUTED_VALUE"""),"GENUK")</f>
        <v>GENUK</v>
      </c>
      <c r="Y1095" s="80" t="str">
        <f>IFERROR(__xludf.DUMMYFUNCTION("""COMPUTED_VALUE"""),"SEMARANG")</f>
        <v>SEMARANG</v>
      </c>
      <c r="Z1095" s="80" t="str">
        <f>IFERROR(__xludf.DUMMYFUNCTION("""COMPUTED_VALUE"""),"JAWA TENGAH")</f>
        <v>JAWA TENGAH</v>
      </c>
      <c r="AA1095" s="80" t="str">
        <f>IFERROR(__xludf.DUMMYFUNCTION("""COMPUTED_VALUE"""),"50115")</f>
        <v>50115</v>
      </c>
      <c r="AB1095" s="80" t="str">
        <f>IFERROR(__xludf.DUMMYFUNCTION("""COMPUTED_VALUE"""),"3374050309800003")</f>
        <v>3374050309800003</v>
      </c>
      <c r="AC1095" s="80" t="str">
        <f>IFERROR(__xludf.DUMMYFUNCTION("""COMPUTED_VALUE"""),"25.441.033.5-518.000")</f>
        <v>25.441.033.5-518.000</v>
      </c>
      <c r="AD1095" s="80" t="str">
        <f>IFERROR(__xludf.DUMMYFUNCTION("""COMPUTED_VALUE"""),"SUB NDS")</f>
        <v>SUB NDS</v>
      </c>
      <c r="AE1095" s="80" t="str">
        <f>IFERROR(__xludf.DUMMYFUNCTION("""COMPUTED_VALUE"""),"SUB NDS")</f>
        <v>SUB NDS</v>
      </c>
      <c r="AF1095" s="80" t="str">
        <f>IFERROR(__xludf.DUMMYFUNCTION("""COMPUTED_VALUE"""),"08977255772")</f>
        <v>08977255772</v>
      </c>
      <c r="AG1095" s="80" t="str">
        <f>IFERROR(__xludf.DUMMYFUNCTION("""COMPUTED_VALUE"""),"8977255772")</f>
        <v>8977255772</v>
      </c>
      <c r="AH1095" s="80" t="str">
        <f>IFERROR(__xludf.DUMMYFUNCTION("""COMPUTED_VALUE"""),"minajayaselalu@gmail.com")</f>
        <v>minajayaselalu@gmail.com</v>
      </c>
      <c r="AI1095" s="80"/>
      <c r="AJ1095" s="80"/>
      <c r="AK1095" s="80"/>
      <c r="AL1095" s="80"/>
      <c r="AM1095" s="80" t="str">
        <f>IFERROR(__xludf.DUMMYFUNCTION("""COMPUTED_VALUE"""),"KANTOR REGIONAL IV SEMARANG 50004")</f>
        <v>KANTOR REGIONAL IV SEMARANG 50004</v>
      </c>
      <c r="AN1095" s="80" t="str">
        <f>IFERROR(__xludf.DUMMYFUNCTION("""COMPUTED_VALUE"""),"KCU SEMARANG 50000")</f>
        <v>KCU SEMARANG 50000</v>
      </c>
      <c r="AO1095" s="80" t="str">
        <f>IFERROR(__xludf.DUMMYFUNCTION("""COMPUTED_VALUE"""),"0712220053392")</f>
        <v>0712220053392</v>
      </c>
      <c r="AP1095" s="80" t="str">
        <f>IFERROR(__xludf.DUMMYFUNCTION("""COMPUTED_VALUE"""),"07122200533920001")</f>
        <v>07122200533920001</v>
      </c>
      <c r="AQ1095" s="83" t="str">
        <f>IFERROR(__xludf.DUMMYFUNCTION("""COMPUTED_VALUE"""),"3530268020")</f>
        <v>3530268020</v>
      </c>
      <c r="AR1095" s="80" t="str">
        <f>IFERROR(__xludf.DUMMYFUNCTION("""COMPUTED_VALUE"""),"BCA")</f>
        <v>BCA</v>
      </c>
      <c r="AS1095" s="80" t="str">
        <f>IFERROR(__xludf.DUMMYFUNCTION("""COMPUTED_VALUE"""),"FACHRUL UMAM")</f>
        <v>FACHRUL UMAM</v>
      </c>
      <c r="AT1095" s="80" t="str">
        <f>IFERROR(__xludf.DUMMYFUNCTION("""COMPUTED_VALUE"""),"-6,967,788")</f>
        <v>-6,967,788</v>
      </c>
      <c r="AU1095" s="80" t="str">
        <f>IFERROR(__xludf.DUMMYFUNCTION("""COMPUTED_VALUE"""),"1,104,661,035")</f>
        <v>1,104,661,035</v>
      </c>
      <c r="AV1095" s="80"/>
      <c r="AW1095" s="80"/>
      <c r="AX1095" s="80"/>
      <c r="AY1095" s="80"/>
      <c r="AZ1095" s="80"/>
      <c r="BA1095" s="80"/>
      <c r="BB1095" s="80"/>
      <c r="BC1095" s="80"/>
      <c r="BD1095" s="80"/>
      <c r="BE1095" s="80"/>
      <c r="BF1095" s="80"/>
      <c r="BG1095" s="80"/>
      <c r="BH1095" s="80"/>
      <c r="BI1095" s="80"/>
      <c r="BJ1095" s="80"/>
      <c r="BK1095" s="80"/>
      <c r="BL1095" s="80"/>
      <c r="BM1095" s="80"/>
      <c r="BN1095" s="80"/>
      <c r="BO1095" s="80"/>
      <c r="BP1095" s="80"/>
      <c r="BQ1095" s="80"/>
      <c r="BR1095" s="80"/>
      <c r="BS1095" s="80"/>
      <c r="BT1095" s="80"/>
      <c r="BU1095" s="80"/>
      <c r="BV1095" s="80"/>
      <c r="BW1095" s="80"/>
      <c r="BX1095" s="80"/>
      <c r="BY1095" s="80"/>
      <c r="BZ1095" s="80"/>
      <c r="CA1095" s="80"/>
      <c r="CB1095" s="80"/>
      <c r="CC1095" s="80"/>
      <c r="CD1095" s="80"/>
      <c r="CE1095" s="80"/>
      <c r="CF1095" s="80"/>
      <c r="CG1095" s="80"/>
      <c r="CH1095" s="80"/>
      <c r="CI1095" s="80"/>
      <c r="CJ1095" s="80"/>
      <c r="CK1095" s="2"/>
    </row>
    <row r="1096" ht="12.75" customHeight="1">
      <c r="A1096" s="85">
        <f>IFERROR(__xludf.DUMMYFUNCTION("""COMPUTED_VALUE"""),1092.0)</f>
        <v>1092</v>
      </c>
      <c r="B1096" s="85"/>
      <c r="C1096" s="85"/>
      <c r="D1096" s="86">
        <f>IFERROR(__xludf.DUMMYFUNCTION("""COMPUTED_VALUE"""),46197.0)</f>
        <v>46197</v>
      </c>
      <c r="E1096" s="88"/>
      <c r="F1096" s="85"/>
      <c r="G1096" s="86">
        <f>IFERROR(__xludf.DUMMYFUNCTION("""COMPUTED_VALUE"""),46258.0)</f>
        <v>46258</v>
      </c>
      <c r="H1096" s="85"/>
      <c r="I1096" s="85"/>
      <c r="J1096" s="85"/>
      <c r="K1096" s="85"/>
      <c r="L1096" s="85">
        <f>IFERROR(__xludf.DUMMYFUNCTION("""COMPUTED_VALUE"""),61.0)</f>
        <v>61</v>
      </c>
      <c r="M1096" s="85"/>
      <c r="N1096" s="85"/>
      <c r="O1096" s="85"/>
      <c r="P1096" s="85" t="str">
        <f>IFERROR(__xludf.DUMMYFUNCTION("""COMPUTED_VALUE"""),"MUCSPA63547PSIND")</f>
        <v>MUCSPA63547PSIND</v>
      </c>
      <c r="Q1096" s="85" t="str">
        <f>IFERROR(__xludf.DUMMYFUNCTION("""COMPUTED_VALUE"""),"MUC Halalokal Indonesia")</f>
        <v>MUC Halalokal Indonesia</v>
      </c>
      <c r="R1096" s="85" t="str">
        <f>IFERROR(__xludf.DUMMYFUNCTION("""COMPUTED_VALUE"""),"MUC Halalokal Indonesia")</f>
        <v>MUC Halalokal Indonesia</v>
      </c>
      <c r="S1096" s="85" t="str">
        <f>IFERROR(__xludf.DUMMYFUNCTION("""COMPUTED_VALUE"""),"FAHREZAN DAWI")</f>
        <v>FAHREZAN DAWI</v>
      </c>
      <c r="T1096" s="85" t="str">
        <f>IFERROR(__xludf.DUMMYFUNCTION("""COMPUTED_VALUE"""),"KOMP.TIMAH BLOK G NO.45 JL.MARGASATWARAYA RT 01 RW 06 PANGKALAN JATI BARU, CINERE, DEPOK")</f>
        <v>KOMP.TIMAH BLOK G NO.45 JL.MARGASATWARAYA RT 01 RW 06 PANGKALAN JATI BARU, CINERE, DEPOK</v>
      </c>
      <c r="U1096" s="85" t="str">
        <f>IFERROR(__xludf.DUMMYFUNCTION("""COMPUTED_VALUE"""),"JL. KOMP. TIMAH BLOK G NO.45")</f>
        <v>JL. KOMP. TIMAH BLOK G NO.45</v>
      </c>
      <c r="V1096" s="85" t="str">
        <f>IFERROR(__xludf.DUMMYFUNCTION("""COMPUTED_VALUE"""),"RT 01  \ RW 06")</f>
        <v>RT 01  \ RW 06</v>
      </c>
      <c r="W1096" s="85" t="str">
        <f>IFERROR(__xludf.DUMMYFUNCTION("""COMPUTED_VALUE"""),"PONDOK LABU")</f>
        <v>PONDOK LABU</v>
      </c>
      <c r="X1096" s="85" t="str">
        <f>IFERROR(__xludf.DUMMYFUNCTION("""COMPUTED_VALUE"""),"CILANDAK")</f>
        <v>CILANDAK</v>
      </c>
      <c r="Y1096" s="85" t="str">
        <f>IFERROR(__xludf.DUMMYFUNCTION("""COMPUTED_VALUE"""),"JAKARTA SELATAN")</f>
        <v>JAKARTA SELATAN</v>
      </c>
      <c r="Z1096" s="85" t="str">
        <f>IFERROR(__xludf.DUMMYFUNCTION("""COMPUTED_VALUE"""),"DKI JAKARTA")</f>
        <v>DKI JAKARTA</v>
      </c>
      <c r="AA1096" s="85" t="str">
        <f>IFERROR(__xludf.DUMMYFUNCTION("""COMPUTED_VALUE"""),"12450")</f>
        <v>12450</v>
      </c>
      <c r="AB1096" s="85" t="str">
        <f>IFERROR(__xludf.DUMMYFUNCTION("""COMPUTED_VALUE"""),"3172041711760005")</f>
        <v>3172041711760005</v>
      </c>
      <c r="AC1096" s="85" t="str">
        <f>IFERROR(__xludf.DUMMYFUNCTION("""COMPUTED_VALUE"""),"26.352.006.6-045.000")</f>
        <v>26.352.006.6-045.000</v>
      </c>
      <c r="AD1096" s="85" t="str">
        <f>IFERROR(__xludf.DUMMYFUNCTION("""COMPUTED_VALUE"""),"CUM - PS - AYS")</f>
        <v>CUM - PS - AYS</v>
      </c>
      <c r="AE1096" s="85" t="str">
        <f>IFERROR(__xludf.DUMMYFUNCTION("""COMPUTED_VALUE"""),"CUM - PS - AYS")</f>
        <v>CUM - PS - AYS</v>
      </c>
      <c r="AF1096" s="85" t="str">
        <f>IFERROR(__xludf.DUMMYFUNCTION("""COMPUTED_VALUE"""),"0813854670")</f>
        <v>0813854670</v>
      </c>
      <c r="AG1096" s="85" t="str">
        <f>IFERROR(__xludf.DUMMYFUNCTION("""COMPUTED_VALUE"""),"813854670")</f>
        <v>813854670</v>
      </c>
      <c r="AH1096" s="85" t="str">
        <f>IFERROR(__xludf.DUMMYFUNCTION("""COMPUTED_VALUE"""),"halalokalindonesia@gmail.com")</f>
        <v>halalokalindonesia@gmail.com</v>
      </c>
      <c r="AI1096" s="85" t="str">
        <f>IFERROR(__xludf.DUMMYFUNCTION("""COMPUTED_VALUE"""),"12450S4")</f>
        <v>12450S4</v>
      </c>
      <c r="AJ1096" s="85" t="str">
        <f>IFERROR(__xludf.DUMMYFUNCTION("""COMPUTED_VALUE"""),"6a8bab7e0db9c2e4ff08f324")</f>
        <v>6a8bab7e0db9c2e4ff08f324</v>
      </c>
      <c r="AK1096" s="85" t="str">
        <f>IFERROR(__xludf.DUMMYFUNCTION("""COMPUTED_VALUE"""),"halalokalindonesia@gmail.com")</f>
        <v>halalokalindonesia@gmail.com</v>
      </c>
      <c r="AL1096" s="85" t="str">
        <f>IFERROR(__xludf.DUMMYFUNCTION("""COMPUTED_VALUE"""),"#Muc12450S4$")</f>
        <v>#Muc12450S4$</v>
      </c>
      <c r="AM1096" s="85" t="str">
        <f>IFERROR(__xludf.DUMMYFUNCTION("""COMPUTED_VALUE"""),"KANTOR REGIONAL II JAKARTA 10004")</f>
        <v>KANTOR REGIONAL II JAKARTA 10004</v>
      </c>
      <c r="AN1096" s="85" t="str">
        <f>IFERROR(__xludf.DUMMYFUNCTION("""COMPUTED_VALUE"""),"KCU JAKARTAFLORA 12000")</f>
        <v>KCU JAKARTAFLORA 12000</v>
      </c>
      <c r="AO1096" s="85" t="str">
        <f>IFERROR(__xludf.DUMMYFUNCTION("""COMPUTED_VALUE"""),"2406260033453")</f>
        <v>2406260033453</v>
      </c>
      <c r="AP1096" s="85" t="str">
        <f>IFERROR(__xludf.DUMMYFUNCTION("""COMPUTED_VALUE"""),"2406260033453")</f>
        <v>2406260033453</v>
      </c>
      <c r="AQ1096" s="93" t="str">
        <f>IFERROR(__xludf.DUMMYFUNCTION("""COMPUTED_VALUE"""),"2180510390")</f>
        <v>2180510390</v>
      </c>
      <c r="AR1096" s="85" t="str">
        <f>IFERROR(__xludf.DUMMYFUNCTION("""COMPUTED_VALUE"""),"BCA")</f>
        <v>BCA</v>
      </c>
      <c r="AS1096" s="85" t="str">
        <f>IFERROR(__xludf.DUMMYFUNCTION("""COMPUTED_VALUE"""),"Sri Wulandari")</f>
        <v>Sri Wulandari</v>
      </c>
      <c r="AT1096" s="85" t="str">
        <f>IFERROR(__xludf.DUMMYFUNCTION("""COMPUTED_VALUE"""),"-6,314,880,402,222,120")</f>
        <v>-6,314,880,402,222,120</v>
      </c>
      <c r="AU1096" s="85" t="str">
        <f>IFERROR(__xludf.DUMMYFUNCTION("""COMPUTED_VALUE"""),"10,680,218,042,883,600")</f>
        <v>10,680,218,042,883,600</v>
      </c>
      <c r="AV1096" s="85"/>
      <c r="AW1096" s="85"/>
      <c r="AX1096" s="85"/>
      <c r="AY1096" s="85"/>
      <c r="AZ1096" s="85"/>
      <c r="BA1096" s="85"/>
      <c r="BB1096" s="85"/>
      <c r="BC1096" s="85"/>
      <c r="BD1096" s="85"/>
      <c r="BE1096" s="85"/>
      <c r="BF1096" s="85"/>
      <c r="BG1096" s="85"/>
      <c r="BH1096" s="85"/>
      <c r="BI1096" s="85"/>
      <c r="BJ1096" s="85"/>
      <c r="BK1096" s="85"/>
      <c r="BL1096" s="85"/>
      <c r="BM1096" s="85"/>
      <c r="BN1096" s="85"/>
      <c r="BO1096" s="85"/>
      <c r="BP1096" s="85"/>
      <c r="BQ1096" s="85"/>
      <c r="BR1096" s="85"/>
      <c r="BS1096" s="85"/>
      <c r="BT1096" s="85"/>
      <c r="BU1096" s="85"/>
      <c r="BV1096" s="85"/>
      <c r="BW1096" s="85"/>
      <c r="BX1096" s="85"/>
      <c r="BY1096" s="85"/>
      <c r="BZ1096" s="85"/>
      <c r="CA1096" s="85"/>
      <c r="CB1096" s="85"/>
      <c r="CC1096" s="85"/>
      <c r="CD1096" s="85"/>
      <c r="CE1096" s="85"/>
      <c r="CF1096" s="85"/>
      <c r="CG1096" s="85"/>
      <c r="CH1096" s="85"/>
      <c r="CI1096" s="85"/>
      <c r="CJ1096" s="85"/>
      <c r="CK1096" s="2"/>
    </row>
    <row r="1097" ht="12.75" customHeight="1">
      <c r="A1097" s="80">
        <f>IFERROR(__xludf.DUMMYFUNCTION("""COMPUTED_VALUE"""),1093.0)</f>
        <v>1093</v>
      </c>
      <c r="B1097" s="80"/>
      <c r="C1097" s="80"/>
      <c r="D1097" s="81">
        <f>IFERROR(__xludf.DUMMYFUNCTION("""COMPUTED_VALUE"""),46197.0)</f>
        <v>46197</v>
      </c>
      <c r="E1097" s="82"/>
      <c r="F1097" s="80"/>
      <c r="G1097" s="81">
        <f>IFERROR(__xludf.DUMMYFUNCTION("""COMPUTED_VALUE"""),46215.0)</f>
        <v>46215</v>
      </c>
      <c r="H1097" s="80"/>
      <c r="I1097" s="80"/>
      <c r="J1097" s="80"/>
      <c r="K1097" s="80"/>
      <c r="L1097" s="80">
        <f>IFERROR(__xludf.DUMMYFUNCTION("""COMPUTED_VALUE"""),18.0)</f>
        <v>18</v>
      </c>
      <c r="M1097" s="80"/>
      <c r="N1097" s="80"/>
      <c r="O1097" s="80"/>
      <c r="P1097" s="80" t="str">
        <f>IFERROR(__xludf.DUMMYFUNCTION("""COMPUTED_VALUE"""),"MUCSPA63548PSIND")</f>
        <v>MUCSPA63548PSIND</v>
      </c>
      <c r="Q1097" s="80" t="str">
        <f>IFERROR(__xludf.DUMMYFUNCTION("""COMPUTED_VALUE"""),"MUC HIRO BUMI SANI")</f>
        <v>MUC HIRO BUMI SANI</v>
      </c>
      <c r="R1097" s="80" t="str">
        <f>IFERROR(__xludf.DUMMYFUNCTION("""COMPUTED_VALUE"""),"MUC HIRO BUMI SANI")</f>
        <v>MUC HIRO BUMI SANI</v>
      </c>
      <c r="S1097" s="80" t="str">
        <f>IFERROR(__xludf.DUMMYFUNCTION("""COMPUTED_VALUE"""),"Rotua Hasonangan Siregar")</f>
        <v>Rotua Hasonangan Siregar</v>
      </c>
      <c r="T1097" s="80" t="str">
        <f>IFERROR(__xludf.DUMMYFUNCTION("""COMPUTED_VALUE"""),"JL. JAKARTA TIMUR DALAM 6 BLOK D9/5 RT 13 RW 10 BEKASIJAYA, BEKASI TIMUR, BEKASI")</f>
        <v>JL. JAKARTA TIMUR DALAM 6 BLOK D9/5 RT 13 RW 10 BEKASIJAYA, BEKASI TIMUR, BEKASI</v>
      </c>
      <c r="U1097" s="80" t="str">
        <f>IFERROR(__xludf.DUMMYFUNCTION("""COMPUTED_VALUE"""),"JL. AMIL MALIK")</f>
        <v>JL. AMIL MALIK</v>
      </c>
      <c r="V1097" s="80" t="str">
        <f>IFERROR(__xludf.DUMMYFUNCTION("""COMPUTED_VALUE"""),"RTA TI \ RW 10")</f>
        <v>RTA TI \ RW 10</v>
      </c>
      <c r="W1097" s="80" t="str">
        <f>IFERROR(__xludf.DUMMYFUNCTION("""COMPUTED_VALUE"""),"SETIAMEKAR")</f>
        <v>SETIAMEKAR</v>
      </c>
      <c r="X1097" s="80" t="str">
        <f>IFERROR(__xludf.DUMMYFUNCTION("""COMPUTED_VALUE"""),"TAMBUN SELATAN")</f>
        <v>TAMBUN SELATAN</v>
      </c>
      <c r="Y1097" s="80" t="str">
        <f>IFERROR(__xludf.DUMMYFUNCTION("""COMPUTED_VALUE"""),"KAB.BEKASI")</f>
        <v>KAB.BEKASI</v>
      </c>
      <c r="Z1097" s="80" t="str">
        <f>IFERROR(__xludf.DUMMYFUNCTION("""COMPUTED_VALUE"""),"JAWA BARAT")</f>
        <v>JAWA BARAT</v>
      </c>
      <c r="AA1097" s="80" t="str">
        <f>IFERROR(__xludf.DUMMYFUNCTION("""COMPUTED_VALUE"""),"17510")</f>
        <v>17510</v>
      </c>
      <c r="AB1097" s="80" t="str">
        <f>IFERROR(__xludf.DUMMYFUNCTION("""COMPUTED_VALUE"""),"3216222003700005")</f>
        <v>3216222003700005</v>
      </c>
      <c r="AC1097" s="80" t="str">
        <f>IFERROR(__xludf.DUMMYFUNCTION("""COMPUTED_VALUE"""),"32.162.220.0-370.0005")</f>
        <v>32.162.220.0-370.0005</v>
      </c>
      <c r="AD1097" s="80" t="str">
        <f>IFERROR(__xludf.DUMMYFUNCTION("""COMPUTED_VALUE"""),"CUM - PS - AYS")</f>
        <v>CUM - PS - AYS</v>
      </c>
      <c r="AE1097" s="80" t="str">
        <f>IFERROR(__xludf.DUMMYFUNCTION("""COMPUTED_VALUE"""),"CUM - PS - AYS")</f>
        <v>CUM - PS - AYS</v>
      </c>
      <c r="AF1097" s="80" t="str">
        <f>IFERROR(__xludf.DUMMYFUNCTION("""COMPUTED_VALUE"""),"08132174145")</f>
        <v>08132174145</v>
      </c>
      <c r="AG1097" s="80" t="str">
        <f>IFERROR(__xludf.DUMMYFUNCTION("""COMPUTED_VALUE"""),"8132174145")</f>
        <v>8132174145</v>
      </c>
      <c r="AH1097" s="80" t="str">
        <f>IFERROR(__xludf.DUMMYFUNCTION("""COMPUTED_VALUE"""),"hiropos70@gmail.com")</f>
        <v>hiropos70@gmail.com</v>
      </c>
      <c r="AI1097" s="80" t="str">
        <f>IFERROR(__xludf.DUMMYFUNCTION("""COMPUTED_VALUE"""),"17519S3")</f>
        <v>17519S3</v>
      </c>
      <c r="AJ1097" s="80" t="str">
        <f>IFERROR(__xludf.DUMMYFUNCTION("""COMPUTED_VALUE"""),"6a52f9d0f41fed2f640bab2e")</f>
        <v>6a52f9d0f41fed2f640bab2e</v>
      </c>
      <c r="AK1097" s="80" t="str">
        <f>IFERROR(__xludf.DUMMYFUNCTION("""COMPUTED_VALUE"""),"hiropos70@gmail.com")</f>
        <v>hiropos70@gmail.com</v>
      </c>
      <c r="AL1097" s="80" t="str">
        <f>IFERROR(__xludf.DUMMYFUNCTION("""COMPUTED_VALUE"""),"#Muc17519S3$")</f>
        <v>#Muc17519S3$</v>
      </c>
      <c r="AM1097" s="80" t="str">
        <f>IFERROR(__xludf.DUMMYFUNCTION("""COMPUTED_VALUE"""),"KANTOR REGIONAL II JAKARTA 10004")</f>
        <v>KANTOR REGIONAL II JAKARTA 10004</v>
      </c>
      <c r="AN1097" s="80" t="str">
        <f>IFERROR(__xludf.DUMMYFUNCTION("""COMPUTED_VALUE"""),"KC CIKARANG 17500")</f>
        <v>KC CIKARANG 17500</v>
      </c>
      <c r="AO1097" s="80" t="str">
        <f>IFERROR(__xludf.DUMMYFUNCTION("""COMPUTED_VALUE"""),"2406260062659")</f>
        <v>2406260062659</v>
      </c>
      <c r="AP1097" s="80" t="str">
        <f>IFERROR(__xludf.DUMMYFUNCTION("""COMPUTED_VALUE"""),"2406260062659")</f>
        <v>2406260062659</v>
      </c>
      <c r="AQ1097" s="83" t="str">
        <f>IFERROR(__xludf.DUMMYFUNCTION("""COMPUTED_VALUE"""),"7392103174")</f>
        <v>7392103174</v>
      </c>
      <c r="AR1097" s="80" t="str">
        <f>IFERROR(__xludf.DUMMYFUNCTION("""COMPUTED_VALUE"""),"BCA")</f>
        <v>BCA</v>
      </c>
      <c r="AS1097" s="80" t="str">
        <f>IFERROR(__xludf.DUMMYFUNCTION("""COMPUTED_VALUE"""),"Rotua Hasonangan Siregar")</f>
        <v>Rotua Hasonangan Siregar</v>
      </c>
      <c r="AT1097" s="80" t="str">
        <f>IFERROR(__xludf.DUMMYFUNCTION("""COMPUTED_VALUE"""),"-62,442,247")</f>
        <v>-62,442,247</v>
      </c>
      <c r="AU1097" s="80" t="str">
        <f>IFERROR(__xludf.DUMMYFUNCTION("""COMPUTED_VALUE"""),"107,044,853")</f>
        <v>107,044,853</v>
      </c>
      <c r="AV1097" s="80"/>
      <c r="AW1097" s="80"/>
      <c r="AX1097" s="80"/>
      <c r="AY1097" s="80"/>
      <c r="AZ1097" s="80"/>
      <c r="BA1097" s="80"/>
      <c r="BB1097" s="80"/>
      <c r="BC1097" s="80"/>
      <c r="BD1097" s="80"/>
      <c r="BE1097" s="80"/>
      <c r="BF1097" s="80"/>
      <c r="BG1097" s="80"/>
      <c r="BH1097" s="80"/>
      <c r="BI1097" s="80"/>
      <c r="BJ1097" s="80"/>
      <c r="BK1097" s="80"/>
      <c r="BL1097" s="80"/>
      <c r="BM1097" s="80"/>
      <c r="BN1097" s="80"/>
      <c r="BO1097" s="80"/>
      <c r="BP1097" s="80"/>
      <c r="BQ1097" s="80"/>
      <c r="BR1097" s="80"/>
      <c r="BS1097" s="80"/>
      <c r="BT1097" s="80"/>
      <c r="BU1097" s="80"/>
      <c r="BV1097" s="80"/>
      <c r="BW1097" s="80"/>
      <c r="BX1097" s="80"/>
      <c r="BY1097" s="80"/>
      <c r="BZ1097" s="80"/>
      <c r="CA1097" s="80"/>
      <c r="CB1097" s="80"/>
      <c r="CC1097" s="80"/>
      <c r="CD1097" s="80"/>
      <c r="CE1097" s="80"/>
      <c r="CF1097" s="80"/>
      <c r="CG1097" s="80"/>
      <c r="CH1097" s="80"/>
      <c r="CI1097" s="80"/>
      <c r="CJ1097" s="80"/>
      <c r="CK1097" s="2"/>
    </row>
    <row r="1098" ht="12.75" customHeight="1">
      <c r="A1098" s="85">
        <f>IFERROR(__xludf.DUMMYFUNCTION("""COMPUTED_VALUE"""),1094.0)</f>
        <v>1094</v>
      </c>
      <c r="B1098" s="85"/>
      <c r="C1098" s="85"/>
      <c r="D1098" s="86">
        <f>IFERROR(__xludf.DUMMYFUNCTION("""COMPUTED_VALUE"""),46197.0)</f>
        <v>46197</v>
      </c>
      <c r="E1098" s="88"/>
      <c r="F1098" s="85"/>
      <c r="G1098" s="86">
        <f>IFERROR(__xludf.DUMMYFUNCTION("""COMPUTED_VALUE"""),46279.0)</f>
        <v>46279</v>
      </c>
      <c r="H1098" s="85"/>
      <c r="I1098" s="85"/>
      <c r="J1098" s="85"/>
      <c r="K1098" s="85"/>
      <c r="L1098" s="85">
        <f>IFERROR(__xludf.DUMMYFUNCTION("""COMPUTED_VALUE"""),82.0)</f>
        <v>82</v>
      </c>
      <c r="M1098" s="85"/>
      <c r="N1098" s="85"/>
      <c r="O1098" s="85"/>
      <c r="P1098" s="85" t="str">
        <f>IFERROR(__xludf.DUMMYFUNCTION("""COMPUTED_VALUE"""),"53BSPA17070JBNDS")</f>
        <v>53BSPA17070JBNDS</v>
      </c>
      <c r="Q1098" s="85" t="str">
        <f>IFERROR(__xludf.DUMMYFUNCTION("""COMPUTED_VALUE"""),"MUC BABE CELL 89")</f>
        <v>MUC BABE CELL 89</v>
      </c>
      <c r="R1098" s="85" t="str">
        <f>IFERROR(__xludf.DUMMYFUNCTION("""COMPUTED_VALUE"""),"MUC BABE CELL 89")</f>
        <v>MUC BABE CELL 89</v>
      </c>
      <c r="S1098" s="85" t="str">
        <f>IFERROR(__xludf.DUMMYFUNCTION("""COMPUTED_VALUE"""),"NOVI OKTAVIANI")</f>
        <v>NOVI OKTAVIANI</v>
      </c>
      <c r="T1098" s="85" t="str">
        <f>IFERROR(__xludf.DUMMYFUNCTION("""COMPUTED_VALUE"""),"KP. TONGGOH NO. 11 RT 3 RW 1 GUNUNGSARI CITEUREUP")</f>
        <v>KP. TONGGOH NO. 11 RT 3 RW 1 GUNUNGSARI CITEUREUP</v>
      </c>
      <c r="U1098" s="85" t="str">
        <f>IFERROR(__xludf.DUMMYFUNCTION("""COMPUTED_VALUE"""),"KP. TONGGOH")</f>
        <v>KP. TONGGOH</v>
      </c>
      <c r="V1098" s="85" t="str">
        <f>IFERROR(__xludf.DUMMYFUNCTION("""COMPUTED_VALUE"""),"RT 3 R \ RW 1 G")</f>
        <v>RT 3 R \ RW 1 G</v>
      </c>
      <c r="W1098" s="85" t="str">
        <f>IFERROR(__xludf.DUMMYFUNCTION("""COMPUTED_VALUE"""),"GUNUNGSARI")</f>
        <v>GUNUNGSARI</v>
      </c>
      <c r="X1098" s="85" t="str">
        <f>IFERROR(__xludf.DUMMYFUNCTION("""COMPUTED_VALUE"""),"CITEUREUP")</f>
        <v>CITEUREUP</v>
      </c>
      <c r="Y1098" s="85" t="str">
        <f>IFERROR(__xludf.DUMMYFUNCTION("""COMPUTED_VALUE"""),"KAB. BOGOR")</f>
        <v>KAB. BOGOR</v>
      </c>
      <c r="Z1098" s="85" t="str">
        <f>IFERROR(__xludf.DUMMYFUNCTION("""COMPUTED_VALUE"""),"JAWA BARAT")</f>
        <v>JAWA BARAT</v>
      </c>
      <c r="AA1098" s="85" t="str">
        <f>IFERROR(__xludf.DUMMYFUNCTION("""COMPUTED_VALUE"""),"16810")</f>
        <v>16810</v>
      </c>
      <c r="AB1098" s="85" t="str">
        <f>IFERROR(__xludf.DUMMYFUNCTION("""COMPUTED_VALUE"""),"3201034907980005")</f>
        <v>3201034907980005</v>
      </c>
      <c r="AC1098" s="85" t="str">
        <f>IFERROR(__xludf.DUMMYFUNCTION("""COMPUTED_VALUE"""),"91.730.230.9-436.000")</f>
        <v>91.730.230.9-436.000</v>
      </c>
      <c r="AD1098" s="85" t="str">
        <f>IFERROR(__xludf.DUMMYFUNCTION("""COMPUTED_VALUE"""),"SUB NDS")</f>
        <v>SUB NDS</v>
      </c>
      <c r="AE1098" s="85" t="str">
        <f>IFERROR(__xludf.DUMMYFUNCTION("""COMPUTED_VALUE"""),"SUB NDS")</f>
        <v>SUB NDS</v>
      </c>
      <c r="AF1098" s="85" t="str">
        <f>IFERROR(__xludf.DUMMYFUNCTION("""COMPUTED_VALUE"""),"082120007272")</f>
        <v>082120007272</v>
      </c>
      <c r="AG1098" s="85" t="str">
        <f>IFERROR(__xludf.DUMMYFUNCTION("""COMPUTED_VALUE"""),"82120007272")</f>
        <v>82120007272</v>
      </c>
      <c r="AH1098" s="85" t="str">
        <f>IFERROR(__xludf.DUMMYFUNCTION("""COMPUTED_VALUE"""),"ragielpandawa6@gmail.com")</f>
        <v>ragielpandawa6@gmail.com</v>
      </c>
      <c r="AI1098" s="85" t="str">
        <f>IFERROR(__xludf.DUMMYFUNCTION("""COMPUTED_VALUE"""),"16819S3 ")</f>
        <v>16819S3 </v>
      </c>
      <c r="AJ1098" s="85" t="str">
        <f>IFERROR(__xludf.DUMMYFUNCTION("""COMPUTED_VALUE"""),"6aa7c59a803b1ebe370cf95d ")</f>
        <v>6aa7c59a803b1ebe370cf95d </v>
      </c>
      <c r="AK1098" s="85" t="str">
        <f>IFERROR(__xludf.DUMMYFUNCTION("""COMPUTED_VALUE"""),"ragielpandawa6@gmail.com")</f>
        <v>ragielpandawa6@gmail.com</v>
      </c>
      <c r="AL1098" s="85" t="str">
        <f>IFERROR(__xludf.DUMMYFUNCTION("""COMPUTED_VALUE"""),"#Muc16819S3$")</f>
        <v>#Muc16819S3$</v>
      </c>
      <c r="AM1098" s="85" t="str">
        <f>IFERROR(__xludf.DUMMYFUNCTION("""COMPUTED_VALUE"""),"KANTOR REGIONAL II JAKARTA 10004")</f>
        <v>KANTOR REGIONAL II JAKARTA 10004</v>
      </c>
      <c r="AN1098" s="85" t="str">
        <f>IFERROR(__xludf.DUMMYFUNCTION("""COMPUTED_VALUE"""),"KC CIBINONG 16900")</f>
        <v>KC CIBINONG 16900</v>
      </c>
      <c r="AO1098" s="85" t="str">
        <f>IFERROR(__xludf.DUMMYFUNCTION("""COMPUTED_VALUE"""),"2306260160352")</f>
        <v>2306260160352</v>
      </c>
      <c r="AP1098" s="85" t="str">
        <f>IFERROR(__xludf.DUMMYFUNCTION("""COMPUTED_VALUE"""),"2306260160352")</f>
        <v>2306260160352</v>
      </c>
      <c r="AQ1098" s="93" t="str">
        <f>IFERROR(__xludf.DUMMYFUNCTION("""COMPUTED_VALUE"""),"5721212361")</f>
        <v>5721212361</v>
      </c>
      <c r="AR1098" s="85" t="str">
        <f>IFERROR(__xludf.DUMMYFUNCTION("""COMPUTED_VALUE"""),"BCA")</f>
        <v>BCA</v>
      </c>
      <c r="AS1098" s="85" t="str">
        <f>IFERROR(__xludf.DUMMYFUNCTION("""COMPUTED_VALUE"""),"ARI WIDIYANTO")</f>
        <v>ARI WIDIYANTO</v>
      </c>
      <c r="AT1098" s="85" t="str">
        <f>IFERROR(__xludf.DUMMYFUNCTION("""COMPUTED_VALUE"""),"-6.4977953,106.8978432")</f>
        <v>-6.4977953,106.8978432</v>
      </c>
      <c r="AU1098" s="85" t="str">
        <f>IFERROR(__xludf.DUMMYFUNCTION("""COMPUTED_VALUE"""),"-6.4977953,106.8978432")</f>
        <v>-6.4977953,106.8978432</v>
      </c>
      <c r="AV1098" s="85"/>
      <c r="AW1098" s="85"/>
      <c r="AX1098" s="85"/>
      <c r="AY1098" s="85"/>
      <c r="AZ1098" s="85"/>
      <c r="BA1098" s="85"/>
      <c r="BB1098" s="85"/>
      <c r="BC1098" s="85"/>
      <c r="BD1098" s="85"/>
      <c r="BE1098" s="85"/>
      <c r="BF1098" s="85"/>
      <c r="BG1098" s="85"/>
      <c r="BH1098" s="85"/>
      <c r="BI1098" s="85"/>
      <c r="BJ1098" s="85"/>
      <c r="BK1098" s="85"/>
      <c r="BL1098" s="85"/>
      <c r="BM1098" s="85"/>
      <c r="BN1098" s="85"/>
      <c r="BO1098" s="85"/>
      <c r="BP1098" s="85"/>
      <c r="BQ1098" s="85"/>
      <c r="BR1098" s="85"/>
      <c r="BS1098" s="85"/>
      <c r="BT1098" s="85"/>
      <c r="BU1098" s="85"/>
      <c r="BV1098" s="85"/>
      <c r="BW1098" s="85"/>
      <c r="BX1098" s="85"/>
      <c r="BY1098" s="85"/>
      <c r="BZ1098" s="85"/>
      <c r="CA1098" s="85"/>
      <c r="CB1098" s="85"/>
      <c r="CC1098" s="85"/>
      <c r="CD1098" s="85"/>
      <c r="CE1098" s="85"/>
      <c r="CF1098" s="85"/>
      <c r="CG1098" s="85"/>
      <c r="CH1098" s="85"/>
      <c r="CI1098" s="85"/>
      <c r="CJ1098" s="85"/>
      <c r="CK1098" s="2"/>
    </row>
    <row r="1099" ht="12.75" customHeight="1">
      <c r="A1099" s="80">
        <f>IFERROR(__xludf.DUMMYFUNCTION("""COMPUTED_VALUE"""),1095.0)</f>
        <v>1095</v>
      </c>
      <c r="B1099" s="80"/>
      <c r="C1099" s="80"/>
      <c r="D1099" s="81">
        <f>IFERROR(__xludf.DUMMYFUNCTION("""COMPUTED_VALUE"""),46197.0)</f>
        <v>46197</v>
      </c>
      <c r="E1099" s="82"/>
      <c r="F1099" s="80"/>
      <c r="G1099" s="81">
        <f>IFERROR(__xludf.DUMMYFUNCTION("""COMPUTED_VALUE"""),46230.0)</f>
        <v>46230</v>
      </c>
      <c r="H1099" s="80"/>
      <c r="I1099" s="80"/>
      <c r="J1099" s="80"/>
      <c r="K1099" s="80"/>
      <c r="L1099" s="80">
        <f>IFERROR(__xludf.DUMMYFUNCTION("""COMPUTED_VALUE"""),33.0)</f>
        <v>33</v>
      </c>
      <c r="M1099" s="80"/>
      <c r="N1099" s="80"/>
      <c r="O1099" s="80"/>
      <c r="P1099" s="80" t="str">
        <f>IFERROR(__xludf.DUMMYFUNCTION("""COMPUTED_VALUE"""),"53BSPA17071JBNDS")</f>
        <v>53BSPA17071JBNDS</v>
      </c>
      <c r="Q1099" s="80" t="str">
        <f>IFERROR(__xludf.DUMMYFUNCTION("""COMPUTED_VALUE"""),"MUC MEKAR BAKTI EKSPRESS")</f>
        <v>MUC MEKAR BAKTI EKSPRESS</v>
      </c>
      <c r="R1099" s="80" t="str">
        <f>IFERROR(__xludf.DUMMYFUNCTION("""COMPUTED_VALUE"""),"MUC MEKAR BAKTI EKSPRESS")</f>
        <v>MUC MEKAR BAKTI EKSPRESS</v>
      </c>
      <c r="S1099" s="80" t="str">
        <f>IFERROR(__xludf.DUMMYFUNCTION("""COMPUTED_VALUE"""),"NOVA HADIANSAH")</f>
        <v>NOVA HADIANSAH</v>
      </c>
      <c r="T1099" s="80" t="str">
        <f>IFERROR(__xludf.DUMMYFUNCTION("""COMPUTED_VALUE"""),"KP. CIPARI RT 5 RW 2 CIAKAR PANONGAN KAB. TANGERANG")</f>
        <v>KP. CIPARI RT 5 RW 2 CIAKAR PANONGAN KAB. TANGERANG</v>
      </c>
      <c r="U1099" s="80" t="str">
        <f>IFERROR(__xludf.DUMMYFUNCTION("""COMPUTED_VALUE"""),"MEKAR BAKTI")</f>
        <v>MEKAR BAKTI</v>
      </c>
      <c r="V1099" s="80" t="str">
        <f>IFERROR(__xludf.DUMMYFUNCTION("""COMPUTED_VALUE"""),"RT 5 R \ RW 2 C")</f>
        <v>RT 5 R \ RW 2 C</v>
      </c>
      <c r="W1099" s="80" t="str">
        <f>IFERROR(__xludf.DUMMYFUNCTION("""COMPUTED_VALUE"""),"MEKAR BAKTI")</f>
        <v>MEKAR BAKTI</v>
      </c>
      <c r="X1099" s="80" t="str">
        <f>IFERROR(__xludf.DUMMYFUNCTION("""COMPUTED_VALUE"""),"PANONGAN")</f>
        <v>PANONGAN</v>
      </c>
      <c r="Y1099" s="80" t="str">
        <f>IFERROR(__xludf.DUMMYFUNCTION("""COMPUTED_VALUE"""),"KAB. TANGERANG")</f>
        <v>KAB. TANGERANG</v>
      </c>
      <c r="Z1099" s="80" t="str">
        <f>IFERROR(__xludf.DUMMYFUNCTION("""COMPUTED_VALUE"""),"BANTEN")</f>
        <v>BANTEN</v>
      </c>
      <c r="AA1099" s="80" t="str">
        <f>IFERROR(__xludf.DUMMYFUNCTION("""COMPUTED_VALUE"""),"15710")</f>
        <v>15710</v>
      </c>
      <c r="AB1099" s="80" t="str">
        <f>IFERROR(__xludf.DUMMYFUNCTION("""COMPUTED_VALUE"""),"3603192111990001")</f>
        <v>3603192111990001</v>
      </c>
      <c r="AC1099" s="80" t="str">
        <f>IFERROR(__xludf.DUMMYFUNCTION("""COMPUTED_VALUE"""),"85.102.459.6-452.000")</f>
        <v>85.102.459.6-452.000</v>
      </c>
      <c r="AD1099" s="80" t="str">
        <f>IFERROR(__xludf.DUMMYFUNCTION("""COMPUTED_VALUE"""),"SUB NDS")</f>
        <v>SUB NDS</v>
      </c>
      <c r="AE1099" s="80" t="str">
        <f>IFERROR(__xludf.DUMMYFUNCTION("""COMPUTED_VALUE"""),"SUB NDS")</f>
        <v>SUB NDS</v>
      </c>
      <c r="AF1099" s="80" t="str">
        <f>IFERROR(__xludf.DUMMYFUNCTION("""COMPUTED_VALUE"""),"081219561838")</f>
        <v>081219561838</v>
      </c>
      <c r="AG1099" s="80" t="str">
        <f>IFERROR(__xludf.DUMMYFUNCTION("""COMPUTED_VALUE"""),"81219561838")</f>
        <v>81219561838</v>
      </c>
      <c r="AH1099" s="80" t="str">
        <f>IFERROR(__xludf.DUMMYFUNCTION("""COMPUTED_VALUE"""),"novahadiansah4@gmail.com")</f>
        <v>novahadiansah4@gmail.com</v>
      </c>
      <c r="AI1099" s="80" t="str">
        <f>IFERROR(__xludf.DUMMYFUNCTION("""COMPUTED_VALUE"""),"15710SD")</f>
        <v>15710SD</v>
      </c>
      <c r="AJ1099" s="80" t="str">
        <f>IFERROR(__xludf.DUMMYFUNCTION("""COMPUTED_VALUE"""),"6a65843899efd6057d017636")</f>
        <v>6a65843899efd6057d017636</v>
      </c>
      <c r="AK1099" s="80" t="str">
        <f>IFERROR(__xludf.DUMMYFUNCTION("""COMPUTED_VALUE"""),"novahadiansah4@gmail.com")</f>
        <v>novahadiansah4@gmail.com</v>
      </c>
      <c r="AL1099" s="80" t="str">
        <f>IFERROR(__xludf.DUMMYFUNCTION("""COMPUTED_VALUE"""),"#Muc15710SD$")</f>
        <v>#Muc15710SD$</v>
      </c>
      <c r="AM1099" s="80" t="str">
        <f>IFERROR(__xludf.DUMMYFUNCTION("""COMPUTED_VALUE"""),"KANTOR REGIONAL II JAKARTA 10004")</f>
        <v>KANTOR REGIONAL II JAKARTA 10004</v>
      </c>
      <c r="AN1099" s="80" t="str">
        <f>IFERROR(__xludf.DUMMYFUNCTION("""COMPUTED_VALUE"""),"KCU TANGERANG 15000")</f>
        <v>KCU TANGERANG 15000</v>
      </c>
      <c r="AO1099" s="80" t="str">
        <f>IFERROR(__xludf.DUMMYFUNCTION("""COMPUTED_VALUE"""),"2406260078422")</f>
        <v>2406260078422</v>
      </c>
      <c r="AP1099" s="80" t="str">
        <f>IFERROR(__xludf.DUMMYFUNCTION("""COMPUTED_VALUE"""),"2406260078422")</f>
        <v>2406260078422</v>
      </c>
      <c r="AQ1099" s="83" t="str">
        <f>IFERROR(__xludf.DUMMYFUNCTION("""COMPUTED_VALUE"""),"7641228455")</f>
        <v>7641228455</v>
      </c>
      <c r="AR1099" s="80" t="str">
        <f>IFERROR(__xludf.DUMMYFUNCTION("""COMPUTED_VALUE"""),"BCA")</f>
        <v>BCA</v>
      </c>
      <c r="AS1099" s="80" t="str">
        <f>IFERROR(__xludf.DUMMYFUNCTION("""COMPUTED_VALUE"""),"NOVA HADIANSAH")</f>
        <v>NOVA HADIANSAH</v>
      </c>
      <c r="AT1099" s="80" t="str">
        <f>IFERROR(__xludf.DUMMYFUNCTION("""COMPUTED_VALUE"""),"-6.2627234,106.5155994")</f>
        <v>-6.2627234,106.5155994</v>
      </c>
      <c r="AU1099" s="80" t="str">
        <f>IFERROR(__xludf.DUMMYFUNCTION("""COMPUTED_VALUE"""),"-6.2627234,106.5155994")</f>
        <v>-6.2627234,106.5155994</v>
      </c>
      <c r="AV1099" s="80"/>
      <c r="AW1099" s="80"/>
      <c r="AX1099" s="80"/>
      <c r="AY1099" s="80"/>
      <c r="AZ1099" s="80"/>
      <c r="BA1099" s="80"/>
      <c r="BB1099" s="80"/>
      <c r="BC1099" s="80"/>
      <c r="BD1099" s="80"/>
      <c r="BE1099" s="80"/>
      <c r="BF1099" s="80"/>
      <c r="BG1099" s="80"/>
      <c r="BH1099" s="80"/>
      <c r="BI1099" s="80"/>
      <c r="BJ1099" s="80"/>
      <c r="BK1099" s="80"/>
      <c r="BL1099" s="80"/>
      <c r="BM1099" s="80"/>
      <c r="BN1099" s="80"/>
      <c r="BO1099" s="80"/>
      <c r="BP1099" s="80"/>
      <c r="BQ1099" s="80"/>
      <c r="BR1099" s="80"/>
      <c r="BS1099" s="80"/>
      <c r="BT1099" s="80"/>
      <c r="BU1099" s="80"/>
      <c r="BV1099" s="80"/>
      <c r="BW1099" s="80"/>
      <c r="BX1099" s="80"/>
      <c r="BY1099" s="80"/>
      <c r="BZ1099" s="80"/>
      <c r="CA1099" s="80"/>
      <c r="CB1099" s="80"/>
      <c r="CC1099" s="80"/>
      <c r="CD1099" s="80"/>
      <c r="CE1099" s="80"/>
      <c r="CF1099" s="80"/>
      <c r="CG1099" s="80"/>
      <c r="CH1099" s="80"/>
      <c r="CI1099" s="80"/>
      <c r="CJ1099" s="80"/>
      <c r="CK1099" s="2"/>
    </row>
    <row r="1100" ht="12.75" customHeight="1">
      <c r="A1100" s="85">
        <f>IFERROR(__xludf.DUMMYFUNCTION("""COMPUTED_VALUE"""),1096.0)</f>
        <v>1096</v>
      </c>
      <c r="B1100" s="85"/>
      <c r="C1100" s="85"/>
      <c r="D1100" s="86">
        <f>IFERROR(__xludf.DUMMYFUNCTION("""COMPUTED_VALUE"""),46197.0)</f>
        <v>46197</v>
      </c>
      <c r="E1100" s="88"/>
      <c r="F1100" s="85"/>
      <c r="G1100" s="86">
        <f>IFERROR(__xludf.DUMMYFUNCTION("""COMPUTED_VALUE"""),46215.0)</f>
        <v>46215</v>
      </c>
      <c r="H1100" s="85"/>
      <c r="I1100" s="85"/>
      <c r="J1100" s="85"/>
      <c r="K1100" s="85"/>
      <c r="L1100" s="85">
        <f>IFERROR(__xludf.DUMMYFUNCTION("""COMPUTED_VALUE"""),18.0)</f>
        <v>18</v>
      </c>
      <c r="M1100" s="85"/>
      <c r="N1100" s="85"/>
      <c r="O1100" s="85"/>
      <c r="P1100" s="85" t="str">
        <f>IFERROR(__xludf.DUMMYFUNCTION("""COMPUTED_VALUE"""),"53BSPA17106JBEEN")</f>
        <v>53BSPA17106JBEEN</v>
      </c>
      <c r="Q1100" s="85" t="str">
        <f>IFERROR(__xludf.DUMMYFUNCTION("""COMPUTED_VALUE"""),"MUC Samudera Express")</f>
        <v>MUC Samudera Express</v>
      </c>
      <c r="R1100" s="85" t="str">
        <f>IFERROR(__xludf.DUMMYFUNCTION("""COMPUTED_VALUE"""),"MUC Samudera Express")</f>
        <v>MUC Samudera Express</v>
      </c>
      <c r="S1100" s="85" t="str">
        <f>IFERROR(__xludf.DUMMYFUNCTION("""COMPUTED_VALUE"""),"R A H Victorio S W S")</f>
        <v>R A H Victorio S W S</v>
      </c>
      <c r="T1100" s="85" t="str">
        <f>IFERROR(__xludf.DUMMYFUNCTION("""COMPUTED_VALUE"""),"JL MULIA NO 25 RT 11 RW 08 BIDARA CINA, JATINEGARA, JAKARTA TIMUR")</f>
        <v>JL MULIA NO 25 RT 11 RW 08 BIDARA CINA, JATINEGARA, JAKARTA TIMUR</v>
      </c>
      <c r="U1100" s="85" t="str">
        <f>IFERROR(__xludf.DUMMYFUNCTION("""COMPUTED_VALUE"""),"JL MULIA NO 25 RT 11 RW 08 BIDARA CINA, JATINEGARA, JAKARTA TIMUR")</f>
        <v>JL MULIA NO 25 RT 11 RW 08 BIDARA CINA, JATINEGARA, JAKARTA TIMUR</v>
      </c>
      <c r="V1100" s="85" t="str">
        <f>IFERROR(__xludf.DUMMYFUNCTION("""COMPUTED_VALUE"""),"RT 11  \ RW 08")</f>
        <v>RT 11  \ RW 08</v>
      </c>
      <c r="W1100" s="85" t="str">
        <f>IFERROR(__xludf.DUMMYFUNCTION("""COMPUTED_VALUE"""),"BIDARA CINA")</f>
        <v>BIDARA CINA</v>
      </c>
      <c r="X1100" s="85" t="str">
        <f>IFERROR(__xludf.DUMMYFUNCTION("""COMPUTED_VALUE"""),"JATINEGARA")</f>
        <v>JATINEGARA</v>
      </c>
      <c r="Y1100" s="85" t="str">
        <f>IFERROR(__xludf.DUMMYFUNCTION("""COMPUTED_VALUE"""),"JAKARTA TIMUR")</f>
        <v>JAKARTA TIMUR</v>
      </c>
      <c r="Z1100" s="85" t="str">
        <f>IFERROR(__xludf.DUMMYFUNCTION("""COMPUTED_VALUE"""),"DKI JAKARTA")</f>
        <v>DKI JAKARTA</v>
      </c>
      <c r="AA1100" s="85" t="str">
        <f>IFERROR(__xludf.DUMMYFUNCTION("""COMPUTED_VALUE"""),"13330")</f>
        <v>13330</v>
      </c>
      <c r="AB1100" s="85" t="str">
        <f>IFERROR(__xludf.DUMMYFUNCTION("""COMPUTED_VALUE"""),"3175070206920003")</f>
        <v>3175070206920003</v>
      </c>
      <c r="AC1100" s="85" t="str">
        <f>IFERROR(__xludf.DUMMYFUNCTION("""COMPUTED_VALUE"""),"55.241.106.8-002.000")</f>
        <v>55.241.106.8-002.000</v>
      </c>
      <c r="AD1100" s="85" t="str">
        <f>IFERROR(__xludf.DUMMYFUNCTION("""COMPUTED_VALUE"""),"CUM - EEN")</f>
        <v>CUM - EEN</v>
      </c>
      <c r="AE1100" s="85" t="str">
        <f>IFERROR(__xludf.DUMMYFUNCTION("""COMPUTED_VALUE"""),"CUM - EEN")</f>
        <v>CUM - EEN</v>
      </c>
      <c r="AF1100" s="85" t="str">
        <f>IFERROR(__xludf.DUMMYFUNCTION("""COMPUTED_VALUE"""),"085163217890")</f>
        <v>085163217890</v>
      </c>
      <c r="AG1100" s="85" t="str">
        <f>IFERROR(__xludf.DUMMYFUNCTION("""COMPUTED_VALUE"""),"85163217890")</f>
        <v>85163217890</v>
      </c>
      <c r="AH1100" s="85" t="str">
        <f>IFERROR(__xludf.DUMMYFUNCTION("""COMPUTED_VALUE"""),"alfonsus.vic@gmail.com")</f>
        <v>alfonsus.vic@gmail.com</v>
      </c>
      <c r="AI1100" s="85" t="str">
        <f>IFERROR(__xludf.DUMMYFUNCTION("""COMPUTED_VALUE"""),"13330S1")</f>
        <v>13330S1</v>
      </c>
      <c r="AJ1100" s="85" t="str">
        <f>IFERROR(__xludf.DUMMYFUNCTION("""COMPUTED_VALUE"""),"6a52eddd8015e1a8180d6f3f")</f>
        <v>6a52eddd8015e1a8180d6f3f</v>
      </c>
      <c r="AK1100" s="85" t="str">
        <f>IFERROR(__xludf.DUMMYFUNCTION("""COMPUTED_VALUE"""),"alfonsus.vic@gmail.com")</f>
        <v>alfonsus.vic@gmail.com</v>
      </c>
      <c r="AL1100" s="85" t="str">
        <f>IFERROR(__xludf.DUMMYFUNCTION("""COMPUTED_VALUE"""),"#Muc13330S1$")</f>
        <v>#Muc13330S1$</v>
      </c>
      <c r="AM1100" s="85" t="str">
        <f>IFERROR(__xludf.DUMMYFUNCTION("""COMPUTED_VALUE"""),"KANTOR REGIONAL II JAKARTA 10004")</f>
        <v>KANTOR REGIONAL II JAKARTA 10004</v>
      </c>
      <c r="AN1100" s="85" t="str">
        <f>IFERROR(__xludf.DUMMYFUNCTION("""COMPUTED_VALUE"""),"KCU JAKARTAPREMIER 13000")</f>
        <v>KCU JAKARTAPREMIER 13000</v>
      </c>
      <c r="AO1100" s="85" t="str">
        <f>IFERROR(__xludf.DUMMYFUNCTION("""COMPUTED_VALUE"""),"2406260093766")</f>
        <v>2406260093766</v>
      </c>
      <c r="AP1100" s="85" t="str">
        <f>IFERROR(__xludf.DUMMYFUNCTION("""COMPUTED_VALUE"""),"2406260093766")</f>
        <v>2406260093766</v>
      </c>
      <c r="AQ1100" s="93" t="str">
        <f>IFERROR(__xludf.DUMMYFUNCTION("""COMPUTED_VALUE"""),"7140028406")</f>
        <v>7140028406</v>
      </c>
      <c r="AR1100" s="85" t="str">
        <f>IFERROR(__xludf.DUMMYFUNCTION("""COMPUTED_VALUE"""),"BCA")</f>
        <v>BCA</v>
      </c>
      <c r="AS1100" s="85" t="str">
        <f>IFERROR(__xludf.DUMMYFUNCTION("""COMPUTED_VALUE"""),"R A H Victorio S W S")</f>
        <v>R A H Victorio S W S</v>
      </c>
      <c r="AT1100" s="85" t="str">
        <f>IFERROR(__xludf.DUMMYFUNCTION("""COMPUTED_VALUE"""),"-62,345,248")</f>
        <v>-62,345,248</v>
      </c>
      <c r="AU1100" s="85" t="str">
        <f>IFERROR(__xludf.DUMMYFUNCTION("""COMPUTED_VALUE"""),"1,068,668,751")</f>
        <v>1,068,668,751</v>
      </c>
      <c r="AV1100" s="85"/>
      <c r="AW1100" s="85"/>
      <c r="AX1100" s="85"/>
      <c r="AY1100" s="85"/>
      <c r="AZ1100" s="85"/>
      <c r="BA1100" s="85"/>
      <c r="BB1100" s="85"/>
      <c r="BC1100" s="85"/>
      <c r="BD1100" s="85"/>
      <c r="BE1100" s="85"/>
      <c r="BF1100" s="85"/>
      <c r="BG1100" s="85"/>
      <c r="BH1100" s="85"/>
      <c r="BI1100" s="85"/>
      <c r="BJ1100" s="85"/>
      <c r="BK1100" s="85"/>
      <c r="BL1100" s="85"/>
      <c r="BM1100" s="85"/>
      <c r="BN1100" s="85"/>
      <c r="BO1100" s="85"/>
      <c r="BP1100" s="85"/>
      <c r="BQ1100" s="85"/>
      <c r="BR1100" s="85"/>
      <c r="BS1100" s="85"/>
      <c r="BT1100" s="85"/>
      <c r="BU1100" s="85"/>
      <c r="BV1100" s="85"/>
      <c r="BW1100" s="85"/>
      <c r="BX1100" s="85"/>
      <c r="BY1100" s="85"/>
      <c r="BZ1100" s="85"/>
      <c r="CA1100" s="85"/>
      <c r="CB1100" s="85"/>
      <c r="CC1100" s="85"/>
      <c r="CD1100" s="85"/>
      <c r="CE1100" s="85"/>
      <c r="CF1100" s="85"/>
      <c r="CG1100" s="85"/>
      <c r="CH1100" s="85"/>
      <c r="CI1100" s="85"/>
      <c r="CJ1100" s="85"/>
      <c r="CK1100" s="2"/>
    </row>
    <row r="1101" ht="12.75" customHeight="1">
      <c r="A1101" s="80">
        <f>IFERROR(__xludf.DUMMYFUNCTION("""COMPUTED_VALUE"""),1097.0)</f>
        <v>1097</v>
      </c>
      <c r="B1101" s="80"/>
      <c r="C1101" s="80"/>
      <c r="D1101" s="81">
        <f>IFERROR(__xludf.DUMMYFUNCTION("""COMPUTED_VALUE"""),46197.0)</f>
        <v>46197</v>
      </c>
      <c r="E1101" s="82"/>
      <c r="F1101" s="80"/>
      <c r="G1101" s="81">
        <f>IFERROR(__xludf.DUMMYFUNCTION("""COMPUTED_VALUE"""),46268.0)</f>
        <v>46268</v>
      </c>
      <c r="H1101" s="80"/>
      <c r="I1101" s="80"/>
      <c r="J1101" s="80"/>
      <c r="K1101" s="80"/>
      <c r="L1101" s="80">
        <f>IFERROR(__xludf.DUMMYFUNCTION("""COMPUTED_VALUE"""),71.0)</f>
        <v>71</v>
      </c>
      <c r="M1101" s="80"/>
      <c r="N1101" s="80"/>
      <c r="O1101" s="80"/>
      <c r="P1101" s="80" t="str">
        <f>IFERROR(__xludf.DUMMYFUNCTION("""COMPUTED_VALUE"""),"MUCSPA63529PSIND")</f>
        <v>MUCSPA63529PSIND</v>
      </c>
      <c r="Q1101" s="80" t="str">
        <f>IFERROR(__xludf.DUMMYFUNCTION("""COMPUTED_VALUE"""),"MUC MARGAHAYU SELATAN")</f>
        <v>MUC MARGAHAYU SELATAN</v>
      </c>
      <c r="R1101" s="80" t="str">
        <f>IFERROR(__xludf.DUMMYFUNCTION("""COMPUTED_VALUE"""),"MUC MARGAHAYU SELATAN")</f>
        <v>MUC MARGAHAYU SELATAN</v>
      </c>
      <c r="S1101" s="80" t="str">
        <f>IFERROR(__xludf.DUMMYFUNCTION("""COMPUTED_VALUE"""),"TRIANDU YANGTJIK")</f>
        <v>TRIANDU YANGTJIK</v>
      </c>
      <c r="T1101" s="80" t="str">
        <f>IFERROR(__xludf.DUMMYFUNCTION("""COMPUTED_VALUE"""),"TAMAN RAHAYU III A.6 NO.7 RT 004 / RW 010 CIGONDEWAH HILIR, MARGAASIH, KAB.BANDUNG")</f>
        <v>TAMAN RAHAYU III A.6 NO.7 RT 004 / RW 010 CIGONDEWAH HILIR, MARGAASIH, KAB.BANDUNG</v>
      </c>
      <c r="U1101" s="80" t="str">
        <f>IFERROR(__xludf.DUMMYFUNCTION("""COMPUTED_VALUE"""),"JL. MANGLID NO.21, RT 008 RW 010")</f>
        <v>JL. MANGLID NO.21, RT 008 RW 010</v>
      </c>
      <c r="V1101" s="80" t="str">
        <f>IFERROR(__xludf.DUMMYFUNCTION("""COMPUTED_VALUE"""),"RT 004 \ RW 010")</f>
        <v>RT 004 \ RW 010</v>
      </c>
      <c r="W1101" s="80" t="str">
        <f>IFERROR(__xludf.DUMMYFUNCTION("""COMPUTED_VALUE"""),"MARGAHAYU SELATAN")</f>
        <v>MARGAHAYU SELATAN</v>
      </c>
      <c r="X1101" s="80" t="str">
        <f>IFERROR(__xludf.DUMMYFUNCTION("""COMPUTED_VALUE"""),"MARGAHAYU")</f>
        <v>MARGAHAYU</v>
      </c>
      <c r="Y1101" s="80" t="str">
        <f>IFERROR(__xludf.DUMMYFUNCTION("""COMPUTED_VALUE"""),"KAB.BANDUNG")</f>
        <v>KAB.BANDUNG</v>
      </c>
      <c r="Z1101" s="80" t="str">
        <f>IFERROR(__xludf.DUMMYFUNCTION("""COMPUTED_VALUE"""),"JAWA BARAT")</f>
        <v>JAWA BARAT</v>
      </c>
      <c r="AA1101" s="80" t="str">
        <f>IFERROR(__xludf.DUMMYFUNCTION("""COMPUTED_VALUE"""),"40226")</f>
        <v>40226</v>
      </c>
      <c r="AB1101" s="80" t="str">
        <f>IFERROR(__xludf.DUMMYFUNCTION("""COMPUTED_VALUE"""),"3204102908760001")</f>
        <v>3204102908760001</v>
      </c>
      <c r="AC1101" s="80" t="str">
        <f>IFERROR(__xludf.DUMMYFUNCTION("""COMPUTED_VALUE"""),"59.170.000.0-445.000")</f>
        <v>59.170.000.0-445.000</v>
      </c>
      <c r="AD1101" s="80" t="str">
        <f>IFERROR(__xludf.DUMMYFUNCTION("""COMPUTED_VALUE"""),"CUM - LP - ANGGI")</f>
        <v>CUM - LP - ANGGI</v>
      </c>
      <c r="AE1101" s="80" t="str">
        <f>IFERROR(__xludf.DUMMYFUNCTION("""COMPUTED_VALUE"""),"CUM - LP - ANGGI")</f>
        <v>CUM - LP - ANGGI</v>
      </c>
      <c r="AF1101" s="80" t="str">
        <f>IFERROR(__xludf.DUMMYFUNCTION("""COMPUTED_VALUE"""),"08986998383")</f>
        <v>08986998383</v>
      </c>
      <c r="AG1101" s="80" t="str">
        <f>IFERROR(__xludf.DUMMYFUNCTION("""COMPUTED_VALUE"""),"8986998383")</f>
        <v>8986998383</v>
      </c>
      <c r="AH1101" s="80" t="str">
        <f>IFERROR(__xludf.DUMMYFUNCTION("""COMPUTED_VALUE"""),"rian_120@yahoo.com")</f>
        <v>rian_120@yahoo.com</v>
      </c>
      <c r="AI1101" s="80" t="str">
        <f>IFERROR(__xludf.DUMMYFUNCTION("""COMPUTED_VALUE"""),"40352S7")</f>
        <v>40352S7</v>
      </c>
      <c r="AJ1101" s="80" t="str">
        <f>IFERROR(__xludf.DUMMYFUNCTION("""COMPUTED_VALUE"""),"6a97dbd3533332d5590c7708")</f>
        <v>6a97dbd3533332d5590c7708</v>
      </c>
      <c r="AK1101" s="80" t="str">
        <f>IFERROR(__xludf.DUMMYFUNCTION("""COMPUTED_VALUE"""),"rian_120@yahoo.com")</f>
        <v>rian_120@yahoo.com</v>
      </c>
      <c r="AL1101" s="80" t="str">
        <f>IFERROR(__xludf.DUMMYFUNCTION("""COMPUTED_VALUE"""),"#Muc40352S7$")</f>
        <v>#Muc40352S7$</v>
      </c>
      <c r="AM1101" s="80" t="str">
        <f>IFERROR(__xludf.DUMMYFUNCTION("""COMPUTED_VALUE"""),"KANTOR REGIONAL III BANDUNG 40004")</f>
        <v>KANTOR REGIONAL III BANDUNG 40004</v>
      </c>
      <c r="AN1101" s="80" t="str">
        <f>IFERROR(__xludf.DUMMYFUNCTION("""COMPUTED_VALUE"""),"KCU BANDUNG 40000")</f>
        <v>KCU BANDUNG 40000</v>
      </c>
      <c r="AO1101" s="80" t="str">
        <f>IFERROR(__xludf.DUMMYFUNCTION("""COMPUTED_VALUE"""),"1111210003464")</f>
        <v>1111210003464</v>
      </c>
      <c r="AP1101" s="80" t="str">
        <f>IFERROR(__xludf.DUMMYFUNCTION("""COMPUTED_VALUE"""),"1111210003464")</f>
        <v>1111210003464</v>
      </c>
      <c r="AQ1101" s="83" t="str">
        <f>IFERROR(__xludf.DUMMYFUNCTION("""COMPUTED_VALUE"""),"4460320769")</f>
        <v>4460320769</v>
      </c>
      <c r="AR1101" s="80" t="str">
        <f>IFERROR(__xludf.DUMMYFUNCTION("""COMPUTED_VALUE"""),"BCA")</f>
        <v>BCA</v>
      </c>
      <c r="AS1101" s="80" t="str">
        <f>IFERROR(__xludf.DUMMYFUNCTION("""COMPUTED_VALUE"""),"TRIANDU YANGTJIK")</f>
        <v>TRIANDU YANGTJIK</v>
      </c>
      <c r="AT1101" s="80" t="str">
        <f>IFERROR(__xludf.DUMMYFUNCTION("""COMPUTED_VALUE"""),"-69,696,998")</f>
        <v>-69,696,998</v>
      </c>
      <c r="AU1101" s="80" t="str">
        <f>IFERROR(__xludf.DUMMYFUNCTION("""COMPUTED_VALUE"""),"107,569,425")</f>
        <v>107,569,425</v>
      </c>
      <c r="AV1101" s="80"/>
      <c r="AW1101" s="80"/>
      <c r="AX1101" s="80"/>
      <c r="AY1101" s="80"/>
      <c r="AZ1101" s="80"/>
      <c r="BA1101" s="80"/>
      <c r="BB1101" s="80"/>
      <c r="BC1101" s="80"/>
      <c r="BD1101" s="80"/>
      <c r="BE1101" s="80"/>
      <c r="BF1101" s="80"/>
      <c r="BG1101" s="80"/>
      <c r="BH1101" s="80"/>
      <c r="BI1101" s="80"/>
      <c r="BJ1101" s="80"/>
      <c r="BK1101" s="80"/>
      <c r="BL1101" s="80"/>
      <c r="BM1101" s="80"/>
      <c r="BN1101" s="80"/>
      <c r="BO1101" s="80"/>
      <c r="BP1101" s="80"/>
      <c r="BQ1101" s="80"/>
      <c r="BR1101" s="80"/>
      <c r="BS1101" s="80"/>
      <c r="BT1101" s="80"/>
      <c r="BU1101" s="80"/>
      <c r="BV1101" s="80"/>
      <c r="BW1101" s="80"/>
      <c r="BX1101" s="80"/>
      <c r="BY1101" s="80"/>
      <c r="BZ1101" s="80"/>
      <c r="CA1101" s="80"/>
      <c r="CB1101" s="80"/>
      <c r="CC1101" s="80"/>
      <c r="CD1101" s="80"/>
      <c r="CE1101" s="80"/>
      <c r="CF1101" s="80"/>
      <c r="CG1101" s="80"/>
      <c r="CH1101" s="80"/>
      <c r="CI1101" s="80"/>
      <c r="CJ1101" s="80"/>
      <c r="CK1101" s="2"/>
    </row>
    <row r="1102" ht="12.75" customHeight="1">
      <c r="A1102" s="85">
        <f>IFERROR(__xludf.DUMMYFUNCTION("""COMPUTED_VALUE"""),1098.0)</f>
        <v>1098</v>
      </c>
      <c r="B1102" s="85"/>
      <c r="C1102" s="85"/>
      <c r="D1102" s="86">
        <f>IFERROR(__xludf.DUMMYFUNCTION("""COMPUTED_VALUE"""),46197.0)</f>
        <v>46197</v>
      </c>
      <c r="E1102" s="88"/>
      <c r="F1102" s="85"/>
      <c r="G1102" s="86">
        <f>IFERROR(__xludf.DUMMYFUNCTION("""COMPUTED_VALUE"""),46230.0)</f>
        <v>46230</v>
      </c>
      <c r="H1102" s="85"/>
      <c r="I1102" s="85"/>
      <c r="J1102" s="85"/>
      <c r="K1102" s="85"/>
      <c r="L1102" s="85">
        <f>IFERROR(__xludf.DUMMYFUNCTION("""COMPUTED_VALUE"""),33.0)</f>
        <v>33</v>
      </c>
      <c r="M1102" s="85"/>
      <c r="N1102" s="85"/>
      <c r="O1102" s="85"/>
      <c r="P1102" s="85" t="str">
        <f>IFERROR(__xludf.DUMMYFUNCTION("""COMPUTED_VALUE"""),"MUCSPA63549PSIND")</f>
        <v>MUCSPA63549PSIND</v>
      </c>
      <c r="Q1102" s="85" t="str">
        <f>IFERROR(__xludf.DUMMYFUNCTION("""COMPUTED_VALUE"""),"MUC HR RASUNA")</f>
        <v>MUC HR RASUNA</v>
      </c>
      <c r="R1102" s="85" t="str">
        <f>IFERROR(__xludf.DUMMYFUNCTION("""COMPUTED_VALUE"""),"MUC HR RASUNA")</f>
        <v>MUC HR RASUNA</v>
      </c>
      <c r="S1102" s="85" t="str">
        <f>IFERROR(__xludf.DUMMYFUNCTION("""COMPUTED_VALUE"""),"ANTON SATRIO")</f>
        <v>ANTON SATRIO</v>
      </c>
      <c r="T1102" s="85" t="str">
        <f>IFERROR(__xludf.DUMMYFUNCTION("""COMPUTED_VALUE"""),"KP KEBON NANAS NO 12 RT 06 RW 07 CIKOKOL, TANGERANG, TANGERANG")</f>
        <v>KP KEBON NANAS NO 12 RT 06 RW 07 CIKOKOL, TANGERANG, TANGERANG</v>
      </c>
      <c r="U1102" s="85" t="str">
        <f>IFERROR(__xludf.DUMMYFUNCTION("""COMPUTED_VALUE"""),"JL. HR. RASUNA SAID RT 001 RW 004")</f>
        <v>JL. HR. RASUNA SAID RT 001 RW 004</v>
      </c>
      <c r="V1102" s="85" t="str">
        <f>IFERROR(__xludf.DUMMYFUNCTION("""COMPUTED_VALUE"""),"RT 06  \ RW 07")</f>
        <v>RT 06  \ RW 07</v>
      </c>
      <c r="W1102" s="85" t="str">
        <f>IFERROR(__xludf.DUMMYFUNCTION("""COMPUTED_VALUE"""),"PAKOJAN")</f>
        <v>PAKOJAN</v>
      </c>
      <c r="X1102" s="85" t="str">
        <f>IFERROR(__xludf.DUMMYFUNCTION("""COMPUTED_VALUE"""),"PINANG")</f>
        <v>PINANG</v>
      </c>
      <c r="Y1102" s="85" t="str">
        <f>IFERROR(__xludf.DUMMYFUNCTION("""COMPUTED_VALUE"""),"TANGERANG")</f>
        <v>TANGERANG</v>
      </c>
      <c r="Z1102" s="85" t="str">
        <f>IFERROR(__xludf.DUMMYFUNCTION("""COMPUTED_VALUE"""),"BANTEN")</f>
        <v>BANTEN</v>
      </c>
      <c r="AA1102" s="85" t="str">
        <f>IFERROR(__xludf.DUMMYFUNCTION("""COMPUTED_VALUE"""),"15142")</f>
        <v>15142</v>
      </c>
      <c r="AB1102" s="85" t="str">
        <f>IFERROR(__xludf.DUMMYFUNCTION("""COMPUTED_VALUE"""),"3603111309810001")</f>
        <v>3603111309810001</v>
      </c>
      <c r="AC1102" s="85" t="str">
        <f>IFERROR(__xludf.DUMMYFUNCTION("""COMPUTED_VALUE"""),"85.034.171.0-418.000")</f>
        <v>85.034.171.0-418.000</v>
      </c>
      <c r="AD1102" s="85" t="str">
        <f>IFERROR(__xludf.DUMMYFUNCTION("""COMPUTED_VALUE"""),"MAS EKO CUM")</f>
        <v>MAS EKO CUM</v>
      </c>
      <c r="AE1102" s="85" t="str">
        <f>IFERROR(__xludf.DUMMYFUNCTION("""COMPUTED_VALUE"""),"MAS EKO CUM")</f>
        <v>MAS EKO CUM</v>
      </c>
      <c r="AF1102" s="85" t="str">
        <f>IFERROR(__xludf.DUMMYFUNCTION("""COMPUTED_VALUE"""),"083872107344")</f>
        <v>083872107344</v>
      </c>
      <c r="AG1102" s="85" t="str">
        <f>IFERROR(__xludf.DUMMYFUNCTION("""COMPUTED_VALUE"""),"83872107344")</f>
        <v>83872107344</v>
      </c>
      <c r="AH1102" s="85" t="str">
        <f>IFERROR(__xludf.DUMMYFUNCTION("""COMPUTED_VALUE"""),"antonjtrasuna@gmail.com")</f>
        <v>antonjtrasuna@gmail.com</v>
      </c>
      <c r="AI1102" s="85" t="str">
        <f>IFERROR(__xludf.DUMMYFUNCTION("""COMPUTED_VALUE"""),"15142S3")</f>
        <v>15142S3</v>
      </c>
      <c r="AJ1102" s="85" t="str">
        <f>IFERROR(__xludf.DUMMYFUNCTION("""COMPUTED_VALUE"""),"6a64964fb843f63691099bd5")</f>
        <v>6a64964fb843f63691099bd5</v>
      </c>
      <c r="AK1102" s="85" t="str">
        <f>IFERROR(__xludf.DUMMYFUNCTION("""COMPUTED_VALUE"""),"antonjtrasuna@gmail.com")</f>
        <v>antonjtrasuna@gmail.com</v>
      </c>
      <c r="AL1102" s="85" t="str">
        <f>IFERROR(__xludf.DUMMYFUNCTION("""COMPUTED_VALUE"""),"#Muc15142S3$")</f>
        <v>#Muc15142S3$</v>
      </c>
      <c r="AM1102" s="85" t="str">
        <f>IFERROR(__xludf.DUMMYFUNCTION("""COMPUTED_VALUE"""),"KANTOR REGIONAL II JAKARTA 10004")</f>
        <v>KANTOR REGIONAL II JAKARTA 10004</v>
      </c>
      <c r="AN1102" s="85" t="str">
        <f>IFERROR(__xludf.DUMMYFUNCTION("""COMPUTED_VALUE"""),"KCU TANGERANG 15000")</f>
        <v>KCU TANGERANG 15000</v>
      </c>
      <c r="AO1102" s="85" t="str">
        <f>IFERROR(__xludf.DUMMYFUNCTION("""COMPUTED_VALUE"""),"2406260117175")</f>
        <v>2406260117175</v>
      </c>
      <c r="AP1102" s="85" t="str">
        <f>IFERROR(__xludf.DUMMYFUNCTION("""COMPUTED_VALUE"""),"2406260117175")</f>
        <v>2406260117175</v>
      </c>
      <c r="AQ1102" s="93" t="str">
        <f>IFERROR(__xludf.DUMMYFUNCTION("""COMPUTED_VALUE"""),"7645256352")</f>
        <v>7645256352</v>
      </c>
      <c r="AR1102" s="85" t="str">
        <f>IFERROR(__xludf.DUMMYFUNCTION("""COMPUTED_VALUE"""),"BCA")</f>
        <v>BCA</v>
      </c>
      <c r="AS1102" s="85" t="str">
        <f>IFERROR(__xludf.DUMMYFUNCTION("""COMPUTED_VALUE"""),"ANTON SATRIO")</f>
        <v>ANTON SATRIO</v>
      </c>
      <c r="AT1102" s="85" t="str">
        <f>IFERROR(__xludf.DUMMYFUNCTION("""COMPUTED_VALUE"""),"-62,072,144")</f>
        <v>-62,072,144</v>
      </c>
      <c r="AU1102" s="85" t="str">
        <f>IFERROR(__xludf.DUMMYFUNCTION("""COMPUTED_VALUE"""),"1,066,596,066")</f>
        <v>1,066,596,066</v>
      </c>
      <c r="AV1102" s="85"/>
      <c r="AW1102" s="85"/>
      <c r="AX1102" s="85"/>
      <c r="AY1102" s="85"/>
      <c r="AZ1102" s="85"/>
      <c r="BA1102" s="85"/>
      <c r="BB1102" s="85"/>
      <c r="BC1102" s="85"/>
      <c r="BD1102" s="85"/>
      <c r="BE1102" s="85"/>
      <c r="BF1102" s="85"/>
      <c r="BG1102" s="85"/>
      <c r="BH1102" s="85"/>
      <c r="BI1102" s="85"/>
      <c r="BJ1102" s="85"/>
      <c r="BK1102" s="85"/>
      <c r="BL1102" s="85"/>
      <c r="BM1102" s="85"/>
      <c r="BN1102" s="85"/>
      <c r="BO1102" s="85"/>
      <c r="BP1102" s="85"/>
      <c r="BQ1102" s="85"/>
      <c r="BR1102" s="85"/>
      <c r="BS1102" s="85"/>
      <c r="BT1102" s="85"/>
      <c r="BU1102" s="85"/>
      <c r="BV1102" s="85"/>
      <c r="BW1102" s="85"/>
      <c r="BX1102" s="85"/>
      <c r="BY1102" s="85"/>
      <c r="BZ1102" s="85"/>
      <c r="CA1102" s="85"/>
      <c r="CB1102" s="85"/>
      <c r="CC1102" s="85"/>
      <c r="CD1102" s="85"/>
      <c r="CE1102" s="85"/>
      <c r="CF1102" s="85"/>
      <c r="CG1102" s="85"/>
      <c r="CH1102" s="85"/>
      <c r="CI1102" s="85"/>
      <c r="CJ1102" s="85"/>
      <c r="CK1102" s="2"/>
    </row>
    <row r="1103" ht="12.75" customHeight="1">
      <c r="A1103" s="80">
        <f>IFERROR(__xludf.DUMMYFUNCTION("""COMPUTED_VALUE"""),1099.0)</f>
        <v>1099</v>
      </c>
      <c r="B1103" s="80"/>
      <c r="C1103" s="80"/>
      <c r="D1103" s="81">
        <f>IFERROR(__xludf.DUMMYFUNCTION("""COMPUTED_VALUE"""),46198.0)</f>
        <v>46198</v>
      </c>
      <c r="E1103" s="82"/>
      <c r="F1103" s="80"/>
      <c r="G1103" s="81">
        <f>IFERROR(__xludf.DUMMYFUNCTION("""COMPUTED_VALUE"""),46217.0)</f>
        <v>46217</v>
      </c>
      <c r="H1103" s="80"/>
      <c r="I1103" s="80"/>
      <c r="J1103" s="80"/>
      <c r="K1103" s="80"/>
      <c r="L1103" s="80">
        <f>IFERROR(__xludf.DUMMYFUNCTION("""COMPUTED_VALUE"""),19.0)</f>
        <v>19</v>
      </c>
      <c r="M1103" s="80"/>
      <c r="N1103" s="80"/>
      <c r="O1103" s="80"/>
      <c r="P1103" s="80" t="str">
        <f>IFERROR(__xludf.DUMMYFUNCTION("""COMPUTED_VALUE"""),"MUCSPA63551PSIND")</f>
        <v>MUCSPA63551PSIND</v>
      </c>
      <c r="Q1103" s="80" t="str">
        <f>IFERROR(__xludf.DUMMYFUNCTION("""COMPUTED_VALUE"""),"MUC KAIVANDRA BATUJAJAR")</f>
        <v>MUC KAIVANDRA BATUJAJAR</v>
      </c>
      <c r="R1103" s="80" t="str">
        <f>IFERROR(__xludf.DUMMYFUNCTION("""COMPUTED_VALUE"""),"MUC KAIVANDRA BATUJAJAR")</f>
        <v>MUC KAIVANDRA BATUJAJAR</v>
      </c>
      <c r="S1103" s="80" t="str">
        <f>IFERROR(__xludf.DUMMYFUNCTION("""COMPUTED_VALUE"""),"Asep Redi Gunawan")</f>
        <v>Asep Redi Gunawan</v>
      </c>
      <c r="T1103" s="80" t="str">
        <f>IFERROR(__xludf.DUMMYFUNCTION("""COMPUTED_VALUE"""),"KP.CIPONDOH RT 01 RW 20 KERTAJAYA, PADALARANG, KAB.BANDUNG BARAT")</f>
        <v>KP.CIPONDOH RT 01 RW 20 KERTAJAYA, PADALARANG, KAB.BANDUNG BARAT</v>
      </c>
      <c r="U1103" s="80" t="str">
        <f>IFERROR(__xludf.DUMMYFUNCTION("""COMPUTED_VALUE"""),"JL. KAUM SELATAN NO. 70")</f>
        <v>JL. KAUM SELATAN NO. 70</v>
      </c>
      <c r="V1103" s="80" t="str">
        <f>IFERROR(__xludf.DUMMYFUNCTION("""COMPUTED_VALUE"""),"RT 01  \ RW 20")</f>
        <v>RT 01  \ RW 20</v>
      </c>
      <c r="W1103" s="80" t="str">
        <f>IFERROR(__xludf.DUMMYFUNCTION("""COMPUTED_VALUE"""),"BATUJAJAR BARAT")</f>
        <v>BATUJAJAR BARAT</v>
      </c>
      <c r="X1103" s="80" t="str">
        <f>IFERROR(__xludf.DUMMYFUNCTION("""COMPUTED_VALUE"""),"BATUJAJAR")</f>
        <v>BATUJAJAR</v>
      </c>
      <c r="Y1103" s="80" t="str">
        <f>IFERROR(__xludf.DUMMYFUNCTION("""COMPUTED_VALUE"""),"KAB.BANDUNG BARAT")</f>
        <v>KAB.BANDUNG BARAT</v>
      </c>
      <c r="Z1103" s="80" t="str">
        <f>IFERROR(__xludf.DUMMYFUNCTION("""COMPUTED_VALUE"""),"JAWA BARTA")</f>
        <v>JAWA BARTA</v>
      </c>
      <c r="AA1103" s="80" t="str">
        <f>IFERROR(__xludf.DUMMYFUNCTION("""COMPUTED_VALUE"""),"40561")</f>
        <v>40561</v>
      </c>
      <c r="AB1103" s="80" t="str">
        <f>IFERROR(__xludf.DUMMYFUNCTION("""COMPUTED_VALUE"""),"3217071304970010")</f>
        <v>3217071304970010</v>
      </c>
      <c r="AC1103" s="80" t="str">
        <f>IFERROR(__xludf.DUMMYFUNCTION("""COMPUTED_VALUE"""),"41.311.098.2-421.000")</f>
        <v>41.311.098.2-421.000</v>
      </c>
      <c r="AD1103" s="80" t="str">
        <f>IFERROR(__xludf.DUMMYFUNCTION("""COMPUTED_VALUE"""),"CUM - LP - ANGGI")</f>
        <v>CUM - LP - ANGGI</v>
      </c>
      <c r="AE1103" s="80" t="str">
        <f>IFERROR(__xludf.DUMMYFUNCTION("""COMPUTED_VALUE"""),"CUM - LP - ANGGI")</f>
        <v>CUM - LP - ANGGI</v>
      </c>
      <c r="AF1103" s="80" t="str">
        <f>IFERROR(__xludf.DUMMYFUNCTION("""COMPUTED_VALUE"""),"082119220964")</f>
        <v>082119220964</v>
      </c>
      <c r="AG1103" s="80" t="str">
        <f>IFERROR(__xludf.DUMMYFUNCTION("""COMPUTED_VALUE"""),"82119220964")</f>
        <v>82119220964</v>
      </c>
      <c r="AH1103" s="80" t="str">
        <f>IFERROR(__xludf.DUMMYFUNCTION("""COMPUTED_VALUE"""),"red491O46@gmail.com")</f>
        <v>red491O46@gmail.com</v>
      </c>
      <c r="AI1103" s="80" t="str">
        <f>IFERROR(__xludf.DUMMYFUNCTION("""COMPUTED_VALUE"""),"40761S5")</f>
        <v>40761S5</v>
      </c>
      <c r="AJ1103" s="80" t="str">
        <f>IFERROR(__xludf.DUMMYFUNCTION("""COMPUTED_VALUE"""),"6a55d546661c906a4c0ab14b")</f>
        <v>6a55d546661c906a4c0ab14b</v>
      </c>
      <c r="AK1103" s="80" t="str">
        <f>IFERROR(__xludf.DUMMYFUNCTION("""COMPUTED_VALUE"""),"red491O46@gmail.com")</f>
        <v>red491O46@gmail.com</v>
      </c>
      <c r="AL1103" s="80" t="str">
        <f>IFERROR(__xludf.DUMMYFUNCTION("""COMPUTED_VALUE"""),"#Muc40761S5$")</f>
        <v>#Muc40761S5$</v>
      </c>
      <c r="AM1103" s="80" t="str">
        <f>IFERROR(__xludf.DUMMYFUNCTION("""COMPUTED_VALUE"""),"KANTOR REGIONAL III BANDUNG 40004")</f>
        <v>KANTOR REGIONAL III BANDUNG 40004</v>
      </c>
      <c r="AN1103" s="80" t="str">
        <f>IFERROR(__xludf.DUMMYFUNCTION("""COMPUTED_VALUE"""),"KC CIMAHI 40500")</f>
        <v>KC CIMAHI 40500</v>
      </c>
      <c r="AO1103" s="80" t="str">
        <f>IFERROR(__xludf.DUMMYFUNCTION("""COMPUTED_VALUE"""),"0309250044408")</f>
        <v>0309250044408</v>
      </c>
      <c r="AP1103" s="80" t="str">
        <f>IFERROR(__xludf.DUMMYFUNCTION("""COMPUTED_VALUE"""),"0309250044408")</f>
        <v>0309250044408</v>
      </c>
      <c r="AQ1103" s="83" t="str">
        <f>IFERROR(__xludf.DUMMYFUNCTION("""COMPUTED_VALUE"""),"2780522979")</f>
        <v>2780522979</v>
      </c>
      <c r="AR1103" s="80" t="str">
        <f>IFERROR(__xludf.DUMMYFUNCTION("""COMPUTED_VALUE"""),"BCA")</f>
        <v>BCA</v>
      </c>
      <c r="AS1103" s="80" t="str">
        <f>IFERROR(__xludf.DUMMYFUNCTION("""COMPUTED_VALUE"""),"Asep Redi Gunawan")</f>
        <v>Asep Redi Gunawan</v>
      </c>
      <c r="AT1103" s="80" t="str">
        <f>IFERROR(__xludf.DUMMYFUNCTION("""COMPUTED_VALUE"""),"-69,214,645")</f>
        <v>-69,214,645</v>
      </c>
      <c r="AU1103" s="80" t="str">
        <f>IFERROR(__xludf.DUMMYFUNCTION("""COMPUTED_VALUE"""),"1,074,922,213")</f>
        <v>1,074,922,213</v>
      </c>
      <c r="AV1103" s="80"/>
      <c r="AW1103" s="80"/>
      <c r="AX1103" s="80"/>
      <c r="AY1103" s="80"/>
      <c r="AZ1103" s="80"/>
      <c r="BA1103" s="80"/>
      <c r="BB1103" s="80"/>
      <c r="BC1103" s="80"/>
      <c r="BD1103" s="80"/>
      <c r="BE1103" s="80"/>
      <c r="BF1103" s="80"/>
      <c r="BG1103" s="80"/>
      <c r="BH1103" s="80"/>
      <c r="BI1103" s="80"/>
      <c r="BJ1103" s="80"/>
      <c r="BK1103" s="80"/>
      <c r="BL1103" s="80"/>
      <c r="BM1103" s="80"/>
      <c r="BN1103" s="80"/>
      <c r="BO1103" s="80"/>
      <c r="BP1103" s="80"/>
      <c r="BQ1103" s="80"/>
      <c r="BR1103" s="80"/>
      <c r="BS1103" s="80"/>
      <c r="BT1103" s="80"/>
      <c r="BU1103" s="80"/>
      <c r="BV1103" s="80"/>
      <c r="BW1103" s="80"/>
      <c r="BX1103" s="80"/>
      <c r="BY1103" s="80"/>
      <c r="BZ1103" s="80"/>
      <c r="CA1103" s="80"/>
      <c r="CB1103" s="80"/>
      <c r="CC1103" s="80"/>
      <c r="CD1103" s="80"/>
      <c r="CE1103" s="80"/>
      <c r="CF1103" s="80"/>
      <c r="CG1103" s="80"/>
      <c r="CH1103" s="80"/>
      <c r="CI1103" s="80"/>
      <c r="CJ1103" s="80"/>
      <c r="CK1103" s="2"/>
    </row>
    <row r="1104" ht="12.75" customHeight="1">
      <c r="A1104" s="85">
        <f>IFERROR(__xludf.DUMMYFUNCTION("""COMPUTED_VALUE"""),1100.0)</f>
        <v>1100</v>
      </c>
      <c r="B1104" s="85"/>
      <c r="C1104" s="85"/>
      <c r="D1104" s="86">
        <f>IFERROR(__xludf.DUMMYFUNCTION("""COMPUTED_VALUE"""),46198.0)</f>
        <v>46198</v>
      </c>
      <c r="E1104" s="88"/>
      <c r="F1104" s="85"/>
      <c r="G1104" s="86"/>
      <c r="H1104" s="85"/>
      <c r="I1104" s="85"/>
      <c r="J1104" s="85"/>
      <c r="K1104" s="85"/>
      <c r="L1104" s="85"/>
      <c r="M1104" s="85"/>
      <c r="N1104" s="85"/>
      <c r="O1104" s="85"/>
      <c r="P1104" s="85" t="str">
        <f>IFERROR(__xludf.DUMMYFUNCTION("""COMPUTED_VALUE"""),"MUCSPA63530PSIND")</f>
        <v>MUCSPA63530PSIND</v>
      </c>
      <c r="Q1104" s="85" t="str">
        <f>IFERROR(__xludf.DUMMYFUNCTION("""COMPUTED_VALUE"""),"MUC MUTIARA")</f>
        <v>MUC MUTIARA</v>
      </c>
      <c r="R1104" s="85" t="str">
        <f>IFERROR(__xludf.DUMMYFUNCTION("""COMPUTED_VALUE"""),"MUC MUTIARA")</f>
        <v>MUC MUTIARA</v>
      </c>
      <c r="S1104" s="85" t="str">
        <f>IFERROR(__xludf.DUMMYFUNCTION("""COMPUTED_VALUE"""),"RESVIH")</f>
        <v>RESVIH</v>
      </c>
      <c r="T1104" s="85" t="str">
        <f>IFERROR(__xludf.DUMMYFUNCTION("""COMPUTED_VALUE"""),"KP.PERAPATAN RT 008 RW 002 LABUAN, MANCAK, KAB.SERANG")</f>
        <v>KP.PERAPATAN RT 008 RW 002 LABUAN, MANCAK, KAB.SERANG</v>
      </c>
      <c r="U1104" s="85" t="str">
        <f>IFERROR(__xludf.DUMMYFUNCTION("""COMPUTED_VALUE"""),"JL. RAYA MANCAK KP.PERAPATAN RT 008 RW 002")</f>
        <v>JL. RAYA MANCAK KP.PERAPATAN RT 008 RW 002</v>
      </c>
      <c r="V1104" s="85" t="str">
        <f>IFERROR(__xludf.DUMMYFUNCTION("""COMPUTED_VALUE"""),"RT 008 \ RW 002")</f>
        <v>RT 008 \ RW 002</v>
      </c>
      <c r="W1104" s="85" t="str">
        <f>IFERROR(__xludf.DUMMYFUNCTION("""COMPUTED_VALUE"""),"LABUAN")</f>
        <v>LABUAN</v>
      </c>
      <c r="X1104" s="85" t="str">
        <f>IFERROR(__xludf.DUMMYFUNCTION("""COMPUTED_VALUE"""),"MANCAK")</f>
        <v>MANCAK</v>
      </c>
      <c r="Y1104" s="85" t="str">
        <f>IFERROR(__xludf.DUMMYFUNCTION("""COMPUTED_VALUE"""),"KAB.SERANG")</f>
        <v>KAB.SERANG</v>
      </c>
      <c r="Z1104" s="85" t="str">
        <f>IFERROR(__xludf.DUMMYFUNCTION("""COMPUTED_VALUE"""),"BANTEN")</f>
        <v>BANTEN</v>
      </c>
      <c r="AA1104" s="85" t="str">
        <f>IFERROR(__xludf.DUMMYFUNCTION("""COMPUTED_VALUE"""),"42165")</f>
        <v>42165</v>
      </c>
      <c r="AB1104" s="85" t="str">
        <f>IFERROR(__xludf.DUMMYFUNCTION("""COMPUTED_VALUE"""),"3173016507810007")</f>
        <v>3173016507810007</v>
      </c>
      <c r="AC1104" s="85" t="str">
        <f>IFERROR(__xludf.DUMMYFUNCTION("""COMPUTED_VALUE"""),"46.983.722.3-401.000")</f>
        <v>46.983.722.3-401.000</v>
      </c>
      <c r="AD1104" s="85" t="str">
        <f>IFERROR(__xludf.DUMMYFUNCTION("""COMPUTED_VALUE"""),"PAK ICHSAN KC CILEGON")</f>
        <v>PAK ICHSAN KC CILEGON</v>
      </c>
      <c r="AE1104" s="85" t="str">
        <f>IFERROR(__xludf.DUMMYFUNCTION("""COMPUTED_VALUE"""),"PAK ICHSAN KC CILEGON")</f>
        <v>PAK ICHSAN KC CILEGON</v>
      </c>
      <c r="AF1104" s="85" t="str">
        <f>IFERROR(__xludf.DUMMYFUNCTION("""COMPUTED_VALUE"""),"085117050235")</f>
        <v>085117050235</v>
      </c>
      <c r="AG1104" s="85" t="str">
        <f>IFERROR(__xludf.DUMMYFUNCTION("""COMPUTED_VALUE"""),"85117050235")</f>
        <v>85117050235</v>
      </c>
      <c r="AH1104" s="85" t="str">
        <f>IFERROR(__xludf.DUMMYFUNCTION("""COMPUTED_VALUE"""),"evimelati18@gmail.com")</f>
        <v>evimelati18@gmail.com</v>
      </c>
      <c r="AI1104" s="85"/>
      <c r="AJ1104" s="85"/>
      <c r="AK1104" s="85"/>
      <c r="AL1104" s="85"/>
      <c r="AM1104" s="85" t="str">
        <f>IFERROR(__xludf.DUMMYFUNCTION("""COMPUTED_VALUE"""),"KANTOR REGIONAL II JAKARTA 10004")</f>
        <v>KANTOR REGIONAL II JAKARTA 10004</v>
      </c>
      <c r="AN1104" s="85" t="str">
        <f>IFERROR(__xludf.DUMMYFUNCTION("""COMPUTED_VALUE"""),"KC CILEGON 42400")</f>
        <v>KC CILEGON 42400</v>
      </c>
      <c r="AO1104" s="85" t="str">
        <f>IFERROR(__xludf.DUMMYFUNCTION("""COMPUTED_VALUE"""),"2301240056156")</f>
        <v>2301240056156</v>
      </c>
      <c r="AP1104" s="85" t="str">
        <f>IFERROR(__xludf.DUMMYFUNCTION("""COMPUTED_VALUE"""),"2301240056156")</f>
        <v>2301240056156</v>
      </c>
      <c r="AQ1104" s="93" t="str">
        <f>IFERROR(__xludf.DUMMYFUNCTION("""COMPUTED_VALUE"""),"040101010874530")</f>
        <v>040101010874530</v>
      </c>
      <c r="AR1104" s="85" t="str">
        <f>IFERROR(__xludf.DUMMYFUNCTION("""COMPUTED_VALUE"""),"BRI")</f>
        <v>BRI</v>
      </c>
      <c r="AS1104" s="85" t="str">
        <f>IFERROR(__xludf.DUMMYFUNCTION("""COMPUTED_VALUE"""),"RESVIH")</f>
        <v>RESVIH</v>
      </c>
      <c r="AT1104" s="85" t="str">
        <f>IFERROR(__xludf.DUMMYFUNCTION("""COMPUTED_VALUE"""),"-60,914")</f>
        <v>-60,914</v>
      </c>
      <c r="AU1104" s="85" t="str">
        <f>IFERROR(__xludf.DUMMYFUNCTION("""COMPUTED_VALUE"""),"1,059,841,473")</f>
        <v>1,059,841,473</v>
      </c>
      <c r="AV1104" s="85"/>
      <c r="AW1104" s="85"/>
      <c r="AX1104" s="85"/>
      <c r="AY1104" s="85"/>
      <c r="AZ1104" s="85"/>
      <c r="BA1104" s="85"/>
      <c r="BB1104" s="85"/>
      <c r="BC1104" s="85"/>
      <c r="BD1104" s="85"/>
      <c r="BE1104" s="85"/>
      <c r="BF1104" s="85"/>
      <c r="BG1104" s="85"/>
      <c r="BH1104" s="85"/>
      <c r="BI1104" s="85"/>
      <c r="BJ1104" s="85"/>
      <c r="BK1104" s="85"/>
      <c r="BL1104" s="85"/>
      <c r="BM1104" s="85"/>
      <c r="BN1104" s="85"/>
      <c r="BO1104" s="85"/>
      <c r="BP1104" s="85"/>
      <c r="BQ1104" s="85"/>
      <c r="BR1104" s="85"/>
      <c r="BS1104" s="85"/>
      <c r="BT1104" s="85"/>
      <c r="BU1104" s="85"/>
      <c r="BV1104" s="85"/>
      <c r="BW1104" s="85"/>
      <c r="BX1104" s="85"/>
      <c r="BY1104" s="85"/>
      <c r="BZ1104" s="85"/>
      <c r="CA1104" s="85"/>
      <c r="CB1104" s="85"/>
      <c r="CC1104" s="85"/>
      <c r="CD1104" s="85"/>
      <c r="CE1104" s="85"/>
      <c r="CF1104" s="85"/>
      <c r="CG1104" s="85"/>
      <c r="CH1104" s="85"/>
      <c r="CI1104" s="85"/>
      <c r="CJ1104" s="85"/>
      <c r="CK1104" s="2"/>
    </row>
    <row r="1105" ht="12.75" customHeight="1">
      <c r="A1105" s="80">
        <f>IFERROR(__xludf.DUMMYFUNCTION("""COMPUTED_VALUE"""),1101.0)</f>
        <v>1101</v>
      </c>
      <c r="B1105" s="80"/>
      <c r="C1105" s="80"/>
      <c r="D1105" s="81">
        <f>IFERROR(__xludf.DUMMYFUNCTION("""COMPUTED_VALUE"""),46198.0)</f>
        <v>46198</v>
      </c>
      <c r="E1105" s="82"/>
      <c r="F1105" s="80"/>
      <c r="G1105" s="81">
        <f>IFERROR(__xludf.DUMMYFUNCTION("""COMPUTED_VALUE"""),46255.0)</f>
        <v>46255</v>
      </c>
      <c r="H1105" s="80"/>
      <c r="I1105" s="80"/>
      <c r="J1105" s="80"/>
      <c r="K1105" s="80"/>
      <c r="L1105" s="80">
        <f>IFERROR(__xludf.DUMMYFUNCTION("""COMPUTED_VALUE"""),57.0)</f>
        <v>57</v>
      </c>
      <c r="M1105" s="80"/>
      <c r="N1105" s="80"/>
      <c r="O1105" s="80"/>
      <c r="P1105" s="80" t="str">
        <f>IFERROR(__xludf.DUMMYFUNCTION("""COMPUTED_VALUE"""),"53BSPA17072JBNDS")</f>
        <v>53BSPA17072JBNDS</v>
      </c>
      <c r="Q1105" s="80" t="str">
        <f>IFERROR(__xludf.DUMMYFUNCTION("""COMPUTED_VALUE"""),"MUC EXSPEDISI46")</f>
        <v>MUC EXSPEDISI46</v>
      </c>
      <c r="R1105" s="80" t="str">
        <f>IFERROR(__xludf.DUMMYFUNCTION("""COMPUTED_VALUE"""),"MUC EXSPEDISI46")</f>
        <v>MUC EXSPEDISI46</v>
      </c>
      <c r="S1105" s="80" t="str">
        <f>IFERROR(__xludf.DUMMYFUNCTION("""COMPUTED_VALUE"""),"SARTO")</f>
        <v>SARTO</v>
      </c>
      <c r="T1105" s="80" t="str">
        <f>IFERROR(__xludf.DUMMYFUNCTION("""COMPUTED_VALUE"""),"CIBEUREUM RT 9 RW 5 MULYAHARJA BOGOR SELATAN")</f>
        <v>CIBEUREUM RT 9 RW 5 MULYAHARJA BOGOR SELATAN</v>
      </c>
      <c r="U1105" s="80" t="str">
        <f>IFERROR(__xludf.DUMMYFUNCTION("""COMPUTED_VALUE"""),"JL. JAMBU NO. 18")</f>
        <v>JL. JAMBU NO. 18</v>
      </c>
      <c r="V1105" s="80" t="str">
        <f>IFERROR(__xludf.DUMMYFUNCTION("""COMPUTED_VALUE"""),"RT 9 R \ RW 5 M")</f>
        <v>RT 9 R \ RW 5 M</v>
      </c>
      <c r="W1105" s="80" t="str">
        <f>IFERROR(__xludf.DUMMYFUNCTION("""COMPUTED_VALUE"""),"MULYAHARJA")</f>
        <v>MULYAHARJA</v>
      </c>
      <c r="X1105" s="80" t="str">
        <f>IFERROR(__xludf.DUMMYFUNCTION("""COMPUTED_VALUE"""),"BOGOR SELATAN")</f>
        <v>BOGOR SELATAN</v>
      </c>
      <c r="Y1105" s="80" t="str">
        <f>IFERROR(__xludf.DUMMYFUNCTION("""COMPUTED_VALUE"""),"BOGOR")</f>
        <v>BOGOR</v>
      </c>
      <c r="Z1105" s="80" t="str">
        <f>IFERROR(__xludf.DUMMYFUNCTION("""COMPUTED_VALUE"""),"JAWA BARAT")</f>
        <v>JAWA BARAT</v>
      </c>
      <c r="AA1105" s="80" t="str">
        <f>IFERROR(__xludf.DUMMYFUNCTION("""COMPUTED_VALUE"""),"16143")</f>
        <v>16143</v>
      </c>
      <c r="AB1105" s="80" t="str">
        <f>IFERROR(__xludf.DUMMYFUNCTION("""COMPUTED_VALUE"""),"3271011504800013")</f>
        <v>3271011504800013</v>
      </c>
      <c r="AC1105" s="80" t="str">
        <f>IFERROR(__xludf.DUMMYFUNCTION("""COMPUTED_VALUE"""),"66.940.783.5-404.000")</f>
        <v>66.940.783.5-404.000</v>
      </c>
      <c r="AD1105" s="80" t="str">
        <f>IFERROR(__xludf.DUMMYFUNCTION("""COMPUTED_VALUE"""),"SUB NDS")</f>
        <v>SUB NDS</v>
      </c>
      <c r="AE1105" s="80" t="str">
        <f>IFERROR(__xludf.DUMMYFUNCTION("""COMPUTED_VALUE"""),"SUB NDS")</f>
        <v>SUB NDS</v>
      </c>
      <c r="AF1105" s="80" t="str">
        <f>IFERROR(__xludf.DUMMYFUNCTION("""COMPUTED_VALUE"""),"089528806333")</f>
        <v>089528806333</v>
      </c>
      <c r="AG1105" s="80" t="str">
        <f>IFERROR(__xludf.DUMMYFUNCTION("""COMPUTED_VALUE"""),"89528806333")</f>
        <v>89528806333</v>
      </c>
      <c r="AH1105" s="80" t="str">
        <f>IFERROR(__xludf.DUMMYFUNCTION("""COMPUTED_VALUE"""),"Seto.dm80@gmail.com")</f>
        <v>Seto.dm80@gmail.com</v>
      </c>
      <c r="AI1105" s="80" t="str">
        <f>IFERROR(__xludf.DUMMYFUNCTION("""COMPUTED_VALUE"""),"16135S4")</f>
        <v>16135S4</v>
      </c>
      <c r="AJ1105" s="80" t="str">
        <f>IFERROR(__xludf.DUMMYFUNCTION("""COMPUTED_VALUE"""),"6a87cfbbc9b02d707b03828c")</f>
        <v>6a87cfbbc9b02d707b03828c</v>
      </c>
      <c r="AK1105" s="80" t="str">
        <f>IFERROR(__xludf.DUMMYFUNCTION("""COMPUTED_VALUE"""),"Seto.dm80@gmail.com")</f>
        <v>Seto.dm80@gmail.com</v>
      </c>
      <c r="AL1105" s="80" t="str">
        <f>IFERROR(__xludf.DUMMYFUNCTION("""COMPUTED_VALUE"""),"#Muc16135S4$")</f>
        <v>#Muc16135S4$</v>
      </c>
      <c r="AM1105" s="80" t="str">
        <f>IFERROR(__xludf.DUMMYFUNCTION("""COMPUTED_VALUE"""),"KANTOR REGIONAL II JAKARTA 10004")</f>
        <v>KANTOR REGIONAL II JAKARTA 10004</v>
      </c>
      <c r="AN1105" s="80" t="str">
        <f>IFERROR(__xludf.DUMMYFUNCTION("""COMPUTED_VALUE"""),"KCU BOGOR 16000")</f>
        <v>KCU BOGOR 16000</v>
      </c>
      <c r="AO1105" s="80" t="str">
        <f>IFERROR(__xludf.DUMMYFUNCTION("""COMPUTED_VALUE"""),"2506260032273")</f>
        <v>2506260032273</v>
      </c>
      <c r="AP1105" s="80" t="str">
        <f>IFERROR(__xludf.DUMMYFUNCTION("""COMPUTED_VALUE"""),"2506260032273")</f>
        <v>2506260032273</v>
      </c>
      <c r="AQ1105" s="83" t="str">
        <f>IFERROR(__xludf.DUMMYFUNCTION("""COMPUTED_VALUE"""),"1330012880126")</f>
        <v>1330012880126</v>
      </c>
      <c r="AR1105" s="80" t="str">
        <f>IFERROR(__xludf.DUMMYFUNCTION("""COMPUTED_VALUE"""),"MANDIRI")</f>
        <v>MANDIRI</v>
      </c>
      <c r="AS1105" s="80" t="str">
        <f>IFERROR(__xludf.DUMMYFUNCTION("""COMPUTED_VALUE"""),"SARTO")</f>
        <v>SARTO</v>
      </c>
      <c r="AT1105" s="80" t="str">
        <f>IFERROR(__xludf.DUMMYFUNCTION("""COMPUTED_VALUE"""),"-6.6367078,106.7920381")</f>
        <v>-6.6367078,106.7920381</v>
      </c>
      <c r="AU1105" s="80" t="str">
        <f>IFERROR(__xludf.DUMMYFUNCTION("""COMPUTED_VALUE"""),"-6.6367078,106.7920381")</f>
        <v>-6.6367078,106.7920381</v>
      </c>
      <c r="AV1105" s="80"/>
      <c r="AW1105" s="80"/>
      <c r="AX1105" s="80"/>
      <c r="AY1105" s="80"/>
      <c r="AZ1105" s="80"/>
      <c r="BA1105" s="80"/>
      <c r="BB1105" s="80"/>
      <c r="BC1105" s="80"/>
      <c r="BD1105" s="80"/>
      <c r="BE1105" s="80"/>
      <c r="BF1105" s="80"/>
      <c r="BG1105" s="80"/>
      <c r="BH1105" s="80"/>
      <c r="BI1105" s="80"/>
      <c r="BJ1105" s="80"/>
      <c r="BK1105" s="80"/>
      <c r="BL1105" s="80"/>
      <c r="BM1105" s="80"/>
      <c r="BN1105" s="80"/>
      <c r="BO1105" s="80"/>
      <c r="BP1105" s="80"/>
      <c r="BQ1105" s="80"/>
      <c r="BR1105" s="80"/>
      <c r="BS1105" s="80"/>
      <c r="BT1105" s="80"/>
      <c r="BU1105" s="80"/>
      <c r="BV1105" s="80"/>
      <c r="BW1105" s="80"/>
      <c r="BX1105" s="80"/>
      <c r="BY1105" s="80"/>
      <c r="BZ1105" s="80"/>
      <c r="CA1105" s="80"/>
      <c r="CB1105" s="80"/>
      <c r="CC1105" s="80"/>
      <c r="CD1105" s="80"/>
      <c r="CE1105" s="80"/>
      <c r="CF1105" s="80"/>
      <c r="CG1105" s="80"/>
      <c r="CH1105" s="80"/>
      <c r="CI1105" s="80"/>
      <c r="CJ1105" s="80"/>
      <c r="CK1105" s="2"/>
    </row>
    <row r="1106" ht="12.75" customHeight="1">
      <c r="A1106" s="85">
        <f>IFERROR(__xludf.DUMMYFUNCTION("""COMPUTED_VALUE"""),1102.0)</f>
        <v>1102</v>
      </c>
      <c r="B1106" s="85"/>
      <c r="C1106" s="85"/>
      <c r="D1106" s="86">
        <f>IFERROR(__xludf.DUMMYFUNCTION("""COMPUTED_VALUE"""),46198.0)</f>
        <v>46198</v>
      </c>
      <c r="E1106" s="88"/>
      <c r="F1106" s="85"/>
      <c r="G1106" s="86">
        <f>IFERROR(__xludf.DUMMYFUNCTION("""COMPUTED_VALUE"""),46218.0)</f>
        <v>46218</v>
      </c>
      <c r="H1106" s="85"/>
      <c r="I1106" s="85"/>
      <c r="J1106" s="85"/>
      <c r="K1106" s="85"/>
      <c r="L1106" s="85">
        <f>IFERROR(__xludf.DUMMYFUNCTION("""COMPUTED_VALUE"""),20.0)</f>
        <v>20</v>
      </c>
      <c r="M1106" s="85"/>
      <c r="N1106" s="85"/>
      <c r="O1106" s="85"/>
      <c r="P1106" s="85" t="str">
        <f>IFERROR(__xludf.DUMMYFUNCTION("""COMPUTED_VALUE"""),"MUCSPA63552PSIND")</f>
        <v>MUCSPA63552PSIND</v>
      </c>
      <c r="Q1106" s="85" t="str">
        <f>IFERROR(__xludf.DUMMYFUNCTION("""COMPUTED_VALUE"""),"MUC Dakota 3")</f>
        <v>MUC Dakota 3</v>
      </c>
      <c r="R1106" s="85" t="str">
        <f>IFERROR(__xludf.DUMMYFUNCTION("""COMPUTED_VALUE"""),"MUC Dakota 3")</f>
        <v>MUC Dakota 3</v>
      </c>
      <c r="S1106" s="85" t="str">
        <f>IFERROR(__xludf.DUMMYFUNCTION("""COMPUTED_VALUE"""),"Mira Mustika Arum")</f>
        <v>Mira Mustika Arum</v>
      </c>
      <c r="T1106" s="85" t="str">
        <f>IFERROR(__xludf.DUMMYFUNCTION("""COMPUTED_VALUE"""),"JL DAKOTA III NO.1 RT.001 RW.023, MELONG CIMAHI SELATTAN, KOTA CIMAHI")</f>
        <v>JL DAKOTA III NO.1 RT.001 RW.023, MELONG CIMAHI SELATTAN, KOTA CIMAHI</v>
      </c>
      <c r="U1106" s="85" t="str">
        <f>IFERROR(__xludf.DUMMYFUNCTION("""COMPUTED_VALUE"""),"Komplek Melong Green Garden Jl. Dakota 3 No. 1 Rt 01 Rw 23")</f>
        <v>Komplek Melong Green Garden Jl. Dakota 3 No. 1 Rt 01 Rw 23</v>
      </c>
      <c r="V1106" s="85" t="str">
        <f>IFERROR(__xludf.DUMMYFUNCTION("""COMPUTED_VALUE"""),"RT.001 \ RW.023")</f>
        <v>RT.001 \ RW.023</v>
      </c>
      <c r="W1106" s="85" t="str">
        <f>IFERROR(__xludf.DUMMYFUNCTION("""COMPUTED_VALUE"""),"Melong")</f>
        <v>Melong</v>
      </c>
      <c r="X1106" s="85" t="str">
        <f>IFERROR(__xludf.DUMMYFUNCTION("""COMPUTED_VALUE"""),"Cimahi Selatan")</f>
        <v>Cimahi Selatan</v>
      </c>
      <c r="Y1106" s="85" t="str">
        <f>IFERROR(__xludf.DUMMYFUNCTION("""COMPUTED_VALUE"""),"Cimahi")</f>
        <v>Cimahi</v>
      </c>
      <c r="Z1106" s="85" t="str">
        <f>IFERROR(__xludf.DUMMYFUNCTION("""COMPUTED_VALUE"""),"Jawa Barat")</f>
        <v>Jawa Barat</v>
      </c>
      <c r="AA1106" s="85" t="str">
        <f>IFERROR(__xludf.DUMMYFUNCTION("""COMPUTED_VALUE"""),"40534")</f>
        <v>40534</v>
      </c>
      <c r="AB1106" s="85" t="str">
        <f>IFERROR(__xludf.DUMMYFUNCTION("""COMPUTED_VALUE"""),"3277025203800003")</f>
        <v>3277025203800003</v>
      </c>
      <c r="AC1106" s="85" t="str">
        <f>IFERROR(__xludf.DUMMYFUNCTION("""COMPUTED_VALUE"""),"32.770.252.0-380.0003")</f>
        <v>32.770.252.0-380.0003</v>
      </c>
      <c r="AD1106" s="85" t="str">
        <f>IFERROR(__xludf.DUMMYFUNCTION("""COMPUTED_VALUE"""),"CUM - PS - GUMLR")</f>
        <v>CUM - PS - GUMLR</v>
      </c>
      <c r="AE1106" s="85" t="str">
        <f>IFERROR(__xludf.DUMMYFUNCTION("""COMPUTED_VALUE"""),"CUM - PS - GUMLR")</f>
        <v>CUM - PS - GUMLR</v>
      </c>
      <c r="AF1106" s="85" t="str">
        <f>IFERROR(__xludf.DUMMYFUNCTION("""COMPUTED_VALUE"""),"083895306230")</f>
        <v>083895306230</v>
      </c>
      <c r="AG1106" s="85" t="str">
        <f>IFERROR(__xludf.DUMMYFUNCTION("""COMPUTED_VALUE"""),"83895306230")</f>
        <v>83895306230</v>
      </c>
      <c r="AH1106" s="85" t="str">
        <f>IFERROR(__xludf.DUMMYFUNCTION("""COMPUTED_VALUE"""),"rhaarum@gmail.com")</f>
        <v>rhaarum@gmail.com</v>
      </c>
      <c r="AI1106" s="85" t="str">
        <f>IFERROR(__xludf.DUMMYFUNCTION("""COMPUTED_VALUE"""),"40534S6")</f>
        <v>40534S6</v>
      </c>
      <c r="AJ1106" s="85" t="str">
        <f>IFERROR(__xludf.DUMMYFUNCTION("""COMPUTED_VALUE"""),"6a4794ac945973354900fbce")</f>
        <v>6a4794ac945973354900fbce</v>
      </c>
      <c r="AK1106" s="85" t="str">
        <f>IFERROR(__xludf.DUMMYFUNCTION("""COMPUTED_VALUE"""),"rhaarum@gmail.com")</f>
        <v>rhaarum@gmail.com</v>
      </c>
      <c r="AL1106" s="85" t="str">
        <f>IFERROR(__xludf.DUMMYFUNCTION("""COMPUTED_VALUE"""),"#Muc40534S6$")</f>
        <v>#Muc40534S6$</v>
      </c>
      <c r="AM1106" s="85" t="str">
        <f>IFERROR(__xludf.DUMMYFUNCTION("""COMPUTED_VALUE"""),"KANTOR REGIONAL III BANDUNG 40004")</f>
        <v>KANTOR REGIONAL III BANDUNG 40004</v>
      </c>
      <c r="AN1106" s="85" t="str">
        <f>IFERROR(__xludf.DUMMYFUNCTION("""COMPUTED_VALUE"""),"KC CIMAHI 40500")</f>
        <v>KC CIMAHI 40500</v>
      </c>
      <c r="AO1106" s="85" t="str">
        <f>IFERROR(__xludf.DUMMYFUNCTION("""COMPUTED_VALUE"""),"2506260052492")</f>
        <v>2506260052492</v>
      </c>
      <c r="AP1106" s="85" t="str">
        <f>IFERROR(__xludf.DUMMYFUNCTION("""COMPUTED_VALUE"""),"2506260052492")</f>
        <v>2506260052492</v>
      </c>
      <c r="AQ1106" s="93" t="str">
        <f>IFERROR(__xludf.DUMMYFUNCTION("""COMPUTED_VALUE"""),"1300024740154")</f>
        <v>1300024740154</v>
      </c>
      <c r="AR1106" s="85" t="str">
        <f>IFERROR(__xludf.DUMMYFUNCTION("""COMPUTED_VALUE"""),"Mandiri")</f>
        <v>Mandiri</v>
      </c>
      <c r="AS1106" s="85" t="str">
        <f>IFERROR(__xludf.DUMMYFUNCTION("""COMPUTED_VALUE"""),"Mira Mustika Arum")</f>
        <v>Mira Mustika Arum</v>
      </c>
      <c r="AT1106" s="85" t="str">
        <f>IFERROR(__xludf.DUMMYFUNCTION("""COMPUTED_VALUE"""),"-6,923,421")</f>
        <v>-6,923,421</v>
      </c>
      <c r="AU1106" s="85" t="str">
        <f>IFERROR(__xludf.DUMMYFUNCTION("""COMPUTED_VALUE"""),"107,554,217")</f>
        <v>107,554,217</v>
      </c>
      <c r="AV1106" s="85"/>
      <c r="AW1106" s="85"/>
      <c r="AX1106" s="85"/>
      <c r="AY1106" s="85"/>
      <c r="AZ1106" s="85"/>
      <c r="BA1106" s="85"/>
      <c r="BB1106" s="85"/>
      <c r="BC1106" s="85"/>
      <c r="BD1106" s="85"/>
      <c r="BE1106" s="85"/>
      <c r="BF1106" s="85"/>
      <c r="BG1106" s="85"/>
      <c r="BH1106" s="85"/>
      <c r="BI1106" s="85"/>
      <c r="BJ1106" s="85"/>
      <c r="BK1106" s="85"/>
      <c r="BL1106" s="85"/>
      <c r="BM1106" s="85"/>
      <c r="BN1106" s="85"/>
      <c r="BO1106" s="85"/>
      <c r="BP1106" s="85"/>
      <c r="BQ1106" s="85"/>
      <c r="BR1106" s="85"/>
      <c r="BS1106" s="85"/>
      <c r="BT1106" s="85"/>
      <c r="BU1106" s="85"/>
      <c r="BV1106" s="85"/>
      <c r="BW1106" s="85"/>
      <c r="BX1106" s="85"/>
      <c r="BY1106" s="85"/>
      <c r="BZ1106" s="85"/>
      <c r="CA1106" s="85"/>
      <c r="CB1106" s="85"/>
      <c r="CC1106" s="85"/>
      <c r="CD1106" s="85"/>
      <c r="CE1106" s="85"/>
      <c r="CF1106" s="85"/>
      <c r="CG1106" s="85"/>
      <c r="CH1106" s="85"/>
      <c r="CI1106" s="85"/>
      <c r="CJ1106" s="85"/>
      <c r="CK1106" s="2"/>
    </row>
    <row r="1107" ht="12.75" customHeight="1">
      <c r="A1107" s="80">
        <f>IFERROR(__xludf.DUMMYFUNCTION("""COMPUTED_VALUE"""),1103.0)</f>
        <v>1103</v>
      </c>
      <c r="B1107" s="80"/>
      <c r="C1107" s="80"/>
      <c r="D1107" s="81">
        <f>IFERROR(__xludf.DUMMYFUNCTION("""COMPUTED_VALUE"""),46198.0)</f>
        <v>46198</v>
      </c>
      <c r="E1107" s="82"/>
      <c r="F1107" s="80"/>
      <c r="G1107" s="81"/>
      <c r="H1107" s="80"/>
      <c r="I1107" s="80"/>
      <c r="J1107" s="80"/>
      <c r="K1107" s="80"/>
      <c r="L1107" s="80"/>
      <c r="M1107" s="80"/>
      <c r="N1107" s="80"/>
      <c r="O1107" s="80"/>
      <c r="P1107" s="80" t="str">
        <f>IFERROR(__xludf.DUMMYFUNCTION("""COMPUTED_VALUE"""),"MUCSPA63553PSIND")</f>
        <v>MUCSPA63553PSIND</v>
      </c>
      <c r="Q1107" s="80" t="str">
        <f>IFERROR(__xludf.DUMMYFUNCTION("""COMPUTED_VALUE"""),"MUC BABAKAN SARI II")</f>
        <v>MUC BABAKAN SARI II</v>
      </c>
      <c r="R1107" s="80" t="str">
        <f>IFERROR(__xludf.DUMMYFUNCTION("""COMPUTED_VALUE"""),"MUC BABAKAN SARI II")</f>
        <v>MUC BABAKAN SARI II</v>
      </c>
      <c r="S1107" s="80" t="str">
        <f>IFERROR(__xludf.DUMMYFUNCTION("""COMPUTED_VALUE"""),"KELLY AGUNG CAHYA WINATA")</f>
        <v>KELLY AGUNG CAHYA WINATA</v>
      </c>
      <c r="T1107" s="80" t="str">
        <f>IFERROR(__xludf.DUMMYFUNCTION("""COMPUTED_VALUE"""),"BLOK CITOPENG RT 005 RW 022, MELONG, CIMAHI SELATAN, CIMAHI")</f>
        <v>BLOK CITOPENG RT 005 RW 022, MELONG, CIMAHI SELATAN, CIMAHI</v>
      </c>
      <c r="U1107" s="80" t="str">
        <f>IFERROR(__xludf.DUMMYFUNCTION("""COMPUTED_VALUE"""),"JL. BABAKAN SARI II NO 1")</f>
        <v>JL. BABAKAN SARI II NO 1</v>
      </c>
      <c r="V1107" s="80" t="str">
        <f>IFERROR(__xludf.DUMMYFUNCTION("""COMPUTED_VALUE"""),"RT 005 \ RW 022")</f>
        <v>RT 005 \ RW 022</v>
      </c>
      <c r="W1107" s="80" t="str">
        <f>IFERROR(__xludf.DUMMYFUNCTION("""COMPUTED_VALUE"""),"BABAKAN SARI")</f>
        <v>BABAKAN SARI</v>
      </c>
      <c r="X1107" s="80" t="str">
        <f>IFERROR(__xludf.DUMMYFUNCTION("""COMPUTED_VALUE"""),"KIARACONDONG")</f>
        <v>KIARACONDONG</v>
      </c>
      <c r="Y1107" s="80" t="str">
        <f>IFERROR(__xludf.DUMMYFUNCTION("""COMPUTED_VALUE"""),"BANDUNG")</f>
        <v>BANDUNG</v>
      </c>
      <c r="Z1107" s="80" t="str">
        <f>IFERROR(__xludf.DUMMYFUNCTION("""COMPUTED_VALUE"""),"JAWA BARAT")</f>
        <v>JAWA BARAT</v>
      </c>
      <c r="AA1107" s="80" t="str">
        <f>IFERROR(__xludf.DUMMYFUNCTION("""COMPUTED_VALUE"""),"40283")</f>
        <v>40283</v>
      </c>
      <c r="AB1107" s="80" t="str">
        <f>IFERROR(__xludf.DUMMYFUNCTION("""COMPUTED_VALUE"""),"3273052607880004")</f>
        <v>3273052607880004</v>
      </c>
      <c r="AC1107" s="80" t="str">
        <f>IFERROR(__xludf.DUMMYFUNCTION("""COMPUTED_VALUE"""),"82.125.658.3-421.000")</f>
        <v>82.125.658.3-421.000</v>
      </c>
      <c r="AD1107" s="80" t="str">
        <f>IFERROR(__xludf.DUMMYFUNCTION("""COMPUTED_VALUE"""),"CUM - LP - ANGGI")</f>
        <v>CUM - LP - ANGGI</v>
      </c>
      <c r="AE1107" s="80" t="str">
        <f>IFERROR(__xludf.DUMMYFUNCTION("""COMPUTED_VALUE"""),"CUM - LP - ANGGI")</f>
        <v>CUM - LP - ANGGI</v>
      </c>
      <c r="AF1107" s="80" t="str">
        <f>IFERROR(__xludf.DUMMYFUNCTION("""COMPUTED_VALUE"""),"087735288590")</f>
        <v>087735288590</v>
      </c>
      <c r="AG1107" s="80" t="str">
        <f>IFERROR(__xludf.DUMMYFUNCTION("""COMPUTED_VALUE"""),"87735288590")</f>
        <v>87735288590</v>
      </c>
      <c r="AH1107" s="80" t="str">
        <f>IFERROR(__xludf.DUMMYFUNCTION("""COMPUTED_VALUE"""),"kellywinata53@gmail.com")</f>
        <v>kellywinata53@gmail.com</v>
      </c>
      <c r="AI1107" s="80"/>
      <c r="AJ1107" s="80"/>
      <c r="AK1107" s="80"/>
      <c r="AL1107" s="80"/>
      <c r="AM1107" s="80" t="str">
        <f>IFERROR(__xludf.DUMMYFUNCTION("""COMPUTED_VALUE"""),"KANTOR REGIONAL III BANDUNG 40004")</f>
        <v>KANTOR REGIONAL III BANDUNG 40004</v>
      </c>
      <c r="AN1107" s="80" t="str">
        <f>IFERROR(__xludf.DUMMYFUNCTION("""COMPUTED_VALUE"""),"KCU BANDUNG 40000")</f>
        <v>KCU BANDUNG 40000</v>
      </c>
      <c r="AO1107" s="80" t="str">
        <f>IFERROR(__xludf.DUMMYFUNCTION("""COMPUTED_VALUE"""),"2506260077848")</f>
        <v>2506260077848</v>
      </c>
      <c r="AP1107" s="80" t="str">
        <f>IFERROR(__xludf.DUMMYFUNCTION("""COMPUTED_VALUE"""),"2506260077848")</f>
        <v>2506260077848</v>
      </c>
      <c r="AQ1107" s="83" t="str">
        <f>IFERROR(__xludf.DUMMYFUNCTION("""COMPUTED_VALUE"""),"1393731871")</f>
        <v>1393731871</v>
      </c>
      <c r="AR1107" s="80" t="str">
        <f>IFERROR(__xludf.DUMMYFUNCTION("""COMPUTED_VALUE"""),"BCA")</f>
        <v>BCA</v>
      </c>
      <c r="AS1107" s="80" t="str">
        <f>IFERROR(__xludf.DUMMYFUNCTION("""COMPUTED_VALUE"""),"KELLY AGUNG CAHYA WINATA")</f>
        <v>KELLY AGUNG CAHYA WINATA</v>
      </c>
      <c r="AT1107" s="80" t="str">
        <f>IFERROR(__xludf.DUMMYFUNCTION("""COMPUTED_VALUE"""),"-69,239,724")</f>
        <v>-69,239,724</v>
      </c>
      <c r="AU1107" s="80" t="str">
        <f>IFERROR(__xludf.DUMMYFUNCTION("""COMPUTED_VALUE"""),"1,076,433,869")</f>
        <v>1,076,433,869</v>
      </c>
      <c r="AV1107" s="80"/>
      <c r="AW1107" s="80"/>
      <c r="AX1107" s="80"/>
      <c r="AY1107" s="80"/>
      <c r="AZ1107" s="80"/>
      <c r="BA1107" s="80"/>
      <c r="BB1107" s="80"/>
      <c r="BC1107" s="80"/>
      <c r="BD1107" s="80"/>
      <c r="BE1107" s="80"/>
      <c r="BF1107" s="80"/>
      <c r="BG1107" s="80"/>
      <c r="BH1107" s="80"/>
      <c r="BI1107" s="80"/>
      <c r="BJ1107" s="80"/>
      <c r="BK1107" s="80"/>
      <c r="BL1107" s="80"/>
      <c r="BM1107" s="80"/>
      <c r="BN1107" s="80"/>
      <c r="BO1107" s="80"/>
      <c r="BP1107" s="80"/>
      <c r="BQ1107" s="80"/>
      <c r="BR1107" s="80"/>
      <c r="BS1107" s="80"/>
      <c r="BT1107" s="80"/>
      <c r="BU1107" s="80"/>
      <c r="BV1107" s="80"/>
      <c r="BW1107" s="80"/>
      <c r="BX1107" s="80"/>
      <c r="BY1107" s="80"/>
      <c r="BZ1107" s="80"/>
      <c r="CA1107" s="80"/>
      <c r="CB1107" s="80"/>
      <c r="CC1107" s="80"/>
      <c r="CD1107" s="80"/>
      <c r="CE1107" s="80"/>
      <c r="CF1107" s="80"/>
      <c r="CG1107" s="80"/>
      <c r="CH1107" s="80"/>
      <c r="CI1107" s="80"/>
      <c r="CJ1107" s="80"/>
      <c r="CK1107" s="2"/>
    </row>
    <row r="1108" ht="12.75" customHeight="1">
      <c r="A1108" s="85">
        <f>IFERROR(__xludf.DUMMYFUNCTION("""COMPUTED_VALUE"""),1104.0)</f>
        <v>1104</v>
      </c>
      <c r="B1108" s="85"/>
      <c r="C1108" s="85"/>
      <c r="D1108" s="86">
        <f>IFERROR(__xludf.DUMMYFUNCTION("""COMPUTED_VALUE"""),46198.0)</f>
        <v>46198</v>
      </c>
      <c r="E1108" s="88"/>
      <c r="F1108" s="85"/>
      <c r="G1108" s="86">
        <f>IFERROR(__xludf.DUMMYFUNCTION("""COMPUTED_VALUE"""),46223.0)</f>
        <v>46223</v>
      </c>
      <c r="H1108" s="85"/>
      <c r="I1108" s="85"/>
      <c r="J1108" s="85"/>
      <c r="K1108" s="85"/>
      <c r="L1108" s="85">
        <f>IFERROR(__xludf.DUMMYFUNCTION("""COMPUTED_VALUE"""),25.0)</f>
        <v>25</v>
      </c>
      <c r="M1108" s="85"/>
      <c r="N1108" s="85"/>
      <c r="O1108" s="85"/>
      <c r="P1108" s="85" t="str">
        <f>IFERROR(__xludf.DUMMYFUNCTION("""COMPUTED_VALUE"""),"53BSPA09812JBEEN")</f>
        <v>53BSPA09812JBEEN</v>
      </c>
      <c r="Q1108" s="85" t="str">
        <f>IFERROR(__xludf.DUMMYFUNCTION("""COMPUTED_VALUE"""),"MUC KEMBANGAN ABADI")</f>
        <v>MUC KEMBANGAN ABADI</v>
      </c>
      <c r="R1108" s="85" t="str">
        <f>IFERROR(__xludf.DUMMYFUNCTION("""COMPUTED_VALUE"""),"MUC KEMBANGAN ABADI")</f>
        <v>MUC KEMBANGAN ABADI</v>
      </c>
      <c r="S1108" s="85" t="str">
        <f>IFERROR(__xludf.DUMMYFUNCTION("""COMPUTED_VALUE"""),"MODI TITAN PRASETYO")</f>
        <v>MODI TITAN PRASETYO</v>
      </c>
      <c r="T1108" s="85" t="str">
        <f>IFERROR(__xludf.DUMMYFUNCTION("""COMPUTED_VALUE"""),"JL. H. MEAN UJUNG NO.162 RT.001 RW.010, KARANG TIMUR, KARANG TENGAH, KOTA TANGERANG BANTEN")</f>
        <v>JL. H. MEAN UJUNG NO.162 RT.001 RW.010, KARANG TIMUR, KARANG TENGAH, KOTA TANGERANG BANTEN</v>
      </c>
      <c r="U1108" s="85" t="str">
        <f>IFERROR(__xludf.DUMMYFUNCTION("""COMPUTED_VALUE"""),"Jl. Puri Kembangan No.79 RT02, RT.1/RW.2,")</f>
        <v>Jl. Puri Kembangan No.79 RT02, RT.1/RW.2,</v>
      </c>
      <c r="V1108" s="85" t="str">
        <f>IFERROR(__xludf.DUMMYFUNCTION("""COMPUTED_VALUE"""),"RT.001 \ RW.010")</f>
        <v>RT.001 \ RW.010</v>
      </c>
      <c r="W1108" s="85" t="str">
        <f>IFERROR(__xludf.DUMMYFUNCTION("""COMPUTED_VALUE"""),"Kembangan Selatan")</f>
        <v>Kembangan Selatan</v>
      </c>
      <c r="X1108" s="85" t="str">
        <f>IFERROR(__xludf.DUMMYFUNCTION("""COMPUTED_VALUE"""),"Kembangan")</f>
        <v>Kembangan</v>
      </c>
      <c r="Y1108" s="85" t="str">
        <f>IFERROR(__xludf.DUMMYFUNCTION("""COMPUTED_VALUE"""),"Kota Jakarta Barat")</f>
        <v>Kota Jakarta Barat</v>
      </c>
      <c r="Z1108" s="85" t="str">
        <f>IFERROR(__xludf.DUMMYFUNCTION("""COMPUTED_VALUE"""),"Daerah Khusus Ibukota Jakarta")</f>
        <v>Daerah Khusus Ibukota Jakarta</v>
      </c>
      <c r="AA1108" s="85" t="str">
        <f>IFERROR(__xludf.DUMMYFUNCTION("""COMPUTED_VALUE"""),"11610")</f>
        <v>11610</v>
      </c>
      <c r="AB1108" s="85" t="str">
        <f>IFERROR(__xludf.DUMMYFUNCTION("""COMPUTED_VALUE"""),"3171032605810001")</f>
        <v>3171032605810001</v>
      </c>
      <c r="AC1108" s="85" t="str">
        <f>IFERROR(__xludf.DUMMYFUNCTION("""COMPUTED_VALUE"""),"31.710.326.0-581.0001")</f>
        <v>31.710.326.0-581.0001</v>
      </c>
      <c r="AD1108" s="85" t="str">
        <f>IFERROR(__xludf.DUMMYFUNCTION("""COMPUTED_VALUE"""),"CUM - EEN")</f>
        <v>CUM - EEN</v>
      </c>
      <c r="AE1108" s="85" t="str">
        <f>IFERROR(__xludf.DUMMYFUNCTION("""COMPUTED_VALUE"""),"CUM - EEN")</f>
        <v>CUM - EEN</v>
      </c>
      <c r="AF1108" s="85" t="str">
        <f>IFERROR(__xludf.DUMMYFUNCTION("""COMPUTED_VALUE"""),"081511111185")</f>
        <v>081511111185</v>
      </c>
      <c r="AG1108" s="85" t="str">
        <f>IFERROR(__xludf.DUMMYFUNCTION("""COMPUTED_VALUE"""),"81511111185")</f>
        <v>81511111185</v>
      </c>
      <c r="AH1108" s="85" t="str">
        <f>IFERROR(__xludf.DUMMYFUNCTION("""COMPUTED_VALUE"""),"modi.titan81@gmail.com")</f>
        <v>modi.titan81@gmail.com</v>
      </c>
      <c r="AI1108" s="85" t="str">
        <f>IFERROR(__xludf.DUMMYFUNCTION("""COMPUTED_VALUE"""),"11610S8")</f>
        <v>11610S8</v>
      </c>
      <c r="AJ1108" s="85" t="str">
        <f>IFERROR(__xludf.DUMMYFUNCTION("""COMPUTED_VALUE"""),"6a5cd25a00989ec2cc005059")</f>
        <v>6a5cd25a00989ec2cc005059</v>
      </c>
      <c r="AK1108" s="85" t="str">
        <f>IFERROR(__xludf.DUMMYFUNCTION("""COMPUTED_VALUE"""),"modi.titan81@gmail.com")</f>
        <v>modi.titan81@gmail.com</v>
      </c>
      <c r="AL1108" s="85" t="str">
        <f>IFERROR(__xludf.DUMMYFUNCTION("""COMPUTED_VALUE"""),"#Muc11610S8$")</f>
        <v>#Muc11610S8$</v>
      </c>
      <c r="AM1108" s="85" t="str">
        <f>IFERROR(__xludf.DUMMYFUNCTION("""COMPUTED_VALUE"""),"KANTOR REGIONAL II JAKARTA 10004")</f>
        <v>KANTOR REGIONAL II JAKARTA 10004</v>
      </c>
      <c r="AN1108" s="85" t="str">
        <f>IFERROR(__xludf.DUMMYFUNCTION("""COMPUTED_VALUE"""),"KCU JAKARTAOCEANIA 11000")</f>
        <v>KCU JAKARTAOCEANIA 11000</v>
      </c>
      <c r="AO1108" s="85" t="str">
        <f>IFERROR(__xludf.DUMMYFUNCTION("""COMPUTED_VALUE"""),"1206260095359")</f>
        <v>1206260095359</v>
      </c>
      <c r="AP1108" s="85" t="str">
        <f>IFERROR(__xludf.DUMMYFUNCTION("""COMPUTED_VALUE"""),"1206260095359")</f>
        <v>1206260095359</v>
      </c>
      <c r="AQ1108" s="93" t="str">
        <f>IFERROR(__xludf.DUMMYFUNCTION("""COMPUTED_VALUE"""),"711101020049539")</f>
        <v>711101020049539</v>
      </c>
      <c r="AR1108" s="85" t="str">
        <f>IFERROR(__xludf.DUMMYFUNCTION("""COMPUTED_VALUE"""),"BRI")</f>
        <v>BRI</v>
      </c>
      <c r="AS1108" s="85" t="str">
        <f>IFERROR(__xludf.DUMMYFUNCTION("""COMPUTED_VALUE"""),"Modi Titan Prasetyo")</f>
        <v>Modi Titan Prasetyo</v>
      </c>
      <c r="AT1108" s="85" t="str">
        <f>IFERROR(__xludf.DUMMYFUNCTION("""COMPUTED_VALUE"""),"-61,819,365")</f>
        <v>-61,819,365</v>
      </c>
      <c r="AU1108" s="85" t="str">
        <f>IFERROR(__xludf.DUMMYFUNCTION("""COMPUTED_VALUE"""),"1,067,511,025")</f>
        <v>1,067,511,025</v>
      </c>
      <c r="AV1108" s="85"/>
      <c r="AW1108" s="85"/>
      <c r="AX1108" s="85"/>
      <c r="AY1108" s="85"/>
      <c r="AZ1108" s="85"/>
      <c r="BA1108" s="85"/>
      <c r="BB1108" s="85"/>
      <c r="BC1108" s="85"/>
      <c r="BD1108" s="85"/>
      <c r="BE1108" s="85"/>
      <c r="BF1108" s="85"/>
      <c r="BG1108" s="85"/>
      <c r="BH1108" s="85"/>
      <c r="BI1108" s="85"/>
      <c r="BJ1108" s="85"/>
      <c r="BK1108" s="85"/>
      <c r="BL1108" s="85"/>
      <c r="BM1108" s="85"/>
      <c r="BN1108" s="85"/>
      <c r="BO1108" s="85"/>
      <c r="BP1108" s="85"/>
      <c r="BQ1108" s="85"/>
      <c r="BR1108" s="85"/>
      <c r="BS1108" s="85"/>
      <c r="BT1108" s="85"/>
      <c r="BU1108" s="85"/>
      <c r="BV1108" s="85"/>
      <c r="BW1108" s="85"/>
      <c r="BX1108" s="85"/>
      <c r="BY1108" s="85"/>
      <c r="BZ1108" s="85"/>
      <c r="CA1108" s="85"/>
      <c r="CB1108" s="85"/>
      <c r="CC1108" s="85"/>
      <c r="CD1108" s="85"/>
      <c r="CE1108" s="85"/>
      <c r="CF1108" s="85"/>
      <c r="CG1108" s="85"/>
      <c r="CH1108" s="85"/>
      <c r="CI1108" s="85"/>
      <c r="CJ1108" s="85"/>
      <c r="CK1108" s="2"/>
    </row>
    <row r="1109" ht="12.75" customHeight="1">
      <c r="A1109" s="80">
        <f>IFERROR(__xludf.DUMMYFUNCTION("""COMPUTED_VALUE"""),1105.0)</f>
        <v>1105</v>
      </c>
      <c r="B1109" s="80"/>
      <c r="C1109" s="80"/>
      <c r="D1109" s="81">
        <f>IFERROR(__xludf.DUMMYFUNCTION("""COMPUTED_VALUE"""),46198.0)</f>
        <v>46198</v>
      </c>
      <c r="E1109" s="82"/>
      <c r="F1109" s="80"/>
      <c r="G1109" s="81"/>
      <c r="H1109" s="80"/>
      <c r="I1109" s="80"/>
      <c r="J1109" s="80"/>
      <c r="K1109" s="80"/>
      <c r="L1109" s="80"/>
      <c r="M1109" s="80"/>
      <c r="N1109" s="80"/>
      <c r="O1109" s="80"/>
      <c r="P1109" s="80" t="str">
        <f>IFERROR(__xludf.DUMMYFUNCTION("""COMPUTED_VALUE"""),"MUCSPA63554PSIND")</f>
        <v>MUCSPA63554PSIND</v>
      </c>
      <c r="Q1109" s="80" t="str">
        <f>IFERROR(__xludf.DUMMYFUNCTION("""COMPUTED_VALUE"""),"MUC BOJONG RAYA")</f>
        <v>MUC BOJONG RAYA</v>
      </c>
      <c r="R1109" s="80" t="str">
        <f>IFERROR(__xludf.DUMMYFUNCTION("""COMPUTED_VALUE"""),"MUC BOJONG RAYA")</f>
        <v>MUC BOJONG RAYA</v>
      </c>
      <c r="S1109" s="80" t="str">
        <f>IFERROR(__xludf.DUMMYFUNCTION("""COMPUTED_VALUE"""),"ANGGI OCTAVIANDI")</f>
        <v>ANGGI OCTAVIANDI</v>
      </c>
      <c r="T1109" s="80" t="str">
        <f>IFERROR(__xludf.DUMMYFUNCTION("""COMPUTED_VALUE"""),"JL. MELONG KIDUL NO. 67/36D RT 02 RW 02 CIKAWAO, LENGKONG, BANDUNG")</f>
        <v>JL. MELONG KIDUL NO. 67/36D RT 02 RW 02 CIKAWAO, LENGKONG, BANDUNG</v>
      </c>
      <c r="U1109" s="80" t="str">
        <f>IFERROR(__xludf.DUMMYFUNCTION("""COMPUTED_VALUE"""),"JL. BOJONG RAYA NO. 41")</f>
        <v>JL. BOJONG RAYA NO. 41</v>
      </c>
      <c r="V1109" s="80" t="str">
        <f>IFERROR(__xludf.DUMMYFUNCTION("""COMPUTED_VALUE"""),"RT 02  \ RW 02")</f>
        <v>RT 02  \ RW 02</v>
      </c>
      <c r="W1109" s="80" t="str">
        <f>IFERROR(__xludf.DUMMYFUNCTION("""COMPUTED_VALUE"""),"CARINGIN")</f>
        <v>CARINGIN</v>
      </c>
      <c r="X1109" s="80" t="str">
        <f>IFERROR(__xludf.DUMMYFUNCTION("""COMPUTED_VALUE"""),"BANDUNG KULON")</f>
        <v>BANDUNG KULON</v>
      </c>
      <c r="Y1109" s="80" t="str">
        <f>IFERROR(__xludf.DUMMYFUNCTION("""COMPUTED_VALUE"""),"BANDUNG")</f>
        <v>BANDUNG</v>
      </c>
      <c r="Z1109" s="80" t="str">
        <f>IFERROR(__xludf.DUMMYFUNCTION("""COMPUTED_VALUE"""),"JAWA BARAT")</f>
        <v>JAWA BARAT</v>
      </c>
      <c r="AA1109" s="80" t="str">
        <f>IFERROR(__xludf.DUMMYFUNCTION("""COMPUTED_VALUE"""),"40212")</f>
        <v>40212</v>
      </c>
      <c r="AB1109" s="80" t="str">
        <f>IFERROR(__xludf.DUMMYFUNCTION("""COMPUTED_VALUE"""),"3273136810920002")</f>
        <v>3273136810920002</v>
      </c>
      <c r="AC1109" s="80" t="str">
        <f>IFERROR(__xludf.DUMMYFUNCTION("""COMPUTED_VALUE"""),"74.291.610.9-424.000")</f>
        <v>74.291.610.9-424.000</v>
      </c>
      <c r="AD1109" s="80" t="str">
        <f>IFERROR(__xludf.DUMMYFUNCTION("""COMPUTED_VALUE"""),"CUM - LP - ANGGI")</f>
        <v>CUM - LP - ANGGI</v>
      </c>
      <c r="AE1109" s="80" t="str">
        <f>IFERROR(__xludf.DUMMYFUNCTION("""COMPUTED_VALUE"""),"CUM - LP - ANGGI")</f>
        <v>CUM - LP - ANGGI</v>
      </c>
      <c r="AF1109" s="80" t="str">
        <f>IFERROR(__xludf.DUMMYFUNCTION("""COMPUTED_VALUE"""),"08812061720")</f>
        <v>08812061720</v>
      </c>
      <c r="AG1109" s="80" t="str">
        <f>IFERROR(__xludf.DUMMYFUNCTION("""COMPUTED_VALUE"""),"8812061720")</f>
        <v>8812061720</v>
      </c>
      <c r="AH1109" s="80" t="str">
        <f>IFERROR(__xludf.DUMMYFUNCTION("""COMPUTED_VALUE"""),"vieyoelianna76@gmail.com")</f>
        <v>vieyoelianna76@gmail.com</v>
      </c>
      <c r="AI1109" s="80"/>
      <c r="AJ1109" s="80"/>
      <c r="AK1109" s="80"/>
      <c r="AL1109" s="80"/>
      <c r="AM1109" s="80" t="str">
        <f>IFERROR(__xludf.DUMMYFUNCTION("""COMPUTED_VALUE"""),"KANTOR REGIONAL III BANDUNG 40004")</f>
        <v>KANTOR REGIONAL III BANDUNG 40004</v>
      </c>
      <c r="AN1109" s="80" t="str">
        <f>IFERROR(__xludf.DUMMYFUNCTION("""COMPUTED_VALUE"""),"KCU BANDUNG 40000")</f>
        <v>KCU BANDUNG 40000</v>
      </c>
      <c r="AO1109" s="80" t="str">
        <f>IFERROR(__xludf.DUMMYFUNCTION("""COMPUTED_VALUE"""),"2506260100458")</f>
        <v>2506260100458</v>
      </c>
      <c r="AP1109" s="80" t="str">
        <f>IFERROR(__xludf.DUMMYFUNCTION("""COMPUTED_VALUE"""),"2506260100458")</f>
        <v>2506260100458</v>
      </c>
      <c r="AQ1109" s="83" t="str">
        <f>IFERROR(__xludf.DUMMYFUNCTION("""COMPUTED_VALUE"""),"2798822000")</f>
        <v>2798822000</v>
      </c>
      <c r="AR1109" s="80" t="str">
        <f>IFERROR(__xludf.DUMMYFUNCTION("""COMPUTED_VALUE"""),"BCA")</f>
        <v>BCA</v>
      </c>
      <c r="AS1109" s="80" t="str">
        <f>IFERROR(__xludf.DUMMYFUNCTION("""COMPUTED_VALUE"""),"ELVI YOELIANNA")</f>
        <v>ELVI YOELIANNA</v>
      </c>
      <c r="AT1109" s="80" t="str">
        <f>IFERROR(__xludf.DUMMYFUNCTION("""COMPUTED_VALUE"""),"-69,279,289")</f>
        <v>-69,279,289</v>
      </c>
      <c r="AU1109" s="80" t="str">
        <f>IFERROR(__xludf.DUMMYFUNCTION("""COMPUTED_VALUE"""),"1,075,700,415")</f>
        <v>1,075,700,415</v>
      </c>
      <c r="AV1109" s="80"/>
      <c r="AW1109" s="80"/>
      <c r="AX1109" s="80"/>
      <c r="AY1109" s="80"/>
      <c r="AZ1109" s="80"/>
      <c r="BA1109" s="80"/>
      <c r="BB1109" s="80"/>
      <c r="BC1109" s="80"/>
      <c r="BD1109" s="80"/>
      <c r="BE1109" s="80"/>
      <c r="BF1109" s="80"/>
      <c r="BG1109" s="80"/>
      <c r="BH1109" s="80"/>
      <c r="BI1109" s="80"/>
      <c r="BJ1109" s="80"/>
      <c r="BK1109" s="80"/>
      <c r="BL1109" s="80"/>
      <c r="BM1109" s="80"/>
      <c r="BN1109" s="80"/>
      <c r="BO1109" s="80"/>
      <c r="BP1109" s="80"/>
      <c r="BQ1109" s="80"/>
      <c r="BR1109" s="80"/>
      <c r="BS1109" s="80"/>
      <c r="BT1109" s="80"/>
      <c r="BU1109" s="80"/>
      <c r="BV1109" s="80"/>
      <c r="BW1109" s="80"/>
      <c r="BX1109" s="80"/>
      <c r="BY1109" s="80"/>
      <c r="BZ1109" s="80"/>
      <c r="CA1109" s="80"/>
      <c r="CB1109" s="80"/>
      <c r="CC1109" s="80"/>
      <c r="CD1109" s="80"/>
      <c r="CE1109" s="80"/>
      <c r="CF1109" s="80"/>
      <c r="CG1109" s="80"/>
      <c r="CH1109" s="80"/>
      <c r="CI1109" s="80"/>
      <c r="CJ1109" s="80"/>
      <c r="CK1109" s="2"/>
    </row>
    <row r="1110" ht="12.75" customHeight="1">
      <c r="A1110" s="85">
        <f>IFERROR(__xludf.DUMMYFUNCTION("""COMPUTED_VALUE"""),1106.0)</f>
        <v>1106</v>
      </c>
      <c r="B1110" s="85"/>
      <c r="C1110" s="85"/>
      <c r="D1110" s="86">
        <f>IFERROR(__xludf.DUMMYFUNCTION("""COMPUTED_VALUE"""),46198.0)</f>
        <v>46198</v>
      </c>
      <c r="E1110" s="88"/>
      <c r="F1110" s="85"/>
      <c r="G1110" s="86">
        <f>IFERROR(__xludf.DUMMYFUNCTION("""COMPUTED_VALUE"""),46217.0)</f>
        <v>46217</v>
      </c>
      <c r="H1110" s="85"/>
      <c r="I1110" s="85"/>
      <c r="J1110" s="85"/>
      <c r="K1110" s="85"/>
      <c r="L1110" s="85">
        <f>IFERROR(__xludf.DUMMYFUNCTION("""COMPUTED_VALUE"""),19.0)</f>
        <v>19</v>
      </c>
      <c r="M1110" s="85"/>
      <c r="N1110" s="85"/>
      <c r="O1110" s="85"/>
      <c r="P1110" s="85" t="str">
        <f>IFERROR(__xludf.DUMMYFUNCTION("""COMPUTED_VALUE"""),"MUCSPA63555PSIND")</f>
        <v>MUCSPA63555PSIND</v>
      </c>
      <c r="Q1110" s="85" t="str">
        <f>IFERROR(__xludf.DUMMYFUNCTION("""COMPUTED_VALUE"""),"MUC MELONG NYONTROL")</f>
        <v>MUC MELONG NYONTROL</v>
      </c>
      <c r="R1110" s="85" t="str">
        <f>IFERROR(__xludf.DUMMYFUNCTION("""COMPUTED_VALUE"""),"MUC MELONG NYONTROL")</f>
        <v>MUC MELONG NYONTROL</v>
      </c>
      <c r="S1110" s="85" t="str">
        <f>IFERROR(__xludf.DUMMYFUNCTION("""COMPUTED_VALUE"""),"RIZA FADHILAH")</f>
        <v>RIZA FADHILAH</v>
      </c>
      <c r="T1110" s="85" t="str">
        <f>IFERROR(__xludf.DUMMYFUNCTION("""COMPUTED_VALUE"""),"MELONG NYONTROL RT 03 RW 03, MELONG, CIMAHI SELATAN, CIMAHI")</f>
        <v>MELONG NYONTROL RT 03 RW 03, MELONG, CIMAHI SELATAN, CIMAHI</v>
      </c>
      <c r="U1110" s="85" t="str">
        <f>IFERROR(__xludf.DUMMYFUNCTION("""COMPUTED_VALUE"""),"JL. MELONG NYONTROL NO.45 RT 03 RW 03")</f>
        <v>JL. MELONG NYONTROL NO.45 RT 03 RW 03</v>
      </c>
      <c r="V1110" s="85" t="str">
        <f>IFERROR(__xludf.DUMMYFUNCTION("""COMPUTED_VALUE"""),"RT 03  \ RW 03,")</f>
        <v>RT 03  \ RW 03,</v>
      </c>
      <c r="W1110" s="85" t="str">
        <f>IFERROR(__xludf.DUMMYFUNCTION("""COMPUTED_VALUE"""),"MELONG")</f>
        <v>MELONG</v>
      </c>
      <c r="X1110" s="85" t="str">
        <f>IFERROR(__xludf.DUMMYFUNCTION("""COMPUTED_VALUE"""),"CIMAHI SELATAN")</f>
        <v>CIMAHI SELATAN</v>
      </c>
      <c r="Y1110" s="85" t="str">
        <f>IFERROR(__xludf.DUMMYFUNCTION("""COMPUTED_VALUE"""),"CIMAHI")</f>
        <v>CIMAHI</v>
      </c>
      <c r="Z1110" s="85" t="str">
        <f>IFERROR(__xludf.DUMMYFUNCTION("""COMPUTED_VALUE"""),"JAWA BARAT")</f>
        <v>JAWA BARAT</v>
      </c>
      <c r="AA1110" s="85" t="str">
        <f>IFERROR(__xludf.DUMMYFUNCTION("""COMPUTED_VALUE"""),"40534")</f>
        <v>40534</v>
      </c>
      <c r="AB1110" s="85" t="str">
        <f>IFERROR(__xludf.DUMMYFUNCTION("""COMPUTED_VALUE"""),"3211150503000015")</f>
        <v>3211150503000015</v>
      </c>
      <c r="AC1110" s="85" t="str">
        <f>IFERROR(__xludf.DUMMYFUNCTION("""COMPUTED_VALUE"""),"50.088.764.1-421.000")</f>
        <v>50.088.764.1-421.000</v>
      </c>
      <c r="AD1110" s="85" t="str">
        <f>IFERROR(__xludf.DUMMYFUNCTION("""COMPUTED_VALUE"""),"CUM - LP - ANGGI")</f>
        <v>CUM - LP - ANGGI</v>
      </c>
      <c r="AE1110" s="85" t="str">
        <f>IFERROR(__xludf.DUMMYFUNCTION("""COMPUTED_VALUE"""),"CUM - LP - ANGGI")</f>
        <v>CUM - LP - ANGGI</v>
      </c>
      <c r="AF1110" s="85" t="str">
        <f>IFERROR(__xludf.DUMMYFUNCTION("""COMPUTED_VALUE"""),"089664414111")</f>
        <v>089664414111</v>
      </c>
      <c r="AG1110" s="85" t="str">
        <f>IFERROR(__xludf.DUMMYFUNCTION("""COMPUTED_VALUE"""),"89664414111")</f>
        <v>89664414111</v>
      </c>
      <c r="AH1110" s="85" t="str">
        <f>IFERROR(__xludf.DUMMYFUNCTION("""COMPUTED_VALUE"""),"gemilang_utama45@zohomail.com")</f>
        <v>gemilang_utama45@zohomail.com</v>
      </c>
      <c r="AI1110" s="85" t="str">
        <f>IFERROR(__xludf.DUMMYFUNCTION("""COMPUTED_VALUE"""),"40534S5")</f>
        <v>40534S5</v>
      </c>
      <c r="AJ1110" s="85" t="str">
        <f>IFERROR(__xludf.DUMMYFUNCTION("""COMPUTED_VALUE"""),"6a41f546536856eb8f086a2e")</f>
        <v>6a41f546536856eb8f086a2e</v>
      </c>
      <c r="AK1110" s="85" t="str">
        <f>IFERROR(__xludf.DUMMYFUNCTION("""COMPUTED_VALUE"""),"gemilang_utama45@zohomail.com")</f>
        <v>gemilang_utama45@zohomail.com</v>
      </c>
      <c r="AL1110" s="85" t="str">
        <f>IFERROR(__xludf.DUMMYFUNCTION("""COMPUTED_VALUE"""),"#Muc40534S5$")</f>
        <v>#Muc40534S5$</v>
      </c>
      <c r="AM1110" s="85" t="str">
        <f>IFERROR(__xludf.DUMMYFUNCTION("""COMPUTED_VALUE"""),"KANTOR REGIONAL III BANDUNG 40004")</f>
        <v>KANTOR REGIONAL III BANDUNG 40004</v>
      </c>
      <c r="AN1110" s="85" t="str">
        <f>IFERROR(__xludf.DUMMYFUNCTION("""COMPUTED_VALUE"""),"KC CIMAHI 40500")</f>
        <v>KC CIMAHI 40500</v>
      </c>
      <c r="AO1110" s="85" t="str">
        <f>IFERROR(__xludf.DUMMYFUNCTION("""COMPUTED_VALUE"""),"2506260114116")</f>
        <v>2506260114116</v>
      </c>
      <c r="AP1110" s="85" t="str">
        <f>IFERROR(__xludf.DUMMYFUNCTION("""COMPUTED_VALUE"""),"2506260114116")</f>
        <v>2506260114116</v>
      </c>
      <c r="AQ1110" s="93" t="str">
        <f>IFERROR(__xludf.DUMMYFUNCTION("""COMPUTED_VALUE"""),"1390970125")</f>
        <v>1390970125</v>
      </c>
      <c r="AR1110" s="85" t="str">
        <f>IFERROR(__xludf.DUMMYFUNCTION("""COMPUTED_VALUE"""),"BCA")</f>
        <v>BCA</v>
      </c>
      <c r="AS1110" s="85" t="str">
        <f>IFERROR(__xludf.DUMMYFUNCTION("""COMPUTED_VALUE"""),"Riza Fadhilah")</f>
        <v>Riza Fadhilah</v>
      </c>
      <c r="AT1110" s="85" t="str">
        <f>IFERROR(__xludf.DUMMYFUNCTION("""COMPUTED_VALUE"""),"-69,192,477")</f>
        <v>-69,192,477</v>
      </c>
      <c r="AU1110" s="85" t="str">
        <f>IFERROR(__xludf.DUMMYFUNCTION("""COMPUTED_VALUE"""),"1,075,512,899")</f>
        <v>1,075,512,899</v>
      </c>
      <c r="AV1110" s="85"/>
      <c r="AW1110" s="85"/>
      <c r="AX1110" s="85"/>
      <c r="AY1110" s="85"/>
      <c r="AZ1110" s="85"/>
      <c r="BA1110" s="85"/>
      <c r="BB1110" s="85"/>
      <c r="BC1110" s="85"/>
      <c r="BD1110" s="85"/>
      <c r="BE1110" s="85"/>
      <c r="BF1110" s="85"/>
      <c r="BG1110" s="85"/>
      <c r="BH1110" s="85"/>
      <c r="BI1110" s="85"/>
      <c r="BJ1110" s="85"/>
      <c r="BK1110" s="85"/>
      <c r="BL1110" s="85"/>
      <c r="BM1110" s="85"/>
      <c r="BN1110" s="85"/>
      <c r="BO1110" s="85"/>
      <c r="BP1110" s="85"/>
      <c r="BQ1110" s="85"/>
      <c r="BR1110" s="85"/>
      <c r="BS1110" s="85"/>
      <c r="BT1110" s="85"/>
      <c r="BU1110" s="85"/>
      <c r="BV1110" s="85"/>
      <c r="BW1110" s="85"/>
      <c r="BX1110" s="85"/>
      <c r="BY1110" s="85"/>
      <c r="BZ1110" s="85"/>
      <c r="CA1110" s="85"/>
      <c r="CB1110" s="85"/>
      <c r="CC1110" s="85"/>
      <c r="CD1110" s="85"/>
      <c r="CE1110" s="85"/>
      <c r="CF1110" s="85"/>
      <c r="CG1110" s="85"/>
      <c r="CH1110" s="85"/>
      <c r="CI1110" s="85"/>
      <c r="CJ1110" s="85"/>
      <c r="CK1110" s="2"/>
    </row>
    <row r="1111" ht="12.75" customHeight="1">
      <c r="A1111" s="80">
        <f>IFERROR(__xludf.DUMMYFUNCTION("""COMPUTED_VALUE"""),1107.0)</f>
        <v>1107</v>
      </c>
      <c r="B1111" s="80"/>
      <c r="C1111" s="80"/>
      <c r="D1111" s="81">
        <f>IFERROR(__xludf.DUMMYFUNCTION("""COMPUTED_VALUE"""),46199.0)</f>
        <v>46199</v>
      </c>
      <c r="E1111" s="82"/>
      <c r="F1111" s="80"/>
      <c r="G1111" s="81">
        <f>IFERROR(__xludf.DUMMYFUNCTION("""COMPUTED_VALUE"""),46268.0)</f>
        <v>46268</v>
      </c>
      <c r="H1111" s="80"/>
      <c r="I1111" s="80"/>
      <c r="J1111" s="80"/>
      <c r="K1111" s="80"/>
      <c r="L1111" s="80">
        <f>IFERROR(__xludf.DUMMYFUNCTION("""COMPUTED_VALUE"""),69.0)</f>
        <v>69</v>
      </c>
      <c r="M1111" s="80"/>
      <c r="N1111" s="80"/>
      <c r="O1111" s="80"/>
      <c r="P1111" s="80" t="str">
        <f>IFERROR(__xludf.DUMMYFUNCTION("""COMPUTED_VALUE"""),"MUCSPA63556PSIND")</f>
        <v>MUCSPA63556PSIND</v>
      </c>
      <c r="Q1111" s="80" t="str">
        <f>IFERROR(__xludf.DUMMYFUNCTION("""COMPUTED_VALUE"""),"MUC PEMBANGUNAN JAYAWARAS")</f>
        <v>MUC PEMBANGUNAN JAYAWARAS</v>
      </c>
      <c r="R1111" s="80" t="str">
        <f>IFERROR(__xludf.DUMMYFUNCTION("""COMPUTED_VALUE"""),"MUC PEMBANGUNAN JAYAWARAS")</f>
        <v>MUC PEMBANGUNAN JAYAWARAS</v>
      </c>
      <c r="S1111" s="80" t="str">
        <f>IFERROR(__xludf.DUMMYFUNCTION("""COMPUTED_VALUE"""),"ARDI NOVERDI")</f>
        <v>ARDI NOVERDI</v>
      </c>
      <c r="T1111" s="80" t="str">
        <f>IFERROR(__xludf.DUMMYFUNCTION("""COMPUTED_VALUE"""),"JL. PEMBANGUNAN NO.182 B RT 02 RW 09 JAYAWARAS, TAROGONG KIDUL, KAB.GARUT")</f>
        <v>JL. PEMBANGUNAN NO.182 B RT 02 RW 09 JAYAWARAS, TAROGONG KIDUL, KAB.GARUT</v>
      </c>
      <c r="U1111" s="80" t="str">
        <f>IFERROR(__xludf.DUMMYFUNCTION("""COMPUTED_VALUE"""),"JL. PEMBANGUNAN NO.182 RT 02 RW 09")</f>
        <v>JL. PEMBANGUNAN NO.182 RT 02 RW 09</v>
      </c>
      <c r="V1111" s="80" t="str">
        <f>IFERROR(__xludf.DUMMYFUNCTION("""COMPUTED_VALUE"""),"RT 02  \ RW 09")</f>
        <v>RT 02  \ RW 09</v>
      </c>
      <c r="W1111" s="80" t="str">
        <f>IFERROR(__xludf.DUMMYFUNCTION("""COMPUTED_VALUE"""),"JAYAWARAS")</f>
        <v>JAYAWARAS</v>
      </c>
      <c r="X1111" s="80" t="str">
        <f>IFERROR(__xludf.DUMMYFUNCTION("""COMPUTED_VALUE"""),"TAROGONG KIDUL")</f>
        <v>TAROGONG KIDUL</v>
      </c>
      <c r="Y1111" s="80" t="str">
        <f>IFERROR(__xludf.DUMMYFUNCTION("""COMPUTED_VALUE"""),"KAB.GARUT")</f>
        <v>KAB.GARUT</v>
      </c>
      <c r="Z1111" s="80" t="str">
        <f>IFERROR(__xludf.DUMMYFUNCTION("""COMPUTED_VALUE"""),"JAWA BARAT")</f>
        <v>JAWA BARAT</v>
      </c>
      <c r="AA1111" s="80" t="str">
        <f>IFERROR(__xludf.DUMMYFUNCTION("""COMPUTED_VALUE"""),"44151")</f>
        <v>44151</v>
      </c>
      <c r="AB1111" s="80" t="str">
        <f>IFERROR(__xludf.DUMMYFUNCTION("""COMPUTED_VALUE"""),"3205051711870002")</f>
        <v>3205051711870002</v>
      </c>
      <c r="AC1111" s="80" t="str">
        <f>IFERROR(__xludf.DUMMYFUNCTION("""COMPUTED_VALUE"""),"35.422.547.6-443.000")</f>
        <v>35.422.547.6-443.000</v>
      </c>
      <c r="AD1111" s="80" t="str">
        <f>IFERROR(__xludf.DUMMYFUNCTION("""COMPUTED_VALUE"""),"CUM - LP - ANGGI")</f>
        <v>CUM - LP - ANGGI</v>
      </c>
      <c r="AE1111" s="80" t="str">
        <f>IFERROR(__xludf.DUMMYFUNCTION("""COMPUTED_VALUE"""),"CUM - LP - ANGGI")</f>
        <v>CUM - LP - ANGGI</v>
      </c>
      <c r="AF1111" s="80" t="str">
        <f>IFERROR(__xludf.DUMMYFUNCTION("""COMPUTED_VALUE"""),"081286872840")</f>
        <v>081286872840</v>
      </c>
      <c r="AG1111" s="80" t="str">
        <f>IFERROR(__xludf.DUMMYFUNCTION("""COMPUTED_VALUE"""),"81286872840")</f>
        <v>81286872840</v>
      </c>
      <c r="AH1111" s="80" t="str">
        <f>IFERROR(__xludf.DUMMYFUNCTION("""COMPUTED_VALUE"""),"ninjaxpressgrt@gmail.com")</f>
        <v>ninjaxpressgrt@gmail.com</v>
      </c>
      <c r="AI1111" s="80" t="str">
        <f>IFERROR(__xludf.DUMMYFUNCTION("""COMPUTED_VALUE"""),"44123S1")</f>
        <v>44123S1</v>
      </c>
      <c r="AJ1111" s="80" t="str">
        <f>IFERROR(__xludf.DUMMYFUNCTION("""COMPUTED_VALUE"""),"6a97df490e49441c090985c2")</f>
        <v>6a97df490e49441c090985c2</v>
      </c>
      <c r="AK1111" s="80" t="str">
        <f>IFERROR(__xludf.DUMMYFUNCTION("""COMPUTED_VALUE"""),"ninjaxpressgrt@gmail.com")</f>
        <v>ninjaxpressgrt@gmail.com</v>
      </c>
      <c r="AL1111" s="80" t="str">
        <f>IFERROR(__xludf.DUMMYFUNCTION("""COMPUTED_VALUE"""),"#Muc4412S1*")</f>
        <v>#Muc4412S1*</v>
      </c>
      <c r="AM1111" s="80" t="str">
        <f>IFERROR(__xludf.DUMMYFUNCTION("""COMPUTED_VALUE"""),"KANTOR REGIONAL III BANDUNG 40004")</f>
        <v>KANTOR REGIONAL III BANDUNG 40004</v>
      </c>
      <c r="AN1111" s="80" t="str">
        <f>IFERROR(__xludf.DUMMYFUNCTION("""COMPUTED_VALUE"""),"KC GARUT 44100")</f>
        <v>KC GARUT 44100</v>
      </c>
      <c r="AO1111" s="80" t="str">
        <f>IFERROR(__xludf.DUMMYFUNCTION("""COMPUTED_VALUE"""),"2511220027245")</f>
        <v>2511220027245</v>
      </c>
      <c r="AP1111" s="80" t="str">
        <f>IFERROR(__xludf.DUMMYFUNCTION("""COMPUTED_VALUE"""),"2511220027245")</f>
        <v>2511220027245</v>
      </c>
      <c r="AQ1111" s="83" t="str">
        <f>IFERROR(__xludf.DUMMYFUNCTION("""COMPUTED_VALUE"""),"1480850684")</f>
        <v>1480850684</v>
      </c>
      <c r="AR1111" s="80" t="str">
        <f>IFERROR(__xludf.DUMMYFUNCTION("""COMPUTED_VALUE"""),"BCA")</f>
        <v>BCA</v>
      </c>
      <c r="AS1111" s="80" t="str">
        <f>IFERROR(__xludf.DUMMYFUNCTION("""COMPUTED_VALUE"""),"ARDI NOVERDI")</f>
        <v>ARDI NOVERDI</v>
      </c>
      <c r="AT1111" s="80" t="str">
        <f>IFERROR(__xludf.DUMMYFUNCTION("""COMPUTED_VALUE"""),"-7,209,378")</f>
        <v>-7,209,378</v>
      </c>
      <c r="AU1111" s="80" t="str">
        <f>IFERROR(__xludf.DUMMYFUNCTION("""COMPUTED_VALUE"""),"1,078,884,718")</f>
        <v>1,078,884,718</v>
      </c>
      <c r="AV1111" s="80"/>
      <c r="AW1111" s="80"/>
      <c r="AX1111" s="80"/>
      <c r="AY1111" s="80"/>
      <c r="AZ1111" s="80"/>
      <c r="BA1111" s="80"/>
      <c r="BB1111" s="80"/>
      <c r="BC1111" s="80"/>
      <c r="BD1111" s="80"/>
      <c r="BE1111" s="80"/>
      <c r="BF1111" s="80"/>
      <c r="BG1111" s="80"/>
      <c r="BH1111" s="80"/>
      <c r="BI1111" s="80"/>
      <c r="BJ1111" s="80"/>
      <c r="BK1111" s="80"/>
      <c r="BL1111" s="80"/>
      <c r="BM1111" s="80"/>
      <c r="BN1111" s="80"/>
      <c r="BO1111" s="80"/>
      <c r="BP1111" s="80"/>
      <c r="BQ1111" s="80"/>
      <c r="BR1111" s="80"/>
      <c r="BS1111" s="80"/>
      <c r="BT1111" s="80"/>
      <c r="BU1111" s="80"/>
      <c r="BV1111" s="80"/>
      <c r="BW1111" s="80"/>
      <c r="BX1111" s="80"/>
      <c r="BY1111" s="80"/>
      <c r="BZ1111" s="80"/>
      <c r="CA1111" s="80"/>
      <c r="CB1111" s="80"/>
      <c r="CC1111" s="80"/>
      <c r="CD1111" s="80"/>
      <c r="CE1111" s="80"/>
      <c r="CF1111" s="80"/>
      <c r="CG1111" s="80"/>
      <c r="CH1111" s="80"/>
      <c r="CI1111" s="80"/>
      <c r="CJ1111" s="80"/>
      <c r="CK1111" s="2"/>
    </row>
    <row r="1112" ht="12.75" customHeight="1">
      <c r="A1112" s="85">
        <f>IFERROR(__xludf.DUMMYFUNCTION("""COMPUTED_VALUE"""),1108.0)</f>
        <v>1108</v>
      </c>
      <c r="B1112" s="85"/>
      <c r="C1112" s="85"/>
      <c r="D1112" s="86">
        <f>IFERROR(__xludf.DUMMYFUNCTION("""COMPUTED_VALUE"""),46199.0)</f>
        <v>46199</v>
      </c>
      <c r="E1112" s="88"/>
      <c r="F1112" s="85"/>
      <c r="G1112" s="86">
        <f>IFERROR(__xludf.DUMMYFUNCTION("""COMPUTED_VALUE"""),46223.0)</f>
        <v>46223</v>
      </c>
      <c r="H1112" s="85"/>
      <c r="I1112" s="85"/>
      <c r="J1112" s="85"/>
      <c r="K1112" s="85"/>
      <c r="L1112" s="85">
        <f>IFERROR(__xludf.DUMMYFUNCTION("""COMPUTED_VALUE"""),24.0)</f>
        <v>24</v>
      </c>
      <c r="M1112" s="85"/>
      <c r="N1112" s="85"/>
      <c r="O1112" s="85"/>
      <c r="P1112" s="85" t="str">
        <f>IFERROR(__xludf.DUMMYFUNCTION("""COMPUTED_VALUE"""),"MUCSPA63550PSIND")</f>
        <v>MUCSPA63550PSIND</v>
      </c>
      <c r="Q1112" s="85" t="str">
        <f>IFERROR(__xludf.DUMMYFUNCTION("""COMPUTED_VALUE"""),"MUC KARANG TENGAH")</f>
        <v>MUC KARANG TENGAH</v>
      </c>
      <c r="R1112" s="85" t="str">
        <f>IFERROR(__xludf.DUMMYFUNCTION("""COMPUTED_VALUE"""),"MUC KARANG TENGAH")</f>
        <v>MUC KARANG TENGAH</v>
      </c>
      <c r="S1112" s="85" t="str">
        <f>IFERROR(__xludf.DUMMYFUNCTION("""COMPUTED_VALUE"""),"DANI HAMDANI")</f>
        <v>DANI HAMDANI</v>
      </c>
      <c r="T1112" s="85" t="str">
        <f>IFERROR(__xludf.DUMMYFUNCTION("""COMPUTED_VALUE"""),"KP. WAAS RT 4 RW 13 SABANDAR KARANG TENGAH CIANJUR")</f>
        <v>KP. WAAS RT 4 RW 13 SABANDAR KARANG TENGAH CIANJUR</v>
      </c>
      <c r="U1112" s="85" t="str">
        <f>IFERROR(__xludf.DUMMYFUNCTION("""COMPUTED_VALUE"""),"JL. RAYA BANDUNG")</f>
        <v>JL. RAYA BANDUNG</v>
      </c>
      <c r="V1112" s="85" t="str">
        <f>IFERROR(__xludf.DUMMYFUNCTION("""COMPUTED_VALUE"""),"RT 4 R \ RW 13")</f>
        <v>RT 4 R \ RW 13</v>
      </c>
      <c r="W1112" s="85" t="str">
        <f>IFERROR(__xludf.DUMMYFUNCTION("""COMPUTED_VALUE"""),"BOJONG")</f>
        <v>BOJONG</v>
      </c>
      <c r="X1112" s="85" t="str">
        <f>IFERROR(__xludf.DUMMYFUNCTION("""COMPUTED_VALUE"""),"KARANG TENGAH")</f>
        <v>KARANG TENGAH</v>
      </c>
      <c r="Y1112" s="85" t="str">
        <f>IFERROR(__xludf.DUMMYFUNCTION("""COMPUTED_VALUE"""),"KAB. CIANJUR")</f>
        <v>KAB. CIANJUR</v>
      </c>
      <c r="Z1112" s="85" t="str">
        <f>IFERROR(__xludf.DUMMYFUNCTION("""COMPUTED_VALUE"""),"JAWA BARAT")</f>
        <v>JAWA BARAT</v>
      </c>
      <c r="AA1112" s="85" t="str">
        <f>IFERROR(__xludf.DUMMYFUNCTION("""COMPUTED_VALUE"""),"43281")</f>
        <v>43281</v>
      </c>
      <c r="AB1112" s="85" t="str">
        <f>IFERROR(__xludf.DUMMYFUNCTION("""COMPUTED_VALUE"""),"3203010906800024")</f>
        <v>3203010906800024</v>
      </c>
      <c r="AC1112" s="85" t="str">
        <f>IFERROR(__xludf.DUMMYFUNCTION("""COMPUTED_VALUE"""),"74.753.667.0-406.000")</f>
        <v>74.753.667.0-406.000</v>
      </c>
      <c r="AD1112" s="85" t="str">
        <f>IFERROR(__xludf.DUMMYFUNCTION("""COMPUTED_VALUE"""),"PAK IWAN KC CIANJUR")</f>
        <v>PAK IWAN KC CIANJUR</v>
      </c>
      <c r="AE1112" s="85" t="str">
        <f>IFERROR(__xludf.DUMMYFUNCTION("""COMPUTED_VALUE"""),"PAK IWAN KC CIANJUR")</f>
        <v>PAK IWAN KC CIANJUR</v>
      </c>
      <c r="AF1112" s="85" t="str">
        <f>IFERROR(__xludf.DUMMYFUNCTION("""COMPUTED_VALUE"""),"081284938662")</f>
        <v>081284938662</v>
      </c>
      <c r="AG1112" s="85" t="str">
        <f>IFERROR(__xludf.DUMMYFUNCTION("""COMPUTED_VALUE"""),"81284938662")</f>
        <v>81284938662</v>
      </c>
      <c r="AH1112" s="85" t="str">
        <f>IFERROR(__xludf.DUMMYFUNCTION("""COMPUTED_VALUE"""),"gkilat.jkta4228@gmail.com")</f>
        <v>gkilat.jkta4228@gmail.com</v>
      </c>
      <c r="AI1112" s="85" t="str">
        <f>IFERROR(__xludf.DUMMYFUNCTION("""COMPUTED_VALUE"""),"43281S7")</f>
        <v>43281S7</v>
      </c>
      <c r="AJ1112" s="85" t="str">
        <f>IFERROR(__xludf.DUMMYFUNCTION("""COMPUTED_VALUE"""),"6a5c857db7de15e2cd0b6059")</f>
        <v>6a5c857db7de15e2cd0b6059</v>
      </c>
      <c r="AK1112" s="85" t="str">
        <f>IFERROR(__xludf.DUMMYFUNCTION("""COMPUTED_VALUE"""),"gkilat.jkta4228@gmail.com")</f>
        <v>gkilat.jkta4228@gmail.com</v>
      </c>
      <c r="AL1112" s="85" t="str">
        <f>IFERROR(__xludf.DUMMYFUNCTION("""COMPUTED_VALUE"""),"#Muc43281S7$")</f>
        <v>#Muc43281S7$</v>
      </c>
      <c r="AM1112" s="85" t="str">
        <f>IFERROR(__xludf.DUMMYFUNCTION("""COMPUTED_VALUE"""),"KANTOR REGIONAL III BANDUNG 40004")</f>
        <v>KANTOR REGIONAL III BANDUNG 40004</v>
      </c>
      <c r="AN1112" s="85" t="str">
        <f>IFERROR(__xludf.DUMMYFUNCTION("""COMPUTED_VALUE"""),"KC CIANJUR 43200")</f>
        <v>KC CIANJUR 43200</v>
      </c>
      <c r="AO1112" s="85" t="str">
        <f>IFERROR(__xludf.DUMMYFUNCTION("""COMPUTED_VALUE"""),"2406260126805")</f>
        <v>2406260126805</v>
      </c>
      <c r="AP1112" s="85" t="str">
        <f>IFERROR(__xludf.DUMMYFUNCTION("""COMPUTED_VALUE"""),"2406260126805")</f>
        <v>2406260126805</v>
      </c>
      <c r="AQ1112" s="93" t="str">
        <f>IFERROR(__xludf.DUMMYFUNCTION("""COMPUTED_VALUE"""),"1831878601")</f>
        <v>1831878601</v>
      </c>
      <c r="AR1112" s="85" t="str">
        <f>IFERROR(__xludf.DUMMYFUNCTION("""COMPUTED_VALUE"""),"BCA")</f>
        <v>BCA</v>
      </c>
      <c r="AS1112" s="85" t="str">
        <f>IFERROR(__xludf.DUMMYFUNCTION("""COMPUTED_VALUE"""),"DANI HAMDANI")</f>
        <v>DANI HAMDANI</v>
      </c>
      <c r="AT1112" s="85" t="str">
        <f>IFERROR(__xludf.DUMMYFUNCTION("""COMPUTED_VALUE"""),"-6.8020829,107.1742035")</f>
        <v>-6.8020829,107.1742035</v>
      </c>
      <c r="AU1112" s="85" t="str">
        <f>IFERROR(__xludf.DUMMYFUNCTION("""COMPUTED_VALUE"""),"-6.8020829,107.1742035")</f>
        <v>-6.8020829,107.1742035</v>
      </c>
      <c r="AV1112" s="85"/>
      <c r="AW1112" s="85"/>
      <c r="AX1112" s="85"/>
      <c r="AY1112" s="85"/>
      <c r="AZ1112" s="85"/>
      <c r="BA1112" s="85"/>
      <c r="BB1112" s="85"/>
      <c r="BC1112" s="85"/>
      <c r="BD1112" s="85"/>
      <c r="BE1112" s="85"/>
      <c r="BF1112" s="85"/>
      <c r="BG1112" s="85"/>
      <c r="BH1112" s="85"/>
      <c r="BI1112" s="85"/>
      <c r="BJ1112" s="85"/>
      <c r="BK1112" s="85"/>
      <c r="BL1112" s="85"/>
      <c r="BM1112" s="85"/>
      <c r="BN1112" s="85"/>
      <c r="BO1112" s="85"/>
      <c r="BP1112" s="85"/>
      <c r="BQ1112" s="85"/>
      <c r="BR1112" s="85"/>
      <c r="BS1112" s="85"/>
      <c r="BT1112" s="85"/>
      <c r="BU1112" s="85"/>
      <c r="BV1112" s="85"/>
      <c r="BW1112" s="85"/>
      <c r="BX1112" s="85"/>
      <c r="BY1112" s="85"/>
      <c r="BZ1112" s="85"/>
      <c r="CA1112" s="85"/>
      <c r="CB1112" s="85"/>
      <c r="CC1112" s="85"/>
      <c r="CD1112" s="85"/>
      <c r="CE1112" s="85"/>
      <c r="CF1112" s="85"/>
      <c r="CG1112" s="85"/>
      <c r="CH1112" s="85"/>
      <c r="CI1112" s="85"/>
      <c r="CJ1112" s="85"/>
      <c r="CK1112" s="2"/>
    </row>
    <row r="1113" ht="12.75" customHeight="1">
      <c r="A1113" s="80">
        <f>IFERROR(__xludf.DUMMYFUNCTION("""COMPUTED_VALUE"""),1109.0)</f>
        <v>1109</v>
      </c>
      <c r="B1113" s="80"/>
      <c r="C1113" s="80"/>
      <c r="D1113" s="81">
        <f>IFERROR(__xludf.DUMMYFUNCTION("""COMPUTED_VALUE"""),46199.0)</f>
        <v>46199</v>
      </c>
      <c r="E1113" s="82"/>
      <c r="F1113" s="80"/>
      <c r="G1113" s="81">
        <f>IFERROR(__xludf.DUMMYFUNCTION("""COMPUTED_VALUE"""),46230.0)</f>
        <v>46230</v>
      </c>
      <c r="H1113" s="80"/>
      <c r="I1113" s="80"/>
      <c r="J1113" s="80"/>
      <c r="K1113" s="80"/>
      <c r="L1113" s="80">
        <f>IFERROR(__xludf.DUMMYFUNCTION("""COMPUTED_VALUE"""),31.0)</f>
        <v>31</v>
      </c>
      <c r="M1113" s="80"/>
      <c r="N1113" s="80"/>
      <c r="O1113" s="80"/>
      <c r="P1113" s="80" t="str">
        <f>IFERROR(__xludf.DUMMYFUNCTION("""COMPUTED_VALUE"""),"MUCSPA63557PSIND")</f>
        <v>MUCSPA63557PSIND</v>
      </c>
      <c r="Q1113" s="80" t="str">
        <f>IFERROR(__xludf.DUMMYFUNCTION("""COMPUTED_VALUE"""),"MUC EZY CILINCING")</f>
        <v>MUC EZY CILINCING</v>
      </c>
      <c r="R1113" s="80" t="str">
        <f>IFERROR(__xludf.DUMMYFUNCTION("""COMPUTED_VALUE"""),"MUC EZY CILINCING")</f>
        <v>MUC EZY CILINCING</v>
      </c>
      <c r="S1113" s="80" t="str">
        <f>IFERROR(__xludf.DUMMYFUNCTION("""COMPUTED_VALUE"""),"HENDI MULYADI")</f>
        <v>HENDI MULYADI</v>
      </c>
      <c r="T1113" s="80" t="str">
        <f>IFERROR(__xludf.DUMMYFUNCTION("""COMPUTED_VALUE"""),"RUSUNAWA NAGRAK TWR.13 LT 3 U.05 RT 04 RW 11 CILINCING, CILINCING, JAKARTA UTARA")</f>
        <v>RUSUNAWA NAGRAK TWR.13 LT 3 U.05 RT 04 RW 11 CILINCING, CILINCING, JAKARTA UTARA</v>
      </c>
      <c r="U1113" s="80" t="str">
        <f>IFERROR(__xludf.DUMMYFUNCTION("""COMPUTED_VALUE"""),"PASAR UMKM JL. NAGRAK NO.4 RT 04 RW 04")</f>
        <v>PASAR UMKM JL. NAGRAK NO.4 RT 04 RW 04</v>
      </c>
      <c r="V1113" s="80" t="str">
        <f>IFERROR(__xludf.DUMMYFUNCTION("""COMPUTED_VALUE"""),"RT 04  \ RW 11")</f>
        <v>RT 04  \ RW 11</v>
      </c>
      <c r="W1113" s="80" t="str">
        <f>IFERROR(__xludf.DUMMYFUNCTION("""COMPUTED_VALUE"""),"CILINCING")</f>
        <v>CILINCING</v>
      </c>
      <c r="X1113" s="80" t="str">
        <f>IFERROR(__xludf.DUMMYFUNCTION("""COMPUTED_VALUE"""),"CILINCING")</f>
        <v>CILINCING</v>
      </c>
      <c r="Y1113" s="80" t="str">
        <f>IFERROR(__xludf.DUMMYFUNCTION("""COMPUTED_VALUE"""),"JAKARTA UTARA")</f>
        <v>JAKARTA UTARA</v>
      </c>
      <c r="Z1113" s="80" t="str">
        <f>IFERROR(__xludf.DUMMYFUNCTION("""COMPUTED_VALUE"""),"DKI JAKARTA")</f>
        <v>DKI JAKARTA</v>
      </c>
      <c r="AA1113" s="80" t="str">
        <f>IFERROR(__xludf.DUMMYFUNCTION("""COMPUTED_VALUE"""),"14120")</f>
        <v>14120</v>
      </c>
      <c r="AB1113" s="80" t="str">
        <f>IFERROR(__xludf.DUMMYFUNCTION("""COMPUTED_VALUE"""),"3602142503940003")</f>
        <v>3602142503940003</v>
      </c>
      <c r="AC1113" s="80" t="str">
        <f>IFERROR(__xludf.DUMMYFUNCTION("""COMPUTED_VALUE"""),"83.634.535.5-419.000")</f>
        <v>83.634.535.5-419.000</v>
      </c>
      <c r="AD1113" s="80" t="str">
        <f>IFERROR(__xludf.DUMMYFUNCTION("""COMPUTED_VALUE"""),"CUM - LP - ANGGI")</f>
        <v>CUM - LP - ANGGI</v>
      </c>
      <c r="AE1113" s="80" t="str">
        <f>IFERROR(__xludf.DUMMYFUNCTION("""COMPUTED_VALUE"""),"CUM - LP - ANGGI")</f>
        <v>CUM - LP - ANGGI</v>
      </c>
      <c r="AF1113" s="80" t="str">
        <f>IFERROR(__xludf.DUMMYFUNCTION("""COMPUTED_VALUE"""),"089677709795")</f>
        <v>089677709795</v>
      </c>
      <c r="AG1113" s="80" t="str">
        <f>IFERROR(__xludf.DUMMYFUNCTION("""COMPUTED_VALUE"""),"89677709795")</f>
        <v>89677709795</v>
      </c>
      <c r="AH1113" s="80" t="str">
        <f>IFERROR(__xludf.DUMMYFUNCTION("""COMPUTED_VALUE"""),"lilghauts@gmail.com")</f>
        <v>lilghauts@gmail.com</v>
      </c>
      <c r="AI1113" s="80" t="str">
        <f>IFERROR(__xludf.DUMMYFUNCTION("""COMPUTED_VALUE"""),"14120S3")</f>
        <v>14120S3</v>
      </c>
      <c r="AJ1113" s="80" t="str">
        <f>IFERROR(__xludf.DUMMYFUNCTION("""COMPUTED_VALUE"""),"6a6593b9d61ff6e8d504288e")</f>
        <v>6a6593b9d61ff6e8d504288e</v>
      </c>
      <c r="AK1113" s="80" t="str">
        <f>IFERROR(__xludf.DUMMYFUNCTION("""COMPUTED_VALUE"""),"lilghauts@gmail.com")</f>
        <v>lilghauts@gmail.com</v>
      </c>
      <c r="AL1113" s="80" t="str">
        <f>IFERROR(__xludf.DUMMYFUNCTION("""COMPUTED_VALUE"""),"#Muc14120S3$")</f>
        <v>#Muc14120S3$</v>
      </c>
      <c r="AM1113" s="80" t="str">
        <f>IFERROR(__xludf.DUMMYFUNCTION("""COMPUTED_VALUE"""),"KANTOR REGIONAL II JAKARTA 10004")</f>
        <v>KANTOR REGIONAL II JAKARTA 10004</v>
      </c>
      <c r="AN1113" s="80" t="str">
        <f>IFERROR(__xludf.DUMMYFUNCTION("""COMPUTED_VALUE"""),"KCU JAKARTAPREMIER 13000")</f>
        <v>KCU JAKARTAPREMIER 13000</v>
      </c>
      <c r="AO1113" s="80" t="str">
        <f>IFERROR(__xludf.DUMMYFUNCTION("""COMPUTED_VALUE"""),"2606260047405")</f>
        <v>2606260047405</v>
      </c>
      <c r="AP1113" s="80" t="str">
        <f>IFERROR(__xludf.DUMMYFUNCTION("""COMPUTED_VALUE"""),"2606260047405")</f>
        <v>2606260047405</v>
      </c>
      <c r="AQ1113" s="83" t="str">
        <f>IFERROR(__xludf.DUMMYFUNCTION("""COMPUTED_VALUE"""),"8801170731")</f>
        <v>8801170731</v>
      </c>
      <c r="AR1113" s="80" t="str">
        <f>IFERROR(__xludf.DUMMYFUNCTION("""COMPUTED_VALUE"""),"BCA")</f>
        <v>BCA</v>
      </c>
      <c r="AS1113" s="80" t="str">
        <f>IFERROR(__xludf.DUMMYFUNCTION("""COMPUTED_VALUE"""),"HENDI MULYADI")</f>
        <v>HENDI MULYADI</v>
      </c>
      <c r="AT1113" s="80" t="str">
        <f>IFERROR(__xludf.DUMMYFUNCTION("""COMPUTED_VALUE"""),"-6,126,717")</f>
        <v>-6,126,717</v>
      </c>
      <c r="AU1113" s="80" t="str">
        <f>IFERROR(__xludf.DUMMYFUNCTION("""COMPUTED_VALUE"""),"106,954,565")</f>
        <v>106,954,565</v>
      </c>
      <c r="AV1113" s="80"/>
      <c r="AW1113" s="80"/>
      <c r="AX1113" s="80"/>
      <c r="AY1113" s="80"/>
      <c r="AZ1113" s="80"/>
      <c r="BA1113" s="80"/>
      <c r="BB1113" s="80"/>
      <c r="BC1113" s="80"/>
      <c r="BD1113" s="80"/>
      <c r="BE1113" s="80"/>
      <c r="BF1113" s="80"/>
      <c r="BG1113" s="80"/>
      <c r="BH1113" s="80"/>
      <c r="BI1113" s="80"/>
      <c r="BJ1113" s="80"/>
      <c r="BK1113" s="80"/>
      <c r="BL1113" s="80"/>
      <c r="BM1113" s="80"/>
      <c r="BN1113" s="80"/>
      <c r="BO1113" s="80"/>
      <c r="BP1113" s="80"/>
      <c r="BQ1113" s="80"/>
      <c r="BR1113" s="80"/>
      <c r="BS1113" s="80"/>
      <c r="BT1113" s="80"/>
      <c r="BU1113" s="80"/>
      <c r="BV1113" s="80"/>
      <c r="BW1113" s="80"/>
      <c r="BX1113" s="80"/>
      <c r="BY1113" s="80"/>
      <c r="BZ1113" s="80"/>
      <c r="CA1113" s="80"/>
      <c r="CB1113" s="80"/>
      <c r="CC1113" s="80"/>
      <c r="CD1113" s="80"/>
      <c r="CE1113" s="80"/>
      <c r="CF1113" s="80"/>
      <c r="CG1113" s="80"/>
      <c r="CH1113" s="80"/>
      <c r="CI1113" s="80"/>
      <c r="CJ1113" s="80"/>
      <c r="CK1113" s="2"/>
    </row>
    <row r="1114" ht="12.75" customHeight="1">
      <c r="A1114" s="85">
        <f>IFERROR(__xludf.DUMMYFUNCTION("""COMPUTED_VALUE"""),1110.0)</f>
        <v>1110</v>
      </c>
      <c r="B1114" s="85"/>
      <c r="C1114" s="85"/>
      <c r="D1114" s="86">
        <f>IFERROR(__xludf.DUMMYFUNCTION("""COMPUTED_VALUE"""),46199.0)</f>
        <v>46199</v>
      </c>
      <c r="E1114" s="88"/>
      <c r="F1114" s="85"/>
      <c r="G1114" s="86">
        <f>IFERROR(__xludf.DUMMYFUNCTION("""COMPUTED_VALUE"""),46223.0)</f>
        <v>46223</v>
      </c>
      <c r="H1114" s="85"/>
      <c r="I1114" s="85"/>
      <c r="J1114" s="85"/>
      <c r="K1114" s="85"/>
      <c r="L1114" s="85">
        <f>IFERROR(__xludf.DUMMYFUNCTION("""COMPUTED_VALUE"""),24.0)</f>
        <v>24</v>
      </c>
      <c r="M1114" s="85"/>
      <c r="N1114" s="85"/>
      <c r="O1114" s="85"/>
      <c r="P1114" s="85" t="str">
        <f>IFERROR(__xludf.DUMMYFUNCTION("""COMPUTED_VALUE"""),"MUCSPA63558PSIND")</f>
        <v>MUCSPA63558PSIND</v>
      </c>
      <c r="Q1114" s="85" t="str">
        <f>IFERROR(__xludf.DUMMYFUNCTION("""COMPUTED_VALUE"""),"MUC SILIHASIH")</f>
        <v>MUC SILIHASIH</v>
      </c>
      <c r="R1114" s="85" t="str">
        <f>IFERROR(__xludf.DUMMYFUNCTION("""COMPUTED_VALUE"""),"MUC SILIHASIH")</f>
        <v>MUC SILIHASIH</v>
      </c>
      <c r="S1114" s="85" t="str">
        <f>IFERROR(__xludf.DUMMYFUNCTION("""COMPUTED_VALUE"""),"MOH TAJI KAHFI")</f>
        <v>MOH TAJI KAHFI</v>
      </c>
      <c r="T1114" s="85" t="str">
        <f>IFERROR(__xludf.DUMMYFUNCTION("""COMPUTED_VALUE"""),"KP. BABAKANKARANG NO. 70 RT 1 RW 2")</f>
        <v>KP. BABAKANKARANG NO. 70 RT 1 RW 2</v>
      </c>
      <c r="U1114" s="85" t="str">
        <f>IFERROR(__xludf.DUMMYFUNCTION("""COMPUTED_VALUE"""),"KP. BABAKANKARANG NO. 70")</f>
        <v>KP. BABAKANKARANG NO. 70</v>
      </c>
      <c r="V1114" s="85" t="str">
        <f>IFERROR(__xludf.DUMMYFUNCTION("""COMPUTED_VALUE"""),"RT 1 R \ RW 2")</f>
        <v>RT 1 R \ RW 2</v>
      </c>
      <c r="W1114" s="85" t="str">
        <f>IFERROR(__xludf.DUMMYFUNCTION("""COMPUTED_VALUE"""),"SINGAPARNA")</f>
        <v>SINGAPARNA</v>
      </c>
      <c r="X1114" s="85" t="str">
        <f>IFERROR(__xludf.DUMMYFUNCTION("""COMPUTED_VALUE"""),"SINGAPARNA")</f>
        <v>SINGAPARNA</v>
      </c>
      <c r="Y1114" s="85" t="str">
        <f>IFERROR(__xludf.DUMMYFUNCTION("""COMPUTED_VALUE"""),"KAB. TASIKMALAYA")</f>
        <v>KAB. TASIKMALAYA</v>
      </c>
      <c r="Z1114" s="85" t="str">
        <f>IFERROR(__xludf.DUMMYFUNCTION("""COMPUTED_VALUE"""),"JAWA BARAT")</f>
        <v>JAWA BARAT</v>
      </c>
      <c r="AA1114" s="85" t="str">
        <f>IFERROR(__xludf.DUMMYFUNCTION("""COMPUTED_VALUE"""),"46411")</f>
        <v>46411</v>
      </c>
      <c r="AB1114" s="85" t="str">
        <f>IFERROR(__xludf.DUMMYFUNCTION("""COMPUTED_VALUE"""),"3206242706810001")</f>
        <v>3206242706810001</v>
      </c>
      <c r="AC1114" s="85" t="str">
        <f>IFERROR(__xludf.DUMMYFUNCTION("""COMPUTED_VALUE"""),"59.174.603.7-425.000")</f>
        <v>59.174.603.7-425.000</v>
      </c>
      <c r="AD1114" s="85" t="str">
        <f>IFERROR(__xludf.DUMMYFUNCTION("""COMPUTED_VALUE"""),"CUM - LP - ANGGI")</f>
        <v>CUM - LP - ANGGI</v>
      </c>
      <c r="AE1114" s="85" t="str">
        <f>IFERROR(__xludf.DUMMYFUNCTION("""COMPUTED_VALUE"""),"CUM - LP - ANGGI")</f>
        <v>CUM - LP - ANGGI</v>
      </c>
      <c r="AF1114" s="85" t="str">
        <f>IFERROR(__xludf.DUMMYFUNCTION("""COMPUTED_VALUE"""),"085223444959")</f>
        <v>085223444959</v>
      </c>
      <c r="AG1114" s="85" t="str">
        <f>IFERROR(__xludf.DUMMYFUNCTION("""COMPUTED_VALUE"""),"85223444959")</f>
        <v>85223444959</v>
      </c>
      <c r="AH1114" s="85" t="str">
        <f>IFERROR(__xludf.DUMMYFUNCTION("""COMPUTED_VALUE"""),"tajikahfi@gmail.com")</f>
        <v>tajikahfi@gmail.com</v>
      </c>
      <c r="AI1114" s="85" t="str">
        <f>IFERROR(__xludf.DUMMYFUNCTION("""COMPUTED_VALUE"""),"46411S1")</f>
        <v>46411S1</v>
      </c>
      <c r="AJ1114" s="85" t="str">
        <f>IFERROR(__xludf.DUMMYFUNCTION("""COMPUTED_VALUE"""),"6a5b54c0a7a2ea3b26012e4c")</f>
        <v>6a5b54c0a7a2ea3b26012e4c</v>
      </c>
      <c r="AK1114" s="85" t="str">
        <f>IFERROR(__xludf.DUMMYFUNCTION("""COMPUTED_VALUE"""),"tajikahfi@gmail.com")</f>
        <v>tajikahfi@gmail.com</v>
      </c>
      <c r="AL1114" s="85" t="str">
        <f>IFERROR(__xludf.DUMMYFUNCTION("""COMPUTED_VALUE"""),"#Muc46411S1$")</f>
        <v>#Muc46411S1$</v>
      </c>
      <c r="AM1114" s="85" t="str">
        <f>IFERROR(__xludf.DUMMYFUNCTION("""COMPUTED_VALUE"""),"KANTOR REGIONAL III BANDUNG 40004")</f>
        <v>KANTOR REGIONAL III BANDUNG 40004</v>
      </c>
      <c r="AN1114" s="85" t="str">
        <f>IFERROR(__xludf.DUMMYFUNCTION("""COMPUTED_VALUE"""),"KC TASIKMALAYA 46100")</f>
        <v>KC TASIKMALAYA 46100</v>
      </c>
      <c r="AO1114" s="85" t="str">
        <f>IFERROR(__xludf.DUMMYFUNCTION("""COMPUTED_VALUE"""),"0609220078386")</f>
        <v>0609220078386</v>
      </c>
      <c r="AP1114" s="85" t="str">
        <f>IFERROR(__xludf.DUMMYFUNCTION("""COMPUTED_VALUE"""),"06092200783860001")</f>
        <v>06092200783860001</v>
      </c>
      <c r="AQ1114" s="93" t="str">
        <f>IFERROR(__xludf.DUMMYFUNCTION("""COMPUTED_VALUE"""),"0540855323")</f>
        <v>0540855323</v>
      </c>
      <c r="AR1114" s="85" t="str">
        <f>IFERROR(__xludf.DUMMYFUNCTION("""COMPUTED_VALUE"""),"BCA")</f>
        <v>BCA</v>
      </c>
      <c r="AS1114" s="85" t="str">
        <f>IFERROR(__xludf.DUMMYFUNCTION("""COMPUTED_VALUE"""),"MOH TAJI KAHFI")</f>
        <v>MOH TAJI KAHFI</v>
      </c>
      <c r="AT1114" s="85" t="str">
        <f>IFERROR(__xludf.DUMMYFUNCTION("""COMPUTED_VALUE"""),"-7.3606826,108.1075726")</f>
        <v>-7.3606826,108.1075726</v>
      </c>
      <c r="AU1114" s="85" t="str">
        <f>IFERROR(__xludf.DUMMYFUNCTION("""COMPUTED_VALUE"""),"-7.3606826,108.1075726")</f>
        <v>-7.3606826,108.1075726</v>
      </c>
      <c r="AV1114" s="85"/>
      <c r="AW1114" s="85"/>
      <c r="AX1114" s="85"/>
      <c r="AY1114" s="85"/>
      <c r="AZ1114" s="85"/>
      <c r="BA1114" s="85"/>
      <c r="BB1114" s="85"/>
      <c r="BC1114" s="85"/>
      <c r="BD1114" s="85"/>
      <c r="BE1114" s="85"/>
      <c r="BF1114" s="85"/>
      <c r="BG1114" s="85"/>
      <c r="BH1114" s="85"/>
      <c r="BI1114" s="85"/>
      <c r="BJ1114" s="85"/>
      <c r="BK1114" s="85"/>
      <c r="BL1114" s="85"/>
      <c r="BM1114" s="85"/>
      <c r="BN1114" s="85"/>
      <c r="BO1114" s="85"/>
      <c r="BP1114" s="85"/>
      <c r="BQ1114" s="85"/>
      <c r="BR1114" s="85"/>
      <c r="BS1114" s="85"/>
      <c r="BT1114" s="85"/>
      <c r="BU1114" s="85"/>
      <c r="BV1114" s="85"/>
      <c r="BW1114" s="85"/>
      <c r="BX1114" s="85"/>
      <c r="BY1114" s="85"/>
      <c r="BZ1114" s="85"/>
      <c r="CA1114" s="85"/>
      <c r="CB1114" s="85"/>
      <c r="CC1114" s="85"/>
      <c r="CD1114" s="85"/>
      <c r="CE1114" s="85"/>
      <c r="CF1114" s="85"/>
      <c r="CG1114" s="85"/>
      <c r="CH1114" s="85"/>
      <c r="CI1114" s="85"/>
      <c r="CJ1114" s="85"/>
      <c r="CK1114" s="2"/>
    </row>
    <row r="1115" ht="12.75" customHeight="1">
      <c r="A1115" s="80">
        <f>IFERROR(__xludf.DUMMYFUNCTION("""COMPUTED_VALUE"""),1111.0)</f>
        <v>1111</v>
      </c>
      <c r="B1115" s="80"/>
      <c r="C1115" s="80"/>
      <c r="D1115" s="81">
        <f>IFERROR(__xludf.DUMMYFUNCTION("""COMPUTED_VALUE"""),46199.0)</f>
        <v>46199</v>
      </c>
      <c r="E1115" s="82"/>
      <c r="F1115" s="80"/>
      <c r="G1115" s="81">
        <f>IFERROR(__xludf.DUMMYFUNCTION("""COMPUTED_VALUE"""),46228.0)</f>
        <v>46228</v>
      </c>
      <c r="H1115" s="80"/>
      <c r="I1115" s="80"/>
      <c r="J1115" s="80"/>
      <c r="K1115" s="80"/>
      <c r="L1115" s="80">
        <f>IFERROR(__xludf.DUMMYFUNCTION("""COMPUTED_VALUE"""),29.0)</f>
        <v>29</v>
      </c>
      <c r="M1115" s="80"/>
      <c r="N1115" s="80"/>
      <c r="O1115" s="80"/>
      <c r="P1115" s="80" t="str">
        <f>IFERROR(__xludf.DUMMYFUNCTION("""COMPUTED_VALUE"""),"MUCSPA63560PSIND")</f>
        <v>MUCSPA63560PSIND</v>
      </c>
      <c r="Q1115" s="80" t="str">
        <f>IFERROR(__xludf.DUMMYFUNCTION("""COMPUTED_VALUE"""),"MUC CIJAWURA GIRANG 3")</f>
        <v>MUC CIJAWURA GIRANG 3</v>
      </c>
      <c r="R1115" s="80" t="str">
        <f>IFERROR(__xludf.DUMMYFUNCTION("""COMPUTED_VALUE"""),"MUC CIJAWURA GIRANG 3")</f>
        <v>MUC CIJAWURA GIRANG 3</v>
      </c>
      <c r="S1115" s="80" t="str">
        <f>IFERROR(__xludf.DUMMYFUNCTION("""COMPUTED_VALUE"""),"ARIEF RESSA")</f>
        <v>ARIEF RESSA</v>
      </c>
      <c r="T1115" s="80" t="str">
        <f>IFERROR(__xludf.DUMMYFUNCTION("""COMPUTED_VALUE"""),"JL.SARIRASA I BLOK 10 NO.142 RT 06 RW 04 SARIJADI, SUKASARI, BANDUNG")</f>
        <v>JL.SARIRASA I BLOK 10 NO.142 RT 06 RW 04 SARIJADI, SUKASARI, BANDUNG</v>
      </c>
      <c r="U1115" s="80" t="str">
        <f>IFERROR(__xludf.DUMMYFUNCTION("""COMPUTED_VALUE"""),"JL. CIJAWURA GIRANG III NO.38B")</f>
        <v>JL. CIJAWURA GIRANG III NO.38B</v>
      </c>
      <c r="V1115" s="80" t="str">
        <f>IFERROR(__xludf.DUMMYFUNCTION("""COMPUTED_VALUE"""),"RT 06  \ RW 04")</f>
        <v>RT 06  \ RW 04</v>
      </c>
      <c r="W1115" s="80" t="str">
        <f>IFERROR(__xludf.DUMMYFUNCTION("""COMPUTED_VALUE"""),"MARGASARI")</f>
        <v>MARGASARI</v>
      </c>
      <c r="X1115" s="80" t="str">
        <f>IFERROR(__xludf.DUMMYFUNCTION("""COMPUTED_VALUE"""),"BUAHBATU")</f>
        <v>BUAHBATU</v>
      </c>
      <c r="Y1115" s="80" t="str">
        <f>IFERROR(__xludf.DUMMYFUNCTION("""COMPUTED_VALUE"""),"BANDUNG")</f>
        <v>BANDUNG</v>
      </c>
      <c r="Z1115" s="80" t="str">
        <f>IFERROR(__xludf.DUMMYFUNCTION("""COMPUTED_VALUE"""),"JAWA BARAT")</f>
        <v>JAWA BARAT</v>
      </c>
      <c r="AA1115" s="80" t="str">
        <f>IFERROR(__xludf.DUMMYFUNCTION("""COMPUTED_VALUE"""),"40286")</f>
        <v>40286</v>
      </c>
      <c r="AB1115" s="80" t="str">
        <f>IFERROR(__xludf.DUMMYFUNCTION("""COMPUTED_VALUE"""),"3273011209760003")</f>
        <v>3273011209760003</v>
      </c>
      <c r="AC1115" s="80" t="str">
        <f>IFERROR(__xludf.DUMMYFUNCTION("""COMPUTED_VALUE"""),"49.155.668.4-428.000")</f>
        <v>49.155.668.4-428.000</v>
      </c>
      <c r="AD1115" s="80" t="str">
        <f>IFERROR(__xludf.DUMMYFUNCTION("""COMPUTED_VALUE"""),"CUM - LP - ANGGI")</f>
        <v>CUM - LP - ANGGI</v>
      </c>
      <c r="AE1115" s="80" t="str">
        <f>IFERROR(__xludf.DUMMYFUNCTION("""COMPUTED_VALUE"""),"CUM - LP - ANGGI")</f>
        <v>CUM - LP - ANGGI</v>
      </c>
      <c r="AF1115" s="80" t="str">
        <f>IFERROR(__xludf.DUMMYFUNCTION("""COMPUTED_VALUE"""),"087822255376")</f>
        <v>087822255376</v>
      </c>
      <c r="AG1115" s="80" t="str">
        <f>IFERROR(__xludf.DUMMYFUNCTION("""COMPUTED_VALUE"""),"87822255376")</f>
        <v>87822255376</v>
      </c>
      <c r="AH1115" s="80" t="str">
        <f>IFERROR(__xludf.DUMMYFUNCTION("""COMPUTED_VALUE"""),"auligroup1998@gmail.com")</f>
        <v>auligroup1998@gmail.com</v>
      </c>
      <c r="AI1115" s="80" t="str">
        <f>IFERROR(__xludf.DUMMYFUNCTION("""COMPUTED_VALUE"""),"40286SG")</f>
        <v>40286SG</v>
      </c>
      <c r="AJ1115" s="80" t="str">
        <f>IFERROR(__xludf.DUMMYFUNCTION("""COMPUTED_VALUE"""),"6a6039fb0a8698ff39065890")</f>
        <v>6a6039fb0a8698ff39065890</v>
      </c>
      <c r="AK1115" s="80" t="str">
        <f>IFERROR(__xludf.DUMMYFUNCTION("""COMPUTED_VALUE"""),"auligroup1998@gmail.com")</f>
        <v>auligroup1998@gmail.com</v>
      </c>
      <c r="AL1115" s="80" t="str">
        <f>IFERROR(__xludf.DUMMYFUNCTION("""COMPUTED_VALUE"""),"#Muc40286SG$")</f>
        <v>#Muc40286SG$</v>
      </c>
      <c r="AM1115" s="80" t="str">
        <f>IFERROR(__xludf.DUMMYFUNCTION("""COMPUTED_VALUE"""),"KANTOR REGIONAL III BANDUNG 40004")</f>
        <v>KANTOR REGIONAL III BANDUNG 40004</v>
      </c>
      <c r="AN1115" s="80" t="str">
        <f>IFERROR(__xludf.DUMMYFUNCTION("""COMPUTED_VALUE"""),"KCU BANDUNG 40000")</f>
        <v>KCU BANDUNG 40000</v>
      </c>
      <c r="AO1115" s="80" t="str">
        <f>IFERROR(__xludf.DUMMYFUNCTION("""COMPUTED_VALUE"""),"2606260078547")</f>
        <v>2606260078547</v>
      </c>
      <c r="AP1115" s="80" t="str">
        <f>IFERROR(__xludf.DUMMYFUNCTION("""COMPUTED_VALUE"""),"2606260078547")</f>
        <v>2606260078547</v>
      </c>
      <c r="AQ1115" s="83" t="str">
        <f>IFERROR(__xludf.DUMMYFUNCTION("""COMPUTED_VALUE"""),"0849719145")</f>
        <v>0849719145</v>
      </c>
      <c r="AR1115" s="80" t="str">
        <f>IFERROR(__xludf.DUMMYFUNCTION("""COMPUTED_VALUE"""),"BNI")</f>
        <v>BNI</v>
      </c>
      <c r="AS1115" s="80" t="str">
        <f>IFERROR(__xludf.DUMMYFUNCTION("""COMPUTED_VALUE"""),"Arief Ressa")</f>
        <v>Arief Ressa</v>
      </c>
      <c r="AT1115" s="80" t="str">
        <f>IFERROR(__xludf.DUMMYFUNCTION("""COMPUTED_VALUE"""),"-69,487,825")</f>
        <v>-69,487,825</v>
      </c>
      <c r="AU1115" s="80" t="str">
        <f>IFERROR(__xludf.DUMMYFUNCTION("""COMPUTED_VALUE"""),"1,076,483,582")</f>
        <v>1,076,483,582</v>
      </c>
      <c r="AV1115" s="80"/>
      <c r="AW1115" s="80"/>
      <c r="AX1115" s="80"/>
      <c r="AY1115" s="80"/>
      <c r="AZ1115" s="80"/>
      <c r="BA1115" s="80"/>
      <c r="BB1115" s="80"/>
      <c r="BC1115" s="80"/>
      <c r="BD1115" s="80"/>
      <c r="BE1115" s="80"/>
      <c r="BF1115" s="80"/>
      <c r="BG1115" s="80"/>
      <c r="BH1115" s="80"/>
      <c r="BI1115" s="80"/>
      <c r="BJ1115" s="80"/>
      <c r="BK1115" s="80"/>
      <c r="BL1115" s="80"/>
      <c r="BM1115" s="80"/>
      <c r="BN1115" s="80"/>
      <c r="BO1115" s="80"/>
      <c r="BP1115" s="80"/>
      <c r="BQ1115" s="80"/>
      <c r="BR1115" s="80"/>
      <c r="BS1115" s="80"/>
      <c r="BT1115" s="80"/>
      <c r="BU1115" s="80"/>
      <c r="BV1115" s="80"/>
      <c r="BW1115" s="80"/>
      <c r="BX1115" s="80"/>
      <c r="BY1115" s="80"/>
      <c r="BZ1115" s="80"/>
      <c r="CA1115" s="80"/>
      <c r="CB1115" s="80"/>
      <c r="CC1115" s="80"/>
      <c r="CD1115" s="80"/>
      <c r="CE1115" s="80"/>
      <c r="CF1115" s="80"/>
      <c r="CG1115" s="80"/>
      <c r="CH1115" s="80"/>
      <c r="CI1115" s="80"/>
      <c r="CJ1115" s="80"/>
      <c r="CK1115" s="2"/>
    </row>
    <row r="1116" ht="12.75" customHeight="1">
      <c r="A1116" s="85">
        <f>IFERROR(__xludf.DUMMYFUNCTION("""COMPUTED_VALUE"""),1112.0)</f>
        <v>1112</v>
      </c>
      <c r="B1116" s="85"/>
      <c r="C1116" s="85"/>
      <c r="D1116" s="86">
        <f>IFERROR(__xludf.DUMMYFUNCTION("""COMPUTED_VALUE"""),46199.0)</f>
        <v>46199</v>
      </c>
      <c r="E1116" s="88"/>
      <c r="F1116" s="85"/>
      <c r="G1116" s="86">
        <f>IFERROR(__xludf.DUMMYFUNCTION("""COMPUTED_VALUE"""),46228.0)</f>
        <v>46228</v>
      </c>
      <c r="H1116" s="85"/>
      <c r="I1116" s="85"/>
      <c r="J1116" s="85"/>
      <c r="K1116" s="85"/>
      <c r="L1116" s="85">
        <f>IFERROR(__xludf.DUMMYFUNCTION("""COMPUTED_VALUE"""),29.0)</f>
        <v>29</v>
      </c>
      <c r="M1116" s="85"/>
      <c r="N1116" s="85"/>
      <c r="O1116" s="85"/>
      <c r="P1116" s="85" t="str">
        <f>IFERROR(__xludf.DUMMYFUNCTION("""COMPUTED_VALUE"""),"MUCSPA63561PSIND")</f>
        <v>MUCSPA63561PSIND</v>
      </c>
      <c r="Q1116" s="85" t="str">
        <f>IFERROR(__xludf.DUMMYFUNCTION("""COMPUTED_VALUE"""),"MUC KANG DEDE")</f>
        <v>MUC KANG DEDE</v>
      </c>
      <c r="R1116" s="85" t="str">
        <f>IFERROR(__xludf.DUMMYFUNCTION("""COMPUTED_VALUE"""),"MUC KANG DEDE")</f>
        <v>MUC KANG DEDE</v>
      </c>
      <c r="S1116" s="85" t="str">
        <f>IFERROR(__xludf.DUMMYFUNCTION("""COMPUTED_VALUE"""),"DEDE ELAN")</f>
        <v>DEDE ELAN</v>
      </c>
      <c r="T1116" s="85" t="str">
        <f>IFERROR(__xludf.DUMMYFUNCTION("""COMPUTED_VALUE"""),"PAKUAN REGENO CLUSTER WASTU KENCANA BLOK F.10 NO.7 RT 03 RW 13 BALUMBANGJAYA, BOGOR BARAT, BOGOR")</f>
        <v>PAKUAN REGENO CLUSTER WASTU KENCANA BLOK F.10 NO.7 RT 03 RW 13 BALUMBANGJAYA, BOGOR BARAT, BOGOR</v>
      </c>
      <c r="U1116" s="85" t="str">
        <f>IFERROR(__xludf.DUMMYFUNCTION("""COMPUTED_VALUE"""),"PAKUAN REGENO CLUSTER WASTU KENCANA BLOK F.10 NO.7 RT 03 RW 13")</f>
        <v>PAKUAN REGENO CLUSTER WASTU KENCANA BLOK F.10 NO.7 RT 03 RW 13</v>
      </c>
      <c r="V1116" s="85" t="str">
        <f>IFERROR(__xludf.DUMMYFUNCTION("""COMPUTED_VALUE"""),"RT 03  \ RW 13")</f>
        <v>RT 03  \ RW 13</v>
      </c>
      <c r="W1116" s="85" t="str">
        <f>IFERROR(__xludf.DUMMYFUNCTION("""COMPUTED_VALUE"""),"BALUMBANG JAYA")</f>
        <v>BALUMBANG JAYA</v>
      </c>
      <c r="X1116" s="85" t="str">
        <f>IFERROR(__xludf.DUMMYFUNCTION("""COMPUTED_VALUE"""),"BOGOR BARAT")</f>
        <v>BOGOR BARAT</v>
      </c>
      <c r="Y1116" s="85" t="str">
        <f>IFERROR(__xludf.DUMMYFUNCTION("""COMPUTED_VALUE"""),"BOGOR")</f>
        <v>BOGOR</v>
      </c>
      <c r="Z1116" s="85" t="str">
        <f>IFERROR(__xludf.DUMMYFUNCTION("""COMPUTED_VALUE"""),"JAWA BARAT")</f>
        <v>JAWA BARAT</v>
      </c>
      <c r="AA1116" s="85" t="str">
        <f>IFERROR(__xludf.DUMMYFUNCTION("""COMPUTED_VALUE"""),"16116")</f>
        <v>16116</v>
      </c>
      <c r="AB1116" s="85" t="str">
        <f>IFERROR(__xludf.DUMMYFUNCTION("""COMPUTED_VALUE"""),"3201151204730007")</f>
        <v>3201151204730007</v>
      </c>
      <c r="AC1116" s="85" t="str">
        <f>IFERROR(__xludf.DUMMYFUNCTION("""COMPUTED_VALUE"""),"36.134.809.7-434.000")</f>
        <v>36.134.809.7-434.000</v>
      </c>
      <c r="AD1116" s="85" t="str">
        <f>IFERROR(__xludf.DUMMYFUNCTION("""COMPUTED_VALUE"""),"CUM - PS - ASEPN")</f>
        <v>CUM - PS - ASEPN</v>
      </c>
      <c r="AE1116" s="85" t="str">
        <f>IFERROR(__xludf.DUMMYFUNCTION("""COMPUTED_VALUE"""),"CUM - PS - ASEPN")</f>
        <v>CUM - PS - ASEPN</v>
      </c>
      <c r="AF1116" s="85" t="str">
        <f>IFERROR(__xludf.DUMMYFUNCTION("""COMPUTED_VALUE"""),"085281952045")</f>
        <v>085281952045</v>
      </c>
      <c r="AG1116" s="85" t="str">
        <f>IFERROR(__xludf.DUMMYFUNCTION("""COMPUTED_VALUE"""),"85281952045")</f>
        <v>85281952045</v>
      </c>
      <c r="AH1116" s="85" t="str">
        <f>IFERROR(__xludf.DUMMYFUNCTION("""COMPUTED_VALUE"""),"dede.udaya@yahoo.com")</f>
        <v>dede.udaya@yahoo.com</v>
      </c>
      <c r="AI1116" s="85" t="str">
        <f>IFERROR(__xludf.DUMMYFUNCTION("""COMPUTED_VALUE"""),"16116S4")</f>
        <v>16116S4</v>
      </c>
      <c r="AJ1116" s="85" t="str">
        <f>IFERROR(__xludf.DUMMYFUNCTION("""COMPUTED_VALUE"""),"6a630e5af8b01872730c2a36")</f>
        <v>6a630e5af8b01872730c2a36</v>
      </c>
      <c r="AK1116" s="85" t="str">
        <f>IFERROR(__xludf.DUMMYFUNCTION("""COMPUTED_VALUE"""),"dede.udaya@yahoo.com")</f>
        <v>dede.udaya@yahoo.com</v>
      </c>
      <c r="AL1116" s="85" t="str">
        <f>IFERROR(__xludf.DUMMYFUNCTION("""COMPUTED_VALUE"""),"#Muc16116S4$")</f>
        <v>#Muc16116S4$</v>
      </c>
      <c r="AM1116" s="85" t="str">
        <f>IFERROR(__xludf.DUMMYFUNCTION("""COMPUTED_VALUE"""),"KANTOR REGIONAL II JAKARTA 10004")</f>
        <v>KANTOR REGIONAL II JAKARTA 10004</v>
      </c>
      <c r="AN1116" s="85" t="str">
        <f>IFERROR(__xludf.DUMMYFUNCTION("""COMPUTED_VALUE"""),"KCU BOGOR 16000")</f>
        <v>KCU BOGOR 16000</v>
      </c>
      <c r="AO1116" s="85" t="str">
        <f>IFERROR(__xludf.DUMMYFUNCTION("""COMPUTED_VALUE"""),"0508250047245")</f>
        <v>0508250047245</v>
      </c>
      <c r="AP1116" s="85" t="str">
        <f>IFERROR(__xludf.DUMMYFUNCTION("""COMPUTED_VALUE"""),"0508250047245")</f>
        <v>0508250047245</v>
      </c>
      <c r="AQ1116" s="93" t="str">
        <f>IFERROR(__xludf.DUMMYFUNCTION("""COMPUTED_VALUE"""),"7370249819")</f>
        <v>7370249819</v>
      </c>
      <c r="AR1116" s="85" t="str">
        <f>IFERROR(__xludf.DUMMYFUNCTION("""COMPUTED_VALUE"""),"BCA")</f>
        <v>BCA</v>
      </c>
      <c r="AS1116" s="85" t="str">
        <f>IFERROR(__xludf.DUMMYFUNCTION("""COMPUTED_VALUE"""),"DEDE ELAN")</f>
        <v>DEDE ELAN</v>
      </c>
      <c r="AT1116" s="85" t="str">
        <f>IFERROR(__xludf.DUMMYFUNCTION("""COMPUTED_VALUE"""),"-65,627,424")</f>
        <v>-65,627,424</v>
      </c>
      <c r="AU1116" s="85" t="str">
        <f>IFERROR(__xludf.DUMMYFUNCTION("""COMPUTED_VALUE"""),"106,742,872")</f>
        <v>106,742,872</v>
      </c>
      <c r="AV1116" s="85"/>
      <c r="AW1116" s="85"/>
      <c r="AX1116" s="85"/>
      <c r="AY1116" s="85"/>
      <c r="AZ1116" s="85"/>
      <c r="BA1116" s="85"/>
      <c r="BB1116" s="85"/>
      <c r="BC1116" s="85"/>
      <c r="BD1116" s="85"/>
      <c r="BE1116" s="85"/>
      <c r="BF1116" s="85"/>
      <c r="BG1116" s="85"/>
      <c r="BH1116" s="85"/>
      <c r="BI1116" s="85"/>
      <c r="BJ1116" s="85"/>
      <c r="BK1116" s="85"/>
      <c r="BL1116" s="85"/>
      <c r="BM1116" s="85"/>
      <c r="BN1116" s="85"/>
      <c r="BO1116" s="85"/>
      <c r="BP1116" s="85"/>
      <c r="BQ1116" s="85"/>
      <c r="BR1116" s="85"/>
      <c r="BS1116" s="85"/>
      <c r="BT1116" s="85"/>
      <c r="BU1116" s="85"/>
      <c r="BV1116" s="85"/>
      <c r="BW1116" s="85"/>
      <c r="BX1116" s="85"/>
      <c r="BY1116" s="85"/>
      <c r="BZ1116" s="85"/>
      <c r="CA1116" s="85"/>
      <c r="CB1116" s="85"/>
      <c r="CC1116" s="85"/>
      <c r="CD1116" s="85"/>
      <c r="CE1116" s="85"/>
      <c r="CF1116" s="85"/>
      <c r="CG1116" s="85"/>
      <c r="CH1116" s="85"/>
      <c r="CI1116" s="85"/>
      <c r="CJ1116" s="85"/>
      <c r="CK1116" s="2"/>
    </row>
    <row r="1117" ht="12.75" customHeight="1">
      <c r="A1117" s="80">
        <f>IFERROR(__xludf.DUMMYFUNCTION("""COMPUTED_VALUE"""),1113.0)</f>
        <v>1113</v>
      </c>
      <c r="B1117" s="80"/>
      <c r="C1117" s="80"/>
      <c r="D1117" s="81">
        <f>IFERROR(__xludf.DUMMYFUNCTION("""COMPUTED_VALUE"""),46200.0)</f>
        <v>46200</v>
      </c>
      <c r="E1117" s="82"/>
      <c r="F1117" s="80"/>
      <c r="G1117" s="81">
        <f>IFERROR(__xludf.DUMMYFUNCTION("""COMPUTED_VALUE"""),46228.0)</f>
        <v>46228</v>
      </c>
      <c r="H1117" s="80"/>
      <c r="I1117" s="80"/>
      <c r="J1117" s="80"/>
      <c r="K1117" s="80"/>
      <c r="L1117" s="80">
        <f>IFERROR(__xludf.DUMMYFUNCTION("""COMPUTED_VALUE"""),28.0)</f>
        <v>28</v>
      </c>
      <c r="M1117" s="80"/>
      <c r="N1117" s="80"/>
      <c r="O1117" s="80"/>
      <c r="P1117" s="80" t="str">
        <f>IFERROR(__xludf.DUMMYFUNCTION("""COMPUTED_VALUE"""),"MUCSPA63562PSIND")</f>
        <v>MUCSPA63562PSIND</v>
      </c>
      <c r="Q1117" s="80" t="str">
        <f>IFERROR(__xludf.DUMMYFUNCTION("""COMPUTED_VALUE"""),"MUC AHMAD MARGAASIH")</f>
        <v>MUC AHMAD MARGAASIH</v>
      </c>
      <c r="R1117" s="80" t="str">
        <f>IFERROR(__xludf.DUMMYFUNCTION("""COMPUTED_VALUE"""),"MUC AHMAD MARGAASIH")</f>
        <v>MUC AHMAD MARGAASIH</v>
      </c>
      <c r="S1117" s="80" t="str">
        <f>IFERROR(__xludf.DUMMYFUNCTION("""COMPUTED_VALUE"""),"AHMAD FAHRUDIN")</f>
        <v>AHMAD FAHRUDIN</v>
      </c>
      <c r="T1117" s="80" t="str">
        <f>IFERROR(__xludf.DUMMYFUNCTION("""COMPUTED_VALUE"""),"KP.JALAN CAGAK RT 01 RW 04 LAGADAR, MARGAASIH, KAB.BANDUNG")</f>
        <v>KP.JALAN CAGAK RT 01 RW 04 LAGADAR, MARGAASIH, KAB.BANDUNG</v>
      </c>
      <c r="U1117" s="80" t="str">
        <f>IFERROR(__xludf.DUMMYFUNCTION("""COMPUTED_VALUE"""),"KP.JALAN CAGAK")</f>
        <v>KP.JALAN CAGAK</v>
      </c>
      <c r="V1117" s="80" t="str">
        <f>IFERROR(__xludf.DUMMYFUNCTION("""COMPUTED_VALUE"""),"RT 01  \ RW 04")</f>
        <v>RT 01  \ RW 04</v>
      </c>
      <c r="W1117" s="80" t="str">
        <f>IFERROR(__xludf.DUMMYFUNCTION("""COMPUTED_VALUE"""),"LAGADAR")</f>
        <v>LAGADAR</v>
      </c>
      <c r="X1117" s="80" t="str">
        <f>IFERROR(__xludf.DUMMYFUNCTION("""COMPUTED_VALUE"""),"MARGAASIH")</f>
        <v>MARGAASIH</v>
      </c>
      <c r="Y1117" s="80" t="str">
        <f>IFERROR(__xludf.DUMMYFUNCTION("""COMPUTED_VALUE"""),"KAB.BANDUNG")</f>
        <v>KAB.BANDUNG</v>
      </c>
      <c r="Z1117" s="80" t="str">
        <f>IFERROR(__xludf.DUMMYFUNCTION("""COMPUTED_VALUE"""),"JAWA BARAT")</f>
        <v>JAWA BARAT</v>
      </c>
      <c r="AA1117" s="80" t="str">
        <f>IFERROR(__xludf.DUMMYFUNCTION("""COMPUTED_VALUE"""),"40216")</f>
        <v>40216</v>
      </c>
      <c r="AB1117" s="80" t="str">
        <f>IFERROR(__xludf.DUMMYFUNCTION("""COMPUTED_VALUE"""),"3273053107850001")</f>
        <v>3273053107850001</v>
      </c>
      <c r="AC1117" s="80" t="str">
        <f>IFERROR(__xludf.DUMMYFUNCTION("""COMPUTED_VALUE"""),"64.107.234.3-428.000")</f>
        <v>64.107.234.3-428.000</v>
      </c>
      <c r="AD1117" s="80" t="str">
        <f>IFERROR(__xludf.DUMMYFUNCTION("""COMPUTED_VALUE"""),"CUM - LP - ANGGI")</f>
        <v>CUM - LP - ANGGI</v>
      </c>
      <c r="AE1117" s="80" t="str">
        <f>IFERROR(__xludf.DUMMYFUNCTION("""COMPUTED_VALUE"""),"CUM - LP - ANGGI")</f>
        <v>CUM - LP - ANGGI</v>
      </c>
      <c r="AF1117" s="80" t="str">
        <f>IFERROR(__xludf.DUMMYFUNCTION("""COMPUTED_VALUE"""),"085722571871")</f>
        <v>085722571871</v>
      </c>
      <c r="AG1117" s="80" t="str">
        <f>IFERROR(__xludf.DUMMYFUNCTION("""COMPUTED_VALUE"""),"85722571871")</f>
        <v>85722571871</v>
      </c>
      <c r="AH1117" s="80" t="str">
        <f>IFERROR(__xludf.DUMMYFUNCTION("""COMPUTED_VALUE"""),"afahrudin3107@gmail.com")</f>
        <v>afahrudin3107@gmail.com</v>
      </c>
      <c r="AI1117" s="80" t="str">
        <f>IFERROR(__xludf.DUMMYFUNCTION("""COMPUTED_VALUE"""),"40351S5")</f>
        <v>40351S5</v>
      </c>
      <c r="AJ1117" s="80" t="str">
        <f>IFERROR(__xludf.DUMMYFUNCTION("""COMPUTED_VALUE"""),"6a632e0942b3d191180fb058")</f>
        <v>6a632e0942b3d191180fb058</v>
      </c>
      <c r="AK1117" s="80" t="str">
        <f>IFERROR(__xludf.DUMMYFUNCTION("""COMPUTED_VALUE"""),"afahrudin3107@gmail.com")</f>
        <v>afahrudin3107@gmail.com</v>
      </c>
      <c r="AL1117" s="80" t="str">
        <f>IFERROR(__xludf.DUMMYFUNCTION("""COMPUTED_VALUE"""),"#Muc40351S5$")</f>
        <v>#Muc40351S5$</v>
      </c>
      <c r="AM1117" s="80" t="str">
        <f>IFERROR(__xludf.DUMMYFUNCTION("""COMPUTED_VALUE"""),"KANTOR REGIONAL III BANDUNG 40004")</f>
        <v>KANTOR REGIONAL III BANDUNG 40004</v>
      </c>
      <c r="AN1117" s="80" t="str">
        <f>IFERROR(__xludf.DUMMYFUNCTION("""COMPUTED_VALUE"""),"KC CIMAHI 40500")</f>
        <v>KC CIMAHI 40500</v>
      </c>
      <c r="AO1117" s="80" t="str">
        <f>IFERROR(__xludf.DUMMYFUNCTION("""COMPUTED_VALUE"""),"2706260033695")</f>
        <v>2706260033695</v>
      </c>
      <c r="AP1117" s="80" t="str">
        <f>IFERROR(__xludf.DUMMYFUNCTION("""COMPUTED_VALUE"""),"2706260033695")</f>
        <v>2706260033695</v>
      </c>
      <c r="AQ1117" s="83" t="str">
        <f>IFERROR(__xludf.DUMMYFUNCTION("""COMPUTED_VALUE"""),"1570627534")</f>
        <v>1570627534</v>
      </c>
      <c r="AR1117" s="80" t="str">
        <f>IFERROR(__xludf.DUMMYFUNCTION("""COMPUTED_VALUE"""),"BCA")</f>
        <v>BCA</v>
      </c>
      <c r="AS1117" s="80" t="str">
        <f>IFERROR(__xludf.DUMMYFUNCTION("""COMPUTED_VALUE"""),"DIANA ASIAM")</f>
        <v>DIANA ASIAM</v>
      </c>
      <c r="AT1117" s="80" t="str">
        <f>IFERROR(__xludf.DUMMYFUNCTION("""COMPUTED_VALUE"""),"-69,223,931")</f>
        <v>-69,223,931</v>
      </c>
      <c r="AU1117" s="80" t="str">
        <f>IFERROR(__xludf.DUMMYFUNCTION("""COMPUTED_VALUE"""),"1,075,389,317")</f>
        <v>1,075,389,317</v>
      </c>
      <c r="AV1117" s="80"/>
      <c r="AW1117" s="80"/>
      <c r="AX1117" s="80"/>
      <c r="AY1117" s="80"/>
      <c r="AZ1117" s="80"/>
      <c r="BA1117" s="80"/>
      <c r="BB1117" s="80"/>
      <c r="BC1117" s="80"/>
      <c r="BD1117" s="80"/>
      <c r="BE1117" s="80"/>
      <c r="BF1117" s="80"/>
      <c r="BG1117" s="80"/>
      <c r="BH1117" s="80"/>
      <c r="BI1117" s="80"/>
      <c r="BJ1117" s="80"/>
      <c r="BK1117" s="80"/>
      <c r="BL1117" s="80"/>
      <c r="BM1117" s="80"/>
      <c r="BN1117" s="80"/>
      <c r="BO1117" s="80"/>
      <c r="BP1117" s="80"/>
      <c r="BQ1117" s="80"/>
      <c r="BR1117" s="80"/>
      <c r="BS1117" s="80"/>
      <c r="BT1117" s="80"/>
      <c r="BU1117" s="80"/>
      <c r="BV1117" s="80"/>
      <c r="BW1117" s="80"/>
      <c r="BX1117" s="80"/>
      <c r="BY1117" s="80"/>
      <c r="BZ1117" s="80"/>
      <c r="CA1117" s="80"/>
      <c r="CB1117" s="80"/>
      <c r="CC1117" s="80"/>
      <c r="CD1117" s="80"/>
      <c r="CE1117" s="80"/>
      <c r="CF1117" s="80"/>
      <c r="CG1117" s="80"/>
      <c r="CH1117" s="80"/>
      <c r="CI1117" s="80"/>
      <c r="CJ1117" s="80"/>
      <c r="CK1117" s="2"/>
    </row>
    <row r="1118" ht="12.75" customHeight="1">
      <c r="A1118" s="85">
        <f>IFERROR(__xludf.DUMMYFUNCTION("""COMPUTED_VALUE"""),1114.0)</f>
        <v>1114</v>
      </c>
      <c r="B1118" s="85"/>
      <c r="C1118" s="85"/>
      <c r="D1118" s="86">
        <f>IFERROR(__xludf.DUMMYFUNCTION("""COMPUTED_VALUE"""),46202.0)</f>
        <v>46202</v>
      </c>
      <c r="E1118" s="88"/>
      <c r="F1118" s="85"/>
      <c r="G1118" s="86">
        <f>IFERROR(__xludf.DUMMYFUNCTION("""COMPUTED_VALUE"""),46218.0)</f>
        <v>46218</v>
      </c>
      <c r="H1118" s="85"/>
      <c r="I1118" s="85"/>
      <c r="J1118" s="85"/>
      <c r="K1118" s="85"/>
      <c r="L1118" s="85">
        <f>IFERROR(__xludf.DUMMYFUNCTION("""COMPUTED_VALUE"""),16.0)</f>
        <v>16</v>
      </c>
      <c r="M1118" s="85"/>
      <c r="N1118" s="85"/>
      <c r="O1118" s="85"/>
      <c r="P1118" s="85" t="str">
        <f>IFERROR(__xludf.DUMMYFUNCTION("""COMPUTED_VALUE"""),"53BSPA17073JBNDS")</f>
        <v>53BSPA17073JBNDS</v>
      </c>
      <c r="Q1118" s="85" t="str">
        <f>IFERROR(__xludf.DUMMYFUNCTION("""COMPUTED_VALUE"""),"‎MUC KHAIRAN")</f>
        <v>‎MUC KHAIRAN</v>
      </c>
      <c r="R1118" s="85" t="str">
        <f>IFERROR(__xludf.DUMMYFUNCTION("""COMPUTED_VALUE"""),"‎MUC KHAIRAN")</f>
        <v>‎MUC KHAIRAN</v>
      </c>
      <c r="S1118" s="85" t="str">
        <f>IFERROR(__xludf.DUMMYFUNCTION("""COMPUTED_VALUE"""),"‎ARIAWAN WIBOWO")</f>
        <v>‎ARIAWAN WIBOWO</v>
      </c>
      <c r="T1118" s="85" t="str">
        <f>IFERROR(__xludf.DUMMYFUNCTION("""COMPUTED_VALUE"""),"‎KP. CIKETING ASEM JAYA NO. 67 RT 2 RW 5 MUSTIKA JAYA")</f>
        <v>‎KP. CIKETING ASEM JAYA NO. 67 RT 2 RW 5 MUSTIKA JAYA</v>
      </c>
      <c r="U1118" s="85" t="str">
        <f>IFERROR(__xludf.DUMMYFUNCTION("""COMPUTED_VALUE"""),"‎ JL. KELAPA DUA NO. 18")</f>
        <v>‎ JL. KELAPA DUA NO. 18</v>
      </c>
      <c r="V1118" s="85" t="str">
        <f>IFERROR(__xludf.DUMMYFUNCTION("""COMPUTED_VALUE"""),"RT 2 R \ RW 5 M")</f>
        <v>RT 2 R \ RW 5 M</v>
      </c>
      <c r="W1118" s="85" t="str">
        <f>IFERROR(__xludf.DUMMYFUNCTION("""COMPUTED_VALUE"""),"‎ PADURENAN")</f>
        <v>‎ PADURENAN</v>
      </c>
      <c r="X1118" s="85" t="str">
        <f>IFERROR(__xludf.DUMMYFUNCTION("""COMPUTED_VALUE"""),"‎ MUSTIKA JAYA")</f>
        <v>‎ MUSTIKA JAYA</v>
      </c>
      <c r="Y1118" s="85" t="str">
        <f>IFERROR(__xludf.DUMMYFUNCTION("""COMPUTED_VALUE"""),"‎KOTA BEKASI")</f>
        <v>‎KOTA BEKASI</v>
      </c>
      <c r="Z1118" s="85" t="str">
        <f>IFERROR(__xludf.DUMMYFUNCTION("""COMPUTED_VALUE"""),"‎ JAWA BARAT")</f>
        <v>‎ JAWA BARAT</v>
      </c>
      <c r="AA1118" s="85" t="str">
        <f>IFERROR(__xludf.DUMMYFUNCTION("""COMPUTED_VALUE"""),"‎ 17156")</f>
        <v>‎ 17156</v>
      </c>
      <c r="AB1118" s="85" t="str">
        <f>IFERROR(__xludf.DUMMYFUNCTION("""COMPUTED_VALUE"""),"‎3275112603930002")</f>
        <v>‎3275112603930002</v>
      </c>
      <c r="AC1118" s="85" t="str">
        <f>IFERROR(__xludf.DUMMYFUNCTION("""COMPUTED_VALUE"""),"‎8.091.471.4-343.2000")</f>
        <v>‎8.091.471.4-343.2000</v>
      </c>
      <c r="AD1118" s="85" t="str">
        <f>IFERROR(__xludf.DUMMYFUNCTION("""COMPUTED_VALUE"""),"SUB NDS")</f>
        <v>SUB NDS</v>
      </c>
      <c r="AE1118" s="85" t="str">
        <f>IFERROR(__xludf.DUMMYFUNCTION("""COMPUTED_VALUE"""),"SUB NDS")</f>
        <v>SUB NDS</v>
      </c>
      <c r="AF1118" s="85" t="str">
        <f>IFERROR(__xludf.DUMMYFUNCTION("""COMPUTED_VALUE"""),"‎08138356188")</f>
        <v>‎08138356188</v>
      </c>
      <c r="AG1118" s="85" t="str">
        <f>IFERROR(__xludf.DUMMYFUNCTION("""COMPUTED_VALUE"""),"‎08138356188")</f>
        <v>‎08138356188</v>
      </c>
      <c r="AH1118" s="85" t="str">
        <f>IFERROR(__xludf.DUMMYFUNCTION("""COMPUTED_VALUE"""),"‎ariawansm@gmail.com")</f>
        <v>‎ariawansm@gmail.com</v>
      </c>
      <c r="AI1118" s="85" t="str">
        <f>IFERROR(__xludf.DUMMYFUNCTION("""COMPUTED_VALUE"""),"17166S4")</f>
        <v>17166S4</v>
      </c>
      <c r="AJ1118" s="85" t="str">
        <f>IFERROR(__xludf.DUMMYFUNCTION("""COMPUTED_VALUE"""),"6a578caea099e189b509def8")</f>
        <v>6a578caea099e189b509def8</v>
      </c>
      <c r="AK1118" s="85" t="str">
        <f>IFERROR(__xludf.DUMMYFUNCTION("""COMPUTED_VALUE"""),"ariawansm@gmail.com")</f>
        <v>ariawansm@gmail.com</v>
      </c>
      <c r="AL1118" s="85" t="str">
        <f>IFERROR(__xludf.DUMMYFUNCTION("""COMPUTED_VALUE"""),"#Muc17166S4$")</f>
        <v>#Muc17166S4$</v>
      </c>
      <c r="AM1118" s="85" t="str">
        <f>IFERROR(__xludf.DUMMYFUNCTION("""COMPUTED_VALUE"""),"KANTOR REGIONAL II JAKARTA 10004")</f>
        <v>KANTOR REGIONAL II JAKARTA 10004</v>
      </c>
      <c r="AN1118" s="85" t="str">
        <f>IFERROR(__xludf.DUMMYFUNCTION("""COMPUTED_VALUE"""),"KCU BEKASI 17000")</f>
        <v>KCU BEKASI 17000</v>
      </c>
      <c r="AO1118" s="85" t="str">
        <f>IFERROR(__xludf.DUMMYFUNCTION("""COMPUTED_VALUE"""),"‎2706240032984")</f>
        <v>‎2706240032984</v>
      </c>
      <c r="AP1118" s="85" t="str">
        <f>IFERROR(__xludf.DUMMYFUNCTION("""COMPUTED_VALUE"""),"‎2706240032984")</f>
        <v>‎2706240032984</v>
      </c>
      <c r="AQ1118" s="93" t="str">
        <f>IFERROR(__xludf.DUMMYFUNCTION("""COMPUTED_VALUE"""),"‎ 8416035488")</f>
        <v>‎ 8416035488</v>
      </c>
      <c r="AR1118" s="85" t="str">
        <f>IFERROR(__xludf.DUMMYFUNCTION("""COMPUTED_VALUE"""),"BCA")</f>
        <v>BCA</v>
      </c>
      <c r="AS1118" s="85" t="str">
        <f>IFERROR(__xludf.DUMMYFUNCTION("""COMPUTED_VALUE"""),"ARIAWAN WIBOWO")</f>
        <v>ARIAWAN WIBOWO</v>
      </c>
      <c r="AT1118" s="85" t="str">
        <f>IFERROR(__xludf.DUMMYFUNCTION("""COMPUTED_VALUE"""),"‎ -6.3105103,107.0155411")</f>
        <v>‎ -6.3105103,107.0155411</v>
      </c>
      <c r="AU1118" s="85" t="str">
        <f>IFERROR(__xludf.DUMMYFUNCTION("""COMPUTED_VALUE"""),"‎ -6.3105103,107.0155411")</f>
        <v>‎ -6.3105103,107.0155411</v>
      </c>
      <c r="AV1118" s="85"/>
      <c r="AW1118" s="85"/>
      <c r="AX1118" s="85"/>
      <c r="AY1118" s="85"/>
      <c r="AZ1118" s="85"/>
      <c r="BA1118" s="85"/>
      <c r="BB1118" s="85"/>
      <c r="BC1118" s="85"/>
      <c r="BD1118" s="85"/>
      <c r="BE1118" s="85"/>
      <c r="BF1118" s="85"/>
      <c r="BG1118" s="85"/>
      <c r="BH1118" s="85"/>
      <c r="BI1118" s="85"/>
      <c r="BJ1118" s="85"/>
      <c r="BK1118" s="85"/>
      <c r="BL1118" s="85"/>
      <c r="BM1118" s="85"/>
      <c r="BN1118" s="85"/>
      <c r="BO1118" s="85"/>
      <c r="BP1118" s="85"/>
      <c r="BQ1118" s="85"/>
      <c r="BR1118" s="85"/>
      <c r="BS1118" s="85"/>
      <c r="BT1118" s="85"/>
      <c r="BU1118" s="85"/>
      <c r="BV1118" s="85"/>
      <c r="BW1118" s="85"/>
      <c r="BX1118" s="85"/>
      <c r="BY1118" s="85"/>
      <c r="BZ1118" s="85"/>
      <c r="CA1118" s="85"/>
      <c r="CB1118" s="85"/>
      <c r="CC1118" s="85"/>
      <c r="CD1118" s="85"/>
      <c r="CE1118" s="85"/>
      <c r="CF1118" s="85"/>
      <c r="CG1118" s="85"/>
      <c r="CH1118" s="85"/>
      <c r="CI1118" s="85"/>
      <c r="CJ1118" s="85"/>
      <c r="CK1118" s="2"/>
    </row>
    <row r="1119" ht="12.75" customHeight="1">
      <c r="A1119" s="80">
        <f>IFERROR(__xludf.DUMMYFUNCTION("""COMPUTED_VALUE"""),1115.0)</f>
        <v>1115</v>
      </c>
      <c r="B1119" s="80"/>
      <c r="C1119" s="80"/>
      <c r="D1119" s="81">
        <f>IFERROR(__xludf.DUMMYFUNCTION("""COMPUTED_VALUE"""),46202.0)</f>
        <v>46202</v>
      </c>
      <c r="E1119" s="82"/>
      <c r="F1119" s="80"/>
      <c r="G1119" s="81">
        <f>IFERROR(__xludf.DUMMYFUNCTION("""COMPUTED_VALUE"""),46218.0)</f>
        <v>46218</v>
      </c>
      <c r="H1119" s="80"/>
      <c r="I1119" s="80"/>
      <c r="J1119" s="80"/>
      <c r="K1119" s="80"/>
      <c r="L1119" s="80">
        <f>IFERROR(__xludf.DUMMYFUNCTION("""COMPUTED_VALUE"""),16.0)</f>
        <v>16</v>
      </c>
      <c r="M1119" s="80"/>
      <c r="N1119" s="80"/>
      <c r="O1119" s="80"/>
      <c r="P1119" s="80" t="str">
        <f>IFERROR(__xludf.DUMMYFUNCTION("""COMPUTED_VALUE"""),"MUCSPA63563PSIND")</f>
        <v>MUCSPA63563PSIND</v>
      </c>
      <c r="Q1119" s="80" t="str">
        <f>IFERROR(__xludf.DUMMYFUNCTION("""COMPUTED_VALUE"""),"MUC RAMDAN AAK")</f>
        <v>MUC RAMDAN AAK</v>
      </c>
      <c r="R1119" s="80" t="str">
        <f>IFERROR(__xludf.DUMMYFUNCTION("""COMPUTED_VALUE"""),"MUC RAMDAN AAK")</f>
        <v>MUC RAMDAN AAK</v>
      </c>
      <c r="S1119" s="80" t="str">
        <f>IFERROR(__xludf.DUMMYFUNCTION("""COMPUTED_VALUE"""),"ANGGI KUSNADI")</f>
        <v>ANGGI KUSNADI</v>
      </c>
      <c r="T1119" s="80" t="str">
        <f>IFERROR(__xludf.DUMMYFUNCTION("""COMPUTED_VALUE"""),"JL. ANCOL TENGAH GG. IWAN IV NO. 81/102 RT 5 RW 2")</f>
        <v>JL. ANCOL TENGAH GG. IWAN IV NO. 81/102 RT 5 RW 2</v>
      </c>
      <c r="U1119" s="80" t="str">
        <f>IFERROR(__xludf.DUMMYFUNCTION("""COMPUTED_VALUE"""),"JL. MOCH. RAMDAN NO. 4")</f>
        <v>JL. MOCH. RAMDAN NO. 4</v>
      </c>
      <c r="V1119" s="80" t="str">
        <f>IFERROR(__xludf.DUMMYFUNCTION("""COMPUTED_VALUE"""),"RT 5 R \ RW 2")</f>
        <v>RT 5 R \ RW 2</v>
      </c>
      <c r="W1119" s="80" t="str">
        <f>IFERROR(__xludf.DUMMYFUNCTION("""COMPUTED_VALUE"""),"ANCOL")</f>
        <v>ANCOL</v>
      </c>
      <c r="X1119" s="80" t="str">
        <f>IFERROR(__xludf.DUMMYFUNCTION("""COMPUTED_VALUE"""),"REGOL")</f>
        <v>REGOL</v>
      </c>
      <c r="Y1119" s="80" t="str">
        <f>IFERROR(__xludf.DUMMYFUNCTION("""COMPUTED_VALUE"""),"KOTA BANDUNG")</f>
        <v>KOTA BANDUNG</v>
      </c>
      <c r="Z1119" s="80" t="str">
        <f>IFERROR(__xludf.DUMMYFUNCTION("""COMPUTED_VALUE"""),"JAWA BARAT")</f>
        <v>JAWA BARAT</v>
      </c>
      <c r="AA1119" s="80" t="str">
        <f>IFERROR(__xludf.DUMMYFUNCTION("""COMPUTED_VALUE"""),"40252")</f>
        <v>40252</v>
      </c>
      <c r="AB1119" s="80" t="str">
        <f>IFERROR(__xludf.DUMMYFUNCTION("""COMPUTED_VALUE"""),"3273132005930001")</f>
        <v>3273132005930001</v>
      </c>
      <c r="AC1119" s="80" t="str">
        <f>IFERROR(__xludf.DUMMYFUNCTION("""COMPUTED_VALUE"""),"36.685.494.1-424.000")</f>
        <v>36.685.494.1-424.000</v>
      </c>
      <c r="AD1119" s="80" t="str">
        <f>IFERROR(__xludf.DUMMYFUNCTION("""COMPUTED_VALUE"""),"CUM - LP - ANGGI")</f>
        <v>CUM - LP - ANGGI</v>
      </c>
      <c r="AE1119" s="80" t="str">
        <f>IFERROR(__xludf.DUMMYFUNCTION("""COMPUTED_VALUE"""),"CUM - LP - ANGGI")</f>
        <v>CUM - LP - ANGGI</v>
      </c>
      <c r="AF1119" s="80" t="str">
        <f>IFERROR(__xludf.DUMMYFUNCTION("""COMPUTED_VALUE"""),"085942004090")</f>
        <v>085942004090</v>
      </c>
      <c r="AG1119" s="80" t="str">
        <f>IFERROR(__xludf.DUMMYFUNCTION("""COMPUTED_VALUE"""),"85942004090")</f>
        <v>85942004090</v>
      </c>
      <c r="AH1119" s="80" t="str">
        <f>IFERROR(__xludf.DUMMYFUNCTION("""COMPUTED_VALUE"""),"anggikusnadi@gmail.com")</f>
        <v>anggikusnadi@gmail.com</v>
      </c>
      <c r="AI1119" s="80" t="str">
        <f>IFERROR(__xludf.DUMMYFUNCTION("""COMPUTED_VALUE"""),"40254S2")</f>
        <v>40254S2</v>
      </c>
      <c r="AJ1119" s="80" t="str">
        <f>IFERROR(__xludf.DUMMYFUNCTION("""COMPUTED_VALUE"""),"6a4c6a8f0059e7bc1503151b")</f>
        <v>6a4c6a8f0059e7bc1503151b</v>
      </c>
      <c r="AK1119" s="80" t="str">
        <f>IFERROR(__xludf.DUMMYFUNCTION("""COMPUTED_VALUE"""),"anggikusnadi@gmail.com")</f>
        <v>anggikusnadi@gmail.com</v>
      </c>
      <c r="AL1119" s="80" t="str">
        <f>IFERROR(__xludf.DUMMYFUNCTION("""COMPUTED_VALUE"""),"#Muc40254S2$")</f>
        <v>#Muc40254S2$</v>
      </c>
      <c r="AM1119" s="80" t="str">
        <f>IFERROR(__xludf.DUMMYFUNCTION("""COMPUTED_VALUE"""),"KANTOR REGIONAL III BANDUNG 40004")</f>
        <v>KANTOR REGIONAL III BANDUNG 40004</v>
      </c>
      <c r="AN1119" s="80" t="str">
        <f>IFERROR(__xludf.DUMMYFUNCTION("""COMPUTED_VALUE"""),"KCU BANDUNG 40000")</f>
        <v>KCU BANDUNG 40000</v>
      </c>
      <c r="AO1119" s="80" t="str">
        <f>IFERROR(__xludf.DUMMYFUNCTION("""COMPUTED_VALUE"""),"2906260085177")</f>
        <v>2906260085177</v>
      </c>
      <c r="AP1119" s="80"/>
      <c r="AQ1119" s="83" t="str">
        <f>IFERROR(__xludf.DUMMYFUNCTION("""COMPUTED_VALUE"""),"4380110704")</f>
        <v>4380110704</v>
      </c>
      <c r="AR1119" s="80" t="str">
        <f>IFERROR(__xludf.DUMMYFUNCTION("""COMPUTED_VALUE"""),"BCA")</f>
        <v>BCA</v>
      </c>
      <c r="AS1119" s="80" t="str">
        <f>IFERROR(__xludf.DUMMYFUNCTION("""COMPUTED_VALUE"""),"ANGGI KUSNADI")</f>
        <v>ANGGI KUSNADI</v>
      </c>
      <c r="AT1119" s="80" t="str">
        <f>IFERROR(__xludf.DUMMYFUNCTION("""COMPUTED_VALUE"""),"-6.9329438,107.6145663")</f>
        <v>-6.9329438,107.6145663</v>
      </c>
      <c r="AU1119" s="80" t="str">
        <f>IFERROR(__xludf.DUMMYFUNCTION("""COMPUTED_VALUE"""),"-6.9329438,107.6145663")</f>
        <v>-6.9329438,107.6145663</v>
      </c>
      <c r="AV1119" s="80"/>
      <c r="AW1119" s="80"/>
      <c r="AX1119" s="80"/>
      <c r="AY1119" s="80"/>
      <c r="AZ1119" s="80"/>
      <c r="BA1119" s="80"/>
      <c r="BB1119" s="80"/>
      <c r="BC1119" s="80"/>
      <c r="BD1119" s="80"/>
      <c r="BE1119" s="80"/>
      <c r="BF1119" s="80"/>
      <c r="BG1119" s="80"/>
      <c r="BH1119" s="80"/>
      <c r="BI1119" s="80"/>
      <c r="BJ1119" s="80"/>
      <c r="BK1119" s="80"/>
      <c r="BL1119" s="80"/>
      <c r="BM1119" s="80"/>
      <c r="BN1119" s="80"/>
      <c r="BO1119" s="80"/>
      <c r="BP1119" s="80"/>
      <c r="BQ1119" s="80"/>
      <c r="BR1119" s="80"/>
      <c r="BS1119" s="80"/>
      <c r="BT1119" s="80"/>
      <c r="BU1119" s="80"/>
      <c r="BV1119" s="80"/>
      <c r="BW1119" s="80"/>
      <c r="BX1119" s="80"/>
      <c r="BY1119" s="80"/>
      <c r="BZ1119" s="80"/>
      <c r="CA1119" s="80"/>
      <c r="CB1119" s="80"/>
      <c r="CC1119" s="80"/>
      <c r="CD1119" s="80"/>
      <c r="CE1119" s="80"/>
      <c r="CF1119" s="80"/>
      <c r="CG1119" s="80"/>
      <c r="CH1119" s="80"/>
      <c r="CI1119" s="80"/>
      <c r="CJ1119" s="80"/>
      <c r="CK1119" s="2"/>
    </row>
    <row r="1120" ht="12.75" customHeight="1">
      <c r="A1120" s="85">
        <f>IFERROR(__xludf.DUMMYFUNCTION("""COMPUTED_VALUE"""),1116.0)</f>
        <v>1116</v>
      </c>
      <c r="B1120" s="85"/>
      <c r="C1120" s="85"/>
      <c r="D1120" s="86">
        <f>IFERROR(__xludf.DUMMYFUNCTION("""COMPUTED_VALUE"""),46202.0)</f>
        <v>46202</v>
      </c>
      <c r="E1120" s="88"/>
      <c r="F1120" s="85"/>
      <c r="G1120" s="86">
        <f>IFERROR(__xludf.DUMMYFUNCTION("""COMPUTED_VALUE"""),46265.0)</f>
        <v>46265</v>
      </c>
      <c r="H1120" s="85"/>
      <c r="I1120" s="85"/>
      <c r="J1120" s="85"/>
      <c r="K1120" s="85"/>
      <c r="L1120" s="85">
        <f>IFERROR(__xludf.DUMMYFUNCTION("""COMPUTED_VALUE"""),63.0)</f>
        <v>63</v>
      </c>
      <c r="M1120" s="85"/>
      <c r="N1120" s="85"/>
      <c r="O1120" s="85"/>
      <c r="P1120" s="85" t="str">
        <f>IFERROR(__xludf.DUMMYFUNCTION("""COMPUTED_VALUE"""),"52BSPA07557JTGKR")</f>
        <v>52BSPA07557JTGKR</v>
      </c>
      <c r="Q1120" s="85" t="str">
        <f>IFERROR(__xludf.DUMMYFUNCTION("""COMPUTED_VALUE"""),"MUC KEMIREN")</f>
        <v>MUC KEMIREN</v>
      </c>
      <c r="R1120" s="85" t="str">
        <f>IFERROR(__xludf.DUMMYFUNCTION("""COMPUTED_VALUE"""),"MUC KEMIREN")</f>
        <v>MUC KEMIREN</v>
      </c>
      <c r="S1120" s="85" t="str">
        <f>IFERROR(__xludf.DUMMYFUNCTION("""COMPUTED_VALUE"""),"FU'AD KHASAN")</f>
        <v>FU'AD KHASAN</v>
      </c>
      <c r="T1120" s="85" t="str">
        <f>IFERROR(__xludf.DUMMYFUNCTION("""COMPUTED_VALUE"""),"JL.RAMBUTAN NO.6 RT 05 RW 09 TEGALREJA, CILACAP SELATAN, KAB.CILACAP")</f>
        <v>JL.RAMBUTAN NO.6 RT 05 RW 09 TEGALREJA, CILACAP SELATAN, KAB.CILACAP</v>
      </c>
      <c r="U1120" s="85" t="str">
        <f>IFERROR(__xludf.DUMMYFUNCTION("""COMPUTED_VALUE"""),"Jl. Baruna Tengah 1 No.47, Kemiren")</f>
        <v>Jl. Baruna Tengah 1 No.47, Kemiren</v>
      </c>
      <c r="V1120" s="85" t="str">
        <f>IFERROR(__xludf.DUMMYFUNCTION("""COMPUTED_VALUE"""),"RT 05  \ RW 09")</f>
        <v>RT 05  \ RW 09</v>
      </c>
      <c r="W1120" s="85" t="str">
        <f>IFERROR(__xludf.DUMMYFUNCTION("""COMPUTED_VALUE"""),"TEGALKAMULYAN")</f>
        <v>TEGALKAMULYAN</v>
      </c>
      <c r="X1120" s="85" t="str">
        <f>IFERROR(__xludf.DUMMYFUNCTION("""COMPUTED_VALUE"""),"CILACAP SELATAN")</f>
        <v>CILACAP SELATAN</v>
      </c>
      <c r="Y1120" s="85" t="str">
        <f>IFERROR(__xludf.DUMMYFUNCTION("""COMPUTED_VALUE"""),"KAB.CILACAP")</f>
        <v>KAB.CILACAP</v>
      </c>
      <c r="Z1120" s="85" t="str">
        <f>IFERROR(__xludf.DUMMYFUNCTION("""COMPUTED_VALUE"""),"JAWA TENGAH")</f>
        <v>JAWA TENGAH</v>
      </c>
      <c r="AA1120" s="85" t="str">
        <f>IFERROR(__xludf.DUMMYFUNCTION("""COMPUTED_VALUE"""),"53232")</f>
        <v>53232</v>
      </c>
      <c r="AB1120" s="85" t="str">
        <f>IFERROR(__xludf.DUMMYFUNCTION("""COMPUTED_VALUE"""),"3301210512850001")</f>
        <v>3301210512850001</v>
      </c>
      <c r="AC1120" s="85" t="str">
        <f>IFERROR(__xludf.DUMMYFUNCTION("""COMPUTED_VALUE"""),"35.417.658.8-522.000")</f>
        <v>35.417.658.8-522.000</v>
      </c>
      <c r="AD1120" s="85" t="str">
        <f>IFERROR(__xludf.DUMMYFUNCTION("""COMPUTED_VALUE"""),"CUM - KRS")</f>
        <v>CUM - KRS</v>
      </c>
      <c r="AE1120" s="85" t="str">
        <f>IFERROR(__xludf.DUMMYFUNCTION("""COMPUTED_VALUE"""),"CUM - KRS")</f>
        <v>CUM - KRS</v>
      </c>
      <c r="AF1120" s="85" t="str">
        <f>IFERROR(__xludf.DUMMYFUNCTION("""COMPUTED_VALUE"""),"8816623344")</f>
        <v>8816623344</v>
      </c>
      <c r="AG1120" s="85" t="str">
        <f>IFERROR(__xludf.DUMMYFUNCTION("""COMPUTED_VALUE"""),"8816623344")</f>
        <v>8816623344</v>
      </c>
      <c r="AH1120" s="85" t="str">
        <f>IFERROR(__xludf.DUMMYFUNCTION("""COMPUTED_VALUE"""),"karyasejati392@gmail.com")</f>
        <v>karyasejati392@gmail.com</v>
      </c>
      <c r="AI1120" s="85" t="str">
        <f>IFERROR(__xludf.DUMMYFUNCTION("""COMPUTED_VALUE"""),"53215S2")</f>
        <v>53215S2</v>
      </c>
      <c r="AJ1120" s="85" t="str">
        <f>IFERROR(__xludf.DUMMYFUNCTION("""COMPUTED_VALUE"""),"6a925994f4f213afc009bbce")</f>
        <v>6a925994f4f213afc009bbce</v>
      </c>
      <c r="AK1120" s="85" t="str">
        <f>IFERROR(__xludf.DUMMYFUNCTION("""COMPUTED_VALUE"""),"karyasejati392@gmail.com")</f>
        <v>karyasejati392@gmail.com</v>
      </c>
      <c r="AL1120" s="85" t="str">
        <f>IFERROR(__xludf.DUMMYFUNCTION("""COMPUTED_VALUE"""),"#Muc53215S2$")</f>
        <v>#Muc53215S2$</v>
      </c>
      <c r="AM1120" s="85" t="str">
        <f>IFERROR(__xludf.DUMMYFUNCTION("""COMPUTED_VALUE"""),"KANTOR REGIONAL IV SEMARANG 50004")</f>
        <v>KANTOR REGIONAL IV SEMARANG 50004</v>
      </c>
      <c r="AN1120" s="85" t="str">
        <f>IFERROR(__xludf.DUMMYFUNCTION("""COMPUTED_VALUE"""),"KC CILACAP 53200")</f>
        <v>KC CILACAP 53200</v>
      </c>
      <c r="AO1120" s="85" t="str">
        <f>IFERROR(__xludf.DUMMYFUNCTION("""COMPUTED_VALUE"""),"1277000510516")</f>
        <v>1277000510516</v>
      </c>
      <c r="AP1120" s="85" t="str">
        <f>IFERROR(__xludf.DUMMYFUNCTION("""COMPUTED_VALUE"""),"1277000510516")</f>
        <v>1277000510516</v>
      </c>
      <c r="AQ1120" s="93" t="str">
        <f>IFERROR(__xludf.DUMMYFUNCTION("""COMPUTED_VALUE"""),"961382598")</f>
        <v>961382598</v>
      </c>
      <c r="AR1120" s="85" t="str">
        <f>IFERROR(__xludf.DUMMYFUNCTION("""COMPUTED_VALUE"""),"BCA")</f>
        <v>BCA</v>
      </c>
      <c r="AS1120" s="85" t="str">
        <f>IFERROR(__xludf.DUMMYFUNCTION("""COMPUTED_VALUE"""),"FU'AD KHASAN")</f>
        <v>FU'AD KHASAN</v>
      </c>
      <c r="AT1120" s="85" t="str">
        <f>IFERROR(__xludf.DUMMYFUNCTION("""COMPUTED_VALUE"""),"-76,958,732")</f>
        <v>-76,958,732</v>
      </c>
      <c r="AU1120" s="85" t="str">
        <f>IFERROR(__xludf.DUMMYFUNCTION("""COMPUTED_VALUE"""),"1,090,531,016")</f>
        <v>1,090,531,016</v>
      </c>
      <c r="AV1120" s="85"/>
      <c r="AW1120" s="85"/>
      <c r="AX1120" s="85"/>
      <c r="AY1120" s="85"/>
      <c r="AZ1120" s="85"/>
      <c r="BA1120" s="85"/>
      <c r="BB1120" s="85"/>
      <c r="BC1120" s="85"/>
      <c r="BD1120" s="85"/>
      <c r="BE1120" s="85"/>
      <c r="BF1120" s="85"/>
      <c r="BG1120" s="85"/>
      <c r="BH1120" s="85"/>
      <c r="BI1120" s="85"/>
      <c r="BJ1120" s="85"/>
      <c r="BK1120" s="85"/>
      <c r="BL1120" s="85"/>
      <c r="BM1120" s="85"/>
      <c r="BN1120" s="85"/>
      <c r="BO1120" s="85"/>
      <c r="BP1120" s="85"/>
      <c r="BQ1120" s="85"/>
      <c r="BR1120" s="85"/>
      <c r="BS1120" s="85"/>
      <c r="BT1120" s="85"/>
      <c r="BU1120" s="85"/>
      <c r="BV1120" s="85"/>
      <c r="BW1120" s="85"/>
      <c r="BX1120" s="85"/>
      <c r="BY1120" s="85"/>
      <c r="BZ1120" s="85"/>
      <c r="CA1120" s="85"/>
      <c r="CB1120" s="85"/>
      <c r="CC1120" s="85"/>
      <c r="CD1120" s="85"/>
      <c r="CE1120" s="85"/>
      <c r="CF1120" s="85"/>
      <c r="CG1120" s="85"/>
      <c r="CH1120" s="85"/>
      <c r="CI1120" s="85"/>
      <c r="CJ1120" s="85"/>
      <c r="CK1120" s="2"/>
    </row>
    <row r="1121" ht="12.75" customHeight="1">
      <c r="A1121" s="80">
        <f>IFERROR(__xludf.DUMMYFUNCTION("""COMPUTED_VALUE"""),1117.0)</f>
        <v>1117</v>
      </c>
      <c r="B1121" s="80"/>
      <c r="C1121" s="80"/>
      <c r="D1121" s="81">
        <f>IFERROR(__xludf.DUMMYFUNCTION("""COMPUTED_VALUE"""),46202.0)</f>
        <v>46202</v>
      </c>
      <c r="E1121" s="82"/>
      <c r="F1121" s="80"/>
      <c r="G1121" s="81"/>
      <c r="H1121" s="80"/>
      <c r="I1121" s="80"/>
      <c r="J1121" s="80"/>
      <c r="K1121" s="80"/>
      <c r="L1121" s="80"/>
      <c r="M1121" s="80"/>
      <c r="N1121" s="80"/>
      <c r="O1121" s="80"/>
      <c r="P1121" s="80" t="str">
        <f>IFERROR(__xludf.DUMMYFUNCTION("""COMPUTED_VALUE"""),"MUCSPA63565PSIND")</f>
        <v>MUCSPA63565PSIND</v>
      </c>
      <c r="Q1121" s="80" t="str">
        <f>IFERROR(__xludf.DUMMYFUNCTION("""COMPUTED_VALUE"""),"Cakrawala Expedisi")</f>
        <v>Cakrawala Expedisi</v>
      </c>
      <c r="R1121" s="80" t="str">
        <f>IFERROR(__xludf.DUMMYFUNCTION("""COMPUTED_VALUE"""),"Cakrawala Expedisi")</f>
        <v>Cakrawala Expedisi</v>
      </c>
      <c r="S1121" s="80" t="str">
        <f>IFERROR(__xludf.DUMMYFUNCTION("""COMPUTED_VALUE"""),"Jimin")</f>
        <v>Jimin</v>
      </c>
      <c r="T1121" s="80" t="str">
        <f>IFERROR(__xludf.DUMMYFUNCTION("""COMPUTED_VALUE"""),"Ratu Jaya Gang Masjid barat RT 004 RW 004 Kel Ratu Jaya Kec Cipayung Kab Depok")</f>
        <v>Ratu Jaya Gang Masjid barat RT 004 RW 004 Kel Ratu Jaya Kec Cipayung Kab Depok</v>
      </c>
      <c r="U1121" s="80" t="str">
        <f>IFERROR(__xludf.DUMMYFUNCTION("""COMPUTED_VALUE"""),"Ratu Jaya Gang Masjid barat RT 004 RW 004 Kel Ratu Jaya Kec Cipayung Kab Depok")</f>
        <v>Ratu Jaya Gang Masjid barat RT 004 RW 004 Kel Ratu Jaya Kec Cipayung Kab Depok</v>
      </c>
      <c r="V1121" s="80"/>
      <c r="W1121" s="80" t="str">
        <f>IFERROR(__xludf.DUMMYFUNCTION("""COMPUTED_VALUE"""),"Ratu Jaya")</f>
        <v>Ratu Jaya</v>
      </c>
      <c r="X1121" s="80" t="str">
        <f>IFERROR(__xludf.DUMMYFUNCTION("""COMPUTED_VALUE"""),"Cipayung")</f>
        <v>Cipayung</v>
      </c>
      <c r="Y1121" s="80" t="str">
        <f>IFERROR(__xludf.DUMMYFUNCTION("""COMPUTED_VALUE"""),"Kab Depok")</f>
        <v>Kab Depok</v>
      </c>
      <c r="Z1121" s="80" t="str">
        <f>IFERROR(__xludf.DUMMYFUNCTION("""COMPUTED_VALUE"""),"Jawa Barat")</f>
        <v>Jawa Barat</v>
      </c>
      <c r="AA1121" s="80"/>
      <c r="AB1121" s="80" t="str">
        <f>IFERROR(__xludf.DUMMYFUNCTION("""COMPUTED_VALUE"""),"3276010911630003")</f>
        <v>3276010911630003</v>
      </c>
      <c r="AC1121" s="80" t="str">
        <f>IFERROR(__xludf.DUMMYFUNCTION("""COMPUTED_VALUE"""),"48.039.5558.1-412.000")</f>
        <v>48.039.5558.1-412.000</v>
      </c>
      <c r="AD1121" s="80" t="str">
        <f>IFERROR(__xludf.DUMMYFUNCTION("""COMPUTED_VALUE"""),"CUM - PS - HPR")</f>
        <v>CUM - PS - HPR</v>
      </c>
      <c r="AE1121" s="80" t="str">
        <f>IFERROR(__xludf.DUMMYFUNCTION("""COMPUTED_VALUE"""),"CUM - PS - HPR")</f>
        <v>CUM - PS - HPR</v>
      </c>
      <c r="AF1121" s="80" t="str">
        <f>IFERROR(__xludf.DUMMYFUNCTION("""COMPUTED_VALUE"""),"085777341370")</f>
        <v>085777341370</v>
      </c>
      <c r="AG1121" s="80"/>
      <c r="AH1121" s="80" t="str">
        <f>IFERROR(__xludf.DUMMYFUNCTION("""COMPUTED_VALUE"""),"merpatiposfc@gmail.com")</f>
        <v>merpatiposfc@gmail.com</v>
      </c>
      <c r="AI1121" s="80" t="str">
        <f>IFERROR(__xludf.DUMMYFUNCTION("""COMPUTED_VALUE"""),"16431S2")</f>
        <v>16431S2</v>
      </c>
      <c r="AJ1121" s="80" t="str">
        <f>IFERROR(__xludf.DUMMYFUNCTION("""COMPUTED_VALUE"""),"67fddc0d39654e50a80aa0a7")</f>
        <v>67fddc0d39654e50a80aa0a7</v>
      </c>
      <c r="AK1121" s="80"/>
      <c r="AL1121" s="80"/>
      <c r="AM1121" s="80" t="str">
        <f>IFERROR(__xludf.DUMMYFUNCTION("""COMPUTED_VALUE"""),"KANTOR REGIONAL II JAKARTA 10004")</f>
        <v>KANTOR REGIONAL II JAKARTA 10004</v>
      </c>
      <c r="AN1121" s="80" t="str">
        <f>IFERROR(__xludf.DUMMYFUNCTION("""COMPUTED_VALUE"""),"KC DEPOK 16400")</f>
        <v>KC DEPOK 16400</v>
      </c>
      <c r="AO1121" s="80"/>
      <c r="AP1121" s="80"/>
      <c r="AQ1121" s="83" t="str">
        <f>IFERROR(__xludf.DUMMYFUNCTION("""COMPUTED_VALUE"""),"1570012058039 ")</f>
        <v>1570012058039 </v>
      </c>
      <c r="AR1121" s="80" t="str">
        <f>IFERROR(__xludf.DUMMYFUNCTION("""COMPUTED_VALUE"""),"Mandiri")</f>
        <v>Mandiri</v>
      </c>
      <c r="AS1121" s="80" t="str">
        <f>IFERROR(__xludf.DUMMYFUNCTION("""COMPUTED_VALUE"""),"HADI PRASETYO RUSMAN")</f>
        <v>HADI PRASETYO RUSMAN</v>
      </c>
      <c r="AT1121" s="80"/>
      <c r="AU1121" s="80"/>
      <c r="AV1121" s="80"/>
      <c r="AW1121" s="80"/>
      <c r="AX1121" s="80"/>
      <c r="AY1121" s="80"/>
      <c r="AZ1121" s="80"/>
      <c r="BA1121" s="80"/>
      <c r="BB1121" s="80"/>
      <c r="BC1121" s="80"/>
      <c r="BD1121" s="80"/>
      <c r="BE1121" s="80"/>
      <c r="BF1121" s="80"/>
      <c r="BG1121" s="80"/>
      <c r="BH1121" s="80"/>
      <c r="BI1121" s="80"/>
      <c r="BJ1121" s="80"/>
      <c r="BK1121" s="80"/>
      <c r="BL1121" s="80"/>
      <c r="BM1121" s="80"/>
      <c r="BN1121" s="80"/>
      <c r="BO1121" s="80"/>
      <c r="BP1121" s="80"/>
      <c r="BQ1121" s="80"/>
      <c r="BR1121" s="80"/>
      <c r="BS1121" s="80"/>
      <c r="BT1121" s="80"/>
      <c r="BU1121" s="80"/>
      <c r="BV1121" s="80"/>
      <c r="BW1121" s="80"/>
      <c r="BX1121" s="80"/>
      <c r="BY1121" s="80"/>
      <c r="BZ1121" s="80"/>
      <c r="CA1121" s="80"/>
      <c r="CB1121" s="80"/>
      <c r="CC1121" s="80"/>
      <c r="CD1121" s="80"/>
      <c r="CE1121" s="80"/>
      <c r="CF1121" s="80"/>
      <c r="CG1121" s="80"/>
      <c r="CH1121" s="80"/>
      <c r="CI1121" s="80"/>
      <c r="CJ1121" s="80"/>
      <c r="CK1121" s="2"/>
    </row>
    <row r="1122" ht="12.75" customHeight="1">
      <c r="A1122" s="85">
        <f>IFERROR(__xludf.DUMMYFUNCTION("""COMPUTED_VALUE"""),1118.0)</f>
        <v>1118</v>
      </c>
      <c r="B1122" s="85"/>
      <c r="C1122" s="85"/>
      <c r="D1122" s="86">
        <f>IFERROR(__xludf.DUMMYFUNCTION("""COMPUTED_VALUE"""),46202.0)</f>
        <v>46202</v>
      </c>
      <c r="E1122" s="88"/>
      <c r="F1122" s="85"/>
      <c r="G1122" s="86">
        <f>IFERROR(__xludf.DUMMYFUNCTION("""COMPUTED_VALUE"""),46244.0)</f>
        <v>46244</v>
      </c>
      <c r="H1122" s="85"/>
      <c r="I1122" s="85"/>
      <c r="J1122" s="85"/>
      <c r="K1122" s="85"/>
      <c r="L1122" s="85">
        <f>IFERROR(__xludf.DUMMYFUNCTION("""COMPUTED_VALUE"""),42.0)</f>
        <v>42</v>
      </c>
      <c r="M1122" s="85"/>
      <c r="N1122" s="85"/>
      <c r="O1122" s="85"/>
      <c r="P1122" s="85" t="str">
        <f>IFERROR(__xludf.DUMMYFUNCTION("""COMPUTED_VALUE"""),"MUCSPA63567PSIND")</f>
        <v>MUCSPA63567PSIND</v>
      </c>
      <c r="Q1122" s="85" t="str">
        <f>IFERROR(__xludf.DUMMYFUNCTION("""COMPUTED_VALUE"""),"MUC TASARO")</f>
        <v>MUC TASARO</v>
      </c>
      <c r="R1122" s="85" t="str">
        <f>IFERROR(__xludf.DUMMYFUNCTION("""COMPUTED_VALUE"""),"MUC TASARO")</f>
        <v>MUC TASARO</v>
      </c>
      <c r="S1122" s="85" t="str">
        <f>IFERROR(__xludf.DUMMYFUNCTION("""COMPUTED_VALUE"""),"TONI HARTO SAPUTRO")</f>
        <v>TONI HARTO SAPUTRO</v>
      </c>
      <c r="T1122" s="85" t="str">
        <f>IFERROR(__xludf.DUMMYFUNCTION("""COMPUTED_VALUE"""),"KP. KADUGENEP PASIR RT 24 RW 04 KADUGENEP, PETIR, KAB.SERANG")</f>
        <v>KP. KADUGENEP PASIR RT 24 RW 04 KADUGENEP, PETIR, KAB.SERANG</v>
      </c>
      <c r="U1122" s="85" t="str">
        <f>IFERROR(__xludf.DUMMYFUNCTION("""COMPUTED_VALUE"""),"KP. KADUGENEP PASIR RT 24 RW 04")</f>
        <v>KP. KADUGENEP PASIR RT 24 RW 04</v>
      </c>
      <c r="V1122" s="85" t="str">
        <f>IFERROR(__xludf.DUMMYFUNCTION("""COMPUTED_VALUE"""),"RT 24  \ RW 04")</f>
        <v>RT 24  \ RW 04</v>
      </c>
      <c r="W1122" s="85" t="str">
        <f>IFERROR(__xludf.DUMMYFUNCTION("""COMPUTED_VALUE"""),"KADUGENEP")</f>
        <v>KADUGENEP</v>
      </c>
      <c r="X1122" s="85" t="str">
        <f>IFERROR(__xludf.DUMMYFUNCTION("""COMPUTED_VALUE"""),"PETIR")</f>
        <v>PETIR</v>
      </c>
      <c r="Y1122" s="85" t="str">
        <f>IFERROR(__xludf.DUMMYFUNCTION("""COMPUTED_VALUE"""),"KAB.SERANG")</f>
        <v>KAB.SERANG</v>
      </c>
      <c r="Z1122" s="85" t="str">
        <f>IFERROR(__xludf.DUMMYFUNCTION("""COMPUTED_VALUE"""),"BANTEN")</f>
        <v>BANTEN</v>
      </c>
      <c r="AA1122" s="85" t="str">
        <f>IFERROR(__xludf.DUMMYFUNCTION("""COMPUTED_VALUE"""),"42172")</f>
        <v>42172</v>
      </c>
      <c r="AB1122" s="85" t="str">
        <f>IFERROR(__xludf.DUMMYFUNCTION("""COMPUTED_VALUE"""),"3604191807800002")</f>
        <v>3604191807800002</v>
      </c>
      <c r="AC1122" s="85" t="str">
        <f>IFERROR(__xludf.DUMMYFUNCTION("""COMPUTED_VALUE"""),"85.451.835.4-401.000")</f>
        <v>85.451.835.4-401.000</v>
      </c>
      <c r="AD1122" s="85" t="str">
        <f>IFERROR(__xludf.DUMMYFUNCTION("""COMPUTED_VALUE"""),"BU NELA KCU SERANG")</f>
        <v>BU NELA KCU SERANG</v>
      </c>
      <c r="AE1122" s="85" t="str">
        <f>IFERROR(__xludf.DUMMYFUNCTION("""COMPUTED_VALUE"""),"BU NELA KCU SERANG")</f>
        <v>BU NELA KCU SERANG</v>
      </c>
      <c r="AF1122" s="85" t="str">
        <f>IFERROR(__xludf.DUMMYFUNCTION("""COMPUTED_VALUE"""),"087774326100")</f>
        <v>087774326100</v>
      </c>
      <c r="AG1122" s="85" t="str">
        <f>IFERROR(__xludf.DUMMYFUNCTION("""COMPUTED_VALUE"""),"87774326100")</f>
        <v>87774326100</v>
      </c>
      <c r="AH1122" s="85" t="str">
        <f>IFERROR(__xludf.DUMMYFUNCTION("""COMPUTED_VALUE"""),"tasarokuabadi@gmail.com")</f>
        <v>tasarokuabadi@gmail.com</v>
      </c>
      <c r="AI1122" s="85" t="str">
        <f>IFERROR(__xludf.DUMMYFUNCTION("""COMPUTED_VALUE"""),"42172S2")</f>
        <v>42172S2</v>
      </c>
      <c r="AJ1122" s="85" t="str">
        <f>IFERROR(__xludf.DUMMYFUNCTION("""COMPUTED_VALUE"""),"6a7819e3ec02af03c3054000")</f>
        <v>6a7819e3ec02af03c3054000</v>
      </c>
      <c r="AK1122" s="85" t="str">
        <f>IFERROR(__xludf.DUMMYFUNCTION("""COMPUTED_VALUE"""),"tasarokuabadi@gmail.com")</f>
        <v>tasarokuabadi@gmail.com</v>
      </c>
      <c r="AL1122" s="85" t="str">
        <f>IFERROR(__xludf.DUMMYFUNCTION("""COMPUTED_VALUE"""),"#Muc42172S2$")</f>
        <v>#Muc42172S2$</v>
      </c>
      <c r="AM1122" s="85" t="str">
        <f>IFERROR(__xludf.DUMMYFUNCTION("""COMPUTED_VALUE"""),"KANTOR REGIONAL II JAKARTA 10004")</f>
        <v>KANTOR REGIONAL II JAKARTA 10004</v>
      </c>
      <c r="AN1122" s="85" t="str">
        <f>IFERROR(__xludf.DUMMYFUNCTION("""COMPUTED_VALUE"""),"KCU SERANG 42100")</f>
        <v>KCU SERANG 42100</v>
      </c>
      <c r="AO1122" s="85" t="str">
        <f>IFERROR(__xludf.DUMMYFUNCTION("""COMPUTED_VALUE"""),"2906260149808")</f>
        <v>2906260149808</v>
      </c>
      <c r="AP1122" s="85" t="str">
        <f>IFERROR(__xludf.DUMMYFUNCTION("""COMPUTED_VALUE"""),"2906260149808")</f>
        <v>2906260149808</v>
      </c>
      <c r="AQ1122" s="93" t="str">
        <f>IFERROR(__xludf.DUMMYFUNCTION("""COMPUTED_VALUE"""),"008401283831501")</f>
        <v>008401283831501</v>
      </c>
      <c r="AR1122" s="85" t="str">
        <f>IFERROR(__xludf.DUMMYFUNCTION("""COMPUTED_VALUE"""),"BRI")</f>
        <v>BRI</v>
      </c>
      <c r="AS1122" s="85" t="str">
        <f>IFERROR(__xludf.DUMMYFUNCTION("""COMPUTED_VALUE"""),"SUPRIYATI")</f>
        <v>SUPRIYATI</v>
      </c>
      <c r="AT1122" s="85" t="str">
        <f>IFERROR(__xludf.DUMMYFUNCTION("""COMPUTED_VALUE"""),"-62,657,824")</f>
        <v>-62,657,824</v>
      </c>
      <c r="AU1122" s="85" t="str">
        <f>IFERROR(__xludf.DUMMYFUNCTION("""COMPUTED_VALUE"""),"1,061,925,446")</f>
        <v>1,061,925,446</v>
      </c>
      <c r="AV1122" s="85"/>
      <c r="AW1122" s="85"/>
      <c r="AX1122" s="85"/>
      <c r="AY1122" s="85"/>
      <c r="AZ1122" s="85"/>
      <c r="BA1122" s="85"/>
      <c r="BB1122" s="85"/>
      <c r="BC1122" s="85"/>
      <c r="BD1122" s="85"/>
      <c r="BE1122" s="85"/>
      <c r="BF1122" s="85"/>
      <c r="BG1122" s="85"/>
      <c r="BH1122" s="85"/>
      <c r="BI1122" s="85"/>
      <c r="BJ1122" s="85"/>
      <c r="BK1122" s="85"/>
      <c r="BL1122" s="85"/>
      <c r="BM1122" s="85"/>
      <c r="BN1122" s="85"/>
      <c r="BO1122" s="85"/>
      <c r="BP1122" s="85"/>
      <c r="BQ1122" s="85"/>
      <c r="BR1122" s="85"/>
      <c r="BS1122" s="85"/>
      <c r="BT1122" s="85"/>
      <c r="BU1122" s="85"/>
      <c r="BV1122" s="85"/>
      <c r="BW1122" s="85"/>
      <c r="BX1122" s="85"/>
      <c r="BY1122" s="85"/>
      <c r="BZ1122" s="85"/>
      <c r="CA1122" s="85"/>
      <c r="CB1122" s="85"/>
      <c r="CC1122" s="85"/>
      <c r="CD1122" s="85"/>
      <c r="CE1122" s="85"/>
      <c r="CF1122" s="85"/>
      <c r="CG1122" s="85"/>
      <c r="CH1122" s="85"/>
      <c r="CI1122" s="85"/>
      <c r="CJ1122" s="85"/>
      <c r="CK1122" s="2"/>
    </row>
    <row r="1123" ht="12.75" customHeight="1">
      <c r="A1123" s="80">
        <f>IFERROR(__xludf.DUMMYFUNCTION("""COMPUTED_VALUE"""),1119.0)</f>
        <v>1119</v>
      </c>
      <c r="B1123" s="80"/>
      <c r="C1123" s="80"/>
      <c r="D1123" s="81">
        <f>IFERROR(__xludf.DUMMYFUNCTION("""COMPUTED_VALUE"""),46202.0)</f>
        <v>46202</v>
      </c>
      <c r="E1123" s="82"/>
      <c r="F1123" s="80"/>
      <c r="G1123" s="81"/>
      <c r="H1123" s="80"/>
      <c r="I1123" s="80"/>
      <c r="J1123" s="80"/>
      <c r="K1123" s="80"/>
      <c r="L1123" s="80"/>
      <c r="M1123" s="80"/>
      <c r="N1123" s="80"/>
      <c r="O1123" s="80"/>
      <c r="P1123" s="80" t="str">
        <f>IFERROR(__xludf.DUMMYFUNCTION("""COMPUTED_VALUE"""),"52BSPA07930JTYNA")</f>
        <v>52BSPA07930JTYNA</v>
      </c>
      <c r="Q1123" s="80" t="str">
        <f>IFERROR(__xludf.DUMMYFUNCTION("""COMPUTED_VALUE"""),"MUC DELANGGU")</f>
        <v>MUC DELANGGU</v>
      </c>
      <c r="R1123" s="80" t="str">
        <f>IFERROR(__xludf.DUMMYFUNCTION("""COMPUTED_VALUE"""),"MUC DELANGGU")</f>
        <v>MUC DELANGGU</v>
      </c>
      <c r="S1123" s="80" t="str">
        <f>IFERROR(__xludf.DUMMYFUNCTION("""COMPUTED_VALUE"""),"Imam Hadi Santoso")</f>
        <v>Imam Hadi Santoso</v>
      </c>
      <c r="T1123" s="80" t="str">
        <f>IFERROR(__xludf.DUMMYFUNCTION("""COMPUTED_VALUE"""),"KEMBANG RT 02 RW 05 PUNDUNGAN, JUWIRING, KAB.KLATEN")</f>
        <v>KEMBANG RT 02 RW 05 PUNDUNGAN, JUWIRING, KAB.KLATEN</v>
      </c>
      <c r="U1123" s="80" t="str">
        <f>IFERROR(__xludf.DUMMYFUNCTION("""COMPUTED_VALUE"""),"JL. Raya Delanggu Utara No.330, Rejosari")</f>
        <v>JL. Raya Delanggu Utara No.330, Rejosari</v>
      </c>
      <c r="V1123" s="80" t="str">
        <f>IFERROR(__xludf.DUMMYFUNCTION("""COMPUTED_VALUE"""),"RT 02  \ RW 05")</f>
        <v>RT 02  \ RW 05</v>
      </c>
      <c r="W1123" s="80" t="str">
        <f>IFERROR(__xludf.DUMMYFUNCTION("""COMPUTED_VALUE"""),"KARANG")</f>
        <v>KARANG</v>
      </c>
      <c r="X1123" s="80" t="str">
        <f>IFERROR(__xludf.DUMMYFUNCTION("""COMPUTED_VALUE"""),"DELANGGU")</f>
        <v>DELANGGU</v>
      </c>
      <c r="Y1123" s="80" t="str">
        <f>IFERROR(__xludf.DUMMYFUNCTION("""COMPUTED_VALUE"""),"KAB.KLATEN")</f>
        <v>KAB.KLATEN</v>
      </c>
      <c r="Z1123" s="80" t="str">
        <f>IFERROR(__xludf.DUMMYFUNCTION("""COMPUTED_VALUE"""),"JAWA TENGAH")</f>
        <v>JAWA TENGAH</v>
      </c>
      <c r="AA1123" s="80" t="str">
        <f>IFERROR(__xludf.DUMMYFUNCTION("""COMPUTED_VALUE"""),"57471")</f>
        <v>57471</v>
      </c>
      <c r="AB1123" s="80" t="str">
        <f>IFERROR(__xludf.DUMMYFUNCTION("""COMPUTED_VALUE"""),"3310142110750002")</f>
        <v>3310142110750002</v>
      </c>
      <c r="AC1123" s="80" t="str">
        <f>IFERROR(__xludf.DUMMYFUNCTION("""COMPUTED_VALUE"""),"...-.")</f>
        <v>...-.</v>
      </c>
      <c r="AD1123" s="80" t="str">
        <f>IFERROR(__xludf.DUMMYFUNCTION("""COMPUTED_VALUE"""),"CUM - YNA")</f>
        <v>CUM - YNA</v>
      </c>
      <c r="AE1123" s="80" t="str">
        <f>IFERROR(__xludf.DUMMYFUNCTION("""COMPUTED_VALUE"""),"CUM - YNA")</f>
        <v>CUM - YNA</v>
      </c>
      <c r="AF1123" s="80" t="str">
        <f>IFERROR(__xludf.DUMMYFUNCTION("""COMPUTED_VALUE"""),"085766943191")</f>
        <v>085766943191</v>
      </c>
      <c r="AG1123" s="80" t="str">
        <f>IFERROR(__xludf.DUMMYFUNCTION("""COMPUTED_VALUE"""),"085766943191")</f>
        <v>085766943191</v>
      </c>
      <c r="AH1123" s="80" t="str">
        <f>IFERROR(__xludf.DUMMYFUNCTION("""COMPUTED_VALUE"""),"imamhadisantosos@gmail.com")</f>
        <v>imamhadisantosos@gmail.com</v>
      </c>
      <c r="AI1123" s="80"/>
      <c r="AJ1123" s="80"/>
      <c r="AK1123" s="80"/>
      <c r="AL1123" s="80"/>
      <c r="AM1123" s="80"/>
      <c r="AN1123" s="80"/>
      <c r="AO1123" s="80" t="str">
        <f>IFERROR(__xludf.DUMMYFUNCTION("""COMPUTED_VALUE"""),"0107260026892")</f>
        <v>0107260026892</v>
      </c>
      <c r="AP1123" s="80" t="str">
        <f>IFERROR(__xludf.DUMMYFUNCTION("""COMPUTED_VALUE"""),"0107260026892")</f>
        <v>0107260026892</v>
      </c>
      <c r="AQ1123" s="83" t="str">
        <f>IFERROR(__xludf.DUMMYFUNCTION("""COMPUTED_VALUE"""),"1956402887")</f>
        <v>1956402887</v>
      </c>
      <c r="AR1123" s="80" t="str">
        <f>IFERROR(__xludf.DUMMYFUNCTION("""COMPUTED_VALUE"""),"BNI")</f>
        <v>BNI</v>
      </c>
      <c r="AS1123" s="80" t="str">
        <f>IFERROR(__xludf.DUMMYFUNCTION("""COMPUTED_VALUE"""),"Imam Hadi Santoso")</f>
        <v>Imam Hadi Santoso</v>
      </c>
      <c r="AT1123" s="80" t="str">
        <f>IFERROR(__xludf.DUMMYFUNCTION("""COMPUTED_VALUE"""),"-76,281,302")</f>
        <v>-76,281,302</v>
      </c>
      <c r="AU1123" s="80" t="str">
        <f>IFERROR(__xludf.DUMMYFUNCTION("""COMPUTED_VALUE"""),"1,106,951,718")</f>
        <v>1,106,951,718</v>
      </c>
      <c r="AV1123" s="80"/>
      <c r="AW1123" s="80"/>
      <c r="AX1123" s="80"/>
      <c r="AY1123" s="80"/>
      <c r="AZ1123" s="80"/>
      <c r="BA1123" s="80"/>
      <c r="BB1123" s="80"/>
      <c r="BC1123" s="80"/>
      <c r="BD1123" s="80"/>
      <c r="BE1123" s="80"/>
      <c r="BF1123" s="80"/>
      <c r="BG1123" s="80"/>
      <c r="BH1123" s="80"/>
      <c r="BI1123" s="80"/>
      <c r="BJ1123" s="80"/>
      <c r="BK1123" s="80"/>
      <c r="BL1123" s="80"/>
      <c r="BM1123" s="80"/>
      <c r="BN1123" s="80"/>
      <c r="BO1123" s="80"/>
      <c r="BP1123" s="80"/>
      <c r="BQ1123" s="80"/>
      <c r="BR1123" s="80"/>
      <c r="BS1123" s="80"/>
      <c r="BT1123" s="80"/>
      <c r="BU1123" s="80"/>
      <c r="BV1123" s="80"/>
      <c r="BW1123" s="80"/>
      <c r="BX1123" s="80"/>
      <c r="BY1123" s="80"/>
      <c r="BZ1123" s="80"/>
      <c r="CA1123" s="80"/>
      <c r="CB1123" s="80"/>
      <c r="CC1123" s="80"/>
      <c r="CD1123" s="80"/>
      <c r="CE1123" s="80"/>
      <c r="CF1123" s="80"/>
      <c r="CG1123" s="80"/>
      <c r="CH1123" s="80"/>
      <c r="CI1123" s="80"/>
      <c r="CJ1123" s="80"/>
      <c r="CK1123" s="2"/>
    </row>
    <row r="1124" ht="12.75" customHeight="1">
      <c r="A1124" s="85">
        <f>IFERROR(__xludf.DUMMYFUNCTION("""COMPUTED_VALUE"""),1120.0)</f>
        <v>1120</v>
      </c>
      <c r="B1124" s="85"/>
      <c r="C1124" s="85"/>
      <c r="D1124" s="86">
        <f>IFERROR(__xludf.DUMMYFUNCTION("""COMPUTED_VALUE"""),46203.0)</f>
        <v>46203</v>
      </c>
      <c r="E1124" s="88"/>
      <c r="F1124" s="85"/>
      <c r="G1124" s="86">
        <f>IFERROR(__xludf.DUMMYFUNCTION("""COMPUTED_VALUE"""),46268.0)</f>
        <v>46268</v>
      </c>
      <c r="H1124" s="85"/>
      <c r="I1124" s="85"/>
      <c r="J1124" s="85"/>
      <c r="K1124" s="85"/>
      <c r="L1124" s="85">
        <f>IFERROR(__xludf.DUMMYFUNCTION("""COMPUTED_VALUE"""),65.0)</f>
        <v>65</v>
      </c>
      <c r="M1124" s="85"/>
      <c r="N1124" s="85"/>
      <c r="O1124" s="85"/>
      <c r="P1124" s="85" t="str">
        <f>IFERROR(__xludf.DUMMYFUNCTION("""COMPUTED_VALUE"""),"MUCSPA63568PSIND")</f>
        <v>MUCSPA63568PSIND</v>
      </c>
      <c r="Q1124" s="85" t="str">
        <f>IFERROR(__xludf.DUMMYFUNCTION("""COMPUTED_VALUE"""),"MUC MIMI AQILAH")</f>
        <v>MUC MIMI AQILAH</v>
      </c>
      <c r="R1124" s="85" t="str">
        <f>IFERROR(__xludf.DUMMYFUNCTION("""COMPUTED_VALUE"""),"MUC MIMI AQILAH")</f>
        <v>MUC MIMI AQILAH</v>
      </c>
      <c r="S1124" s="85" t="str">
        <f>IFERROR(__xludf.DUMMYFUNCTION("""COMPUTED_VALUE"""),"JUNIARTHASY")</f>
        <v>JUNIARTHASY</v>
      </c>
      <c r="T1124" s="85" t="str">
        <f>IFERROR(__xludf.DUMMYFUNCTION("""COMPUTED_VALUE"""),"PERUM PURI HARMONI6 RT 01 RW 11 SITUSARI, CILEUNGSI, KAB.BOGOR")</f>
        <v>PERUM PURI HARMONI6 RT 01 RW 11 SITUSARI, CILEUNGSI, KAB.BOGOR</v>
      </c>
      <c r="U1124" s="85" t="str">
        <f>IFERROR(__xludf.DUMMYFUNCTION("""COMPUTED_VALUE"""),"Perumahan Puri Harmoni 6 Blok C2/01 RT 01 RW 11")</f>
        <v>Perumahan Puri Harmoni 6 Blok C2/01 RT 01 RW 11</v>
      </c>
      <c r="V1124" s="85" t="str">
        <f>IFERROR(__xludf.DUMMYFUNCTION("""COMPUTED_VALUE"""),"RT 01  \ RW 11")</f>
        <v>RT 01  \ RW 11</v>
      </c>
      <c r="W1124" s="85" t="str">
        <f>IFERROR(__xludf.DUMMYFUNCTION("""COMPUTED_VALUE"""),"SITUSARI")</f>
        <v>SITUSARI</v>
      </c>
      <c r="X1124" s="85" t="str">
        <f>IFERROR(__xludf.DUMMYFUNCTION("""COMPUTED_VALUE"""),"CILEUNGSI")</f>
        <v>CILEUNGSI</v>
      </c>
      <c r="Y1124" s="85" t="str">
        <f>IFERROR(__xludf.DUMMYFUNCTION("""COMPUTED_VALUE"""),"KAB.BOGOR")</f>
        <v>KAB.BOGOR</v>
      </c>
      <c r="Z1124" s="85" t="str">
        <f>IFERROR(__xludf.DUMMYFUNCTION("""COMPUTED_VALUE"""),"JAWA BARAT")</f>
        <v>JAWA BARAT</v>
      </c>
      <c r="AA1124" s="85" t="str">
        <f>IFERROR(__xludf.DUMMYFUNCTION("""COMPUTED_VALUE"""),"16820")</f>
        <v>16820</v>
      </c>
      <c r="AB1124" s="85" t="str">
        <f>IFERROR(__xludf.DUMMYFUNCTION("""COMPUTED_VALUE"""),"3175036706870009")</f>
        <v>3175036706870009</v>
      </c>
      <c r="AC1124" s="85" t="str">
        <f>IFERROR(__xludf.DUMMYFUNCTION("""COMPUTED_VALUE"""),"54.758.755.0-002.000")</f>
        <v>54.758.755.0-002.000</v>
      </c>
      <c r="AD1124" s="85" t="str">
        <f>IFERROR(__xludf.DUMMYFUNCTION("""COMPUTED_VALUE"""),"CUM - LP - ANGGI")</f>
        <v>CUM - LP - ANGGI</v>
      </c>
      <c r="AE1124" s="85" t="str">
        <f>IFERROR(__xludf.DUMMYFUNCTION("""COMPUTED_VALUE"""),"CUM - LP - ANGGI")</f>
        <v>CUM - LP - ANGGI</v>
      </c>
      <c r="AF1124" s="85" t="str">
        <f>IFERROR(__xludf.DUMMYFUNCTION("""COMPUTED_VALUE"""),"081212533038")</f>
        <v>081212533038</v>
      </c>
      <c r="AG1124" s="85" t="str">
        <f>IFERROR(__xludf.DUMMYFUNCTION("""COMPUTED_VALUE"""),"81212533038")</f>
        <v>81212533038</v>
      </c>
      <c r="AH1124" s="85" t="str">
        <f>IFERROR(__xludf.DUMMYFUNCTION("""COMPUTED_VALUE"""),"kakaniar4@gmail.com")</f>
        <v>kakaniar4@gmail.com</v>
      </c>
      <c r="AI1124" s="85" t="str">
        <f>IFERROR(__xludf.DUMMYFUNCTION("""COMPUTED_VALUE"""),"16824S1")</f>
        <v>16824S1</v>
      </c>
      <c r="AJ1124" s="85" t="str">
        <f>IFERROR(__xludf.DUMMYFUNCTION("""COMPUTED_VALUE"""),"6a97dd3221c343b77e0f20ea")</f>
        <v>6a97dd3221c343b77e0f20ea</v>
      </c>
      <c r="AK1124" s="85" t="str">
        <f>IFERROR(__xludf.DUMMYFUNCTION("""COMPUTED_VALUE"""),"kakaniar4@gmail.com")</f>
        <v>kakaniar4@gmail.com</v>
      </c>
      <c r="AL1124" s="85" t="str">
        <f>IFERROR(__xludf.DUMMYFUNCTION("""COMPUTED_VALUE"""),"#Muc16824S1$")</f>
        <v>#Muc16824S1$</v>
      </c>
      <c r="AM1124" s="85" t="str">
        <f>IFERROR(__xludf.DUMMYFUNCTION("""COMPUTED_VALUE"""),"KANTOR REGIONAL II JAKARTA 10004")</f>
        <v>KANTOR REGIONAL II JAKARTA 10004</v>
      </c>
      <c r="AN1124" s="85" t="str">
        <f>IFERROR(__xludf.DUMMYFUNCTION("""COMPUTED_VALUE"""),"KC CIBINONG 16900")</f>
        <v>KC CIBINONG 16900</v>
      </c>
      <c r="AO1124" s="85" t="str">
        <f>IFERROR(__xludf.DUMMYFUNCTION("""COMPUTED_VALUE"""),"3006260017226")</f>
        <v>3006260017226</v>
      </c>
      <c r="AP1124" s="85" t="str">
        <f>IFERROR(__xludf.DUMMYFUNCTION("""COMPUTED_VALUE"""),"3006260017226")</f>
        <v>3006260017226</v>
      </c>
      <c r="AQ1124" s="93" t="str">
        <f>IFERROR(__xludf.DUMMYFUNCTION("""COMPUTED_VALUE"""),"3971273583")</f>
        <v>3971273583</v>
      </c>
      <c r="AR1124" s="85" t="str">
        <f>IFERROR(__xludf.DUMMYFUNCTION("""COMPUTED_VALUE"""),"BCA")</f>
        <v>BCA</v>
      </c>
      <c r="AS1124" s="85" t="str">
        <f>IFERROR(__xludf.DUMMYFUNCTION("""COMPUTED_VALUE"""),"JUNI ARTHASY")</f>
        <v>JUNI ARTHASY</v>
      </c>
      <c r="AT1124" s="85" t="str">
        <f>IFERROR(__xludf.DUMMYFUNCTION("""COMPUTED_VALUE"""),"-64,384,272")</f>
        <v>-64,384,272</v>
      </c>
      <c r="AU1124" s="85" t="str">
        <f>IFERROR(__xludf.DUMMYFUNCTION("""COMPUTED_VALUE"""),"1,070,054,099")</f>
        <v>1,070,054,099</v>
      </c>
      <c r="AV1124" s="85"/>
      <c r="AW1124" s="85"/>
      <c r="AX1124" s="85"/>
      <c r="AY1124" s="85"/>
      <c r="AZ1124" s="85"/>
      <c r="BA1124" s="85"/>
      <c r="BB1124" s="85"/>
      <c r="BC1124" s="85"/>
      <c r="BD1124" s="85"/>
      <c r="BE1124" s="85"/>
      <c r="BF1124" s="85"/>
      <c r="BG1124" s="85"/>
      <c r="BH1124" s="85"/>
      <c r="BI1124" s="85"/>
      <c r="BJ1124" s="85"/>
      <c r="BK1124" s="85"/>
      <c r="BL1124" s="85"/>
      <c r="BM1124" s="85"/>
      <c r="BN1124" s="85"/>
      <c r="BO1124" s="85"/>
      <c r="BP1124" s="85"/>
      <c r="BQ1124" s="85"/>
      <c r="BR1124" s="85"/>
      <c r="BS1124" s="85"/>
      <c r="BT1124" s="85"/>
      <c r="BU1124" s="85"/>
      <c r="BV1124" s="85"/>
      <c r="BW1124" s="85"/>
      <c r="BX1124" s="85"/>
      <c r="BY1124" s="85"/>
      <c r="BZ1124" s="85"/>
      <c r="CA1124" s="85"/>
      <c r="CB1124" s="85"/>
      <c r="CC1124" s="85"/>
      <c r="CD1124" s="85"/>
      <c r="CE1124" s="85"/>
      <c r="CF1124" s="85"/>
      <c r="CG1124" s="85"/>
      <c r="CH1124" s="85"/>
      <c r="CI1124" s="85"/>
      <c r="CJ1124" s="85"/>
      <c r="CK1124" s="2"/>
    </row>
    <row r="1125" ht="12.75" customHeight="1">
      <c r="A1125" s="80">
        <f>IFERROR(__xludf.DUMMYFUNCTION("""COMPUTED_VALUE"""),1121.0)</f>
        <v>1121</v>
      </c>
      <c r="B1125" s="80"/>
      <c r="C1125" s="80"/>
      <c r="D1125" s="81">
        <f>IFERROR(__xludf.DUMMYFUNCTION("""COMPUTED_VALUE"""),46203.0)</f>
        <v>46203</v>
      </c>
      <c r="E1125" s="82"/>
      <c r="F1125" s="80"/>
      <c r="G1125" s="81"/>
      <c r="H1125" s="80"/>
      <c r="I1125" s="80"/>
      <c r="J1125" s="80"/>
      <c r="K1125" s="80"/>
      <c r="L1125" s="80"/>
      <c r="M1125" s="80"/>
      <c r="N1125" s="80"/>
      <c r="O1125" s="80"/>
      <c r="P1125" s="80" t="str">
        <f>IFERROR(__xludf.DUMMYFUNCTION("""COMPUTED_VALUE"""),"MUCSPA63569PSIND")</f>
        <v>MUCSPA63569PSIND</v>
      </c>
      <c r="Q1125" s="80" t="str">
        <f>IFERROR(__xludf.DUMMYFUNCTION("""COMPUTED_VALUE"""),"MUC Waluya Sukajadi")</f>
        <v>MUC Waluya Sukajadi</v>
      </c>
      <c r="R1125" s="80" t="str">
        <f>IFERROR(__xludf.DUMMYFUNCTION("""COMPUTED_VALUE"""),"MUC Waluya Sukajadi")</f>
        <v>MUC Waluya Sukajadi</v>
      </c>
      <c r="S1125" s="80" t="str">
        <f>IFERROR(__xludf.DUMMYFUNCTION("""COMPUTED_VALUE"""),"BEATRIX MATEATA")</f>
        <v>BEATRIX MATEATA</v>
      </c>
      <c r="T1125" s="80" t="str">
        <f>IFERROR(__xludf.DUMMYFUNCTION("""COMPUTED_VALUE"""),"JL. WALUYA NO. 5 RT 01 RW 08 PASTEUR, SUKAJADI, BANDUNG")</f>
        <v>JL. WALUYA NO. 5 RT 01 RW 08 PASTEUR, SUKAJADI, BANDUNG</v>
      </c>
      <c r="U1125" s="80" t="str">
        <f>IFERROR(__xludf.DUMMYFUNCTION("""COMPUTED_VALUE"""),"JL. WALUYA NO. 5 RT 01 RW 08 PASTEUR, SUKAJADI, BANDUNG")</f>
        <v>JL. WALUYA NO. 5 RT 01 RW 08 PASTEUR, SUKAJADI, BANDUNG</v>
      </c>
      <c r="V1125" s="80" t="str">
        <f>IFERROR(__xludf.DUMMYFUNCTION("""COMPUTED_VALUE"""),"RT 01  \ RW 08")</f>
        <v>RT 01  \ RW 08</v>
      </c>
      <c r="W1125" s="80" t="str">
        <f>IFERROR(__xludf.DUMMYFUNCTION("""COMPUTED_VALUE"""),"PASTEUR")</f>
        <v>PASTEUR</v>
      </c>
      <c r="X1125" s="80" t="str">
        <f>IFERROR(__xludf.DUMMYFUNCTION("""COMPUTED_VALUE"""),"SUKAJADI")</f>
        <v>SUKAJADI</v>
      </c>
      <c r="Y1125" s="80" t="str">
        <f>IFERROR(__xludf.DUMMYFUNCTION("""COMPUTED_VALUE"""),"BANDUNG")</f>
        <v>BANDUNG</v>
      </c>
      <c r="Z1125" s="80" t="str">
        <f>IFERROR(__xludf.DUMMYFUNCTION("""COMPUTED_VALUE"""),"JAWA BARAT")</f>
        <v>JAWA BARAT</v>
      </c>
      <c r="AA1125" s="80" t="str">
        <f>IFERROR(__xludf.DUMMYFUNCTION("""COMPUTED_VALUE"""),"40161")</f>
        <v>40161</v>
      </c>
      <c r="AB1125" s="80" t="str">
        <f>IFERROR(__xludf.DUMMYFUNCTION("""COMPUTED_VALUE"""),"3273076905710003")</f>
        <v>3273076905710003</v>
      </c>
      <c r="AC1125" s="80" t="str">
        <f>IFERROR(__xludf.DUMMYFUNCTION("""COMPUTED_VALUE"""),"67.937.702.8-428.000")</f>
        <v>67.937.702.8-428.000</v>
      </c>
      <c r="AD1125" s="80" t="str">
        <f>IFERROR(__xludf.DUMMYFUNCTION("""COMPUTED_VALUE"""),"CUM - LP - ANGGI")</f>
        <v>CUM - LP - ANGGI</v>
      </c>
      <c r="AE1125" s="80" t="str">
        <f>IFERROR(__xludf.DUMMYFUNCTION("""COMPUTED_VALUE"""),"CUM - LP - ANGGI")</f>
        <v>CUM - LP - ANGGI</v>
      </c>
      <c r="AF1125" s="80" t="str">
        <f>IFERROR(__xludf.DUMMYFUNCTION("""COMPUTED_VALUE"""),"08562125739")</f>
        <v>08562125739</v>
      </c>
      <c r="AG1125" s="80" t="str">
        <f>IFERROR(__xludf.DUMMYFUNCTION("""COMPUTED_VALUE"""),"8562125739")</f>
        <v>8562125739</v>
      </c>
      <c r="AH1125" s="80" t="str">
        <f>IFERROR(__xludf.DUMMYFUNCTION("""COMPUTED_VALUE"""),"kocky168@gmail.com")</f>
        <v>kocky168@gmail.com</v>
      </c>
      <c r="AI1125" s="80"/>
      <c r="AJ1125" s="80"/>
      <c r="AK1125" s="80"/>
      <c r="AL1125" s="80"/>
      <c r="AM1125" s="80" t="str">
        <f>IFERROR(__xludf.DUMMYFUNCTION("""COMPUTED_VALUE"""),"KANTOR REGIONAL III BANDUNG 40004")</f>
        <v>KANTOR REGIONAL III BANDUNG 40004</v>
      </c>
      <c r="AN1125" s="80" t="str">
        <f>IFERROR(__xludf.DUMMYFUNCTION("""COMPUTED_VALUE"""),"KCU BANDUNG 40000")</f>
        <v>KCU BANDUNG 40000</v>
      </c>
      <c r="AO1125" s="80" t="str">
        <f>IFERROR(__xludf.DUMMYFUNCTION("""COMPUTED_VALUE"""),"3006260037419")</f>
        <v>3006260037419</v>
      </c>
      <c r="AP1125" s="80" t="str">
        <f>IFERROR(__xludf.DUMMYFUNCTION("""COMPUTED_VALUE"""),"3006260037419")</f>
        <v>3006260037419</v>
      </c>
      <c r="AQ1125" s="83" t="str">
        <f>IFERROR(__xludf.DUMMYFUNCTION("""COMPUTED_VALUE"""),"7750006650")</f>
        <v>7750006650</v>
      </c>
      <c r="AR1125" s="80" t="str">
        <f>IFERROR(__xludf.DUMMYFUNCTION("""COMPUTED_VALUE"""),"BCA")</f>
        <v>BCA</v>
      </c>
      <c r="AS1125" s="80" t="str">
        <f>IFERROR(__xludf.DUMMYFUNCTION("""COMPUTED_VALUE"""),"Beatrix Mateata")</f>
        <v>Beatrix Mateata</v>
      </c>
      <c r="AT1125" s="80" t="str">
        <f>IFERROR(__xludf.DUMMYFUNCTION("""COMPUTED_VALUE"""),"-68,957,286")</f>
        <v>-68,957,286</v>
      </c>
      <c r="AU1125" s="80" t="str">
        <f>IFERROR(__xludf.DUMMYFUNCTION("""COMPUTED_VALUE"""),"107,599,813")</f>
        <v>107,599,813</v>
      </c>
      <c r="AV1125" s="80"/>
      <c r="AW1125" s="80"/>
      <c r="AX1125" s="80"/>
      <c r="AY1125" s="80"/>
      <c r="AZ1125" s="80"/>
      <c r="BA1125" s="80"/>
      <c r="BB1125" s="80"/>
      <c r="BC1125" s="80"/>
      <c r="BD1125" s="80"/>
      <c r="BE1125" s="80"/>
      <c r="BF1125" s="80"/>
      <c r="BG1125" s="80"/>
      <c r="BH1125" s="80"/>
      <c r="BI1125" s="80"/>
      <c r="BJ1125" s="80"/>
      <c r="BK1125" s="80"/>
      <c r="BL1125" s="80"/>
      <c r="BM1125" s="80"/>
      <c r="BN1125" s="80"/>
      <c r="BO1125" s="80"/>
      <c r="BP1125" s="80"/>
      <c r="BQ1125" s="80"/>
      <c r="BR1125" s="80"/>
      <c r="BS1125" s="80"/>
      <c r="BT1125" s="80"/>
      <c r="BU1125" s="80"/>
      <c r="BV1125" s="80"/>
      <c r="BW1125" s="80"/>
      <c r="BX1125" s="80"/>
      <c r="BY1125" s="80"/>
      <c r="BZ1125" s="80"/>
      <c r="CA1125" s="80"/>
      <c r="CB1125" s="80"/>
      <c r="CC1125" s="80"/>
      <c r="CD1125" s="80"/>
      <c r="CE1125" s="80"/>
      <c r="CF1125" s="80"/>
      <c r="CG1125" s="80"/>
      <c r="CH1125" s="80"/>
      <c r="CI1125" s="80"/>
      <c r="CJ1125" s="80"/>
      <c r="CK1125" s="2"/>
    </row>
    <row r="1126" ht="12.75" customHeight="1">
      <c r="A1126" s="85">
        <f>IFERROR(__xludf.DUMMYFUNCTION("""COMPUTED_VALUE"""),1122.0)</f>
        <v>1122</v>
      </c>
      <c r="B1126" s="85"/>
      <c r="C1126" s="85"/>
      <c r="D1126" s="86">
        <f>IFERROR(__xludf.DUMMYFUNCTION("""COMPUTED_VALUE"""),46203.0)</f>
        <v>46203</v>
      </c>
      <c r="E1126" s="88"/>
      <c r="F1126" s="85"/>
      <c r="G1126" s="86">
        <f>IFERROR(__xludf.DUMMYFUNCTION("""COMPUTED_VALUE"""),46267.0)</f>
        <v>46267</v>
      </c>
      <c r="H1126" s="85"/>
      <c r="I1126" s="85"/>
      <c r="J1126" s="85"/>
      <c r="K1126" s="85"/>
      <c r="L1126" s="85">
        <f>IFERROR(__xludf.DUMMYFUNCTION("""COMPUTED_VALUE"""),64.0)</f>
        <v>64</v>
      </c>
      <c r="M1126" s="85"/>
      <c r="N1126" s="85"/>
      <c r="O1126" s="85"/>
      <c r="P1126" s="85" t="str">
        <f>IFERROR(__xludf.DUMMYFUNCTION("""COMPUTED_VALUE"""),"MUCSPA63570PSIND")</f>
        <v>MUCSPA63570PSIND</v>
      </c>
      <c r="Q1126" s="85" t="str">
        <f>IFERROR(__xludf.DUMMYFUNCTION("""COMPUTED_VALUE"""),"MUC EMS BSD Gading Serpong")</f>
        <v>MUC EMS BSD Gading Serpong</v>
      </c>
      <c r="R1126" s="85" t="str">
        <f>IFERROR(__xludf.DUMMYFUNCTION("""COMPUTED_VALUE"""),"MUC EMS BSD Gading Serpong")</f>
        <v>MUC EMS BSD Gading Serpong</v>
      </c>
      <c r="S1126" s="85" t="str">
        <f>IFERROR(__xludf.DUMMYFUNCTION("""COMPUTED_VALUE"""),"GANI HARTONO")</f>
        <v>GANI HARTONO</v>
      </c>
      <c r="T1126" s="85" t="str">
        <f>IFERROR(__xludf.DUMMYFUNCTION("""COMPUTED_VALUE"""),"CLUSTER GRIYA LESTARI H-7 NO.7 RT.005 RW.011, DADAP, KOSAMBI, KAB. TANGERANG")</f>
        <v>CLUSTER GRIYA LESTARI H-7 NO.7 RT.005 RW.011, DADAP, KOSAMBI, KAB. TANGERANG</v>
      </c>
      <c r="U1126" s="85" t="str">
        <f>IFERROR(__xludf.DUMMYFUNCTION("""COMPUTED_VALUE"""),"Ruko West Park Blok A18,")</f>
        <v>Ruko West Park Blok A18,</v>
      </c>
      <c r="V1126" s="85" t="str">
        <f>IFERROR(__xludf.DUMMYFUNCTION("""COMPUTED_VALUE"""),"RT.005 \ RW.011")</f>
        <v>RT.005 \ RW.011</v>
      </c>
      <c r="W1126" s="85" t="str">
        <f>IFERROR(__xludf.DUMMYFUNCTION("""COMPUTED_VALUE"""),"Pagedangan")</f>
        <v>Pagedangan</v>
      </c>
      <c r="X1126" s="85" t="str">
        <f>IFERROR(__xludf.DUMMYFUNCTION("""COMPUTED_VALUE"""),"Pagedangan")</f>
        <v>Pagedangan</v>
      </c>
      <c r="Y1126" s="85" t="str">
        <f>IFERROR(__xludf.DUMMYFUNCTION("""COMPUTED_VALUE"""),"Kab Tangerang")</f>
        <v>Kab Tangerang</v>
      </c>
      <c r="Z1126" s="85" t="str">
        <f>IFERROR(__xludf.DUMMYFUNCTION("""COMPUTED_VALUE"""),"Banten")</f>
        <v>Banten</v>
      </c>
      <c r="AA1126" s="85" t="str">
        <f>IFERROR(__xludf.DUMMYFUNCTION("""COMPUTED_VALUE"""),"15336")</f>
        <v>15336</v>
      </c>
      <c r="AB1126" s="85" t="str">
        <f>IFERROR(__xludf.DUMMYFUNCTION("""COMPUTED_VALUE"""),"3603141710840007")</f>
        <v>3603141710840007</v>
      </c>
      <c r="AC1126" s="85" t="str">
        <f>IFERROR(__xludf.DUMMYFUNCTION("""COMPUTED_VALUE"""),"36.255.305.9-418.000")</f>
        <v>36.255.305.9-418.000</v>
      </c>
      <c r="AD1126" s="85" t="str">
        <f>IFERROR(__xludf.DUMMYFUNCTION("""COMPUTED_VALUE"""),"CUM - PS - DWIH")</f>
        <v>CUM - PS - DWIH</v>
      </c>
      <c r="AE1126" s="85" t="str">
        <f>IFERROR(__xludf.DUMMYFUNCTION("""COMPUTED_VALUE"""),"CUM - PS - DWIH")</f>
        <v>CUM - PS - DWIH</v>
      </c>
      <c r="AF1126" s="85" t="str">
        <f>IFERROR(__xludf.DUMMYFUNCTION("""COMPUTED_VALUE"""),"081111851159")</f>
        <v>081111851159</v>
      </c>
      <c r="AG1126" s="85" t="str">
        <f>IFERROR(__xludf.DUMMYFUNCTION("""COMPUTED_VALUE"""),"81111851159")</f>
        <v>81111851159</v>
      </c>
      <c r="AH1126" s="85" t="str">
        <f>IFERROR(__xludf.DUMMYFUNCTION("""COMPUTED_VALUE"""),"ganihartono.com@gmail.com")</f>
        <v>ganihartono.com@gmail.com</v>
      </c>
      <c r="AI1126" s="85" t="str">
        <f>IFERROR(__xludf.DUMMYFUNCTION("""COMPUTED_VALUE"""),"15859S1")</f>
        <v>15859S1</v>
      </c>
      <c r="AJ1126" s="85" t="str">
        <f>IFERROR(__xludf.DUMMYFUNCTION("""COMPUTED_VALUE"""),"6a9665ec271ea0c8940883cc")</f>
        <v>6a9665ec271ea0c8940883cc</v>
      </c>
      <c r="AK1126" s="85" t="str">
        <f>IFERROR(__xludf.DUMMYFUNCTION("""COMPUTED_VALUE"""),"gani.wepro@gmail.com")</f>
        <v>gani.wepro@gmail.com</v>
      </c>
      <c r="AL1126" s="85" t="str">
        <f>IFERROR(__xludf.DUMMYFUNCTION("""COMPUTED_VALUE"""),"#Muc15859S1$")</f>
        <v>#Muc15859S1$</v>
      </c>
      <c r="AM1126" s="85" t="str">
        <f>IFERROR(__xludf.DUMMYFUNCTION("""COMPUTED_VALUE"""),"KANTOR REGIONAL II JAKARTA 10004")</f>
        <v>KANTOR REGIONAL II JAKARTA 10004</v>
      </c>
      <c r="AN1126" s="85" t="str">
        <f>IFERROR(__xludf.DUMMYFUNCTION("""COMPUTED_VALUE"""),"KC TANGERANGSELATAN 15400")</f>
        <v>KC TANGERANGSELATAN 15400</v>
      </c>
      <c r="AO1126" s="85" t="str">
        <f>IFERROR(__xludf.DUMMYFUNCTION("""COMPUTED_VALUE"""),"2808240121931")</f>
        <v>2808240121931</v>
      </c>
      <c r="AP1126" s="85" t="str">
        <f>IFERROR(__xludf.DUMMYFUNCTION("""COMPUTED_VALUE"""),"2808240121931")</f>
        <v>2808240121931</v>
      </c>
      <c r="AQ1126" s="93" t="str">
        <f>IFERROR(__xludf.DUMMYFUNCTION("""COMPUTED_VALUE"""),"7580126540")</f>
        <v>7580126540</v>
      </c>
      <c r="AR1126" s="85" t="str">
        <f>IFERROR(__xludf.DUMMYFUNCTION("""COMPUTED_VALUE"""),"BCA")</f>
        <v>BCA</v>
      </c>
      <c r="AS1126" s="85" t="str">
        <f>IFERROR(__xludf.DUMMYFUNCTION("""COMPUTED_VALUE"""),"Gani Hartono")</f>
        <v>Gani Hartono</v>
      </c>
      <c r="AT1126" s="85" t="str">
        <f>IFERROR(__xludf.DUMMYFUNCTION("""COMPUTED_VALUE"""),"-62,955,406")</f>
        <v>-62,955,406</v>
      </c>
      <c r="AU1126" s="85" t="str">
        <f>IFERROR(__xludf.DUMMYFUNCTION("""COMPUTED_VALUE"""),"1,066,226,407")</f>
        <v>1,066,226,407</v>
      </c>
      <c r="AV1126" s="85"/>
      <c r="AW1126" s="85"/>
      <c r="AX1126" s="85"/>
      <c r="AY1126" s="85"/>
      <c r="AZ1126" s="85"/>
      <c r="BA1126" s="85"/>
      <c r="BB1126" s="85"/>
      <c r="BC1126" s="85"/>
      <c r="BD1126" s="85"/>
      <c r="BE1126" s="85"/>
      <c r="BF1126" s="85"/>
      <c r="BG1126" s="85"/>
      <c r="BH1126" s="85"/>
      <c r="BI1126" s="85"/>
      <c r="BJ1126" s="85"/>
      <c r="BK1126" s="85"/>
      <c r="BL1126" s="85"/>
      <c r="BM1126" s="85"/>
      <c r="BN1126" s="85"/>
      <c r="BO1126" s="85"/>
      <c r="BP1126" s="85"/>
      <c r="BQ1126" s="85"/>
      <c r="BR1126" s="85"/>
      <c r="BS1126" s="85"/>
      <c r="BT1126" s="85"/>
      <c r="BU1126" s="85"/>
      <c r="BV1126" s="85"/>
      <c r="BW1126" s="85"/>
      <c r="BX1126" s="85"/>
      <c r="BY1126" s="85"/>
      <c r="BZ1126" s="85"/>
      <c r="CA1126" s="85"/>
      <c r="CB1126" s="85"/>
      <c r="CC1126" s="85"/>
      <c r="CD1126" s="85"/>
      <c r="CE1126" s="85"/>
      <c r="CF1126" s="85"/>
      <c r="CG1126" s="85"/>
      <c r="CH1126" s="85"/>
      <c r="CI1126" s="85"/>
      <c r="CJ1126" s="85"/>
      <c r="CK1126" s="2"/>
    </row>
    <row r="1127" ht="12.75" customHeight="1">
      <c r="A1127" s="80">
        <f>IFERROR(__xludf.DUMMYFUNCTION("""COMPUTED_VALUE"""),1123.0)</f>
        <v>1123</v>
      </c>
      <c r="B1127" s="80"/>
      <c r="C1127" s="80"/>
      <c r="D1127" s="81">
        <f>IFERROR(__xludf.DUMMYFUNCTION("""COMPUTED_VALUE"""),46203.0)</f>
        <v>46203</v>
      </c>
      <c r="E1127" s="82"/>
      <c r="F1127" s="80"/>
      <c r="G1127" s="81">
        <f>IFERROR(__xludf.DUMMYFUNCTION("""COMPUTED_VALUE"""),46212.0)</f>
        <v>46212</v>
      </c>
      <c r="H1127" s="80"/>
      <c r="I1127" s="80"/>
      <c r="J1127" s="80"/>
      <c r="K1127" s="80"/>
      <c r="L1127" s="80">
        <f>IFERROR(__xludf.DUMMYFUNCTION("""COMPUTED_VALUE"""),9.0)</f>
        <v>9</v>
      </c>
      <c r="M1127" s="80"/>
      <c r="N1127" s="80"/>
      <c r="O1127" s="80"/>
      <c r="P1127" s="80" t="str">
        <f>IFERROR(__xludf.DUMMYFUNCTION("""COMPUTED_VALUE"""),"MLO5500084CUMPOS")</f>
        <v>MLO5500084CUMPOS</v>
      </c>
      <c r="Q1127" s="80" t="str">
        <f>IFERROR(__xludf.DUMMYFUNCTION("""COMPUTED_VALUE"""),"MUC NURLIAH")</f>
        <v>MUC NURLIAH</v>
      </c>
      <c r="R1127" s="80" t="str">
        <f>IFERROR(__xludf.DUMMYFUNCTION("""COMPUTED_VALUE"""),"MUC NURLIAH")</f>
        <v>MUC NURLIAH</v>
      </c>
      <c r="S1127" s="80" t="str">
        <f>IFERROR(__xludf.DUMMYFUNCTION("""COMPUTED_VALUE"""),"ELI NURLIAH")</f>
        <v>ELI NURLIAH</v>
      </c>
      <c r="T1127" s="80" t="str">
        <f>IFERROR(__xludf.DUMMYFUNCTION("""COMPUTED_VALUE"""),"KP. BABAKAN LABAN RT 3 RW 5 BOJONGPICUNG KAB. CIANJUR")</f>
        <v>KP. BABAKAN LABAN RT 3 RW 5 BOJONGPICUNG KAB. CIANJUR</v>
      </c>
      <c r="U1127" s="80" t="str">
        <f>IFERROR(__xludf.DUMMYFUNCTION("""COMPUTED_VALUE"""),"KP. BABAKAN LABAN")</f>
        <v>KP. BABAKAN LABAN</v>
      </c>
      <c r="V1127" s="80" t="str">
        <f>IFERROR(__xludf.DUMMYFUNCTION("""COMPUTED_VALUE"""),"RT 3 R \ RW 5 B")</f>
        <v>RT 3 R \ RW 5 B</v>
      </c>
      <c r="W1127" s="80" t="str">
        <f>IFERROR(__xludf.DUMMYFUNCTION("""COMPUTED_VALUE"""),"BOJONGPICUNG")</f>
        <v>BOJONGPICUNG</v>
      </c>
      <c r="X1127" s="80" t="str">
        <f>IFERROR(__xludf.DUMMYFUNCTION("""COMPUTED_VALUE"""),"BOJONGPICUNG")</f>
        <v>BOJONGPICUNG</v>
      </c>
      <c r="Y1127" s="80" t="str">
        <f>IFERROR(__xludf.DUMMYFUNCTION("""COMPUTED_VALUE"""),"KAB. CIANJUR")</f>
        <v>KAB. CIANJUR</v>
      </c>
      <c r="Z1127" s="80" t="str">
        <f>IFERROR(__xludf.DUMMYFUNCTION("""COMPUTED_VALUE"""),"JAWA BARAT")</f>
        <v>JAWA BARAT</v>
      </c>
      <c r="AA1127" s="80" t="str">
        <f>IFERROR(__xludf.DUMMYFUNCTION("""COMPUTED_VALUE"""),"43283")</f>
        <v>43283</v>
      </c>
      <c r="AB1127" s="80" t="str">
        <f>IFERROR(__xludf.DUMMYFUNCTION("""COMPUTED_VALUE"""),"3203066611840003")</f>
        <v>3203066611840003</v>
      </c>
      <c r="AC1127" s="80" t="str">
        <f>IFERROR(__xludf.DUMMYFUNCTION("""COMPUTED_VALUE"""),"75.202.220.2-406.000")</f>
        <v>75.202.220.2-406.000</v>
      </c>
      <c r="AD1127" s="80" t="str">
        <f>IFERROR(__xludf.DUMMYFUNCTION("""COMPUTED_VALUE"""),"KC CIANJUR")</f>
        <v>KC CIANJUR</v>
      </c>
      <c r="AE1127" s="80" t="str">
        <f>IFERROR(__xludf.DUMMYFUNCTION("""COMPUTED_VALUE"""),"KC CIANJUR")</f>
        <v>KC CIANJUR</v>
      </c>
      <c r="AF1127" s="80" t="str">
        <f>IFERROR(__xludf.DUMMYFUNCTION("""COMPUTED_VALUE"""),"081909545804")</f>
        <v>081909545804</v>
      </c>
      <c r="AG1127" s="80" t="str">
        <f>IFERROR(__xludf.DUMMYFUNCTION("""COMPUTED_VALUE"""),"81909545804")</f>
        <v>81909545804</v>
      </c>
      <c r="AH1127" s="80" t="str">
        <f>IFERROR(__xludf.DUMMYFUNCTION("""COMPUTED_VALUE"""),"elinurliah434@gmail.com")</f>
        <v>elinurliah434@gmail.com</v>
      </c>
      <c r="AI1127" s="80" t="str">
        <f>IFERROR(__xludf.DUMMYFUNCTION("""COMPUTED_VALUE"""),"43283S1")</f>
        <v>43283S1</v>
      </c>
      <c r="AJ1127" s="80" t="str">
        <f>IFERROR(__xludf.DUMMYFUNCTION("""COMPUTED_VALUE"""),"6a4b6e29197a0fb4220e7bb7")</f>
        <v>6a4b6e29197a0fb4220e7bb7</v>
      </c>
      <c r="AK1127" s="80" t="str">
        <f>IFERROR(__xludf.DUMMYFUNCTION("""COMPUTED_VALUE"""),"elinurliah434@gmail.com")</f>
        <v>elinurliah434@gmail.com</v>
      </c>
      <c r="AL1127" s="80" t="str">
        <f>IFERROR(__xludf.DUMMYFUNCTION("""COMPUTED_VALUE"""),"#Muc43283S1$")</f>
        <v>#Muc43283S1$</v>
      </c>
      <c r="AM1127" s="80" t="str">
        <f>IFERROR(__xludf.DUMMYFUNCTION("""COMPUTED_VALUE"""),"KANTOR REGIONAL III BANDUNG 40004")</f>
        <v>KANTOR REGIONAL III BANDUNG 40004</v>
      </c>
      <c r="AN1127" s="80" t="str">
        <f>IFERROR(__xludf.DUMMYFUNCTION("""COMPUTED_VALUE"""),"KC CIANJUR 43200")</f>
        <v>KC CIANJUR 43200</v>
      </c>
      <c r="AO1127" s="80" t="str">
        <f>IFERROR(__xludf.DUMMYFUNCTION("""COMPUTED_VALUE"""),"2906260133812")</f>
        <v>2906260133812</v>
      </c>
      <c r="AP1127" s="80" t="str">
        <f>IFERROR(__xludf.DUMMYFUNCTION("""COMPUTED_VALUE"""),"2906260133812")</f>
        <v>2906260133812</v>
      </c>
      <c r="AQ1127" s="83" t="str">
        <f>IFERROR(__xludf.DUMMYFUNCTION("""COMPUTED_VALUE"""),"0100147107")</f>
        <v>0100147107</v>
      </c>
      <c r="AR1127" s="80" t="str">
        <f>IFERROR(__xludf.DUMMYFUNCTION("""COMPUTED_VALUE"""),"POSPAY")</f>
        <v>POSPAY</v>
      </c>
      <c r="AS1127" s="80" t="str">
        <f>IFERROR(__xludf.DUMMYFUNCTION("""COMPUTED_VALUE"""),"IWAN MUHAMAD RIDWAN")</f>
        <v>IWAN MUHAMAD RIDWAN</v>
      </c>
      <c r="AT1127" s="80" t="str">
        <f>IFERROR(__xludf.DUMMYFUNCTION("""COMPUTED_VALUE"""),"-6.8675168,107.2567642")</f>
        <v>-6.8675168,107.2567642</v>
      </c>
      <c r="AU1127" s="80" t="str">
        <f>IFERROR(__xludf.DUMMYFUNCTION("""COMPUTED_VALUE"""),"-6.8675168,107.2567642")</f>
        <v>-6.8675168,107.2567642</v>
      </c>
      <c r="AV1127" s="80"/>
      <c r="AW1127" s="80"/>
      <c r="AX1127" s="80"/>
      <c r="AY1127" s="80"/>
      <c r="AZ1127" s="80"/>
      <c r="BA1127" s="80"/>
      <c r="BB1127" s="80"/>
      <c r="BC1127" s="80"/>
      <c r="BD1127" s="80"/>
      <c r="BE1127" s="80"/>
      <c r="BF1127" s="80"/>
      <c r="BG1127" s="80"/>
      <c r="BH1127" s="80"/>
      <c r="BI1127" s="80"/>
      <c r="BJ1127" s="80"/>
      <c r="BK1127" s="80"/>
      <c r="BL1127" s="80"/>
      <c r="BM1127" s="80"/>
      <c r="BN1127" s="80"/>
      <c r="BO1127" s="80"/>
      <c r="BP1127" s="80"/>
      <c r="BQ1127" s="80"/>
      <c r="BR1127" s="80"/>
      <c r="BS1127" s="80"/>
      <c r="BT1127" s="80"/>
      <c r="BU1127" s="80"/>
      <c r="BV1127" s="80"/>
      <c r="BW1127" s="80"/>
      <c r="BX1127" s="80"/>
      <c r="BY1127" s="80"/>
      <c r="BZ1127" s="80"/>
      <c r="CA1127" s="80"/>
      <c r="CB1127" s="80"/>
      <c r="CC1127" s="80"/>
      <c r="CD1127" s="80"/>
      <c r="CE1127" s="80"/>
      <c r="CF1127" s="80"/>
      <c r="CG1127" s="80"/>
      <c r="CH1127" s="80"/>
      <c r="CI1127" s="80"/>
      <c r="CJ1127" s="80"/>
      <c r="CK1127" s="2"/>
    </row>
    <row r="1128" ht="12.75" customHeight="1">
      <c r="A1128" s="85">
        <f>IFERROR(__xludf.DUMMYFUNCTION("""COMPUTED_VALUE"""),1124.0)</f>
        <v>1124</v>
      </c>
      <c r="B1128" s="85"/>
      <c r="C1128" s="85"/>
      <c r="D1128" s="86">
        <f>IFERROR(__xludf.DUMMYFUNCTION("""COMPUTED_VALUE"""),46203.0)</f>
        <v>46203</v>
      </c>
      <c r="E1128" s="88"/>
      <c r="F1128" s="85"/>
      <c r="G1128" s="86">
        <f>IFERROR(__xludf.DUMMYFUNCTION("""COMPUTED_VALUE"""),46223.0)</f>
        <v>46223</v>
      </c>
      <c r="H1128" s="85"/>
      <c r="I1128" s="85"/>
      <c r="J1128" s="85"/>
      <c r="K1128" s="85"/>
      <c r="L1128" s="85">
        <f>IFERROR(__xludf.DUMMYFUNCTION("""COMPUTED_VALUE"""),20.0)</f>
        <v>20</v>
      </c>
      <c r="M1128" s="85"/>
      <c r="N1128" s="85"/>
      <c r="O1128" s="85"/>
      <c r="P1128" s="85" t="str">
        <f>IFERROR(__xludf.DUMMYFUNCTION("""COMPUTED_VALUE"""),"MUCSPA63559PSIND")</f>
        <v>MUCSPA63559PSIND</v>
      </c>
      <c r="Q1128" s="85" t="str">
        <f>IFERROR(__xludf.DUMMYFUNCTION("""COMPUTED_VALUE"""),"MUC SUKASENANG BDO")</f>
        <v>MUC SUKASENANG BDO</v>
      </c>
      <c r="R1128" s="85" t="str">
        <f>IFERROR(__xludf.DUMMYFUNCTION("""COMPUTED_VALUE"""),"MUC SUKASENANG BDO")</f>
        <v>MUC SUKASENANG BDO</v>
      </c>
      <c r="S1128" s="85" t="str">
        <f>IFERROR(__xludf.DUMMYFUNCTION("""COMPUTED_VALUE"""),"DIAH MARTINI SUSYANTI")</f>
        <v>DIAH MARTINI SUSYANTI</v>
      </c>
      <c r="T1128" s="85" t="str">
        <f>IFERROR(__xludf.DUMMYFUNCTION("""COMPUTED_VALUE"""),"JL. SUKASENANG II NO. 3 RT 7 RW 15 CIKUTRA CIB. KIDUL")</f>
        <v>JL. SUKASENANG II NO. 3 RT 7 RW 15 CIKUTRA CIB. KIDUL</v>
      </c>
      <c r="U1128" s="85" t="str">
        <f>IFERROR(__xludf.DUMMYFUNCTION("""COMPUTED_VALUE"""),"JL. SUKASENANG II NO. 3 RT 7 RW 15")</f>
        <v>JL. SUKASENANG II NO. 3 RT 7 RW 15</v>
      </c>
      <c r="V1128" s="85" t="str">
        <f>IFERROR(__xludf.DUMMYFUNCTION("""COMPUTED_VALUE"""),"RT 7 R \ RW 15")</f>
        <v>RT 7 R \ RW 15</v>
      </c>
      <c r="W1128" s="85" t="str">
        <f>IFERROR(__xludf.DUMMYFUNCTION("""COMPUTED_VALUE"""),"CIKUTRA")</f>
        <v>CIKUTRA</v>
      </c>
      <c r="X1128" s="85" t="str">
        <f>IFERROR(__xludf.DUMMYFUNCTION("""COMPUTED_VALUE"""),"CIBEUNYING KIDUL")</f>
        <v>CIBEUNYING KIDUL</v>
      </c>
      <c r="Y1128" s="85" t="str">
        <f>IFERROR(__xludf.DUMMYFUNCTION("""COMPUTED_VALUE"""),"BANDUNG")</f>
        <v>BANDUNG</v>
      </c>
      <c r="Z1128" s="85" t="str">
        <f>IFERROR(__xludf.DUMMYFUNCTION("""COMPUTED_VALUE"""),"JAWA BARAT")</f>
        <v>JAWA BARAT</v>
      </c>
      <c r="AA1128" s="85" t="str">
        <f>IFERROR(__xludf.DUMMYFUNCTION("""COMPUTED_VALUE"""),"40124")</f>
        <v>40124</v>
      </c>
      <c r="AB1128" s="85" t="str">
        <f>IFERROR(__xludf.DUMMYFUNCTION("""COMPUTED_VALUE"""),"3273145403710004")</f>
        <v>3273145403710004</v>
      </c>
      <c r="AC1128" s="85" t="str">
        <f>IFERROR(__xludf.DUMMYFUNCTION("""COMPUTED_VALUE"""),"32.720.782.8-423.000")</f>
        <v>32.720.782.8-423.000</v>
      </c>
      <c r="AD1128" s="85" t="str">
        <f>IFERROR(__xludf.DUMMYFUNCTION("""COMPUTED_VALUE"""),"CUM - LP - ANGGI")</f>
        <v>CUM - LP - ANGGI</v>
      </c>
      <c r="AE1128" s="85" t="str">
        <f>IFERROR(__xludf.DUMMYFUNCTION("""COMPUTED_VALUE"""),"CUM - LP - ANGGI")</f>
        <v>CUM - LP - ANGGI</v>
      </c>
      <c r="AF1128" s="85" t="str">
        <f>IFERROR(__xludf.DUMMYFUNCTION("""COMPUTED_VALUE"""),"085813773199")</f>
        <v>085813773199</v>
      </c>
      <c r="AG1128" s="85" t="str">
        <f>IFERROR(__xludf.DUMMYFUNCTION("""COMPUTED_VALUE"""),"85813773199")</f>
        <v>85813773199</v>
      </c>
      <c r="AH1128" s="85" t="str">
        <f>IFERROR(__xludf.DUMMYFUNCTION("""COMPUTED_VALUE"""),"diahms.yanti@gmail.com")</f>
        <v>diahms.yanti@gmail.com</v>
      </c>
      <c r="AI1128" s="85" t="str">
        <f>IFERROR(__xludf.DUMMYFUNCTION("""COMPUTED_VALUE"""),"40124S4")</f>
        <v>40124S4</v>
      </c>
      <c r="AJ1128" s="85" t="str">
        <f>IFERROR(__xludf.DUMMYFUNCTION("""COMPUTED_VALUE"""),"6a5dc2c0bef39ece52073d28")</f>
        <v>6a5dc2c0bef39ece52073d28</v>
      </c>
      <c r="AK1128" s="85" t="str">
        <f>IFERROR(__xludf.DUMMYFUNCTION("""COMPUTED_VALUE"""),"diahms.yanti@gmail.comdiahms.yanti@gmail.com")</f>
        <v>diahms.yanti@gmail.comdiahms.yanti@gmail.com</v>
      </c>
      <c r="AL1128" s="85" t="str">
        <f>IFERROR(__xludf.DUMMYFUNCTION("""COMPUTED_VALUE"""),"#Muc40124S4$")</f>
        <v>#Muc40124S4$</v>
      </c>
      <c r="AM1128" s="85" t="str">
        <f>IFERROR(__xludf.DUMMYFUNCTION("""COMPUTED_VALUE"""),"KANTOR REGIONAL III BANDUNG 40004")</f>
        <v>KANTOR REGIONAL III BANDUNG 40004</v>
      </c>
      <c r="AN1128" s="85" t="str">
        <f>IFERROR(__xludf.DUMMYFUNCTION("""COMPUTED_VALUE"""),"KCU BANDUNG 40000")</f>
        <v>KCU BANDUNG 40000</v>
      </c>
      <c r="AO1128" s="85" t="str">
        <f>IFERROR(__xludf.DUMMYFUNCTION("""COMPUTED_VALUE"""),"2606260063122")</f>
        <v>2606260063122</v>
      </c>
      <c r="AP1128" s="85" t="str">
        <f>IFERROR(__xludf.DUMMYFUNCTION("""COMPUTED_VALUE"""),"2606260063122")</f>
        <v>2606260063122</v>
      </c>
      <c r="AQ1128" s="93" t="str">
        <f>IFERROR(__xludf.DUMMYFUNCTION("""COMPUTED_VALUE"""),"0705836670")</f>
        <v>0705836670</v>
      </c>
      <c r="AR1128" s="85" t="str">
        <f>IFERROR(__xludf.DUMMYFUNCTION("""COMPUTED_VALUE"""),"BNI")</f>
        <v>BNI</v>
      </c>
      <c r="AS1128" s="85" t="str">
        <f>IFERROR(__xludf.DUMMYFUNCTION("""COMPUTED_VALUE"""),"DIAH MARTINI SUSYANTI")</f>
        <v>DIAH MARTINI SUSYANTI</v>
      </c>
      <c r="AT1128" s="85" t="str">
        <f>IFERROR(__xludf.DUMMYFUNCTION("""COMPUTED_VALUE"""),"-6.9002981,107.6367465")</f>
        <v>-6.9002981,107.6367465</v>
      </c>
      <c r="AU1128" s="85" t="str">
        <f>IFERROR(__xludf.DUMMYFUNCTION("""COMPUTED_VALUE"""),"-6.9002981,107.6367465")</f>
        <v>-6.9002981,107.6367465</v>
      </c>
      <c r="AV1128" s="85"/>
      <c r="AW1128" s="85"/>
      <c r="AX1128" s="85"/>
      <c r="AY1128" s="85"/>
      <c r="AZ1128" s="85"/>
      <c r="BA1128" s="85"/>
      <c r="BB1128" s="85"/>
      <c r="BC1128" s="85"/>
      <c r="BD1128" s="85"/>
      <c r="BE1128" s="85"/>
      <c r="BF1128" s="85"/>
      <c r="BG1128" s="85"/>
      <c r="BH1128" s="85"/>
      <c r="BI1128" s="85"/>
      <c r="BJ1128" s="85"/>
      <c r="BK1128" s="85"/>
      <c r="BL1128" s="85"/>
      <c r="BM1128" s="85"/>
      <c r="BN1128" s="85"/>
      <c r="BO1128" s="85"/>
      <c r="BP1128" s="85"/>
      <c r="BQ1128" s="85"/>
      <c r="BR1128" s="85"/>
      <c r="BS1128" s="85"/>
      <c r="BT1128" s="85"/>
      <c r="BU1128" s="85"/>
      <c r="BV1128" s="85"/>
      <c r="BW1128" s="85"/>
      <c r="BX1128" s="85"/>
      <c r="BY1128" s="85"/>
      <c r="BZ1128" s="85"/>
      <c r="CA1128" s="85"/>
      <c r="CB1128" s="85"/>
      <c r="CC1128" s="85"/>
      <c r="CD1128" s="85"/>
      <c r="CE1128" s="85"/>
      <c r="CF1128" s="85"/>
      <c r="CG1128" s="85"/>
      <c r="CH1128" s="85"/>
      <c r="CI1128" s="85"/>
      <c r="CJ1128" s="85"/>
      <c r="CK1128" s="2"/>
    </row>
    <row r="1129" ht="12.75" customHeight="1">
      <c r="A1129" s="80">
        <f>IFERROR(__xludf.DUMMYFUNCTION("""COMPUTED_VALUE"""),1125.0)</f>
        <v>1125</v>
      </c>
      <c r="B1129" s="80"/>
      <c r="C1129" s="80"/>
      <c r="D1129" s="81">
        <f>IFERROR(__xludf.DUMMYFUNCTION("""COMPUTED_VALUE"""),46204.0)</f>
        <v>46204</v>
      </c>
      <c r="E1129" s="82"/>
      <c r="F1129" s="80"/>
      <c r="G1129" s="81">
        <f>IFERROR(__xludf.DUMMYFUNCTION("""COMPUTED_VALUE"""),46223.0)</f>
        <v>46223</v>
      </c>
      <c r="H1129" s="80"/>
      <c r="I1129" s="80"/>
      <c r="J1129" s="80"/>
      <c r="K1129" s="80"/>
      <c r="L1129" s="80">
        <f>IFERROR(__xludf.DUMMYFUNCTION("""COMPUTED_VALUE"""),19.0)</f>
        <v>19</v>
      </c>
      <c r="M1129" s="80"/>
      <c r="N1129" s="80"/>
      <c r="O1129" s="80"/>
      <c r="P1129" s="80" t="str">
        <f>IFERROR(__xludf.DUMMYFUNCTION("""COMPUTED_VALUE"""),"MUCSPA63573PSIND")</f>
        <v>MUCSPA63573PSIND</v>
      </c>
      <c r="Q1129" s="80" t="str">
        <f>IFERROR(__xludf.DUMMYFUNCTION("""COMPUTED_VALUE"""),"MUC HARI AJI 366")</f>
        <v>MUC HARI AJI 366</v>
      </c>
      <c r="R1129" s="80" t="str">
        <f>IFERROR(__xludf.DUMMYFUNCTION("""COMPUTED_VALUE"""),"MUC HARI AJI 366")</f>
        <v>MUC HARI AJI 366</v>
      </c>
      <c r="S1129" s="80" t="str">
        <f>IFERROR(__xludf.DUMMYFUNCTION("""COMPUTED_VALUE"""),"RIDO HARIAJI")</f>
        <v>RIDO HARIAJI</v>
      </c>
      <c r="T1129" s="80" t="str">
        <f>IFERROR(__xludf.DUMMYFUNCTION("""COMPUTED_VALUE"""),"KP HAMBALANG 02 NO.31 RT 09 RW 03 HAMBALANG, CEITEUREUP, KAB.BOGOR")</f>
        <v>KP HAMBALANG 02 NO.31 RT 09 RW 03 HAMBALANG, CEITEUREUP, KAB.BOGOR</v>
      </c>
      <c r="U1129" s="80" t="str">
        <f>IFERROR(__xludf.DUMMYFUNCTION("""COMPUTED_VALUE"""),"Pondok Citeureup Indah Blok C27 No. 10")</f>
        <v>Pondok Citeureup Indah Blok C27 No. 10</v>
      </c>
      <c r="V1129" s="80" t="str">
        <f>IFERROR(__xludf.DUMMYFUNCTION("""COMPUTED_VALUE"""),"RT 09  \ RW 03")</f>
        <v>RT 09  \ RW 03</v>
      </c>
      <c r="W1129" s="80" t="str">
        <f>IFERROR(__xludf.DUMMYFUNCTION("""COMPUTED_VALUE"""),"SUKAHATI")</f>
        <v>SUKAHATI</v>
      </c>
      <c r="X1129" s="80" t="str">
        <f>IFERROR(__xludf.DUMMYFUNCTION("""COMPUTED_VALUE"""),"CITEUREUP")</f>
        <v>CITEUREUP</v>
      </c>
      <c r="Y1129" s="80" t="str">
        <f>IFERROR(__xludf.DUMMYFUNCTION("""COMPUTED_VALUE"""),"KAB.BOGOR")</f>
        <v>KAB.BOGOR</v>
      </c>
      <c r="Z1129" s="80" t="str">
        <f>IFERROR(__xludf.DUMMYFUNCTION("""COMPUTED_VALUE"""),"JAWA BARAT")</f>
        <v>JAWA BARAT</v>
      </c>
      <c r="AA1129" s="80" t="str">
        <f>IFERROR(__xludf.DUMMYFUNCTION("""COMPUTED_VALUE"""),"16810")</f>
        <v>16810</v>
      </c>
      <c r="AB1129" s="80" t="str">
        <f>IFERROR(__xludf.DUMMYFUNCTION("""COMPUTED_VALUE"""),"3275012407880006")</f>
        <v>3275012407880006</v>
      </c>
      <c r="AC1129" s="80" t="str">
        <f>IFERROR(__xludf.DUMMYFUNCTION("""COMPUTED_VALUE"""),"74.048.238.5-407.000")</f>
        <v>74.048.238.5-407.000</v>
      </c>
      <c r="AD1129" s="80" t="str">
        <f>IFERROR(__xludf.DUMMYFUNCTION("""COMPUTED_VALUE"""),"BU NOCA")</f>
        <v>BU NOCA</v>
      </c>
      <c r="AE1129" s="80" t="str">
        <f>IFERROR(__xludf.DUMMYFUNCTION("""COMPUTED_VALUE"""),"BU NOCA")</f>
        <v>BU NOCA</v>
      </c>
      <c r="AF1129" s="80" t="str">
        <f>IFERROR(__xludf.DUMMYFUNCTION("""COMPUTED_VALUE"""),"085121506115")</f>
        <v>085121506115</v>
      </c>
      <c r="AG1129" s="80" t="str">
        <f>IFERROR(__xludf.DUMMYFUNCTION("""COMPUTED_VALUE"""),"85121506115")</f>
        <v>85121506115</v>
      </c>
      <c r="AH1129" s="80" t="str">
        <f>IFERROR(__xludf.DUMMYFUNCTION("""COMPUTED_VALUE"""),"bettaluxury06@gmail.com")</f>
        <v>bettaluxury06@gmail.com</v>
      </c>
      <c r="AI1129" s="80" t="str">
        <f>IFERROR(__xludf.DUMMYFUNCTION("""COMPUTED_VALUE"""),"16814S2")</f>
        <v>16814S2</v>
      </c>
      <c r="AJ1129" s="80" t="str">
        <f>IFERROR(__xludf.DUMMYFUNCTION("""COMPUTED_VALUE"""),"6a5cbd459c2fa43aa8052279")</f>
        <v>6a5cbd459c2fa43aa8052279</v>
      </c>
      <c r="AK1129" s="80" t="str">
        <f>IFERROR(__xludf.DUMMYFUNCTION("""COMPUTED_VALUE"""),"bettaluxury06@gmail.com")</f>
        <v>bettaluxury06@gmail.com</v>
      </c>
      <c r="AL1129" s="80" t="str">
        <f>IFERROR(__xludf.DUMMYFUNCTION("""COMPUTED_VALUE"""),"#Muc16814S2$")</f>
        <v>#Muc16814S2$</v>
      </c>
      <c r="AM1129" s="80" t="str">
        <f>IFERROR(__xludf.DUMMYFUNCTION("""COMPUTED_VALUE"""),"KANTOR REGIONAL II JAKARTA 10004")</f>
        <v>KANTOR REGIONAL II JAKARTA 10004</v>
      </c>
      <c r="AN1129" s="80" t="str">
        <f>IFERROR(__xludf.DUMMYFUNCTION("""COMPUTED_VALUE"""),"KC CIBINONG 16900")</f>
        <v>KC CIBINONG 16900</v>
      </c>
      <c r="AO1129" s="80" t="str">
        <f>IFERROR(__xludf.DUMMYFUNCTION("""COMPUTED_VALUE"""),"0107260058412")</f>
        <v>0107260058412</v>
      </c>
      <c r="AP1129" s="80" t="str">
        <f>IFERROR(__xludf.DUMMYFUNCTION("""COMPUTED_VALUE"""),"0107260058412")</f>
        <v>0107260058412</v>
      </c>
      <c r="AQ1129" s="83" t="str">
        <f>IFERROR(__xludf.DUMMYFUNCTION("""COMPUTED_VALUE"""),"1671687626")</f>
        <v>1671687626</v>
      </c>
      <c r="AR1129" s="80" t="str">
        <f>IFERROR(__xludf.DUMMYFUNCTION("""COMPUTED_VALUE"""),"BCA")</f>
        <v>BCA</v>
      </c>
      <c r="AS1129" s="80" t="str">
        <f>IFERROR(__xludf.DUMMYFUNCTION("""COMPUTED_VALUE"""),"NOVITA SARY MELIALA")</f>
        <v>NOVITA SARY MELIALA</v>
      </c>
      <c r="AT1129" s="80" t="str">
        <f>IFERROR(__xludf.DUMMYFUNCTION("""COMPUTED_VALUE"""),"-65,150,202")</f>
        <v>-65,150,202</v>
      </c>
      <c r="AU1129" s="80" t="str">
        <f>IFERROR(__xludf.DUMMYFUNCTION("""COMPUTED_VALUE"""),"1,068,745,719")</f>
        <v>1,068,745,719</v>
      </c>
      <c r="AV1129" s="80"/>
      <c r="AW1129" s="80"/>
      <c r="AX1129" s="80"/>
      <c r="AY1129" s="80"/>
      <c r="AZ1129" s="80"/>
      <c r="BA1129" s="80"/>
      <c r="BB1129" s="80"/>
      <c r="BC1129" s="80"/>
      <c r="BD1129" s="80"/>
      <c r="BE1129" s="80"/>
      <c r="BF1129" s="80"/>
      <c r="BG1129" s="80"/>
      <c r="BH1129" s="80"/>
      <c r="BI1129" s="80"/>
      <c r="BJ1129" s="80"/>
      <c r="BK1129" s="80"/>
      <c r="BL1129" s="80"/>
      <c r="BM1129" s="80"/>
      <c r="BN1129" s="80"/>
      <c r="BO1129" s="80"/>
      <c r="BP1129" s="80"/>
      <c r="BQ1129" s="80"/>
      <c r="BR1129" s="80"/>
      <c r="BS1129" s="80"/>
      <c r="BT1129" s="80"/>
      <c r="BU1129" s="80"/>
      <c r="BV1129" s="80"/>
      <c r="BW1129" s="80"/>
      <c r="BX1129" s="80"/>
      <c r="BY1129" s="80"/>
      <c r="BZ1129" s="80"/>
      <c r="CA1129" s="80"/>
      <c r="CB1129" s="80"/>
      <c r="CC1129" s="80"/>
      <c r="CD1129" s="80"/>
      <c r="CE1129" s="80"/>
      <c r="CF1129" s="80"/>
      <c r="CG1129" s="80"/>
      <c r="CH1129" s="80"/>
      <c r="CI1129" s="80"/>
      <c r="CJ1129" s="80"/>
      <c r="CK1129" s="2"/>
    </row>
    <row r="1130" ht="12.75" customHeight="1">
      <c r="A1130" s="85">
        <f>IFERROR(__xludf.DUMMYFUNCTION("""COMPUTED_VALUE"""),1126.0)</f>
        <v>1126</v>
      </c>
      <c r="B1130" s="85"/>
      <c r="C1130" s="85"/>
      <c r="D1130" s="86">
        <f>IFERROR(__xludf.DUMMYFUNCTION("""COMPUTED_VALUE"""),46204.0)</f>
        <v>46204</v>
      </c>
      <c r="E1130" s="88"/>
      <c r="F1130" s="85"/>
      <c r="G1130" s="86"/>
      <c r="H1130" s="85"/>
      <c r="I1130" s="85"/>
      <c r="J1130" s="85"/>
      <c r="K1130" s="85"/>
      <c r="L1130" s="85"/>
      <c r="M1130" s="85"/>
      <c r="N1130" s="85"/>
      <c r="O1130" s="85"/>
      <c r="P1130" s="85" t="str">
        <f>IFERROR(__xludf.DUMMYFUNCTION("""COMPUTED_VALUE"""),"MLO5500085CUMPOS")</f>
        <v>MLO5500085CUMPOS</v>
      </c>
      <c r="Q1130" s="85" t="str">
        <f>IFERROR(__xludf.DUMMYFUNCTION("""COMPUTED_VALUE"""),"MUC HARI AJI 366")</f>
        <v>MUC HARI AJI 366</v>
      </c>
      <c r="R1130" s="85" t="str">
        <f>IFERROR(__xludf.DUMMYFUNCTION("""COMPUTED_VALUE"""),"MUC HARI AJI 366")</f>
        <v>MUC HARI AJI 366</v>
      </c>
      <c r="S1130" s="85" t="str">
        <f>IFERROR(__xludf.DUMMYFUNCTION("""COMPUTED_VALUE"""),"RIDO HARIAJI")</f>
        <v>RIDO HARIAJI</v>
      </c>
      <c r="T1130" s="85" t="str">
        <f>IFERROR(__xludf.DUMMYFUNCTION("""COMPUTED_VALUE"""),"KP HAMBALANG 02 NO.31 RT 09 RW 03 HAMBALANG, CEITEUREUP, KAB.BOGOR")</f>
        <v>KP HAMBALANG 02 NO.31 RT 09 RW 03 HAMBALANG, CEITEUREUP, KAB.BOGOR</v>
      </c>
      <c r="U1130" s="85" t="str">
        <f>IFERROR(__xludf.DUMMYFUNCTION("""COMPUTED_VALUE"""),"Pondok Citeureup Indah Blok C27 No. 10")</f>
        <v>Pondok Citeureup Indah Blok C27 No. 10</v>
      </c>
      <c r="V1130" s="85" t="str">
        <f>IFERROR(__xludf.DUMMYFUNCTION("""COMPUTED_VALUE"""),"RT 09  \ RW 03")</f>
        <v>RT 09  \ RW 03</v>
      </c>
      <c r="W1130" s="85" t="str">
        <f>IFERROR(__xludf.DUMMYFUNCTION("""COMPUTED_VALUE"""),"SUKAHATI")</f>
        <v>SUKAHATI</v>
      </c>
      <c r="X1130" s="85" t="str">
        <f>IFERROR(__xludf.DUMMYFUNCTION("""COMPUTED_VALUE"""),"CITEUREUP")</f>
        <v>CITEUREUP</v>
      </c>
      <c r="Y1130" s="85" t="str">
        <f>IFERROR(__xludf.DUMMYFUNCTION("""COMPUTED_VALUE"""),"KAB.BOGOR")</f>
        <v>KAB.BOGOR</v>
      </c>
      <c r="Z1130" s="85" t="str">
        <f>IFERROR(__xludf.DUMMYFUNCTION("""COMPUTED_VALUE"""),"JAWA BARAT")</f>
        <v>JAWA BARAT</v>
      </c>
      <c r="AA1130" s="85" t="str">
        <f>IFERROR(__xludf.DUMMYFUNCTION("""COMPUTED_VALUE"""),"16810")</f>
        <v>16810</v>
      </c>
      <c r="AB1130" s="85" t="str">
        <f>IFERROR(__xludf.DUMMYFUNCTION("""COMPUTED_VALUE"""),"3275012407880006")</f>
        <v>3275012407880006</v>
      </c>
      <c r="AC1130" s="85" t="str">
        <f>IFERROR(__xludf.DUMMYFUNCTION("""COMPUTED_VALUE"""),"74.048.238.5-407.000")</f>
        <v>74.048.238.5-407.000</v>
      </c>
      <c r="AD1130" s="85" t="str">
        <f>IFERROR(__xludf.DUMMYFUNCTION("""COMPUTED_VALUE"""),"BU NOCA")</f>
        <v>BU NOCA</v>
      </c>
      <c r="AE1130" s="85" t="str">
        <f>IFERROR(__xludf.DUMMYFUNCTION("""COMPUTED_VALUE"""),"BU NOCA")</f>
        <v>BU NOCA</v>
      </c>
      <c r="AF1130" s="85" t="str">
        <f>IFERROR(__xludf.DUMMYFUNCTION("""COMPUTED_VALUE"""),"085121506115")</f>
        <v>085121506115</v>
      </c>
      <c r="AG1130" s="85" t="str">
        <f>IFERROR(__xludf.DUMMYFUNCTION("""COMPUTED_VALUE"""),"85121506115")</f>
        <v>85121506115</v>
      </c>
      <c r="AH1130" s="85" t="str">
        <f>IFERROR(__xludf.DUMMYFUNCTION("""COMPUTED_VALUE"""),"bettaluxury06@gmail.com")</f>
        <v>bettaluxury06@gmail.com</v>
      </c>
      <c r="AI1130" s="85" t="str">
        <f>IFERROR(__xludf.DUMMYFUNCTION("""COMPUTED_VALUE"""),"16814S2")</f>
        <v>16814S2</v>
      </c>
      <c r="AJ1130" s="85" t="str">
        <f>IFERROR(__xludf.DUMMYFUNCTION("""COMPUTED_VALUE"""),"6a5cbd459c2fa43aa8052279")</f>
        <v>6a5cbd459c2fa43aa8052279</v>
      </c>
      <c r="AK1130" s="85" t="str">
        <f>IFERROR(__xludf.DUMMYFUNCTION("""COMPUTED_VALUE"""),"bettaluxury06@gmail.com")</f>
        <v>bettaluxury06@gmail.com</v>
      </c>
      <c r="AL1130" s="85" t="str">
        <f>IFERROR(__xludf.DUMMYFUNCTION("""COMPUTED_VALUE"""),"#Muc16814S2$")</f>
        <v>#Muc16814S2$</v>
      </c>
      <c r="AM1130" s="85" t="str">
        <f>IFERROR(__xludf.DUMMYFUNCTION("""COMPUTED_VALUE"""),"KANTOR REGIONAL II JAKARTA 10004")</f>
        <v>KANTOR REGIONAL II JAKARTA 10004</v>
      </c>
      <c r="AN1130" s="85" t="str">
        <f>IFERROR(__xludf.DUMMYFUNCTION("""COMPUTED_VALUE"""),"KC CIBINONG 16900")</f>
        <v>KC CIBINONG 16900</v>
      </c>
      <c r="AO1130" s="85" t="str">
        <f>IFERROR(__xludf.DUMMYFUNCTION("""COMPUTED_VALUE"""),"0107260058412")</f>
        <v>0107260058412</v>
      </c>
      <c r="AP1130" s="85" t="str">
        <f>IFERROR(__xludf.DUMMYFUNCTION("""COMPUTED_VALUE"""),"0107260058412")</f>
        <v>0107260058412</v>
      </c>
      <c r="AQ1130" s="93" t="str">
        <f>IFERROR(__xludf.DUMMYFUNCTION("""COMPUTED_VALUE"""),"1671687626")</f>
        <v>1671687626</v>
      </c>
      <c r="AR1130" s="85" t="str">
        <f>IFERROR(__xludf.DUMMYFUNCTION("""COMPUTED_VALUE"""),"BCA")</f>
        <v>BCA</v>
      </c>
      <c r="AS1130" s="85" t="str">
        <f>IFERROR(__xludf.DUMMYFUNCTION("""COMPUTED_VALUE"""),"NOVITA SARY MELIALA")</f>
        <v>NOVITA SARY MELIALA</v>
      </c>
      <c r="AT1130" s="85" t="str">
        <f>IFERROR(__xludf.DUMMYFUNCTION("""COMPUTED_VALUE"""),"-65,150,202")</f>
        <v>-65,150,202</v>
      </c>
      <c r="AU1130" s="85" t="str">
        <f>IFERROR(__xludf.DUMMYFUNCTION("""COMPUTED_VALUE"""),"1,068,745,719")</f>
        <v>1,068,745,719</v>
      </c>
      <c r="AV1130" s="85"/>
      <c r="AW1130" s="85"/>
      <c r="AX1130" s="85"/>
      <c r="AY1130" s="85"/>
      <c r="AZ1130" s="85"/>
      <c r="BA1130" s="85"/>
      <c r="BB1130" s="85"/>
      <c r="BC1130" s="85"/>
      <c r="BD1130" s="85"/>
      <c r="BE1130" s="85"/>
      <c r="BF1130" s="85"/>
      <c r="BG1130" s="85"/>
      <c r="BH1130" s="85"/>
      <c r="BI1130" s="85"/>
      <c r="BJ1130" s="85"/>
      <c r="BK1130" s="85"/>
      <c r="BL1130" s="85"/>
      <c r="BM1130" s="85"/>
      <c r="BN1130" s="85"/>
      <c r="BO1130" s="85"/>
      <c r="BP1130" s="85"/>
      <c r="BQ1130" s="85"/>
      <c r="BR1130" s="85"/>
      <c r="BS1130" s="85"/>
      <c r="BT1130" s="85"/>
      <c r="BU1130" s="85"/>
      <c r="BV1130" s="85"/>
      <c r="BW1130" s="85"/>
      <c r="BX1130" s="85"/>
      <c r="BY1130" s="85"/>
      <c r="BZ1130" s="85"/>
      <c r="CA1130" s="85"/>
      <c r="CB1130" s="85"/>
      <c r="CC1130" s="85"/>
      <c r="CD1130" s="85"/>
      <c r="CE1130" s="85"/>
      <c r="CF1130" s="85"/>
      <c r="CG1130" s="85"/>
      <c r="CH1130" s="85"/>
      <c r="CI1130" s="85"/>
      <c r="CJ1130" s="85"/>
      <c r="CK1130" s="2"/>
    </row>
    <row r="1131" ht="12.75" customHeight="1">
      <c r="A1131" s="80">
        <f>IFERROR(__xludf.DUMMYFUNCTION("""COMPUTED_VALUE"""),1127.0)</f>
        <v>1127</v>
      </c>
      <c r="B1131" s="80"/>
      <c r="C1131" s="80"/>
      <c r="D1131" s="81">
        <f>IFERROR(__xludf.DUMMYFUNCTION("""COMPUTED_VALUE"""),46204.0)</f>
        <v>46204</v>
      </c>
      <c r="E1131" s="82"/>
      <c r="F1131" s="80"/>
      <c r="G1131" s="81">
        <f>IFERROR(__xludf.DUMMYFUNCTION("""COMPUTED_VALUE"""),46244.0)</f>
        <v>46244</v>
      </c>
      <c r="H1131" s="80"/>
      <c r="I1131" s="80"/>
      <c r="J1131" s="80"/>
      <c r="K1131" s="80"/>
      <c r="L1131" s="80">
        <f>IFERROR(__xludf.DUMMYFUNCTION("""COMPUTED_VALUE"""),40.0)</f>
        <v>40</v>
      </c>
      <c r="M1131" s="80"/>
      <c r="N1131" s="80"/>
      <c r="O1131" s="80"/>
      <c r="P1131" s="80" t="str">
        <f>IFERROR(__xludf.DUMMYFUNCTION("""COMPUTED_VALUE"""),"MUCSPA63566PSIND")</f>
        <v>MUCSPA63566PSIND</v>
      </c>
      <c r="Q1131" s="80" t="str">
        <f>IFERROR(__xludf.DUMMYFUNCTION("""COMPUTED_VALUE"""),"MUC KUBANG SALAWE")</f>
        <v>MUC KUBANG SALAWE</v>
      </c>
      <c r="R1131" s="80" t="str">
        <f>IFERROR(__xludf.DUMMYFUNCTION("""COMPUTED_VALUE"""),"MUC KUBANG SALAWE")</f>
        <v>MUC KUBANG SALAWE</v>
      </c>
      <c r="S1131" s="80" t="str">
        <f>IFERROR(__xludf.DUMMYFUNCTION("""COMPUTED_VALUE"""),"ARIF WIBOWO KOSWARA")</f>
        <v>ARIF WIBOWO KOSWARA</v>
      </c>
      <c r="T1131" s="80" t="str">
        <f>IFERROR(__xludf.DUMMYFUNCTION("""COMPUTED_VALUE"""),"KP. KUBANG SALAWE RT 3 RW 6 TAWANGBANTENG SUKARATU")</f>
        <v>KP. KUBANG SALAWE RT 3 RW 6 TAWANGBANTENG SUKARATU</v>
      </c>
      <c r="U1131" s="80" t="str">
        <f>IFERROR(__xludf.DUMMYFUNCTION("""COMPUTED_VALUE"""),"TAWANGBANTENG")</f>
        <v>TAWANGBANTENG</v>
      </c>
      <c r="V1131" s="80" t="str">
        <f>IFERROR(__xludf.DUMMYFUNCTION("""COMPUTED_VALUE"""),"RT 3 R \ RW 6 T")</f>
        <v>RT 3 R \ RW 6 T</v>
      </c>
      <c r="W1131" s="80" t="str">
        <f>IFERROR(__xludf.DUMMYFUNCTION("""COMPUTED_VALUE"""),"TAWANGBANTENG")</f>
        <v>TAWANGBANTENG</v>
      </c>
      <c r="X1131" s="80" t="str">
        <f>IFERROR(__xludf.DUMMYFUNCTION("""COMPUTED_VALUE"""),"SUKARATU")</f>
        <v>SUKARATU</v>
      </c>
      <c r="Y1131" s="80" t="str">
        <f>IFERROR(__xludf.DUMMYFUNCTION("""COMPUTED_VALUE"""),"KAB. TASIKMALAYA")</f>
        <v>KAB. TASIKMALAYA</v>
      </c>
      <c r="Z1131" s="80" t="str">
        <f>IFERROR(__xludf.DUMMYFUNCTION("""COMPUTED_VALUE"""),"JAWA BARAT")</f>
        <v>JAWA BARAT</v>
      </c>
      <c r="AA1131" s="80" t="str">
        <f>IFERROR(__xludf.DUMMYFUNCTION("""COMPUTED_VALUE"""),"46145")</f>
        <v>46145</v>
      </c>
      <c r="AB1131" s="80" t="str">
        <f>IFERROR(__xludf.DUMMYFUNCTION("""COMPUTED_VALUE"""),"3217101506960014")</f>
        <v>3217101506960014</v>
      </c>
      <c r="AC1131" s="80" t="str">
        <f>IFERROR(__xludf.DUMMYFUNCTION("""COMPUTED_VALUE"""),"32.171.015.0-696.0014")</f>
        <v>32.171.015.0-696.0014</v>
      </c>
      <c r="AD1131" s="80" t="str">
        <f>IFERROR(__xludf.DUMMYFUNCTION("""COMPUTED_VALUE"""),"CUM - LP - ANGGI")</f>
        <v>CUM - LP - ANGGI</v>
      </c>
      <c r="AE1131" s="80" t="str">
        <f>IFERROR(__xludf.DUMMYFUNCTION("""COMPUTED_VALUE"""),"CUM - LP - ANGGI")</f>
        <v>CUM - LP - ANGGI</v>
      </c>
      <c r="AF1131" s="80" t="str">
        <f>IFERROR(__xludf.DUMMYFUNCTION("""COMPUTED_VALUE"""),"087815674436")</f>
        <v>087815674436</v>
      </c>
      <c r="AG1131" s="80" t="str">
        <f>IFERROR(__xludf.DUMMYFUNCTION("""COMPUTED_VALUE"""),"87815674436")</f>
        <v>87815674436</v>
      </c>
      <c r="AH1131" s="80" t="str">
        <f>IFERROR(__xludf.DUMMYFUNCTION("""COMPUTED_VALUE"""),"Arifwbw718@gmail.com")</f>
        <v>Arifwbw718@gmail.com</v>
      </c>
      <c r="AI1131" s="80" t="str">
        <f>IFERROR(__xludf.DUMMYFUNCTION("""COMPUTED_VALUE"""),"46452S1")</f>
        <v>46452S1</v>
      </c>
      <c r="AJ1131" s="80" t="str">
        <f>IFERROR(__xludf.DUMMYFUNCTION("""COMPUTED_VALUE"""),"6a7950b57cbc6516b201c17a")</f>
        <v>6a7950b57cbc6516b201c17a</v>
      </c>
      <c r="AK1131" s="80" t="str">
        <f>IFERROR(__xludf.DUMMYFUNCTION("""COMPUTED_VALUE"""),"Arifwbw718@gmail.com")</f>
        <v>Arifwbw718@gmail.com</v>
      </c>
      <c r="AL1131" s="80" t="str">
        <f>IFERROR(__xludf.DUMMYFUNCTION("""COMPUTED_VALUE"""),"#Muc46452S1$")</f>
        <v>#Muc46452S1$</v>
      </c>
      <c r="AM1131" s="80" t="str">
        <f>IFERROR(__xludf.DUMMYFUNCTION("""COMPUTED_VALUE"""),"KANTOR REGIONAL III BANDUNG 40004")</f>
        <v>KANTOR REGIONAL III BANDUNG 40004</v>
      </c>
      <c r="AN1131" s="80" t="str">
        <f>IFERROR(__xludf.DUMMYFUNCTION("""COMPUTED_VALUE"""),"KC TASIKMALAYA 46100")</f>
        <v>KC TASIKMALAYA 46100</v>
      </c>
      <c r="AO1131" s="80" t="str">
        <f>IFERROR(__xludf.DUMMYFUNCTION("""COMPUTED_VALUE"""),"2606260094398")</f>
        <v>2606260094398</v>
      </c>
      <c r="AP1131" s="80" t="str">
        <f>IFERROR(__xludf.DUMMYFUNCTION("""COMPUTED_VALUE"""),"2606260094398")</f>
        <v>2606260094398</v>
      </c>
      <c r="AQ1131" s="83" t="str">
        <f>IFERROR(__xludf.DUMMYFUNCTION("""COMPUTED_VALUE"""),"901059950912")</f>
        <v>901059950912</v>
      </c>
      <c r="AR1131" s="80" t="str">
        <f>IFERROR(__xludf.DUMMYFUNCTION("""COMPUTED_VALUE"""),"SEABANK")</f>
        <v>SEABANK</v>
      </c>
      <c r="AS1131" s="80" t="str">
        <f>IFERROR(__xludf.DUMMYFUNCTION("""COMPUTED_VALUE"""),"ARIF WIBOWO KOSWARA")</f>
        <v>ARIF WIBOWO KOSWARA</v>
      </c>
      <c r="AT1131" s="80" t="str">
        <f>IFERROR(__xludf.DUMMYFUNCTION("""COMPUTED_VALUE"""),"-7.3062274,108.1345989")</f>
        <v>-7.3062274,108.1345989</v>
      </c>
      <c r="AU1131" s="80" t="str">
        <f>IFERROR(__xludf.DUMMYFUNCTION("""COMPUTED_VALUE"""),"-7.3062274,108.1345989")</f>
        <v>-7.3062274,108.1345989</v>
      </c>
      <c r="AV1131" s="80"/>
      <c r="AW1131" s="80"/>
      <c r="AX1131" s="80"/>
      <c r="AY1131" s="80"/>
      <c r="AZ1131" s="80"/>
      <c r="BA1131" s="80"/>
      <c r="BB1131" s="80"/>
      <c r="BC1131" s="80"/>
      <c r="BD1131" s="80"/>
      <c r="BE1131" s="80"/>
      <c r="BF1131" s="80"/>
      <c r="BG1131" s="80"/>
      <c r="BH1131" s="80"/>
      <c r="BI1131" s="80"/>
      <c r="BJ1131" s="80"/>
      <c r="BK1131" s="80"/>
      <c r="BL1131" s="80"/>
      <c r="BM1131" s="80"/>
      <c r="BN1131" s="80"/>
      <c r="BO1131" s="80"/>
      <c r="BP1131" s="80"/>
      <c r="BQ1131" s="80"/>
      <c r="BR1131" s="80"/>
      <c r="BS1131" s="80"/>
      <c r="BT1131" s="80"/>
      <c r="BU1131" s="80"/>
      <c r="BV1131" s="80"/>
      <c r="BW1131" s="80"/>
      <c r="BX1131" s="80"/>
      <c r="BY1131" s="80"/>
      <c r="BZ1131" s="80"/>
      <c r="CA1131" s="80"/>
      <c r="CB1131" s="80"/>
      <c r="CC1131" s="80"/>
      <c r="CD1131" s="80"/>
      <c r="CE1131" s="80"/>
      <c r="CF1131" s="80"/>
      <c r="CG1131" s="80"/>
      <c r="CH1131" s="80"/>
      <c r="CI1131" s="80"/>
      <c r="CJ1131" s="80"/>
      <c r="CK1131" s="2"/>
    </row>
    <row r="1132" ht="12.75" customHeight="1">
      <c r="A1132" s="85">
        <f>IFERROR(__xludf.DUMMYFUNCTION("""COMPUTED_VALUE"""),1128.0)</f>
        <v>1128</v>
      </c>
      <c r="B1132" s="85"/>
      <c r="C1132" s="85"/>
      <c r="D1132" s="86">
        <f>IFERROR(__xludf.DUMMYFUNCTION("""COMPUTED_VALUE"""),46204.0)</f>
        <v>46204</v>
      </c>
      <c r="E1132" s="88"/>
      <c r="F1132" s="85"/>
      <c r="G1132" s="86">
        <f>IFERROR(__xludf.DUMMYFUNCTION("""COMPUTED_VALUE"""),46204.0)</f>
        <v>46204</v>
      </c>
      <c r="H1132" s="85"/>
      <c r="I1132" s="85"/>
      <c r="J1132" s="85"/>
      <c r="K1132" s="85"/>
      <c r="L1132" s="85"/>
      <c r="M1132" s="85"/>
      <c r="N1132" s="85"/>
      <c r="O1132" s="85"/>
      <c r="P1132" s="85" t="str">
        <f>IFERROR(__xludf.DUMMYFUNCTION("""COMPUTED_VALUE"""),"MUCSPA63575PSIND")</f>
        <v>MUCSPA63575PSIND</v>
      </c>
      <c r="Q1132" s="85" t="str">
        <f>IFERROR(__xludf.DUMMYFUNCTION("""COMPUTED_VALUE"""),"MUC CEMERLANG GROUP")</f>
        <v>MUC CEMERLANG GROUP</v>
      </c>
      <c r="R1132" s="85" t="str">
        <f>IFERROR(__xludf.DUMMYFUNCTION("""COMPUTED_VALUE"""),"MUC CEMERLANG GROUP")</f>
        <v>MUC CEMERLANG GROUP</v>
      </c>
      <c r="S1132" s="85" t="str">
        <f>IFERROR(__xludf.DUMMYFUNCTION("""COMPUTED_VALUE"""),"KAMALUDDIN RAFIF")</f>
        <v>KAMALUDDIN RAFIF</v>
      </c>
      <c r="T1132" s="85" t="str">
        <f>IFERROR(__xludf.DUMMYFUNCTION("""COMPUTED_VALUE"""),"DUSUN PAHING, RT.005 RW.002")</f>
        <v>DUSUN PAHING, RT.005 RW.002</v>
      </c>
      <c r="U1132" s="85" t="str">
        <f>IFERROR(__xludf.DUMMYFUNCTION("""COMPUTED_VALUE"""),"Perum Alam Asri Jln Gunung Kelud Blok C34 ")</f>
        <v>Perum Alam Asri Jln Gunung Kelud Blok C34 </v>
      </c>
      <c r="V1132" s="85"/>
      <c r="W1132" s="85" t="str">
        <f>IFERROR(__xludf.DUMMYFUNCTION("""COMPUTED_VALUE"""),"Ciawigebang")</f>
        <v>Ciawigebang</v>
      </c>
      <c r="X1132" s="85" t="str">
        <f>IFERROR(__xludf.DUMMYFUNCTION("""COMPUTED_VALUE"""),"Ciawigebang")</f>
        <v>Ciawigebang</v>
      </c>
      <c r="Y1132" s="85" t="str">
        <f>IFERROR(__xludf.DUMMYFUNCTION("""COMPUTED_VALUE"""),"Kuningan ")</f>
        <v>Kuningan </v>
      </c>
      <c r="Z1132" s="85" t="str">
        <f>IFERROR(__xludf.DUMMYFUNCTION("""COMPUTED_VALUE"""),"Jawa Barat")</f>
        <v>Jawa Barat</v>
      </c>
      <c r="AA1132" s="85" t="str">
        <f>IFERROR(__xludf.DUMMYFUNCTION("""COMPUTED_VALUE"""),"45591")</f>
        <v>45591</v>
      </c>
      <c r="AB1132" s="85" t="str">
        <f>IFERROR(__xludf.DUMMYFUNCTION("""COMPUTED_VALUE"""),"3208100601000008")</f>
        <v>3208100601000008</v>
      </c>
      <c r="AC1132" s="85" t="str">
        <f>IFERROR(__xludf.DUMMYFUNCTION("""COMPUTED_VALUE"""),"90.797.886.0-438.000")</f>
        <v>90.797.886.0-438.000</v>
      </c>
      <c r="AD1132" s="85" t="str">
        <f>IFERROR(__xludf.DUMMYFUNCTION("""COMPUTED_VALUE"""),"NON KORGEN")</f>
        <v>NON KORGEN</v>
      </c>
      <c r="AE1132" s="85" t="str">
        <f>IFERROR(__xludf.DUMMYFUNCTION("""COMPUTED_VALUE"""),"SUB ANO WASNO")</f>
        <v>SUB ANO WASNO</v>
      </c>
      <c r="AF1132" s="85" t="str">
        <f>IFERROR(__xludf.DUMMYFUNCTION("""COMPUTED_VALUE"""),"085398906361")</f>
        <v>085398906361</v>
      </c>
      <c r="AG1132" s="85"/>
      <c r="AH1132" s="85" t="str">
        <f>IFERROR(__xludf.DUMMYFUNCTION("""COMPUTED_VALUE"""),"kamalsquad43@gmail.com")</f>
        <v>kamalsquad43@gmail.com</v>
      </c>
      <c r="AI1132" s="85" t="str">
        <f>IFERROR(__xludf.DUMMYFUNCTION("""COMPUTED_VALUE"""),"45591S1")</f>
        <v>45591S1</v>
      </c>
      <c r="AJ1132" s="85" t="str">
        <f>IFERROR(__xludf.DUMMYFUNCTION("""COMPUTED_VALUE"""),"6965ede2aa5b52501a01f46b")</f>
        <v>6965ede2aa5b52501a01f46b</v>
      </c>
      <c r="AK1132" s="85" t="str">
        <f>IFERROR(__xludf.DUMMYFUNCTION("""COMPUTED_VALUE"""),"kamalsquad43@gmail.com")</f>
        <v>kamalsquad43@gmail.com</v>
      </c>
      <c r="AL1132" s="85" t="str">
        <f>IFERROR(__xludf.DUMMYFUNCTION("""COMPUTED_VALUE"""),"#Muc45591S1$")</f>
        <v>#Muc45591S1$</v>
      </c>
      <c r="AM1132" s="85" t="str">
        <f>IFERROR(__xludf.DUMMYFUNCTION("""COMPUTED_VALUE"""),"KANTOR REGIONAL III BANDUNG 40004")</f>
        <v>KANTOR REGIONAL III BANDUNG 40004</v>
      </c>
      <c r="AN1132" s="85" t="str">
        <f>IFERROR(__xludf.DUMMYFUNCTION("""COMPUTED_VALUE"""),"KC KUNINGAN 45500")</f>
        <v>KC KUNINGAN 45500</v>
      </c>
      <c r="AO1132" s="85" t="str">
        <f>IFERROR(__xludf.DUMMYFUNCTION("""COMPUTED_VALUE"""),"MENYUSUL")</f>
        <v>MENYUSUL</v>
      </c>
      <c r="AP1132" s="85" t="str">
        <f>IFERROR(__xludf.DUMMYFUNCTION("""COMPUTED_VALUE"""),"MENYUSUL")</f>
        <v>MENYUSUL</v>
      </c>
      <c r="AQ1132" s="93"/>
      <c r="AR1132" s="85"/>
      <c r="AS1132" s="85"/>
      <c r="AT1132" s="85" t="str">
        <f>IFERROR(__xludf.DUMMYFUNCTION("""COMPUTED_VALUE"""),"-6.976476")</f>
        <v>-6.976476</v>
      </c>
      <c r="AU1132" s="85" t="str">
        <f>IFERROR(__xludf.DUMMYFUNCTION("""COMPUTED_VALUE"""),"108.587664")</f>
        <v>108.587664</v>
      </c>
      <c r="AV1132" s="85"/>
      <c r="AW1132" s="85"/>
      <c r="AX1132" s="85"/>
      <c r="AY1132" s="85"/>
      <c r="AZ1132" s="85"/>
      <c r="BA1132" s="85"/>
      <c r="BB1132" s="85"/>
      <c r="BC1132" s="85"/>
      <c r="BD1132" s="85"/>
      <c r="BE1132" s="85"/>
      <c r="BF1132" s="85"/>
      <c r="BG1132" s="85"/>
      <c r="BH1132" s="85"/>
      <c r="BI1132" s="85"/>
      <c r="BJ1132" s="85"/>
      <c r="BK1132" s="85"/>
      <c r="BL1132" s="85"/>
      <c r="BM1132" s="85"/>
      <c r="BN1132" s="85"/>
      <c r="BO1132" s="85"/>
      <c r="BP1132" s="85"/>
      <c r="BQ1132" s="85"/>
      <c r="BR1132" s="85"/>
      <c r="BS1132" s="85"/>
      <c r="BT1132" s="85"/>
      <c r="BU1132" s="85"/>
      <c r="BV1132" s="85"/>
      <c r="BW1132" s="85"/>
      <c r="BX1132" s="85" t="str">
        <f>IFERROR(__xludf.DUMMYFUNCTION("""COMPUTED_VALUE"""),"SELLER")</f>
        <v>SELLER</v>
      </c>
      <c r="BY1132" s="85"/>
      <c r="BZ1132" s="85"/>
      <c r="CA1132" s="85"/>
      <c r="CB1132" s="85"/>
      <c r="CC1132" s="85"/>
      <c r="CD1132" s="85"/>
      <c r="CE1132" s="85"/>
      <c r="CF1132" s="85"/>
      <c r="CG1132" s="85"/>
      <c r="CH1132" s="85"/>
      <c r="CI1132" s="85"/>
      <c r="CJ1132" s="85"/>
      <c r="CK1132" s="2"/>
    </row>
    <row r="1133" ht="12.75" customHeight="1">
      <c r="A1133" s="80">
        <f>IFERROR(__xludf.DUMMYFUNCTION("""COMPUTED_VALUE"""),1129.0)</f>
        <v>1129</v>
      </c>
      <c r="B1133" s="80"/>
      <c r="C1133" s="80"/>
      <c r="D1133" s="81">
        <f>IFERROR(__xludf.DUMMYFUNCTION("""COMPUTED_VALUE"""),46204.0)</f>
        <v>46204</v>
      </c>
      <c r="E1133" s="82"/>
      <c r="F1133" s="80"/>
      <c r="G1133" s="81"/>
      <c r="H1133" s="80"/>
      <c r="I1133" s="80"/>
      <c r="J1133" s="80"/>
      <c r="K1133" s="80"/>
      <c r="L1133" s="80"/>
      <c r="M1133" s="80"/>
      <c r="N1133" s="80"/>
      <c r="O1133" s="80"/>
      <c r="P1133" s="80" t="str">
        <f>IFERROR(__xludf.DUMMYFUNCTION("""COMPUTED_VALUE"""),"MUCSPA63572PSIND")</f>
        <v>MUCSPA63572PSIND</v>
      </c>
      <c r="Q1133" s="80" t="str">
        <f>IFERROR(__xludf.DUMMYFUNCTION("""COMPUTED_VALUE"""),"MUC PARUNG SEAH")</f>
        <v>MUC PARUNG SEAH</v>
      </c>
      <c r="R1133" s="80" t="str">
        <f>IFERROR(__xludf.DUMMYFUNCTION("""COMPUTED_VALUE"""),"MUC PARUNG SEAH")</f>
        <v>MUC PARUNG SEAH</v>
      </c>
      <c r="S1133" s="80" t="str">
        <f>IFERROR(__xludf.DUMMYFUNCTION("""COMPUTED_VALUE"""),"KOMARDIJATNO")</f>
        <v>KOMARDIJATNO</v>
      </c>
      <c r="T1133" s="80" t="str">
        <f>IFERROR(__xludf.DUMMYFUNCTION("""COMPUTED_VALUE"""),"JL KOPENG GG H BAKRI NO 29 RT 02 RW 03, KARAMAT, GUNUNG PUYUH, SUKABUMI")</f>
        <v>JL KOPENG GG H BAKRI NO 29 RT 02 RW 03, KARAMAT, GUNUNG PUYUH, SUKABUMI</v>
      </c>
      <c r="U1133" s="80" t="str">
        <f>IFERROR(__xludf.DUMMYFUNCTION("""COMPUTED_VALUE"""),"JL. PARUNGSEAH NO.2 RT 03 RW 09")</f>
        <v>JL. PARUNGSEAH NO.2 RT 03 RW 09</v>
      </c>
      <c r="V1133" s="80" t="str">
        <f>IFERROR(__xludf.DUMMYFUNCTION("""COMPUTED_VALUE"""),"RT 02  \ RW 03,")</f>
        <v>RT 02  \ RW 03,</v>
      </c>
      <c r="W1133" s="80" t="str">
        <f>IFERROR(__xludf.DUMMYFUNCTION("""COMPUTED_VALUE"""),"PARUNGSEAH")</f>
        <v>PARUNGSEAH</v>
      </c>
      <c r="X1133" s="80" t="str">
        <f>IFERROR(__xludf.DUMMYFUNCTION("""COMPUTED_VALUE"""),"SUKABUMI")</f>
        <v>SUKABUMI</v>
      </c>
      <c r="Y1133" s="80" t="str">
        <f>IFERROR(__xludf.DUMMYFUNCTION("""COMPUTED_VALUE"""),"KAB.SUKABUMI")</f>
        <v>KAB.SUKABUMI</v>
      </c>
      <c r="Z1133" s="80" t="str">
        <f>IFERROR(__xludf.DUMMYFUNCTION("""COMPUTED_VALUE"""),"JAWA BARAT")</f>
        <v>JAWA BARAT</v>
      </c>
      <c r="AA1133" s="80" t="str">
        <f>IFERROR(__xludf.DUMMYFUNCTION("""COMPUTED_VALUE"""),"43151")</f>
        <v>43151</v>
      </c>
      <c r="AB1133" s="80" t="str">
        <f>IFERROR(__xludf.DUMMYFUNCTION("""COMPUTED_VALUE"""),"3272012705690001")</f>
        <v>3272012705690001</v>
      </c>
      <c r="AC1133" s="80" t="str">
        <f>IFERROR(__xludf.DUMMYFUNCTION("""COMPUTED_VALUE"""),"32.720.102.1-203.0001")</f>
        <v>32.720.102.1-203.0001</v>
      </c>
      <c r="AD1133" s="80" t="str">
        <f>IFERROR(__xludf.DUMMYFUNCTION("""COMPUTED_VALUE"""),"CUM - LP - ANGGI")</f>
        <v>CUM - LP - ANGGI</v>
      </c>
      <c r="AE1133" s="80" t="str">
        <f>IFERROR(__xludf.DUMMYFUNCTION("""COMPUTED_VALUE"""),"CUM - LP - ANGGI")</f>
        <v>CUM - LP - ANGGI</v>
      </c>
      <c r="AF1133" s="80" t="str">
        <f>IFERROR(__xludf.DUMMYFUNCTION("""COMPUTED_VALUE"""),"08156304703")</f>
        <v>08156304703</v>
      </c>
      <c r="AG1133" s="80" t="str">
        <f>IFERROR(__xludf.DUMMYFUNCTION("""COMPUTED_VALUE"""),"8156304703")</f>
        <v>8156304703</v>
      </c>
      <c r="AH1133" s="80" t="str">
        <f>IFERROR(__xludf.DUMMYFUNCTION("""COMPUTED_VALUE"""),"komar.diyatno@gmail.com")</f>
        <v>komar.diyatno@gmail.com</v>
      </c>
      <c r="AI1133" s="80"/>
      <c r="AJ1133" s="80"/>
      <c r="AK1133" s="80"/>
      <c r="AL1133" s="80"/>
      <c r="AM1133" s="80" t="str">
        <f>IFERROR(__xludf.DUMMYFUNCTION("""COMPUTED_VALUE"""),"KANTOR REGIONAL III BANDUNG 40004")</f>
        <v>KANTOR REGIONAL III BANDUNG 40004</v>
      </c>
      <c r="AN1133" s="80" t="str">
        <f>IFERROR(__xludf.DUMMYFUNCTION("""COMPUTED_VALUE"""),"KC SUKABUMI 43100")</f>
        <v>KC SUKABUMI 43100</v>
      </c>
      <c r="AO1133" s="80" t="str">
        <f>IFERROR(__xludf.DUMMYFUNCTION("""COMPUTED_VALUE"""),"0107260045599")</f>
        <v>0107260045599</v>
      </c>
      <c r="AP1133" s="80" t="str">
        <f>IFERROR(__xludf.DUMMYFUNCTION("""COMPUTED_VALUE"""),"0107260045599")</f>
        <v>0107260045599</v>
      </c>
      <c r="AQ1133" s="83" t="str">
        <f>IFERROR(__xludf.DUMMYFUNCTION("""COMPUTED_VALUE"""),"901084353657")</f>
        <v>901084353657</v>
      </c>
      <c r="AR1133" s="80" t="str">
        <f>IFERROR(__xludf.DUMMYFUNCTION("""COMPUTED_VALUE"""),"Seabank")</f>
        <v>Seabank</v>
      </c>
      <c r="AS1133" s="80" t="str">
        <f>IFERROR(__xludf.DUMMYFUNCTION("""COMPUTED_VALUE"""),"KOMARDIJATNO")</f>
        <v>KOMARDIJATNO</v>
      </c>
      <c r="AT1133" s="80" t="str">
        <f>IFERROR(__xludf.DUMMYFUNCTION("""COMPUTED_VALUE"""),"-69,018,868")</f>
        <v>-69,018,868</v>
      </c>
      <c r="AU1133" s="80" t="str">
        <f>IFERROR(__xludf.DUMMYFUNCTION("""COMPUTED_VALUE"""),"1,069,280,908")</f>
        <v>1,069,280,908</v>
      </c>
      <c r="AV1133" s="80"/>
      <c r="AW1133" s="80"/>
      <c r="AX1133" s="80"/>
      <c r="AY1133" s="80"/>
      <c r="AZ1133" s="80"/>
      <c r="BA1133" s="80"/>
      <c r="BB1133" s="80"/>
      <c r="BC1133" s="80"/>
      <c r="BD1133" s="80"/>
      <c r="BE1133" s="80"/>
      <c r="BF1133" s="80"/>
      <c r="BG1133" s="80"/>
      <c r="BH1133" s="80"/>
      <c r="BI1133" s="80"/>
      <c r="BJ1133" s="80"/>
      <c r="BK1133" s="80"/>
      <c r="BL1133" s="80"/>
      <c r="BM1133" s="80"/>
      <c r="BN1133" s="80"/>
      <c r="BO1133" s="80"/>
      <c r="BP1133" s="80"/>
      <c r="BQ1133" s="80"/>
      <c r="BR1133" s="80"/>
      <c r="BS1133" s="80"/>
      <c r="BT1133" s="80"/>
      <c r="BU1133" s="80"/>
      <c r="BV1133" s="80"/>
      <c r="BW1133" s="80"/>
      <c r="BX1133" s="80"/>
      <c r="BY1133" s="80"/>
      <c r="BZ1133" s="80"/>
      <c r="CA1133" s="80"/>
      <c r="CB1133" s="80"/>
      <c r="CC1133" s="80"/>
      <c r="CD1133" s="80"/>
      <c r="CE1133" s="80"/>
      <c r="CF1133" s="80"/>
      <c r="CG1133" s="80"/>
      <c r="CH1133" s="80"/>
      <c r="CI1133" s="80"/>
      <c r="CJ1133" s="80"/>
      <c r="CK1133" s="2"/>
    </row>
    <row r="1134" ht="12.75" customHeight="1">
      <c r="A1134" s="85">
        <f>IFERROR(__xludf.DUMMYFUNCTION("""COMPUTED_VALUE"""),1130.0)</f>
        <v>1130</v>
      </c>
      <c r="B1134" s="85"/>
      <c r="C1134" s="85"/>
      <c r="D1134" s="86">
        <f>IFERROR(__xludf.DUMMYFUNCTION("""COMPUTED_VALUE"""),46205.0)</f>
        <v>46205</v>
      </c>
      <c r="E1134" s="88"/>
      <c r="F1134" s="85"/>
      <c r="G1134" s="86">
        <f>IFERROR(__xludf.DUMMYFUNCTION("""COMPUTED_VALUE"""),46237.0)</f>
        <v>46237</v>
      </c>
      <c r="H1134" s="85"/>
      <c r="I1134" s="85"/>
      <c r="J1134" s="85"/>
      <c r="K1134" s="85"/>
      <c r="L1134" s="85">
        <f>IFERROR(__xludf.DUMMYFUNCTION("""COMPUTED_VALUE"""),32.0)</f>
        <v>32</v>
      </c>
      <c r="M1134" s="85"/>
      <c r="N1134" s="85"/>
      <c r="O1134" s="85"/>
      <c r="P1134" s="85" t="str">
        <f>IFERROR(__xludf.DUMMYFUNCTION("""COMPUTED_VALUE"""),"MUCSPA63576PSIND")</f>
        <v>MUCSPA63576PSIND</v>
      </c>
      <c r="Q1134" s="85" t="str">
        <f>IFERROR(__xludf.DUMMYFUNCTION("""COMPUTED_VALUE"""),"MUC Zakirfasir ATK")</f>
        <v>MUC Zakirfasir ATK</v>
      </c>
      <c r="R1134" s="85" t="str">
        <f>IFERROR(__xludf.DUMMYFUNCTION("""COMPUTED_VALUE"""),"MUC Zakirfasir ATK")</f>
        <v>MUC Zakirfasir ATK</v>
      </c>
      <c r="S1134" s="85" t="str">
        <f>IFERROR(__xludf.DUMMYFUNCTION("""COMPUTED_VALUE"""),"FADHLULLAH MUDZAKKIR")</f>
        <v>FADHLULLAH MUDZAKKIR</v>
      </c>
      <c r="T1134" s="85" t="str">
        <f>IFERROR(__xludf.DUMMYFUNCTION("""COMPUTED_VALUE"""),"DUSUN SALAK RT O RW 0, PADANG, MANGGENG, KAB.ACEH BARAT DAYA")</f>
        <v>DUSUN SALAK RT O RW 0, PADANG, MANGGENG, KAB.ACEH BARAT DAYA</v>
      </c>
      <c r="U1134" s="85" t="str">
        <f>IFERROR(__xludf.DUMMYFUNCTION("""COMPUTED_VALUE"""),"JL. PENDIDIKAN NO.33")</f>
        <v>JL. PENDIDIKAN NO.33</v>
      </c>
      <c r="V1134" s="85" t="str">
        <f>IFERROR(__xludf.DUMMYFUNCTION("""COMPUTED_VALUE"""),"RT O R \ RW 0,")</f>
        <v>RT O R \ RW 0,</v>
      </c>
      <c r="W1134" s="85" t="str">
        <f>IFERROR(__xludf.DUMMYFUNCTION("""COMPUTED_VALUE"""),"MEUDANG ARA")</f>
        <v>MEUDANG ARA</v>
      </c>
      <c r="X1134" s="85" t="str">
        <f>IFERROR(__xludf.DUMMYFUNCTION("""COMPUTED_VALUE"""),"BLANG PIDIE")</f>
        <v>BLANG PIDIE</v>
      </c>
      <c r="Y1134" s="85" t="str">
        <f>IFERROR(__xludf.DUMMYFUNCTION("""COMPUTED_VALUE"""),"KAB.ACEH BARAT DAYA")</f>
        <v>KAB.ACEH BARAT DAYA</v>
      </c>
      <c r="Z1134" s="85" t="str">
        <f>IFERROR(__xludf.DUMMYFUNCTION("""COMPUTED_VALUE"""),"ACEH")</f>
        <v>ACEH</v>
      </c>
      <c r="AA1134" s="85" t="str">
        <f>IFERROR(__xludf.DUMMYFUNCTION("""COMPUTED_VALUE"""),"23764")</f>
        <v>23764</v>
      </c>
      <c r="AB1134" s="85" t="str">
        <f>IFERROR(__xludf.DUMMYFUNCTION("""COMPUTED_VALUE"""),"1114020108970003")</f>
        <v>1114020108970003</v>
      </c>
      <c r="AC1134" s="85" t="str">
        <f>IFERROR(__xludf.DUMMYFUNCTION("""COMPUTED_VALUE"""),"53.021.797.5-106.000")</f>
        <v>53.021.797.5-106.000</v>
      </c>
      <c r="AD1134" s="85" t="str">
        <f>IFERROR(__xludf.DUMMYFUNCTION("""COMPUTED_VALUE"""),"CUM - PS - RIFI")</f>
        <v>CUM - PS - RIFI</v>
      </c>
      <c r="AE1134" s="85" t="str">
        <f>IFERROR(__xludf.DUMMYFUNCTION("""COMPUTED_VALUE"""),"CUM - PS - RIFI")</f>
        <v>CUM - PS - RIFI</v>
      </c>
      <c r="AF1134" s="85" t="str">
        <f>IFERROR(__xludf.DUMMYFUNCTION("""COMPUTED_VALUE"""),"085260411776")</f>
        <v>085260411776</v>
      </c>
      <c r="AG1134" s="85" t="str">
        <f>IFERROR(__xludf.DUMMYFUNCTION("""COMPUTED_VALUE"""),"85260411776")</f>
        <v>85260411776</v>
      </c>
      <c r="AH1134" s="85" t="str">
        <f>IFERROR(__xludf.DUMMYFUNCTION("""COMPUTED_VALUE"""),"mfadh70@gmail.com")</f>
        <v>mfadh70@gmail.com</v>
      </c>
      <c r="AI1134" s="85" t="str">
        <f>IFERROR(__xludf.DUMMYFUNCTION("""COMPUTED_VALUE"""),"23764S1")</f>
        <v>23764S1</v>
      </c>
      <c r="AJ1134" s="85" t="str">
        <f>IFERROR(__xludf.DUMMYFUNCTION("""COMPUTED_VALUE"""),"6a6c5b4eda7054ecd3048796")</f>
        <v>6a6c5b4eda7054ecd3048796</v>
      </c>
      <c r="AK1134" s="85" t="str">
        <f>IFERROR(__xludf.DUMMYFUNCTION("""COMPUTED_VALUE"""),"mfadh70@gmail.com")</f>
        <v>mfadh70@gmail.com</v>
      </c>
      <c r="AL1134" s="85" t="str">
        <f>IFERROR(__xludf.DUMMYFUNCTION("""COMPUTED_VALUE"""),"#Muc23764S1$")</f>
        <v>#Muc23764S1$</v>
      </c>
      <c r="AM1134" s="85" t="str">
        <f>IFERROR(__xludf.DUMMYFUNCTION("""COMPUTED_VALUE"""),"KANTOR REGIONAL I MEDAN 20004")</f>
        <v>KANTOR REGIONAL I MEDAN 20004</v>
      </c>
      <c r="AN1134" s="85" t="str">
        <f>IFERROR(__xludf.DUMMYFUNCTION("""COMPUTED_VALUE"""),"KC TAPAKTUAN 23700")</f>
        <v>KC TAPAKTUAN 23700</v>
      </c>
      <c r="AO1134" s="85" t="str">
        <f>IFERROR(__xludf.DUMMYFUNCTION("""COMPUTED_VALUE"""),"0901250015347")</f>
        <v>0901250015347</v>
      </c>
      <c r="AP1134" s="85" t="str">
        <f>IFERROR(__xludf.DUMMYFUNCTION("""COMPUTED_VALUE"""),"0901250015347")</f>
        <v>0901250015347</v>
      </c>
      <c r="AQ1134" s="93" t="str">
        <f>IFERROR(__xludf.DUMMYFUNCTION("""COMPUTED_VALUE"""),"7158812503")</f>
        <v>7158812503</v>
      </c>
      <c r="AR1134" s="85" t="str">
        <f>IFERROR(__xludf.DUMMYFUNCTION("""COMPUTED_VALUE"""),"BSI")</f>
        <v>BSI</v>
      </c>
      <c r="AS1134" s="85" t="str">
        <f>IFERROR(__xludf.DUMMYFUNCTION("""COMPUTED_VALUE"""),"FADHLULLAH MUDZAKKIR")</f>
        <v>FADHLULLAH MUDZAKKIR</v>
      </c>
      <c r="AT1134" s="85" t="str">
        <f>IFERROR(__xludf.DUMMYFUNCTION("""COMPUTED_VALUE"""),"37,403,809")</f>
        <v>37,403,809</v>
      </c>
      <c r="AU1134" s="85" t="str">
        <f>IFERROR(__xludf.DUMMYFUNCTION("""COMPUTED_VALUE"""),"968,353,059")</f>
        <v>968,353,059</v>
      </c>
      <c r="AV1134" s="85"/>
      <c r="AW1134" s="85"/>
      <c r="AX1134" s="85"/>
      <c r="AY1134" s="85"/>
      <c r="AZ1134" s="85"/>
      <c r="BA1134" s="85"/>
      <c r="BB1134" s="85"/>
      <c r="BC1134" s="85"/>
      <c r="BD1134" s="85"/>
      <c r="BE1134" s="85"/>
      <c r="BF1134" s="85"/>
      <c r="BG1134" s="85"/>
      <c r="BH1134" s="85"/>
      <c r="BI1134" s="85"/>
      <c r="BJ1134" s="85"/>
      <c r="BK1134" s="85"/>
      <c r="BL1134" s="85"/>
      <c r="BM1134" s="85"/>
      <c r="BN1134" s="85"/>
      <c r="BO1134" s="85"/>
      <c r="BP1134" s="85"/>
      <c r="BQ1134" s="85"/>
      <c r="BR1134" s="85"/>
      <c r="BS1134" s="85"/>
      <c r="BT1134" s="85"/>
      <c r="BU1134" s="85"/>
      <c r="BV1134" s="85"/>
      <c r="BW1134" s="85"/>
      <c r="BX1134" s="85"/>
      <c r="BY1134" s="85"/>
      <c r="BZ1134" s="85"/>
      <c r="CA1134" s="85"/>
      <c r="CB1134" s="85"/>
      <c r="CC1134" s="85"/>
      <c r="CD1134" s="85"/>
      <c r="CE1134" s="85"/>
      <c r="CF1134" s="85"/>
      <c r="CG1134" s="85"/>
      <c r="CH1134" s="85"/>
      <c r="CI1134" s="85"/>
      <c r="CJ1134" s="85"/>
      <c r="CK1134" s="2"/>
    </row>
    <row r="1135" ht="12.75" customHeight="1">
      <c r="A1135" s="80">
        <f>IFERROR(__xludf.DUMMYFUNCTION("""COMPUTED_VALUE"""),1131.0)</f>
        <v>1131</v>
      </c>
      <c r="B1135" s="80"/>
      <c r="C1135" s="80"/>
      <c r="D1135" s="81">
        <f>IFERROR(__xludf.DUMMYFUNCTION("""COMPUTED_VALUE"""),46205.0)</f>
        <v>46205</v>
      </c>
      <c r="E1135" s="82"/>
      <c r="F1135" s="80"/>
      <c r="G1135" s="81"/>
      <c r="H1135" s="80"/>
      <c r="I1135" s="80"/>
      <c r="J1135" s="80"/>
      <c r="K1135" s="80"/>
      <c r="L1135" s="80"/>
      <c r="M1135" s="80"/>
      <c r="N1135" s="80"/>
      <c r="O1135" s="80"/>
      <c r="P1135" s="80" t="str">
        <f>IFERROR(__xludf.DUMMYFUNCTION("""COMPUTED_VALUE"""),"52BSPA07859JTAMT")</f>
        <v>52BSPA07859JTAMT</v>
      </c>
      <c r="Q1135" s="80" t="str">
        <f>IFERROR(__xludf.DUMMYFUNCTION("""COMPUTED_VALUE"""),"MUC BRANJANGAN")</f>
        <v>MUC BRANJANGAN</v>
      </c>
      <c r="R1135" s="80" t="str">
        <f>IFERROR(__xludf.DUMMYFUNCTION("""COMPUTED_VALUE"""),"MUC BRANJANGAN")</f>
        <v>MUC BRANJANGAN</v>
      </c>
      <c r="S1135" s="80" t="str">
        <f>IFERROR(__xludf.DUMMYFUNCTION("""COMPUTED_VALUE"""),"FARID HIMAWAN")</f>
        <v>FARID HIMAWAN</v>
      </c>
      <c r="T1135" s="80" t="str">
        <f>IFERROR(__xludf.DUMMYFUNCTION("""COMPUTED_VALUE"""),"PERBAL RT 05 RW 04, MRANAK, WONOSALAM, KAB.DEMAK")</f>
        <v>PERBAL RT 05 RW 04, MRANAK, WONOSALAM, KAB.DEMAK</v>
      </c>
      <c r="U1135" s="80" t="str">
        <f>IFERROR(__xludf.DUMMYFUNCTION("""COMPUTED_VALUE"""),"JL. RAYA DEMAK - KUDUS, KRAPYAK, BINTORO")</f>
        <v>JL. RAYA DEMAK - KUDUS, KRAPYAK, BINTORO</v>
      </c>
      <c r="V1135" s="80" t="str">
        <f>IFERROR(__xludf.DUMMYFUNCTION("""COMPUTED_VALUE"""),"RT 05  \ RW 04,")</f>
        <v>RT 05  \ RW 04,</v>
      </c>
      <c r="W1135" s="80" t="str">
        <f>IFERROR(__xludf.DUMMYFUNCTION("""COMPUTED_VALUE"""),"BINTORO")</f>
        <v>BINTORO</v>
      </c>
      <c r="X1135" s="80" t="str">
        <f>IFERROR(__xludf.DUMMYFUNCTION("""COMPUTED_VALUE"""),"DEMAK")</f>
        <v>DEMAK</v>
      </c>
      <c r="Y1135" s="80" t="str">
        <f>IFERROR(__xludf.DUMMYFUNCTION("""COMPUTED_VALUE"""),"DEMAK")</f>
        <v>DEMAK</v>
      </c>
      <c r="Z1135" s="80" t="str">
        <f>IFERROR(__xludf.DUMMYFUNCTION("""COMPUTED_VALUE"""),"JAWA TENGAH")</f>
        <v>JAWA TENGAH</v>
      </c>
      <c r="AA1135" s="80" t="str">
        <f>IFERROR(__xludf.DUMMYFUNCTION("""COMPUTED_VALUE"""),"59511")</f>
        <v>59511</v>
      </c>
      <c r="AB1135" s="80" t="str">
        <f>IFERROR(__xludf.DUMMYFUNCTION("""COMPUTED_VALUE"""),"3321062810820005")</f>
        <v>3321062810820005</v>
      </c>
      <c r="AC1135" s="80" t="str">
        <f>IFERROR(__xludf.DUMMYFUNCTION("""COMPUTED_VALUE"""),"33.210.628.1-082.0005")</f>
        <v>33.210.628.1-082.0005</v>
      </c>
      <c r="AD1135" s="80" t="str">
        <f>IFERROR(__xludf.DUMMYFUNCTION("""COMPUTED_VALUE"""),"CUM - AMT")</f>
        <v>CUM - AMT</v>
      </c>
      <c r="AE1135" s="80" t="str">
        <f>IFERROR(__xludf.DUMMYFUNCTION("""COMPUTED_VALUE"""),"CUM - AMT")</f>
        <v>CUM - AMT</v>
      </c>
      <c r="AF1135" s="80" t="str">
        <f>IFERROR(__xludf.DUMMYFUNCTION("""COMPUTED_VALUE"""),"085710314604")</f>
        <v>085710314604</v>
      </c>
      <c r="AG1135" s="80" t="str">
        <f>IFERROR(__xludf.DUMMYFUNCTION("""COMPUTED_VALUE"""),"85710314604")</f>
        <v>85710314604</v>
      </c>
      <c r="AH1135" s="80" t="str">
        <f>IFERROR(__xludf.DUMMYFUNCTION("""COMPUTED_VALUE"""),"cahayacenter28@gmail.com")</f>
        <v>cahayacenter28@gmail.com</v>
      </c>
      <c r="AI1135" s="80"/>
      <c r="AJ1135" s="80"/>
      <c r="AK1135" s="80"/>
      <c r="AL1135" s="80"/>
      <c r="AM1135" s="80" t="str">
        <f>IFERROR(__xludf.DUMMYFUNCTION("""COMPUTED_VALUE"""),"KANTOR REGIONAL IV SEMARANG 50004")</f>
        <v>KANTOR REGIONAL IV SEMARANG 50004</v>
      </c>
      <c r="AN1135" s="80" t="str">
        <f>IFERROR(__xludf.DUMMYFUNCTION("""COMPUTED_VALUE"""),"KCU SEMARANG 50000")</f>
        <v>KCU SEMARANG 50000</v>
      </c>
      <c r="AO1135" s="80" t="str">
        <f>IFERROR(__xludf.DUMMYFUNCTION("""COMPUTED_VALUE"""),"0207260104899")</f>
        <v>0207260104899</v>
      </c>
      <c r="AP1135" s="80" t="str">
        <f>IFERROR(__xludf.DUMMYFUNCTION("""COMPUTED_VALUE"""),"0207260104899")</f>
        <v>0207260104899</v>
      </c>
      <c r="AQ1135" s="83" t="str">
        <f>IFERROR(__xludf.DUMMYFUNCTION("""COMPUTED_VALUE"""),"588201019145535")</f>
        <v>588201019145535</v>
      </c>
      <c r="AR1135" s="80" t="str">
        <f>IFERROR(__xludf.DUMMYFUNCTION("""COMPUTED_VALUE"""),"BRI")</f>
        <v>BRI</v>
      </c>
      <c r="AS1135" s="80" t="str">
        <f>IFERROR(__xludf.DUMMYFUNCTION("""COMPUTED_VALUE"""),"FARID HIMAWAN")</f>
        <v>FARID HIMAWAN</v>
      </c>
      <c r="AT1135" s="80" t="str">
        <f>IFERROR(__xludf.DUMMYFUNCTION("""COMPUTED_VALUE"""),"-68,868,355")</f>
        <v>-68,868,355</v>
      </c>
      <c r="AU1135" s="80" t="str">
        <f>IFERROR(__xludf.DUMMYFUNCTION("""COMPUTED_VALUE"""),"1,106,519,518")</f>
        <v>1,106,519,518</v>
      </c>
      <c r="AV1135" s="80"/>
      <c r="AW1135" s="80"/>
      <c r="AX1135" s="80"/>
      <c r="AY1135" s="80"/>
      <c r="AZ1135" s="80"/>
      <c r="BA1135" s="80"/>
      <c r="BB1135" s="80"/>
      <c r="BC1135" s="80"/>
      <c r="BD1135" s="80"/>
      <c r="BE1135" s="80"/>
      <c r="BF1135" s="80"/>
      <c r="BG1135" s="80"/>
      <c r="BH1135" s="80"/>
      <c r="BI1135" s="80"/>
      <c r="BJ1135" s="80"/>
      <c r="BK1135" s="80"/>
      <c r="BL1135" s="80"/>
      <c r="BM1135" s="80"/>
      <c r="BN1135" s="80"/>
      <c r="BO1135" s="80"/>
      <c r="BP1135" s="80"/>
      <c r="BQ1135" s="80"/>
      <c r="BR1135" s="80"/>
      <c r="BS1135" s="80"/>
      <c r="BT1135" s="80"/>
      <c r="BU1135" s="80"/>
      <c r="BV1135" s="80"/>
      <c r="BW1135" s="80"/>
      <c r="BX1135" s="80"/>
      <c r="BY1135" s="80"/>
      <c r="BZ1135" s="80"/>
      <c r="CA1135" s="80"/>
      <c r="CB1135" s="80"/>
      <c r="CC1135" s="80"/>
      <c r="CD1135" s="80"/>
      <c r="CE1135" s="80"/>
      <c r="CF1135" s="80"/>
      <c r="CG1135" s="80"/>
      <c r="CH1135" s="80"/>
      <c r="CI1135" s="80"/>
      <c r="CJ1135" s="80"/>
      <c r="CK1135" s="2"/>
    </row>
    <row r="1136" ht="12.75" customHeight="1">
      <c r="A1136" s="85">
        <f>IFERROR(__xludf.DUMMYFUNCTION("""COMPUTED_VALUE"""),1132.0)</f>
        <v>1132</v>
      </c>
      <c r="B1136" s="85"/>
      <c r="C1136" s="85"/>
      <c r="D1136" s="86">
        <f>IFERROR(__xludf.DUMMYFUNCTION("""COMPUTED_VALUE"""),46206.0)</f>
        <v>46206</v>
      </c>
      <c r="E1136" s="88"/>
      <c r="F1136" s="85"/>
      <c r="G1136" s="86">
        <f>IFERROR(__xludf.DUMMYFUNCTION("""COMPUTED_VALUE"""),46244.0)</f>
        <v>46244</v>
      </c>
      <c r="H1136" s="85"/>
      <c r="I1136" s="85"/>
      <c r="J1136" s="85"/>
      <c r="K1136" s="85"/>
      <c r="L1136" s="85">
        <f>IFERROR(__xludf.DUMMYFUNCTION("""COMPUTED_VALUE"""),38.0)</f>
        <v>38</v>
      </c>
      <c r="M1136" s="85"/>
      <c r="N1136" s="85"/>
      <c r="O1136" s="85"/>
      <c r="P1136" s="85" t="str">
        <f>IFERROR(__xludf.DUMMYFUNCTION("""COMPUTED_VALUE"""),"MUCSPA63578PSIND")</f>
        <v>MUCSPA63578PSIND</v>
      </c>
      <c r="Q1136" s="85" t="str">
        <f>IFERROR(__xludf.DUMMYFUNCTION("""COMPUTED_VALUE"""),"MUC PERBUTULAN")</f>
        <v>MUC PERBUTULAN</v>
      </c>
      <c r="R1136" s="85" t="str">
        <f>IFERROR(__xludf.DUMMYFUNCTION("""COMPUTED_VALUE"""),"MUC PERBUTULAN")</f>
        <v>MUC PERBUTULAN</v>
      </c>
      <c r="S1136" s="85" t="str">
        <f>IFERROR(__xludf.DUMMYFUNCTION("""COMPUTED_VALUE"""),"DENDY WANDANA")</f>
        <v>DENDY WANDANA</v>
      </c>
      <c r="T1136" s="85" t="str">
        <f>IFERROR(__xludf.DUMMYFUNCTION("""COMPUTED_VALUE"""),"JL FATAHILLAH GG PELINGGIHAN NO 30 RT 13 RW 05 PERBUTULAN, SUMBER, KAB.CIREBON")</f>
        <v>JL FATAHILLAH GG PELINGGIHAN NO 30 RT 13 RW 05 PERBUTULAN, SUMBER, KAB.CIREBON</v>
      </c>
      <c r="U1136" s="85" t="str">
        <f>IFERROR(__xludf.DUMMYFUNCTION("""COMPUTED_VALUE"""),"JL. FATAHILLAH NO. 58 RT 13 RW 05")</f>
        <v>JL. FATAHILLAH NO. 58 RT 13 RW 05</v>
      </c>
      <c r="V1136" s="85" t="str">
        <f>IFERROR(__xludf.DUMMYFUNCTION("""COMPUTED_VALUE"""),"RT 13  \ RW 05")</f>
        <v>RT 13  \ RW 05</v>
      </c>
      <c r="W1136" s="85" t="str">
        <f>IFERROR(__xludf.DUMMYFUNCTION("""COMPUTED_VALUE"""),"PERBUTULAN")</f>
        <v>PERBUTULAN</v>
      </c>
      <c r="X1136" s="85" t="str">
        <f>IFERROR(__xludf.DUMMYFUNCTION("""COMPUTED_VALUE"""),"SUMBER")</f>
        <v>SUMBER</v>
      </c>
      <c r="Y1136" s="85" t="str">
        <f>IFERROR(__xludf.DUMMYFUNCTION("""COMPUTED_VALUE"""),"KAB.CIREBON")</f>
        <v>KAB.CIREBON</v>
      </c>
      <c r="Z1136" s="85" t="str">
        <f>IFERROR(__xludf.DUMMYFUNCTION("""COMPUTED_VALUE"""),"JAWA BARAT")</f>
        <v>JAWA BARAT</v>
      </c>
      <c r="AA1136" s="85" t="str">
        <f>IFERROR(__xludf.DUMMYFUNCTION("""COMPUTED_VALUE"""),"45613")</f>
        <v>45613</v>
      </c>
      <c r="AB1136" s="85" t="str">
        <f>IFERROR(__xludf.DUMMYFUNCTION("""COMPUTED_VALUE"""),"3274030610760003")</f>
        <v>3274030610760003</v>
      </c>
      <c r="AC1136" s="85" t="str">
        <f>IFERROR(__xludf.DUMMYFUNCTION("""COMPUTED_VALUE"""),"54.622.681.2-426.000")</f>
        <v>54.622.681.2-426.000</v>
      </c>
      <c r="AD1136" s="85" t="str">
        <f>IFERROR(__xludf.DUMMYFUNCTION("""COMPUTED_VALUE"""),"PAK LUCKY")</f>
        <v>PAK LUCKY</v>
      </c>
      <c r="AE1136" s="85" t="str">
        <f>IFERROR(__xludf.DUMMYFUNCTION("""COMPUTED_VALUE"""),"PAK LUCKY")</f>
        <v>PAK LUCKY</v>
      </c>
      <c r="AF1136" s="85" t="str">
        <f>IFERROR(__xludf.DUMMYFUNCTION("""COMPUTED_VALUE"""),"081222266363")</f>
        <v>081222266363</v>
      </c>
      <c r="AG1136" s="85" t="str">
        <f>IFERROR(__xludf.DUMMYFUNCTION("""COMPUTED_VALUE"""),"81222266363")</f>
        <v>81222266363</v>
      </c>
      <c r="AH1136" s="85" t="str">
        <f>IFERROR(__xludf.DUMMYFUNCTION("""COMPUTED_VALUE"""),"mitraperbutulan@gmail.com")</f>
        <v>mitraperbutulan@gmail.com</v>
      </c>
      <c r="AI1136" s="85" t="str">
        <f>IFERROR(__xludf.DUMMYFUNCTION("""COMPUTED_VALUE"""),"45613S1")</f>
        <v>45613S1</v>
      </c>
      <c r="AJ1136" s="85" t="str">
        <f>IFERROR(__xludf.DUMMYFUNCTION("""COMPUTED_VALUE"""),"6a788d4b22388aca47074bdb")</f>
        <v>6a788d4b22388aca47074bdb</v>
      </c>
      <c r="AK1136" s="85" t="str">
        <f>IFERROR(__xludf.DUMMYFUNCTION("""COMPUTED_VALUE"""),"mitraperbutulan@gmail.com")</f>
        <v>mitraperbutulan@gmail.com</v>
      </c>
      <c r="AL1136" s="85" t="str">
        <f>IFERROR(__xludf.DUMMYFUNCTION("""COMPUTED_VALUE"""),"#Muc45613S1$")</f>
        <v>#Muc45613S1$</v>
      </c>
      <c r="AM1136" s="85" t="str">
        <f>IFERROR(__xludf.DUMMYFUNCTION("""COMPUTED_VALUE"""),"KANTOR REGIONAL III BANDUNG 40004")</f>
        <v>KANTOR REGIONAL III BANDUNG 40004</v>
      </c>
      <c r="AN1136" s="85" t="str">
        <f>IFERROR(__xludf.DUMMYFUNCTION("""COMPUTED_VALUE"""),"KCU CIREBON 45100")</f>
        <v>KCU CIREBON 45100</v>
      </c>
      <c r="AO1136" s="85" t="str">
        <f>IFERROR(__xludf.DUMMYFUNCTION("""COMPUTED_VALUE"""),"2405260044331")</f>
        <v>2405260044331</v>
      </c>
      <c r="AP1136" s="85" t="str">
        <f>IFERROR(__xludf.DUMMYFUNCTION("""COMPUTED_VALUE"""),"2405260044331")</f>
        <v>2405260044331</v>
      </c>
      <c r="AQ1136" s="93" t="str">
        <f>IFERROR(__xludf.DUMMYFUNCTION("""COMPUTED_VALUE"""),"1340022266364")</f>
        <v>1340022266364</v>
      </c>
      <c r="AR1136" s="85" t="str">
        <f>IFERROR(__xludf.DUMMYFUNCTION("""COMPUTED_VALUE"""),"MANDIRI")</f>
        <v>MANDIRI</v>
      </c>
      <c r="AS1136" s="85" t="str">
        <f>IFERROR(__xludf.DUMMYFUNCTION("""COMPUTED_VALUE"""),"DENDY WANDANA")</f>
        <v>DENDY WANDANA</v>
      </c>
      <c r="AT1136" s="85" t="str">
        <f>IFERROR(__xludf.DUMMYFUNCTION("""COMPUTED_VALUE"""),"-67,550,332")</f>
        <v>-67,550,332</v>
      </c>
      <c r="AU1136" s="85" t="str">
        <f>IFERROR(__xludf.DUMMYFUNCTION("""COMPUTED_VALUE"""),"1,084,878,217")</f>
        <v>1,084,878,217</v>
      </c>
      <c r="AV1136" s="85"/>
      <c r="AW1136" s="85"/>
      <c r="AX1136" s="85"/>
      <c r="AY1136" s="85"/>
      <c r="AZ1136" s="85"/>
      <c r="BA1136" s="85"/>
      <c r="BB1136" s="85"/>
      <c r="BC1136" s="85"/>
      <c r="BD1136" s="85"/>
      <c r="BE1136" s="85"/>
      <c r="BF1136" s="85"/>
      <c r="BG1136" s="85"/>
      <c r="BH1136" s="85"/>
      <c r="BI1136" s="85"/>
      <c r="BJ1136" s="85"/>
      <c r="BK1136" s="85"/>
      <c r="BL1136" s="85"/>
      <c r="BM1136" s="85"/>
      <c r="BN1136" s="85"/>
      <c r="BO1136" s="85"/>
      <c r="BP1136" s="85"/>
      <c r="BQ1136" s="85"/>
      <c r="BR1136" s="85"/>
      <c r="BS1136" s="85"/>
      <c r="BT1136" s="85"/>
      <c r="BU1136" s="85"/>
      <c r="BV1136" s="85"/>
      <c r="BW1136" s="85"/>
      <c r="BX1136" s="85"/>
      <c r="BY1136" s="85"/>
      <c r="BZ1136" s="85"/>
      <c r="CA1136" s="85"/>
      <c r="CB1136" s="85"/>
      <c r="CC1136" s="85"/>
      <c r="CD1136" s="85"/>
      <c r="CE1136" s="85"/>
      <c r="CF1136" s="85"/>
      <c r="CG1136" s="85"/>
      <c r="CH1136" s="85"/>
      <c r="CI1136" s="85"/>
      <c r="CJ1136" s="85"/>
      <c r="CK1136" s="2"/>
    </row>
    <row r="1137" ht="12.75" customHeight="1">
      <c r="A1137" s="80">
        <f>IFERROR(__xludf.DUMMYFUNCTION("""COMPUTED_VALUE"""),1133.0)</f>
        <v>1133</v>
      </c>
      <c r="B1137" s="80"/>
      <c r="C1137" s="80"/>
      <c r="D1137" s="81">
        <f>IFERROR(__xludf.DUMMYFUNCTION("""COMPUTED_VALUE"""),46206.0)</f>
        <v>46206</v>
      </c>
      <c r="E1137" s="82"/>
      <c r="F1137" s="80"/>
      <c r="G1137" s="81">
        <f>IFERROR(__xludf.DUMMYFUNCTION("""COMPUTED_VALUE"""),46228.0)</f>
        <v>46228</v>
      </c>
      <c r="H1137" s="80"/>
      <c r="I1137" s="80"/>
      <c r="J1137" s="80"/>
      <c r="K1137" s="80"/>
      <c r="L1137" s="80">
        <f>IFERROR(__xludf.DUMMYFUNCTION("""COMPUTED_VALUE"""),22.0)</f>
        <v>22</v>
      </c>
      <c r="M1137" s="80"/>
      <c r="N1137" s="80"/>
      <c r="O1137" s="80"/>
      <c r="P1137" s="80" t="str">
        <f>IFERROR(__xludf.DUMMYFUNCTION("""COMPUTED_VALUE"""),"MUCSPA63564PSIND")</f>
        <v>MUCSPA63564PSIND</v>
      </c>
      <c r="Q1137" s="80" t="str">
        <f>IFERROR(__xludf.DUMMYFUNCTION("""COMPUTED_VALUE"""),"MUC TOKO RAFKA")</f>
        <v>MUC TOKO RAFKA</v>
      </c>
      <c r="R1137" s="80" t="str">
        <f>IFERROR(__xludf.DUMMYFUNCTION("""COMPUTED_VALUE"""),"MUC TOKO RAFKA")</f>
        <v>MUC TOKO RAFKA</v>
      </c>
      <c r="S1137" s="80" t="str">
        <f>IFERROR(__xludf.DUMMYFUNCTION("""COMPUTED_VALUE"""),"ADITYA APRIANTO")</f>
        <v>ADITYA APRIANTO</v>
      </c>
      <c r="T1137" s="80" t="str">
        <f>IFERROR(__xludf.DUMMYFUNCTION("""COMPUTED_VALUE"""),"KP. TUNGGILIS NO. 47 RT 02 RW 13 KEDUNG HALANG, BOGOR UTARA, BOGOR")</f>
        <v>KP. TUNGGILIS NO. 47 RT 02 RW 13 KEDUNG HALANG, BOGOR UTARA, BOGOR</v>
      </c>
      <c r="U1137" s="80" t="str">
        <f>IFERROR(__xludf.DUMMYFUNCTION("""COMPUTED_VALUE"""),"JL. RAYA PEMDA NO. 47 RT 02 RW 13")</f>
        <v>JL. RAYA PEMDA NO. 47 RT 02 RW 13</v>
      </c>
      <c r="V1137" s="80" t="str">
        <f>IFERROR(__xludf.DUMMYFUNCTION("""COMPUTED_VALUE"""),"RT 02  \ RW 13")</f>
        <v>RT 02  \ RW 13</v>
      </c>
      <c r="W1137" s="80" t="str">
        <f>IFERROR(__xludf.DUMMYFUNCTION("""COMPUTED_VALUE"""),"PASIR JAMBU")</f>
        <v>PASIR JAMBU</v>
      </c>
      <c r="X1137" s="80" t="str">
        <f>IFERROR(__xludf.DUMMYFUNCTION("""COMPUTED_VALUE"""),"SUKARAJA")</f>
        <v>SUKARAJA</v>
      </c>
      <c r="Y1137" s="80" t="str">
        <f>IFERROR(__xludf.DUMMYFUNCTION("""COMPUTED_VALUE"""),"KAB.BOGOR")</f>
        <v>KAB.BOGOR</v>
      </c>
      <c r="Z1137" s="80" t="str">
        <f>IFERROR(__xludf.DUMMYFUNCTION("""COMPUTED_VALUE"""),"JAWA BARAT")</f>
        <v>JAWA BARAT</v>
      </c>
      <c r="AA1137" s="80" t="str">
        <f>IFERROR(__xludf.DUMMYFUNCTION("""COMPUTED_VALUE"""),"16158")</f>
        <v>16158</v>
      </c>
      <c r="AB1137" s="80" t="str">
        <f>IFERROR(__xludf.DUMMYFUNCTION("""COMPUTED_VALUE"""),"3271052904910005")</f>
        <v>3271052904910005</v>
      </c>
      <c r="AC1137" s="80" t="str">
        <f>IFERROR(__xludf.DUMMYFUNCTION("""COMPUTED_VALUE"""),"76.053.304.2-404.000")</f>
        <v>76.053.304.2-404.000</v>
      </c>
      <c r="AD1137" s="80" t="str">
        <f>IFERROR(__xludf.DUMMYFUNCTION("""COMPUTED_VALUE"""),"CUM - LP - ANGGI")</f>
        <v>CUM - LP - ANGGI</v>
      </c>
      <c r="AE1137" s="80" t="str">
        <f>IFERROR(__xludf.DUMMYFUNCTION("""COMPUTED_VALUE"""),"CUM - LP - ANGGI")</f>
        <v>CUM - LP - ANGGI</v>
      </c>
      <c r="AF1137" s="80" t="str">
        <f>IFERROR(__xludf.DUMMYFUNCTION("""COMPUTED_VALUE"""),"08989444709")</f>
        <v>08989444709</v>
      </c>
      <c r="AG1137" s="80" t="str">
        <f>IFERROR(__xludf.DUMMYFUNCTION("""COMPUTED_VALUE"""),"8989444709")</f>
        <v>8989444709</v>
      </c>
      <c r="AH1137" s="80" t="str">
        <f>IFERROR(__xludf.DUMMYFUNCTION("""COMPUTED_VALUE"""),"adityarisma2906@gmail.com")</f>
        <v>adityarisma2906@gmail.com</v>
      </c>
      <c r="AI1137" s="80" t="str">
        <f>IFERROR(__xludf.DUMMYFUNCTION("""COMPUTED_VALUE"""),"16717S1")</f>
        <v>16717S1</v>
      </c>
      <c r="AJ1137" s="80" t="str">
        <f>IFERROR(__xludf.DUMMYFUNCTION("""COMPUTED_VALUE"""),"6a6316872dacea951209b6d5")</f>
        <v>6a6316872dacea951209b6d5</v>
      </c>
      <c r="AK1137" s="80" t="str">
        <f>IFERROR(__xludf.DUMMYFUNCTION("""COMPUTED_VALUE"""),"adityarisma2906@gmail.com")</f>
        <v>adityarisma2906@gmail.com</v>
      </c>
      <c r="AL1137" s="80" t="str">
        <f>IFERROR(__xludf.DUMMYFUNCTION("""COMPUTED_VALUE"""),"#Muc16717S1$")</f>
        <v>#Muc16717S1$</v>
      </c>
      <c r="AM1137" s="80" t="str">
        <f>IFERROR(__xludf.DUMMYFUNCTION("""COMPUTED_VALUE"""),"KANTOR REGIONAL II JAKARTA 10004")</f>
        <v>KANTOR REGIONAL II JAKARTA 10004</v>
      </c>
      <c r="AN1137" s="80" t="str">
        <f>IFERROR(__xludf.DUMMYFUNCTION("""COMPUTED_VALUE"""),"KCU BOGOR 16000")</f>
        <v>KCU BOGOR 16000</v>
      </c>
      <c r="AO1137" s="80" t="str">
        <f>IFERROR(__xludf.DUMMYFUNCTION("""COMPUTED_VALUE"""),"0307260044216")</f>
        <v>0307260044216</v>
      </c>
      <c r="AP1137" s="80" t="str">
        <f>IFERROR(__xludf.DUMMYFUNCTION("""COMPUTED_VALUE"""),"0307260044216")</f>
        <v>0307260044216</v>
      </c>
      <c r="AQ1137" s="83" t="str">
        <f>IFERROR(__xludf.DUMMYFUNCTION("""COMPUTED_VALUE"""),"007428164198")</f>
        <v>007428164198</v>
      </c>
      <c r="AR1137" s="80" t="str">
        <f>IFERROR(__xludf.DUMMYFUNCTION("""COMPUTED_VALUE"""),"BCA")</f>
        <v>BCA</v>
      </c>
      <c r="AS1137" s="80" t="str">
        <f>IFERROR(__xludf.DUMMYFUNCTION("""COMPUTED_VALUE"""),"ADITYA APRIANTO")</f>
        <v>ADITYA APRIANTO</v>
      </c>
      <c r="AT1137" s="80" t="str">
        <f>IFERROR(__xludf.DUMMYFUNCTION("""COMPUTED_VALUE"""),"-65,420,944")</f>
        <v>-65,420,944</v>
      </c>
      <c r="AU1137" s="80" t="str">
        <f>IFERROR(__xludf.DUMMYFUNCTION("""COMPUTED_VALUE"""),"106,805,282")</f>
        <v>106,805,282</v>
      </c>
      <c r="AV1137" s="80"/>
      <c r="AW1137" s="80"/>
      <c r="AX1137" s="80"/>
      <c r="AY1137" s="80"/>
      <c r="AZ1137" s="80"/>
      <c r="BA1137" s="80"/>
      <c r="BB1137" s="80"/>
      <c r="BC1137" s="80"/>
      <c r="BD1137" s="80"/>
      <c r="BE1137" s="80"/>
      <c r="BF1137" s="80"/>
      <c r="BG1137" s="80"/>
      <c r="BH1137" s="80"/>
      <c r="BI1137" s="80"/>
      <c r="BJ1137" s="80"/>
      <c r="BK1137" s="80"/>
      <c r="BL1137" s="80"/>
      <c r="BM1137" s="80"/>
      <c r="BN1137" s="80"/>
      <c r="BO1137" s="80"/>
      <c r="BP1137" s="80"/>
      <c r="BQ1137" s="80"/>
      <c r="BR1137" s="80"/>
      <c r="BS1137" s="80"/>
      <c r="BT1137" s="80"/>
      <c r="BU1137" s="80"/>
      <c r="BV1137" s="80"/>
      <c r="BW1137" s="80"/>
      <c r="BX1137" s="80"/>
      <c r="BY1137" s="80"/>
      <c r="BZ1137" s="80"/>
      <c r="CA1137" s="80"/>
      <c r="CB1137" s="80"/>
      <c r="CC1137" s="80"/>
      <c r="CD1137" s="80"/>
      <c r="CE1137" s="80"/>
      <c r="CF1137" s="80"/>
      <c r="CG1137" s="80"/>
      <c r="CH1137" s="80"/>
      <c r="CI1137" s="80"/>
      <c r="CJ1137" s="80"/>
      <c r="CK1137" s="2"/>
    </row>
    <row r="1138" ht="12.75" customHeight="1">
      <c r="A1138" s="85">
        <f>IFERROR(__xludf.DUMMYFUNCTION("""COMPUTED_VALUE"""),1134.0)</f>
        <v>1134</v>
      </c>
      <c r="B1138" s="85"/>
      <c r="C1138" s="85"/>
      <c r="D1138" s="86">
        <f>IFERROR(__xludf.DUMMYFUNCTION("""COMPUTED_VALUE"""),46206.0)</f>
        <v>46206</v>
      </c>
      <c r="E1138" s="88"/>
      <c r="F1138" s="85"/>
      <c r="G1138" s="86">
        <f>IFERROR(__xludf.DUMMYFUNCTION("""COMPUTED_VALUE"""),46219.0)</f>
        <v>46219</v>
      </c>
      <c r="H1138" s="85"/>
      <c r="I1138" s="85"/>
      <c r="J1138" s="85"/>
      <c r="K1138" s="85"/>
      <c r="L1138" s="85">
        <f>IFERROR(__xludf.DUMMYFUNCTION("""COMPUTED_VALUE"""),13.0)</f>
        <v>13</v>
      </c>
      <c r="M1138" s="85"/>
      <c r="N1138" s="85"/>
      <c r="O1138" s="85"/>
      <c r="P1138" s="85" t="str">
        <f>IFERROR(__xludf.DUMMYFUNCTION("""COMPUTED_VALUE"""),"53BSPA17109JBEEN")</f>
        <v>53BSPA17109JBEEN</v>
      </c>
      <c r="Q1138" s="85" t="str">
        <f>IFERROR(__xludf.DUMMYFUNCTION("""COMPUTED_VALUE"""),"MUC BOJONG RAYA CENGKARENG")</f>
        <v>MUC BOJONG RAYA CENGKARENG</v>
      </c>
      <c r="R1138" s="85" t="str">
        <f>IFERROR(__xludf.DUMMYFUNCTION("""COMPUTED_VALUE"""),"MUC BOJONG RAYA CENGKARENG")</f>
        <v>MUC BOJONG RAYA CENGKARENG</v>
      </c>
      <c r="S1138" s="85" t="str">
        <f>IFERROR(__xludf.DUMMYFUNCTION("""COMPUTED_VALUE"""),"ADI SAPUTRO")</f>
        <v>ADI SAPUTRO</v>
      </c>
      <c r="T1138" s="85" t="str">
        <f>IFERROR(__xludf.DUMMYFUNCTION("""COMPUTED_VALUE"""),"JL BOJONGRAYA RT 05 RW 04, RAWA BUAYA, CENGKARENG, JAKARTA BARAT")</f>
        <v>JL BOJONGRAYA RT 05 RW 04, RAWA BUAYA, CENGKARENG, JAKARTA BARAT</v>
      </c>
      <c r="U1138" s="85" t="str">
        <f>IFERROR(__xludf.DUMMYFUNCTION("""COMPUTED_VALUE"""),"JL. BOJONG RAYA NO.62 RT 05 RW 04")</f>
        <v>JL. BOJONG RAYA NO.62 RT 05 RW 04</v>
      </c>
      <c r="V1138" s="85" t="str">
        <f>IFERROR(__xludf.DUMMYFUNCTION("""COMPUTED_VALUE"""),"RT 05  \ RW 04,")</f>
        <v>RT 05  \ RW 04,</v>
      </c>
      <c r="W1138" s="85" t="str">
        <f>IFERROR(__xludf.DUMMYFUNCTION("""COMPUTED_VALUE"""),"RAWA BUAYA")</f>
        <v>RAWA BUAYA</v>
      </c>
      <c r="X1138" s="85" t="str">
        <f>IFERROR(__xludf.DUMMYFUNCTION("""COMPUTED_VALUE"""),"CENGKARENG")</f>
        <v>CENGKARENG</v>
      </c>
      <c r="Y1138" s="85" t="str">
        <f>IFERROR(__xludf.DUMMYFUNCTION("""COMPUTED_VALUE"""),"JAKARTA BARAT")</f>
        <v>JAKARTA BARAT</v>
      </c>
      <c r="Z1138" s="85" t="str">
        <f>IFERROR(__xludf.DUMMYFUNCTION("""COMPUTED_VALUE"""),"DKI JAKARTA")</f>
        <v>DKI JAKARTA</v>
      </c>
      <c r="AA1138" s="85" t="str">
        <f>IFERROR(__xludf.DUMMYFUNCTION("""COMPUTED_VALUE"""),"11740")</f>
        <v>11740</v>
      </c>
      <c r="AB1138" s="85" t="str">
        <f>IFERROR(__xludf.DUMMYFUNCTION("""COMPUTED_VALUE"""),"3175061611800008")</f>
        <v>3175061611800008</v>
      </c>
      <c r="AC1138" s="85" t="str">
        <f>IFERROR(__xludf.DUMMYFUNCTION("""COMPUTED_VALUE"""),"24.912.590.7-004.000")</f>
        <v>24.912.590.7-004.000</v>
      </c>
      <c r="AD1138" s="85" t="str">
        <f>IFERROR(__xludf.DUMMYFUNCTION("""COMPUTED_VALUE"""),"CUM - EEN")</f>
        <v>CUM - EEN</v>
      </c>
      <c r="AE1138" s="85" t="str">
        <f>IFERROR(__xludf.DUMMYFUNCTION("""COMPUTED_VALUE"""),"CUM - EEN")</f>
        <v>CUM - EEN</v>
      </c>
      <c r="AF1138" s="85" t="str">
        <f>IFERROR(__xludf.DUMMYFUNCTION("""COMPUTED_VALUE"""),"0816338048")</f>
        <v>0816338048</v>
      </c>
      <c r="AG1138" s="85" t="str">
        <f>IFERROR(__xludf.DUMMYFUNCTION("""COMPUTED_VALUE"""),"816338048")</f>
        <v>816338048</v>
      </c>
      <c r="AH1138" s="85" t="str">
        <f>IFERROR(__xludf.DUMMYFUNCTION("""COMPUTED_VALUE"""),"papa.adsap@gmail.com")</f>
        <v>papa.adsap@gmail.com</v>
      </c>
      <c r="AI1138" s="85" t="str">
        <f>IFERROR(__xludf.DUMMYFUNCTION("""COMPUTED_VALUE"""),"11740S5")</f>
        <v>11740S5</v>
      </c>
      <c r="AJ1138" s="85" t="str">
        <f>IFERROR(__xludf.DUMMYFUNCTION("""COMPUTED_VALUE"""),"6a58833ae17e449b9005b751")</f>
        <v>6a58833ae17e449b9005b751</v>
      </c>
      <c r="AK1138" s="85"/>
      <c r="AL1138" s="85"/>
      <c r="AM1138" s="85" t="str">
        <f>IFERROR(__xludf.DUMMYFUNCTION("""COMPUTED_VALUE"""),"KANTOR REGIONAL II JAKARTA 10004")</f>
        <v>KANTOR REGIONAL II JAKARTA 10004</v>
      </c>
      <c r="AN1138" s="85" t="str">
        <f>IFERROR(__xludf.DUMMYFUNCTION("""COMPUTED_VALUE"""),"KCU JAKARTAOCEANIA 11000")</f>
        <v>KCU JAKARTAOCEANIA 11000</v>
      </c>
      <c r="AO1138" s="85" t="str">
        <f>IFERROR(__xludf.DUMMYFUNCTION("""COMPUTED_VALUE"""),"2207250066435")</f>
        <v>2207250066435</v>
      </c>
      <c r="AP1138" s="85" t="str">
        <f>IFERROR(__xludf.DUMMYFUNCTION("""COMPUTED_VALUE"""),"2207250066435")</f>
        <v>2207250066435</v>
      </c>
      <c r="AQ1138" s="93" t="str">
        <f>IFERROR(__xludf.DUMMYFUNCTION("""COMPUTED_VALUE"""),"1180011155396")</f>
        <v>1180011155396</v>
      </c>
      <c r="AR1138" s="85" t="str">
        <f>IFERROR(__xludf.DUMMYFUNCTION("""COMPUTED_VALUE"""),"MANDIRI")</f>
        <v>MANDIRI</v>
      </c>
      <c r="AS1138" s="85" t="str">
        <f>IFERROR(__xludf.DUMMYFUNCTION("""COMPUTED_VALUE"""),"ADI SAPUTRO")</f>
        <v>ADI SAPUTRO</v>
      </c>
      <c r="AT1138" s="85" t="str">
        <f>IFERROR(__xludf.DUMMYFUNCTION("""COMPUTED_VALUE"""),"-61,696,652")</f>
        <v>-61,696,652</v>
      </c>
      <c r="AU1138" s="85" t="str">
        <f>IFERROR(__xludf.DUMMYFUNCTION("""COMPUTED_VALUE"""),"1,067,341,287")</f>
        <v>1,067,341,287</v>
      </c>
      <c r="AV1138" s="85"/>
      <c r="AW1138" s="85"/>
      <c r="AX1138" s="85"/>
      <c r="AY1138" s="85"/>
      <c r="AZ1138" s="85"/>
      <c r="BA1138" s="85"/>
      <c r="BB1138" s="85"/>
      <c r="BC1138" s="85"/>
      <c r="BD1138" s="85"/>
      <c r="BE1138" s="85"/>
      <c r="BF1138" s="85"/>
      <c r="BG1138" s="85"/>
      <c r="BH1138" s="85"/>
      <c r="BI1138" s="85"/>
      <c r="BJ1138" s="85"/>
      <c r="BK1138" s="85"/>
      <c r="BL1138" s="85"/>
      <c r="BM1138" s="85"/>
      <c r="BN1138" s="85"/>
      <c r="BO1138" s="85"/>
      <c r="BP1138" s="85"/>
      <c r="BQ1138" s="85"/>
      <c r="BR1138" s="85"/>
      <c r="BS1138" s="85"/>
      <c r="BT1138" s="85"/>
      <c r="BU1138" s="85"/>
      <c r="BV1138" s="85"/>
      <c r="BW1138" s="85"/>
      <c r="BX1138" s="85"/>
      <c r="BY1138" s="85"/>
      <c r="BZ1138" s="85"/>
      <c r="CA1138" s="85"/>
      <c r="CB1138" s="85"/>
      <c r="CC1138" s="85"/>
      <c r="CD1138" s="85"/>
      <c r="CE1138" s="85"/>
      <c r="CF1138" s="85"/>
      <c r="CG1138" s="85"/>
      <c r="CH1138" s="85"/>
      <c r="CI1138" s="85"/>
      <c r="CJ1138" s="85"/>
      <c r="CK1138" s="2"/>
    </row>
    <row r="1139" ht="12.75" customHeight="1">
      <c r="A1139" s="80">
        <f>IFERROR(__xludf.DUMMYFUNCTION("""COMPUTED_VALUE"""),1135.0)</f>
        <v>1135</v>
      </c>
      <c r="B1139" s="80"/>
      <c r="C1139" s="80"/>
      <c r="D1139" s="81">
        <f>IFERROR(__xludf.DUMMYFUNCTION("""COMPUTED_VALUE"""),46206.0)</f>
        <v>46206</v>
      </c>
      <c r="E1139" s="82"/>
      <c r="F1139" s="80"/>
      <c r="G1139" s="81">
        <f>IFERROR(__xludf.DUMMYFUNCTION("""COMPUTED_VALUE"""),46262.0)</f>
        <v>46262</v>
      </c>
      <c r="H1139" s="80"/>
      <c r="I1139" s="80"/>
      <c r="J1139" s="80"/>
      <c r="K1139" s="80"/>
      <c r="L1139" s="80">
        <f>IFERROR(__xludf.DUMMYFUNCTION("""COMPUTED_VALUE"""),56.0)</f>
        <v>56</v>
      </c>
      <c r="M1139" s="80"/>
      <c r="N1139" s="80"/>
      <c r="O1139" s="80"/>
      <c r="P1139" s="80" t="str">
        <f>IFERROR(__xludf.DUMMYFUNCTION("""COMPUTED_VALUE"""),"MUCSPA63580PSIND")</f>
        <v>MUCSPA63580PSIND</v>
      </c>
      <c r="Q1139" s="80" t="str">
        <f>IFERROR(__xludf.DUMMYFUNCTION("""COMPUTED_VALUE"""),"MUC ALI")</f>
        <v>MUC ALI</v>
      </c>
      <c r="R1139" s="80" t="str">
        <f>IFERROR(__xludf.DUMMYFUNCTION("""COMPUTED_VALUE"""),"MUC ALI")</f>
        <v>MUC ALI</v>
      </c>
      <c r="S1139" s="80" t="str">
        <f>IFERROR(__xludf.DUMMYFUNCTION("""COMPUTED_VALUE"""),"ANGGI KANIA PUTRI")</f>
        <v>ANGGI KANIA PUTRI</v>
      </c>
      <c r="T1139" s="80" t="str">
        <f>IFERROR(__xludf.DUMMYFUNCTION("""COMPUTED_VALUE"""),"DUSUN III RT 01 RW 03, SUKAHARJA, CIBINGBIN, KAB.KUNINGAN")</f>
        <v>DUSUN III RT 01 RW 03, SUKAHARJA, CIBINGBIN, KAB.KUNINGAN</v>
      </c>
      <c r="U1139" s="80" t="str">
        <f>IFERROR(__xludf.DUMMYFUNCTION("""COMPUTED_VALUE"""),"JL. DESA SUKAHARJA RT 01 RW 03 DUSUN 3")</f>
        <v>JL. DESA SUKAHARJA RT 01 RW 03 DUSUN 3</v>
      </c>
      <c r="V1139" s="80" t="str">
        <f>IFERROR(__xludf.DUMMYFUNCTION("""COMPUTED_VALUE"""),"RT 01  \ RW 03,")</f>
        <v>RT 01  \ RW 03,</v>
      </c>
      <c r="W1139" s="80" t="str">
        <f>IFERROR(__xludf.DUMMYFUNCTION("""COMPUTED_VALUE"""),"SUKAHARJA")</f>
        <v>SUKAHARJA</v>
      </c>
      <c r="X1139" s="80" t="str">
        <f>IFERROR(__xludf.DUMMYFUNCTION("""COMPUTED_VALUE"""),"CIBINGBIN")</f>
        <v>CIBINGBIN</v>
      </c>
      <c r="Y1139" s="80" t="str">
        <f>IFERROR(__xludf.DUMMYFUNCTION("""COMPUTED_VALUE"""),"KAB.KUNINGAN")</f>
        <v>KAB.KUNINGAN</v>
      </c>
      <c r="Z1139" s="80" t="str">
        <f>IFERROR(__xludf.DUMMYFUNCTION("""COMPUTED_VALUE"""),"JAWA BARAT")</f>
        <v>JAWA BARAT</v>
      </c>
      <c r="AA1139" s="80" t="str">
        <f>IFERROR(__xludf.DUMMYFUNCTION("""COMPUTED_VALUE"""),"45587")</f>
        <v>45587</v>
      </c>
      <c r="AB1139" s="80" t="str">
        <f>IFERROR(__xludf.DUMMYFUNCTION("""COMPUTED_VALUE"""),"3208056210980002")</f>
        <v>3208056210980002</v>
      </c>
      <c r="AC1139" s="80" t="str">
        <f>IFERROR(__xludf.DUMMYFUNCTION("""COMPUTED_VALUE"""),"96.549.593.0-438.000")</f>
        <v>96.549.593.0-438.000</v>
      </c>
      <c r="AD1139" s="80" t="str">
        <f>IFERROR(__xludf.DUMMYFUNCTION("""COMPUTED_VALUE"""),"CUM - PS - ANO")</f>
        <v>CUM - PS - ANO</v>
      </c>
      <c r="AE1139" s="80" t="str">
        <f>IFERROR(__xludf.DUMMYFUNCTION("""COMPUTED_VALUE"""),"CUM - PS - ANO")</f>
        <v>CUM - PS - ANO</v>
      </c>
      <c r="AF1139" s="80" t="str">
        <f>IFERROR(__xludf.DUMMYFUNCTION("""COMPUTED_VALUE"""),"085659616490")</f>
        <v>085659616490</v>
      </c>
      <c r="AG1139" s="80" t="str">
        <f>IFERROR(__xludf.DUMMYFUNCTION("""COMPUTED_VALUE"""),"85659616490")</f>
        <v>85659616490</v>
      </c>
      <c r="AH1139" s="80" t="str">
        <f>IFERROR(__xludf.DUMMYFUNCTION("""COMPUTED_VALUE"""),"anggikaniaputri@gmail.com")</f>
        <v>anggikaniaputri@gmail.com</v>
      </c>
      <c r="AI1139" s="80" t="str">
        <f>IFERROR(__xludf.DUMMYFUNCTION("""COMPUTED_VALUE"""),"45587S3")</f>
        <v>45587S3</v>
      </c>
      <c r="AJ1139" s="80" t="str">
        <f>IFERROR(__xludf.DUMMYFUNCTION("""COMPUTED_VALUE"""),"6a9145c398e92cf59204c810")</f>
        <v>6a9145c398e92cf59204c810</v>
      </c>
      <c r="AK1139" s="80" t="str">
        <f>IFERROR(__xludf.DUMMYFUNCTION("""COMPUTED_VALUE"""),"anggikaniaputri@gmail.com")</f>
        <v>anggikaniaputri@gmail.com</v>
      </c>
      <c r="AL1139" s="80" t="str">
        <f>IFERROR(__xludf.DUMMYFUNCTION("""COMPUTED_VALUE"""),"#Muc45587S3$")</f>
        <v>#Muc45587S3$</v>
      </c>
      <c r="AM1139" s="80" t="str">
        <f>IFERROR(__xludf.DUMMYFUNCTION("""COMPUTED_VALUE"""),"KANTOR REGIONAL III BANDUNG 40004")</f>
        <v>KANTOR REGIONAL III BANDUNG 40004</v>
      </c>
      <c r="AN1139" s="80" t="str">
        <f>IFERROR(__xludf.DUMMYFUNCTION("""COMPUTED_VALUE"""),"KC KUNINGAN 45500")</f>
        <v>KC KUNINGAN 45500</v>
      </c>
      <c r="AO1139" s="80" t="str">
        <f>IFERROR(__xludf.DUMMYFUNCTION("""COMPUTED_VALUE"""),"0307260080655")</f>
        <v>0307260080655</v>
      </c>
      <c r="AP1139" s="80" t="str">
        <f>IFERROR(__xludf.DUMMYFUNCTION("""COMPUTED_VALUE"""),"0307260080655")</f>
        <v>0307260080655</v>
      </c>
      <c r="AQ1139" s="83" t="str">
        <f>IFERROR(__xludf.DUMMYFUNCTION("""COMPUTED_VALUE"""),"1340032769191")</f>
        <v>1340032769191</v>
      </c>
      <c r="AR1139" s="80" t="str">
        <f>IFERROR(__xludf.DUMMYFUNCTION("""COMPUTED_VALUE"""),"MANDIRI")</f>
        <v>MANDIRI</v>
      </c>
      <c r="AS1139" s="80" t="str">
        <f>IFERROR(__xludf.DUMMYFUNCTION("""COMPUTED_VALUE"""),"CECEP TUBAGUS PURNAMA")</f>
        <v>CECEP TUBAGUS PURNAMA</v>
      </c>
      <c r="AT1139" s="80" t="str">
        <f>IFERROR(__xludf.DUMMYFUNCTION("""COMPUTED_VALUE"""),"-70,643,754")</f>
        <v>-70,643,754</v>
      </c>
      <c r="AU1139" s="80" t="str">
        <f>IFERROR(__xludf.DUMMYFUNCTION("""COMPUTED_VALUE"""),"1,087,586,996")</f>
        <v>1,087,586,996</v>
      </c>
      <c r="AV1139" s="80"/>
      <c r="AW1139" s="80"/>
      <c r="AX1139" s="80"/>
      <c r="AY1139" s="80"/>
      <c r="AZ1139" s="80"/>
      <c r="BA1139" s="80"/>
      <c r="BB1139" s="80"/>
      <c r="BC1139" s="80"/>
      <c r="BD1139" s="80"/>
      <c r="BE1139" s="80"/>
      <c r="BF1139" s="80"/>
      <c r="BG1139" s="80"/>
      <c r="BH1139" s="80"/>
      <c r="BI1139" s="80"/>
      <c r="BJ1139" s="80"/>
      <c r="BK1139" s="80"/>
      <c r="BL1139" s="80"/>
      <c r="BM1139" s="80"/>
      <c r="BN1139" s="80"/>
      <c r="BO1139" s="80"/>
      <c r="BP1139" s="80"/>
      <c r="BQ1139" s="80"/>
      <c r="BR1139" s="80"/>
      <c r="BS1139" s="80"/>
      <c r="BT1139" s="80"/>
      <c r="BU1139" s="80"/>
      <c r="BV1139" s="80"/>
      <c r="BW1139" s="80"/>
      <c r="BX1139" s="80"/>
      <c r="BY1139" s="80"/>
      <c r="BZ1139" s="80"/>
      <c r="CA1139" s="80"/>
      <c r="CB1139" s="80"/>
      <c r="CC1139" s="80"/>
      <c r="CD1139" s="80"/>
      <c r="CE1139" s="80"/>
      <c r="CF1139" s="80"/>
      <c r="CG1139" s="80"/>
      <c r="CH1139" s="80"/>
      <c r="CI1139" s="80"/>
      <c r="CJ1139" s="80"/>
      <c r="CK1139" s="2"/>
    </row>
    <row r="1140" ht="12.75" customHeight="1">
      <c r="A1140" s="85">
        <f>IFERROR(__xludf.DUMMYFUNCTION("""COMPUTED_VALUE"""),1136.0)</f>
        <v>1136</v>
      </c>
      <c r="B1140" s="85"/>
      <c r="C1140" s="85"/>
      <c r="D1140" s="86">
        <f>IFERROR(__xludf.DUMMYFUNCTION("""COMPUTED_VALUE"""),46206.0)</f>
        <v>46206</v>
      </c>
      <c r="E1140" s="88"/>
      <c r="F1140" s="85"/>
      <c r="G1140" s="86"/>
      <c r="H1140" s="85"/>
      <c r="I1140" s="85"/>
      <c r="J1140" s="85"/>
      <c r="K1140" s="85"/>
      <c r="L1140" s="85"/>
      <c r="M1140" s="85"/>
      <c r="N1140" s="85"/>
      <c r="O1140" s="85"/>
      <c r="P1140" s="85" t="str">
        <f>IFERROR(__xludf.DUMMYFUNCTION("""COMPUTED_VALUE"""),"MUCSPA63582PSIND")</f>
        <v>MUCSPA63582PSIND</v>
      </c>
      <c r="Q1140" s="85" t="str">
        <f>IFERROR(__xludf.DUMMYFUNCTION("""COMPUTED_VALUE"""),"MUC BUNGUR")</f>
        <v>MUC BUNGUR</v>
      </c>
      <c r="R1140" s="85" t="str">
        <f>IFERROR(__xludf.DUMMYFUNCTION("""COMPUTED_VALUE"""),"MUC BUNGUR")</f>
        <v>MUC BUNGUR</v>
      </c>
      <c r="S1140" s="85" t="str">
        <f>IFERROR(__xludf.DUMMYFUNCTION("""COMPUTED_VALUE"""),"ARIES JAUHARI")</f>
        <v>ARIES JAUHARI</v>
      </c>
      <c r="T1140" s="85" t="str">
        <f>IFERROR(__xludf.DUMMYFUNCTION("""COMPUTED_VALUE"""),"JL KALI BARU TIMUR DLM.I RT.002 RW.009, BUNGUR, SENEN, JAKARTA PUSAT, DKI JAKARTA")</f>
        <v>JL KALI BARU TIMUR DLM.I RT.002 RW.009, BUNGUR, SENEN, JAKARTA PUSAT, DKI JAKARTA</v>
      </c>
      <c r="U1140" s="85" t="str">
        <f>IFERROR(__xludf.DUMMYFUNCTION("""COMPUTED_VALUE"""),"JL. Kali baru timur dalam No. 12A , Rt.001 Rw.09")</f>
        <v>JL. Kali baru timur dalam No. 12A , Rt.001 Rw.09</v>
      </c>
      <c r="V1140" s="85" t="str">
        <f>IFERROR(__xludf.DUMMYFUNCTION("""COMPUTED_VALUE"""),"RT.002 \ RW.009")</f>
        <v>RT.002 \ RW.009</v>
      </c>
      <c r="W1140" s="85" t="str">
        <f>IFERROR(__xludf.DUMMYFUNCTION("""COMPUTED_VALUE"""),"Bungur")</f>
        <v>Bungur</v>
      </c>
      <c r="X1140" s="85" t="str">
        <f>IFERROR(__xludf.DUMMYFUNCTION("""COMPUTED_VALUE"""),"Senen")</f>
        <v>Senen</v>
      </c>
      <c r="Y1140" s="85" t="str">
        <f>IFERROR(__xludf.DUMMYFUNCTION("""COMPUTED_VALUE"""),"Jakarta pusat")</f>
        <v>Jakarta pusat</v>
      </c>
      <c r="Z1140" s="85" t="str">
        <f>IFERROR(__xludf.DUMMYFUNCTION("""COMPUTED_VALUE"""),"DKI JAKARTA")</f>
        <v>DKI JAKARTA</v>
      </c>
      <c r="AA1140" s="85" t="str">
        <f>IFERROR(__xludf.DUMMYFUNCTION("""COMPUTED_VALUE"""),"10460")</f>
        <v>10460</v>
      </c>
      <c r="AB1140" s="85" t="str">
        <f>IFERROR(__xludf.DUMMYFUNCTION("""COMPUTED_VALUE"""),"3171041104690001")</f>
        <v>3171041104690001</v>
      </c>
      <c r="AC1140" s="85" t="str">
        <f>IFERROR(__xludf.DUMMYFUNCTION("""COMPUTED_VALUE"""),"17.607.789.9-023.000")</f>
        <v>17.607.789.9-023.000</v>
      </c>
      <c r="AD1140" s="85" t="str">
        <f>IFERROR(__xludf.DUMMYFUNCTION("""COMPUTED_VALUE"""),"PAK WANTO CENTRUM")</f>
        <v>PAK WANTO CENTRUM</v>
      </c>
      <c r="AE1140" s="85" t="str">
        <f>IFERROR(__xludf.DUMMYFUNCTION("""COMPUTED_VALUE"""),"PAK WANTO CENTRUM")</f>
        <v>PAK WANTO CENTRUM</v>
      </c>
      <c r="AF1140" s="85" t="str">
        <f>IFERROR(__xludf.DUMMYFUNCTION("""COMPUTED_VALUE"""),"081388160545")</f>
        <v>081388160545</v>
      </c>
      <c r="AG1140" s="85" t="str">
        <f>IFERROR(__xludf.DUMMYFUNCTION("""COMPUTED_VALUE"""),"81388160545")</f>
        <v>81388160545</v>
      </c>
      <c r="AH1140" s="85" t="str">
        <f>IFERROR(__xludf.DUMMYFUNCTION("""COMPUTED_VALUE"""),"rinajelitasenen@gmail.com")</f>
        <v>rinajelitasenen@gmail.com</v>
      </c>
      <c r="AI1140" s="85"/>
      <c r="AJ1140" s="85"/>
      <c r="AK1140" s="85"/>
      <c r="AL1140" s="85"/>
      <c r="AM1140" s="85" t="str">
        <f>IFERROR(__xludf.DUMMYFUNCTION("""COMPUTED_VALUE"""),"KANTOR REGIONAL II JAKARTA 10004")</f>
        <v>KANTOR REGIONAL II JAKARTA 10004</v>
      </c>
      <c r="AN1140" s="85" t="str">
        <f>IFERROR(__xludf.DUMMYFUNCTION("""COMPUTED_VALUE"""),"KCU JAKARTACENTRUM 10000")</f>
        <v>KCU JAKARTACENTRUM 10000</v>
      </c>
      <c r="AO1140" s="85" t="str">
        <f>IFERROR(__xludf.DUMMYFUNCTION("""COMPUTED_VALUE"""),"0307260079959")</f>
        <v>0307260079959</v>
      </c>
      <c r="AP1140" s="85" t="str">
        <f>IFERROR(__xludf.DUMMYFUNCTION("""COMPUTED_VALUE"""),"0307260079959")</f>
        <v>0307260079959</v>
      </c>
      <c r="AQ1140" s="93" t="str">
        <f>IFERROR(__xludf.DUMMYFUNCTION("""COMPUTED_VALUE"""),"0281638890")</f>
        <v>0281638890</v>
      </c>
      <c r="AR1140" s="85" t="str">
        <f>IFERROR(__xludf.DUMMYFUNCTION("""COMPUTED_VALUE"""),"BCA")</f>
        <v>BCA</v>
      </c>
      <c r="AS1140" s="85" t="str">
        <f>IFERROR(__xludf.DUMMYFUNCTION("""COMPUTED_VALUE"""),"Oktorina Sari, SE")</f>
        <v>Oktorina Sari, SE</v>
      </c>
      <c r="AT1140" s="85" t="str">
        <f>IFERROR(__xludf.DUMMYFUNCTION("""COMPUTED_VALUE"""),"-6,174,306")</f>
        <v>-6,174,306</v>
      </c>
      <c r="AU1140" s="85" t="str">
        <f>IFERROR(__xludf.DUMMYFUNCTION("""COMPUTED_VALUE"""),"106,847,618")</f>
        <v>106,847,618</v>
      </c>
      <c r="AV1140" s="85"/>
      <c r="AW1140" s="85"/>
      <c r="AX1140" s="85"/>
      <c r="AY1140" s="85"/>
      <c r="AZ1140" s="85"/>
      <c r="BA1140" s="85"/>
      <c r="BB1140" s="85"/>
      <c r="BC1140" s="85"/>
      <c r="BD1140" s="85"/>
      <c r="BE1140" s="85"/>
      <c r="BF1140" s="85"/>
      <c r="BG1140" s="85"/>
      <c r="BH1140" s="85"/>
      <c r="BI1140" s="85"/>
      <c r="BJ1140" s="85"/>
      <c r="BK1140" s="85"/>
      <c r="BL1140" s="85"/>
      <c r="BM1140" s="85"/>
      <c r="BN1140" s="85"/>
      <c r="BO1140" s="85"/>
      <c r="BP1140" s="85"/>
      <c r="BQ1140" s="85"/>
      <c r="BR1140" s="85"/>
      <c r="BS1140" s="85"/>
      <c r="BT1140" s="85"/>
      <c r="BU1140" s="85"/>
      <c r="BV1140" s="85"/>
      <c r="BW1140" s="85"/>
      <c r="BX1140" s="85"/>
      <c r="BY1140" s="85"/>
      <c r="BZ1140" s="85"/>
      <c r="CA1140" s="85"/>
      <c r="CB1140" s="85"/>
      <c r="CC1140" s="85"/>
      <c r="CD1140" s="85"/>
      <c r="CE1140" s="85"/>
      <c r="CF1140" s="85"/>
      <c r="CG1140" s="85"/>
      <c r="CH1140" s="85"/>
      <c r="CI1140" s="85"/>
      <c r="CJ1140" s="85"/>
      <c r="CK1140" s="2"/>
    </row>
    <row r="1141" ht="12.75" customHeight="1">
      <c r="A1141" s="80">
        <f>IFERROR(__xludf.DUMMYFUNCTION("""COMPUTED_VALUE"""),1137.0)</f>
        <v>1137</v>
      </c>
      <c r="B1141" s="80"/>
      <c r="C1141" s="80"/>
      <c r="D1141" s="81">
        <f>IFERROR(__xludf.DUMMYFUNCTION("""COMPUTED_VALUE"""),46206.0)</f>
        <v>46206</v>
      </c>
      <c r="E1141" s="82"/>
      <c r="F1141" s="80"/>
      <c r="G1141" s="81"/>
      <c r="H1141" s="80"/>
      <c r="I1141" s="80"/>
      <c r="J1141" s="80"/>
      <c r="K1141" s="80"/>
      <c r="L1141" s="80"/>
      <c r="M1141" s="80"/>
      <c r="N1141" s="80"/>
      <c r="O1141" s="80"/>
      <c r="P1141" s="80" t="str">
        <f>IFERROR(__xludf.DUMMYFUNCTION("""COMPUTED_VALUE"""),"52BSPA07903JTYNA")</f>
        <v>52BSPA07903JTYNA</v>
      </c>
      <c r="Q1141" s="80" t="str">
        <f>IFERROR(__xludf.DUMMYFUNCTION("""COMPUTED_VALUE"""),"MUC KLIK THE LABEL II")</f>
        <v>MUC KLIK THE LABEL II</v>
      </c>
      <c r="R1141" s="80" t="str">
        <f>IFERROR(__xludf.DUMMYFUNCTION("""COMPUTED_VALUE"""),"MUC KLIK THE LABEL II")</f>
        <v>MUC KLIK THE LABEL II</v>
      </c>
      <c r="S1141" s="80" t="str">
        <f>IFERROR(__xludf.DUMMYFUNCTION("""COMPUTED_VALUE"""),"EKO ERNA RAHMAWATI")</f>
        <v>EKO ERNA RAHMAWATI</v>
      </c>
      <c r="T1141" s="80" t="str">
        <f>IFERROR(__xludf.DUMMYFUNCTION("""COMPUTED_VALUE"""),"PERUM BUMI SINGKIL PERMAI I RT 05 RW 10, KARANGGENENG, BOYOLALI, KAB.BOYOLALI")</f>
        <v>PERUM BUMI SINGKIL PERMAI I RT 05 RW 10, KARANGGENENG, BOYOLALI, KAB.BOYOLALI</v>
      </c>
      <c r="U1141" s="80" t="str">
        <f>IFERROR(__xludf.DUMMYFUNCTION("""COMPUTED_VALUE"""),"JL. PAHLAWAN NO.11 TEGALSARI")</f>
        <v>JL. PAHLAWAN NO.11 TEGALSARI</v>
      </c>
      <c r="V1141" s="80" t="str">
        <f>IFERROR(__xludf.DUMMYFUNCTION("""COMPUTED_VALUE"""),"RT 05  \ RW 10,")</f>
        <v>RT 05  \ RW 10,</v>
      </c>
      <c r="W1141" s="80" t="str">
        <f>IFERROR(__xludf.DUMMYFUNCTION("""COMPUTED_VALUE"""),"SISWODIPURAN")</f>
        <v>SISWODIPURAN</v>
      </c>
      <c r="X1141" s="80" t="str">
        <f>IFERROR(__xludf.DUMMYFUNCTION("""COMPUTED_VALUE"""),"BOYOLALI")</f>
        <v>BOYOLALI</v>
      </c>
      <c r="Y1141" s="80" t="str">
        <f>IFERROR(__xludf.DUMMYFUNCTION("""COMPUTED_VALUE"""),"KAB.BOYOLALI")</f>
        <v>KAB.BOYOLALI</v>
      </c>
      <c r="Z1141" s="80" t="str">
        <f>IFERROR(__xludf.DUMMYFUNCTION("""COMPUTED_VALUE"""),"JAWA TENGAH")</f>
        <v>JAWA TENGAH</v>
      </c>
      <c r="AA1141" s="80" t="str">
        <f>IFERROR(__xludf.DUMMYFUNCTION("""COMPUTED_VALUE"""),"57311")</f>
        <v>57311</v>
      </c>
      <c r="AB1141" s="80" t="str">
        <f>IFERROR(__xludf.DUMMYFUNCTION("""COMPUTED_VALUE"""),"3309054510650003")</f>
        <v>3309054510650003</v>
      </c>
      <c r="AC1141" s="80" t="str">
        <f>IFERROR(__xludf.DUMMYFUNCTION("""COMPUTED_VALUE"""),"78.832.078.6-527.000")</f>
        <v>78.832.078.6-527.000</v>
      </c>
      <c r="AD1141" s="80" t="str">
        <f>IFERROR(__xludf.DUMMYFUNCTION("""COMPUTED_VALUE"""),"SUB YNA")</f>
        <v>SUB YNA</v>
      </c>
      <c r="AE1141" s="80" t="str">
        <f>IFERROR(__xludf.DUMMYFUNCTION("""COMPUTED_VALUE"""),"SUB YNA")</f>
        <v>SUB YNA</v>
      </c>
      <c r="AF1141" s="80" t="str">
        <f>IFERROR(__xludf.DUMMYFUNCTION("""COMPUTED_VALUE"""),"081391229705")</f>
        <v>081391229705</v>
      </c>
      <c r="AG1141" s="80" t="str">
        <f>IFERROR(__xludf.DUMMYFUNCTION("""COMPUTED_VALUE"""),"81391229705")</f>
        <v>81391229705</v>
      </c>
      <c r="AH1141" s="80" t="str">
        <f>IFERROR(__xludf.DUMMYFUNCTION("""COMPUTED_VALUE"""),"nurilrisma02@gmail.com")</f>
        <v>nurilrisma02@gmail.com</v>
      </c>
      <c r="AI1141" s="80"/>
      <c r="AJ1141" s="80"/>
      <c r="AK1141" s="80"/>
      <c r="AL1141" s="80"/>
      <c r="AM1141" s="80" t="str">
        <f>IFERROR(__xludf.DUMMYFUNCTION("""COMPUTED_VALUE"""),"KANTOR REGIONAL IV SEMARANG 50004")</f>
        <v>KANTOR REGIONAL IV SEMARANG 50004</v>
      </c>
      <c r="AN1141" s="80" t="str">
        <f>IFERROR(__xludf.DUMMYFUNCTION("""COMPUTED_VALUE"""),"KC BOYOLALI 57300")</f>
        <v>KC BOYOLALI 57300</v>
      </c>
      <c r="AO1141" s="80" t="str">
        <f>IFERROR(__xludf.DUMMYFUNCTION("""COMPUTED_VALUE"""),"0307260095092")</f>
        <v>0307260095092</v>
      </c>
      <c r="AP1141" s="80" t="str">
        <f>IFERROR(__xludf.DUMMYFUNCTION("""COMPUTED_VALUE"""),"0307260095092")</f>
        <v>0307260095092</v>
      </c>
      <c r="AQ1141" s="83" t="str">
        <f>IFERROR(__xludf.DUMMYFUNCTION("""COMPUTED_VALUE"""),"359001036707535")</f>
        <v>359001036707535</v>
      </c>
      <c r="AR1141" s="80" t="str">
        <f>IFERROR(__xludf.DUMMYFUNCTION("""COMPUTED_VALUE"""),"BRI")</f>
        <v>BRI</v>
      </c>
      <c r="AS1141" s="80" t="str">
        <f>IFERROR(__xludf.DUMMYFUNCTION("""COMPUTED_VALUE"""),"Erwanita Dyah Puri Sintoko")</f>
        <v>Erwanita Dyah Puri Sintoko</v>
      </c>
      <c r="AT1141" s="80" t="str">
        <f>IFERROR(__xludf.DUMMYFUNCTION("""COMPUTED_VALUE"""),"-75,384,844")</f>
        <v>-75,384,844</v>
      </c>
      <c r="AU1141" s="80" t="str">
        <f>IFERROR(__xludf.DUMMYFUNCTION("""COMPUTED_VALUE"""),"1,106,035,431")</f>
        <v>1,106,035,431</v>
      </c>
      <c r="AV1141" s="80"/>
      <c r="AW1141" s="80"/>
      <c r="AX1141" s="80"/>
      <c r="AY1141" s="80"/>
      <c r="AZ1141" s="80"/>
      <c r="BA1141" s="80"/>
      <c r="BB1141" s="80"/>
      <c r="BC1141" s="80"/>
      <c r="BD1141" s="80"/>
      <c r="BE1141" s="80"/>
      <c r="BF1141" s="80"/>
      <c r="BG1141" s="80"/>
      <c r="BH1141" s="80"/>
      <c r="BI1141" s="80"/>
      <c r="BJ1141" s="80"/>
      <c r="BK1141" s="80"/>
      <c r="BL1141" s="80"/>
      <c r="BM1141" s="80"/>
      <c r="BN1141" s="80"/>
      <c r="BO1141" s="80"/>
      <c r="BP1141" s="80"/>
      <c r="BQ1141" s="80"/>
      <c r="BR1141" s="80"/>
      <c r="BS1141" s="80"/>
      <c r="BT1141" s="80"/>
      <c r="BU1141" s="80"/>
      <c r="BV1141" s="80"/>
      <c r="BW1141" s="80"/>
      <c r="BX1141" s="80"/>
      <c r="BY1141" s="80"/>
      <c r="BZ1141" s="80"/>
      <c r="CA1141" s="80"/>
      <c r="CB1141" s="80"/>
      <c r="CC1141" s="80"/>
      <c r="CD1141" s="80"/>
      <c r="CE1141" s="80"/>
      <c r="CF1141" s="80"/>
      <c r="CG1141" s="80"/>
      <c r="CH1141" s="80"/>
      <c r="CI1141" s="80"/>
      <c r="CJ1141" s="80"/>
      <c r="CK1141" s="2"/>
    </row>
    <row r="1142" ht="12.75" customHeight="1">
      <c r="A1142" s="85">
        <f>IFERROR(__xludf.DUMMYFUNCTION("""COMPUTED_VALUE"""),1138.0)</f>
        <v>1138</v>
      </c>
      <c r="B1142" s="85"/>
      <c r="C1142" s="85"/>
      <c r="D1142" s="86">
        <f>IFERROR(__xludf.DUMMYFUNCTION("""COMPUTED_VALUE"""),46206.0)</f>
        <v>46206</v>
      </c>
      <c r="E1142" s="88"/>
      <c r="F1142" s="85"/>
      <c r="G1142" s="86">
        <f>IFERROR(__xludf.DUMMYFUNCTION("""COMPUTED_VALUE"""),46223.0)</f>
        <v>46223</v>
      </c>
      <c r="H1142" s="85"/>
      <c r="I1142" s="85"/>
      <c r="J1142" s="85"/>
      <c r="K1142" s="85"/>
      <c r="L1142" s="85">
        <f>IFERROR(__xludf.DUMMYFUNCTION("""COMPUTED_VALUE"""),17.0)</f>
        <v>17</v>
      </c>
      <c r="M1142" s="85"/>
      <c r="N1142" s="85"/>
      <c r="O1142" s="85"/>
      <c r="P1142" s="85" t="str">
        <f>IFERROR(__xludf.DUMMYFUNCTION("""COMPUTED_VALUE"""),"53BSPA17094JBABD")</f>
        <v>53BSPA17094JBABD</v>
      </c>
      <c r="Q1142" s="85" t="str">
        <f>IFERROR(__xludf.DUMMYFUNCTION("""COMPUTED_VALUE"""),"MUC DENAS")</f>
        <v>MUC DENAS</v>
      </c>
      <c r="R1142" s="85" t="str">
        <f>IFERROR(__xludf.DUMMYFUNCTION("""COMPUTED_VALUE"""),"MUC DENAS")</f>
        <v>MUC DENAS</v>
      </c>
      <c r="S1142" s="85" t="str">
        <f>IFERROR(__xludf.DUMMYFUNCTION("""COMPUTED_VALUE"""),"DEWI NURHULAELA")</f>
        <v>DEWI NURHULAELA</v>
      </c>
      <c r="T1142" s="85" t="str">
        <f>IFERROR(__xludf.DUMMYFUNCTION("""COMPUTED_VALUE"""),"BLOK 05 RT 18 RW 05 PANGURAGAN, PANGURAGAN, KAB.CIREBON")</f>
        <v>BLOK 05 RT 18 RW 05 PANGURAGAN, PANGURAGAN, KAB.CIREBON</v>
      </c>
      <c r="U1142" s="85" t="str">
        <f>IFERROR(__xludf.DUMMYFUNCTION("""COMPUTED_VALUE"""),"PANGURAGAN RESIDENCE JL. KISUMERANG BLOK 5 NO.12 DUSUN EMPAT")</f>
        <v>PANGURAGAN RESIDENCE JL. KISUMERANG BLOK 5 NO.12 DUSUN EMPAT</v>
      </c>
      <c r="V1142" s="85" t="str">
        <f>IFERROR(__xludf.DUMMYFUNCTION("""COMPUTED_VALUE"""),"RT 18  \ RW 05")</f>
        <v>RT 18  \ RW 05</v>
      </c>
      <c r="W1142" s="85" t="str">
        <f>IFERROR(__xludf.DUMMYFUNCTION("""COMPUTED_VALUE"""),"PANGURAGAN KULON")</f>
        <v>PANGURAGAN KULON</v>
      </c>
      <c r="X1142" s="85" t="str">
        <f>IFERROR(__xludf.DUMMYFUNCTION("""COMPUTED_VALUE"""),"PANGURAGAN")</f>
        <v>PANGURAGAN</v>
      </c>
      <c r="Y1142" s="85" t="str">
        <f>IFERROR(__xludf.DUMMYFUNCTION("""COMPUTED_VALUE"""),"KAB.CIREBON")</f>
        <v>KAB.CIREBON</v>
      </c>
      <c r="Z1142" s="85" t="str">
        <f>IFERROR(__xludf.DUMMYFUNCTION("""COMPUTED_VALUE"""),"JAWA BARAT")</f>
        <v>JAWA BARAT</v>
      </c>
      <c r="AA1142" s="85" t="str">
        <f>IFERROR(__xludf.DUMMYFUNCTION("""COMPUTED_VALUE"""),"45163")</f>
        <v>45163</v>
      </c>
      <c r="AB1142" s="85" t="str">
        <f>IFERROR(__xludf.DUMMYFUNCTION("""COMPUTED_VALUE"""),"3209255306680003")</f>
        <v>3209255306680003</v>
      </c>
      <c r="AC1142" s="85" t="str">
        <f>IFERROR(__xludf.DUMMYFUNCTION("""COMPUTED_VALUE"""),"67.720.973.6-426.000")</f>
        <v>67.720.973.6-426.000</v>
      </c>
      <c r="AD1142" s="85" t="str">
        <f>IFERROR(__xludf.DUMMYFUNCTION("""COMPUTED_VALUE"""),"CUM - ABD")</f>
        <v>CUM - ABD</v>
      </c>
      <c r="AE1142" s="85" t="str">
        <f>IFERROR(__xludf.DUMMYFUNCTION("""COMPUTED_VALUE"""),"CUM - ABD")</f>
        <v>CUM - ABD</v>
      </c>
      <c r="AF1142" s="85" t="str">
        <f>IFERROR(__xludf.DUMMYFUNCTION("""COMPUTED_VALUE"""),"085129090055")</f>
        <v>085129090055</v>
      </c>
      <c r="AG1142" s="85" t="str">
        <f>IFERROR(__xludf.DUMMYFUNCTION("""COMPUTED_VALUE"""),"85129090055")</f>
        <v>85129090055</v>
      </c>
      <c r="AH1142" s="85" t="str">
        <f>IFERROR(__xludf.DUMMYFUNCTION("""COMPUTED_VALUE"""),"d.nurhulaela68@gmail.com")</f>
        <v>d.nurhulaela68@gmail.com</v>
      </c>
      <c r="AI1142" s="85" t="str">
        <f>IFERROR(__xludf.DUMMYFUNCTION("""COMPUTED_VALUE"""),"45663S2")</f>
        <v>45663S2</v>
      </c>
      <c r="AJ1142" s="85" t="str">
        <f>IFERROR(__xludf.DUMMYFUNCTION("""COMPUTED_VALUE"""),"6a5d5c738fffb148f00346f5")</f>
        <v>6a5d5c738fffb148f00346f5</v>
      </c>
      <c r="AK1142" s="85" t="str">
        <f>IFERROR(__xludf.DUMMYFUNCTION("""COMPUTED_VALUE"""),"d.nurhulaela68@gmail.com")</f>
        <v>d.nurhulaela68@gmail.com</v>
      </c>
      <c r="AL1142" s="85" t="str">
        <f>IFERROR(__xludf.DUMMYFUNCTION("""COMPUTED_VALUE"""),"#Muc45663S2$")</f>
        <v>#Muc45663S2$</v>
      </c>
      <c r="AM1142" s="85" t="str">
        <f>IFERROR(__xludf.DUMMYFUNCTION("""COMPUTED_VALUE"""),"KANTOR REGIONAL III BANDUNG 40004")</f>
        <v>KANTOR REGIONAL III BANDUNG 40004</v>
      </c>
      <c r="AN1142" s="85" t="str">
        <f>IFERROR(__xludf.DUMMYFUNCTION("""COMPUTED_VALUE"""),"KCU CIREBON 45100")</f>
        <v>KCU CIREBON 45100</v>
      </c>
      <c r="AO1142" s="85" t="str">
        <f>IFERROR(__xludf.DUMMYFUNCTION("""COMPUTED_VALUE"""),"0307260098679")</f>
        <v>0307260098679</v>
      </c>
      <c r="AP1142" s="85" t="str">
        <f>IFERROR(__xludf.DUMMYFUNCTION("""COMPUTED_VALUE"""),"0307260098679")</f>
        <v>0307260098679</v>
      </c>
      <c r="AQ1142" s="93" t="str">
        <f>IFERROR(__xludf.DUMMYFUNCTION("""COMPUTED_VALUE"""),"0380100066888")</f>
        <v>0380100066888</v>
      </c>
      <c r="AR1142" s="85" t="str">
        <f>IFERROR(__xludf.DUMMYFUNCTION("""COMPUTED_VALUE"""),"BJB")</f>
        <v>BJB</v>
      </c>
      <c r="AS1142" s="85" t="str">
        <f>IFERROR(__xludf.DUMMYFUNCTION("""COMPUTED_VALUE"""),"DEWI NURHULAELA")</f>
        <v>DEWI NURHULAELA</v>
      </c>
      <c r="AT1142" s="85" t="str">
        <f>IFERROR(__xludf.DUMMYFUNCTION("""COMPUTED_VALUE"""),"-6,625,836")</f>
        <v>-6,625,836</v>
      </c>
      <c r="AU1142" s="85" t="str">
        <f>IFERROR(__xludf.DUMMYFUNCTION("""COMPUTED_VALUE"""),"1,084,482,327")</f>
        <v>1,084,482,327</v>
      </c>
      <c r="AV1142" s="85"/>
      <c r="AW1142" s="85"/>
      <c r="AX1142" s="85"/>
      <c r="AY1142" s="85"/>
      <c r="AZ1142" s="85"/>
      <c r="BA1142" s="85"/>
      <c r="BB1142" s="85"/>
      <c r="BC1142" s="85"/>
      <c r="BD1142" s="85"/>
      <c r="BE1142" s="85"/>
      <c r="BF1142" s="85"/>
      <c r="BG1142" s="85"/>
      <c r="BH1142" s="85"/>
      <c r="BI1142" s="85"/>
      <c r="BJ1142" s="85"/>
      <c r="BK1142" s="85"/>
      <c r="BL1142" s="85"/>
      <c r="BM1142" s="85"/>
      <c r="BN1142" s="85"/>
      <c r="BO1142" s="85"/>
      <c r="BP1142" s="85"/>
      <c r="BQ1142" s="85"/>
      <c r="BR1142" s="85"/>
      <c r="BS1142" s="85"/>
      <c r="BT1142" s="85"/>
      <c r="BU1142" s="85"/>
      <c r="BV1142" s="85"/>
      <c r="BW1142" s="85"/>
      <c r="BX1142" s="85"/>
      <c r="BY1142" s="85"/>
      <c r="BZ1142" s="85"/>
      <c r="CA1142" s="85"/>
      <c r="CB1142" s="85"/>
      <c r="CC1142" s="85"/>
      <c r="CD1142" s="85"/>
      <c r="CE1142" s="85"/>
      <c r="CF1142" s="85"/>
      <c r="CG1142" s="85"/>
      <c r="CH1142" s="85"/>
      <c r="CI1142" s="85"/>
      <c r="CJ1142" s="85"/>
      <c r="CK1142" s="2"/>
    </row>
    <row r="1143" ht="12.75" customHeight="1">
      <c r="A1143" s="80">
        <f>IFERROR(__xludf.DUMMYFUNCTION("""COMPUTED_VALUE"""),1139.0)</f>
        <v>1139</v>
      </c>
      <c r="B1143" s="80"/>
      <c r="C1143" s="80"/>
      <c r="D1143" s="81">
        <f>IFERROR(__xludf.DUMMYFUNCTION("""COMPUTED_VALUE"""),46209.0)</f>
        <v>46209</v>
      </c>
      <c r="E1143" s="82"/>
      <c r="F1143" s="80"/>
      <c r="G1143" s="81">
        <f>IFERROR(__xludf.DUMMYFUNCTION("""COMPUTED_VALUE"""),46280.0)</f>
        <v>46280</v>
      </c>
      <c r="H1143" s="80"/>
      <c r="I1143" s="80"/>
      <c r="J1143" s="80"/>
      <c r="K1143" s="80"/>
      <c r="L1143" s="80">
        <f>IFERROR(__xludf.DUMMYFUNCTION("""COMPUTED_VALUE"""),71.0)</f>
        <v>71</v>
      </c>
      <c r="M1143" s="80"/>
      <c r="N1143" s="80"/>
      <c r="O1143" s="80"/>
      <c r="P1143" s="80" t="str">
        <f>IFERROR(__xludf.DUMMYFUNCTION("""COMPUTED_VALUE"""),"MUCSPA63583PSIND")</f>
        <v>MUCSPA63583PSIND</v>
      </c>
      <c r="Q1143" s="80" t="str">
        <f>IFERROR(__xludf.DUMMYFUNCTION("""COMPUTED_VALUE"""),"MUC OK FARM JATIGEDE")</f>
        <v>MUC OK FARM JATIGEDE</v>
      </c>
      <c r="R1143" s="80" t="str">
        <f>IFERROR(__xludf.DUMMYFUNCTION("""COMPUTED_VALUE"""),"MUC OK FARM JATIGEDE")</f>
        <v>MUC OK FARM JATIGEDE</v>
      </c>
      <c r="S1143" s="80" t="str">
        <f>IFERROR(__xludf.DUMMYFUNCTION("""COMPUTED_VALUE"""),"ERYCA LUMANAUW")</f>
        <v>ERYCA LUMANAUW</v>
      </c>
      <c r="T1143" s="80" t="str">
        <f>IFERROR(__xludf.DUMMYFUNCTION("""COMPUTED_VALUE"""),"JL. H. MURI SALIM NO. 24 A RT 6 RW 2 PISANGAN CIPUTAT TIMUR")</f>
        <v>JL. H. MURI SALIM NO. 24 A RT 6 RW 2 PISANGAN CIPUTAT TIMUR</v>
      </c>
      <c r="U1143" s="80" t="str">
        <f>IFERROR(__xludf.DUMMYFUNCTION("""COMPUTED_VALUE"""),"DESA KAREDOK RT 9 RW 3")</f>
        <v>DESA KAREDOK RT 9 RW 3</v>
      </c>
      <c r="V1143" s="80" t="str">
        <f>IFERROR(__xludf.DUMMYFUNCTION("""COMPUTED_VALUE"""),"RT 6 R \ RW 2 P")</f>
        <v>RT 6 R \ RW 2 P</v>
      </c>
      <c r="W1143" s="80" t="str">
        <f>IFERROR(__xludf.DUMMYFUNCTION("""COMPUTED_VALUE"""),"KAREDOK")</f>
        <v>KAREDOK</v>
      </c>
      <c r="X1143" s="80" t="str">
        <f>IFERROR(__xludf.DUMMYFUNCTION("""COMPUTED_VALUE"""),"JATIGEDE")</f>
        <v>JATIGEDE</v>
      </c>
      <c r="Y1143" s="80" t="str">
        <f>IFERROR(__xludf.DUMMYFUNCTION("""COMPUTED_VALUE"""),"KAB. SUMEDANG")</f>
        <v>KAB. SUMEDANG</v>
      </c>
      <c r="Z1143" s="80" t="str">
        <f>IFERROR(__xludf.DUMMYFUNCTION("""COMPUTED_VALUE"""),"JAWA BARAT")</f>
        <v>JAWA BARAT</v>
      </c>
      <c r="AA1143" s="80" t="str">
        <f>IFERROR(__xludf.DUMMYFUNCTION("""COMPUTED_VALUE"""),"45374")</f>
        <v>45374</v>
      </c>
      <c r="AB1143" s="80" t="str">
        <f>IFERROR(__xludf.DUMMYFUNCTION("""COMPUTED_VALUE"""),"3674056105810002")</f>
        <v>3674056105810002</v>
      </c>
      <c r="AC1143" s="80" t="str">
        <f>IFERROR(__xludf.DUMMYFUNCTION("""COMPUTED_VALUE"""),"58.488.945.5-411.000")</f>
        <v>58.488.945.5-411.000</v>
      </c>
      <c r="AD1143" s="80" t="str">
        <f>IFERROR(__xludf.DUMMYFUNCTION("""COMPUTED_VALUE"""),"PAK ASEP UMKM")</f>
        <v>PAK ASEP UMKM</v>
      </c>
      <c r="AE1143" s="80" t="str">
        <f>IFERROR(__xludf.DUMMYFUNCTION("""COMPUTED_VALUE"""),"PAK ASEP UMKM")</f>
        <v>PAK ASEP UMKM</v>
      </c>
      <c r="AF1143" s="80" t="str">
        <f>IFERROR(__xludf.DUMMYFUNCTION("""COMPUTED_VALUE"""),"085972705244")</f>
        <v>085972705244</v>
      </c>
      <c r="AG1143" s="80" t="str">
        <f>IFERROR(__xludf.DUMMYFUNCTION("""COMPUTED_VALUE"""),"85972705244")</f>
        <v>85972705244</v>
      </c>
      <c r="AH1143" s="80" t="str">
        <f>IFERROR(__xludf.DUMMYFUNCTION("""COMPUTED_VALUE"""),"okfarmofficial@gmail.com")</f>
        <v>okfarmofficial@gmail.com</v>
      </c>
      <c r="AI1143" s="80" t="str">
        <f>IFERROR(__xludf.DUMMYFUNCTION("""COMPUTED_VALUE"""),"45374S1 ")</f>
        <v>45374S1 </v>
      </c>
      <c r="AJ1143" s="80" t="str">
        <f>IFERROR(__xludf.DUMMYFUNCTION("""COMPUTED_VALUE"""),"6a9d06e0c3ceeeed530bce38 ")</f>
        <v>6a9d06e0c3ceeeed530bce38 </v>
      </c>
      <c r="AK1143" s="80" t="str">
        <f>IFERROR(__xludf.DUMMYFUNCTION("""COMPUTED_VALUE"""),"okfarmofficial@gmail.com")</f>
        <v>okfarmofficial@gmail.com</v>
      </c>
      <c r="AL1143" s="80" t="str">
        <f>IFERROR(__xludf.DUMMYFUNCTION("""COMPUTED_VALUE"""),"#Muc45374S1$")</f>
        <v>#Muc45374S1$</v>
      </c>
      <c r="AM1143" s="80" t="str">
        <f>IFERROR(__xludf.DUMMYFUNCTION("""COMPUTED_VALUE"""),"KANTOR REGIONAL III BANDUNG 40004")</f>
        <v>KANTOR REGIONAL III BANDUNG 40004</v>
      </c>
      <c r="AN1143" s="80" t="str">
        <f>IFERROR(__xludf.DUMMYFUNCTION("""COMPUTED_VALUE"""),"KC SUMEDANG 45300")</f>
        <v>KC SUMEDANG 45300</v>
      </c>
      <c r="AO1143" s="80" t="str">
        <f>IFERROR(__xludf.DUMMYFUNCTION("""COMPUTED_VALUE"""),"0407260029042")</f>
        <v>0407260029042</v>
      </c>
      <c r="AP1143" s="80"/>
      <c r="AQ1143" s="83" t="str">
        <f>IFERROR(__xludf.DUMMYFUNCTION("""COMPUTED_VALUE"""),"2218018730")</f>
        <v>2218018730</v>
      </c>
      <c r="AR1143" s="80" t="str">
        <f>IFERROR(__xludf.DUMMYFUNCTION("""COMPUTED_VALUE"""),"BCA")</f>
        <v>BCA</v>
      </c>
      <c r="AS1143" s="80" t="str">
        <f>IFERROR(__xludf.DUMMYFUNCTION("""COMPUTED_VALUE"""),"OYON KARYONO")</f>
        <v>OYON KARYONO</v>
      </c>
      <c r="AT1143" s="80" t="str">
        <f>IFERROR(__xludf.DUMMYFUNCTION("""COMPUTED_VALUE"""),"-6.8229107,108.1014988")</f>
        <v>-6.8229107,108.1014988</v>
      </c>
      <c r="AU1143" s="80" t="str">
        <f>IFERROR(__xludf.DUMMYFUNCTION("""COMPUTED_VALUE"""),"-6.8229107,108.1014988")</f>
        <v>-6.8229107,108.1014988</v>
      </c>
      <c r="AV1143" s="80"/>
      <c r="AW1143" s="80"/>
      <c r="AX1143" s="80"/>
      <c r="AY1143" s="80"/>
      <c r="AZ1143" s="80"/>
      <c r="BA1143" s="80"/>
      <c r="BB1143" s="80"/>
      <c r="BC1143" s="80"/>
      <c r="BD1143" s="80"/>
      <c r="BE1143" s="80"/>
      <c r="BF1143" s="80"/>
      <c r="BG1143" s="80"/>
      <c r="BH1143" s="80"/>
      <c r="BI1143" s="80"/>
      <c r="BJ1143" s="80"/>
      <c r="BK1143" s="80"/>
      <c r="BL1143" s="80"/>
      <c r="BM1143" s="80"/>
      <c r="BN1143" s="80"/>
      <c r="BO1143" s="80"/>
      <c r="BP1143" s="80"/>
      <c r="BQ1143" s="80"/>
      <c r="BR1143" s="80"/>
      <c r="BS1143" s="80"/>
      <c r="BT1143" s="80"/>
      <c r="BU1143" s="80"/>
      <c r="BV1143" s="80"/>
      <c r="BW1143" s="80"/>
      <c r="BX1143" s="80"/>
      <c r="BY1143" s="80"/>
      <c r="BZ1143" s="80"/>
      <c r="CA1143" s="80"/>
      <c r="CB1143" s="80"/>
      <c r="CC1143" s="80"/>
      <c r="CD1143" s="80"/>
      <c r="CE1143" s="80"/>
      <c r="CF1143" s="80"/>
      <c r="CG1143" s="80"/>
      <c r="CH1143" s="80"/>
      <c r="CI1143" s="80"/>
      <c r="CJ1143" s="80"/>
      <c r="CK1143" s="2"/>
    </row>
    <row r="1144" ht="12.75" customHeight="1">
      <c r="A1144" s="85">
        <f>IFERROR(__xludf.DUMMYFUNCTION("""COMPUTED_VALUE"""),1140.0)</f>
        <v>1140</v>
      </c>
      <c r="B1144" s="85"/>
      <c r="C1144" s="85"/>
      <c r="D1144" s="86">
        <f>IFERROR(__xludf.DUMMYFUNCTION("""COMPUTED_VALUE"""),46209.0)</f>
        <v>46209</v>
      </c>
      <c r="E1144" s="88"/>
      <c r="F1144" s="85"/>
      <c r="G1144" s="86"/>
      <c r="H1144" s="85"/>
      <c r="I1144" s="85"/>
      <c r="J1144" s="85"/>
      <c r="K1144" s="85"/>
      <c r="L1144" s="85"/>
      <c r="M1144" s="85"/>
      <c r="N1144" s="85"/>
      <c r="O1144" s="85"/>
      <c r="P1144" s="85" t="str">
        <f>IFERROR(__xludf.DUMMYFUNCTION("""COMPUTED_VALUE"""),"MUCSPA63585PSIND")</f>
        <v>MUCSPA63585PSIND</v>
      </c>
      <c r="Q1144" s="85" t="str">
        <f>IFERROR(__xludf.DUMMYFUNCTION("""COMPUTED_VALUE"""),"MUC KIRIM CEPAT")</f>
        <v>MUC KIRIM CEPAT</v>
      </c>
      <c r="R1144" s="85" t="str">
        <f>IFERROR(__xludf.DUMMYFUNCTION("""COMPUTED_VALUE"""),"MUC KIRIM CEPAT")</f>
        <v>MUC KIRIM CEPAT</v>
      </c>
      <c r="S1144" s="85" t="str">
        <f>IFERROR(__xludf.DUMMYFUNCTION("""COMPUTED_VALUE"""),"DADAN SUWINDA")</f>
        <v>DADAN SUWINDA</v>
      </c>
      <c r="T1144" s="85" t="str">
        <f>IFERROR(__xludf.DUMMYFUNCTION("""COMPUTED_VALUE"""),"BLOK LW PEURIS RT 7 RW 2 WANAREJA SUBANG")</f>
        <v>BLOK LW PEURIS RT 7 RW 2 WANAREJA SUBANG</v>
      </c>
      <c r="U1144" s="85" t="str">
        <f>IFERROR(__xludf.DUMMYFUNCTION("""COMPUTED_VALUE"""),"JL. MT. HARYONO BLOK KARTADARA")</f>
        <v>JL. MT. HARYONO BLOK KARTADARA</v>
      </c>
      <c r="V1144" s="85" t="str">
        <f>IFERROR(__xludf.DUMMYFUNCTION("""COMPUTED_VALUE"""),"RT 7 R \ RW 2 W")</f>
        <v>RT 7 R \ RW 2 W</v>
      </c>
      <c r="W1144" s="85" t="str">
        <f>IFERROR(__xludf.DUMMYFUNCTION("""COMPUTED_VALUE"""),"CIGADUNG")</f>
        <v>CIGADUNG</v>
      </c>
      <c r="X1144" s="85" t="str">
        <f>IFERROR(__xludf.DUMMYFUNCTION("""COMPUTED_VALUE"""),"SUBANG")</f>
        <v>SUBANG</v>
      </c>
      <c r="Y1144" s="85" t="str">
        <f>IFERROR(__xludf.DUMMYFUNCTION("""COMPUTED_VALUE"""),"KAB. SUBANG")</f>
        <v>KAB. SUBANG</v>
      </c>
      <c r="Z1144" s="85" t="str">
        <f>IFERROR(__xludf.DUMMYFUNCTION("""COMPUTED_VALUE"""),"JAWA BARAT")</f>
        <v>JAWA BARAT</v>
      </c>
      <c r="AA1144" s="85" t="str">
        <f>IFERROR(__xludf.DUMMYFUNCTION("""COMPUTED_VALUE"""),"41213")</f>
        <v>41213</v>
      </c>
      <c r="AB1144" s="85" t="str">
        <f>IFERROR(__xludf.DUMMYFUNCTION("""COMPUTED_VALUE"""),"3210122201900001")</f>
        <v>3210122201900001</v>
      </c>
      <c r="AC1144" s="85" t="str">
        <f>IFERROR(__xludf.DUMMYFUNCTION("""COMPUTED_VALUE"""),"32.101.222.0-190.0001")</f>
        <v>32.101.222.0-190.0001</v>
      </c>
      <c r="AD1144" s="85" t="str">
        <f>IFERROR(__xludf.DUMMYFUNCTION("""COMPUTED_VALUE"""),"PAK ASEP UMKM")</f>
        <v>PAK ASEP UMKM</v>
      </c>
      <c r="AE1144" s="85" t="str">
        <f>IFERROR(__xludf.DUMMYFUNCTION("""COMPUTED_VALUE"""),"PAK ASEP UMKM")</f>
        <v>PAK ASEP UMKM</v>
      </c>
      <c r="AF1144" s="85" t="str">
        <f>IFERROR(__xludf.DUMMYFUNCTION("""COMPUTED_VALUE"""),"082240615590")</f>
        <v>082240615590</v>
      </c>
      <c r="AG1144" s="85" t="str">
        <f>IFERROR(__xludf.DUMMYFUNCTION("""COMPUTED_VALUE"""),"82240615590")</f>
        <v>82240615590</v>
      </c>
      <c r="AH1144" s="85" t="str">
        <f>IFERROR(__xludf.DUMMYFUNCTION("""COMPUTED_VALUE"""),"dadansuwinda@gmail.com")</f>
        <v>dadansuwinda@gmail.com</v>
      </c>
      <c r="AI1144" s="85"/>
      <c r="AJ1144" s="85"/>
      <c r="AK1144" s="85"/>
      <c r="AL1144" s="85"/>
      <c r="AM1144" s="85" t="str">
        <f>IFERROR(__xludf.DUMMYFUNCTION("""COMPUTED_VALUE"""),"KANTOR REGIONAL III BANDUNG 40004")</f>
        <v>KANTOR REGIONAL III BANDUNG 40004</v>
      </c>
      <c r="AN1144" s="85" t="str">
        <f>IFERROR(__xludf.DUMMYFUNCTION("""COMPUTED_VALUE"""),"KC SUBANG 41200")</f>
        <v>KC SUBANG 41200</v>
      </c>
      <c r="AO1144" s="85" t="str">
        <f>IFERROR(__xludf.DUMMYFUNCTION("""COMPUTED_VALUE"""),"0407260048122")</f>
        <v>0407260048122</v>
      </c>
      <c r="AP1144" s="85" t="str">
        <f>IFERROR(__xludf.DUMMYFUNCTION("""COMPUTED_VALUE"""),"0407260048122")</f>
        <v>0407260048122</v>
      </c>
      <c r="AQ1144" s="93" t="str">
        <f>IFERROR(__xludf.DUMMYFUNCTION("""COMPUTED_VALUE"""),"378201038954537")</f>
        <v>378201038954537</v>
      </c>
      <c r="AR1144" s="85" t="str">
        <f>IFERROR(__xludf.DUMMYFUNCTION("""COMPUTED_VALUE"""),"BRI")</f>
        <v>BRI</v>
      </c>
      <c r="AS1144" s="85" t="str">
        <f>IFERROR(__xludf.DUMMYFUNCTION("""COMPUTED_VALUE"""),"DADAN SUWINDA")</f>
        <v>DADAN SUWINDA</v>
      </c>
      <c r="AT1144" s="85" t="str">
        <f>IFERROR(__xludf.DUMMYFUNCTION("""COMPUTED_VALUE"""),"-6.5677736,107.8201089")</f>
        <v>-6.5677736,107.8201089</v>
      </c>
      <c r="AU1144" s="85" t="str">
        <f>IFERROR(__xludf.DUMMYFUNCTION("""COMPUTED_VALUE"""),"-6.5677736,107.8201089")</f>
        <v>-6.5677736,107.8201089</v>
      </c>
      <c r="AV1144" s="85"/>
      <c r="AW1144" s="85"/>
      <c r="AX1144" s="85"/>
      <c r="AY1144" s="85"/>
      <c r="AZ1144" s="85"/>
      <c r="BA1144" s="85"/>
      <c r="BB1144" s="85"/>
      <c r="BC1144" s="85"/>
      <c r="BD1144" s="85"/>
      <c r="BE1144" s="85"/>
      <c r="BF1144" s="85"/>
      <c r="BG1144" s="85"/>
      <c r="BH1144" s="85"/>
      <c r="BI1144" s="85"/>
      <c r="BJ1144" s="85"/>
      <c r="BK1144" s="85"/>
      <c r="BL1144" s="85"/>
      <c r="BM1144" s="85"/>
      <c r="BN1144" s="85"/>
      <c r="BO1144" s="85"/>
      <c r="BP1144" s="85"/>
      <c r="BQ1144" s="85"/>
      <c r="BR1144" s="85"/>
      <c r="BS1144" s="85"/>
      <c r="BT1144" s="85"/>
      <c r="BU1144" s="85"/>
      <c r="BV1144" s="85"/>
      <c r="BW1144" s="85"/>
      <c r="BX1144" s="85"/>
      <c r="BY1144" s="85"/>
      <c r="BZ1144" s="85"/>
      <c r="CA1144" s="85"/>
      <c r="CB1144" s="85"/>
      <c r="CC1144" s="85"/>
      <c r="CD1144" s="85"/>
      <c r="CE1144" s="85"/>
      <c r="CF1144" s="85"/>
      <c r="CG1144" s="85"/>
      <c r="CH1144" s="85"/>
      <c r="CI1144" s="85"/>
      <c r="CJ1144" s="85"/>
      <c r="CK1144" s="2"/>
    </row>
    <row r="1145" ht="12.75" customHeight="1">
      <c r="A1145" s="80">
        <f>IFERROR(__xludf.DUMMYFUNCTION("""COMPUTED_VALUE"""),1141.0)</f>
        <v>1141</v>
      </c>
      <c r="B1145" s="80"/>
      <c r="C1145" s="80"/>
      <c r="D1145" s="81">
        <f>IFERROR(__xludf.DUMMYFUNCTION("""COMPUTED_VALUE"""),46209.0)</f>
        <v>46209</v>
      </c>
      <c r="E1145" s="82"/>
      <c r="F1145" s="80"/>
      <c r="G1145" s="81">
        <f>IFERROR(__xludf.DUMMYFUNCTION("""COMPUTED_VALUE"""),46279.0)</f>
        <v>46279</v>
      </c>
      <c r="H1145" s="80"/>
      <c r="I1145" s="80"/>
      <c r="J1145" s="80"/>
      <c r="K1145" s="80"/>
      <c r="L1145" s="80">
        <f>IFERROR(__xludf.DUMMYFUNCTION("""COMPUTED_VALUE"""),70.0)</f>
        <v>70</v>
      </c>
      <c r="M1145" s="80"/>
      <c r="N1145" s="80"/>
      <c r="O1145" s="80"/>
      <c r="P1145" s="80" t="str">
        <f>IFERROR(__xludf.DUMMYFUNCTION("""COMPUTED_VALUE"""),"MUCSPA63574PSIND")</f>
        <v>MUCSPA63574PSIND</v>
      </c>
      <c r="Q1145" s="80" t="str">
        <f>IFERROR(__xludf.DUMMYFUNCTION("""COMPUTED_VALUE"""),"MUC PERUM PTSC")</f>
        <v>MUC PERUM PTSC</v>
      </c>
      <c r="R1145" s="80" t="str">
        <f>IFERROR(__xludf.DUMMYFUNCTION("""COMPUTED_VALUE"""),"MUC PERUM PTSC")</f>
        <v>MUC PERUM PTSC</v>
      </c>
      <c r="S1145" s="80" t="str">
        <f>IFERROR(__xludf.DUMMYFUNCTION("""COMPUTED_VALUE"""),"HENDARWAN")</f>
        <v>HENDARWAN</v>
      </c>
      <c r="T1145" s="80" t="str">
        <f>IFERROR(__xludf.DUMMYFUNCTION("""COMPUTED_VALUE"""),"JL. DUKUH IV RT 05 RW 01 DUKUH, KRAMAT JATI, JAKARTA TIMUR")</f>
        <v>JL. DUKUH IV RT 05 RW 01 DUKUH, KRAMAT JATI, JAKARTA TIMUR</v>
      </c>
      <c r="U1145" s="80" t="str">
        <f>IFERROR(__xludf.DUMMYFUNCTION("""COMPUTED_VALUE"""),"Jl. Anggrek No.25 ( SEBELAH KIRI SUNMART ) Perum. PTSC")</f>
        <v>Jl. Anggrek No.25 ( SEBELAH KIRI SUNMART ) Perum. PTSC</v>
      </c>
      <c r="V1145" s="80" t="str">
        <f>IFERROR(__xludf.DUMMYFUNCTION("""COMPUTED_VALUE"""),"RT 05  \ RW 01")</f>
        <v>RT 05  \ RW 01</v>
      </c>
      <c r="W1145" s="80" t="str">
        <f>IFERROR(__xludf.DUMMYFUNCTION("""COMPUTED_VALUE"""),"CILEUNGSI")</f>
        <v>CILEUNGSI</v>
      </c>
      <c r="X1145" s="80" t="str">
        <f>IFERROR(__xludf.DUMMYFUNCTION("""COMPUTED_VALUE"""),"CILEUNGSI")</f>
        <v>CILEUNGSI</v>
      </c>
      <c r="Y1145" s="80" t="str">
        <f>IFERROR(__xludf.DUMMYFUNCTION("""COMPUTED_VALUE"""),"KAB.BOGOR")</f>
        <v>KAB.BOGOR</v>
      </c>
      <c r="Z1145" s="80" t="str">
        <f>IFERROR(__xludf.DUMMYFUNCTION("""COMPUTED_VALUE"""),"JAWA BARAT")</f>
        <v>JAWA BARAT</v>
      </c>
      <c r="AA1145" s="80" t="str">
        <f>IFERROR(__xludf.DUMMYFUNCTION("""COMPUTED_VALUE"""),"16820")</f>
        <v>16820</v>
      </c>
      <c r="AB1145" s="80" t="str">
        <f>IFERROR(__xludf.DUMMYFUNCTION("""COMPUTED_VALUE"""),"3175041503730003")</f>
        <v>3175041503730003</v>
      </c>
      <c r="AC1145" s="80" t="str">
        <f>IFERROR(__xludf.DUMMYFUNCTION("""COMPUTED_VALUE"""),"39.430.872.0-005.000")</f>
        <v>39.430.872.0-005.000</v>
      </c>
      <c r="AD1145" s="80" t="str">
        <f>IFERROR(__xludf.DUMMYFUNCTION("""COMPUTED_VALUE"""),"CUM - LP - ANGGI")</f>
        <v>CUM - LP - ANGGI</v>
      </c>
      <c r="AE1145" s="80" t="str">
        <f>IFERROR(__xludf.DUMMYFUNCTION("""COMPUTED_VALUE"""),"CUM - LP - ANGGI")</f>
        <v>CUM - LP - ANGGI</v>
      </c>
      <c r="AF1145" s="80" t="str">
        <f>IFERROR(__xludf.DUMMYFUNCTION("""COMPUTED_VALUE"""),"081287338505")</f>
        <v>081287338505</v>
      </c>
      <c r="AG1145" s="80" t="str">
        <f>IFERROR(__xludf.DUMMYFUNCTION("""COMPUTED_VALUE"""),"81287338505")</f>
        <v>81287338505</v>
      </c>
      <c r="AH1145" s="80" t="str">
        <f>IFERROR(__xludf.DUMMYFUNCTION("""COMPUTED_VALUE"""),"cikopeng73@gmail.com")</f>
        <v>cikopeng73@gmail.com</v>
      </c>
      <c r="AI1145" s="80" t="str">
        <f>IFERROR(__xludf.DUMMYFUNCTION("""COMPUTED_VALUE"""),"16821S2 ")</f>
        <v>16821S2 </v>
      </c>
      <c r="AJ1145" s="80" t="str">
        <f>IFERROR(__xludf.DUMMYFUNCTION("""COMPUTED_VALUE"""),"6aa6165dddf79d061b0246ad ")</f>
        <v>6aa6165dddf79d061b0246ad </v>
      </c>
      <c r="AK1145" s="80" t="str">
        <f>IFERROR(__xludf.DUMMYFUNCTION("""COMPUTED_VALUE"""),"cikopeng73@gmail.com")</f>
        <v>cikopeng73@gmail.com</v>
      </c>
      <c r="AL1145" s="80" t="str">
        <f>IFERROR(__xludf.DUMMYFUNCTION("""COMPUTED_VALUE"""),"#Muc16821S2$")</f>
        <v>#Muc16821S2$</v>
      </c>
      <c r="AM1145" s="80" t="str">
        <f>IFERROR(__xludf.DUMMYFUNCTION("""COMPUTED_VALUE"""),"KANTOR REGIONAL II JAKARTA 10004")</f>
        <v>KANTOR REGIONAL II JAKARTA 10004</v>
      </c>
      <c r="AN1145" s="80" t="str">
        <f>IFERROR(__xludf.DUMMYFUNCTION("""COMPUTED_VALUE"""),"KC CIBINONG 16900")</f>
        <v>KC CIBINONG 16900</v>
      </c>
      <c r="AO1145" s="80" t="str">
        <f>IFERROR(__xludf.DUMMYFUNCTION("""COMPUTED_VALUE"""),"0107260078989")</f>
        <v>0107260078989</v>
      </c>
      <c r="AP1145" s="80" t="str">
        <f>IFERROR(__xludf.DUMMYFUNCTION("""COMPUTED_VALUE"""),"0107260078989")</f>
        <v>0107260078989</v>
      </c>
      <c r="AQ1145" s="83" t="str">
        <f>IFERROR(__xludf.DUMMYFUNCTION("""COMPUTED_VALUE"""),"4061029804")</f>
        <v>4061029804</v>
      </c>
      <c r="AR1145" s="80" t="str">
        <f>IFERROR(__xludf.DUMMYFUNCTION("""COMPUTED_VALUE"""),"BCA")</f>
        <v>BCA</v>
      </c>
      <c r="AS1145" s="80" t="str">
        <f>IFERROR(__xludf.DUMMYFUNCTION("""COMPUTED_VALUE"""),"HENDARWAN")</f>
        <v>HENDARWAN</v>
      </c>
      <c r="AT1145" s="80" t="str">
        <f>IFERROR(__xludf.DUMMYFUNCTION("""COMPUTED_VALUE"""),"-63,991,861")</f>
        <v>-63,991,861</v>
      </c>
      <c r="AU1145" s="80" t="str">
        <f>IFERROR(__xludf.DUMMYFUNCTION("""COMPUTED_VALUE"""),"1,069,651,577")</f>
        <v>1,069,651,577</v>
      </c>
      <c r="AV1145" s="80"/>
      <c r="AW1145" s="80"/>
      <c r="AX1145" s="80"/>
      <c r="AY1145" s="80"/>
      <c r="AZ1145" s="80"/>
      <c r="BA1145" s="80"/>
      <c r="BB1145" s="80"/>
      <c r="BC1145" s="80"/>
      <c r="BD1145" s="80"/>
      <c r="BE1145" s="80"/>
      <c r="BF1145" s="80"/>
      <c r="BG1145" s="80"/>
      <c r="BH1145" s="80"/>
      <c r="BI1145" s="80"/>
      <c r="BJ1145" s="80"/>
      <c r="BK1145" s="80"/>
      <c r="BL1145" s="80"/>
      <c r="BM1145" s="80"/>
      <c r="BN1145" s="80"/>
      <c r="BO1145" s="80"/>
      <c r="BP1145" s="80"/>
      <c r="BQ1145" s="80"/>
      <c r="BR1145" s="80"/>
      <c r="BS1145" s="80"/>
      <c r="BT1145" s="80"/>
      <c r="BU1145" s="80"/>
      <c r="BV1145" s="80"/>
      <c r="BW1145" s="80"/>
      <c r="BX1145" s="80"/>
      <c r="BY1145" s="80"/>
      <c r="BZ1145" s="80"/>
      <c r="CA1145" s="80"/>
      <c r="CB1145" s="80"/>
      <c r="CC1145" s="80"/>
      <c r="CD1145" s="80"/>
      <c r="CE1145" s="80"/>
      <c r="CF1145" s="80"/>
      <c r="CG1145" s="80"/>
      <c r="CH1145" s="80"/>
      <c r="CI1145" s="80"/>
      <c r="CJ1145" s="80"/>
      <c r="CK1145" s="2"/>
    </row>
    <row r="1146" ht="12.75" customHeight="1">
      <c r="A1146" s="85">
        <f>IFERROR(__xludf.DUMMYFUNCTION("""COMPUTED_VALUE"""),1142.0)</f>
        <v>1142</v>
      </c>
      <c r="B1146" s="85"/>
      <c r="C1146" s="85"/>
      <c r="D1146" s="86">
        <f>IFERROR(__xludf.DUMMYFUNCTION("""COMPUTED_VALUE"""),46209.0)</f>
        <v>46209</v>
      </c>
      <c r="E1146" s="88"/>
      <c r="F1146" s="85"/>
      <c r="G1146" s="86">
        <f>IFERROR(__xludf.DUMMYFUNCTION("""COMPUTED_VALUE"""),46223.0)</f>
        <v>46223</v>
      </c>
      <c r="H1146" s="85"/>
      <c r="I1146" s="85"/>
      <c r="J1146" s="85"/>
      <c r="K1146" s="85"/>
      <c r="L1146" s="85">
        <f>IFERROR(__xludf.DUMMYFUNCTION("""COMPUTED_VALUE"""),14.0)</f>
        <v>14</v>
      </c>
      <c r="M1146" s="85"/>
      <c r="N1146" s="85"/>
      <c r="O1146" s="85"/>
      <c r="P1146" s="85" t="str">
        <f>IFERROR(__xludf.DUMMYFUNCTION("""COMPUTED_VALUE"""),"MUCSPA63584PSIND")</f>
        <v>MUCSPA63584PSIND</v>
      </c>
      <c r="Q1146" s="85" t="str">
        <f>IFERROR(__xludf.DUMMYFUNCTION("""COMPUTED_VALUE"""),"MUC SINAR MENTARI KREASI")</f>
        <v>MUC SINAR MENTARI KREASI</v>
      </c>
      <c r="R1146" s="85" t="str">
        <f>IFERROR(__xludf.DUMMYFUNCTION("""COMPUTED_VALUE"""),"MUC SINAR MENTARI KREASI")</f>
        <v>MUC SINAR MENTARI KREASI</v>
      </c>
      <c r="S1146" s="85" t="str">
        <f>IFERROR(__xludf.DUMMYFUNCTION("""COMPUTED_VALUE"""),"BUDY KURNIAWAN")</f>
        <v>BUDY KURNIAWAN</v>
      </c>
      <c r="T1146" s="85" t="str">
        <f>IFERROR(__xludf.DUMMYFUNCTION("""COMPUTED_VALUE"""),"JL. ULUJAMI RAYA NO. 65 RT 5 RW 5 PESANGGRAHAN ULUJAMI JAKSEL")</f>
        <v>JL. ULUJAMI RAYA NO. 65 RT 5 RW 5 PESANGGRAHAN ULUJAMI JAKSEL</v>
      </c>
      <c r="U1146" s="85" t="str">
        <f>IFERROR(__xludf.DUMMYFUNCTION("""COMPUTED_VALUE"""),"JL. PESANTREN NO. 43B")</f>
        <v>JL. PESANTREN NO. 43B</v>
      </c>
      <c r="V1146" s="85" t="str">
        <f>IFERROR(__xludf.DUMMYFUNCTION("""COMPUTED_VALUE"""),"RT 5 R \ RW 5 P")</f>
        <v>RT 5 R \ RW 5 P</v>
      </c>
      <c r="W1146" s="85" t="str">
        <f>IFERROR(__xludf.DUMMYFUNCTION("""COMPUTED_VALUE"""),"JURANGMANGU TIMUR")</f>
        <v>JURANGMANGU TIMUR</v>
      </c>
      <c r="X1146" s="85" t="str">
        <f>IFERROR(__xludf.DUMMYFUNCTION("""COMPUTED_VALUE"""),"PONDOK AREN")</f>
        <v>PONDOK AREN</v>
      </c>
      <c r="Y1146" s="85" t="str">
        <f>IFERROR(__xludf.DUMMYFUNCTION("""COMPUTED_VALUE"""),"TANGERANG SELATAN")</f>
        <v>TANGERANG SELATAN</v>
      </c>
      <c r="Z1146" s="85" t="str">
        <f>IFERROR(__xludf.DUMMYFUNCTION("""COMPUTED_VALUE"""),"BANTEN")</f>
        <v>BANTEN</v>
      </c>
      <c r="AA1146" s="85" t="str">
        <f>IFERROR(__xludf.DUMMYFUNCTION("""COMPUTED_VALUE"""),"15222")</f>
        <v>15222</v>
      </c>
      <c r="AB1146" s="85" t="str">
        <f>IFERROR(__xludf.DUMMYFUNCTION("""COMPUTED_VALUE"""),"3174101105750003")</f>
        <v>3174101105750003</v>
      </c>
      <c r="AC1146" s="85" t="str">
        <f>IFERROR(__xludf.DUMMYFUNCTION("""COMPUTED_VALUE"""),"76.128.129.4-066.000")</f>
        <v>76.128.129.4-066.000</v>
      </c>
      <c r="AD1146" s="85" t="str">
        <f>IFERROR(__xludf.DUMMYFUNCTION("""COMPUTED_VALUE"""),"PAK ASEP UMKM")</f>
        <v>PAK ASEP UMKM</v>
      </c>
      <c r="AE1146" s="85" t="str">
        <f>IFERROR(__xludf.DUMMYFUNCTION("""COMPUTED_VALUE"""),"PAK ASEP UMKM")</f>
        <v>PAK ASEP UMKM</v>
      </c>
      <c r="AF1146" s="85" t="str">
        <f>IFERROR(__xludf.DUMMYFUNCTION("""COMPUTED_VALUE"""),"085219727321")</f>
        <v>085219727321</v>
      </c>
      <c r="AG1146" s="85" t="str">
        <f>IFERROR(__xludf.DUMMYFUNCTION("""COMPUTED_VALUE"""),"85219727321")</f>
        <v>85219727321</v>
      </c>
      <c r="AH1146" s="85" t="str">
        <f>IFERROR(__xludf.DUMMYFUNCTION("""COMPUTED_VALUE"""),"produksitas.cipadu@gmail.com")</f>
        <v>produksitas.cipadu@gmail.com</v>
      </c>
      <c r="AI1146" s="85" t="str">
        <f>IFERROR(__xludf.DUMMYFUNCTION("""COMPUTED_VALUE"""),"15422S4")</f>
        <v>15422S4</v>
      </c>
      <c r="AJ1146" s="85" t="str">
        <f>IFERROR(__xludf.DUMMYFUNCTION("""COMPUTED_VALUE"""),"6a5d7911d72795115409def6")</f>
        <v>6a5d7911d72795115409def6</v>
      </c>
      <c r="AK1146" s="85" t="str">
        <f>IFERROR(__xludf.DUMMYFUNCTION("""COMPUTED_VALUE"""),"produksitas.cipadu@gmail.com")</f>
        <v>produksitas.cipadu@gmail.com</v>
      </c>
      <c r="AL1146" s="85" t="str">
        <f>IFERROR(__xludf.DUMMYFUNCTION("""COMPUTED_VALUE"""),"#Muc15422S4$")</f>
        <v>#Muc15422S4$</v>
      </c>
      <c r="AM1146" s="85" t="str">
        <f>IFERROR(__xludf.DUMMYFUNCTION("""COMPUTED_VALUE"""),"KANTOR REGIONAL II JAKARTA 10004")</f>
        <v>KANTOR REGIONAL II JAKARTA 10004</v>
      </c>
      <c r="AN1146" s="85" t="str">
        <f>IFERROR(__xludf.DUMMYFUNCTION("""COMPUTED_VALUE"""),"KC TANGERANGSELATAN 15400")</f>
        <v>KC TANGERANGSELATAN 15400</v>
      </c>
      <c r="AO1146" s="85" t="str">
        <f>IFERROR(__xludf.DUMMYFUNCTION("""COMPUTED_VALUE"""),"0407260045117")</f>
        <v>0407260045117</v>
      </c>
      <c r="AP1146" s="85" t="str">
        <f>IFERROR(__xludf.DUMMYFUNCTION("""COMPUTED_VALUE"""),"0407260045117")</f>
        <v>0407260045117</v>
      </c>
      <c r="AQ1146" s="93" t="str">
        <f>IFERROR(__xludf.DUMMYFUNCTION("""COMPUTED_VALUE"""),"4761028043")</f>
        <v>4761028043</v>
      </c>
      <c r="AR1146" s="85" t="str">
        <f>IFERROR(__xludf.DUMMYFUNCTION("""COMPUTED_VALUE"""),"BCA")</f>
        <v>BCA</v>
      </c>
      <c r="AS1146" s="85" t="str">
        <f>IFERROR(__xludf.DUMMYFUNCTION("""COMPUTED_VALUE"""),"BUDY KURNIAWAN")</f>
        <v>BUDY KURNIAWAN</v>
      </c>
      <c r="AT1146" s="85" t="str">
        <f>IFERROR(__xludf.DUMMYFUNCTION("""COMPUTED_VALUE"""),"-6.2545466,106.7320602")</f>
        <v>-6.2545466,106.7320602</v>
      </c>
      <c r="AU1146" s="85" t="str">
        <f>IFERROR(__xludf.DUMMYFUNCTION("""COMPUTED_VALUE"""),"-6.2545466,106.7320602")</f>
        <v>-6.2545466,106.7320602</v>
      </c>
      <c r="AV1146" s="85"/>
      <c r="AW1146" s="85"/>
      <c r="AX1146" s="85"/>
      <c r="AY1146" s="85"/>
      <c r="AZ1146" s="85"/>
      <c r="BA1146" s="85"/>
      <c r="BB1146" s="85"/>
      <c r="BC1146" s="85"/>
      <c r="BD1146" s="85"/>
      <c r="BE1146" s="85"/>
      <c r="BF1146" s="85"/>
      <c r="BG1146" s="85"/>
      <c r="BH1146" s="85"/>
      <c r="BI1146" s="85"/>
      <c r="BJ1146" s="85"/>
      <c r="BK1146" s="85"/>
      <c r="BL1146" s="85"/>
      <c r="BM1146" s="85"/>
      <c r="BN1146" s="85"/>
      <c r="BO1146" s="85"/>
      <c r="BP1146" s="85"/>
      <c r="BQ1146" s="85"/>
      <c r="BR1146" s="85"/>
      <c r="BS1146" s="85"/>
      <c r="BT1146" s="85"/>
      <c r="BU1146" s="85"/>
      <c r="BV1146" s="85"/>
      <c r="BW1146" s="85"/>
      <c r="BX1146" s="85"/>
      <c r="BY1146" s="85"/>
      <c r="BZ1146" s="85"/>
      <c r="CA1146" s="85"/>
      <c r="CB1146" s="85"/>
      <c r="CC1146" s="85"/>
      <c r="CD1146" s="85"/>
      <c r="CE1146" s="85"/>
      <c r="CF1146" s="85"/>
      <c r="CG1146" s="85"/>
      <c r="CH1146" s="85"/>
      <c r="CI1146" s="85"/>
      <c r="CJ1146" s="85"/>
      <c r="CK1146" s="2"/>
    </row>
    <row r="1147" ht="12.75" customHeight="1">
      <c r="A1147" s="80">
        <f>IFERROR(__xludf.DUMMYFUNCTION("""COMPUTED_VALUE"""),1143.0)</f>
        <v>1143</v>
      </c>
      <c r="B1147" s="80"/>
      <c r="C1147" s="80"/>
      <c r="D1147" s="81">
        <f>IFERROR(__xludf.DUMMYFUNCTION("""COMPUTED_VALUE"""),46209.0)</f>
        <v>46209</v>
      </c>
      <c r="E1147" s="82"/>
      <c r="F1147" s="80"/>
      <c r="G1147" s="81"/>
      <c r="H1147" s="80"/>
      <c r="I1147" s="80"/>
      <c r="J1147" s="80"/>
      <c r="K1147" s="80"/>
      <c r="L1147" s="80"/>
      <c r="M1147" s="80"/>
      <c r="N1147" s="80"/>
      <c r="O1147" s="80"/>
      <c r="P1147" s="80" t="str">
        <f>IFERROR(__xludf.DUMMYFUNCTION("""COMPUTED_VALUE"""),"52BSPA07760JTYNA")</f>
        <v>52BSPA07760JTYNA</v>
      </c>
      <c r="Q1147" s="80" t="str">
        <f>IFERROR(__xludf.DUMMYFUNCTION("""COMPUTED_VALUE"""),"MUC NIA MULIATI GULO")</f>
        <v>MUC NIA MULIATI GULO</v>
      </c>
      <c r="R1147" s="80" t="str">
        <f>IFERROR(__xludf.DUMMYFUNCTION("""COMPUTED_VALUE"""),"MUC NIA MULIATI GULO")</f>
        <v>MUC NIA MULIATI GULO</v>
      </c>
      <c r="S1147" s="80" t="str">
        <f>IFERROR(__xludf.DUMMYFUNCTION("""COMPUTED_VALUE"""),"NIA MULIATI GULO")</f>
        <v>NIA MULIATI GULO</v>
      </c>
      <c r="T1147" s="80" t="str">
        <f>IFERROR(__xludf.DUMMYFUNCTION("""COMPUTED_VALUE"""),"SAMAN RT 02 RW 02, PRAWATAN, JOGONALAN, KAB.KLATEN")</f>
        <v>SAMAN RT 02 RW 02, PRAWATAN, JOGONALAN, KAB.KLATEN</v>
      </c>
      <c r="U1147" s="80" t="str">
        <f>IFERROR(__xludf.DUMMYFUNCTION("""COMPUTED_VALUE"""),"DK. SAMAN RT.02 RW.02")</f>
        <v>DK. SAMAN RT.02 RW.02</v>
      </c>
      <c r="V1147" s="80" t="str">
        <f>IFERROR(__xludf.DUMMYFUNCTION("""COMPUTED_VALUE"""),"RT 02  \ RW 02,")</f>
        <v>RT 02  \ RW 02,</v>
      </c>
      <c r="W1147" s="80" t="str">
        <f>IFERROR(__xludf.DUMMYFUNCTION("""COMPUTED_VALUE"""),"PRAWATAN")</f>
        <v>PRAWATAN</v>
      </c>
      <c r="X1147" s="80" t="str">
        <f>IFERROR(__xludf.DUMMYFUNCTION("""COMPUTED_VALUE"""),"JOGONALAN")</f>
        <v>JOGONALAN</v>
      </c>
      <c r="Y1147" s="80" t="str">
        <f>IFERROR(__xludf.DUMMYFUNCTION("""COMPUTED_VALUE"""),"KAB.KLATEN")</f>
        <v>KAB.KLATEN</v>
      </c>
      <c r="Z1147" s="80" t="str">
        <f>IFERROR(__xludf.DUMMYFUNCTION("""COMPUTED_VALUE"""),"JAWA TENGAH")</f>
        <v>JAWA TENGAH</v>
      </c>
      <c r="AA1147" s="80" t="str">
        <f>IFERROR(__xludf.DUMMYFUNCTION("""COMPUTED_VALUE"""),"57452")</f>
        <v>57452</v>
      </c>
      <c r="AB1147" s="80" t="str">
        <f>IFERROR(__xludf.DUMMYFUNCTION("""COMPUTED_VALUE"""),"3404017010810004")</f>
        <v>3404017010810004</v>
      </c>
      <c r="AC1147" s="80" t="str">
        <f>IFERROR(__xludf.DUMMYFUNCTION("""COMPUTED_VALUE"""),"35.844.007.1-542.000")</f>
        <v>35.844.007.1-542.000</v>
      </c>
      <c r="AD1147" s="80" t="str">
        <f>IFERROR(__xludf.DUMMYFUNCTION("""COMPUTED_VALUE"""),"CUM - YNA")</f>
        <v>CUM - YNA</v>
      </c>
      <c r="AE1147" s="80" t="str">
        <f>IFERROR(__xludf.DUMMYFUNCTION("""COMPUTED_VALUE"""),"SUB YNA")</f>
        <v>SUB YNA</v>
      </c>
      <c r="AF1147" s="80" t="str">
        <f>IFERROR(__xludf.DUMMYFUNCTION("""COMPUTED_VALUE"""),"082230743499")</f>
        <v>082230743499</v>
      </c>
      <c r="AG1147" s="80" t="str">
        <f>IFERROR(__xludf.DUMMYFUNCTION("""COMPUTED_VALUE"""),"82230743499")</f>
        <v>82230743499</v>
      </c>
      <c r="AH1147" s="80" t="str">
        <f>IFERROR(__xludf.DUMMYFUNCTION("""COMPUTED_VALUE"""),"niamg.8108@gmail.com")</f>
        <v>niamg.8108@gmail.com</v>
      </c>
      <c r="AI1147" s="80"/>
      <c r="AJ1147" s="80"/>
      <c r="AK1147" s="80"/>
      <c r="AL1147" s="80"/>
      <c r="AM1147" s="80" t="str">
        <f>IFERROR(__xludf.DUMMYFUNCTION("""COMPUTED_VALUE"""),"KANTOR REGIONAL IV SEMARANG 50004")</f>
        <v>KANTOR REGIONAL IV SEMARANG 50004</v>
      </c>
      <c r="AN1147" s="80" t="str">
        <f>IFERROR(__xludf.DUMMYFUNCTION("""COMPUTED_VALUE"""),"KC KLATEN 57400")</f>
        <v>KC KLATEN 57400</v>
      </c>
      <c r="AO1147" s="80" t="str">
        <f>IFERROR(__xludf.DUMMYFUNCTION("""COMPUTED_VALUE"""),"0508240069983")</f>
        <v>0508240069983</v>
      </c>
      <c r="AP1147" s="80" t="str">
        <f>IFERROR(__xludf.DUMMYFUNCTION("""COMPUTED_VALUE"""),"0508240069983")</f>
        <v>0508240069983</v>
      </c>
      <c r="AQ1147" s="83" t="str">
        <f>IFERROR(__xludf.DUMMYFUNCTION("""COMPUTED_VALUE"""),"2197-01-301081-50-8")</f>
        <v>2197-01-301081-50-8</v>
      </c>
      <c r="AR1147" s="80" t="str">
        <f>IFERROR(__xludf.DUMMYFUNCTION("""COMPUTED_VALUE"""),"BRI")</f>
        <v>BRI</v>
      </c>
      <c r="AS1147" s="80" t="str">
        <f>IFERROR(__xludf.DUMMYFUNCTION("""COMPUTED_VALUE"""),"NIA MULIATI GULO")</f>
        <v>NIA MULIATI GULO</v>
      </c>
      <c r="AT1147" s="80" t="str">
        <f>IFERROR(__xludf.DUMMYFUNCTION("""COMPUTED_VALUE"""),"-77,147,629")</f>
        <v>-77,147,629</v>
      </c>
      <c r="AU1147" s="80" t="str">
        <f>IFERROR(__xludf.DUMMYFUNCTION("""COMPUTED_VALUE"""),"1,105,420,807")</f>
        <v>1,105,420,807</v>
      </c>
      <c r="AV1147" s="80"/>
      <c r="AW1147" s="80"/>
      <c r="AX1147" s="80"/>
      <c r="AY1147" s="80"/>
      <c r="AZ1147" s="80"/>
      <c r="BA1147" s="80"/>
      <c r="BB1147" s="80"/>
      <c r="BC1147" s="80"/>
      <c r="BD1147" s="80"/>
      <c r="BE1147" s="80"/>
      <c r="BF1147" s="80"/>
      <c r="BG1147" s="80"/>
      <c r="BH1147" s="80"/>
      <c r="BI1147" s="80"/>
      <c r="BJ1147" s="80"/>
      <c r="BK1147" s="80"/>
      <c r="BL1147" s="80"/>
      <c r="BM1147" s="80"/>
      <c r="BN1147" s="80"/>
      <c r="BO1147" s="80"/>
      <c r="BP1147" s="80"/>
      <c r="BQ1147" s="80"/>
      <c r="BR1147" s="80"/>
      <c r="BS1147" s="80"/>
      <c r="BT1147" s="80"/>
      <c r="BU1147" s="80"/>
      <c r="BV1147" s="80"/>
      <c r="BW1147" s="80"/>
      <c r="BX1147" s="80"/>
      <c r="BY1147" s="80"/>
      <c r="BZ1147" s="80"/>
      <c r="CA1147" s="80"/>
      <c r="CB1147" s="80"/>
      <c r="CC1147" s="80"/>
      <c r="CD1147" s="80"/>
      <c r="CE1147" s="80"/>
      <c r="CF1147" s="80"/>
      <c r="CG1147" s="80"/>
      <c r="CH1147" s="80"/>
      <c r="CI1147" s="80"/>
      <c r="CJ1147" s="80"/>
      <c r="CK1147" s="2"/>
    </row>
    <row r="1148" ht="12.75" customHeight="1">
      <c r="A1148" s="85">
        <f>IFERROR(__xludf.DUMMYFUNCTION("""COMPUTED_VALUE"""),1144.0)</f>
        <v>1144</v>
      </c>
      <c r="B1148" s="85"/>
      <c r="C1148" s="85"/>
      <c r="D1148" s="86">
        <f>IFERROR(__xludf.DUMMYFUNCTION("""COMPUTED_VALUE"""),46210.0)</f>
        <v>46210</v>
      </c>
      <c r="E1148" s="88"/>
      <c r="F1148" s="85"/>
      <c r="G1148" s="86">
        <f>IFERROR(__xludf.DUMMYFUNCTION("""COMPUTED_VALUE"""),46223.0)</f>
        <v>46223</v>
      </c>
      <c r="H1148" s="85"/>
      <c r="I1148" s="85"/>
      <c r="J1148" s="85"/>
      <c r="K1148" s="85"/>
      <c r="L1148" s="85">
        <f>IFERROR(__xludf.DUMMYFUNCTION("""COMPUTED_VALUE"""),13.0)</f>
        <v>13</v>
      </c>
      <c r="M1148" s="85"/>
      <c r="N1148" s="85"/>
      <c r="O1148" s="85"/>
      <c r="P1148" s="85" t="str">
        <f>IFERROR(__xludf.DUMMYFUNCTION("""COMPUTED_VALUE"""),"53BSPA17074JBNDS")</f>
        <v>53BSPA17074JBNDS</v>
      </c>
      <c r="Q1148" s="85" t="str">
        <f>IFERROR(__xludf.DUMMYFUNCTION("""COMPUTED_VALUE"""),"MUC JASA EKSPEDISI BUMI MUTIARA")</f>
        <v>MUC JASA EKSPEDISI BUMI MUTIARA</v>
      </c>
      <c r="R1148" s="85" t="str">
        <f>IFERROR(__xludf.DUMMYFUNCTION("""COMPUTED_VALUE"""),"MUC JASA EKSPEDISI BUMI MUTIARA")</f>
        <v>MUC JASA EKSPEDISI BUMI MUTIARA</v>
      </c>
      <c r="S1148" s="85" t="str">
        <f>IFERROR(__xludf.DUMMYFUNCTION("""COMPUTED_VALUE"""),"DIAN EKAWATI AMD")</f>
        <v>DIAN EKAWATI AMD</v>
      </c>
      <c r="T1148" s="85" t="str">
        <f>IFERROR(__xludf.DUMMYFUNCTION("""COMPUTED_VALUE"""),"VILA NUSA INDAH BLOK Y.15/12 RT 05 RW 24, BOJONG KULUR, GUNUNG PUTRI, KAB.BOGOR")</f>
        <v>VILA NUSA INDAH BLOK Y.15/12 RT 05 RW 24, BOJONG KULUR, GUNUNG PUTRI, KAB.BOGOR</v>
      </c>
      <c r="U1148" s="85" t="str">
        <f>IFERROR(__xludf.DUMMYFUNCTION("""COMPUTED_VALUE"""),"PERUM BUMI MUTIARA JL. VILA NUSA INDAH BLOK JF 5 NO. 10")</f>
        <v>PERUM BUMI MUTIARA JL. VILA NUSA INDAH BLOK JF 5 NO. 10</v>
      </c>
      <c r="V1148" s="85" t="str">
        <f>IFERROR(__xludf.DUMMYFUNCTION("""COMPUTED_VALUE"""),"RT 05  \ RW 24,")</f>
        <v>RT 05  \ RW 24,</v>
      </c>
      <c r="W1148" s="85" t="str">
        <f>IFERROR(__xludf.DUMMYFUNCTION("""COMPUTED_VALUE"""),"BOJONG KULUR")</f>
        <v>BOJONG KULUR</v>
      </c>
      <c r="X1148" s="85" t="str">
        <f>IFERROR(__xludf.DUMMYFUNCTION("""COMPUTED_VALUE"""),"GUNUNG PUTRI")</f>
        <v>GUNUNG PUTRI</v>
      </c>
      <c r="Y1148" s="85" t="str">
        <f>IFERROR(__xludf.DUMMYFUNCTION("""COMPUTED_VALUE"""),"KAB.BOGOR")</f>
        <v>KAB.BOGOR</v>
      </c>
      <c r="Z1148" s="85" t="str">
        <f>IFERROR(__xludf.DUMMYFUNCTION("""COMPUTED_VALUE"""),"JAWA BARAT")</f>
        <v>JAWA BARAT</v>
      </c>
      <c r="AA1148" s="85" t="str">
        <f>IFERROR(__xludf.DUMMYFUNCTION("""COMPUTED_VALUE"""),"16969")</f>
        <v>16969</v>
      </c>
      <c r="AB1148" s="85" t="str">
        <f>IFERROR(__xludf.DUMMYFUNCTION("""COMPUTED_VALUE"""),"3201026710790011")</f>
        <v>3201026710790011</v>
      </c>
      <c r="AC1148" s="85" t="str">
        <f>IFERROR(__xludf.DUMMYFUNCTION("""COMPUTED_VALUE"""),"24.586.213.1-045.000")</f>
        <v>24.586.213.1-045.000</v>
      </c>
      <c r="AD1148" s="85" t="str">
        <f>IFERROR(__xludf.DUMMYFUNCTION("""COMPUTED_VALUE"""),"CUM - NDS")</f>
        <v>CUM - NDS</v>
      </c>
      <c r="AE1148" s="85" t="str">
        <f>IFERROR(__xludf.DUMMYFUNCTION("""COMPUTED_VALUE"""),"SUB NDS")</f>
        <v>SUB NDS</v>
      </c>
      <c r="AF1148" s="85" t="str">
        <f>IFERROR(__xludf.DUMMYFUNCTION("""COMPUTED_VALUE"""),"081282768706")</f>
        <v>081282768706</v>
      </c>
      <c r="AG1148" s="85" t="str">
        <f>IFERROR(__xludf.DUMMYFUNCTION("""COMPUTED_VALUE"""),"81282768706")</f>
        <v>81282768706</v>
      </c>
      <c r="AH1148" s="85" t="str">
        <f>IFERROR(__xludf.DUMMYFUNCTION("""COMPUTED_VALUE"""),"dian.ekawati.amd@gmail.com")</f>
        <v>dian.ekawati.amd@gmail.com</v>
      </c>
      <c r="AI1148" s="85" t="str">
        <f>IFERROR(__xludf.DUMMYFUNCTION("""COMPUTED_VALUE"""),"16969S3")</f>
        <v>16969S3</v>
      </c>
      <c r="AJ1148" s="85" t="str">
        <f>IFERROR(__xludf.DUMMYFUNCTION("""COMPUTED_VALUE"""),"6a5d88694434edb4290066cd")</f>
        <v>6a5d88694434edb4290066cd</v>
      </c>
      <c r="AK1148" s="85" t="str">
        <f>IFERROR(__xludf.DUMMYFUNCTION("""COMPUTED_VALUE"""),"dian.ekawati.amd@gmail.com")</f>
        <v>dian.ekawati.amd@gmail.com</v>
      </c>
      <c r="AL1148" s="85" t="str">
        <f>IFERROR(__xludf.DUMMYFUNCTION("""COMPUTED_VALUE"""),"#Muc16969S3$")</f>
        <v>#Muc16969S3$</v>
      </c>
      <c r="AM1148" s="85" t="str">
        <f>IFERROR(__xludf.DUMMYFUNCTION("""COMPUTED_VALUE"""),"KANTOR REGIONAL II JAKARTA 10004")</f>
        <v>KANTOR REGIONAL II JAKARTA 10004</v>
      </c>
      <c r="AN1148" s="85"/>
      <c r="AO1148" s="85" t="str">
        <f>IFERROR(__xludf.DUMMYFUNCTION("""COMPUTED_VALUE"""),"0607260117696")</f>
        <v>0607260117696</v>
      </c>
      <c r="AP1148" s="85" t="str">
        <f>IFERROR(__xludf.DUMMYFUNCTION("""COMPUTED_VALUE"""),"0607260117696")</f>
        <v>0607260117696</v>
      </c>
      <c r="AQ1148" s="93" t="str">
        <f>IFERROR(__xludf.DUMMYFUNCTION("""COMPUTED_VALUE"""),"1330013186523")</f>
        <v>1330013186523</v>
      </c>
      <c r="AR1148" s="85" t="str">
        <f>IFERROR(__xludf.DUMMYFUNCTION("""COMPUTED_VALUE"""),"MANDIRI")</f>
        <v>MANDIRI</v>
      </c>
      <c r="AS1148" s="85" t="str">
        <f>IFERROR(__xludf.DUMMYFUNCTION("""COMPUTED_VALUE"""),"DIAN EKAWATI AMD")</f>
        <v>DIAN EKAWATI AMD</v>
      </c>
      <c r="AT1148" s="85" t="str">
        <f>IFERROR(__xludf.DUMMYFUNCTION("""COMPUTED_VALUE"""),"-63,273,938")</f>
        <v>-63,273,938</v>
      </c>
      <c r="AU1148" s="85" t="str">
        <f>IFERROR(__xludf.DUMMYFUNCTION("""COMPUTED_VALUE"""),"1,069,758,559")</f>
        <v>1,069,758,559</v>
      </c>
      <c r="AV1148" s="85"/>
      <c r="AW1148" s="85"/>
      <c r="AX1148" s="85"/>
      <c r="AY1148" s="85"/>
      <c r="AZ1148" s="85"/>
      <c r="BA1148" s="85"/>
      <c r="BB1148" s="85"/>
      <c r="BC1148" s="85"/>
      <c r="BD1148" s="85"/>
      <c r="BE1148" s="85"/>
      <c r="BF1148" s="85"/>
      <c r="BG1148" s="85"/>
      <c r="BH1148" s="85"/>
      <c r="BI1148" s="85"/>
      <c r="BJ1148" s="85"/>
      <c r="BK1148" s="85"/>
      <c r="BL1148" s="85"/>
      <c r="BM1148" s="85"/>
      <c r="BN1148" s="85"/>
      <c r="BO1148" s="85"/>
      <c r="BP1148" s="85"/>
      <c r="BQ1148" s="85"/>
      <c r="BR1148" s="85"/>
      <c r="BS1148" s="85"/>
      <c r="BT1148" s="85"/>
      <c r="BU1148" s="85"/>
      <c r="BV1148" s="85"/>
      <c r="BW1148" s="85"/>
      <c r="BX1148" s="85"/>
      <c r="BY1148" s="85"/>
      <c r="BZ1148" s="85"/>
      <c r="CA1148" s="85"/>
      <c r="CB1148" s="85"/>
      <c r="CC1148" s="85"/>
      <c r="CD1148" s="85"/>
      <c r="CE1148" s="85"/>
      <c r="CF1148" s="85"/>
      <c r="CG1148" s="85"/>
      <c r="CH1148" s="85"/>
      <c r="CI1148" s="85"/>
      <c r="CJ1148" s="85"/>
      <c r="CK1148" s="2"/>
    </row>
    <row r="1149" ht="12.75" customHeight="1">
      <c r="A1149" s="80">
        <f>IFERROR(__xludf.DUMMYFUNCTION("""COMPUTED_VALUE"""),1145.0)</f>
        <v>1145</v>
      </c>
      <c r="B1149" s="80"/>
      <c r="C1149" s="80"/>
      <c r="D1149" s="81">
        <f>IFERROR(__xludf.DUMMYFUNCTION("""COMPUTED_VALUE"""),46210.0)</f>
        <v>46210</v>
      </c>
      <c r="E1149" s="82"/>
      <c r="F1149" s="80"/>
      <c r="G1149" s="81">
        <f>IFERROR(__xludf.DUMMYFUNCTION("""COMPUTED_VALUE"""),46243.0)</f>
        <v>46243</v>
      </c>
      <c r="H1149" s="80"/>
      <c r="I1149" s="80"/>
      <c r="J1149" s="80"/>
      <c r="K1149" s="80"/>
      <c r="L1149" s="80">
        <f>IFERROR(__xludf.DUMMYFUNCTION("""COMPUTED_VALUE"""),33.0)</f>
        <v>33</v>
      </c>
      <c r="M1149" s="80"/>
      <c r="N1149" s="80"/>
      <c r="O1149" s="80"/>
      <c r="P1149" s="80" t="str">
        <f>IFERROR(__xludf.DUMMYFUNCTION("""COMPUTED_VALUE"""),"MUCSPA63589PSIND")</f>
        <v>MUCSPA63589PSIND</v>
      </c>
      <c r="Q1149" s="80" t="str">
        <f>IFERROR(__xludf.DUMMYFUNCTION("""COMPUTED_VALUE"""),"MUC AA EKSPEDISI")</f>
        <v>MUC AA EKSPEDISI</v>
      </c>
      <c r="R1149" s="80" t="str">
        <f>IFERROR(__xludf.DUMMYFUNCTION("""COMPUTED_VALUE"""),"MUC AA EKSPEDISI")</f>
        <v>MUC AA EKSPEDISI</v>
      </c>
      <c r="S1149" s="80" t="str">
        <f>IFERROR(__xludf.DUMMYFUNCTION("""COMPUTED_VALUE"""),"CHOERUL ANWAR MUTAQIN")</f>
        <v>CHOERUL ANWAR MUTAQIN</v>
      </c>
      <c r="T1149" s="80" t="str">
        <f>IFERROR(__xludf.DUMMYFUNCTION("""COMPUTED_VALUE"""),"KP. SARADAN RT 05 RW 02, BENDUNGAN, PAGADEN BARAT, KAB.SUBANG")</f>
        <v>KP. SARADAN RT 05 RW 02, BENDUNGAN, PAGADEN BARAT, KAB.SUBANG</v>
      </c>
      <c r="U1149" s="80" t="str">
        <f>IFERROR(__xludf.DUMMYFUNCTION("""COMPUTED_VALUE"""),"JL. PAHLAWAN NO.47 RT 01 RW 06")</f>
        <v>JL. PAHLAWAN NO.47 RT 01 RW 06</v>
      </c>
      <c r="V1149" s="80" t="str">
        <f>IFERROR(__xludf.DUMMYFUNCTION("""COMPUTED_VALUE"""),"RT 05  \ RW 02,")</f>
        <v>RT 05  \ RW 02,</v>
      </c>
      <c r="W1149" s="80" t="str">
        <f>IFERROR(__xludf.DUMMYFUNCTION("""COMPUTED_VALUE"""),"ARJAWINANGUN")</f>
        <v>ARJAWINANGUN</v>
      </c>
      <c r="X1149" s="80" t="str">
        <f>IFERROR(__xludf.DUMMYFUNCTION("""COMPUTED_VALUE"""),"ARJAWINANGUN")</f>
        <v>ARJAWINANGUN</v>
      </c>
      <c r="Y1149" s="80" t="str">
        <f>IFERROR(__xludf.DUMMYFUNCTION("""COMPUTED_VALUE"""),"KAB.CIREBON")</f>
        <v>KAB.CIREBON</v>
      </c>
      <c r="Z1149" s="80" t="str">
        <f>IFERROR(__xludf.DUMMYFUNCTION("""COMPUTED_VALUE"""),"JAWA BARAT")</f>
        <v>JAWA BARAT</v>
      </c>
      <c r="AA1149" s="80" t="str">
        <f>IFERROR(__xludf.DUMMYFUNCTION("""COMPUTED_VALUE"""),"45162")</f>
        <v>45162</v>
      </c>
      <c r="AB1149" s="80" t="str">
        <f>IFERROR(__xludf.DUMMYFUNCTION("""COMPUTED_VALUE"""),"3213281103980001")</f>
        <v>3213281103980001</v>
      </c>
      <c r="AC1149" s="80" t="str">
        <f>IFERROR(__xludf.DUMMYFUNCTION("""COMPUTED_VALUE"""),"32.132.811.0-398.0001")</f>
        <v>32.132.811.0-398.0001</v>
      </c>
      <c r="AD1149" s="80" t="str">
        <f>IFERROR(__xludf.DUMMYFUNCTION("""COMPUTED_VALUE"""),"CUM - LP - ANGGI")</f>
        <v>CUM - LP - ANGGI</v>
      </c>
      <c r="AE1149" s="80" t="str">
        <f>IFERROR(__xludf.DUMMYFUNCTION("""COMPUTED_VALUE"""),"CUM - LP - ANGGI")</f>
        <v>CUM - LP - ANGGI</v>
      </c>
      <c r="AF1149" s="80" t="str">
        <f>IFERROR(__xludf.DUMMYFUNCTION("""COMPUTED_VALUE"""),"089635277132")</f>
        <v>089635277132</v>
      </c>
      <c r="AG1149" s="80" t="str">
        <f>IFERROR(__xludf.DUMMYFUNCTION("""COMPUTED_VALUE"""),"89635277132")</f>
        <v>89635277132</v>
      </c>
      <c r="AH1149" s="80" t="str">
        <f>IFERROR(__xludf.DUMMYFUNCTION("""COMPUTED_VALUE"""),"aaekspedisiarjawinangun@gmail.com")</f>
        <v>aaekspedisiarjawinangun@gmail.com</v>
      </c>
      <c r="AI1149" s="80" t="str">
        <f>IFERROR(__xludf.DUMMYFUNCTION("""COMPUTED_VALUE"""),"45662SB")</f>
        <v>45662SB</v>
      </c>
      <c r="AJ1149" s="80" t="str">
        <f>IFERROR(__xludf.DUMMYFUNCTION("""COMPUTED_VALUE"""),"6a78879eec9c5efaad0009ff")</f>
        <v>6a78879eec9c5efaad0009ff</v>
      </c>
      <c r="AK1149" s="80" t="str">
        <f>IFERROR(__xludf.DUMMYFUNCTION("""COMPUTED_VALUE"""),"aaekspedisiarjawinangun@gmail.com")</f>
        <v>aaekspedisiarjawinangun@gmail.com</v>
      </c>
      <c r="AL1149" s="80" t="str">
        <f>IFERROR(__xludf.DUMMYFUNCTION("""COMPUTED_VALUE"""),"#Muc45662SB$")</f>
        <v>#Muc45662SB$</v>
      </c>
      <c r="AM1149" s="80" t="str">
        <f>IFERROR(__xludf.DUMMYFUNCTION("""COMPUTED_VALUE"""),"KANTOR REGIONAL III BANDUNG 40004")</f>
        <v>KANTOR REGIONAL III BANDUNG 40004</v>
      </c>
      <c r="AN1149" s="80" t="str">
        <f>IFERROR(__xludf.DUMMYFUNCTION("""COMPUTED_VALUE"""),"KCU CIREBON 45100")</f>
        <v>KCU CIREBON 45100</v>
      </c>
      <c r="AO1149" s="80" t="str">
        <f>IFERROR(__xludf.DUMMYFUNCTION("""COMPUTED_VALUE"""),"2204260182849")</f>
        <v>2204260182849</v>
      </c>
      <c r="AP1149" s="80" t="str">
        <f>IFERROR(__xludf.DUMMYFUNCTION("""COMPUTED_VALUE"""),"2204260182849")</f>
        <v>2204260182849</v>
      </c>
      <c r="AQ1149" s="83" t="str">
        <f>IFERROR(__xludf.DUMMYFUNCTION("""COMPUTED_VALUE"""),"439001005616534")</f>
        <v>439001005616534</v>
      </c>
      <c r="AR1149" s="80" t="str">
        <f>IFERROR(__xludf.DUMMYFUNCTION("""COMPUTED_VALUE"""),"BRI")</f>
        <v>BRI</v>
      </c>
      <c r="AS1149" s="80" t="str">
        <f>IFERROR(__xludf.DUMMYFUNCTION("""COMPUTED_VALUE"""),"CHOERUL ANWAR MUTAQIN")</f>
        <v>CHOERUL ANWAR MUTAQIN</v>
      </c>
      <c r="AT1149" s="80" t="str">
        <f>IFERROR(__xludf.DUMMYFUNCTION("""COMPUTED_VALUE"""),"-66,427,313")</f>
        <v>-66,427,313</v>
      </c>
      <c r="AU1149" s="80" t="str">
        <f>IFERROR(__xludf.DUMMYFUNCTION("""COMPUTED_VALUE"""),"1,084,011,794")</f>
        <v>1,084,011,794</v>
      </c>
      <c r="AV1149" s="80"/>
      <c r="AW1149" s="80"/>
      <c r="AX1149" s="80"/>
      <c r="AY1149" s="80"/>
      <c r="AZ1149" s="80"/>
      <c r="BA1149" s="80"/>
      <c r="BB1149" s="80"/>
      <c r="BC1149" s="80"/>
      <c r="BD1149" s="80"/>
      <c r="BE1149" s="80"/>
      <c r="BF1149" s="80"/>
      <c r="BG1149" s="80"/>
      <c r="BH1149" s="80"/>
      <c r="BI1149" s="80"/>
      <c r="BJ1149" s="80"/>
      <c r="BK1149" s="80"/>
      <c r="BL1149" s="80"/>
      <c r="BM1149" s="80"/>
      <c r="BN1149" s="80"/>
      <c r="BO1149" s="80"/>
      <c r="BP1149" s="80"/>
      <c r="BQ1149" s="80"/>
      <c r="BR1149" s="80"/>
      <c r="BS1149" s="80"/>
      <c r="BT1149" s="80"/>
      <c r="BU1149" s="80"/>
      <c r="BV1149" s="80"/>
      <c r="BW1149" s="80"/>
      <c r="BX1149" s="80"/>
      <c r="BY1149" s="80"/>
      <c r="BZ1149" s="80"/>
      <c r="CA1149" s="80"/>
      <c r="CB1149" s="80"/>
      <c r="CC1149" s="80"/>
      <c r="CD1149" s="80"/>
      <c r="CE1149" s="80"/>
      <c r="CF1149" s="80"/>
      <c r="CG1149" s="80"/>
      <c r="CH1149" s="80"/>
      <c r="CI1149" s="80"/>
      <c r="CJ1149" s="80"/>
      <c r="CK1149" s="2"/>
    </row>
    <row r="1150" ht="12.75" customHeight="1">
      <c r="A1150" s="85">
        <f>IFERROR(__xludf.DUMMYFUNCTION("""COMPUTED_VALUE"""),1146.0)</f>
        <v>1146</v>
      </c>
      <c r="B1150" s="85"/>
      <c r="C1150" s="85"/>
      <c r="D1150" s="86">
        <f>IFERROR(__xludf.DUMMYFUNCTION("""COMPUTED_VALUE"""),46210.0)</f>
        <v>46210</v>
      </c>
      <c r="E1150" s="88"/>
      <c r="F1150" s="85"/>
      <c r="G1150" s="86"/>
      <c r="H1150" s="85"/>
      <c r="I1150" s="85"/>
      <c r="J1150" s="85"/>
      <c r="K1150" s="85"/>
      <c r="L1150" s="85"/>
      <c r="M1150" s="85"/>
      <c r="N1150" s="85"/>
      <c r="O1150" s="85"/>
      <c r="P1150" s="85" t="str">
        <f>IFERROR(__xludf.DUMMYFUNCTION("""COMPUTED_VALUE"""),"MUCSPA63579PSIND")</f>
        <v>MUCSPA63579PSIND</v>
      </c>
      <c r="Q1150" s="85" t="str">
        <f>IFERROR(__xludf.DUMMYFUNCTION("""COMPUTED_VALUE"""),"MUC JOKOMART")</f>
        <v>MUC JOKOMART</v>
      </c>
      <c r="R1150" s="85" t="str">
        <f>IFERROR(__xludf.DUMMYFUNCTION("""COMPUTED_VALUE"""),"MUC JOKOMART")</f>
        <v>MUC JOKOMART</v>
      </c>
      <c r="S1150" s="85" t="str">
        <f>IFERROR(__xludf.DUMMYFUNCTION("""COMPUTED_VALUE"""),"MUHAMMAD GIRHAN PURNOMO")</f>
        <v>MUHAMMAD GIRHAN PURNOMO</v>
      </c>
      <c r="T1150" s="85" t="str">
        <f>IFERROR(__xludf.DUMMYFUNCTION("""COMPUTED_VALUE"""),"KP. SINDANGLAKA RT 4 RW 2, SINDANGLAKA KARANG TENGAH")</f>
        <v>KP. SINDANGLAKA RT 4 RW 2, SINDANGLAKA KARANG TENGAH</v>
      </c>
      <c r="U1150" s="85" t="str">
        <f>IFERROR(__xludf.DUMMYFUNCTION("""COMPUTED_VALUE"""),"JL. GUNTENG")</f>
        <v>JL. GUNTENG</v>
      </c>
      <c r="V1150" s="85" t="str">
        <f>IFERROR(__xludf.DUMMYFUNCTION("""COMPUTED_VALUE"""),"RT 4 R \ RW 2,")</f>
        <v>RT 4 R \ RW 2,</v>
      </c>
      <c r="W1150" s="85" t="str">
        <f>IFERROR(__xludf.DUMMYFUNCTION("""COMPUTED_VALUE"""),"BOJONG")</f>
        <v>BOJONG</v>
      </c>
      <c r="X1150" s="85" t="str">
        <f>IFERROR(__xludf.DUMMYFUNCTION("""COMPUTED_VALUE"""),"KARANG TENGAH")</f>
        <v>KARANG TENGAH</v>
      </c>
      <c r="Y1150" s="85" t="str">
        <f>IFERROR(__xludf.DUMMYFUNCTION("""COMPUTED_VALUE"""),"KAB. CIANJUR")</f>
        <v>KAB. CIANJUR</v>
      </c>
      <c r="Z1150" s="85" t="str">
        <f>IFERROR(__xludf.DUMMYFUNCTION("""COMPUTED_VALUE"""),"JAWA BARAT")</f>
        <v>JAWA BARAT</v>
      </c>
      <c r="AA1150" s="85" t="str">
        <f>IFERROR(__xludf.DUMMYFUNCTION("""COMPUTED_VALUE"""),"43281")</f>
        <v>43281</v>
      </c>
      <c r="AB1150" s="85" t="str">
        <f>IFERROR(__xludf.DUMMYFUNCTION("""COMPUTED_VALUE"""),"3203071108040006")</f>
        <v>3203071108040006</v>
      </c>
      <c r="AC1150" s="85" t="str">
        <f>IFERROR(__xludf.DUMMYFUNCTION("""COMPUTED_VALUE"""),"04.625.130.2-406.000")</f>
        <v>04.625.130.2-406.000</v>
      </c>
      <c r="AD1150" s="85" t="str">
        <f>IFERROR(__xludf.DUMMYFUNCTION("""COMPUTED_VALUE"""),"PAK IWAN KC CIANJUR")</f>
        <v>PAK IWAN KC CIANJUR</v>
      </c>
      <c r="AE1150" s="85" t="str">
        <f>IFERROR(__xludf.DUMMYFUNCTION("""COMPUTED_VALUE"""),"PAK IWAN KC CIANJUR")</f>
        <v>PAK IWAN KC CIANJUR</v>
      </c>
      <c r="AF1150" s="85" t="str">
        <f>IFERROR(__xludf.DUMMYFUNCTION("""COMPUTED_VALUE"""),"085959054143")</f>
        <v>085959054143</v>
      </c>
      <c r="AG1150" s="85" t="str">
        <f>IFERROR(__xludf.DUMMYFUNCTION("""COMPUTED_VALUE"""),"85959054143")</f>
        <v>85959054143</v>
      </c>
      <c r="AH1150" s="85" t="str">
        <f>IFERROR(__xludf.DUMMYFUNCTION("""COMPUTED_VALUE"""),"uwaisbagasalmuslim123@gmail.com")</f>
        <v>uwaisbagasalmuslim123@gmail.com</v>
      </c>
      <c r="AI1150" s="85"/>
      <c r="AJ1150" s="85"/>
      <c r="AK1150" s="85"/>
      <c r="AL1150" s="85"/>
      <c r="AM1150" s="85" t="str">
        <f>IFERROR(__xludf.DUMMYFUNCTION("""COMPUTED_VALUE"""),"KANTOR REGIONAL III BANDUNG 40004")</f>
        <v>KANTOR REGIONAL III BANDUNG 40004</v>
      </c>
      <c r="AN1150" s="85" t="str">
        <f>IFERROR(__xludf.DUMMYFUNCTION("""COMPUTED_VALUE"""),"KC CIANJUR 43200")</f>
        <v>KC CIANJUR 43200</v>
      </c>
      <c r="AO1150" s="85" t="str">
        <f>IFERROR(__xludf.DUMMYFUNCTION("""COMPUTED_VALUE"""),"0307260025812")</f>
        <v>0307260025812</v>
      </c>
      <c r="AP1150" s="85" t="str">
        <f>IFERROR(__xludf.DUMMYFUNCTION("""COMPUTED_VALUE"""),"0307260025812")</f>
        <v>0307260025812</v>
      </c>
      <c r="AQ1150" s="93" t="str">
        <f>IFERROR(__xludf.DUMMYFUNCTION("""COMPUTED_VALUE"""),"3480533509")</f>
        <v>3480533509</v>
      </c>
      <c r="AR1150" s="85" t="str">
        <f>IFERROR(__xludf.DUMMYFUNCTION("""COMPUTED_VALUE"""),"BCA")</f>
        <v>BCA</v>
      </c>
      <c r="AS1150" s="85" t="str">
        <f>IFERROR(__xludf.DUMMYFUNCTION("""COMPUTED_VALUE"""),"JOKO PURNOMO")</f>
        <v>JOKO PURNOMO</v>
      </c>
      <c r="AT1150" s="85" t="str">
        <f>IFERROR(__xludf.DUMMYFUNCTION("""COMPUTED_VALUE"""),"-6.7980263,107.1669455")</f>
        <v>-6.7980263,107.1669455</v>
      </c>
      <c r="AU1150" s="85" t="str">
        <f>IFERROR(__xludf.DUMMYFUNCTION("""COMPUTED_VALUE"""),"-6.7980263,107.1669455")</f>
        <v>-6.7980263,107.1669455</v>
      </c>
      <c r="AV1150" s="85"/>
      <c r="AW1150" s="85"/>
      <c r="AX1150" s="85"/>
      <c r="AY1150" s="85"/>
      <c r="AZ1150" s="85"/>
      <c r="BA1150" s="85"/>
      <c r="BB1150" s="85"/>
      <c r="BC1150" s="85"/>
      <c r="BD1150" s="85"/>
      <c r="BE1150" s="85"/>
      <c r="BF1150" s="85"/>
      <c r="BG1150" s="85"/>
      <c r="BH1150" s="85"/>
      <c r="BI1150" s="85"/>
      <c r="BJ1150" s="85"/>
      <c r="BK1150" s="85"/>
      <c r="BL1150" s="85"/>
      <c r="BM1150" s="85"/>
      <c r="BN1150" s="85"/>
      <c r="BO1150" s="85"/>
      <c r="BP1150" s="85"/>
      <c r="BQ1150" s="85"/>
      <c r="BR1150" s="85"/>
      <c r="BS1150" s="85"/>
      <c r="BT1150" s="85"/>
      <c r="BU1150" s="85"/>
      <c r="BV1150" s="85"/>
      <c r="BW1150" s="85"/>
      <c r="BX1150" s="85"/>
      <c r="BY1150" s="85"/>
      <c r="BZ1150" s="85"/>
      <c r="CA1150" s="85"/>
      <c r="CB1150" s="85"/>
      <c r="CC1150" s="85"/>
      <c r="CD1150" s="85"/>
      <c r="CE1150" s="85"/>
      <c r="CF1150" s="85"/>
      <c r="CG1150" s="85"/>
      <c r="CH1150" s="85"/>
      <c r="CI1150" s="85"/>
      <c r="CJ1150" s="85"/>
      <c r="CK1150" s="2"/>
    </row>
    <row r="1151" ht="12.75" customHeight="1">
      <c r="A1151" s="80">
        <f>IFERROR(__xludf.DUMMYFUNCTION("""COMPUTED_VALUE"""),1147.0)</f>
        <v>1147</v>
      </c>
      <c r="B1151" s="80"/>
      <c r="C1151" s="80"/>
      <c r="D1151" s="81">
        <f>IFERROR(__xludf.DUMMYFUNCTION("""COMPUTED_VALUE"""),46211.0)</f>
        <v>46211</v>
      </c>
      <c r="E1151" s="82"/>
      <c r="F1151" s="80"/>
      <c r="G1151" s="81">
        <f>IFERROR(__xludf.DUMMYFUNCTION("""COMPUTED_VALUE"""),46244.0)</f>
        <v>46244</v>
      </c>
      <c r="H1151" s="80"/>
      <c r="I1151" s="80"/>
      <c r="J1151" s="80"/>
      <c r="K1151" s="80"/>
      <c r="L1151" s="80">
        <f>IFERROR(__xludf.DUMMYFUNCTION("""COMPUTED_VALUE"""),33.0)</f>
        <v>33</v>
      </c>
      <c r="M1151" s="80"/>
      <c r="N1151" s="80"/>
      <c r="O1151" s="80"/>
      <c r="P1151" s="80" t="str">
        <f>IFERROR(__xludf.DUMMYFUNCTION("""COMPUTED_VALUE"""),"MUCSPA63594PSIND")</f>
        <v>MUCSPA63594PSIND</v>
      </c>
      <c r="Q1151" s="80" t="str">
        <f>IFERROR(__xludf.DUMMYFUNCTION("""COMPUTED_VALUE"""),"MUC AYU")</f>
        <v>MUC AYU</v>
      </c>
      <c r="R1151" s="80" t="str">
        <f>IFERROR(__xludf.DUMMYFUNCTION("""COMPUTED_VALUE"""),"MUC AYU")</f>
        <v>MUC AYU</v>
      </c>
      <c r="S1151" s="80" t="str">
        <f>IFERROR(__xludf.DUMMYFUNCTION("""COMPUTED_VALUE"""),"SUCHERMAN")</f>
        <v>SUCHERMAN</v>
      </c>
      <c r="T1151" s="80" t="str">
        <f>IFERROR(__xludf.DUMMYFUNCTION("""COMPUTED_VALUE"""),"JL. WARINGIN NO.216 RT 03 RW 07, JUNGJANG, ARJAWINANGUN, KAB.CIREBON")</f>
        <v>JL. WARINGIN NO.216 RT 03 RW 07, JUNGJANG, ARJAWINANGUN, KAB.CIREBON</v>
      </c>
      <c r="U1151" s="80" t="str">
        <f>IFERROR(__xludf.DUMMYFUNCTION("""COMPUTED_VALUE"""),"JL. KI HAJAR DEWANTARA ( Pasar Jungjang Kios A31 )")</f>
        <v>JL. KI HAJAR DEWANTARA ( Pasar Jungjang Kios A31 )</v>
      </c>
      <c r="V1151" s="80" t="str">
        <f>IFERROR(__xludf.DUMMYFUNCTION("""COMPUTED_VALUE"""),"RT 03  \ RW 07,")</f>
        <v>RT 03  \ RW 07,</v>
      </c>
      <c r="W1151" s="80" t="str">
        <f>IFERROR(__xludf.DUMMYFUNCTION("""COMPUTED_VALUE"""),"JUNGJANG")</f>
        <v>JUNGJANG</v>
      </c>
      <c r="X1151" s="80" t="str">
        <f>IFERROR(__xludf.DUMMYFUNCTION("""COMPUTED_VALUE"""),"ARJAWINANGUN")</f>
        <v>ARJAWINANGUN</v>
      </c>
      <c r="Y1151" s="80" t="str">
        <f>IFERROR(__xludf.DUMMYFUNCTION("""COMPUTED_VALUE"""),"KAB.CIREBON")</f>
        <v>KAB.CIREBON</v>
      </c>
      <c r="Z1151" s="80" t="str">
        <f>IFERROR(__xludf.DUMMYFUNCTION("""COMPUTED_VALUE"""),"JAWA BARAT")</f>
        <v>JAWA BARAT</v>
      </c>
      <c r="AA1151" s="80" t="str">
        <f>IFERROR(__xludf.DUMMYFUNCTION("""COMPUTED_VALUE"""),"45162")</f>
        <v>45162</v>
      </c>
      <c r="AB1151" s="80" t="str">
        <f>IFERROR(__xludf.DUMMYFUNCTION("""COMPUTED_VALUE"""),"3209240510680006")</f>
        <v>3209240510680006</v>
      </c>
      <c r="AC1151" s="80" t="str">
        <f>IFERROR(__xludf.DUMMYFUNCTION("""COMPUTED_VALUE"""),"67.737.470.4-426.000")</f>
        <v>67.737.470.4-426.000</v>
      </c>
      <c r="AD1151" s="80" t="str">
        <f>IFERROR(__xludf.DUMMYFUNCTION("""COMPUTED_VALUE"""),"PAK ASEP UMKM")</f>
        <v>PAK ASEP UMKM</v>
      </c>
      <c r="AE1151" s="80" t="str">
        <f>IFERROR(__xludf.DUMMYFUNCTION("""COMPUTED_VALUE"""),"PAK ASEP UMKM")</f>
        <v>PAK ASEP UMKM</v>
      </c>
      <c r="AF1151" s="80" t="str">
        <f>IFERROR(__xludf.DUMMYFUNCTION("""COMPUTED_VALUE"""),"081320640662")</f>
        <v>081320640662</v>
      </c>
      <c r="AG1151" s="80" t="str">
        <f>IFERROR(__xludf.DUMMYFUNCTION("""COMPUTED_VALUE"""),"81320640662")</f>
        <v>81320640662</v>
      </c>
      <c r="AH1151" s="80" t="str">
        <f>IFERROR(__xludf.DUMMYFUNCTION("""COMPUTED_VALUE"""),"sucherman.cirebon@gmail.com")</f>
        <v>sucherman.cirebon@gmail.com</v>
      </c>
      <c r="AI1151" s="80" t="str">
        <f>IFERROR(__xludf.DUMMYFUNCTION("""COMPUTED_VALUE"""),"45662SC")</f>
        <v>45662SC</v>
      </c>
      <c r="AJ1151" s="80" t="str">
        <f>IFERROR(__xludf.DUMMYFUNCTION("""COMPUTED_VALUE"""),"6a7954407b571131e60844d3")</f>
        <v>6a7954407b571131e60844d3</v>
      </c>
      <c r="AK1151" s="80" t="str">
        <f>IFERROR(__xludf.DUMMYFUNCTION("""COMPUTED_VALUE"""),"sucherman.cirebon@gmail.com")</f>
        <v>sucherman.cirebon@gmail.com</v>
      </c>
      <c r="AL1151" s="80" t="str">
        <f>IFERROR(__xludf.DUMMYFUNCTION("""COMPUTED_VALUE"""),"#Muc45662SC$")</f>
        <v>#Muc45662SC$</v>
      </c>
      <c r="AM1151" s="80" t="str">
        <f>IFERROR(__xludf.DUMMYFUNCTION("""COMPUTED_VALUE"""),"KANTOR REGIONAL III BANDUNG 40004")</f>
        <v>KANTOR REGIONAL III BANDUNG 40004</v>
      </c>
      <c r="AN1151" s="80" t="str">
        <f>IFERROR(__xludf.DUMMYFUNCTION("""COMPUTED_VALUE"""),"KCU CIREBON 45100")</f>
        <v>KCU CIREBON 45100</v>
      </c>
      <c r="AO1151" s="80" t="str">
        <f>IFERROR(__xludf.DUMMYFUNCTION("""COMPUTED_VALUE"""),"0807260165286")</f>
        <v>0807260165286</v>
      </c>
      <c r="AP1151" s="80" t="str">
        <f>IFERROR(__xludf.DUMMYFUNCTION("""COMPUTED_VALUE"""),"0807260165286")</f>
        <v>0807260165286</v>
      </c>
      <c r="AQ1151" s="83" t="str">
        <f>IFERROR(__xludf.DUMMYFUNCTION("""COMPUTED_VALUE"""),"107801004958502")</f>
        <v>107801004958502</v>
      </c>
      <c r="AR1151" s="80" t="str">
        <f>IFERROR(__xludf.DUMMYFUNCTION("""COMPUTED_VALUE"""),"BRI")</f>
        <v>BRI</v>
      </c>
      <c r="AS1151" s="80" t="str">
        <f>IFERROR(__xludf.DUMMYFUNCTION("""COMPUTED_VALUE"""),"SUCHERMAN")</f>
        <v>SUCHERMAN</v>
      </c>
      <c r="AT1151" s="80" t="str">
        <f>IFERROR(__xludf.DUMMYFUNCTION("""COMPUTED_VALUE"""),"-66,471,723")</f>
        <v>-66,471,723</v>
      </c>
      <c r="AU1151" s="80" t="str">
        <f>IFERROR(__xludf.DUMMYFUNCTION("""COMPUTED_VALUE"""),"108,121,321")</f>
        <v>108,121,321</v>
      </c>
      <c r="AV1151" s="80"/>
      <c r="AW1151" s="80"/>
      <c r="AX1151" s="80"/>
      <c r="AY1151" s="80"/>
      <c r="AZ1151" s="80"/>
      <c r="BA1151" s="80"/>
      <c r="BB1151" s="80"/>
      <c r="BC1151" s="80"/>
      <c r="BD1151" s="80"/>
      <c r="BE1151" s="80"/>
      <c r="BF1151" s="80"/>
      <c r="BG1151" s="80"/>
      <c r="BH1151" s="80"/>
      <c r="BI1151" s="80"/>
      <c r="BJ1151" s="80"/>
      <c r="BK1151" s="80"/>
      <c r="BL1151" s="80"/>
      <c r="BM1151" s="80"/>
      <c r="BN1151" s="80"/>
      <c r="BO1151" s="80"/>
      <c r="BP1151" s="80"/>
      <c r="BQ1151" s="80"/>
      <c r="BR1151" s="80"/>
      <c r="BS1151" s="80"/>
      <c r="BT1151" s="80"/>
      <c r="BU1151" s="80"/>
      <c r="BV1151" s="80"/>
      <c r="BW1151" s="80"/>
      <c r="BX1151" s="80"/>
      <c r="BY1151" s="80"/>
      <c r="BZ1151" s="80"/>
      <c r="CA1151" s="80"/>
      <c r="CB1151" s="80"/>
      <c r="CC1151" s="80"/>
      <c r="CD1151" s="80"/>
      <c r="CE1151" s="80"/>
      <c r="CF1151" s="80"/>
      <c r="CG1151" s="80"/>
      <c r="CH1151" s="80"/>
      <c r="CI1151" s="80"/>
      <c r="CJ1151" s="80"/>
      <c r="CK1151" s="2"/>
    </row>
    <row r="1152" ht="12.75" customHeight="1">
      <c r="A1152" s="85">
        <f>IFERROR(__xludf.DUMMYFUNCTION("""COMPUTED_VALUE"""),1148.0)</f>
        <v>1148</v>
      </c>
      <c r="B1152" s="85"/>
      <c r="C1152" s="85"/>
      <c r="D1152" s="86">
        <f>IFERROR(__xludf.DUMMYFUNCTION("""COMPUTED_VALUE"""),46211.0)</f>
        <v>46211</v>
      </c>
      <c r="E1152" s="88"/>
      <c r="F1152" s="85"/>
      <c r="G1152" s="86">
        <f>IFERROR(__xludf.DUMMYFUNCTION("""COMPUTED_VALUE"""),46237.0)</f>
        <v>46237</v>
      </c>
      <c r="H1152" s="85"/>
      <c r="I1152" s="85"/>
      <c r="J1152" s="85"/>
      <c r="K1152" s="85"/>
      <c r="L1152" s="85">
        <f>IFERROR(__xludf.DUMMYFUNCTION("""COMPUTED_VALUE"""),26.0)</f>
        <v>26</v>
      </c>
      <c r="M1152" s="85"/>
      <c r="N1152" s="85"/>
      <c r="O1152" s="85"/>
      <c r="P1152" s="85" t="str">
        <f>IFERROR(__xludf.DUMMYFUNCTION("""COMPUTED_VALUE"""),"MUCSPA63591PSIND")</f>
        <v>MUCSPA63591PSIND</v>
      </c>
      <c r="Q1152" s="85" t="str">
        <f>IFERROR(__xludf.DUMMYFUNCTION("""COMPUTED_VALUE"""),"MUC Nagrak Cangkuang")</f>
        <v>MUC Nagrak Cangkuang</v>
      </c>
      <c r="R1152" s="85" t="str">
        <f>IFERROR(__xludf.DUMMYFUNCTION("""COMPUTED_VALUE"""),"MUC Nagrak Cangkuang")</f>
        <v>MUC Nagrak Cangkuang</v>
      </c>
      <c r="S1152" s="85" t="str">
        <f>IFERROR(__xludf.DUMMYFUNCTION("""COMPUTED_VALUE"""),"JENAL MUSTOFA")</f>
        <v>JENAL MUSTOFA</v>
      </c>
      <c r="T1152" s="85" t="str">
        <f>IFERROR(__xludf.DUMMYFUNCTION("""COMPUTED_VALUE"""),"SANGGAR INDAH LESTARI SIR 61 RT 02 RW 12, NAGRAK, CANGKUANG, KAB.BANDUNG")</f>
        <v>SANGGAR INDAH LESTARI SIR 61 RT 02 RW 12, NAGRAK, CANGKUANG, KAB.BANDUNG</v>
      </c>
      <c r="U1152" s="85" t="str">
        <f>IFERROR(__xludf.DUMMYFUNCTION("""COMPUTED_VALUE"""),"Perumahan Sanggar Indah Lestari No.Sir 61 RT 02 RW 12")</f>
        <v>Perumahan Sanggar Indah Lestari No.Sir 61 RT 02 RW 12</v>
      </c>
      <c r="V1152" s="85" t="str">
        <f>IFERROR(__xludf.DUMMYFUNCTION("""COMPUTED_VALUE"""),"RT 02  \ RW 12,")</f>
        <v>RT 02  \ RW 12,</v>
      </c>
      <c r="W1152" s="85" t="str">
        <f>IFERROR(__xludf.DUMMYFUNCTION("""COMPUTED_VALUE"""),"CANGKUANG")</f>
        <v>CANGKUANG</v>
      </c>
      <c r="X1152" s="85" t="str">
        <f>IFERROR(__xludf.DUMMYFUNCTION("""COMPUTED_VALUE"""),"CANGKUANG")</f>
        <v>CANGKUANG</v>
      </c>
      <c r="Y1152" s="85" t="str">
        <f>IFERROR(__xludf.DUMMYFUNCTION("""COMPUTED_VALUE"""),"KAB.BANDUNG")</f>
        <v>KAB.BANDUNG</v>
      </c>
      <c r="Z1152" s="85" t="str">
        <f>IFERROR(__xludf.DUMMYFUNCTION("""COMPUTED_VALUE"""),"JAWA BARAT")</f>
        <v>JAWA BARAT</v>
      </c>
      <c r="AA1152" s="85" t="str">
        <f>IFERROR(__xludf.DUMMYFUNCTION("""COMPUTED_VALUE"""),"40238")</f>
        <v>40238</v>
      </c>
      <c r="AB1152" s="85" t="str">
        <f>IFERROR(__xludf.DUMMYFUNCTION("""COMPUTED_VALUE"""),"3277031509780016")</f>
        <v>3277031509780016</v>
      </c>
      <c r="AC1152" s="85" t="str">
        <f>IFERROR(__xludf.DUMMYFUNCTION("""COMPUTED_VALUE"""),"58.609.382.5-421.000")</f>
        <v>58.609.382.5-421.000</v>
      </c>
      <c r="AD1152" s="85" t="str">
        <f>IFERROR(__xludf.DUMMYFUNCTION("""COMPUTED_VALUE"""),"CUM - LP - ANGGI")</f>
        <v>CUM - LP - ANGGI</v>
      </c>
      <c r="AE1152" s="85" t="str">
        <f>IFERROR(__xludf.DUMMYFUNCTION("""COMPUTED_VALUE"""),"CUM - LP - ANGGI")</f>
        <v>CUM - LP - ANGGI</v>
      </c>
      <c r="AF1152" s="85" t="str">
        <f>IFERROR(__xludf.DUMMYFUNCTION("""COMPUTED_VALUE"""),"087824071149")</f>
        <v>087824071149</v>
      </c>
      <c r="AG1152" s="85" t="str">
        <f>IFERROR(__xludf.DUMMYFUNCTION("""COMPUTED_VALUE"""),"87824071149")</f>
        <v>87824071149</v>
      </c>
      <c r="AH1152" s="85" t="str">
        <f>IFERROR(__xludf.DUMMYFUNCTION("""COMPUTED_VALUE"""),"Ujen.mustofa@gmail.com")</f>
        <v>Ujen.mustofa@gmail.com</v>
      </c>
      <c r="AI1152" s="85" t="str">
        <f>IFERROR(__xludf.DUMMYFUNCTION("""COMPUTED_VALUE"""),"40361SA")</f>
        <v>40361SA</v>
      </c>
      <c r="AJ1152" s="85" t="str">
        <f>IFERROR(__xludf.DUMMYFUNCTION("""COMPUTED_VALUE"""),"6a6d5b11ae5edd82900b5205")</f>
        <v>6a6d5b11ae5edd82900b5205</v>
      </c>
      <c r="AK1152" s="85" t="str">
        <f>IFERROR(__xludf.DUMMYFUNCTION("""COMPUTED_VALUE"""),"Ujen.mustofa@gmail.com")</f>
        <v>Ujen.mustofa@gmail.com</v>
      </c>
      <c r="AL1152" s="85" t="str">
        <f>IFERROR(__xludf.DUMMYFUNCTION("""COMPUTED_VALUE"""),"#Muc40361SA$")</f>
        <v>#Muc40361SA$</v>
      </c>
      <c r="AM1152" s="85" t="str">
        <f>IFERROR(__xludf.DUMMYFUNCTION("""COMPUTED_VALUE"""),"KANTOR REGIONAL III BANDUNG 40004")</f>
        <v>KANTOR REGIONAL III BANDUNG 40004</v>
      </c>
      <c r="AN1152" s="85" t="str">
        <f>IFERROR(__xludf.DUMMYFUNCTION("""COMPUTED_VALUE"""),"KC SOREANG 40900")</f>
        <v>KC SOREANG 40900</v>
      </c>
      <c r="AO1152" s="85" t="str">
        <f>IFERROR(__xludf.DUMMYFUNCTION("""COMPUTED_VALUE"""),"2809210020179")</f>
        <v>2809210020179</v>
      </c>
      <c r="AP1152" s="85" t="str">
        <f>IFERROR(__xludf.DUMMYFUNCTION("""COMPUTED_VALUE"""),"2809210020179")</f>
        <v>2809210020179</v>
      </c>
      <c r="AQ1152" s="93" t="str">
        <f>IFERROR(__xludf.DUMMYFUNCTION("""COMPUTED_VALUE"""),"7771847475")</f>
        <v>7771847475</v>
      </c>
      <c r="AR1152" s="85" t="str">
        <f>IFERROR(__xludf.DUMMYFUNCTION("""COMPUTED_VALUE"""),"BCA")</f>
        <v>BCA</v>
      </c>
      <c r="AS1152" s="85" t="str">
        <f>IFERROR(__xludf.DUMMYFUNCTION("""COMPUTED_VALUE"""),"JENAL MUSTOFA")</f>
        <v>JENAL MUSTOFA</v>
      </c>
      <c r="AT1152" s="85" t="str">
        <f>IFERROR(__xludf.DUMMYFUNCTION("""COMPUTED_VALUE"""),"-70,586,436")</f>
        <v>-70,586,436</v>
      </c>
      <c r="AU1152" s="85" t="str">
        <f>IFERROR(__xludf.DUMMYFUNCTION("""COMPUTED_VALUE"""),"1,075,511,259")</f>
        <v>1,075,511,259</v>
      </c>
      <c r="AV1152" s="85"/>
      <c r="AW1152" s="85"/>
      <c r="AX1152" s="85"/>
      <c r="AY1152" s="85"/>
      <c r="AZ1152" s="85"/>
      <c r="BA1152" s="85"/>
      <c r="BB1152" s="85"/>
      <c r="BC1152" s="85"/>
      <c r="BD1152" s="85"/>
      <c r="BE1152" s="85"/>
      <c r="BF1152" s="85"/>
      <c r="BG1152" s="85"/>
      <c r="BH1152" s="85"/>
      <c r="BI1152" s="85"/>
      <c r="BJ1152" s="85"/>
      <c r="BK1152" s="85"/>
      <c r="BL1152" s="85"/>
      <c r="BM1152" s="85"/>
      <c r="BN1152" s="85"/>
      <c r="BO1152" s="85"/>
      <c r="BP1152" s="85"/>
      <c r="BQ1152" s="85"/>
      <c r="BR1152" s="85"/>
      <c r="BS1152" s="85"/>
      <c r="BT1152" s="85"/>
      <c r="BU1152" s="85"/>
      <c r="BV1152" s="85"/>
      <c r="BW1152" s="85"/>
      <c r="BX1152" s="85"/>
      <c r="BY1152" s="85"/>
      <c r="BZ1152" s="85"/>
      <c r="CA1152" s="85"/>
      <c r="CB1152" s="85"/>
      <c r="CC1152" s="85"/>
      <c r="CD1152" s="85"/>
      <c r="CE1152" s="85"/>
      <c r="CF1152" s="85"/>
      <c r="CG1152" s="85"/>
      <c r="CH1152" s="85"/>
      <c r="CI1152" s="85"/>
      <c r="CJ1152" s="85"/>
      <c r="CK1152" s="2"/>
    </row>
    <row r="1153" ht="12.75" customHeight="1">
      <c r="A1153" s="80">
        <f>IFERROR(__xludf.DUMMYFUNCTION("""COMPUTED_VALUE"""),1149.0)</f>
        <v>1149</v>
      </c>
      <c r="B1153" s="80"/>
      <c r="C1153" s="80"/>
      <c r="D1153" s="81">
        <f>IFERROR(__xludf.DUMMYFUNCTION("""COMPUTED_VALUE"""),46211.0)</f>
        <v>46211</v>
      </c>
      <c r="E1153" s="82"/>
      <c r="F1153" s="80"/>
      <c r="G1153" s="81">
        <f>IFERROR(__xludf.DUMMYFUNCTION("""COMPUTED_VALUE"""),46280.0)</f>
        <v>46280</v>
      </c>
      <c r="H1153" s="80"/>
      <c r="I1153" s="80"/>
      <c r="J1153" s="80"/>
      <c r="K1153" s="80"/>
      <c r="L1153" s="80">
        <f>IFERROR(__xludf.DUMMYFUNCTION("""COMPUTED_VALUE"""),69.0)</f>
        <v>69</v>
      </c>
      <c r="M1153" s="80"/>
      <c r="N1153" s="80"/>
      <c r="O1153" s="80"/>
      <c r="P1153" s="80" t="str">
        <f>IFERROR(__xludf.DUMMYFUNCTION("""COMPUTED_VALUE"""),"MUCSPA63592PSIND")</f>
        <v>MUCSPA63592PSIND</v>
      </c>
      <c r="Q1153" s="80" t="str">
        <f>IFERROR(__xludf.DUMMYFUNCTION("""COMPUTED_VALUE"""),"MUC Serbaneka Express")</f>
        <v>MUC Serbaneka Express</v>
      </c>
      <c r="R1153" s="80" t="str">
        <f>IFERROR(__xludf.DUMMYFUNCTION("""COMPUTED_VALUE"""),"MUC Serbaneka Express")</f>
        <v>MUC Serbaneka Express</v>
      </c>
      <c r="S1153" s="80" t="str">
        <f>IFERROR(__xludf.DUMMYFUNCTION("""COMPUTED_VALUE"""),"SUNARTO")</f>
        <v>SUNARTO</v>
      </c>
      <c r="T1153" s="80" t="str">
        <f>IFERROR(__xludf.DUMMYFUNCTION("""COMPUTED_VALUE"""),"KP.KARANG MULYA RT 01 RW 09, DAWUAN TENGAH, CIKAMPEK, KAB.KARAWANG")</f>
        <v>KP.KARANG MULYA RT 01 RW 09, DAWUAN TENGAH, CIKAMPEK, KAB.KARAWANG</v>
      </c>
      <c r="U1153" s="80" t="str">
        <f>IFERROR(__xludf.DUMMYFUNCTION("""COMPUTED_VALUE"""),"JL. PAJARAYAN KP.KARANG MULYA RT 01 RW 09")</f>
        <v>JL. PAJARAYAN KP.KARANG MULYA RT 01 RW 09</v>
      </c>
      <c r="V1153" s="80" t="str">
        <f>IFERROR(__xludf.DUMMYFUNCTION("""COMPUTED_VALUE"""),"RT 01  \ RW 09,")</f>
        <v>RT 01  \ RW 09,</v>
      </c>
      <c r="W1153" s="80" t="str">
        <f>IFERROR(__xludf.DUMMYFUNCTION("""COMPUTED_VALUE"""),"DAWUAN TENGAH")</f>
        <v>DAWUAN TENGAH</v>
      </c>
      <c r="X1153" s="80" t="str">
        <f>IFERROR(__xludf.DUMMYFUNCTION("""COMPUTED_VALUE"""),"CIKAMPEK")</f>
        <v>CIKAMPEK</v>
      </c>
      <c r="Y1153" s="80" t="str">
        <f>IFERROR(__xludf.DUMMYFUNCTION("""COMPUTED_VALUE"""),"KARAWANG")</f>
        <v>KARAWANG</v>
      </c>
      <c r="Z1153" s="80" t="str">
        <f>IFERROR(__xludf.DUMMYFUNCTION("""COMPUTED_VALUE"""),"JAWA BARAT")</f>
        <v>JAWA BARAT</v>
      </c>
      <c r="AA1153" s="80" t="str">
        <f>IFERROR(__xludf.DUMMYFUNCTION("""COMPUTED_VALUE"""),"41373")</f>
        <v>41373</v>
      </c>
      <c r="AB1153" s="80" t="str">
        <f>IFERROR(__xludf.DUMMYFUNCTION("""COMPUTED_VALUE"""),"3215292110630002")</f>
        <v>3215292110630002</v>
      </c>
      <c r="AC1153" s="80" t="str">
        <f>IFERROR(__xludf.DUMMYFUNCTION("""COMPUTED_VALUE"""),"81.544.970.7-433.000")</f>
        <v>81.544.970.7-433.000</v>
      </c>
      <c r="AD1153" s="80" t="str">
        <f>IFERROR(__xludf.DUMMYFUNCTION("""COMPUTED_VALUE"""),"CUM - LP - ANGGI")</f>
        <v>CUM - LP - ANGGI</v>
      </c>
      <c r="AE1153" s="80" t="str">
        <f>IFERROR(__xludf.DUMMYFUNCTION("""COMPUTED_VALUE"""),"CUM - LP - ANGGI")</f>
        <v>CUM - LP - ANGGI</v>
      </c>
      <c r="AF1153" s="80" t="str">
        <f>IFERROR(__xludf.DUMMYFUNCTION("""COMPUTED_VALUE"""),"081321873118")</f>
        <v>081321873118</v>
      </c>
      <c r="AG1153" s="80" t="str">
        <f>IFERROR(__xludf.DUMMYFUNCTION("""COMPUTED_VALUE"""),"81321873118")</f>
        <v>81321873118</v>
      </c>
      <c r="AH1153" s="80" t="str">
        <f>IFERROR(__xludf.DUMMYFUNCTION("""COMPUTED_VALUE"""),"atto.sunarto@gmail.com")</f>
        <v>atto.sunarto@gmail.com</v>
      </c>
      <c r="AI1153" s="80" t="str">
        <f>IFERROR(__xludf.DUMMYFUNCTION("""COMPUTED_VALUE"""),"41373S3 ")</f>
        <v>41373S3 </v>
      </c>
      <c r="AJ1153" s="80" t="str">
        <f>IFERROR(__xludf.DUMMYFUNCTION("""COMPUTED_VALUE"""),"6a9cefc12b9258d93f040eb1 ")</f>
        <v>6a9cefc12b9258d93f040eb1 </v>
      </c>
      <c r="AK1153" s="80" t="str">
        <f>IFERROR(__xludf.DUMMYFUNCTION("""COMPUTED_VALUE"""),"atto.sunarto@gmail.com")</f>
        <v>atto.sunarto@gmail.com</v>
      </c>
      <c r="AL1153" s="80" t="str">
        <f>IFERROR(__xludf.DUMMYFUNCTION("""COMPUTED_VALUE"""),"#Muc41373S3$")</f>
        <v>#Muc41373S3$</v>
      </c>
      <c r="AM1153" s="80" t="str">
        <f>IFERROR(__xludf.DUMMYFUNCTION("""COMPUTED_VALUE"""),"KANTOR REGIONAL III BANDUNG 40004")</f>
        <v>KANTOR REGIONAL III BANDUNG 40004</v>
      </c>
      <c r="AN1153" s="80" t="str">
        <f>IFERROR(__xludf.DUMMYFUNCTION("""COMPUTED_VALUE"""),"KCU KARAWANG 41300")</f>
        <v>KCU KARAWANG 41300</v>
      </c>
      <c r="AO1153" s="80" t="str">
        <f>IFERROR(__xludf.DUMMYFUNCTION("""COMPUTED_VALUE"""),"0707260119001")</f>
        <v>0707260119001</v>
      </c>
      <c r="AP1153" s="80" t="str">
        <f>IFERROR(__xludf.DUMMYFUNCTION("""COMPUTED_VALUE"""),"0707260119001")</f>
        <v>0707260119001</v>
      </c>
      <c r="AQ1153" s="83" t="str">
        <f>IFERROR(__xludf.DUMMYFUNCTION("""COMPUTED_VALUE"""),"1792667532")</f>
        <v>1792667532</v>
      </c>
      <c r="AR1153" s="80" t="str">
        <f>IFERROR(__xludf.DUMMYFUNCTION("""COMPUTED_VALUE"""),"BNI")</f>
        <v>BNI</v>
      </c>
      <c r="AS1153" s="80" t="str">
        <f>IFERROR(__xludf.DUMMYFUNCTION("""COMPUTED_VALUE"""),"SUNARTO")</f>
        <v>SUNARTO</v>
      </c>
      <c r="AT1153" s="80" t="str">
        <f>IFERROR(__xludf.DUMMYFUNCTION("""COMPUTED_VALUE"""),"-63,940,266")</f>
        <v>-63,940,266</v>
      </c>
      <c r="AU1153" s="80" t="str">
        <f>IFERROR(__xludf.DUMMYFUNCTION("""COMPUTED_VALUE"""),"1,074,372,624")</f>
        <v>1,074,372,624</v>
      </c>
      <c r="AV1153" s="80"/>
      <c r="AW1153" s="80"/>
      <c r="AX1153" s="80"/>
      <c r="AY1153" s="80"/>
      <c r="AZ1153" s="80"/>
      <c r="BA1153" s="80"/>
      <c r="BB1153" s="80"/>
      <c r="BC1153" s="80"/>
      <c r="BD1153" s="80"/>
      <c r="BE1153" s="80"/>
      <c r="BF1153" s="80"/>
      <c r="BG1153" s="80"/>
      <c r="BH1153" s="80"/>
      <c r="BI1153" s="80"/>
      <c r="BJ1153" s="80"/>
      <c r="BK1153" s="80"/>
      <c r="BL1153" s="80"/>
      <c r="BM1153" s="80"/>
      <c r="BN1153" s="80"/>
      <c r="BO1153" s="80"/>
      <c r="BP1153" s="80"/>
      <c r="BQ1153" s="80"/>
      <c r="BR1153" s="80"/>
      <c r="BS1153" s="80"/>
      <c r="BT1153" s="80"/>
      <c r="BU1153" s="80"/>
      <c r="BV1153" s="80"/>
      <c r="BW1153" s="80"/>
      <c r="BX1153" s="80"/>
      <c r="BY1153" s="80"/>
      <c r="BZ1153" s="80"/>
      <c r="CA1153" s="80"/>
      <c r="CB1153" s="80"/>
      <c r="CC1153" s="80"/>
      <c r="CD1153" s="80"/>
      <c r="CE1153" s="80"/>
      <c r="CF1153" s="80"/>
      <c r="CG1153" s="80"/>
      <c r="CH1153" s="80"/>
      <c r="CI1153" s="80"/>
      <c r="CJ1153" s="80"/>
      <c r="CK1153" s="2"/>
    </row>
    <row r="1154" ht="12.75" customHeight="1">
      <c r="A1154" s="85">
        <f>IFERROR(__xludf.DUMMYFUNCTION("""COMPUTED_VALUE"""),1150.0)</f>
        <v>1150</v>
      </c>
      <c r="B1154" s="85"/>
      <c r="C1154" s="85"/>
      <c r="D1154" s="86">
        <f>IFERROR(__xludf.DUMMYFUNCTION("""COMPUTED_VALUE"""),46212.0)</f>
        <v>46212</v>
      </c>
      <c r="E1154" s="88"/>
      <c r="F1154" s="85"/>
      <c r="G1154" s="86">
        <f>IFERROR(__xludf.DUMMYFUNCTION("""COMPUTED_VALUE"""),46272.0)</f>
        <v>46272</v>
      </c>
      <c r="H1154" s="85"/>
      <c r="I1154" s="85"/>
      <c r="J1154" s="85"/>
      <c r="K1154" s="85"/>
      <c r="L1154" s="85">
        <f>IFERROR(__xludf.DUMMYFUNCTION("""COMPUTED_VALUE"""),60.0)</f>
        <v>60</v>
      </c>
      <c r="M1154" s="85"/>
      <c r="N1154" s="85"/>
      <c r="O1154" s="85"/>
      <c r="P1154" s="85" t="str">
        <f>IFERROR(__xludf.DUMMYFUNCTION("""COMPUTED_VALUE"""),"MUCSPA63577PSIND")</f>
        <v>MUCSPA63577PSIND</v>
      </c>
      <c r="Q1154" s="85" t="str">
        <f>IFERROR(__xludf.DUMMYFUNCTION("""COMPUTED_VALUE"""),"MUC UD AL RAZZAQ")</f>
        <v>MUC UD AL RAZZAQ</v>
      </c>
      <c r="R1154" s="85" t="str">
        <f>IFERROR(__xludf.DUMMYFUNCTION("""COMPUTED_VALUE"""),"MUC UD AL RAZZAQ")</f>
        <v>MUC UD AL RAZZAQ</v>
      </c>
      <c r="S1154" s="85" t="str">
        <f>IFERROR(__xludf.DUMMYFUNCTION("""COMPUTED_VALUE"""),"LA ODE MIRWANTO")</f>
        <v>LA ODE MIRWANTO</v>
      </c>
      <c r="T1154" s="85" t="str">
        <f>IFERROR(__xludf.DUMMYFUNCTION("""COMPUTED_VALUE"""),"DESA TANJUNG PINANG RT 02 RW 02, TANJUNG PINANG, KUSAMBI, KAB.MUNA BARAT")</f>
        <v>DESA TANJUNG PINANG RT 02 RW 02, TANJUNG PINANG, KUSAMBI, KAB.MUNA BARAT</v>
      </c>
      <c r="U1154" s="85" t="str">
        <f>IFERROR(__xludf.DUMMYFUNCTION("""COMPUTED_VALUE"""),"JL. POROS RAHA DESA TANJUNG PINANG RT 01 RW 02")</f>
        <v>JL. POROS RAHA DESA TANJUNG PINANG RT 01 RW 02</v>
      </c>
      <c r="V1154" s="85" t="str">
        <f>IFERROR(__xludf.DUMMYFUNCTION("""COMPUTED_VALUE"""),"RT 02  \ RW 02,")</f>
        <v>RT 02  \ RW 02,</v>
      </c>
      <c r="W1154" s="85" t="str">
        <f>IFERROR(__xludf.DUMMYFUNCTION("""COMPUTED_VALUE"""),"TANJUNG PINANG")</f>
        <v>TANJUNG PINANG</v>
      </c>
      <c r="X1154" s="85" t="str">
        <f>IFERROR(__xludf.DUMMYFUNCTION("""COMPUTED_VALUE"""),"KUSAMBI")</f>
        <v>KUSAMBI</v>
      </c>
      <c r="Y1154" s="85" t="str">
        <f>IFERROR(__xludf.DUMMYFUNCTION("""COMPUTED_VALUE"""),"KAB.MUNA BARAT")</f>
        <v>KAB.MUNA BARAT</v>
      </c>
      <c r="Z1154" s="85" t="str">
        <f>IFERROR(__xludf.DUMMYFUNCTION("""COMPUTED_VALUE"""),"SULAWESI TENGGARA")</f>
        <v>SULAWESI TENGGARA</v>
      </c>
      <c r="AA1154" s="85" t="str">
        <f>IFERROR(__xludf.DUMMYFUNCTION("""COMPUTED_VALUE"""),"93653")</f>
        <v>93653</v>
      </c>
      <c r="AB1154" s="85" t="str">
        <f>IFERROR(__xludf.DUMMYFUNCTION("""COMPUTED_VALUE"""),"7403051107890202")</f>
        <v>7403051107890202</v>
      </c>
      <c r="AC1154" s="85" t="str">
        <f>IFERROR(__xludf.DUMMYFUNCTION("""COMPUTED_VALUE"""),"80.077.872.2-816.000")</f>
        <v>80.077.872.2-816.000</v>
      </c>
      <c r="AD1154" s="85" t="str">
        <f>IFERROR(__xludf.DUMMYFUNCTION("""COMPUTED_VALUE"""),"PAK ASEP UMKM")</f>
        <v>PAK ASEP UMKM</v>
      </c>
      <c r="AE1154" s="85" t="str">
        <f>IFERROR(__xludf.DUMMYFUNCTION("""COMPUTED_VALUE"""),"PAK ASEP UMKM")</f>
        <v>PAK ASEP UMKM</v>
      </c>
      <c r="AF1154" s="85" t="str">
        <f>IFERROR(__xludf.DUMMYFUNCTION("""COMPUTED_VALUE"""),"082344334842")</f>
        <v>082344334842</v>
      </c>
      <c r="AG1154" s="85" t="str">
        <f>IFERROR(__xludf.DUMMYFUNCTION("""COMPUTED_VALUE"""),"82344334842")</f>
        <v>82344334842</v>
      </c>
      <c r="AH1154" s="85" t="str">
        <f>IFERROR(__xludf.DUMMYFUNCTION("""COMPUTED_VALUE"""),"alfatihmirwanto@gmail.com")</f>
        <v>alfatihmirwanto@gmail.com</v>
      </c>
      <c r="AI1154" s="85" t="str">
        <f>IFERROR(__xludf.DUMMYFUNCTION("""COMPUTED_VALUE"""),"93646S1")</f>
        <v>93646S1</v>
      </c>
      <c r="AJ1154" s="85" t="str">
        <f>IFERROR(__xludf.DUMMYFUNCTION("""COMPUTED_VALUE"""),"6a9d0987ef5dc7002704e6dc")</f>
        <v>6a9d0987ef5dc7002704e6dc</v>
      </c>
      <c r="AK1154" s="85" t="str">
        <f>IFERROR(__xludf.DUMMYFUNCTION("""COMPUTED_VALUE"""),"alfatihmirwanto@gmail.com")</f>
        <v>alfatihmirwanto@gmail.com</v>
      </c>
      <c r="AL1154" s="85" t="str">
        <f>IFERROR(__xludf.DUMMYFUNCTION("""COMPUTED_VALUE"""),"#Muc93646S1$")</f>
        <v>#Muc93646S1$</v>
      </c>
      <c r="AM1154" s="85" t="str">
        <f>IFERROR(__xludf.DUMMYFUNCTION("""COMPUTED_VALUE"""),"KANTOR REGIONAL VI MAKASAR 90004")</f>
        <v>KANTOR REGIONAL VI MAKASAR 90004</v>
      </c>
      <c r="AN1154" s="85" t="str">
        <f>IFERROR(__xludf.DUMMYFUNCTION("""COMPUTED_VALUE"""),"KCU KENDARI 93000")</f>
        <v>KCU KENDARI 93000</v>
      </c>
      <c r="AO1154" s="85" t="str">
        <f>IFERROR(__xludf.DUMMYFUNCTION("""COMPUTED_VALUE"""),"0257010132852")</f>
        <v>0257010132852</v>
      </c>
      <c r="AP1154" s="85" t="str">
        <f>IFERROR(__xludf.DUMMYFUNCTION("""COMPUTED_VALUE"""),"0257010132852")</f>
        <v>0257010132852</v>
      </c>
      <c r="AQ1154" s="93" t="str">
        <f>IFERROR(__xludf.DUMMYFUNCTION("""COMPUTED_VALUE"""),"021701008584530")</f>
        <v>021701008584530</v>
      </c>
      <c r="AR1154" s="85" t="str">
        <f>IFERROR(__xludf.DUMMYFUNCTION("""COMPUTED_VALUE"""),"BRI")</f>
        <v>BRI</v>
      </c>
      <c r="AS1154" s="85" t="str">
        <f>IFERROR(__xludf.DUMMYFUNCTION("""COMPUTED_VALUE"""),"LA ODE MIRWANTO")</f>
        <v>LA ODE MIRWANTO</v>
      </c>
      <c r="AT1154" s="85" t="str">
        <f>IFERROR(__xludf.DUMMYFUNCTION("""COMPUTED_VALUE"""),"-4,706,327")</f>
        <v>-4,706,327</v>
      </c>
      <c r="AU1154" s="85" t="str">
        <f>IFERROR(__xludf.DUMMYFUNCTION("""COMPUTED_VALUE"""),"122,535,425")</f>
        <v>122,535,425</v>
      </c>
      <c r="AV1154" s="85"/>
      <c r="AW1154" s="85"/>
      <c r="AX1154" s="85"/>
      <c r="AY1154" s="85"/>
      <c r="AZ1154" s="85"/>
      <c r="BA1154" s="85"/>
      <c r="BB1154" s="85"/>
      <c r="BC1154" s="85"/>
      <c r="BD1154" s="85"/>
      <c r="BE1154" s="85"/>
      <c r="BF1154" s="85"/>
      <c r="BG1154" s="85"/>
      <c r="BH1154" s="85"/>
      <c r="BI1154" s="85"/>
      <c r="BJ1154" s="85"/>
      <c r="BK1154" s="85"/>
      <c r="BL1154" s="85"/>
      <c r="BM1154" s="85"/>
      <c r="BN1154" s="85"/>
      <c r="BO1154" s="85"/>
      <c r="BP1154" s="85"/>
      <c r="BQ1154" s="85"/>
      <c r="BR1154" s="85"/>
      <c r="BS1154" s="85"/>
      <c r="BT1154" s="85"/>
      <c r="BU1154" s="85"/>
      <c r="BV1154" s="85"/>
      <c r="BW1154" s="85"/>
      <c r="BX1154" s="85"/>
      <c r="BY1154" s="85"/>
      <c r="BZ1154" s="85"/>
      <c r="CA1154" s="85"/>
      <c r="CB1154" s="85"/>
      <c r="CC1154" s="85"/>
      <c r="CD1154" s="85"/>
      <c r="CE1154" s="85"/>
      <c r="CF1154" s="85"/>
      <c r="CG1154" s="85"/>
      <c r="CH1154" s="85"/>
      <c r="CI1154" s="85"/>
      <c r="CJ1154" s="85"/>
      <c r="CK1154" s="2"/>
    </row>
    <row r="1155" ht="12.75" customHeight="1">
      <c r="A1155" s="80">
        <f>IFERROR(__xludf.DUMMYFUNCTION("""COMPUTED_VALUE"""),1151.0)</f>
        <v>1151</v>
      </c>
      <c r="B1155" s="80"/>
      <c r="C1155" s="80"/>
      <c r="D1155" s="81">
        <f>IFERROR(__xludf.DUMMYFUNCTION("""COMPUTED_VALUE"""),46212.0)</f>
        <v>46212</v>
      </c>
      <c r="E1155" s="82"/>
      <c r="F1155" s="80"/>
      <c r="G1155" s="81">
        <f>IFERROR(__xludf.DUMMYFUNCTION("""COMPUTED_VALUE"""),46266.0)</f>
        <v>46266</v>
      </c>
      <c r="H1155" s="80"/>
      <c r="I1155" s="80"/>
      <c r="J1155" s="80"/>
      <c r="K1155" s="80"/>
      <c r="L1155" s="80">
        <f>IFERROR(__xludf.DUMMYFUNCTION("""COMPUTED_VALUE"""),54.0)</f>
        <v>54</v>
      </c>
      <c r="M1155" s="80"/>
      <c r="N1155" s="80"/>
      <c r="O1155" s="80"/>
      <c r="P1155" s="80" t="str">
        <f>IFERROR(__xludf.DUMMYFUNCTION("""COMPUTED_VALUE"""),"MUCSPA63596PSIND")</f>
        <v>MUCSPA63596PSIND</v>
      </c>
      <c r="Q1155" s="80" t="str">
        <f>IFERROR(__xludf.DUMMYFUNCTION("""COMPUTED_VALUE"""),"MUC INDO RAJUT")</f>
        <v>MUC INDO RAJUT</v>
      </c>
      <c r="R1155" s="80" t="str">
        <f>IFERROR(__xludf.DUMMYFUNCTION("""COMPUTED_VALUE"""),"MUC INDO RAJUT")</f>
        <v>MUC INDO RAJUT</v>
      </c>
      <c r="S1155" s="80" t="str">
        <f>IFERROR(__xludf.DUMMYFUNCTION("""COMPUTED_VALUE"""),"MUHAMMAD RIZAL ARIYANTO")</f>
        <v>MUHAMMAD RIZAL ARIYANTO</v>
      </c>
      <c r="T1155" s="80" t="str">
        <f>IFERROR(__xludf.DUMMYFUNCTION("""COMPUTED_VALUE"""),"KP. CIBUNGUR 4 RT 06 RW 01, TALAGAMURNI, CIBITUNG, KAB.SUKABUMI")</f>
        <v>KP. CIBUNGUR 4 RT 06 RW 01, TALAGAMURNI, CIBITUNG, KAB.SUKABUMI</v>
      </c>
      <c r="U1155" s="80" t="str">
        <f>IFERROR(__xludf.DUMMYFUNCTION("""COMPUTED_VALUE"""),"JL. CIBUNGUR 4")</f>
        <v>JL. CIBUNGUR 4</v>
      </c>
      <c r="V1155" s="80" t="str">
        <f>IFERROR(__xludf.DUMMYFUNCTION("""COMPUTED_VALUE"""),"RT 06  \ RW 01,")</f>
        <v>RT 06  \ RW 01,</v>
      </c>
      <c r="W1155" s="80" t="str">
        <f>IFERROR(__xludf.DUMMYFUNCTION("""COMPUTED_VALUE"""),"TALAGAMURNI")</f>
        <v>TALAGAMURNI</v>
      </c>
      <c r="X1155" s="80" t="str">
        <f>IFERROR(__xludf.DUMMYFUNCTION("""COMPUTED_VALUE"""),"CIBITUNG")</f>
        <v>CIBITUNG</v>
      </c>
      <c r="Y1155" s="80" t="str">
        <f>IFERROR(__xludf.DUMMYFUNCTION("""COMPUTED_VALUE"""),"KAB.SUKABUMI")</f>
        <v>KAB.SUKABUMI</v>
      </c>
      <c r="Z1155" s="80" t="str">
        <f>IFERROR(__xludf.DUMMYFUNCTION("""COMPUTED_VALUE"""),"JAWA BARAT")</f>
        <v>JAWA BARAT</v>
      </c>
      <c r="AA1155" s="80" t="str">
        <f>IFERROR(__xludf.DUMMYFUNCTION("""COMPUTED_VALUE"""),"43172")</f>
        <v>43172</v>
      </c>
      <c r="AB1155" s="80" t="str">
        <f>IFERROR(__xludf.DUMMYFUNCTION("""COMPUTED_VALUE"""),"3202241107980006")</f>
        <v>3202241107980006</v>
      </c>
      <c r="AC1155" s="80" t="str">
        <f>IFERROR(__xludf.DUMMYFUNCTION("""COMPUTED_VALUE"""),"83.081.516.3-429.000")</f>
        <v>83.081.516.3-429.000</v>
      </c>
      <c r="AD1155" s="80" t="str">
        <f>IFERROR(__xludf.DUMMYFUNCTION("""COMPUTED_VALUE"""),"PAK ASEP UMKM")</f>
        <v>PAK ASEP UMKM</v>
      </c>
      <c r="AE1155" s="80" t="str">
        <f>IFERROR(__xludf.DUMMYFUNCTION("""COMPUTED_VALUE"""),"PAK ASEP UMKM")</f>
        <v>PAK ASEP UMKM</v>
      </c>
      <c r="AF1155" s="80" t="str">
        <f>IFERROR(__xludf.DUMMYFUNCTION("""COMPUTED_VALUE"""),"082118945554")</f>
        <v>082118945554</v>
      </c>
      <c r="AG1155" s="80" t="str">
        <f>IFERROR(__xludf.DUMMYFUNCTION("""COMPUTED_VALUE"""),"82118945554")</f>
        <v>82118945554</v>
      </c>
      <c r="AH1155" s="80" t="str">
        <f>IFERROR(__xludf.DUMMYFUNCTION("""COMPUTED_VALUE"""),"mrariyanto19@gmail.com")</f>
        <v>mrariyanto19@gmail.com</v>
      </c>
      <c r="AI1155" s="80" t="str">
        <f>IFERROR(__xludf.DUMMYFUNCTION("""COMPUTED_VALUE"""),"43372S1")</f>
        <v>43372S1</v>
      </c>
      <c r="AJ1155" s="80" t="str">
        <f>IFERROR(__xludf.DUMMYFUNCTION("""COMPUTED_VALUE"""),"6a8d8206fd0e475ddd00e4f4")</f>
        <v>6a8d8206fd0e475ddd00e4f4</v>
      </c>
      <c r="AK1155" s="80" t="str">
        <f>IFERROR(__xludf.DUMMYFUNCTION("""COMPUTED_VALUE"""),"mrariyanto19@gmail.com")</f>
        <v>mrariyanto19@gmail.com</v>
      </c>
      <c r="AL1155" s="80" t="str">
        <f>IFERROR(__xludf.DUMMYFUNCTION("""COMPUTED_VALUE"""),"#Muc43372S1$")</f>
        <v>#Muc43372S1$</v>
      </c>
      <c r="AM1155" s="80" t="str">
        <f>IFERROR(__xludf.DUMMYFUNCTION("""COMPUTED_VALUE"""),"KANTOR REGIONAL III BANDUNG 40004")</f>
        <v>KANTOR REGIONAL III BANDUNG 40004</v>
      </c>
      <c r="AN1155" s="80" t="str">
        <f>IFERROR(__xludf.DUMMYFUNCTION("""COMPUTED_VALUE"""),"KC SUKABUMI 43100")</f>
        <v>KC SUKABUMI 43100</v>
      </c>
      <c r="AO1155" s="80" t="str">
        <f>IFERROR(__xludf.DUMMYFUNCTION("""COMPUTED_VALUE"""),"1215000701146")</f>
        <v>1215000701146</v>
      </c>
      <c r="AP1155" s="80" t="str">
        <f>IFERROR(__xludf.DUMMYFUNCTION("""COMPUTED_VALUE"""),"1215000701146")</f>
        <v>1215000701146</v>
      </c>
      <c r="AQ1155" s="83" t="str">
        <f>IFERROR(__xludf.DUMMYFUNCTION("""COMPUTED_VALUE"""),"1300091989999")</f>
        <v>1300091989999</v>
      </c>
      <c r="AR1155" s="80" t="str">
        <f>IFERROR(__xludf.DUMMYFUNCTION("""COMPUTED_VALUE"""),"MANDIRI")</f>
        <v>MANDIRI</v>
      </c>
      <c r="AS1155" s="80" t="str">
        <f>IFERROR(__xludf.DUMMYFUNCTION("""COMPUTED_VALUE"""),"MUHAMMAD RIZAL ARIYANTO")</f>
        <v>MUHAMMAD RIZAL ARIYANTO</v>
      </c>
      <c r="AT1155" s="80" t="str">
        <f>IFERROR(__xludf.DUMMYFUNCTION("""COMPUTED_VALUE"""),"-73,098,567")</f>
        <v>-73,098,567</v>
      </c>
      <c r="AU1155" s="80" t="str">
        <f>IFERROR(__xludf.DUMMYFUNCTION("""COMPUTED_VALUE"""),"1,066,005,314")</f>
        <v>1,066,005,314</v>
      </c>
      <c r="AV1155" s="80"/>
      <c r="AW1155" s="80"/>
      <c r="AX1155" s="80"/>
      <c r="AY1155" s="80"/>
      <c r="AZ1155" s="80"/>
      <c r="BA1155" s="80"/>
      <c r="BB1155" s="80"/>
      <c r="BC1155" s="80"/>
      <c r="BD1155" s="80"/>
      <c r="BE1155" s="80"/>
      <c r="BF1155" s="80"/>
      <c r="BG1155" s="80"/>
      <c r="BH1155" s="80"/>
      <c r="BI1155" s="80"/>
      <c r="BJ1155" s="80"/>
      <c r="BK1155" s="80"/>
      <c r="BL1155" s="80"/>
      <c r="BM1155" s="80"/>
      <c r="BN1155" s="80"/>
      <c r="BO1155" s="80"/>
      <c r="BP1155" s="80"/>
      <c r="BQ1155" s="80"/>
      <c r="BR1155" s="80"/>
      <c r="BS1155" s="80"/>
      <c r="BT1155" s="80"/>
      <c r="BU1155" s="80"/>
      <c r="BV1155" s="80"/>
      <c r="BW1155" s="80"/>
      <c r="BX1155" s="80"/>
      <c r="BY1155" s="80"/>
      <c r="BZ1155" s="80"/>
      <c r="CA1155" s="80"/>
      <c r="CB1155" s="80"/>
      <c r="CC1155" s="80"/>
      <c r="CD1155" s="80"/>
      <c r="CE1155" s="80"/>
      <c r="CF1155" s="80"/>
      <c r="CG1155" s="80"/>
      <c r="CH1155" s="80"/>
      <c r="CI1155" s="80"/>
      <c r="CJ1155" s="80"/>
      <c r="CK1155" s="2"/>
    </row>
    <row r="1156" ht="12.75" customHeight="1">
      <c r="A1156" s="85">
        <f>IFERROR(__xludf.DUMMYFUNCTION("""COMPUTED_VALUE"""),1152.0)</f>
        <v>1152</v>
      </c>
      <c r="B1156" s="85"/>
      <c r="C1156" s="85"/>
      <c r="D1156" s="86">
        <f>IFERROR(__xludf.DUMMYFUNCTION("""COMPUTED_VALUE"""),46212.0)</f>
        <v>46212</v>
      </c>
      <c r="E1156" s="88"/>
      <c r="F1156" s="85"/>
      <c r="G1156" s="86">
        <f>IFERROR(__xludf.DUMMYFUNCTION("""COMPUTED_VALUE"""),46238.0)</f>
        <v>46238</v>
      </c>
      <c r="H1156" s="85"/>
      <c r="I1156" s="85"/>
      <c r="J1156" s="85"/>
      <c r="K1156" s="85"/>
      <c r="L1156" s="85">
        <f>IFERROR(__xludf.DUMMYFUNCTION("""COMPUTED_VALUE"""),26.0)</f>
        <v>26</v>
      </c>
      <c r="M1156" s="85"/>
      <c r="N1156" s="85"/>
      <c r="O1156" s="85"/>
      <c r="P1156" s="85" t="str">
        <f>IFERROR(__xludf.DUMMYFUNCTION("""COMPUTED_VALUE"""),"MUCSPA63597PSIND")</f>
        <v>MUCSPA63597PSIND</v>
      </c>
      <c r="Q1156" s="85" t="str">
        <f>IFERROR(__xludf.DUMMYFUNCTION("""COMPUTED_VALUE"""),"MUC JMM")</f>
        <v>MUC JMM</v>
      </c>
      <c r="R1156" s="85" t="str">
        <f>IFERROR(__xludf.DUMMYFUNCTION("""COMPUTED_VALUE"""),"MUC JMM")</f>
        <v>MUC JMM</v>
      </c>
      <c r="S1156" s="85" t="str">
        <f>IFERROR(__xludf.DUMMYFUNCTION("""COMPUTED_VALUE"""),"ALIYUDI")</f>
        <v>ALIYUDI</v>
      </c>
      <c r="T1156" s="85" t="str">
        <f>IFERROR(__xludf.DUMMYFUNCTION("""COMPUTED_VALUE"""),"GRIYA JATI KALIJAGA JL. RUBBY NO. 15 RT 08 RW 09, KALIJAGA, HARJAMUKTI, CIREBON")</f>
        <v>GRIYA JATI KALIJAGA JL. RUBBY NO. 15 RT 08 RW 09, KALIJAGA, HARJAMUKTI, CIREBON</v>
      </c>
      <c r="U1156" s="85" t="str">
        <f>IFERROR(__xludf.DUMMYFUNCTION("""COMPUTED_VALUE"""),"JL. RUBBY NO.15, Perum Griyajati")</f>
        <v>JL. RUBBY NO.15, Perum Griyajati</v>
      </c>
      <c r="V1156" s="85" t="str">
        <f>IFERROR(__xludf.DUMMYFUNCTION("""COMPUTED_VALUE"""),"RT 08  \ RW 09,")</f>
        <v>RT 08  \ RW 09,</v>
      </c>
      <c r="W1156" s="85" t="str">
        <f>IFERROR(__xludf.DUMMYFUNCTION("""COMPUTED_VALUE"""),"KALIJAGA")</f>
        <v>KALIJAGA</v>
      </c>
      <c r="X1156" s="85" t="str">
        <f>IFERROR(__xludf.DUMMYFUNCTION("""COMPUTED_VALUE"""),"HARJAMUKTI")</f>
        <v>HARJAMUKTI</v>
      </c>
      <c r="Y1156" s="85" t="str">
        <f>IFERROR(__xludf.DUMMYFUNCTION("""COMPUTED_VALUE"""),"CIREBON")</f>
        <v>CIREBON</v>
      </c>
      <c r="Z1156" s="85" t="str">
        <f>IFERROR(__xludf.DUMMYFUNCTION("""COMPUTED_VALUE"""),"JAWA BARAT")</f>
        <v>JAWA BARAT</v>
      </c>
      <c r="AA1156" s="85" t="str">
        <f>IFERROR(__xludf.DUMMYFUNCTION("""COMPUTED_VALUE"""),"45144")</f>
        <v>45144</v>
      </c>
      <c r="AB1156" s="85" t="str">
        <f>IFERROR(__xludf.DUMMYFUNCTION("""COMPUTED_VALUE"""),"3216210107770026")</f>
        <v>3216210107770026</v>
      </c>
      <c r="AC1156" s="85" t="str">
        <f>IFERROR(__xludf.DUMMYFUNCTION("""COMPUTED_VALUE"""),"68.189.639.5-413.000")</f>
        <v>68.189.639.5-413.000</v>
      </c>
      <c r="AD1156" s="85" t="str">
        <f>IFERROR(__xludf.DUMMYFUNCTION("""COMPUTED_VALUE"""),"PAK ASEP UMKM")</f>
        <v>PAK ASEP UMKM</v>
      </c>
      <c r="AE1156" s="85" t="str">
        <f>IFERROR(__xludf.DUMMYFUNCTION("""COMPUTED_VALUE"""),"PAK ASEP UMKM")</f>
        <v>PAK ASEP UMKM</v>
      </c>
      <c r="AF1156" s="85" t="str">
        <f>IFERROR(__xludf.DUMMYFUNCTION("""COMPUTED_VALUE"""),"081290107346")</f>
        <v>081290107346</v>
      </c>
      <c r="AG1156" s="85" t="str">
        <f>IFERROR(__xludf.DUMMYFUNCTION("""COMPUTED_VALUE"""),"81290107346")</f>
        <v>81290107346</v>
      </c>
      <c r="AH1156" s="85" t="str">
        <f>IFERROR(__xludf.DUMMYFUNCTION("""COMPUTED_VALUE"""),"aliekspor9@gmail.com")</f>
        <v>aliekspor9@gmail.com</v>
      </c>
      <c r="AI1156" s="85" t="str">
        <f>IFERROR(__xludf.DUMMYFUNCTION("""COMPUTED_VALUE"""),"45144S2")</f>
        <v>45144S2</v>
      </c>
      <c r="AJ1156" s="85" t="str">
        <f>IFERROR(__xludf.DUMMYFUNCTION("""COMPUTED_VALUE"""),"6a71a393ad3171606209ff10")</f>
        <v>6a71a393ad3171606209ff10</v>
      </c>
      <c r="AK1156" s="85" t="str">
        <f>IFERROR(__xludf.DUMMYFUNCTION("""COMPUTED_VALUE"""),"aliekspor9@gmail.com")</f>
        <v>aliekspor9@gmail.com</v>
      </c>
      <c r="AL1156" s="85" t="str">
        <f>IFERROR(__xludf.DUMMYFUNCTION("""COMPUTED_VALUE"""),"#Muc45144S2$")</f>
        <v>#Muc45144S2$</v>
      </c>
      <c r="AM1156" s="85" t="str">
        <f>IFERROR(__xludf.DUMMYFUNCTION("""COMPUTED_VALUE"""),"KANTOR REGIONAL III BANDUNG 40004")</f>
        <v>KANTOR REGIONAL III BANDUNG 40004</v>
      </c>
      <c r="AN1156" s="85" t="str">
        <f>IFERROR(__xludf.DUMMYFUNCTION("""COMPUTED_VALUE"""),"KCU CIREBON 45100")</f>
        <v>KCU CIREBON 45100</v>
      </c>
      <c r="AO1156" s="85" t="str">
        <f>IFERROR(__xludf.DUMMYFUNCTION("""COMPUTED_VALUE"""),"0907260082623")</f>
        <v>0907260082623</v>
      </c>
      <c r="AP1156" s="85" t="str">
        <f>IFERROR(__xludf.DUMMYFUNCTION("""COMPUTED_VALUE"""),"0907260082623")</f>
        <v>0907260082623</v>
      </c>
      <c r="AQ1156" s="93" t="str">
        <f>IFERROR(__xludf.DUMMYFUNCTION("""COMPUTED_VALUE"""),"1560027088030")</f>
        <v>1560027088030</v>
      </c>
      <c r="AR1156" s="85" t="str">
        <f>IFERROR(__xludf.DUMMYFUNCTION("""COMPUTED_VALUE"""),"MANDIRI")</f>
        <v>MANDIRI</v>
      </c>
      <c r="AS1156" s="85" t="str">
        <f>IFERROR(__xludf.DUMMYFUNCTION("""COMPUTED_VALUE"""),"ALIYUDI")</f>
        <v>ALIYUDI</v>
      </c>
      <c r="AT1156" s="85" t="str">
        <f>IFERROR(__xludf.DUMMYFUNCTION("""COMPUTED_VALUE"""),"-67,594,542")</f>
        <v>-67,594,542</v>
      </c>
      <c r="AU1156" s="85" t="str">
        <f>IFERROR(__xludf.DUMMYFUNCTION("""COMPUTED_VALUE"""),"1,085,489,743")</f>
        <v>1,085,489,743</v>
      </c>
      <c r="AV1156" s="85"/>
      <c r="AW1156" s="85"/>
      <c r="AX1156" s="85"/>
      <c r="AY1156" s="85"/>
      <c r="AZ1156" s="85"/>
      <c r="BA1156" s="85"/>
      <c r="BB1156" s="85"/>
      <c r="BC1156" s="85"/>
      <c r="BD1156" s="85"/>
      <c r="BE1156" s="85"/>
      <c r="BF1156" s="85"/>
      <c r="BG1156" s="85"/>
      <c r="BH1156" s="85"/>
      <c r="BI1156" s="85"/>
      <c r="BJ1156" s="85"/>
      <c r="BK1156" s="85"/>
      <c r="BL1156" s="85"/>
      <c r="BM1156" s="85"/>
      <c r="BN1156" s="85"/>
      <c r="BO1156" s="85"/>
      <c r="BP1156" s="85"/>
      <c r="BQ1156" s="85"/>
      <c r="BR1156" s="85"/>
      <c r="BS1156" s="85"/>
      <c r="BT1156" s="85"/>
      <c r="BU1156" s="85"/>
      <c r="BV1156" s="85"/>
      <c r="BW1156" s="85"/>
      <c r="BX1156" s="85"/>
      <c r="BY1156" s="85"/>
      <c r="BZ1156" s="85"/>
      <c r="CA1156" s="85"/>
      <c r="CB1156" s="85"/>
      <c r="CC1156" s="85"/>
      <c r="CD1156" s="85"/>
      <c r="CE1156" s="85"/>
      <c r="CF1156" s="85"/>
      <c r="CG1156" s="85"/>
      <c r="CH1156" s="85"/>
      <c r="CI1156" s="85"/>
      <c r="CJ1156" s="85"/>
      <c r="CK1156" s="2"/>
    </row>
    <row r="1157" ht="12.75" customHeight="1">
      <c r="A1157" s="80">
        <f>IFERROR(__xludf.DUMMYFUNCTION("""COMPUTED_VALUE"""),1153.0)</f>
        <v>1153</v>
      </c>
      <c r="B1157" s="80"/>
      <c r="C1157" s="80"/>
      <c r="D1157" s="81">
        <f>IFERROR(__xludf.DUMMYFUNCTION("""COMPUTED_VALUE"""),46212.0)</f>
        <v>46212</v>
      </c>
      <c r="E1157" s="82"/>
      <c r="F1157" s="80"/>
      <c r="G1157" s="81"/>
      <c r="H1157" s="80"/>
      <c r="I1157" s="80"/>
      <c r="J1157" s="80"/>
      <c r="K1157" s="80"/>
      <c r="L1157" s="80"/>
      <c r="M1157" s="80"/>
      <c r="N1157" s="80"/>
      <c r="O1157" s="80"/>
      <c r="P1157" s="80" t="str">
        <f>IFERROR(__xludf.DUMMYFUNCTION("""COMPUTED_VALUE"""),"MUCSPA63595PSIND")</f>
        <v>MUCSPA63595PSIND</v>
      </c>
      <c r="Q1157" s="80" t="str">
        <f>IFERROR(__xludf.DUMMYFUNCTION("""COMPUTED_VALUE"""),"MUC BUMI AGRO BENGKAYANG")</f>
        <v>MUC BUMI AGRO BENGKAYANG</v>
      </c>
      <c r="R1157" s="80" t="str">
        <f>IFERROR(__xludf.DUMMYFUNCTION("""COMPUTED_VALUE"""),"MUC BUMI AGRO BENGKAYANG")</f>
        <v>MUC BUMI AGRO BENGKAYANG</v>
      </c>
      <c r="S1157" s="80" t="str">
        <f>IFERROR(__xludf.DUMMYFUNCTION("""COMPUTED_VALUE"""),"APOPASRIYANTO")</f>
        <v>APOPASRIYANTO</v>
      </c>
      <c r="T1157" s="80" t="str">
        <f>IFERROR(__xludf.DUMMYFUNCTION("""COMPUTED_VALUE"""),"DUSUN LAEK RT 05 RW 01 BENGKILU, TUJUH BELAS, KAB.BENGKAYANG")</f>
        <v>DUSUN LAEK RT 05 RW 01 BENGKILU, TUJUH BELAS, KAB.BENGKAYANG</v>
      </c>
      <c r="U1157" s="80" t="str">
        <f>IFERROR(__xludf.DUMMYFUNCTION("""COMPUTED_VALUE"""),"DUSUN LAEK RT 05 RW 01")</f>
        <v>DUSUN LAEK RT 05 RW 01</v>
      </c>
      <c r="V1157" s="80" t="str">
        <f>IFERROR(__xludf.DUMMYFUNCTION("""COMPUTED_VALUE"""),"RT 05  \ RW 01")</f>
        <v>RT 05  \ RW 01</v>
      </c>
      <c r="W1157" s="80" t="str">
        <f>IFERROR(__xludf.DUMMYFUNCTION("""COMPUTED_VALUE"""),"BENGKILU")</f>
        <v>BENGKILU</v>
      </c>
      <c r="X1157" s="80" t="str">
        <f>IFERROR(__xludf.DUMMYFUNCTION("""COMPUTED_VALUE"""),"TUJUH BELAS")</f>
        <v>TUJUH BELAS</v>
      </c>
      <c r="Y1157" s="80" t="str">
        <f>IFERROR(__xludf.DUMMYFUNCTION("""COMPUTED_VALUE"""),"KAB.BENGKAYANG")</f>
        <v>KAB.BENGKAYANG</v>
      </c>
      <c r="Z1157" s="80" t="str">
        <f>IFERROR(__xludf.DUMMYFUNCTION("""COMPUTED_VALUE"""),"KALIMANTAN BARAT")</f>
        <v>KALIMANTAN BARAT</v>
      </c>
      <c r="AA1157" s="80" t="str">
        <f>IFERROR(__xludf.DUMMYFUNCTION("""COMPUTED_VALUE"""),"79284")</f>
        <v>79284</v>
      </c>
      <c r="AB1157" s="80" t="str">
        <f>IFERROR(__xludf.DUMMYFUNCTION("""COMPUTED_VALUE"""),"6107171005740002")</f>
        <v>6107171005740002</v>
      </c>
      <c r="AC1157" s="80" t="str">
        <f>IFERROR(__xludf.DUMMYFUNCTION("""COMPUTED_VALUE"""),"10.000.000.0-953.3685")</f>
        <v>10.000.000.0-953.3685</v>
      </c>
      <c r="AD1157" s="80" t="str">
        <f>IFERROR(__xludf.DUMMYFUNCTION("""COMPUTED_VALUE"""),"PAK ASEP UMKM")</f>
        <v>PAK ASEP UMKM</v>
      </c>
      <c r="AE1157" s="80" t="str">
        <f>IFERROR(__xludf.DUMMYFUNCTION("""COMPUTED_VALUE"""),"PAK ASEP UMKM")</f>
        <v>PAK ASEP UMKM</v>
      </c>
      <c r="AF1157" s="80" t="str">
        <f>IFERROR(__xludf.DUMMYFUNCTION("""COMPUTED_VALUE"""),"081349580930")</f>
        <v>081349580930</v>
      </c>
      <c r="AG1157" s="80" t="str">
        <f>IFERROR(__xludf.DUMMYFUNCTION("""COMPUTED_VALUE"""),"81349580930")</f>
        <v>81349580930</v>
      </c>
      <c r="AH1157" s="80" t="str">
        <f>IFERROR(__xludf.DUMMYFUNCTION("""COMPUTED_VALUE"""),"ptbumiagro5@gmail.com")</f>
        <v>ptbumiagro5@gmail.com</v>
      </c>
      <c r="AI1157" s="80"/>
      <c r="AJ1157" s="80"/>
      <c r="AK1157" s="80"/>
      <c r="AL1157" s="80"/>
      <c r="AM1157" s="80" t="str">
        <f>IFERROR(__xludf.DUMMYFUNCTION("""COMPUTED_VALUE"""),"KANTOR REGIONAL VI MAKASAR 90004")</f>
        <v>KANTOR REGIONAL VI MAKASAR 90004</v>
      </c>
      <c r="AN1157" s="80" t="str">
        <f>IFERROR(__xludf.DUMMYFUNCTION("""COMPUTED_VALUE"""),"KC SINGKAWANG 79100")</f>
        <v>KC SINGKAWANG 79100</v>
      </c>
      <c r="AO1157" s="80" t="str">
        <f>IFERROR(__xludf.DUMMYFUNCTION("""COMPUTED_VALUE"""),"0807260258177")</f>
        <v>0807260258177</v>
      </c>
      <c r="AP1157" s="80" t="str">
        <f>IFERROR(__xludf.DUMMYFUNCTION("""COMPUTED_VALUE"""),"0807260258177")</f>
        <v>0807260258177</v>
      </c>
      <c r="AQ1157" s="83" t="str">
        <f>IFERROR(__xludf.DUMMYFUNCTION("""COMPUTED_VALUE"""),"369901027797539")</f>
        <v>369901027797539</v>
      </c>
      <c r="AR1157" s="80" t="str">
        <f>IFERROR(__xludf.DUMMYFUNCTION("""COMPUTED_VALUE"""),"BRI")</f>
        <v>BRI</v>
      </c>
      <c r="AS1157" s="80" t="str">
        <f>IFERROR(__xludf.DUMMYFUNCTION("""COMPUTED_VALUE"""),"APOPASRIYANTO")</f>
        <v>APOPASRIYANTO</v>
      </c>
      <c r="AT1157" s="80" t="str">
        <f>IFERROR(__xludf.DUMMYFUNCTION("""COMPUTED_VALUE"""),"10,255,008")</f>
        <v>10,255,008</v>
      </c>
      <c r="AU1157" s="80" t="str">
        <f>IFERROR(__xludf.DUMMYFUNCTION("""COMPUTED_VALUE"""),"1,097,531,386")</f>
        <v>1,097,531,386</v>
      </c>
      <c r="AV1157" s="80"/>
      <c r="AW1157" s="80"/>
      <c r="AX1157" s="80"/>
      <c r="AY1157" s="80"/>
      <c r="AZ1157" s="80"/>
      <c r="BA1157" s="80"/>
      <c r="BB1157" s="80"/>
      <c r="BC1157" s="80"/>
      <c r="BD1157" s="80"/>
      <c r="BE1157" s="80"/>
      <c r="BF1157" s="80"/>
      <c r="BG1157" s="80"/>
      <c r="BH1157" s="80"/>
      <c r="BI1157" s="80"/>
      <c r="BJ1157" s="80"/>
      <c r="BK1157" s="80"/>
      <c r="BL1157" s="80"/>
      <c r="BM1157" s="80"/>
      <c r="BN1157" s="80"/>
      <c r="BO1157" s="80"/>
      <c r="BP1157" s="80"/>
      <c r="BQ1157" s="80"/>
      <c r="BR1157" s="80"/>
      <c r="BS1157" s="80"/>
      <c r="BT1157" s="80"/>
      <c r="BU1157" s="80"/>
      <c r="BV1157" s="80"/>
      <c r="BW1157" s="80"/>
      <c r="BX1157" s="80"/>
      <c r="BY1157" s="80"/>
      <c r="BZ1157" s="80"/>
      <c r="CA1157" s="80"/>
      <c r="CB1157" s="80"/>
      <c r="CC1157" s="80"/>
      <c r="CD1157" s="80"/>
      <c r="CE1157" s="80"/>
      <c r="CF1157" s="80"/>
      <c r="CG1157" s="80"/>
      <c r="CH1157" s="80"/>
      <c r="CI1157" s="80"/>
      <c r="CJ1157" s="80"/>
      <c r="CK1157" s="2"/>
    </row>
    <row r="1158" ht="12.75" customHeight="1">
      <c r="A1158" s="85">
        <f>IFERROR(__xludf.DUMMYFUNCTION("""COMPUTED_VALUE"""),1154.0)</f>
        <v>1154</v>
      </c>
      <c r="B1158" s="85"/>
      <c r="C1158" s="85"/>
      <c r="D1158" s="86">
        <f>IFERROR(__xludf.DUMMYFUNCTION("""COMPUTED_VALUE"""),46212.0)</f>
        <v>46212</v>
      </c>
      <c r="E1158" s="88"/>
      <c r="F1158" s="85"/>
      <c r="G1158" s="86">
        <f>IFERROR(__xludf.DUMMYFUNCTION("""COMPUTED_VALUE"""),46252.0)</f>
        <v>46252</v>
      </c>
      <c r="H1158" s="85"/>
      <c r="I1158" s="85"/>
      <c r="J1158" s="85"/>
      <c r="K1158" s="85"/>
      <c r="L1158" s="85">
        <f>IFERROR(__xludf.DUMMYFUNCTION("""COMPUTED_VALUE"""),40.0)</f>
        <v>40</v>
      </c>
      <c r="M1158" s="85"/>
      <c r="N1158" s="85"/>
      <c r="O1158" s="85"/>
      <c r="P1158" s="85" t="str">
        <f>IFERROR(__xludf.DUMMYFUNCTION("""COMPUTED_VALUE"""),"53BSPA17110JBEEN")</f>
        <v>53BSPA17110JBEEN</v>
      </c>
      <c r="Q1158" s="85" t="str">
        <f>IFERROR(__xludf.DUMMYFUNCTION("""COMPUTED_VALUE"""),"MUC PAPAN MAS")</f>
        <v>MUC PAPAN MAS</v>
      </c>
      <c r="R1158" s="85" t="str">
        <f>IFERROR(__xludf.DUMMYFUNCTION("""COMPUTED_VALUE"""),"MUC PAPAN MAS")</f>
        <v>MUC PAPAN MAS</v>
      </c>
      <c r="S1158" s="85" t="str">
        <f>IFERROR(__xludf.DUMMYFUNCTION("""COMPUTED_VALUE"""),"BUDI PURNOMO")</f>
        <v>BUDI PURNOMO</v>
      </c>
      <c r="T1158" s="85" t="str">
        <f>IFERROR(__xludf.DUMMYFUNCTION("""COMPUTED_VALUE"""),"PAPAN MAS BLOK A 21 RT 9 RW 4, SETIAMEKAR, TAMBUN SELATAN, KAB.BEKASI")</f>
        <v>PAPAN MAS BLOK A 21 RT 9 RW 4, SETIAMEKAR, TAMBUN SELATAN, KAB.BEKASI</v>
      </c>
      <c r="U1158" s="85" t="str">
        <f>IFERROR(__xludf.DUMMYFUNCTION("""COMPUTED_VALUE"""),"JL. BANGAU PUTIH BLOK A21 NO.6 RT.09 RW.04")</f>
        <v>JL. BANGAU PUTIH BLOK A21 NO.6 RT.09 RW.04</v>
      </c>
      <c r="V1158" s="85" t="str">
        <f>IFERROR(__xludf.DUMMYFUNCTION("""COMPUTED_VALUE"""),"RT 9 R \ RW 4,")</f>
        <v>RT 9 R \ RW 4,</v>
      </c>
      <c r="W1158" s="85" t="str">
        <f>IFERROR(__xludf.DUMMYFUNCTION("""COMPUTED_VALUE"""),"SETIAMEKAR")</f>
        <v>SETIAMEKAR</v>
      </c>
      <c r="X1158" s="85" t="str">
        <f>IFERROR(__xludf.DUMMYFUNCTION("""COMPUTED_VALUE"""),"TAMBUN SELATAN")</f>
        <v>TAMBUN SELATAN</v>
      </c>
      <c r="Y1158" s="85" t="str">
        <f>IFERROR(__xludf.DUMMYFUNCTION("""COMPUTED_VALUE"""),"KAB.BEKASI")</f>
        <v>KAB.BEKASI</v>
      </c>
      <c r="Z1158" s="85" t="str">
        <f>IFERROR(__xludf.DUMMYFUNCTION("""COMPUTED_VALUE"""),"JAWA BARAT")</f>
        <v>JAWA BARAT</v>
      </c>
      <c r="AA1158" s="85" t="str">
        <f>IFERROR(__xludf.DUMMYFUNCTION("""COMPUTED_VALUE"""),"17510")</f>
        <v>17510</v>
      </c>
      <c r="AB1158" s="85" t="str">
        <f>IFERROR(__xludf.DUMMYFUNCTION("""COMPUTED_VALUE"""),"3329080702940006")</f>
        <v>3329080702940006</v>
      </c>
      <c r="AC1158" s="85" t="str">
        <f>IFERROR(__xludf.DUMMYFUNCTION("""COMPUTED_VALUE"""),"33.290.807.0-294.0006")</f>
        <v>33.290.807.0-294.0006</v>
      </c>
      <c r="AD1158" s="85" t="str">
        <f>IFERROR(__xludf.DUMMYFUNCTION("""COMPUTED_VALUE"""),"SUB EEN")</f>
        <v>SUB EEN</v>
      </c>
      <c r="AE1158" s="85" t="str">
        <f>IFERROR(__xludf.DUMMYFUNCTION("""COMPUTED_VALUE"""),"SUB EEN")</f>
        <v>SUB EEN</v>
      </c>
      <c r="AF1158" s="85" t="str">
        <f>IFERROR(__xludf.DUMMYFUNCTION("""COMPUTED_VALUE"""),"085720785976")</f>
        <v>085720785976</v>
      </c>
      <c r="AG1158" s="85" t="str">
        <f>IFERROR(__xludf.DUMMYFUNCTION("""COMPUTED_VALUE"""),"85720785976")</f>
        <v>85720785976</v>
      </c>
      <c r="AH1158" s="85" t="str">
        <f>IFERROR(__xludf.DUMMYFUNCTION("""COMPUTED_VALUE"""),"devirismayanti30@gmail.com")</f>
        <v>devirismayanti30@gmail.com</v>
      </c>
      <c r="AI1158" s="85" t="str">
        <f>IFERROR(__xludf.DUMMYFUNCTION("""COMPUTED_VALUE"""),"17519S4")</f>
        <v>17519S4</v>
      </c>
      <c r="AJ1158" s="85" t="str">
        <f>IFERROR(__xludf.DUMMYFUNCTION("""COMPUTED_VALUE"""),"6a817fde06273f79580fd3ab")</f>
        <v>6a817fde06273f79580fd3ab</v>
      </c>
      <c r="AK1158" s="85" t="str">
        <f>IFERROR(__xludf.DUMMYFUNCTION("""COMPUTED_VALUE"""),"devirismayanti30@gmail.com")</f>
        <v>devirismayanti30@gmail.com</v>
      </c>
      <c r="AL1158" s="85" t="str">
        <f>IFERROR(__xludf.DUMMYFUNCTION("""COMPUTED_VALUE"""),"#Muc17519S4$")</f>
        <v>#Muc17519S4$</v>
      </c>
      <c r="AM1158" s="85" t="str">
        <f>IFERROR(__xludf.DUMMYFUNCTION("""COMPUTED_VALUE"""),"KANTOR REGIONAL II JAKARTA 10004")</f>
        <v>KANTOR REGIONAL II JAKARTA 10004</v>
      </c>
      <c r="AN1158" s="85" t="str">
        <f>IFERROR(__xludf.DUMMYFUNCTION("""COMPUTED_VALUE"""),"KC CIKARANG 17500")</f>
        <v>KC CIKARANG 17500</v>
      </c>
      <c r="AO1158" s="85" t="str">
        <f>IFERROR(__xludf.DUMMYFUNCTION("""COMPUTED_VALUE"""),"0707260058084")</f>
        <v>0707260058084</v>
      </c>
      <c r="AP1158" s="85" t="str">
        <f>IFERROR(__xludf.DUMMYFUNCTION("""COMPUTED_VALUE"""),"0707260058084")</f>
        <v>0707260058084</v>
      </c>
      <c r="AQ1158" s="93" t="str">
        <f>IFERROR(__xludf.DUMMYFUNCTION("""COMPUTED_VALUE"""),"8420950447")</f>
        <v>8420950447</v>
      </c>
      <c r="AR1158" s="85" t="str">
        <f>IFERROR(__xludf.DUMMYFUNCTION("""COMPUTED_VALUE"""),"BCA")</f>
        <v>BCA</v>
      </c>
      <c r="AS1158" s="85" t="str">
        <f>IFERROR(__xludf.DUMMYFUNCTION("""COMPUTED_VALUE"""),"DEPI RISMAYANTI")</f>
        <v>DEPI RISMAYANTI</v>
      </c>
      <c r="AT1158" s="85" t="str">
        <f>IFERROR(__xludf.DUMMYFUNCTION("""COMPUTED_VALUE"""),"-6,254,334")</f>
        <v>-6,254,334</v>
      </c>
      <c r="AU1158" s="85" t="str">
        <f>IFERROR(__xludf.DUMMYFUNCTION("""COMPUTED_VALUE"""),"1,070,536,816")</f>
        <v>1,070,536,816</v>
      </c>
      <c r="AV1158" s="85"/>
      <c r="AW1158" s="85"/>
      <c r="AX1158" s="85"/>
      <c r="AY1158" s="85"/>
      <c r="AZ1158" s="85"/>
      <c r="BA1158" s="85"/>
      <c r="BB1158" s="85"/>
      <c r="BC1158" s="85"/>
      <c r="BD1158" s="85"/>
      <c r="BE1158" s="85"/>
      <c r="BF1158" s="85"/>
      <c r="BG1158" s="85"/>
      <c r="BH1158" s="85"/>
      <c r="BI1158" s="85"/>
      <c r="BJ1158" s="85"/>
      <c r="BK1158" s="85"/>
      <c r="BL1158" s="85"/>
      <c r="BM1158" s="85"/>
      <c r="BN1158" s="85"/>
      <c r="BO1158" s="85"/>
      <c r="BP1158" s="85"/>
      <c r="BQ1158" s="85"/>
      <c r="BR1158" s="85"/>
      <c r="BS1158" s="85"/>
      <c r="BT1158" s="85"/>
      <c r="BU1158" s="85"/>
      <c r="BV1158" s="85"/>
      <c r="BW1158" s="85"/>
      <c r="BX1158" s="85"/>
      <c r="BY1158" s="85"/>
      <c r="BZ1158" s="85"/>
      <c r="CA1158" s="85"/>
      <c r="CB1158" s="85"/>
      <c r="CC1158" s="85"/>
      <c r="CD1158" s="85"/>
      <c r="CE1158" s="85"/>
      <c r="CF1158" s="85"/>
      <c r="CG1158" s="85"/>
      <c r="CH1158" s="85"/>
      <c r="CI1158" s="85"/>
      <c r="CJ1158" s="85"/>
      <c r="CK1158" s="2"/>
    </row>
    <row r="1159" ht="12.75" customHeight="1">
      <c r="A1159" s="80">
        <f>IFERROR(__xludf.DUMMYFUNCTION("""COMPUTED_VALUE"""),1155.0)</f>
        <v>1155</v>
      </c>
      <c r="B1159" s="80"/>
      <c r="C1159" s="80"/>
      <c r="D1159" s="81">
        <f>IFERROR(__xludf.DUMMYFUNCTION("""COMPUTED_VALUE"""),46212.0)</f>
        <v>46212</v>
      </c>
      <c r="E1159" s="82"/>
      <c r="F1159" s="80"/>
      <c r="G1159" s="81">
        <f>IFERROR(__xludf.DUMMYFUNCTION("""COMPUTED_VALUE"""),46237.0)</f>
        <v>46237</v>
      </c>
      <c r="H1159" s="80"/>
      <c r="I1159" s="80"/>
      <c r="J1159" s="80"/>
      <c r="K1159" s="80"/>
      <c r="L1159" s="80">
        <f>IFERROR(__xludf.DUMMYFUNCTION("""COMPUTED_VALUE"""),25.0)</f>
        <v>25</v>
      </c>
      <c r="M1159" s="80"/>
      <c r="N1159" s="80"/>
      <c r="O1159" s="80"/>
      <c r="P1159" s="80" t="str">
        <f>IFERROR(__xludf.DUMMYFUNCTION("""COMPUTED_VALUE"""),"MUCSPA63587PSIND")</f>
        <v>MUCSPA63587PSIND</v>
      </c>
      <c r="Q1159" s="80" t="str">
        <f>IFERROR(__xludf.DUMMYFUNCTION("""COMPUTED_VALUE"""),"MUC TOKO VIKEN")</f>
        <v>MUC TOKO VIKEN</v>
      </c>
      <c r="R1159" s="80" t="str">
        <f>IFERROR(__xludf.DUMMYFUNCTION("""COMPUTED_VALUE"""),"MUC TOKO VIKEN")</f>
        <v>MUC TOKO VIKEN</v>
      </c>
      <c r="S1159" s="80" t="str">
        <f>IFERROR(__xludf.DUMMYFUNCTION("""COMPUTED_VALUE"""),"SIGIT BUDI HARTONO")</f>
        <v>SIGIT BUDI HARTONO</v>
      </c>
      <c r="T1159" s="80" t="str">
        <f>IFERROR(__xludf.DUMMYFUNCTION("""COMPUTED_VALUE"""),"JL BANGKA III NO.19 RT 14 RW 2, PELA MAMPANG, MAMPANG PRAPATAN, JAKSEL")</f>
        <v>JL BANGKA III NO.19 RT 14 RW 2, PELA MAMPANG, MAMPANG PRAPATAN, JAKSEL</v>
      </c>
      <c r="U1159" s="80" t="str">
        <f>IFERROR(__xludf.DUMMYFUNCTION("""COMPUTED_VALUE"""),"JL. MAYOR IDRUS NO.98A RT.01 RW.07")</f>
        <v>JL. MAYOR IDRUS NO.98A RT.01 RW.07</v>
      </c>
      <c r="V1159" s="80" t="str">
        <f>IFERROR(__xludf.DUMMYFUNCTION("""COMPUTED_VALUE"""),"RT 14  \ RW 2,")</f>
        <v>RT 14  \ RW 2,</v>
      </c>
      <c r="W1159" s="80" t="str">
        <f>IFERROR(__xludf.DUMMYFUNCTION("""COMPUTED_VALUE"""),"TAPOS")</f>
        <v>TAPOS</v>
      </c>
      <c r="X1159" s="80" t="str">
        <f>IFERROR(__xludf.DUMMYFUNCTION("""COMPUTED_VALUE"""),"TAPOS")</f>
        <v>TAPOS</v>
      </c>
      <c r="Y1159" s="80" t="str">
        <f>IFERROR(__xludf.DUMMYFUNCTION("""COMPUTED_VALUE"""),"DEPOK")</f>
        <v>DEPOK</v>
      </c>
      <c r="Z1159" s="80" t="str">
        <f>IFERROR(__xludf.DUMMYFUNCTION("""COMPUTED_VALUE"""),"JAWA BARAT")</f>
        <v>JAWA BARAT</v>
      </c>
      <c r="AA1159" s="80" t="str">
        <f>IFERROR(__xludf.DUMMYFUNCTION("""COMPUTED_VALUE"""),"16457")</f>
        <v>16457</v>
      </c>
      <c r="AB1159" s="80" t="str">
        <f>IFERROR(__xludf.DUMMYFUNCTION("""COMPUTED_VALUE"""),"3174030304690001")</f>
        <v>3174030304690001</v>
      </c>
      <c r="AC1159" s="80" t="str">
        <f>IFERROR(__xludf.DUMMYFUNCTION("""COMPUTED_VALUE"""),"57.875.876.5-014.000")</f>
        <v>57.875.876.5-014.000</v>
      </c>
      <c r="AD1159" s="80" t="str">
        <f>IFERROR(__xludf.DUMMYFUNCTION("""COMPUTED_VALUE"""),"PAK HADI KC DEPOK")</f>
        <v>PAK HADI KC DEPOK</v>
      </c>
      <c r="AE1159" s="80" t="str">
        <f>IFERROR(__xludf.DUMMYFUNCTION("""COMPUTED_VALUE"""),"PAK HADI KC DEPOK")</f>
        <v>PAK HADI KC DEPOK</v>
      </c>
      <c r="AF1159" s="80" t="str">
        <f>IFERROR(__xludf.DUMMYFUNCTION("""COMPUTED_VALUE"""),"0817868679")</f>
        <v>0817868679</v>
      </c>
      <c r="AG1159" s="80" t="str">
        <f>IFERROR(__xludf.DUMMYFUNCTION("""COMPUTED_VALUE"""),"817868679")</f>
        <v>817868679</v>
      </c>
      <c r="AH1159" s="80" t="str">
        <f>IFERROR(__xludf.DUMMYFUNCTION("""COMPUTED_VALUE"""),"papi.ikko@gmail.com")</f>
        <v>papi.ikko@gmail.com</v>
      </c>
      <c r="AI1159" s="80" t="str">
        <f>IFERROR(__xludf.DUMMYFUNCTION("""COMPUTED_VALUE"""),"16464S3")</f>
        <v>16464S3</v>
      </c>
      <c r="AJ1159" s="80" t="str">
        <f>IFERROR(__xludf.DUMMYFUNCTION("""COMPUTED_VALUE"""),"6a6f49116436d944c30bf65e")</f>
        <v>6a6f49116436d944c30bf65e</v>
      </c>
      <c r="AK1159" s="80" t="str">
        <f>IFERROR(__xludf.DUMMYFUNCTION("""COMPUTED_VALUE"""),"papi.ikko@gmail.com")</f>
        <v>papi.ikko@gmail.com</v>
      </c>
      <c r="AL1159" s="80" t="str">
        <f>IFERROR(__xludf.DUMMYFUNCTION("""COMPUTED_VALUE"""),"#Muc16464S3$")</f>
        <v>#Muc16464S3$</v>
      </c>
      <c r="AM1159" s="80" t="str">
        <f>IFERROR(__xludf.DUMMYFUNCTION("""COMPUTED_VALUE"""),"KANTOR REGIONAL II JAKARTA 10004")</f>
        <v>KANTOR REGIONAL II JAKARTA 10004</v>
      </c>
      <c r="AN1159" s="80" t="str">
        <f>IFERROR(__xludf.DUMMYFUNCTION("""COMPUTED_VALUE"""),"KC DEPOK 16400")</f>
        <v>KC DEPOK 16400</v>
      </c>
      <c r="AO1159" s="80" t="str">
        <f>IFERROR(__xludf.DUMMYFUNCTION("""COMPUTED_VALUE"""),"0607260106534")</f>
        <v>0607260106534</v>
      </c>
      <c r="AP1159" s="80" t="str">
        <f>IFERROR(__xludf.DUMMYFUNCTION("""COMPUTED_VALUE"""),"0607260106534")</f>
        <v>0607260106534</v>
      </c>
      <c r="AQ1159" s="83" t="str">
        <f>IFERROR(__xludf.DUMMYFUNCTION("""COMPUTED_VALUE"""),"3191112049")</f>
        <v>3191112049</v>
      </c>
      <c r="AR1159" s="80" t="str">
        <f>IFERROR(__xludf.DUMMYFUNCTION("""COMPUTED_VALUE"""),"BCA")</f>
        <v>BCA</v>
      </c>
      <c r="AS1159" s="80" t="str">
        <f>IFERROR(__xludf.DUMMYFUNCTION("""COMPUTED_VALUE"""),"SIGIT BUDI HARTONO")</f>
        <v>SIGIT BUDI HARTONO</v>
      </c>
      <c r="AT1159" s="80" t="str">
        <f>IFERROR(__xludf.DUMMYFUNCTION("""COMPUTED_VALUE"""),"-64,287,793")</f>
        <v>-64,287,793</v>
      </c>
      <c r="AU1159" s="80" t="str">
        <f>IFERROR(__xludf.DUMMYFUNCTION("""COMPUTED_VALUE"""),"106,882,946")</f>
        <v>106,882,946</v>
      </c>
      <c r="AV1159" s="80"/>
      <c r="AW1159" s="80"/>
      <c r="AX1159" s="80"/>
      <c r="AY1159" s="80"/>
      <c r="AZ1159" s="80"/>
      <c r="BA1159" s="80"/>
      <c r="BB1159" s="80"/>
      <c r="BC1159" s="80"/>
      <c r="BD1159" s="80"/>
      <c r="BE1159" s="80"/>
      <c r="BF1159" s="80"/>
      <c r="BG1159" s="80"/>
      <c r="BH1159" s="80"/>
      <c r="BI1159" s="80"/>
      <c r="BJ1159" s="80"/>
      <c r="BK1159" s="80"/>
      <c r="BL1159" s="80"/>
      <c r="BM1159" s="80"/>
      <c r="BN1159" s="80"/>
      <c r="BO1159" s="80"/>
      <c r="BP1159" s="80"/>
      <c r="BQ1159" s="80"/>
      <c r="BR1159" s="80"/>
      <c r="BS1159" s="80"/>
      <c r="BT1159" s="80"/>
      <c r="BU1159" s="80"/>
      <c r="BV1159" s="80"/>
      <c r="BW1159" s="80"/>
      <c r="BX1159" s="80"/>
      <c r="BY1159" s="80"/>
      <c r="BZ1159" s="80"/>
      <c r="CA1159" s="80"/>
      <c r="CB1159" s="80"/>
      <c r="CC1159" s="80"/>
      <c r="CD1159" s="80"/>
      <c r="CE1159" s="80"/>
      <c r="CF1159" s="80"/>
      <c r="CG1159" s="80"/>
      <c r="CH1159" s="80"/>
      <c r="CI1159" s="80"/>
      <c r="CJ1159" s="80"/>
      <c r="CK1159" s="2"/>
    </row>
    <row r="1160" ht="12.75" customHeight="1">
      <c r="A1160" s="85">
        <f>IFERROR(__xludf.DUMMYFUNCTION("""COMPUTED_VALUE"""),1156.0)</f>
        <v>1156</v>
      </c>
      <c r="B1160" s="85"/>
      <c r="C1160" s="85"/>
      <c r="D1160" s="86">
        <f>IFERROR(__xludf.DUMMYFUNCTION("""COMPUTED_VALUE"""),46213.0)</f>
        <v>46213</v>
      </c>
      <c r="E1160" s="88"/>
      <c r="F1160" s="85"/>
      <c r="G1160" s="86"/>
      <c r="H1160" s="85"/>
      <c r="I1160" s="85"/>
      <c r="J1160" s="85"/>
      <c r="K1160" s="85"/>
      <c r="L1160" s="85"/>
      <c r="M1160" s="85"/>
      <c r="N1160" s="85"/>
      <c r="O1160" s="85"/>
      <c r="P1160" s="85" t="str">
        <f>IFERROR(__xludf.DUMMYFUNCTION("""COMPUTED_VALUE"""),"52BSPA07858JTAMT")</f>
        <v>52BSPA07858JTAMT</v>
      </c>
      <c r="Q1160" s="85" t="str">
        <f>IFERROR(__xludf.DUMMYFUNCTION("""COMPUTED_VALUE"""),"MUC PANGERAN PUGER")</f>
        <v>MUC PANGERAN PUGER</v>
      </c>
      <c r="R1160" s="85" t="str">
        <f>IFERROR(__xludf.DUMMYFUNCTION("""COMPUTED_VALUE"""),"MUC PANGERAN PUGER")</f>
        <v>MUC PANGERAN PUGER</v>
      </c>
      <c r="S1160" s="85" t="str">
        <f>IFERROR(__xludf.DUMMYFUNCTION("""COMPUTED_VALUE"""),"AGUS UMAR FARUK")</f>
        <v>AGUS UMAR FARUK</v>
      </c>
      <c r="T1160" s="85" t="str">
        <f>IFERROR(__xludf.DUMMYFUNCTION("""COMPUTED_VALUE"""),"DS GROBOGAN 003/005 KEC GROBOGAN KAB GROBOGAN")</f>
        <v>DS GROBOGAN 003/005 KEC GROBOGAN KAB GROBOGAN</v>
      </c>
      <c r="U1160" s="85" t="str">
        <f>IFERROR(__xludf.DUMMYFUNCTION("""COMPUTED_VALUE"""),"JL PANGERAN PUGER No 93 Grobogan")</f>
        <v>JL PANGERAN PUGER No 93 Grobogan</v>
      </c>
      <c r="V1160" s="85"/>
      <c r="W1160" s="85" t="str">
        <f>IFERROR(__xludf.DUMMYFUNCTION("""COMPUTED_VALUE"""),"Grobogan")</f>
        <v>Grobogan</v>
      </c>
      <c r="X1160" s="85" t="str">
        <f>IFERROR(__xludf.DUMMYFUNCTION("""COMPUTED_VALUE"""),"Grobogan")</f>
        <v>Grobogan</v>
      </c>
      <c r="Y1160" s="85" t="str">
        <f>IFERROR(__xludf.DUMMYFUNCTION("""COMPUTED_VALUE"""),"Grobogan")</f>
        <v>Grobogan</v>
      </c>
      <c r="Z1160" s="85" t="str">
        <f>IFERROR(__xludf.DUMMYFUNCTION("""COMPUTED_VALUE"""),"Jateng")</f>
        <v>Jateng</v>
      </c>
      <c r="AA1160" s="85" t="str">
        <f>IFERROR(__xludf.DUMMYFUNCTION("""COMPUTED_VALUE"""),"58152")</f>
        <v>58152</v>
      </c>
      <c r="AB1160" s="85" t="str">
        <f>IFERROR(__xludf.DUMMYFUNCTION("""COMPUTED_VALUE"""),"3318010803780005")</f>
        <v>3318010803780005</v>
      </c>
      <c r="AC1160" s="85" t="str">
        <f>IFERROR(__xludf.DUMMYFUNCTION("""COMPUTED_VALUE"""),"33.180.108.0-378.0005")</f>
        <v>33.180.108.0-378.0005</v>
      </c>
      <c r="AD1160" s="85" t="str">
        <f>IFERROR(__xludf.DUMMYFUNCTION("""COMPUTED_VALUE"""),"CUM - AMT")</f>
        <v>CUM - AMT</v>
      </c>
      <c r="AE1160" s="85" t="str">
        <f>IFERROR(__xludf.DUMMYFUNCTION("""COMPUTED_VALUE"""),"CUM - AMT")</f>
        <v>CUM - AMT</v>
      </c>
      <c r="AF1160" s="85" t="str">
        <f>IFERROR(__xludf.DUMMYFUNCTION("""COMPUTED_VALUE"""),"085866665150")</f>
        <v>085866665150</v>
      </c>
      <c r="AG1160" s="85" t="str">
        <f>IFERROR(__xludf.DUMMYFUNCTION("""COMPUTED_VALUE"""),"85866665150")</f>
        <v>85866665150</v>
      </c>
      <c r="AH1160" s="85" t="str">
        <f>IFERROR(__xludf.DUMMYFUNCTION("""COMPUTED_VALUE"""),"umarfarukagus@gmail.com")</f>
        <v>umarfarukagus@gmail.com</v>
      </c>
      <c r="AI1160" s="85"/>
      <c r="AJ1160" s="85"/>
      <c r="AK1160" s="85"/>
      <c r="AL1160" s="85"/>
      <c r="AM1160" s="85" t="str">
        <f>IFERROR(__xludf.DUMMYFUNCTION("""COMPUTED_VALUE"""),"KANTOR REGIONAL IV SEMARANG 50004")</f>
        <v>KANTOR REGIONAL IV SEMARANG 50004</v>
      </c>
      <c r="AN1160" s="85" t="str">
        <f>IFERROR(__xludf.DUMMYFUNCTION("""COMPUTED_VALUE"""),"KC PURWODADIGROBOGAN 58100")</f>
        <v>KC PURWODADIGROBOGAN 58100</v>
      </c>
      <c r="AO1160" s="85" t="str">
        <f>IFERROR(__xludf.DUMMYFUNCTION("""COMPUTED_VALUE"""),"1215000691103")</f>
        <v>1215000691103</v>
      </c>
      <c r="AP1160" s="85" t="str">
        <f>IFERROR(__xludf.DUMMYFUNCTION("""COMPUTED_VALUE"""),"1215000691103")</f>
        <v>1215000691103</v>
      </c>
      <c r="AQ1160" s="93" t="str">
        <f>IFERROR(__xludf.DUMMYFUNCTION("""COMPUTED_VALUE"""),"0810957085")</f>
        <v>0810957085</v>
      </c>
      <c r="AR1160" s="85" t="str">
        <f>IFERROR(__xludf.DUMMYFUNCTION("""COMPUTED_VALUE"""),"BCA")</f>
        <v>BCA</v>
      </c>
      <c r="AS1160" s="85" t="str">
        <f>IFERROR(__xludf.DUMMYFUNCTION("""COMPUTED_VALUE"""),"AGUS UMAR FARUK")</f>
        <v>AGUS UMAR FARUK</v>
      </c>
      <c r="AT1160" s="85" t="str">
        <f>IFERROR(__xludf.DUMMYFUNCTION("""COMPUTED_VALUE"""),"-70,250,162")</f>
        <v>-70,250,162</v>
      </c>
      <c r="AU1160" s="85" t="str">
        <f>IFERROR(__xludf.DUMMYFUNCTION("""COMPUTED_VALUE"""),"1,109,185,537")</f>
        <v>1,109,185,537</v>
      </c>
      <c r="AV1160" s="85"/>
      <c r="AW1160" s="85"/>
      <c r="AX1160" s="85"/>
      <c r="AY1160" s="85"/>
      <c r="AZ1160" s="85"/>
      <c r="BA1160" s="85"/>
      <c r="BB1160" s="85"/>
      <c r="BC1160" s="85"/>
      <c r="BD1160" s="85"/>
      <c r="BE1160" s="85"/>
      <c r="BF1160" s="85"/>
      <c r="BG1160" s="85"/>
      <c r="BH1160" s="85"/>
      <c r="BI1160" s="85"/>
      <c r="BJ1160" s="85"/>
      <c r="BK1160" s="85"/>
      <c r="BL1160" s="85"/>
      <c r="BM1160" s="85"/>
      <c r="BN1160" s="85"/>
      <c r="BO1160" s="85"/>
      <c r="BP1160" s="85"/>
      <c r="BQ1160" s="85"/>
      <c r="BR1160" s="85"/>
      <c r="BS1160" s="85"/>
      <c r="BT1160" s="85"/>
      <c r="BU1160" s="85"/>
      <c r="BV1160" s="85"/>
      <c r="BW1160" s="85"/>
      <c r="BX1160" s="85"/>
      <c r="BY1160" s="85"/>
      <c r="BZ1160" s="85"/>
      <c r="CA1160" s="85"/>
      <c r="CB1160" s="85"/>
      <c r="CC1160" s="85"/>
      <c r="CD1160" s="85"/>
      <c r="CE1160" s="85"/>
      <c r="CF1160" s="85"/>
      <c r="CG1160" s="85"/>
      <c r="CH1160" s="85"/>
      <c r="CI1160" s="85"/>
      <c r="CJ1160" s="85"/>
      <c r="CK1160" s="2"/>
    </row>
    <row r="1161" ht="12.75" customHeight="1">
      <c r="A1161" s="80">
        <f>IFERROR(__xludf.DUMMYFUNCTION("""COMPUTED_VALUE"""),1157.0)</f>
        <v>1157</v>
      </c>
      <c r="B1161" s="80"/>
      <c r="C1161" s="80"/>
      <c r="D1161" s="81">
        <f>IFERROR(__xludf.DUMMYFUNCTION("""COMPUTED_VALUE"""),46213.0)</f>
        <v>46213</v>
      </c>
      <c r="E1161" s="82"/>
      <c r="F1161" s="80"/>
      <c r="G1161" s="81">
        <f>IFERROR(__xludf.DUMMYFUNCTION("""COMPUTED_VALUE"""),46230.0)</f>
        <v>46230</v>
      </c>
      <c r="H1161" s="80"/>
      <c r="I1161" s="80"/>
      <c r="J1161" s="80"/>
      <c r="K1161" s="80"/>
      <c r="L1161" s="80">
        <f>IFERROR(__xludf.DUMMYFUNCTION("""COMPUTED_VALUE"""),17.0)</f>
        <v>17</v>
      </c>
      <c r="M1161" s="80"/>
      <c r="N1161" s="80"/>
      <c r="O1161" s="80"/>
      <c r="P1161" s="80" t="str">
        <f>IFERROR(__xludf.DUMMYFUNCTION("""COMPUTED_VALUE"""),"MUCSPA63590PSIND")</f>
        <v>MUCSPA63590PSIND</v>
      </c>
      <c r="Q1161" s="80" t="str">
        <f>IFERROR(__xludf.DUMMYFUNCTION("""COMPUTED_VALUE"""),"MUC REZA")</f>
        <v>MUC REZA</v>
      </c>
      <c r="R1161" s="80" t="str">
        <f>IFERROR(__xludf.DUMMYFUNCTION("""COMPUTED_VALUE"""),"MUC REZA")</f>
        <v>MUC REZA</v>
      </c>
      <c r="S1161" s="80" t="str">
        <f>IFERROR(__xludf.DUMMYFUNCTION("""COMPUTED_VALUE"""),"Muhamad Reza Pahlevi")</f>
        <v>Muhamad Reza Pahlevi</v>
      </c>
      <c r="T1161" s="80" t="str">
        <f>IFERROR(__xludf.DUMMYFUNCTION("""COMPUTED_VALUE"""),"JL KAPUK KAMAL KAYU BESAR RT 07 RRW 08, TEGAL ALUR, KALIDERES, JAKARTA BARAT")</f>
        <v>JL KAPUK KAMAL KAYU BESAR RT 07 RRW 08, TEGAL ALUR, KALIDERES, JAKARTA BARAT</v>
      </c>
      <c r="U1161" s="80" t="str">
        <f>IFERROR(__xludf.DUMMYFUNCTION("""COMPUTED_VALUE"""),"JL. RAWAMELATI KAPUK KAMAL RAYA RT 10 RW 01")</f>
        <v>JL. RAWAMELATI KAPUK KAMAL RAYA RT 10 RW 01</v>
      </c>
      <c r="V1161" s="80" t="str">
        <f>IFERROR(__xludf.DUMMYFUNCTION("""COMPUTED_VALUE"""),"RT 07  \ RW 08,")</f>
        <v>RT 07  \ RW 08,</v>
      </c>
      <c r="W1161" s="80" t="str">
        <f>IFERROR(__xludf.DUMMYFUNCTION("""COMPUTED_VALUE"""),"TEGAL ALUR")</f>
        <v>TEGAL ALUR</v>
      </c>
      <c r="X1161" s="80" t="str">
        <f>IFERROR(__xludf.DUMMYFUNCTION("""COMPUTED_VALUE"""),"KALIDERES")</f>
        <v>KALIDERES</v>
      </c>
      <c r="Y1161" s="80" t="str">
        <f>IFERROR(__xludf.DUMMYFUNCTION("""COMPUTED_VALUE"""),"JAKARTA BARAT")</f>
        <v>JAKARTA BARAT</v>
      </c>
      <c r="Z1161" s="80" t="str">
        <f>IFERROR(__xludf.DUMMYFUNCTION("""COMPUTED_VALUE"""),"DKI JAKARTA")</f>
        <v>DKI JAKARTA</v>
      </c>
      <c r="AA1161" s="80" t="str">
        <f>IFERROR(__xludf.DUMMYFUNCTION("""COMPUTED_VALUE"""),"11820")</f>
        <v>11820</v>
      </c>
      <c r="AB1161" s="80" t="str">
        <f>IFERROR(__xludf.DUMMYFUNCTION("""COMPUTED_VALUE"""),"3173062304020017")</f>
        <v>3173062304020017</v>
      </c>
      <c r="AC1161" s="80" t="str">
        <f>IFERROR(__xludf.DUMMYFUNCTION("""COMPUTED_VALUE"""),"63.543.002.9-085.000")</f>
        <v>63.543.002.9-085.000</v>
      </c>
      <c r="AD1161" s="80" t="str">
        <f>IFERROR(__xludf.DUMMYFUNCTION("""COMPUTED_VALUE"""),"CUM - LP - ANGGI")</f>
        <v>CUM - LP - ANGGI</v>
      </c>
      <c r="AE1161" s="80" t="str">
        <f>IFERROR(__xludf.DUMMYFUNCTION("""COMPUTED_VALUE"""),"CUM - LP - ANGGI")</f>
        <v>CUM - LP - ANGGI</v>
      </c>
      <c r="AF1161" s="80" t="str">
        <f>IFERROR(__xludf.DUMMYFUNCTION("""COMPUTED_VALUE"""),"0895368509762")</f>
        <v>0895368509762</v>
      </c>
      <c r="AG1161" s="80" t="str">
        <f>IFERROR(__xludf.DUMMYFUNCTION("""COMPUTED_VALUE"""),"895368509762")</f>
        <v>895368509762</v>
      </c>
      <c r="AH1161" s="80" t="str">
        <f>IFERROR(__xludf.DUMMYFUNCTION("""COMPUTED_VALUE"""),"muhamadrezapahlevi570@gmail.com")</f>
        <v>muhamadrezapahlevi570@gmail.com</v>
      </c>
      <c r="AI1161" s="80" t="str">
        <f>IFERROR(__xludf.DUMMYFUNCTION("""COMPUTED_VALUE"""),"11820S5")</f>
        <v>11820S5</v>
      </c>
      <c r="AJ1161" s="80" t="str">
        <f>IFERROR(__xludf.DUMMYFUNCTION("""COMPUTED_VALUE"""),"6a6727e41e9b199aa401243d")</f>
        <v>6a6727e41e9b199aa401243d</v>
      </c>
      <c r="AK1161" s="80" t="str">
        <f>IFERROR(__xludf.DUMMYFUNCTION("""COMPUTED_VALUE"""),"muhamadrezapahlevi570@gmail.com")</f>
        <v>muhamadrezapahlevi570@gmail.com</v>
      </c>
      <c r="AL1161" s="80" t="str">
        <f>IFERROR(__xludf.DUMMYFUNCTION("""COMPUTED_VALUE"""),"#Muc11820S5$")</f>
        <v>#Muc11820S5$</v>
      </c>
      <c r="AM1161" s="80" t="str">
        <f>IFERROR(__xludf.DUMMYFUNCTION("""COMPUTED_VALUE"""),"KANTOR REGIONAL II JAKARTA 10004")</f>
        <v>KANTOR REGIONAL II JAKARTA 10004</v>
      </c>
      <c r="AN1161" s="80" t="str">
        <f>IFERROR(__xludf.DUMMYFUNCTION("""COMPUTED_VALUE"""),"KCU JAKARTAOCEANIA 11000")</f>
        <v>KCU JAKARTAOCEANIA 11000</v>
      </c>
      <c r="AO1161" s="80" t="str">
        <f>IFERROR(__xludf.DUMMYFUNCTION("""COMPUTED_VALUE"""),"0707260097706")</f>
        <v>0707260097706</v>
      </c>
      <c r="AP1161" s="80" t="str">
        <f>IFERROR(__xludf.DUMMYFUNCTION("""COMPUTED_VALUE"""),"0707260097706")</f>
        <v>0707260097706</v>
      </c>
      <c r="AQ1161" s="83" t="str">
        <f>IFERROR(__xludf.DUMMYFUNCTION("""COMPUTED_VALUE"""),"5311123549")</f>
        <v>5311123549</v>
      </c>
      <c r="AR1161" s="80" t="str">
        <f>IFERROR(__xludf.DUMMYFUNCTION("""COMPUTED_VALUE"""),"BCA")</f>
        <v>BCA</v>
      </c>
      <c r="AS1161" s="80" t="str">
        <f>IFERROR(__xludf.DUMMYFUNCTION("""COMPUTED_VALUE"""),"Muhamad Reza Pahlevi")</f>
        <v>Muhamad Reza Pahlevi</v>
      </c>
      <c r="AT1161" s="80" t="str">
        <f>IFERROR(__xludf.DUMMYFUNCTION("""COMPUTED_VALUE"""),"-61,072,889")</f>
        <v>-61,072,889</v>
      </c>
      <c r="AU1161" s="80" t="str">
        <f>IFERROR(__xludf.DUMMYFUNCTION("""COMPUTED_VALUE"""),"1,067,193,902")</f>
        <v>1,067,193,902</v>
      </c>
      <c r="AV1161" s="80"/>
      <c r="AW1161" s="80"/>
      <c r="AX1161" s="80"/>
      <c r="AY1161" s="80"/>
      <c r="AZ1161" s="80"/>
      <c r="BA1161" s="80"/>
      <c r="BB1161" s="80"/>
      <c r="BC1161" s="80"/>
      <c r="BD1161" s="80"/>
      <c r="BE1161" s="80"/>
      <c r="BF1161" s="80"/>
      <c r="BG1161" s="80"/>
      <c r="BH1161" s="80"/>
      <c r="BI1161" s="80"/>
      <c r="BJ1161" s="80"/>
      <c r="BK1161" s="80"/>
      <c r="BL1161" s="80"/>
      <c r="BM1161" s="80"/>
      <c r="BN1161" s="80"/>
      <c r="BO1161" s="80"/>
      <c r="BP1161" s="80"/>
      <c r="BQ1161" s="80"/>
      <c r="BR1161" s="80"/>
      <c r="BS1161" s="80"/>
      <c r="BT1161" s="80"/>
      <c r="BU1161" s="80"/>
      <c r="BV1161" s="80"/>
      <c r="BW1161" s="80"/>
      <c r="BX1161" s="80"/>
      <c r="BY1161" s="80"/>
      <c r="BZ1161" s="80"/>
      <c r="CA1161" s="80"/>
      <c r="CB1161" s="80"/>
      <c r="CC1161" s="80"/>
      <c r="CD1161" s="80"/>
      <c r="CE1161" s="80"/>
      <c r="CF1161" s="80"/>
      <c r="CG1161" s="80"/>
      <c r="CH1161" s="80"/>
      <c r="CI1161" s="80"/>
      <c r="CJ1161" s="80"/>
      <c r="CK1161" s="2"/>
    </row>
    <row r="1162" ht="12.75" customHeight="1">
      <c r="A1162" s="85">
        <f>IFERROR(__xludf.DUMMYFUNCTION("""COMPUTED_VALUE"""),1158.0)</f>
        <v>1158</v>
      </c>
      <c r="B1162" s="85"/>
      <c r="C1162" s="85"/>
      <c r="D1162" s="86">
        <f>IFERROR(__xludf.DUMMYFUNCTION("""COMPUTED_VALUE"""),46213.0)</f>
        <v>46213</v>
      </c>
      <c r="E1162" s="88"/>
      <c r="F1162" s="85"/>
      <c r="G1162" s="86">
        <f>IFERROR(__xludf.DUMMYFUNCTION("""COMPUTED_VALUE"""),46223.0)</f>
        <v>46223</v>
      </c>
      <c r="H1162" s="85"/>
      <c r="I1162" s="85"/>
      <c r="J1162" s="85"/>
      <c r="K1162" s="85"/>
      <c r="L1162" s="85">
        <f>IFERROR(__xludf.DUMMYFUNCTION("""COMPUTED_VALUE"""),10.0)</f>
        <v>10</v>
      </c>
      <c r="M1162" s="85"/>
      <c r="N1162" s="85"/>
      <c r="O1162" s="85"/>
      <c r="P1162" s="85" t="str">
        <f>IFERROR(__xludf.DUMMYFUNCTION("""COMPUTED_VALUE"""),"53BSPA17112JBEEN")</f>
        <v>53BSPA17112JBEEN</v>
      </c>
      <c r="Q1162" s="85" t="str">
        <f>IFERROR(__xludf.DUMMYFUNCTION("""COMPUTED_VALUE"""),"MUC BIBIS LUHUR")</f>
        <v>MUC BIBIS LUHUR</v>
      </c>
      <c r="R1162" s="85" t="str">
        <f>IFERROR(__xludf.DUMMYFUNCTION("""COMPUTED_VALUE"""),"MUC BIBIS LUHUR")</f>
        <v>MUC BIBIS LUHUR</v>
      </c>
      <c r="S1162" s="85" t="str">
        <f>IFERROR(__xludf.DUMMYFUNCTION("""COMPUTED_VALUE"""),"IKHSAN SUDIYO UTOMO")</f>
        <v>IKHSAN SUDIYO UTOMO</v>
      </c>
      <c r="T1162" s="85" t="str">
        <f>IFERROR(__xludf.DUMMYFUNCTION("""COMPUTED_VALUE"""),"CENGKLIK RT 1 RW 19 NUSUKAN BANJARSARI, SURAKARTA")</f>
        <v>CENGKLIK RT 1 RW 19 NUSUKAN BANJARSARI, SURAKARTA</v>
      </c>
      <c r="U1162" s="85" t="str">
        <f>IFERROR(__xludf.DUMMYFUNCTION("""COMPUTED_VALUE"""),"JL. WALANDA MARAMIS NO. 90 BIBIS LUHUR")</f>
        <v>JL. WALANDA MARAMIS NO. 90 BIBIS LUHUR</v>
      </c>
      <c r="V1162" s="85" t="str">
        <f>IFERROR(__xludf.DUMMYFUNCTION("""COMPUTED_VALUE"""),"RT 1 R \ RW 19")</f>
        <v>RT 1 R \ RW 19</v>
      </c>
      <c r="W1162" s="85" t="str">
        <f>IFERROR(__xludf.DUMMYFUNCTION("""COMPUTED_VALUE"""),"NUSUKAN")</f>
        <v>NUSUKAN</v>
      </c>
      <c r="X1162" s="85" t="str">
        <f>IFERROR(__xludf.DUMMYFUNCTION("""COMPUTED_VALUE"""),"BANJARSARI")</f>
        <v>BANJARSARI</v>
      </c>
      <c r="Y1162" s="85" t="str">
        <f>IFERROR(__xludf.DUMMYFUNCTION("""COMPUTED_VALUE"""),"SURAKARTA")</f>
        <v>SURAKARTA</v>
      </c>
      <c r="Z1162" s="85" t="str">
        <f>IFERROR(__xludf.DUMMYFUNCTION("""COMPUTED_VALUE"""),"JAWA TENGAH")</f>
        <v>JAWA TENGAH</v>
      </c>
      <c r="AA1162" s="85" t="str">
        <f>IFERROR(__xludf.DUMMYFUNCTION("""COMPUTED_VALUE"""),"57135")</f>
        <v>57135</v>
      </c>
      <c r="AB1162" s="85" t="str">
        <f>IFERROR(__xludf.DUMMYFUNCTION("""COMPUTED_VALUE"""),"3312121607910001")</f>
        <v>3312121607910001</v>
      </c>
      <c r="AC1162" s="85" t="str">
        <f>IFERROR(__xludf.DUMMYFUNCTION("""COMPUTED_VALUE"""),"71.091.514.1-532.000")</f>
        <v>71.091.514.1-532.000</v>
      </c>
      <c r="AD1162" s="85" t="str">
        <f>IFERROR(__xludf.DUMMYFUNCTION("""COMPUTED_VALUE"""),"SUB EEN")</f>
        <v>SUB EEN</v>
      </c>
      <c r="AE1162" s="85" t="str">
        <f>IFERROR(__xludf.DUMMYFUNCTION("""COMPUTED_VALUE"""),"SUB EEN")</f>
        <v>SUB EEN</v>
      </c>
      <c r="AF1162" s="85" t="str">
        <f>IFERROR(__xludf.DUMMYFUNCTION("""COMPUTED_VALUE"""),"085725154994")</f>
        <v>085725154994</v>
      </c>
      <c r="AG1162" s="85" t="str">
        <f>IFERROR(__xludf.DUMMYFUNCTION("""COMPUTED_VALUE"""),"85725154994")</f>
        <v>85725154994</v>
      </c>
      <c r="AH1162" s="85" t="str">
        <f>IFERROR(__xludf.DUMMYFUNCTION("""COMPUTED_VALUE"""),"mitrajasasantosa@gmail.com")</f>
        <v>mitrajasasantosa@gmail.com</v>
      </c>
      <c r="AI1162" s="85" t="str">
        <f>IFERROR(__xludf.DUMMYFUNCTION("""COMPUTED_VALUE"""),"57135S5")</f>
        <v>57135S5</v>
      </c>
      <c r="AJ1162" s="85" t="str">
        <f>IFERROR(__xludf.DUMMYFUNCTION("""COMPUTED_VALUE"""),"6a5d9c6bb01c7493140893ce")</f>
        <v>6a5d9c6bb01c7493140893ce</v>
      </c>
      <c r="AK1162" s="85" t="str">
        <f>IFERROR(__xludf.DUMMYFUNCTION("""COMPUTED_VALUE"""),"mitrajasasantosa@gmail.com")</f>
        <v>mitrajasasantosa@gmail.com</v>
      </c>
      <c r="AL1162" s="85" t="str">
        <f>IFERROR(__xludf.DUMMYFUNCTION("""COMPUTED_VALUE"""),"#Muc57135S5$")</f>
        <v>#Muc57135S5$</v>
      </c>
      <c r="AM1162" s="85" t="str">
        <f>IFERROR(__xludf.DUMMYFUNCTION("""COMPUTED_VALUE"""),"KANTOR REGIONAL IV SEMARANG 50004")</f>
        <v>KANTOR REGIONAL IV SEMARANG 50004</v>
      </c>
      <c r="AN1162" s="85" t="str">
        <f>IFERROR(__xludf.DUMMYFUNCTION("""COMPUTED_VALUE"""),"KCU SOLO 57100")</f>
        <v>KCU SOLO 57100</v>
      </c>
      <c r="AO1162" s="85" t="str">
        <f>IFERROR(__xludf.DUMMYFUNCTION("""COMPUTED_VALUE"""),"090099999999999")</f>
        <v>090099999999999</v>
      </c>
      <c r="AP1162" s="85" t="str">
        <f>IFERROR(__xludf.DUMMYFUNCTION("""COMPUTED_VALUE"""),"090099999999999")</f>
        <v>090099999999999</v>
      </c>
      <c r="AQ1162" s="93" t="str">
        <f>IFERROR(__xludf.DUMMYFUNCTION("""COMPUTED_VALUE"""),"1490460019")</f>
        <v>1490460019</v>
      </c>
      <c r="AR1162" s="85" t="str">
        <f>IFERROR(__xludf.DUMMYFUNCTION("""COMPUTED_VALUE"""),"BCA")</f>
        <v>BCA</v>
      </c>
      <c r="AS1162" s="85" t="str">
        <f>IFERROR(__xludf.DUMMYFUNCTION("""COMPUTED_VALUE"""),"IKHSAN SUDIYO UTOMO")</f>
        <v>IKHSAN SUDIYO UTOMO</v>
      </c>
      <c r="AT1162" s="85" t="str">
        <f>IFERROR(__xludf.DUMMYFUNCTION("""COMPUTED_VALUE"""),"-7.5475159,110.832024")</f>
        <v>-7.5475159,110.832024</v>
      </c>
      <c r="AU1162" s="85" t="str">
        <f>IFERROR(__xludf.DUMMYFUNCTION("""COMPUTED_VALUE"""),"-7.5475159,110.832024")</f>
        <v>-7.5475159,110.832024</v>
      </c>
      <c r="AV1162" s="85"/>
      <c r="AW1162" s="85"/>
      <c r="AX1162" s="85"/>
      <c r="AY1162" s="85"/>
      <c r="AZ1162" s="85"/>
      <c r="BA1162" s="85"/>
      <c r="BB1162" s="85"/>
      <c r="BC1162" s="85"/>
      <c r="BD1162" s="85"/>
      <c r="BE1162" s="85"/>
      <c r="BF1162" s="85"/>
      <c r="BG1162" s="85"/>
      <c r="BH1162" s="85"/>
      <c r="BI1162" s="85"/>
      <c r="BJ1162" s="85"/>
      <c r="BK1162" s="85"/>
      <c r="BL1162" s="85"/>
      <c r="BM1162" s="85"/>
      <c r="BN1162" s="85"/>
      <c r="BO1162" s="85"/>
      <c r="BP1162" s="85"/>
      <c r="BQ1162" s="85"/>
      <c r="BR1162" s="85"/>
      <c r="BS1162" s="85"/>
      <c r="BT1162" s="85"/>
      <c r="BU1162" s="85"/>
      <c r="BV1162" s="85"/>
      <c r="BW1162" s="85"/>
      <c r="BX1162" s="85"/>
      <c r="BY1162" s="85"/>
      <c r="BZ1162" s="85"/>
      <c r="CA1162" s="85"/>
      <c r="CB1162" s="85"/>
      <c r="CC1162" s="85"/>
      <c r="CD1162" s="85"/>
      <c r="CE1162" s="85"/>
      <c r="CF1162" s="85"/>
      <c r="CG1162" s="85"/>
      <c r="CH1162" s="85"/>
      <c r="CI1162" s="85"/>
      <c r="CJ1162" s="85"/>
      <c r="CK1162" s="2"/>
    </row>
    <row r="1163" ht="12.75" customHeight="1">
      <c r="A1163" s="80">
        <f>IFERROR(__xludf.DUMMYFUNCTION("""COMPUTED_VALUE"""),1159.0)</f>
        <v>1159</v>
      </c>
      <c r="B1163" s="80"/>
      <c r="C1163" s="80"/>
      <c r="D1163" s="81">
        <f>IFERROR(__xludf.DUMMYFUNCTION("""COMPUTED_VALUE"""),46213.0)</f>
        <v>46213</v>
      </c>
      <c r="E1163" s="82"/>
      <c r="F1163" s="80"/>
      <c r="G1163" s="81">
        <f>IFERROR(__xludf.DUMMYFUNCTION("""COMPUTED_VALUE"""),46237.0)</f>
        <v>46237</v>
      </c>
      <c r="H1163" s="80"/>
      <c r="I1163" s="80"/>
      <c r="J1163" s="80"/>
      <c r="K1163" s="80"/>
      <c r="L1163" s="80">
        <f>IFERROR(__xludf.DUMMYFUNCTION("""COMPUTED_VALUE"""),24.0)</f>
        <v>24</v>
      </c>
      <c r="M1163" s="80"/>
      <c r="N1163" s="80"/>
      <c r="O1163" s="80"/>
      <c r="P1163" s="80" t="str">
        <f>IFERROR(__xludf.DUMMYFUNCTION("""COMPUTED_VALUE"""),"MUCSPA63586PSIND")</f>
        <v>MUCSPA63586PSIND</v>
      </c>
      <c r="Q1163" s="80" t="str">
        <f>IFERROR(__xludf.DUMMYFUNCTION("""COMPUTED_VALUE"""),"MUC PANCORAN MAS")</f>
        <v>MUC PANCORAN MAS</v>
      </c>
      <c r="R1163" s="80" t="str">
        <f>IFERROR(__xludf.DUMMYFUNCTION("""COMPUTED_VALUE"""),"MUC PANCORAN MAS")</f>
        <v>MUC PANCORAN MAS</v>
      </c>
      <c r="S1163" s="80" t="str">
        <f>IFERROR(__xludf.DUMMYFUNCTION("""COMPUTED_VALUE"""),"LINDA WIDYAWATIE")</f>
        <v>LINDA WIDYAWATIE</v>
      </c>
      <c r="T1163" s="80" t="str">
        <f>IFERROR(__xludf.DUMMYFUNCTION("""COMPUTED_VALUE"""),"JL. PRAMUKA GG. SIUN NO. 86 RT 06 RW 12, MAMPANG, PANCORAN MAS, DEPOK")</f>
        <v>JL. PRAMUKA GG. SIUN NO. 86 RT 06 RW 12, MAMPANG, PANCORAN MAS, DEPOK</v>
      </c>
      <c r="U1163" s="80" t="str">
        <f>IFERROR(__xludf.DUMMYFUNCTION("""COMPUTED_VALUE"""),"JL. PRAMUKA RAYA GG. SIUN NO.86 RT.06 RW.12")</f>
        <v>JL. PRAMUKA RAYA GG. SIUN NO.86 RT.06 RW.12</v>
      </c>
      <c r="V1163" s="80" t="str">
        <f>IFERROR(__xludf.DUMMYFUNCTION("""COMPUTED_VALUE"""),"RT 06  \ RW 12,")</f>
        <v>RT 06  \ RW 12,</v>
      </c>
      <c r="W1163" s="80" t="str">
        <f>IFERROR(__xludf.DUMMYFUNCTION("""COMPUTED_VALUE"""),"MAMPANG")</f>
        <v>MAMPANG</v>
      </c>
      <c r="X1163" s="80" t="str">
        <f>IFERROR(__xludf.DUMMYFUNCTION("""COMPUTED_VALUE"""),"PANCORAN MAS")</f>
        <v>PANCORAN MAS</v>
      </c>
      <c r="Y1163" s="80" t="str">
        <f>IFERROR(__xludf.DUMMYFUNCTION("""COMPUTED_VALUE"""),"DEPOK")</f>
        <v>DEPOK</v>
      </c>
      <c r="Z1163" s="80" t="str">
        <f>IFERROR(__xludf.DUMMYFUNCTION("""COMPUTED_VALUE"""),"JAWA BARAT")</f>
        <v>JAWA BARAT</v>
      </c>
      <c r="AA1163" s="80" t="str">
        <f>IFERROR(__xludf.DUMMYFUNCTION("""COMPUTED_VALUE"""),"16433")</f>
        <v>16433</v>
      </c>
      <c r="AB1163" s="80" t="str">
        <f>IFERROR(__xludf.DUMMYFUNCTION("""COMPUTED_VALUE"""),"3174045306900003")</f>
        <v>3174045306900003</v>
      </c>
      <c r="AC1163" s="80" t="str">
        <f>IFERROR(__xludf.DUMMYFUNCTION("""COMPUTED_VALUE"""),"66.649.098.2-412.000")</f>
        <v>66.649.098.2-412.000</v>
      </c>
      <c r="AD1163" s="80" t="str">
        <f>IFERROR(__xludf.DUMMYFUNCTION("""COMPUTED_VALUE"""),"PAK EKO CUM")</f>
        <v>PAK EKO CUM</v>
      </c>
      <c r="AE1163" s="80" t="str">
        <f>IFERROR(__xludf.DUMMYFUNCTION("""COMPUTED_VALUE"""),"PAK EKO CUM")</f>
        <v>PAK EKO CUM</v>
      </c>
      <c r="AF1163" s="80" t="str">
        <f>IFERROR(__xludf.DUMMYFUNCTION("""COMPUTED_VALUE"""),"083871332161")</f>
        <v>083871332161</v>
      </c>
      <c r="AG1163" s="80" t="str">
        <f>IFERROR(__xludf.DUMMYFUNCTION("""COMPUTED_VALUE"""),"83871332161")</f>
        <v>83871332161</v>
      </c>
      <c r="AH1163" s="80" t="str">
        <f>IFERROR(__xludf.DUMMYFUNCTION("""COMPUTED_VALUE"""),"linda.visioneone7@gmail.com")</f>
        <v>linda.visioneone7@gmail.com</v>
      </c>
      <c r="AI1163" s="80" t="str">
        <f>IFERROR(__xludf.DUMMYFUNCTION("""COMPUTED_VALUE"""),"16433S6")</f>
        <v>16433S6</v>
      </c>
      <c r="AJ1163" s="80" t="str">
        <f>IFERROR(__xludf.DUMMYFUNCTION("""COMPUTED_VALUE"""),"6a6f54e7a70d0f687105a0f8")</f>
        <v>6a6f54e7a70d0f687105a0f8</v>
      </c>
      <c r="AK1163" s="80" t="str">
        <f>IFERROR(__xludf.DUMMYFUNCTION("""COMPUTED_VALUE"""),"linda.visioneone7@gmail.com")</f>
        <v>linda.visioneone7@gmail.com</v>
      </c>
      <c r="AL1163" s="80" t="str">
        <f>IFERROR(__xludf.DUMMYFUNCTION("""COMPUTED_VALUE"""),"#Muc16433S6$")</f>
        <v>#Muc16433S6$</v>
      </c>
      <c r="AM1163" s="80" t="str">
        <f>IFERROR(__xludf.DUMMYFUNCTION("""COMPUTED_VALUE"""),"KANTOR REGIONAL II JAKARTA 10004")</f>
        <v>KANTOR REGIONAL II JAKARTA 10004</v>
      </c>
      <c r="AN1163" s="80" t="str">
        <f>IFERROR(__xludf.DUMMYFUNCTION("""COMPUTED_VALUE"""),"KC DEPOK 16400")</f>
        <v>KC DEPOK 16400</v>
      </c>
      <c r="AO1163" s="80" t="str">
        <f>IFERROR(__xludf.DUMMYFUNCTION("""COMPUTED_VALUE"""),"0607260111056")</f>
        <v>0607260111056</v>
      </c>
      <c r="AP1163" s="80" t="str">
        <f>IFERROR(__xludf.DUMMYFUNCTION("""COMPUTED_VALUE"""),"0607260111056")</f>
        <v>0607260111056</v>
      </c>
      <c r="AQ1163" s="83" t="str">
        <f>IFERROR(__xludf.DUMMYFUNCTION("""COMPUTED_VALUE"""),"1220006978541")</f>
        <v>1220006978541</v>
      </c>
      <c r="AR1163" s="80" t="str">
        <f>IFERROR(__xludf.DUMMYFUNCTION("""COMPUTED_VALUE"""),"MANDIRI")</f>
        <v>MANDIRI</v>
      </c>
      <c r="AS1163" s="80" t="str">
        <f>IFERROR(__xludf.DUMMYFUNCTION("""COMPUTED_VALUE"""),"LINDA WIDYAWATIE")</f>
        <v>LINDA WIDYAWATIE</v>
      </c>
      <c r="AT1163" s="80" t="str">
        <f>IFERROR(__xludf.DUMMYFUNCTION("""COMPUTED_VALUE"""),"-63,862,464")</f>
        <v>-63,862,464</v>
      </c>
      <c r="AU1163" s="80" t="str">
        <f>IFERROR(__xludf.DUMMYFUNCTION("""COMPUTED_VALUE"""),"1,067,926,515")</f>
        <v>1,067,926,515</v>
      </c>
      <c r="AV1163" s="80"/>
      <c r="AW1163" s="80"/>
      <c r="AX1163" s="80"/>
      <c r="AY1163" s="80"/>
      <c r="AZ1163" s="80"/>
      <c r="BA1163" s="80"/>
      <c r="BB1163" s="80"/>
      <c r="BC1163" s="80"/>
      <c r="BD1163" s="80"/>
      <c r="BE1163" s="80"/>
      <c r="BF1163" s="80"/>
      <c r="BG1163" s="80"/>
      <c r="BH1163" s="80"/>
      <c r="BI1163" s="80"/>
      <c r="BJ1163" s="80"/>
      <c r="BK1163" s="80"/>
      <c r="BL1163" s="80"/>
      <c r="BM1163" s="80"/>
      <c r="BN1163" s="80"/>
      <c r="BO1163" s="80"/>
      <c r="BP1163" s="80"/>
      <c r="BQ1163" s="80"/>
      <c r="BR1163" s="80"/>
      <c r="BS1163" s="80"/>
      <c r="BT1163" s="80"/>
      <c r="BU1163" s="80"/>
      <c r="BV1163" s="80"/>
      <c r="BW1163" s="80"/>
      <c r="BX1163" s="80"/>
      <c r="BY1163" s="80"/>
      <c r="BZ1163" s="80"/>
      <c r="CA1163" s="80"/>
      <c r="CB1163" s="80"/>
      <c r="CC1163" s="80"/>
      <c r="CD1163" s="80"/>
      <c r="CE1163" s="80"/>
      <c r="CF1163" s="80"/>
      <c r="CG1163" s="80"/>
      <c r="CH1163" s="80"/>
      <c r="CI1163" s="80"/>
      <c r="CJ1163" s="80"/>
      <c r="CK1163" s="2"/>
    </row>
    <row r="1164" ht="12.75" customHeight="1">
      <c r="A1164" s="85">
        <f>IFERROR(__xludf.DUMMYFUNCTION("""COMPUTED_VALUE"""),1160.0)</f>
        <v>1160</v>
      </c>
      <c r="B1164" s="85"/>
      <c r="C1164" s="85"/>
      <c r="D1164" s="86">
        <f>IFERROR(__xludf.DUMMYFUNCTION("""COMPUTED_VALUE"""),46213.0)</f>
        <v>46213</v>
      </c>
      <c r="E1164" s="88"/>
      <c r="F1164" s="85"/>
      <c r="G1164" s="86">
        <f>IFERROR(__xludf.DUMMYFUNCTION("""COMPUTED_VALUE"""),46240.0)</f>
        <v>46240</v>
      </c>
      <c r="H1164" s="85"/>
      <c r="I1164" s="85"/>
      <c r="J1164" s="85"/>
      <c r="K1164" s="85"/>
      <c r="L1164" s="85">
        <f>IFERROR(__xludf.DUMMYFUNCTION("""COMPUTED_VALUE"""),27.0)</f>
        <v>27</v>
      </c>
      <c r="M1164" s="85"/>
      <c r="N1164" s="85"/>
      <c r="O1164" s="85"/>
      <c r="P1164" s="85" t="str">
        <f>IFERROR(__xludf.DUMMYFUNCTION("""COMPUTED_VALUE"""),"MUCSPA63601PSIND")</f>
        <v>MUCSPA63601PSIND</v>
      </c>
      <c r="Q1164" s="85" t="str">
        <f>IFERROR(__xludf.DUMMYFUNCTION("""COMPUTED_VALUE"""),"MUC TAAJIRUN AMANAH")</f>
        <v>MUC TAAJIRUN AMANAH</v>
      </c>
      <c r="R1164" s="85" t="str">
        <f>IFERROR(__xludf.DUMMYFUNCTION("""COMPUTED_VALUE"""),"MUC TAAJIRUN AMANAH")</f>
        <v>MUC TAAJIRUN AMANAH</v>
      </c>
      <c r="S1164" s="85" t="str">
        <f>IFERROR(__xludf.DUMMYFUNCTION("""COMPUTED_VALUE"""),"ISMAIL BELO")</f>
        <v>ISMAIL BELO</v>
      </c>
      <c r="T1164" s="85" t="str">
        <f>IFERROR(__xludf.DUMMYFUNCTION("""COMPUTED_VALUE"""),"PERUM MUSTIKA BLOK F1 NO. 57. RT 1 RW 9 MATAGARA KECAMATAN TIGARAKSA, KAB.TANGERANG")</f>
        <v>PERUM MUSTIKA BLOK F1 NO. 57. RT 1 RW 9 MATAGARA KECAMATAN TIGARAKSA, KAB.TANGERANG</v>
      </c>
      <c r="U1164" s="85" t="str">
        <f>IFERROR(__xludf.DUMMYFUNCTION("""COMPUTED_VALUE"""),"JL. RAYA SYEKH MUBAROK KP. KADU RT 1 RW 2")</f>
        <v>JL. RAYA SYEKH MUBAROK KP. KADU RT 1 RW 2</v>
      </c>
      <c r="V1164" s="85" t="str">
        <f>IFERROR(__xludf.DUMMYFUNCTION("""COMPUTED_VALUE"""),"RT 1 R \ RW 9 M")</f>
        <v>RT 1 R \ RW 9 M</v>
      </c>
      <c r="W1164" s="85" t="str">
        <f>IFERROR(__xludf.DUMMYFUNCTION("""COMPUTED_VALUE"""),"PETE")</f>
        <v>PETE</v>
      </c>
      <c r="X1164" s="85" t="str">
        <f>IFERROR(__xludf.DUMMYFUNCTION("""COMPUTED_VALUE"""),"TIGARAKSA")</f>
        <v>TIGARAKSA</v>
      </c>
      <c r="Y1164" s="85" t="str">
        <f>IFERROR(__xludf.DUMMYFUNCTION("""COMPUTED_VALUE"""),"KAB. TANGERANG")</f>
        <v>KAB. TANGERANG</v>
      </c>
      <c r="Z1164" s="85" t="str">
        <f>IFERROR(__xludf.DUMMYFUNCTION("""COMPUTED_VALUE"""),"BANTEN")</f>
        <v>BANTEN</v>
      </c>
      <c r="AA1164" s="85" t="str">
        <f>IFERROR(__xludf.DUMMYFUNCTION("""COMPUTED_VALUE"""),"15720")</f>
        <v>15720</v>
      </c>
      <c r="AB1164" s="85" t="str">
        <f>IFERROR(__xludf.DUMMYFUNCTION("""COMPUTED_VALUE"""),"3603180112780006")</f>
        <v>3603180112780006</v>
      </c>
      <c r="AC1164" s="85" t="str">
        <f>IFERROR(__xludf.DUMMYFUNCTION("""COMPUTED_VALUE"""),"57.086.603.8-451.000")</f>
        <v>57.086.603.8-451.000</v>
      </c>
      <c r="AD1164" s="85" t="str">
        <f>IFERROR(__xludf.DUMMYFUNCTION("""COMPUTED_VALUE"""),"PAK ASEP UMKM")</f>
        <v>PAK ASEP UMKM</v>
      </c>
      <c r="AE1164" s="85" t="str">
        <f>IFERROR(__xludf.DUMMYFUNCTION("""COMPUTED_VALUE"""),"PAK ASEP UMKM")</f>
        <v>PAK ASEP UMKM</v>
      </c>
      <c r="AF1164" s="85" t="str">
        <f>IFERROR(__xludf.DUMMYFUNCTION("""COMPUTED_VALUE"""),"081388657844")</f>
        <v>081388657844</v>
      </c>
      <c r="AG1164" s="85" t="str">
        <f>IFERROR(__xludf.DUMMYFUNCTION("""COMPUTED_VALUE"""),"81388657844")</f>
        <v>81388657844</v>
      </c>
      <c r="AH1164" s="85" t="str">
        <f>IFERROR(__xludf.DUMMYFUNCTION("""COMPUTED_VALUE"""),"Ismailibrahim807@gmail.com")</f>
        <v>Ismailibrahim807@gmail.com</v>
      </c>
      <c r="AI1164" s="85" t="str">
        <f>IFERROR(__xludf.DUMMYFUNCTION("""COMPUTED_VALUE"""),"15936S1")</f>
        <v>15936S1</v>
      </c>
      <c r="AJ1164" s="85" t="str">
        <f>IFERROR(__xludf.DUMMYFUNCTION("""COMPUTED_VALUE"""),"6a7409f0aa3235a0eb071ab4")</f>
        <v>6a7409f0aa3235a0eb071ab4</v>
      </c>
      <c r="AK1164" s="85" t="str">
        <f>IFERROR(__xludf.DUMMYFUNCTION("""COMPUTED_VALUE"""),"Ismailibrahim807@gmail.com")</f>
        <v>Ismailibrahim807@gmail.com</v>
      </c>
      <c r="AL1164" s="85" t="str">
        <f>IFERROR(__xludf.DUMMYFUNCTION("""COMPUTED_VALUE"""),"#Muc15936S1$")</f>
        <v>#Muc15936S1$</v>
      </c>
      <c r="AM1164" s="85" t="str">
        <f>IFERROR(__xludf.DUMMYFUNCTION("""COMPUTED_VALUE"""),"KANTOR REGIONAL II JAKARTA 10004")</f>
        <v>KANTOR REGIONAL II JAKARTA 10004</v>
      </c>
      <c r="AN1164" s="85" t="str">
        <f>IFERROR(__xludf.DUMMYFUNCTION("""COMPUTED_VALUE"""),"KCU TANGERANG 15000")</f>
        <v>KCU TANGERANG 15000</v>
      </c>
      <c r="AO1164" s="85" t="str">
        <f>IFERROR(__xludf.DUMMYFUNCTION("""COMPUTED_VALUE"""),"1007260031105")</f>
        <v>1007260031105</v>
      </c>
      <c r="AP1164" s="85" t="str">
        <f>IFERROR(__xludf.DUMMYFUNCTION("""COMPUTED_VALUE"""),"1007260031105")</f>
        <v>1007260031105</v>
      </c>
      <c r="AQ1164" s="93" t="str">
        <f>IFERROR(__xludf.DUMMYFUNCTION("""COMPUTED_VALUE"""),"8880906063")</f>
        <v>8880906063</v>
      </c>
      <c r="AR1164" s="85" t="str">
        <f>IFERROR(__xludf.DUMMYFUNCTION("""COMPUTED_VALUE"""),"BCA")</f>
        <v>BCA</v>
      </c>
      <c r="AS1164" s="85" t="str">
        <f>IFERROR(__xludf.DUMMYFUNCTION("""COMPUTED_VALUE"""),"ISMAIL BELO")</f>
        <v>ISMAIL BELO</v>
      </c>
      <c r="AT1164" s="85" t="str">
        <f>IFERROR(__xludf.DUMMYFUNCTION("""COMPUTED_VALUE"""),"-6.2588373,106.4545667")</f>
        <v>-6.2588373,106.4545667</v>
      </c>
      <c r="AU1164" s="85" t="str">
        <f>IFERROR(__xludf.DUMMYFUNCTION("""COMPUTED_VALUE"""),"-6.2588373,106.4545667")</f>
        <v>-6.2588373,106.4545667</v>
      </c>
      <c r="AV1164" s="85"/>
      <c r="AW1164" s="85"/>
      <c r="AX1164" s="85"/>
      <c r="AY1164" s="85"/>
      <c r="AZ1164" s="85"/>
      <c r="BA1164" s="85"/>
      <c r="BB1164" s="85"/>
      <c r="BC1164" s="85"/>
      <c r="BD1164" s="85"/>
      <c r="BE1164" s="85"/>
      <c r="BF1164" s="85"/>
      <c r="BG1164" s="85"/>
      <c r="BH1164" s="85"/>
      <c r="BI1164" s="85"/>
      <c r="BJ1164" s="85"/>
      <c r="BK1164" s="85"/>
      <c r="BL1164" s="85"/>
      <c r="BM1164" s="85"/>
      <c r="BN1164" s="85"/>
      <c r="BO1164" s="85"/>
      <c r="BP1164" s="85"/>
      <c r="BQ1164" s="85"/>
      <c r="BR1164" s="85"/>
      <c r="BS1164" s="85"/>
      <c r="BT1164" s="85"/>
      <c r="BU1164" s="85"/>
      <c r="BV1164" s="85"/>
      <c r="BW1164" s="85"/>
      <c r="BX1164" s="85"/>
      <c r="BY1164" s="85"/>
      <c r="BZ1164" s="85"/>
      <c r="CA1164" s="85"/>
      <c r="CB1164" s="85"/>
      <c r="CC1164" s="85"/>
      <c r="CD1164" s="85"/>
      <c r="CE1164" s="85"/>
      <c r="CF1164" s="85"/>
      <c r="CG1164" s="85"/>
      <c r="CH1164" s="85"/>
      <c r="CI1164" s="85"/>
      <c r="CJ1164" s="85"/>
      <c r="CK1164" s="2"/>
    </row>
    <row r="1165" ht="12.75" customHeight="1">
      <c r="A1165" s="80">
        <f>IFERROR(__xludf.DUMMYFUNCTION("""COMPUTED_VALUE"""),1161.0)</f>
        <v>1161</v>
      </c>
      <c r="B1165" s="80"/>
      <c r="C1165" s="80"/>
      <c r="D1165" s="81">
        <f>IFERROR(__xludf.DUMMYFUNCTION("""COMPUTED_VALUE"""),46213.0)</f>
        <v>46213</v>
      </c>
      <c r="E1165" s="82"/>
      <c r="F1165" s="80"/>
      <c r="G1165" s="81">
        <f>IFERROR(__xludf.DUMMYFUNCTION("""COMPUTED_VALUE"""),46254.0)</f>
        <v>46254</v>
      </c>
      <c r="H1165" s="80"/>
      <c r="I1165" s="80"/>
      <c r="J1165" s="80"/>
      <c r="K1165" s="80"/>
      <c r="L1165" s="80">
        <f>IFERROR(__xludf.DUMMYFUNCTION("""COMPUTED_VALUE"""),41.0)</f>
        <v>41</v>
      </c>
      <c r="M1165" s="80"/>
      <c r="N1165" s="80"/>
      <c r="O1165" s="80"/>
      <c r="P1165" s="80" t="str">
        <f>IFERROR(__xludf.DUMMYFUNCTION("""COMPUTED_VALUE"""),"MUCSPA63593PSIND")</f>
        <v>MUCSPA63593PSIND</v>
      </c>
      <c r="Q1165" s="80" t="str">
        <f>IFERROR(__xludf.DUMMYFUNCTION("""COMPUTED_VALUE"""),"MUC SOERTIYANTI")</f>
        <v>MUC SOERTIYANTI</v>
      </c>
      <c r="R1165" s="80" t="str">
        <f>IFERROR(__xludf.DUMMYFUNCTION("""COMPUTED_VALUE"""),"MUC SOERTIYANTI")</f>
        <v>MUC SOERTIYANTI</v>
      </c>
      <c r="S1165" s="80" t="str">
        <f>IFERROR(__xludf.DUMMYFUNCTION("""COMPUTED_VALUE"""),"SOERTIYANTI, DRA.")</f>
        <v>SOERTIYANTI, DRA.</v>
      </c>
      <c r="T1165" s="80" t="str">
        <f>IFERROR(__xludf.DUMMYFUNCTION("""COMPUTED_VALUE"""),"JETIS KULON 10/20-D RT 11 RW 04, WONOKROMO, WONOKROMO, SURABAYA")</f>
        <v>JETIS KULON 10/20-D RT 11 RW 04, WONOKROMO, WONOKROMO, SURABAYA</v>
      </c>
      <c r="U1165" s="80" t="str">
        <f>IFERROR(__xludf.DUMMYFUNCTION("""COMPUTED_VALUE"""),"JL. JETIS KULON GG. X NO.44")</f>
        <v>JL. JETIS KULON GG. X NO.44</v>
      </c>
      <c r="V1165" s="80" t="str">
        <f>IFERROR(__xludf.DUMMYFUNCTION("""COMPUTED_VALUE"""),"RT 11  \ RW 04,")</f>
        <v>RT 11  \ RW 04,</v>
      </c>
      <c r="W1165" s="80" t="str">
        <f>IFERROR(__xludf.DUMMYFUNCTION("""COMPUTED_VALUE"""),"WONOKROMO")</f>
        <v>WONOKROMO</v>
      </c>
      <c r="X1165" s="80" t="str">
        <f>IFERROR(__xludf.DUMMYFUNCTION("""COMPUTED_VALUE"""),"WONOKROMO")</f>
        <v>WONOKROMO</v>
      </c>
      <c r="Y1165" s="80" t="str">
        <f>IFERROR(__xludf.DUMMYFUNCTION("""COMPUTED_VALUE"""),"SURABAYA")</f>
        <v>SURABAYA</v>
      </c>
      <c r="Z1165" s="80" t="str">
        <f>IFERROR(__xludf.DUMMYFUNCTION("""COMPUTED_VALUE"""),"JAWA TIMUR")</f>
        <v>JAWA TIMUR</v>
      </c>
      <c r="AA1165" s="80" t="str">
        <f>IFERROR(__xludf.DUMMYFUNCTION("""COMPUTED_VALUE"""),"60243")</f>
        <v>60243</v>
      </c>
      <c r="AB1165" s="80" t="str">
        <f>IFERROR(__xludf.DUMMYFUNCTION("""COMPUTED_VALUE"""),"3578044803690001")</f>
        <v>3578044803690001</v>
      </c>
      <c r="AC1165" s="80" t="str">
        <f>IFERROR(__xludf.DUMMYFUNCTION("""COMPUTED_VALUE"""),"19.384.112.9-609.000")</f>
        <v>19.384.112.9-609.000</v>
      </c>
      <c r="AD1165" s="80" t="str">
        <f>IFERROR(__xludf.DUMMYFUNCTION("""COMPUTED_VALUE"""),"PAK ASEP UMKM")</f>
        <v>PAK ASEP UMKM</v>
      </c>
      <c r="AE1165" s="80" t="str">
        <f>IFERROR(__xludf.DUMMYFUNCTION("""COMPUTED_VALUE"""),"PAK ASEP UMKM")</f>
        <v>PAK ASEP UMKM</v>
      </c>
      <c r="AF1165" s="80" t="str">
        <f>IFERROR(__xludf.DUMMYFUNCTION("""COMPUTED_VALUE"""),"085230787793")</f>
        <v>085230787793</v>
      </c>
      <c r="AG1165" s="80" t="str">
        <f>IFERROR(__xludf.DUMMYFUNCTION("""COMPUTED_VALUE"""),"85230787793")</f>
        <v>85230787793</v>
      </c>
      <c r="AH1165" s="80" t="str">
        <f>IFERROR(__xludf.DUMMYFUNCTION("""COMPUTED_VALUE"""),"bundasoerti@gmail.com")</f>
        <v>bundasoerti@gmail.com</v>
      </c>
      <c r="AI1165" s="80" t="str">
        <f>IFERROR(__xludf.DUMMYFUNCTION("""COMPUTED_VALUE"""),"60243S6")</f>
        <v>60243S6</v>
      </c>
      <c r="AJ1165" s="80" t="str">
        <f>IFERROR(__xludf.DUMMYFUNCTION("""COMPUTED_VALUE"""),"6a867645603d4444150cd2b5")</f>
        <v>6a867645603d4444150cd2b5</v>
      </c>
      <c r="AK1165" s="80" t="str">
        <f>IFERROR(__xludf.DUMMYFUNCTION("""COMPUTED_VALUE"""),"bundasoerti@gmail.com")</f>
        <v>bundasoerti@gmail.com</v>
      </c>
      <c r="AL1165" s="80" t="str">
        <f>IFERROR(__xludf.DUMMYFUNCTION("""COMPUTED_VALUE"""),"#Muc60243S6$")</f>
        <v>#Muc60243S6$</v>
      </c>
      <c r="AM1165" s="80" t="str">
        <f>IFERROR(__xludf.DUMMYFUNCTION("""COMPUTED_VALUE"""),"KANTOR REGIONAL V SURABAYA 60004")</f>
        <v>KANTOR REGIONAL V SURABAYA 60004</v>
      </c>
      <c r="AN1165" s="80" t="str">
        <f>IFERROR(__xludf.DUMMYFUNCTION("""COMPUTED_VALUE"""),"KCU SURABAYA 60000")</f>
        <v>KCU SURABAYA 60000</v>
      </c>
      <c r="AO1165" s="80" t="str">
        <f>IFERROR(__xludf.DUMMYFUNCTION("""COMPUTED_VALUE"""),"1011210000976")</f>
        <v>1011210000976</v>
      </c>
      <c r="AP1165" s="80" t="str">
        <f>IFERROR(__xludf.DUMMYFUNCTION("""COMPUTED_VALUE"""),"1011210000976")</f>
        <v>1011210000976</v>
      </c>
      <c r="AQ1165" s="83" t="str">
        <f>IFERROR(__xludf.DUMMYFUNCTION("""COMPUTED_VALUE"""),"1410018732719")</f>
        <v>1410018732719</v>
      </c>
      <c r="AR1165" s="80" t="str">
        <f>IFERROR(__xludf.DUMMYFUNCTION("""COMPUTED_VALUE"""),"MANDIRI")</f>
        <v>MANDIRI</v>
      </c>
      <c r="AS1165" s="80" t="str">
        <f>IFERROR(__xludf.DUMMYFUNCTION("""COMPUTED_VALUE"""),"SOERTIYANTI, DRA.")</f>
        <v>SOERTIYANTI, DRA.</v>
      </c>
      <c r="AT1165" s="80" t="str">
        <f>IFERROR(__xludf.DUMMYFUNCTION("""COMPUTED_VALUE"""),"-73,087,902")</f>
        <v>-73,087,902</v>
      </c>
      <c r="AU1165" s="80" t="str">
        <f>IFERROR(__xludf.DUMMYFUNCTION("""COMPUTED_VALUE"""),"1,127,285,934")</f>
        <v>1,127,285,934</v>
      </c>
      <c r="AV1165" s="80"/>
      <c r="AW1165" s="80"/>
      <c r="AX1165" s="80"/>
      <c r="AY1165" s="80"/>
      <c r="AZ1165" s="80"/>
      <c r="BA1165" s="80"/>
      <c r="BB1165" s="80"/>
      <c r="BC1165" s="80"/>
      <c r="BD1165" s="80"/>
      <c r="BE1165" s="80"/>
      <c r="BF1165" s="80"/>
      <c r="BG1165" s="80"/>
      <c r="BH1165" s="80"/>
      <c r="BI1165" s="80"/>
      <c r="BJ1165" s="80"/>
      <c r="BK1165" s="80"/>
      <c r="BL1165" s="80"/>
      <c r="BM1165" s="80"/>
      <c r="BN1165" s="80"/>
      <c r="BO1165" s="80"/>
      <c r="BP1165" s="80"/>
      <c r="BQ1165" s="80"/>
      <c r="BR1165" s="80"/>
      <c r="BS1165" s="80"/>
      <c r="BT1165" s="80"/>
      <c r="BU1165" s="80"/>
      <c r="BV1165" s="80"/>
      <c r="BW1165" s="80"/>
      <c r="BX1165" s="80"/>
      <c r="BY1165" s="80"/>
      <c r="BZ1165" s="80"/>
      <c r="CA1165" s="80"/>
      <c r="CB1165" s="80"/>
      <c r="CC1165" s="80"/>
      <c r="CD1165" s="80"/>
      <c r="CE1165" s="80"/>
      <c r="CF1165" s="80"/>
      <c r="CG1165" s="80"/>
      <c r="CH1165" s="80"/>
      <c r="CI1165" s="80"/>
      <c r="CJ1165" s="80"/>
      <c r="CK1165" s="2"/>
    </row>
    <row r="1166" ht="12.75" customHeight="1">
      <c r="A1166" s="85">
        <f>IFERROR(__xludf.DUMMYFUNCTION("""COMPUTED_VALUE"""),1162.0)</f>
        <v>1162</v>
      </c>
      <c r="B1166" s="85"/>
      <c r="C1166" s="85"/>
      <c r="D1166" s="86">
        <f>IFERROR(__xludf.DUMMYFUNCTION("""COMPUTED_VALUE"""),46206.0)</f>
        <v>46206</v>
      </c>
      <c r="E1166" s="88"/>
      <c r="F1166" s="85"/>
      <c r="G1166" s="86">
        <f>IFERROR(__xludf.DUMMYFUNCTION("""COMPUTED_VALUE"""),46210.0)</f>
        <v>46210</v>
      </c>
      <c r="H1166" s="85"/>
      <c r="I1166" s="85"/>
      <c r="J1166" s="85"/>
      <c r="K1166" s="85"/>
      <c r="L1166" s="85">
        <f>IFERROR(__xludf.DUMMYFUNCTION("""COMPUTED_VALUE"""),4.0)</f>
        <v>4</v>
      </c>
      <c r="M1166" s="85"/>
      <c r="N1166" s="85"/>
      <c r="O1166" s="85"/>
      <c r="P1166" s="85" t="str">
        <f>IFERROR(__xludf.DUMMYFUNCTION("""COMPUTED_VALUE"""),"MUCSPA63466PSIND")</f>
        <v>MUCSPA63466PSIND</v>
      </c>
      <c r="Q1166" s="85" t="str">
        <f>IFERROR(__xludf.DUMMYFUNCTION("""COMPUTED_VALUE"""),"MUC ENAKDICARGO")</f>
        <v>MUC ENAKDICARGO</v>
      </c>
      <c r="R1166" s="85" t="str">
        <f>IFERROR(__xludf.DUMMYFUNCTION("""COMPUTED_VALUE"""),"MUC ENAKDICARGO")</f>
        <v>MUC ENAKDICARGO</v>
      </c>
      <c r="S1166" s="85" t="str">
        <f>IFERROR(__xludf.DUMMYFUNCTION("""COMPUTED_VALUE"""),"YUSUP HIDAYAT")</f>
        <v>YUSUP HIDAYAT</v>
      </c>
      <c r="T1166" s="85" t="str">
        <f>IFERROR(__xludf.DUMMYFUNCTION("""COMPUTED_VALUE"""),"BLOK BLANGBONG RT 007 RW 002")</f>
        <v>BLOK BLANGBONG RT 007 RW 002</v>
      </c>
      <c r="U1166" s="85" t="str">
        <f>IFERROR(__xludf.DUMMYFUNCTION("""COMPUTED_VALUE"""),"BLOK BLANGBONG RT 7 RW 2")</f>
        <v>BLOK BLANGBONG RT 7 RW 2</v>
      </c>
      <c r="V1166" s="85" t="str">
        <f>IFERROR(__xludf.DUMMYFUNCTION("""COMPUTED_VALUE"""),"RT 007 \ RW 002")</f>
        <v>RT 007 \ RW 002</v>
      </c>
      <c r="W1166" s="85" t="str">
        <f>IFERROR(__xludf.DUMMYFUNCTION("""COMPUTED_VALUE"""),"GOMBANG")</f>
        <v>GOMBANG</v>
      </c>
      <c r="X1166" s="85" t="str">
        <f>IFERROR(__xludf.DUMMYFUNCTION("""COMPUTED_VALUE"""),"PLUMBON")</f>
        <v>PLUMBON</v>
      </c>
      <c r="Y1166" s="85" t="str">
        <f>IFERROR(__xludf.DUMMYFUNCTION("""COMPUTED_VALUE"""),"KAB. CIREBON")</f>
        <v>KAB. CIREBON</v>
      </c>
      <c r="Z1166" s="85" t="str">
        <f>IFERROR(__xludf.DUMMYFUNCTION("""COMPUTED_VALUE"""),"JAWA BARAT")</f>
        <v>JAWA BARAT</v>
      </c>
      <c r="AA1166" s="85" t="str">
        <f>IFERROR(__xludf.DUMMYFUNCTION("""COMPUTED_VALUE"""),"45155")</f>
        <v>45155</v>
      </c>
      <c r="AB1166" s="85" t="str">
        <f>IFERROR(__xludf.DUMMYFUNCTION("""COMPUTED_VALUE"""),"3209182303960005")</f>
        <v>3209182303960005</v>
      </c>
      <c r="AC1166" s="85" t="str">
        <f>IFERROR(__xludf.DUMMYFUNCTION("""COMPUTED_VALUE"""),"70.086.914.2-426.000")</f>
        <v>70.086.914.2-426.000</v>
      </c>
      <c r="AD1166" s="85" t="str">
        <f>IFERROR(__xludf.DUMMYFUNCTION("""COMPUTED_VALUE"""),"PAK RIZKI BM PLUMBON")</f>
        <v>PAK RIZKI BM PLUMBON</v>
      </c>
      <c r="AE1166" s="85" t="str">
        <f>IFERROR(__xludf.DUMMYFUNCTION("""COMPUTED_VALUE"""),"PAK RIZKI BM PLUMBON")</f>
        <v>PAK RIZKI BM PLUMBON</v>
      </c>
      <c r="AF1166" s="85" t="str">
        <f>IFERROR(__xludf.DUMMYFUNCTION("""COMPUTED_VALUE"""),"089660459079")</f>
        <v>089660459079</v>
      </c>
      <c r="AG1166" s="85" t="str">
        <f>IFERROR(__xludf.DUMMYFUNCTION("""COMPUTED_VALUE"""),"89660459079")</f>
        <v>89660459079</v>
      </c>
      <c r="AH1166" s="85" t="str">
        <f>IFERROR(__xludf.DUMMYFUNCTION("""COMPUTED_VALUE"""),"eklesyashop@gmail.com")</f>
        <v>eklesyashop@gmail.com</v>
      </c>
      <c r="AI1166" s="85" t="str">
        <f>IFERROR(__xludf.DUMMYFUNCTION("""COMPUTED_VALUE"""),"45655S4")</f>
        <v>45655S4</v>
      </c>
      <c r="AJ1166" s="85" t="str">
        <f>IFERROR(__xludf.DUMMYFUNCTION("""COMPUTED_VALUE"""),"6a4c6345d21702dc3f048a8d")</f>
        <v>6a4c6345d21702dc3f048a8d</v>
      </c>
      <c r="AK1166" s="85" t="str">
        <f>IFERROR(__xludf.DUMMYFUNCTION("""COMPUTED_VALUE"""),"eklesyashop@gmail.com")</f>
        <v>eklesyashop@gmail.com</v>
      </c>
      <c r="AL1166" s="85" t="str">
        <f>IFERROR(__xludf.DUMMYFUNCTION("""COMPUTED_VALUE"""),"#Muc45655S4$")</f>
        <v>#Muc45655S4$</v>
      </c>
      <c r="AM1166" s="85" t="str">
        <f>IFERROR(__xludf.DUMMYFUNCTION("""COMPUTED_VALUE"""),"KANTOR REGIONAL III BANDUNG 40004")</f>
        <v>KANTOR REGIONAL III BANDUNG 40004</v>
      </c>
      <c r="AN1166" s="85" t="str">
        <f>IFERROR(__xludf.DUMMYFUNCTION("""COMPUTED_VALUE"""),"KCU CIREBON 45100")</f>
        <v>KCU CIREBON 45100</v>
      </c>
      <c r="AO1166" s="85" t="str">
        <f>IFERROR(__xludf.DUMMYFUNCTION("""COMPUTED_VALUE"""),"1805260062266")</f>
        <v>1805260062266</v>
      </c>
      <c r="AP1166" s="85" t="str">
        <f>IFERROR(__xludf.DUMMYFUNCTION("""COMPUTED_VALUE"""),"18052600622660002")</f>
        <v>18052600622660002</v>
      </c>
      <c r="AQ1166" s="93" t="str">
        <f>IFERROR(__xludf.DUMMYFUNCTION("""COMPUTED_VALUE"""),"1950066020")</f>
        <v>1950066020</v>
      </c>
      <c r="AR1166" s="85" t="str">
        <f>IFERROR(__xludf.DUMMYFUNCTION("""COMPUTED_VALUE"""),"BNI")</f>
        <v>BNI</v>
      </c>
      <c r="AS1166" s="85" t="str">
        <f>IFERROR(__xludf.DUMMYFUNCTION("""COMPUTED_VALUE"""),"YUSUP HIDAYAT")</f>
        <v>YUSUP HIDAYAT</v>
      </c>
      <c r="AT1166" s="85" t="str">
        <f>IFERROR(__xludf.DUMMYFUNCTION("""COMPUTED_VALUE"""),"-67,063,332")</f>
        <v>-67,063,332</v>
      </c>
      <c r="AU1166" s="85" t="str">
        <f>IFERROR(__xludf.DUMMYFUNCTION("""COMPUTED_VALUE"""),"1,084,801,867")</f>
        <v>1,084,801,867</v>
      </c>
      <c r="AV1166" s="85"/>
      <c r="AW1166" s="85"/>
      <c r="AX1166" s="85"/>
      <c r="AY1166" s="85"/>
      <c r="AZ1166" s="85"/>
      <c r="BA1166" s="85"/>
      <c r="BB1166" s="85"/>
      <c r="BC1166" s="85"/>
      <c r="BD1166" s="85"/>
      <c r="BE1166" s="85"/>
      <c r="BF1166" s="85"/>
      <c r="BG1166" s="85"/>
      <c r="BH1166" s="85"/>
      <c r="BI1166" s="85"/>
      <c r="BJ1166" s="85"/>
      <c r="BK1166" s="85"/>
      <c r="BL1166" s="85"/>
      <c r="BM1166" s="85"/>
      <c r="BN1166" s="85"/>
      <c r="BO1166" s="85"/>
      <c r="BP1166" s="85"/>
      <c r="BQ1166" s="85"/>
      <c r="BR1166" s="85"/>
      <c r="BS1166" s="85"/>
      <c r="BT1166" s="85"/>
      <c r="BU1166" s="85"/>
      <c r="BV1166" s="85"/>
      <c r="BW1166" s="85"/>
      <c r="BX1166" s="85"/>
      <c r="BY1166" s="85"/>
      <c r="BZ1166" s="85"/>
      <c r="CA1166" s="85"/>
      <c r="CB1166" s="85"/>
      <c r="CC1166" s="85"/>
      <c r="CD1166" s="85"/>
      <c r="CE1166" s="85"/>
      <c r="CF1166" s="85"/>
      <c r="CG1166" s="85"/>
      <c r="CH1166" s="85"/>
      <c r="CI1166" s="85"/>
      <c r="CJ1166" s="85"/>
      <c r="CK1166" s="2"/>
    </row>
    <row r="1167" ht="12.75" customHeight="1">
      <c r="A1167" s="80">
        <f>IFERROR(__xludf.DUMMYFUNCTION("""COMPUTED_VALUE"""),1163.0)</f>
        <v>1163</v>
      </c>
      <c r="B1167" s="80"/>
      <c r="C1167" s="80"/>
      <c r="D1167" s="81">
        <f>IFERROR(__xludf.DUMMYFUNCTION("""COMPUTED_VALUE"""),46216.0)</f>
        <v>46216</v>
      </c>
      <c r="E1167" s="82"/>
      <c r="F1167" s="80"/>
      <c r="G1167" s="81">
        <f>IFERROR(__xludf.DUMMYFUNCTION("""COMPUTED_VALUE"""),46232.0)</f>
        <v>46232</v>
      </c>
      <c r="H1167" s="80"/>
      <c r="I1167" s="80"/>
      <c r="J1167" s="80"/>
      <c r="K1167" s="80"/>
      <c r="L1167" s="80">
        <f>IFERROR(__xludf.DUMMYFUNCTION("""COMPUTED_VALUE"""),16.0)</f>
        <v>16</v>
      </c>
      <c r="M1167" s="80"/>
      <c r="N1167" s="80"/>
      <c r="O1167" s="80"/>
      <c r="P1167" s="80" t="str">
        <f>IFERROR(__xludf.DUMMYFUNCTION("""COMPUTED_VALUE"""),"MUCSPA63605PSIND")</f>
        <v>MUCSPA63605PSIND</v>
      </c>
      <c r="Q1167" s="80" t="str">
        <f>IFERROR(__xludf.DUMMYFUNCTION("""COMPUTED_VALUE"""),"MUC EXPEDISI CINUNUK")</f>
        <v>MUC EXPEDISI CINUNUK</v>
      </c>
      <c r="R1167" s="80" t="str">
        <f>IFERROR(__xludf.DUMMYFUNCTION("""COMPUTED_VALUE"""),"MUC EXPEDISI CINUNUK")</f>
        <v>MUC EXPEDISI CINUNUK</v>
      </c>
      <c r="S1167" s="80" t="str">
        <f>IFERROR(__xludf.DUMMYFUNCTION("""COMPUTED_VALUE"""),"RAYA ISMAYADI")</f>
        <v>RAYA ISMAYADI</v>
      </c>
      <c r="T1167" s="80" t="str">
        <f>IFERROR(__xludf.DUMMYFUNCTION("""COMPUTED_VALUE"""),"KOMP.PERMATA BIRU BLOK A NO. 48 RT01 RW 19, CINUNUK, CILEUNYI, KAB.BANDUNG")</f>
        <v>KOMP.PERMATA BIRU BLOK A NO. 48 RT01 RW 19, CINUNUK, CILEUNYI, KAB.BANDUNG</v>
      </c>
      <c r="U1167" s="80" t="str">
        <f>IFERROR(__xludf.DUMMYFUNCTION("""COMPUTED_VALUE"""),"KOMPLEK PERMATA BIRU BLOK X.60")</f>
        <v>KOMPLEK PERMATA BIRU BLOK X.60</v>
      </c>
      <c r="V1167" s="80" t="str">
        <f>IFERROR(__xludf.DUMMYFUNCTION("""COMPUTED_VALUE"""),"RT01 R \ RW 19,")</f>
        <v>RT01 R \ RW 19,</v>
      </c>
      <c r="W1167" s="80" t="str">
        <f>IFERROR(__xludf.DUMMYFUNCTION("""COMPUTED_VALUE"""),"CINUNUK")</f>
        <v>CINUNUK</v>
      </c>
      <c r="X1167" s="80" t="str">
        <f>IFERROR(__xludf.DUMMYFUNCTION("""COMPUTED_VALUE"""),"CILEUNYI")</f>
        <v>CILEUNYI</v>
      </c>
      <c r="Y1167" s="80" t="str">
        <f>IFERROR(__xludf.DUMMYFUNCTION("""COMPUTED_VALUE"""),"BANDUNG")</f>
        <v>BANDUNG</v>
      </c>
      <c r="Z1167" s="80" t="str">
        <f>IFERROR(__xludf.DUMMYFUNCTION("""COMPUTED_VALUE"""),"JAWA BARAT")</f>
        <v>JAWA BARAT</v>
      </c>
      <c r="AA1167" s="80" t="str">
        <f>IFERROR(__xludf.DUMMYFUNCTION("""COMPUTED_VALUE"""),"40624")</f>
        <v>40624</v>
      </c>
      <c r="AB1167" s="80" t="str">
        <f>IFERROR(__xludf.DUMMYFUNCTION("""COMPUTED_VALUE"""),"3204052404900026")</f>
        <v>3204052404900026</v>
      </c>
      <c r="AC1167" s="80" t="str">
        <f>IFERROR(__xludf.DUMMYFUNCTION("""COMPUTED_VALUE"""),"54.160.886.5-444.000")</f>
        <v>54.160.886.5-444.000</v>
      </c>
      <c r="AD1167" s="80" t="str">
        <f>IFERROR(__xludf.DUMMYFUNCTION("""COMPUTED_VALUE"""),"PAK THI KC UJB")</f>
        <v>PAK THI KC UJB</v>
      </c>
      <c r="AE1167" s="80" t="str">
        <f>IFERROR(__xludf.DUMMYFUNCTION("""COMPUTED_VALUE"""),"PAK THI KC UJB")</f>
        <v>PAK THI KC UJB</v>
      </c>
      <c r="AF1167" s="80" t="str">
        <f>IFERROR(__xludf.DUMMYFUNCTION("""COMPUTED_VALUE"""),"082220008644")</f>
        <v>082220008644</v>
      </c>
      <c r="AG1167" s="80" t="str">
        <f>IFERROR(__xludf.DUMMYFUNCTION("""COMPUTED_VALUE"""),"82220008644")</f>
        <v>82220008644</v>
      </c>
      <c r="AH1167" s="80" t="str">
        <f>IFERROR(__xludf.DUMMYFUNCTION("""COMPUTED_VALUE"""),"rayai_mail@yahoo.co.id")</f>
        <v>rayai_mail@yahoo.co.id</v>
      </c>
      <c r="AI1167" s="80" t="str">
        <f>IFERROR(__xludf.DUMMYFUNCTION("""COMPUTED_VALUE"""),"40393SD")</f>
        <v>40393SD</v>
      </c>
      <c r="AJ1167" s="80" t="str">
        <f>IFERROR(__xludf.DUMMYFUNCTION("""COMPUTED_VALUE"""),"6a69b33551c03dd588003c83")</f>
        <v>6a69b33551c03dd588003c83</v>
      </c>
      <c r="AK1167" s="80" t="str">
        <f>IFERROR(__xludf.DUMMYFUNCTION("""COMPUTED_VALUE"""),"rayai_mail@yahoo.co.id")</f>
        <v>rayai_mail@yahoo.co.id</v>
      </c>
      <c r="AL1167" s="80" t="str">
        <f>IFERROR(__xludf.DUMMYFUNCTION("""COMPUTED_VALUE"""),"#Muc40393SD$")</f>
        <v>#Muc40393SD$</v>
      </c>
      <c r="AM1167" s="80" t="str">
        <f>IFERROR(__xludf.DUMMYFUNCTION("""COMPUTED_VALUE"""),"KANTOR REGIONAL III BANDUNG 40004")</f>
        <v>KANTOR REGIONAL III BANDUNG 40004</v>
      </c>
      <c r="AN1167" s="80" t="str">
        <f>IFERROR(__xludf.DUMMYFUNCTION("""COMPUTED_VALUE"""),"KC UJUNGBERUNG 40100")</f>
        <v>KC UJUNGBERUNG 40100</v>
      </c>
      <c r="AO1167" s="80" t="str">
        <f>IFERROR(__xludf.DUMMYFUNCTION("""COMPUTED_VALUE"""),"2612220001101")</f>
        <v>2612220001101</v>
      </c>
      <c r="AP1167" s="80" t="str">
        <f>IFERROR(__xludf.DUMMYFUNCTION("""COMPUTED_VALUE"""),"26122200011010001")</f>
        <v>26122200011010001</v>
      </c>
      <c r="AQ1167" s="83" t="str">
        <f>IFERROR(__xludf.DUMMYFUNCTION("""COMPUTED_VALUE"""),"393442350")</f>
        <v>393442350</v>
      </c>
      <c r="AR1167" s="80" t="str">
        <f>IFERROR(__xludf.DUMMYFUNCTION("""COMPUTED_VALUE"""),"BNI")</f>
        <v>BNI</v>
      </c>
      <c r="AS1167" s="80" t="str">
        <f>IFERROR(__xludf.DUMMYFUNCTION("""COMPUTED_VALUE"""),"RAYA ISMAYADI")</f>
        <v>RAYA ISMAYADI</v>
      </c>
      <c r="AT1167" s="80" t="str">
        <f>IFERROR(__xludf.DUMMYFUNCTION("""COMPUTED_VALUE"""),"-69,429,239")</f>
        <v>-69,429,239</v>
      </c>
      <c r="AU1167" s="80" t="str">
        <f>IFERROR(__xludf.DUMMYFUNCTION("""COMPUTED_VALUE"""),"1,077,306,414")</f>
        <v>1,077,306,414</v>
      </c>
      <c r="AV1167" s="80"/>
      <c r="AW1167" s="80"/>
      <c r="AX1167" s="80"/>
      <c r="AY1167" s="80"/>
      <c r="AZ1167" s="80"/>
      <c r="BA1167" s="80"/>
      <c r="BB1167" s="80"/>
      <c r="BC1167" s="80"/>
      <c r="BD1167" s="80"/>
      <c r="BE1167" s="80"/>
      <c r="BF1167" s="80"/>
      <c r="BG1167" s="80"/>
      <c r="BH1167" s="80"/>
      <c r="BI1167" s="80"/>
      <c r="BJ1167" s="80"/>
      <c r="BK1167" s="80"/>
      <c r="BL1167" s="80"/>
      <c r="BM1167" s="80"/>
      <c r="BN1167" s="80"/>
      <c r="BO1167" s="80"/>
      <c r="BP1167" s="80"/>
      <c r="BQ1167" s="80"/>
      <c r="BR1167" s="80"/>
      <c r="BS1167" s="80"/>
      <c r="BT1167" s="80"/>
      <c r="BU1167" s="80"/>
      <c r="BV1167" s="80"/>
      <c r="BW1167" s="80"/>
      <c r="BX1167" s="80"/>
      <c r="BY1167" s="80"/>
      <c r="BZ1167" s="80"/>
      <c r="CA1167" s="80"/>
      <c r="CB1167" s="80"/>
      <c r="CC1167" s="80"/>
      <c r="CD1167" s="80"/>
      <c r="CE1167" s="80"/>
      <c r="CF1167" s="80"/>
      <c r="CG1167" s="80"/>
      <c r="CH1167" s="80"/>
      <c r="CI1167" s="80"/>
      <c r="CJ1167" s="80"/>
      <c r="CK1167" s="2"/>
    </row>
    <row r="1168" ht="12.75" customHeight="1">
      <c r="A1168" s="85">
        <f>IFERROR(__xludf.DUMMYFUNCTION("""COMPUTED_VALUE"""),1164.0)</f>
        <v>1164</v>
      </c>
      <c r="B1168" s="85"/>
      <c r="C1168" s="85"/>
      <c r="D1168" s="86">
        <f>IFERROR(__xludf.DUMMYFUNCTION("""COMPUTED_VALUE"""),46216.0)</f>
        <v>46216</v>
      </c>
      <c r="E1168" s="88"/>
      <c r="F1168" s="85"/>
      <c r="G1168" s="86">
        <f>IFERROR(__xludf.DUMMYFUNCTION("""COMPUTED_VALUE"""),46266.0)</f>
        <v>46266</v>
      </c>
      <c r="H1168" s="85"/>
      <c r="I1168" s="85"/>
      <c r="J1168" s="85"/>
      <c r="K1168" s="85"/>
      <c r="L1168" s="85">
        <f>IFERROR(__xludf.DUMMYFUNCTION("""COMPUTED_VALUE"""),50.0)</f>
        <v>50</v>
      </c>
      <c r="M1168" s="85"/>
      <c r="N1168" s="85"/>
      <c r="O1168" s="85"/>
      <c r="P1168" s="85" t="str">
        <f>IFERROR(__xludf.DUMMYFUNCTION("""COMPUTED_VALUE"""),"MUCSPA63599PSIND")</f>
        <v>MUCSPA63599PSIND</v>
      </c>
      <c r="Q1168" s="85" t="str">
        <f>IFERROR(__xludf.DUMMYFUNCTION("""COMPUTED_VALUE"""),"MUC PAPANMAS GARUDA")</f>
        <v>MUC PAPANMAS GARUDA</v>
      </c>
      <c r="R1168" s="85" t="str">
        <f>IFERROR(__xludf.DUMMYFUNCTION("""COMPUTED_VALUE"""),"MUC PAPANMAS GARUDA")</f>
        <v>MUC PAPANMAS GARUDA</v>
      </c>
      <c r="S1168" s="85" t="str">
        <f>IFERROR(__xludf.DUMMYFUNCTION("""COMPUTED_VALUE"""),"NURUSSAOMI")</f>
        <v>NURUSSAOMI</v>
      </c>
      <c r="T1168" s="85" t="str">
        <f>IFERROR(__xludf.DUMMYFUNCTION("""COMPUTED_VALUE"""),"KP PEDURENAN NO.69 RT 03 RT 05, DUREN JAYA, BEKASI TIMUR, BEKASI")</f>
        <v>KP PEDURENAN NO.69 RT 03 RT 05, DUREN JAYA, BEKASI TIMUR, BEKASI</v>
      </c>
      <c r="U1168" s="85" t="str">
        <f>IFERROR(__xludf.DUMMYFUNCTION("""COMPUTED_VALUE"""),"Jl. GARUDA VII BLOK D16 NO.24")</f>
        <v>Jl. GARUDA VII BLOK D16 NO.24</v>
      </c>
      <c r="V1168" s="85"/>
      <c r="W1168" s="85" t="str">
        <f>IFERROR(__xludf.DUMMYFUNCTION("""COMPUTED_VALUE"""),"MANGUNJAYA")</f>
        <v>MANGUNJAYA</v>
      </c>
      <c r="X1168" s="85" t="str">
        <f>IFERROR(__xludf.DUMMYFUNCTION("""COMPUTED_VALUE"""),"TAMBUN SELATAN")</f>
        <v>TAMBUN SELATAN</v>
      </c>
      <c r="Y1168" s="85" t="str">
        <f>IFERROR(__xludf.DUMMYFUNCTION("""COMPUTED_VALUE"""),"KAB.BEKASI")</f>
        <v>KAB.BEKASI</v>
      </c>
      <c r="Z1168" s="85" t="str">
        <f>IFERROR(__xludf.DUMMYFUNCTION("""COMPUTED_VALUE"""),"JAWA BARAT")</f>
        <v>JAWA BARAT</v>
      </c>
      <c r="AA1168" s="85" t="str">
        <f>IFERROR(__xludf.DUMMYFUNCTION("""COMPUTED_VALUE"""),"17510")</f>
        <v>17510</v>
      </c>
      <c r="AB1168" s="85" t="str">
        <f>IFERROR(__xludf.DUMMYFUNCTION("""COMPUTED_VALUE"""),"3275010305890015")</f>
        <v>3275010305890015</v>
      </c>
      <c r="AC1168" s="85" t="str">
        <f>IFERROR(__xludf.DUMMYFUNCTION("""COMPUTED_VALUE"""),"89.533.445.6-407.000")</f>
        <v>89.533.445.6-407.000</v>
      </c>
      <c r="AD1168" s="85" t="str">
        <f>IFERROR(__xludf.DUMMYFUNCTION("""COMPUTED_VALUE"""),"PAK ASEP UMKM")</f>
        <v>PAK ASEP UMKM</v>
      </c>
      <c r="AE1168" s="85" t="str">
        <f>IFERROR(__xludf.DUMMYFUNCTION("""COMPUTED_VALUE"""),"PAK ASEP UMKM")</f>
        <v>PAK ASEP UMKM</v>
      </c>
      <c r="AF1168" s="85" t="str">
        <f>IFERROR(__xludf.DUMMYFUNCTION("""COMPUTED_VALUE"""),"08567212851")</f>
        <v>08567212851</v>
      </c>
      <c r="AG1168" s="85" t="str">
        <f>IFERROR(__xludf.DUMMYFUNCTION("""COMPUTED_VALUE"""),"8567212851")</f>
        <v>8567212851</v>
      </c>
      <c r="AH1168" s="85" t="str">
        <f>IFERROR(__xludf.DUMMYFUNCTION("""COMPUTED_VALUE"""),"nurussaomi@gmail.com")</f>
        <v>nurussaomi@gmail.com</v>
      </c>
      <c r="AI1168" s="85" t="str">
        <f>IFERROR(__xludf.DUMMYFUNCTION("""COMPUTED_VALUE"""),"17517S8")</f>
        <v>17517S8</v>
      </c>
      <c r="AJ1168" s="85" t="str">
        <f>IFERROR(__xludf.DUMMYFUNCTION("""COMPUTED_VALUE"""),"6a93f65a9b1093c4de09241a")</f>
        <v>6a93f65a9b1093c4de09241a</v>
      </c>
      <c r="AK1168" s="85" t="str">
        <f>IFERROR(__xludf.DUMMYFUNCTION("""COMPUTED_VALUE"""),"nurussaomi@gmail.com")</f>
        <v>nurussaomi@gmail.com</v>
      </c>
      <c r="AL1168" s="85" t="str">
        <f>IFERROR(__xludf.DUMMYFUNCTION("""COMPUTED_VALUE"""),"#Muc17517S8$")</f>
        <v>#Muc17517S8$</v>
      </c>
      <c r="AM1168" s="85" t="str">
        <f>IFERROR(__xludf.DUMMYFUNCTION("""COMPUTED_VALUE"""),"KANTOR REGIONAL II JAKARTA 10004")</f>
        <v>KANTOR REGIONAL II JAKARTA 10004</v>
      </c>
      <c r="AN1168" s="85" t="str">
        <f>IFERROR(__xludf.DUMMYFUNCTION("""COMPUTED_VALUE"""),"KC CIKARANG 17500")</f>
        <v>KC CIKARANG 17500</v>
      </c>
      <c r="AO1168" s="85" t="str">
        <f>IFERROR(__xludf.DUMMYFUNCTION("""COMPUTED_VALUE"""),"0407260020244")</f>
        <v>0407260020244</v>
      </c>
      <c r="AP1168" s="85" t="str">
        <f>IFERROR(__xludf.DUMMYFUNCTION("""COMPUTED_VALUE"""),"0407260020244")</f>
        <v>0407260020244</v>
      </c>
      <c r="AQ1168" s="93" t="str">
        <f>IFERROR(__xludf.DUMMYFUNCTION("""COMPUTED_VALUE"""),"8850678660")</f>
        <v>8850678660</v>
      </c>
      <c r="AR1168" s="85" t="str">
        <f>IFERROR(__xludf.DUMMYFUNCTION("""COMPUTED_VALUE"""),"BCA")</f>
        <v>BCA</v>
      </c>
      <c r="AS1168" s="85" t="str">
        <f>IFERROR(__xludf.DUMMYFUNCTION("""COMPUTED_VALUE"""),"NURUSSAOMI")</f>
        <v>NURUSSAOMI</v>
      </c>
      <c r="AT1168" s="85" t="str">
        <f>IFERROR(__xludf.DUMMYFUNCTION("""COMPUTED_VALUE"""),"-62,466,266")</f>
        <v>-62,466,266</v>
      </c>
      <c r="AU1168" s="85" t="str">
        <f>IFERROR(__xludf.DUMMYFUNCTION("""COMPUTED_VALUE"""),"1,070,542,317")</f>
        <v>1,070,542,317</v>
      </c>
      <c r="AV1168" s="85"/>
      <c r="AW1168" s="85"/>
      <c r="AX1168" s="85"/>
      <c r="AY1168" s="85"/>
      <c r="AZ1168" s="85"/>
      <c r="BA1168" s="85"/>
      <c r="BB1168" s="85"/>
      <c r="BC1168" s="85"/>
      <c r="BD1168" s="85"/>
      <c r="BE1168" s="85"/>
      <c r="BF1168" s="85"/>
      <c r="BG1168" s="85"/>
      <c r="BH1168" s="85"/>
      <c r="BI1168" s="85"/>
      <c r="BJ1168" s="85"/>
      <c r="BK1168" s="85"/>
      <c r="BL1168" s="85"/>
      <c r="BM1168" s="85"/>
      <c r="BN1168" s="85"/>
      <c r="BO1168" s="85"/>
      <c r="BP1168" s="85"/>
      <c r="BQ1168" s="85"/>
      <c r="BR1168" s="85"/>
      <c r="BS1168" s="85"/>
      <c r="BT1168" s="85"/>
      <c r="BU1168" s="85"/>
      <c r="BV1168" s="85"/>
      <c r="BW1168" s="85"/>
      <c r="BX1168" s="85"/>
      <c r="BY1168" s="85"/>
      <c r="BZ1168" s="85"/>
      <c r="CA1168" s="85"/>
      <c r="CB1168" s="85"/>
      <c r="CC1168" s="85"/>
      <c r="CD1168" s="85"/>
      <c r="CE1168" s="85"/>
      <c r="CF1168" s="85"/>
      <c r="CG1168" s="85"/>
      <c r="CH1168" s="85"/>
      <c r="CI1168" s="85"/>
      <c r="CJ1168" s="85"/>
      <c r="CK1168" s="2"/>
    </row>
    <row r="1169" ht="12.75" customHeight="1">
      <c r="A1169" s="80">
        <f>IFERROR(__xludf.DUMMYFUNCTION("""COMPUTED_VALUE"""),1165.0)</f>
        <v>1165</v>
      </c>
      <c r="B1169" s="80"/>
      <c r="C1169" s="80"/>
      <c r="D1169" s="81">
        <f>IFERROR(__xludf.DUMMYFUNCTION("""COMPUTED_VALUE"""),46216.0)</f>
        <v>46216</v>
      </c>
      <c r="E1169" s="82"/>
      <c r="F1169" s="80"/>
      <c r="G1169" s="81">
        <f>IFERROR(__xludf.DUMMYFUNCTION("""COMPUTED_VALUE"""),46228.0)</f>
        <v>46228</v>
      </c>
      <c r="H1169" s="80"/>
      <c r="I1169" s="80"/>
      <c r="J1169" s="80"/>
      <c r="K1169" s="80"/>
      <c r="L1169" s="80">
        <f>IFERROR(__xludf.DUMMYFUNCTION("""COMPUTED_VALUE"""),12.0)</f>
        <v>12</v>
      </c>
      <c r="M1169" s="80"/>
      <c r="N1169" s="80"/>
      <c r="O1169" s="80"/>
      <c r="P1169" s="80" t="str">
        <f>IFERROR(__xludf.DUMMYFUNCTION("""COMPUTED_VALUE"""),"MUCSPA63598PSIND")</f>
        <v>MUCSPA63598PSIND</v>
      </c>
      <c r="Q1169" s="80" t="str">
        <f>IFERROR(__xludf.DUMMYFUNCTION("""COMPUTED_VALUE"""),"DIAH MARTINI SUSYANTI")</f>
        <v>DIAH MARTINI SUSYANTI</v>
      </c>
      <c r="R1169" s="80" t="str">
        <f>IFERROR(__xludf.DUMMYFUNCTION("""COMPUTED_VALUE"""),"MUC SYARAH FAMY")</f>
        <v>MUC SYARAH FAMY</v>
      </c>
      <c r="S1169" s="80" t="str">
        <f>IFERROR(__xludf.DUMMYFUNCTION("""COMPUTED_VALUE"""),"RA RAHMANIAH")</f>
        <v>RA RAHMANIAH</v>
      </c>
      <c r="T1169" s="80" t="str">
        <f>IFERROR(__xludf.DUMMYFUNCTION("""COMPUTED_VALUE"""),"JL. S.M.MANSYUR LR.R.SATAR NO. 819 RT 17 RW 08, 32 ILIR, ILIR BARAT II, PALEMBANG")</f>
        <v>JL. S.M.MANSYUR LR.R.SATAR NO. 819 RT 17 RW 08, 32 ILIR, ILIR BARAT II, PALEMBANG</v>
      </c>
      <c r="U1169" s="80" t="str">
        <f>IFERROR(__xludf.DUMMYFUNCTION("""COMPUTED_VALUE"""),"JL. Raden Satar NO.819 RT 17 RW 08")</f>
        <v>JL. Raden Satar NO.819 RT 17 RW 08</v>
      </c>
      <c r="V1169" s="80" t="str">
        <f>IFERROR(__xludf.DUMMYFUNCTION("""COMPUTED_VALUE"""),"RT 17  \ RW 08,")</f>
        <v>RT 17  \ RW 08,</v>
      </c>
      <c r="W1169" s="80" t="str">
        <f>IFERROR(__xludf.DUMMYFUNCTION("""COMPUTED_VALUE"""),"32 ILIR")</f>
        <v>32 ILIR</v>
      </c>
      <c r="X1169" s="80" t="str">
        <f>IFERROR(__xludf.DUMMYFUNCTION("""COMPUTED_VALUE"""),"ILIR BARAT II")</f>
        <v>ILIR BARAT II</v>
      </c>
      <c r="Y1169" s="80" t="str">
        <f>IFERROR(__xludf.DUMMYFUNCTION("""COMPUTED_VALUE"""),"PALEMBANG")</f>
        <v>PALEMBANG</v>
      </c>
      <c r="Z1169" s="80" t="str">
        <f>IFERROR(__xludf.DUMMYFUNCTION("""COMPUTED_VALUE"""),"Sumatera Selatan")</f>
        <v>Sumatera Selatan</v>
      </c>
      <c r="AA1169" s="80" t="str">
        <f>IFERROR(__xludf.DUMMYFUNCTION("""COMPUTED_VALUE"""),"30145")</f>
        <v>30145</v>
      </c>
      <c r="AB1169" s="80" t="str">
        <f>IFERROR(__xludf.DUMMYFUNCTION("""COMPUTED_VALUE"""),"1671015807690006")</f>
        <v>1671015807690006</v>
      </c>
      <c r="AC1169" s="80" t="str">
        <f>IFERROR(__xludf.DUMMYFUNCTION("""COMPUTED_VALUE"""),"16.987.934.3-307.000")</f>
        <v>16.987.934.3-307.000</v>
      </c>
      <c r="AD1169" s="80" t="str">
        <f>IFERROR(__xludf.DUMMYFUNCTION("""COMPUTED_VALUE"""),"PAK ASEP UMKM")</f>
        <v>PAK ASEP UMKM</v>
      </c>
      <c r="AE1169" s="80" t="str">
        <f>IFERROR(__xludf.DUMMYFUNCTION("""COMPUTED_VALUE"""),"PAK ASEP UMKM")</f>
        <v>PAK ASEP UMKM</v>
      </c>
      <c r="AF1169" s="80" t="str">
        <f>IFERROR(__xludf.DUMMYFUNCTION("""COMPUTED_VALUE"""),"081373839955")</f>
        <v>081373839955</v>
      </c>
      <c r="AG1169" s="80" t="str">
        <f>IFERROR(__xludf.DUMMYFUNCTION("""COMPUTED_VALUE"""),"81373839955")</f>
        <v>81373839955</v>
      </c>
      <c r="AH1169" s="80" t="str">
        <f>IFERROR(__xludf.DUMMYFUNCTION("""COMPUTED_VALUE"""),"adekrachman69@gmail.com")</f>
        <v>adekrachman69@gmail.com</v>
      </c>
      <c r="AI1169" s="80" t="str">
        <f>IFERROR(__xludf.DUMMYFUNCTION("""COMPUTED_VALUE"""),"30145S1")</f>
        <v>30145S1</v>
      </c>
      <c r="AJ1169" s="80" t="str">
        <f>IFERROR(__xludf.DUMMYFUNCTION("""COMPUTED_VALUE"""),"6a5dca5e948a905c0f00842f")</f>
        <v>6a5dca5e948a905c0f00842f</v>
      </c>
      <c r="AK1169" s="80" t="str">
        <f>IFERROR(__xludf.DUMMYFUNCTION("""COMPUTED_VALUE"""),"adekrachman69@gmail.com")</f>
        <v>adekrachman69@gmail.com</v>
      </c>
      <c r="AL1169" s="80" t="str">
        <f>IFERROR(__xludf.DUMMYFUNCTION("""COMPUTED_VALUE"""),"#Muc30145S1$")</f>
        <v>#Muc30145S1$</v>
      </c>
      <c r="AM1169" s="80" t="str">
        <f>IFERROR(__xludf.DUMMYFUNCTION("""COMPUTED_VALUE"""),"KANTOR REGIONAL I MEDAN 20004")</f>
        <v>KANTOR REGIONAL I MEDAN 20004</v>
      </c>
      <c r="AN1169" s="80" t="str">
        <f>IFERROR(__xludf.DUMMYFUNCTION("""COMPUTED_VALUE"""),"KCU PALEMBANG 30000")</f>
        <v>KCU PALEMBANG 30000</v>
      </c>
      <c r="AO1169" s="80" t="str">
        <f>IFERROR(__xludf.DUMMYFUNCTION("""COMPUTED_VALUE"""),"1007260081171")</f>
        <v>1007260081171</v>
      </c>
      <c r="AP1169" s="80" t="str">
        <f>IFERROR(__xludf.DUMMYFUNCTION("""COMPUTED_VALUE"""),"1007260081171")</f>
        <v>1007260081171</v>
      </c>
      <c r="AQ1169" s="83" t="str">
        <f>IFERROR(__xludf.DUMMYFUNCTION("""COMPUTED_VALUE"""),"1120021109272")</f>
        <v>1120021109272</v>
      </c>
      <c r="AR1169" s="80" t="str">
        <f>IFERROR(__xludf.DUMMYFUNCTION("""COMPUTED_VALUE"""),"MANDIRI")</f>
        <v>MANDIRI</v>
      </c>
      <c r="AS1169" s="80" t="str">
        <f>IFERROR(__xludf.DUMMYFUNCTION("""COMPUTED_VALUE"""),"RAHMANIAH")</f>
        <v>RAHMANIAH</v>
      </c>
      <c r="AT1169" s="80" t="str">
        <f>IFERROR(__xludf.DUMMYFUNCTION("""COMPUTED_VALUE"""),"-30,005,696")</f>
        <v>-30,005,696</v>
      </c>
      <c r="AU1169" s="80" t="str">
        <f>IFERROR(__xludf.DUMMYFUNCTION("""COMPUTED_VALUE"""),"1,047,375,318")</f>
        <v>1,047,375,318</v>
      </c>
      <c r="AV1169" s="80"/>
      <c r="AW1169" s="80"/>
      <c r="AX1169" s="80"/>
      <c r="AY1169" s="80"/>
      <c r="AZ1169" s="80"/>
      <c r="BA1169" s="80"/>
      <c r="BB1169" s="80"/>
      <c r="BC1169" s="80"/>
      <c r="BD1169" s="80"/>
      <c r="BE1169" s="80"/>
      <c r="BF1169" s="80"/>
      <c r="BG1169" s="80"/>
      <c r="BH1169" s="80"/>
      <c r="BI1169" s="80"/>
      <c r="BJ1169" s="80"/>
      <c r="BK1169" s="80"/>
      <c r="BL1169" s="80"/>
      <c r="BM1169" s="80"/>
      <c r="BN1169" s="80"/>
      <c r="BO1169" s="80"/>
      <c r="BP1169" s="80"/>
      <c r="BQ1169" s="80"/>
      <c r="BR1169" s="80"/>
      <c r="BS1169" s="80"/>
      <c r="BT1169" s="80"/>
      <c r="BU1169" s="80"/>
      <c r="BV1169" s="80"/>
      <c r="BW1169" s="80"/>
      <c r="BX1169" s="80"/>
      <c r="BY1169" s="80"/>
      <c r="BZ1169" s="80"/>
      <c r="CA1169" s="80"/>
      <c r="CB1169" s="80"/>
      <c r="CC1169" s="80"/>
      <c r="CD1169" s="80"/>
      <c r="CE1169" s="80"/>
      <c r="CF1169" s="80"/>
      <c r="CG1169" s="80"/>
      <c r="CH1169" s="80"/>
      <c r="CI1169" s="80"/>
      <c r="CJ1169" s="80"/>
      <c r="CK1169" s="2"/>
    </row>
    <row r="1170" ht="12.75" customHeight="1">
      <c r="A1170" s="85">
        <f>IFERROR(__xludf.DUMMYFUNCTION("""COMPUTED_VALUE"""),1166.0)</f>
        <v>1166</v>
      </c>
      <c r="B1170" s="85"/>
      <c r="C1170" s="85"/>
      <c r="D1170" s="86">
        <f>IFERROR(__xludf.DUMMYFUNCTION("""COMPUTED_VALUE"""),46216.0)</f>
        <v>46216</v>
      </c>
      <c r="E1170" s="88"/>
      <c r="F1170" s="85"/>
      <c r="G1170" s="86">
        <f>IFERROR(__xludf.DUMMYFUNCTION("""COMPUTED_VALUE"""),46238.0)</f>
        <v>46238</v>
      </c>
      <c r="H1170" s="85"/>
      <c r="I1170" s="85"/>
      <c r="J1170" s="85"/>
      <c r="K1170" s="85"/>
      <c r="L1170" s="85">
        <f>IFERROR(__xludf.DUMMYFUNCTION("""COMPUTED_VALUE"""),22.0)</f>
        <v>22</v>
      </c>
      <c r="M1170" s="85"/>
      <c r="N1170" s="85"/>
      <c r="O1170" s="85"/>
      <c r="P1170" s="85" t="str">
        <f>IFERROR(__xludf.DUMMYFUNCTION("""COMPUTED_VALUE"""),"MUCSPA63604PSIND")</f>
        <v>MUCSPA63604PSIND</v>
      </c>
      <c r="Q1170" s="85" t="str">
        <f>IFERROR(__xludf.DUMMYFUNCTION("""COMPUTED_VALUE"""),"MUC BERKAH FC PETIR")</f>
        <v>MUC BERKAH FC PETIR</v>
      </c>
      <c r="R1170" s="85" t="str">
        <f>IFERROR(__xludf.DUMMYFUNCTION("""COMPUTED_VALUE"""),"MUC BERKAH FC PETIR")</f>
        <v>MUC BERKAH FC PETIR</v>
      </c>
      <c r="S1170" s="85" t="str">
        <f>IFERROR(__xludf.DUMMYFUNCTION("""COMPUTED_VALUE"""),"NUZULUL HASANAH, SPD")</f>
        <v>NUZULUL HASANAH, SPD</v>
      </c>
      <c r="T1170" s="85" t="str">
        <f>IFERROR(__xludf.DUMMYFUNCTION("""COMPUTED_VALUE"""),"KP. TUNJUNG PERTELON RT 1 RW 1 KUBANG JAYA, PETIR, SERANG")</f>
        <v>KP. TUNJUNG PERTELON RT 1 RW 1 KUBANG JAYA, PETIR, SERANG</v>
      </c>
      <c r="U1170" s="85" t="str">
        <f>IFERROR(__xludf.DUMMYFUNCTION("""COMPUTED_VALUE"""),"KADUGENEP")</f>
        <v>KADUGENEP</v>
      </c>
      <c r="V1170" s="85" t="str">
        <f>IFERROR(__xludf.DUMMYFUNCTION("""COMPUTED_VALUE"""),"RTELON \ RW 1 K")</f>
        <v>RTELON \ RW 1 K</v>
      </c>
      <c r="W1170" s="85" t="str">
        <f>IFERROR(__xludf.DUMMYFUNCTION("""COMPUTED_VALUE"""),"KADUGENEP")</f>
        <v>KADUGENEP</v>
      </c>
      <c r="X1170" s="85" t="str">
        <f>IFERROR(__xludf.DUMMYFUNCTION("""COMPUTED_VALUE"""),"PETIR")</f>
        <v>PETIR</v>
      </c>
      <c r="Y1170" s="85" t="str">
        <f>IFERROR(__xludf.DUMMYFUNCTION("""COMPUTED_VALUE"""),"KAB. SRANG")</f>
        <v>KAB. SRANG</v>
      </c>
      <c r="Z1170" s="85" t="str">
        <f>IFERROR(__xludf.DUMMYFUNCTION("""COMPUTED_VALUE"""),"BANTEN")</f>
        <v>BANTEN</v>
      </c>
      <c r="AA1170" s="85" t="str">
        <f>IFERROR(__xludf.DUMMYFUNCTION("""COMPUTED_VALUE"""),"42172")</f>
        <v>42172</v>
      </c>
      <c r="AB1170" s="85" t="str">
        <f>IFERROR(__xludf.DUMMYFUNCTION("""COMPUTED_VALUE"""),"3604195506880009")</f>
        <v>3604195506880009</v>
      </c>
      <c r="AC1170" s="85" t="str">
        <f>IFERROR(__xludf.DUMMYFUNCTION("""COMPUTED_VALUE"""),"71.260.861.1-401.000")</f>
        <v>71.260.861.1-401.000</v>
      </c>
      <c r="AD1170" s="85" t="str">
        <f>IFERROR(__xludf.DUMMYFUNCTION("""COMPUTED_VALUE"""),"BU NELA KCU SERANG")</f>
        <v>BU NELA KCU SERANG</v>
      </c>
      <c r="AE1170" s="85" t="str">
        <f>IFERROR(__xludf.DUMMYFUNCTION("""COMPUTED_VALUE"""),"BU NELA KCU SERANG")</f>
        <v>BU NELA KCU SERANG</v>
      </c>
      <c r="AF1170" s="85" t="str">
        <f>IFERROR(__xludf.DUMMYFUNCTION("""COMPUTED_VALUE"""),"081911185067")</f>
        <v>081911185067</v>
      </c>
      <c r="AG1170" s="85" t="str">
        <f>IFERROR(__xludf.DUMMYFUNCTION("""COMPUTED_VALUE"""),"81911185067")</f>
        <v>81911185067</v>
      </c>
      <c r="AH1170" s="85" t="str">
        <f>IFERROR(__xludf.DUMMYFUNCTION("""COMPUTED_VALUE"""),"nuzululhasanah515@gmail.com")</f>
        <v>nuzululhasanah515@gmail.com</v>
      </c>
      <c r="AI1170" s="85"/>
      <c r="AJ1170" s="85"/>
      <c r="AK1170" s="85"/>
      <c r="AL1170" s="85"/>
      <c r="AM1170" s="85" t="str">
        <f>IFERROR(__xludf.DUMMYFUNCTION("""COMPUTED_VALUE"""),"KANTOR REGIONAL II JAKARTA 10004")</f>
        <v>KANTOR REGIONAL II JAKARTA 10004</v>
      </c>
      <c r="AN1170" s="85" t="str">
        <f>IFERROR(__xludf.DUMMYFUNCTION("""COMPUTED_VALUE"""),"KCU SERANG 42100")</f>
        <v>KCU SERANG 42100</v>
      </c>
      <c r="AO1170" s="85" t="str">
        <f>IFERROR(__xludf.DUMMYFUNCTION("""COMPUTED_VALUE"""),"1007260113694")</f>
        <v>1007260113694</v>
      </c>
      <c r="AP1170" s="85" t="str">
        <f>IFERROR(__xludf.DUMMYFUNCTION("""COMPUTED_VALUE"""),"1007260113694")</f>
        <v>1007260113694</v>
      </c>
      <c r="AQ1170" s="93" t="str">
        <f>IFERROR(__xludf.DUMMYFUNCTION("""COMPUTED_VALUE"""),"2450314326")</f>
        <v>2450314326</v>
      </c>
      <c r="AR1170" s="85" t="str">
        <f>IFERROR(__xludf.DUMMYFUNCTION("""COMPUTED_VALUE"""),"BCA")</f>
        <v>BCA</v>
      </c>
      <c r="AS1170" s="85" t="str">
        <f>IFERROR(__xludf.DUMMYFUNCTION("""COMPUTED_VALUE"""),"BAHRUDIN, S.SOS")</f>
        <v>BAHRUDIN, S.SOS</v>
      </c>
      <c r="AT1170" s="85" t="str">
        <f>IFERROR(__xludf.DUMMYFUNCTION("""COMPUTED_VALUE"""),"-6.2667926,106.2122866")</f>
        <v>-6.2667926,106.2122866</v>
      </c>
      <c r="AU1170" s="85" t="str">
        <f>IFERROR(__xludf.DUMMYFUNCTION("""COMPUTED_VALUE"""),"-6.2667926,106.2122866")</f>
        <v>-6.2667926,106.2122866</v>
      </c>
      <c r="AV1170" s="85"/>
      <c r="AW1170" s="85"/>
      <c r="AX1170" s="85"/>
      <c r="AY1170" s="85"/>
      <c r="AZ1170" s="85"/>
      <c r="BA1170" s="85"/>
      <c r="BB1170" s="85"/>
      <c r="BC1170" s="85"/>
      <c r="BD1170" s="85"/>
      <c r="BE1170" s="85"/>
      <c r="BF1170" s="85"/>
      <c r="BG1170" s="85"/>
      <c r="BH1170" s="85"/>
      <c r="BI1170" s="85"/>
      <c r="BJ1170" s="85"/>
      <c r="BK1170" s="85"/>
      <c r="BL1170" s="85"/>
      <c r="BM1170" s="85"/>
      <c r="BN1170" s="85"/>
      <c r="BO1170" s="85"/>
      <c r="BP1170" s="85"/>
      <c r="BQ1170" s="85"/>
      <c r="BR1170" s="85"/>
      <c r="BS1170" s="85"/>
      <c r="BT1170" s="85"/>
      <c r="BU1170" s="85"/>
      <c r="BV1170" s="85"/>
      <c r="BW1170" s="85"/>
      <c r="BX1170" s="85"/>
      <c r="BY1170" s="85"/>
      <c r="BZ1170" s="85"/>
      <c r="CA1170" s="85"/>
      <c r="CB1170" s="85"/>
      <c r="CC1170" s="85"/>
      <c r="CD1170" s="85"/>
      <c r="CE1170" s="85"/>
      <c r="CF1170" s="85"/>
      <c r="CG1170" s="85"/>
      <c r="CH1170" s="85"/>
      <c r="CI1170" s="85"/>
      <c r="CJ1170" s="85"/>
      <c r="CK1170" s="2"/>
    </row>
    <row r="1171" ht="12.75" customHeight="1">
      <c r="A1171" s="80">
        <f>IFERROR(__xludf.DUMMYFUNCTION("""COMPUTED_VALUE"""),1167.0)</f>
        <v>1167</v>
      </c>
      <c r="B1171" s="80"/>
      <c r="C1171" s="80"/>
      <c r="D1171" s="81">
        <f>IFERROR(__xludf.DUMMYFUNCTION("""COMPUTED_VALUE"""),46216.0)</f>
        <v>46216</v>
      </c>
      <c r="E1171" s="82"/>
      <c r="F1171" s="80"/>
      <c r="G1171" s="81">
        <f>IFERROR(__xludf.DUMMYFUNCTION("""COMPUTED_VALUE"""),46252.0)</f>
        <v>46252</v>
      </c>
      <c r="H1171" s="80"/>
      <c r="I1171" s="80"/>
      <c r="J1171" s="80"/>
      <c r="K1171" s="80"/>
      <c r="L1171" s="80">
        <f>IFERROR(__xludf.DUMMYFUNCTION("""COMPUTED_VALUE"""),36.0)</f>
        <v>36</v>
      </c>
      <c r="M1171" s="80"/>
      <c r="N1171" s="80"/>
      <c r="O1171" s="80"/>
      <c r="P1171" s="80" t="str">
        <f>IFERROR(__xludf.DUMMYFUNCTION("""COMPUTED_VALUE"""),"MUCSPA63603PSIND")</f>
        <v>MUCSPA63603PSIND</v>
      </c>
      <c r="Q1171" s="80" t="str">
        <f>IFERROR(__xludf.DUMMYFUNCTION("""COMPUTED_VALUE"""),"MUC NARISWARI")</f>
        <v>MUC NARISWARI</v>
      </c>
      <c r="R1171" s="80" t="str">
        <f>IFERROR(__xludf.DUMMYFUNCTION("""COMPUTED_VALUE"""),"MUC NARISWARI")</f>
        <v>MUC NARISWARI</v>
      </c>
      <c r="S1171" s="80" t="str">
        <f>IFERROR(__xludf.DUMMYFUNCTION("""COMPUTED_VALUE"""),"FITRI ANTINI")</f>
        <v>FITRI ANTINI</v>
      </c>
      <c r="T1171" s="80" t="str">
        <f>IFERROR(__xludf.DUMMYFUNCTION("""COMPUTED_VALUE"""),"PERUM BUMI INDAH TAHAP 4 JL JL DAHLIA 6 BLOK JH/15 RT 06 RW 06, SUKAMANTRI, PASAR KEMIS, KAB.TANGERANG")</f>
        <v>PERUM BUMI INDAH TAHAP 4 JL JL DAHLIA 6 BLOK JH/15 RT 06 RW 06, SUKAMANTRI, PASAR KEMIS, KAB.TANGERANG</v>
      </c>
      <c r="U1171" s="80" t="str">
        <f>IFERROR(__xludf.DUMMYFUNCTION("""COMPUTED_VALUE"""),"JL. Raya Ps.Kemis Samping Klinik Bidan Aan Indriyani")</f>
        <v>JL. Raya Ps.Kemis Samping Klinik Bidan Aan Indriyani</v>
      </c>
      <c r="V1171" s="80" t="str">
        <f>IFERROR(__xludf.DUMMYFUNCTION("""COMPUTED_VALUE"""),"RT 06  \ RW 06,")</f>
        <v>RT 06  \ RW 06,</v>
      </c>
      <c r="W1171" s="80" t="str">
        <f>IFERROR(__xludf.DUMMYFUNCTION("""COMPUTED_VALUE"""),"PASIR JAYA")</f>
        <v>PASIR JAYA</v>
      </c>
      <c r="X1171" s="80" t="str">
        <f>IFERROR(__xludf.DUMMYFUNCTION("""COMPUTED_VALUE"""),"CIKUPA")</f>
        <v>CIKUPA</v>
      </c>
      <c r="Y1171" s="80" t="str">
        <f>IFERROR(__xludf.DUMMYFUNCTION("""COMPUTED_VALUE"""),"KAB.TANGERANG")</f>
        <v>KAB.TANGERANG</v>
      </c>
      <c r="Z1171" s="80" t="str">
        <f>IFERROR(__xludf.DUMMYFUNCTION("""COMPUTED_VALUE"""),"BANTEN")</f>
        <v>BANTEN</v>
      </c>
      <c r="AA1171" s="80" t="str">
        <f>IFERROR(__xludf.DUMMYFUNCTION("""COMPUTED_VALUE"""),"15710")</f>
        <v>15710</v>
      </c>
      <c r="AB1171" s="80" t="str">
        <f>IFERROR(__xludf.DUMMYFUNCTION("""COMPUTED_VALUE"""),"3671126306780001")</f>
        <v>3671126306780001</v>
      </c>
      <c r="AC1171" s="80" t="str">
        <f>IFERROR(__xludf.DUMMYFUNCTION("""COMPUTED_VALUE"""),"47.651.195.1-402.000")</f>
        <v>47.651.195.1-402.000</v>
      </c>
      <c r="AD1171" s="80" t="str">
        <f>IFERROR(__xludf.DUMMYFUNCTION("""COMPUTED_VALUE"""),"CUM - LP - ANGGI")</f>
        <v>CUM - LP - ANGGI</v>
      </c>
      <c r="AE1171" s="80" t="str">
        <f>IFERROR(__xludf.DUMMYFUNCTION("""COMPUTED_VALUE"""),"CUM - LP - ANGGI")</f>
        <v>CUM - LP - ANGGI</v>
      </c>
      <c r="AF1171" s="80" t="str">
        <f>IFERROR(__xludf.DUMMYFUNCTION("""COMPUTED_VALUE"""),"085213907589")</f>
        <v>085213907589</v>
      </c>
      <c r="AG1171" s="80" t="str">
        <f>IFERROR(__xludf.DUMMYFUNCTION("""COMPUTED_VALUE"""),"85213907589")</f>
        <v>85213907589</v>
      </c>
      <c r="AH1171" s="80" t="str">
        <f>IFERROR(__xludf.DUMMYFUNCTION("""COMPUTED_VALUE"""),"fitriant2022@gmail.com")</f>
        <v>fitriant2022@gmail.com</v>
      </c>
      <c r="AI1171" s="80" t="str">
        <f>IFERROR(__xludf.DUMMYFUNCTION("""COMPUTED_VALUE"""),"15714S1")</f>
        <v>15714S1</v>
      </c>
      <c r="AJ1171" s="80" t="str">
        <f>IFERROR(__xludf.DUMMYFUNCTION("""COMPUTED_VALUE"""),"6a827d59e3eac1403307f872")</f>
        <v>6a827d59e3eac1403307f872</v>
      </c>
      <c r="AK1171" s="80" t="str">
        <f>IFERROR(__xludf.DUMMYFUNCTION("""COMPUTED_VALUE"""),"fitriant2022@gmail.com")</f>
        <v>fitriant2022@gmail.com</v>
      </c>
      <c r="AL1171" s="80" t="str">
        <f>IFERROR(__xludf.DUMMYFUNCTION("""COMPUTED_VALUE"""),"#Muc15714S1$")</f>
        <v>#Muc15714S1$</v>
      </c>
      <c r="AM1171" s="80" t="str">
        <f>IFERROR(__xludf.DUMMYFUNCTION("""COMPUTED_VALUE"""),"KANTOR REGIONAL II JAKARTA 10004")</f>
        <v>KANTOR REGIONAL II JAKARTA 10004</v>
      </c>
      <c r="AN1171" s="80" t="str">
        <f>IFERROR(__xludf.DUMMYFUNCTION("""COMPUTED_VALUE"""),"KCU TANGERANG 15000")</f>
        <v>KCU TANGERANG 15000</v>
      </c>
      <c r="AO1171" s="80" t="str">
        <f>IFERROR(__xludf.DUMMYFUNCTION("""COMPUTED_VALUE"""),"1007260102624")</f>
        <v>1007260102624</v>
      </c>
      <c r="AP1171" s="80" t="str">
        <f>IFERROR(__xludf.DUMMYFUNCTION("""COMPUTED_VALUE"""),"1007260102624")</f>
        <v>1007260102624</v>
      </c>
      <c r="AQ1171" s="83" t="str">
        <f>IFERROR(__xludf.DUMMYFUNCTION("""COMPUTED_VALUE"""),"2871297152")</f>
        <v>2871297152</v>
      </c>
      <c r="AR1171" s="80" t="str">
        <f>IFERROR(__xludf.DUMMYFUNCTION("""COMPUTED_VALUE"""),"BCA")</f>
        <v>BCA</v>
      </c>
      <c r="AS1171" s="80" t="str">
        <f>IFERROR(__xludf.DUMMYFUNCTION("""COMPUTED_VALUE"""),"FITRI ANTINI")</f>
        <v>FITRI ANTINI</v>
      </c>
      <c r="AT1171" s="80" t="str">
        <f>IFERROR(__xludf.DUMMYFUNCTION("""COMPUTED_VALUE"""),"-6,196,949")</f>
        <v>-6,196,949</v>
      </c>
      <c r="AU1171" s="80" t="str">
        <f>IFERROR(__xludf.DUMMYFUNCTION("""COMPUTED_VALUE"""),"1,065,270,466")</f>
        <v>1,065,270,466</v>
      </c>
      <c r="AV1171" s="80"/>
      <c r="AW1171" s="80"/>
      <c r="AX1171" s="80"/>
      <c r="AY1171" s="80"/>
      <c r="AZ1171" s="80"/>
      <c r="BA1171" s="80"/>
      <c r="BB1171" s="80"/>
      <c r="BC1171" s="80"/>
      <c r="BD1171" s="80"/>
      <c r="BE1171" s="80"/>
      <c r="BF1171" s="80"/>
      <c r="BG1171" s="80"/>
      <c r="BH1171" s="80"/>
      <c r="BI1171" s="80"/>
      <c r="BJ1171" s="80"/>
      <c r="BK1171" s="80"/>
      <c r="BL1171" s="80"/>
      <c r="BM1171" s="80"/>
      <c r="BN1171" s="80"/>
      <c r="BO1171" s="80"/>
      <c r="BP1171" s="80"/>
      <c r="BQ1171" s="80"/>
      <c r="BR1171" s="80"/>
      <c r="BS1171" s="80"/>
      <c r="BT1171" s="80"/>
      <c r="BU1171" s="80"/>
      <c r="BV1171" s="80"/>
      <c r="BW1171" s="80"/>
      <c r="BX1171" s="80"/>
      <c r="BY1171" s="80"/>
      <c r="BZ1171" s="80"/>
      <c r="CA1171" s="80"/>
      <c r="CB1171" s="80"/>
      <c r="CC1171" s="80"/>
      <c r="CD1171" s="80"/>
      <c r="CE1171" s="80"/>
      <c r="CF1171" s="80"/>
      <c r="CG1171" s="80"/>
      <c r="CH1171" s="80"/>
      <c r="CI1171" s="80"/>
      <c r="CJ1171" s="80"/>
      <c r="CK1171" s="2"/>
    </row>
    <row r="1172" ht="12.75" customHeight="1">
      <c r="A1172" s="85">
        <f>IFERROR(__xludf.DUMMYFUNCTION("""COMPUTED_VALUE"""),1168.0)</f>
        <v>1168</v>
      </c>
      <c r="B1172" s="85"/>
      <c r="C1172" s="85"/>
      <c r="D1172" s="86">
        <f>IFERROR(__xludf.DUMMYFUNCTION("""COMPUTED_VALUE"""),46217.0)</f>
        <v>46217</v>
      </c>
      <c r="E1172" s="88"/>
      <c r="F1172" s="85"/>
      <c r="G1172" s="86">
        <f>IFERROR(__xludf.DUMMYFUNCTION("""COMPUTED_VALUE"""),46219.0)</f>
        <v>46219</v>
      </c>
      <c r="H1172" s="85"/>
      <c r="I1172" s="85"/>
      <c r="J1172" s="85"/>
      <c r="K1172" s="85"/>
      <c r="L1172" s="85">
        <f>IFERROR(__xludf.DUMMYFUNCTION("""COMPUTED_VALUE"""),2.0)</f>
        <v>2</v>
      </c>
      <c r="M1172" s="85"/>
      <c r="N1172" s="85"/>
      <c r="O1172" s="85"/>
      <c r="P1172" s="85" t="str">
        <f>IFERROR(__xludf.DUMMYFUNCTION("""COMPUTED_VALUE"""),"MUCSPA63612PSIND")</f>
        <v>MUCSPA63612PSIND</v>
      </c>
      <c r="Q1172" s="85" t="str">
        <f>IFERROR(__xludf.DUMMYFUNCTION("""COMPUTED_VALUE"""),"MUC BERKAH JAYA SERANG")</f>
        <v>MUC BERKAH JAYA SERANG</v>
      </c>
      <c r="R1172" s="85" t="str">
        <f>IFERROR(__xludf.DUMMYFUNCTION("""COMPUTED_VALUE"""),"MUC BERKAH JAYA SERANG")</f>
        <v>MUC BERKAH JAYA SERANG</v>
      </c>
      <c r="S1172" s="85" t="str">
        <f>IFERROR(__xludf.DUMMYFUNCTION("""COMPUTED_VALUE"""),"ROHMAT")</f>
        <v>ROHMAT</v>
      </c>
      <c r="T1172" s="85" t="str">
        <f>IFERROR(__xludf.DUMMYFUNCTION("""COMPUTED_VALUE"""),"PERUMAHAN BUMI HARAPAN SEJAHTERA BLOK.AKASIA NO.27/31 RT 003 RW 029, UNYUR, SERANG")</f>
        <v>PERUMAHAN BUMI HARAPAN SEJAHTERA BLOK.AKASIA NO.27/31 RT 003 RW 029, UNYUR, SERANG</v>
      </c>
      <c r="U1172" s="85" t="str">
        <f>IFERROR(__xludf.DUMMYFUNCTION("""COMPUTED_VALUE"""),"PERUMAHAN BUMI HARAPAN SEJAHTERA BLOK.AKASIA NO.27/31 RT 003 RW 029, UNYUR, SERANG")</f>
        <v>PERUMAHAN BUMI HARAPAN SEJAHTERA BLOK.AKASIA NO.27/31 RT 003 RW 029, UNYUR, SERANG</v>
      </c>
      <c r="V1172" s="85" t="str">
        <f>IFERROR(__xludf.DUMMYFUNCTION("""COMPUTED_VALUE"""),"RT 003 \ RW 029")</f>
        <v>RT 003 \ RW 029</v>
      </c>
      <c r="W1172" s="85" t="str">
        <f>IFERROR(__xludf.DUMMYFUNCTION("""COMPUTED_VALUE"""),"UNYUR")</f>
        <v>UNYUR</v>
      </c>
      <c r="X1172" s="85" t="str">
        <f>IFERROR(__xludf.DUMMYFUNCTION("""COMPUTED_VALUE"""),"SERANG")</f>
        <v>SERANG</v>
      </c>
      <c r="Y1172" s="85" t="str">
        <f>IFERROR(__xludf.DUMMYFUNCTION("""COMPUTED_VALUE"""),"SERANG")</f>
        <v>SERANG</v>
      </c>
      <c r="Z1172" s="85" t="str">
        <f>IFERROR(__xludf.DUMMYFUNCTION("""COMPUTED_VALUE"""),"BANTEN")</f>
        <v>BANTEN</v>
      </c>
      <c r="AA1172" s="85" t="str">
        <f>IFERROR(__xludf.DUMMYFUNCTION("""COMPUTED_VALUE"""),"42113")</f>
        <v>42113</v>
      </c>
      <c r="AB1172" s="85" t="str">
        <f>IFERROR(__xludf.DUMMYFUNCTION("""COMPUTED_VALUE"""),"3277021605860007")</f>
        <v>3277021605860007</v>
      </c>
      <c r="AC1172" s="85" t="str">
        <f>IFERROR(__xludf.DUMMYFUNCTION("""COMPUTED_VALUE"""),"48.135.642.6-657.000")</f>
        <v>48.135.642.6-657.000</v>
      </c>
      <c r="AD1172" s="85" t="str">
        <f>IFERROR(__xludf.DUMMYFUNCTION("""COMPUTED_VALUE"""),"BU NELA KCU SERANG")</f>
        <v>BU NELA KCU SERANG</v>
      </c>
      <c r="AE1172" s="85" t="str">
        <f>IFERROR(__xludf.DUMMYFUNCTION("""COMPUTED_VALUE"""),"BU NELA KCU SERANG")</f>
        <v>BU NELA KCU SERANG</v>
      </c>
      <c r="AF1172" s="85" t="str">
        <f>IFERROR(__xludf.DUMMYFUNCTION("""COMPUTED_VALUE"""),"081285218076")</f>
        <v>081285218076</v>
      </c>
      <c r="AG1172" s="85" t="str">
        <f>IFERROR(__xludf.DUMMYFUNCTION("""COMPUTED_VALUE"""),"81285218076")</f>
        <v>81285218076</v>
      </c>
      <c r="AH1172" s="85" t="str">
        <f>IFERROR(__xludf.DUMMYFUNCTION("""COMPUTED_VALUE"""),"supriyatisudrajat@gmail.com")</f>
        <v>supriyatisudrajat@gmail.com</v>
      </c>
      <c r="AI1172" s="85" t="str">
        <f>IFERROR(__xludf.DUMMYFUNCTION("""COMPUTED_VALUE"""),"42113S2")</f>
        <v>42113S2</v>
      </c>
      <c r="AJ1172" s="85" t="str">
        <f>IFERROR(__xludf.DUMMYFUNCTION("""COMPUTED_VALUE"""),"6a589daec66f74f6e5049afb")</f>
        <v>6a589daec66f74f6e5049afb</v>
      </c>
      <c r="AK1172" s="85" t="str">
        <f>IFERROR(__xludf.DUMMYFUNCTION("""COMPUTED_VALUE"""),"supriyatisudrajat@gmail.com")</f>
        <v>supriyatisudrajat@gmail.com</v>
      </c>
      <c r="AL1172" s="85" t="str">
        <f>IFERROR(__xludf.DUMMYFUNCTION("""COMPUTED_VALUE"""),"Muc42113S2$")</f>
        <v>Muc42113S2$</v>
      </c>
      <c r="AM1172" s="85" t="str">
        <f>IFERROR(__xludf.DUMMYFUNCTION("""COMPUTED_VALUE"""),"KANTOR REGIONAL II JAKARTA 10004")</f>
        <v>KANTOR REGIONAL II JAKARTA 10004</v>
      </c>
      <c r="AN1172" s="85" t="str">
        <f>IFERROR(__xludf.DUMMYFUNCTION("""COMPUTED_VALUE"""),"KCU SERANG 42100")</f>
        <v>KCU SERANG 42100</v>
      </c>
      <c r="AO1172" s="85" t="str">
        <f>IFERROR(__xludf.DUMMYFUNCTION("""COMPUTED_VALUE"""),"1407260076699")</f>
        <v>1407260076699</v>
      </c>
      <c r="AP1172" s="85" t="str">
        <f>IFERROR(__xludf.DUMMYFUNCTION("""COMPUTED_VALUE"""),"1407260076699")</f>
        <v>1407260076699</v>
      </c>
      <c r="AQ1172" s="93" t="str">
        <f>IFERROR(__xludf.DUMMYFUNCTION("""COMPUTED_VALUE"""),"055401008513509")</f>
        <v>055401008513509</v>
      </c>
      <c r="AR1172" s="85" t="str">
        <f>IFERROR(__xludf.DUMMYFUNCTION("""COMPUTED_VALUE"""),"BRI")</f>
        <v>BRI</v>
      </c>
      <c r="AS1172" s="85" t="str">
        <f>IFERROR(__xludf.DUMMYFUNCTION("""COMPUTED_VALUE"""),"ROHMAT")</f>
        <v>ROHMAT</v>
      </c>
      <c r="AT1172" s="85" t="str">
        <f>IFERROR(__xludf.DUMMYFUNCTION("""COMPUTED_VALUE"""),"-60,893,149")</f>
        <v>-60,893,149</v>
      </c>
      <c r="AU1172" s="85" t="str">
        <f>IFERROR(__xludf.DUMMYFUNCTION("""COMPUTED_VALUE"""),"1,061,612,711")</f>
        <v>1,061,612,711</v>
      </c>
      <c r="AV1172" s="85"/>
      <c r="AW1172" s="85"/>
      <c r="AX1172" s="85"/>
      <c r="AY1172" s="85"/>
      <c r="AZ1172" s="85"/>
      <c r="BA1172" s="85"/>
      <c r="BB1172" s="85"/>
      <c r="BC1172" s="85"/>
      <c r="BD1172" s="85"/>
      <c r="BE1172" s="85"/>
      <c r="BF1172" s="85"/>
      <c r="BG1172" s="85"/>
      <c r="BH1172" s="85"/>
      <c r="BI1172" s="85"/>
      <c r="BJ1172" s="85"/>
      <c r="BK1172" s="85"/>
      <c r="BL1172" s="85"/>
      <c r="BM1172" s="85"/>
      <c r="BN1172" s="85"/>
      <c r="BO1172" s="85"/>
      <c r="BP1172" s="85"/>
      <c r="BQ1172" s="85"/>
      <c r="BR1172" s="85"/>
      <c r="BS1172" s="85"/>
      <c r="BT1172" s="85"/>
      <c r="BU1172" s="85"/>
      <c r="BV1172" s="85"/>
      <c r="BW1172" s="85"/>
      <c r="BX1172" s="85"/>
      <c r="BY1172" s="85"/>
      <c r="BZ1172" s="85"/>
      <c r="CA1172" s="85"/>
      <c r="CB1172" s="85"/>
      <c r="CC1172" s="85"/>
      <c r="CD1172" s="85"/>
      <c r="CE1172" s="85"/>
      <c r="CF1172" s="85"/>
      <c r="CG1172" s="85"/>
      <c r="CH1172" s="85"/>
      <c r="CI1172" s="85"/>
      <c r="CJ1172" s="85"/>
      <c r="CK1172" s="2"/>
    </row>
    <row r="1173" ht="12.75" customHeight="1">
      <c r="A1173" s="80">
        <f>IFERROR(__xludf.DUMMYFUNCTION("""COMPUTED_VALUE"""),1169.0)</f>
        <v>1169</v>
      </c>
      <c r="B1173" s="80"/>
      <c r="C1173" s="80"/>
      <c r="D1173" s="81">
        <f>IFERROR(__xludf.DUMMYFUNCTION("""COMPUTED_VALUE"""),46217.0)</f>
        <v>46217</v>
      </c>
      <c r="E1173" s="82"/>
      <c r="F1173" s="80"/>
      <c r="G1173" s="81">
        <f>IFERROR(__xludf.DUMMYFUNCTION("""COMPUTED_VALUE"""),46237.0)</f>
        <v>46237</v>
      </c>
      <c r="H1173" s="80"/>
      <c r="I1173" s="80"/>
      <c r="J1173" s="80"/>
      <c r="K1173" s="80"/>
      <c r="L1173" s="80">
        <f>IFERROR(__xludf.DUMMYFUNCTION("""COMPUTED_VALUE"""),20.0)</f>
        <v>20</v>
      </c>
      <c r="M1173" s="80"/>
      <c r="N1173" s="80"/>
      <c r="O1173" s="80"/>
      <c r="P1173" s="80" t="str">
        <f>IFERROR(__xludf.DUMMYFUNCTION("""COMPUTED_VALUE"""),"MUCSPA70011PSUMK")</f>
        <v>MUCSPA70011PSUMK</v>
      </c>
      <c r="Q1173" s="80" t="str">
        <f>IFERROR(__xludf.DUMMYFUNCTION("""COMPUTED_VALUE"""),"MUC CAP RIN")</f>
        <v>MUC CAP RIN</v>
      </c>
      <c r="R1173" s="80" t="str">
        <f>IFERROR(__xludf.DUMMYFUNCTION("""COMPUTED_VALUE"""),"MUC CAP RIN")</f>
        <v>MUC CAP RIN</v>
      </c>
      <c r="S1173" s="80" t="str">
        <f>IFERROR(__xludf.DUMMYFUNCTION("""COMPUTED_VALUE"""),"NURHARIYANTI")</f>
        <v>NURHARIYANTI</v>
      </c>
      <c r="T1173" s="80" t="str">
        <f>IFERROR(__xludf.DUMMYFUNCTION("""COMPUTED_VALUE"""),"DUSUN TANJUNG RT 3 RW 1 TANJUNGSARI, PACITAN KAB. PACITAN")</f>
        <v>DUSUN TANJUNG RT 3 RW 1 TANJUNGSARI, PACITAN KAB. PACITAN</v>
      </c>
      <c r="U1173" s="80" t="str">
        <f>IFERROR(__xludf.DUMMYFUNCTION("""COMPUTED_VALUE"""),"JL. TANJUNG BALAI NO. 02")</f>
        <v>JL. TANJUNG BALAI NO. 02</v>
      </c>
      <c r="V1173" s="80" t="str">
        <f>IFERROR(__xludf.DUMMYFUNCTION("""COMPUTED_VALUE"""),"RT 3 R \ RW 1 T")</f>
        <v>RT 3 R \ RW 1 T</v>
      </c>
      <c r="W1173" s="80" t="str">
        <f>IFERROR(__xludf.DUMMYFUNCTION("""COMPUTED_VALUE"""),"TANJUNGSARI")</f>
        <v>TANJUNGSARI</v>
      </c>
      <c r="X1173" s="80" t="str">
        <f>IFERROR(__xludf.DUMMYFUNCTION("""COMPUTED_VALUE"""),"PACITAN")</f>
        <v>PACITAN</v>
      </c>
      <c r="Y1173" s="80" t="str">
        <f>IFERROR(__xludf.DUMMYFUNCTION("""COMPUTED_VALUE"""),"KAB. PACITAN")</f>
        <v>KAB. PACITAN</v>
      </c>
      <c r="Z1173" s="80" t="str">
        <f>IFERROR(__xludf.DUMMYFUNCTION("""COMPUTED_VALUE"""),"JAWA TIMUR")</f>
        <v>JAWA TIMUR</v>
      </c>
      <c r="AA1173" s="80" t="str">
        <f>IFERROR(__xludf.DUMMYFUNCTION("""COMPUTED_VALUE"""),"63518")</f>
        <v>63518</v>
      </c>
      <c r="AB1173" s="80" t="str">
        <f>IFERROR(__xludf.DUMMYFUNCTION("""COMPUTED_VALUE"""),"3501045608680009")</f>
        <v>3501045608680009</v>
      </c>
      <c r="AC1173" s="80" t="str">
        <f>IFERROR(__xludf.DUMMYFUNCTION("""COMPUTED_VALUE"""),"35.010.456.0-868.0009")</f>
        <v>35.010.456.0-868.0009</v>
      </c>
      <c r="AD1173" s="80" t="str">
        <f>IFERROR(__xludf.DUMMYFUNCTION("""COMPUTED_VALUE"""),"CUM - UMKMNK - ASEP")</f>
        <v>CUM - UMKMNK - ASEP</v>
      </c>
      <c r="AE1173" s="80" t="str">
        <f>IFERROR(__xludf.DUMMYFUNCTION("""COMPUTED_VALUE"""),"CUM - UMKMNK - ASEP")</f>
        <v>CUM - UMKMNK - ASEP</v>
      </c>
      <c r="AF1173" s="80" t="str">
        <f>IFERROR(__xludf.DUMMYFUNCTION("""COMPUTED_VALUE"""),"085338730068")</f>
        <v>085338730068</v>
      </c>
      <c r="AG1173" s="80" t="str">
        <f>IFERROR(__xludf.DUMMYFUNCTION("""COMPUTED_VALUE"""),"85338730068")</f>
        <v>85338730068</v>
      </c>
      <c r="AH1173" s="80" t="str">
        <f>IFERROR(__xludf.DUMMYFUNCTION("""COMPUTED_VALUE"""),"nurhariyanti160868@gmail.com")</f>
        <v>nurhariyanti160868@gmail.com</v>
      </c>
      <c r="AI1173" s="80" t="str">
        <f>IFERROR(__xludf.DUMMYFUNCTION("""COMPUTED_VALUE"""),"63518S1")</f>
        <v>63518S1</v>
      </c>
      <c r="AJ1173" s="80" t="str">
        <f>IFERROR(__xludf.DUMMYFUNCTION("""COMPUTED_VALUE"""),"6a700e7a016dc5ada90b33d5")</f>
        <v>6a700e7a016dc5ada90b33d5</v>
      </c>
      <c r="AK1173" s="80" t="str">
        <f>IFERROR(__xludf.DUMMYFUNCTION("""COMPUTED_VALUE"""),"nurhariyanti160868@gmail.com")</f>
        <v>nurhariyanti160868@gmail.com</v>
      </c>
      <c r="AL1173" s="80" t="str">
        <f>IFERROR(__xludf.DUMMYFUNCTION("""COMPUTED_VALUE"""),"#Muc63518S1$")</f>
        <v>#Muc63518S1$</v>
      </c>
      <c r="AM1173" s="80" t="str">
        <f>IFERROR(__xludf.DUMMYFUNCTION("""COMPUTED_VALUE"""),"KANTOR REGIONAL V SURABAYA 60004")</f>
        <v>KANTOR REGIONAL V SURABAYA 60004</v>
      </c>
      <c r="AN1173" s="80" t="str">
        <f>IFERROR(__xludf.DUMMYFUNCTION("""COMPUTED_VALUE"""),"KC PACITAN 63500")</f>
        <v>KC PACITAN 63500</v>
      </c>
      <c r="AO1173" s="80" t="str">
        <f>IFERROR(__xludf.DUMMYFUNCTION("""COMPUTED_VALUE"""),"9120109951209")</f>
        <v>9120109951209</v>
      </c>
      <c r="AP1173" s="80" t="str">
        <f>IFERROR(__xludf.DUMMYFUNCTION("""COMPUTED_VALUE"""),"9120109951209")</f>
        <v>9120109951209</v>
      </c>
      <c r="AQ1173" s="83" t="str">
        <f>IFERROR(__xludf.DUMMYFUNCTION("""COMPUTED_VALUE"""),"1059325015")</f>
        <v>1059325015</v>
      </c>
      <c r="AR1173" s="80" t="str">
        <f>IFERROR(__xludf.DUMMYFUNCTION("""COMPUTED_VALUE"""),"BNI")</f>
        <v>BNI</v>
      </c>
      <c r="AS1173" s="80" t="str">
        <f>IFERROR(__xludf.DUMMYFUNCTION("""COMPUTED_VALUE"""),"NURHARIYANTI")</f>
        <v>NURHARIYANTI</v>
      </c>
      <c r="AT1173" s="80" t="str">
        <f>IFERROR(__xludf.DUMMYFUNCTION("""COMPUTED_VALUE"""),"-8.1955974,111.1098157")</f>
        <v>-8.1955974,111.1098157</v>
      </c>
      <c r="AU1173" s="80" t="str">
        <f>IFERROR(__xludf.DUMMYFUNCTION("""COMPUTED_VALUE"""),"-8.1955974,111.1098157")</f>
        <v>-8.1955974,111.1098157</v>
      </c>
      <c r="AV1173" s="80"/>
      <c r="AW1173" s="80"/>
      <c r="AX1173" s="80"/>
      <c r="AY1173" s="80"/>
      <c r="AZ1173" s="80"/>
      <c r="BA1173" s="80"/>
      <c r="BB1173" s="80"/>
      <c r="BC1173" s="80"/>
      <c r="BD1173" s="80"/>
      <c r="BE1173" s="80"/>
      <c r="BF1173" s="80"/>
      <c r="BG1173" s="80"/>
      <c r="BH1173" s="80"/>
      <c r="BI1173" s="80"/>
      <c r="BJ1173" s="80"/>
      <c r="BK1173" s="80"/>
      <c r="BL1173" s="80"/>
      <c r="BM1173" s="80"/>
      <c r="BN1173" s="80"/>
      <c r="BO1173" s="80"/>
      <c r="BP1173" s="80"/>
      <c r="BQ1173" s="80"/>
      <c r="BR1173" s="80"/>
      <c r="BS1173" s="80"/>
      <c r="BT1173" s="80"/>
      <c r="BU1173" s="80"/>
      <c r="BV1173" s="80"/>
      <c r="BW1173" s="80"/>
      <c r="BX1173" s="80"/>
      <c r="BY1173" s="80"/>
      <c r="BZ1173" s="80"/>
      <c r="CA1173" s="80"/>
      <c r="CB1173" s="80"/>
      <c r="CC1173" s="80"/>
      <c r="CD1173" s="80"/>
      <c r="CE1173" s="80"/>
      <c r="CF1173" s="80"/>
      <c r="CG1173" s="80"/>
      <c r="CH1173" s="80"/>
      <c r="CI1173" s="80"/>
      <c r="CJ1173" s="80"/>
      <c r="CK1173" s="2"/>
    </row>
    <row r="1174" ht="12.75" customHeight="1">
      <c r="A1174" s="85">
        <f>IFERROR(__xludf.DUMMYFUNCTION("""COMPUTED_VALUE"""),1170.0)</f>
        <v>1170</v>
      </c>
      <c r="B1174" s="85"/>
      <c r="C1174" s="85"/>
      <c r="D1174" s="86">
        <f>IFERROR(__xludf.DUMMYFUNCTION("""COMPUTED_VALUE"""),46217.0)</f>
        <v>46217</v>
      </c>
      <c r="E1174" s="88"/>
      <c r="F1174" s="85"/>
      <c r="G1174" s="86">
        <f>IFERROR(__xludf.DUMMYFUNCTION("""COMPUTED_VALUE"""),46265.0)</f>
        <v>46265</v>
      </c>
      <c r="H1174" s="85"/>
      <c r="I1174" s="85"/>
      <c r="J1174" s="85"/>
      <c r="K1174" s="85"/>
      <c r="L1174" s="85">
        <f>IFERROR(__xludf.DUMMYFUNCTION("""COMPUTED_VALUE"""),48.0)</f>
        <v>48</v>
      </c>
      <c r="M1174" s="85"/>
      <c r="N1174" s="85"/>
      <c r="O1174" s="85"/>
      <c r="P1174" s="85" t="str">
        <f>IFERROR(__xludf.DUMMYFUNCTION("""COMPUTED_VALUE"""),"MUCSPA70001PSAAK")</f>
        <v>MUCSPA70001PSAAK</v>
      </c>
      <c r="Q1174" s="85" t="str">
        <f>IFERROR(__xludf.DUMMYFUNCTION("""COMPUTED_VALUE"""),"MUC Ps Agung")</f>
        <v>MUC Ps Agung</v>
      </c>
      <c r="R1174" s="85" t="str">
        <f>IFERROR(__xludf.DUMMYFUNCTION("""COMPUTED_VALUE"""),"MUC Ps Agung")</f>
        <v>MUC Ps Agung</v>
      </c>
      <c r="S1174" s="85" t="str">
        <f>IFERROR(__xludf.DUMMYFUNCTION("""COMPUTED_VALUE"""),"NUR MUHAMAD ARIF")</f>
        <v>NUR MUHAMAD ARIF</v>
      </c>
      <c r="T1174" s="85" t="str">
        <f>IFERROR(__xludf.DUMMYFUNCTION("""COMPUTED_VALUE"""),"JL.PROKLAMASI GG.MAJLIS NO.26 RT 02 RW 21, ABADIJAYA, SUKMAJAYA, DEPOK")</f>
        <v>JL.PROKLAMASI GG.MAJLIS NO.26 RT 02 RW 21, ABADIJAYA, SUKMAJAYA, DEPOK</v>
      </c>
      <c r="U1174" s="85" t="str">
        <f>IFERROR(__xludf.DUMMYFUNCTION("""COMPUTED_VALUE"""),"JL. Proklamasi Sebrang Persis No.5, RT.02 RW.021, Pasar Agung")</f>
        <v>JL. Proklamasi Sebrang Persis No.5, RT.02 RW.021, Pasar Agung</v>
      </c>
      <c r="V1174" s="85" t="str">
        <f>IFERROR(__xludf.DUMMYFUNCTION("""COMPUTED_VALUE"""),"RT 02  \ RW 21,")</f>
        <v>RT 02  \ RW 21,</v>
      </c>
      <c r="W1174" s="85" t="str">
        <f>IFERROR(__xludf.DUMMYFUNCTION("""COMPUTED_VALUE"""),"ABADIJAYA")</f>
        <v>ABADIJAYA</v>
      </c>
      <c r="X1174" s="85" t="str">
        <f>IFERROR(__xludf.DUMMYFUNCTION("""COMPUTED_VALUE"""),"SUKMAJAYA")</f>
        <v>SUKMAJAYA</v>
      </c>
      <c r="Y1174" s="85" t="str">
        <f>IFERROR(__xludf.DUMMYFUNCTION("""COMPUTED_VALUE"""),"DEPOK")</f>
        <v>DEPOK</v>
      </c>
      <c r="Z1174" s="85" t="str">
        <f>IFERROR(__xludf.DUMMYFUNCTION("""COMPUTED_VALUE"""),"JAWA BARAT")</f>
        <v>JAWA BARAT</v>
      </c>
      <c r="AA1174" s="85" t="str">
        <f>IFERROR(__xludf.DUMMYFUNCTION("""COMPUTED_VALUE"""),"16417")</f>
        <v>16417</v>
      </c>
      <c r="AB1174" s="85" t="str">
        <f>IFERROR(__xludf.DUMMYFUNCTION("""COMPUTED_VALUE"""),"3276051708820003")</f>
        <v>3276051708820003</v>
      </c>
      <c r="AC1174" s="85" t="str">
        <f>IFERROR(__xludf.DUMMYFUNCTION("""COMPUTED_VALUE"""),"87.176.568.1-412.000")</f>
        <v>87.176.568.1-412.000</v>
      </c>
      <c r="AD1174" s="85" t="str">
        <f>IFERROR(__xludf.DUMMYFUNCTION("""COMPUTED_VALUE"""),"CUM - LP - ANGGI")</f>
        <v>CUM - LP - ANGGI</v>
      </c>
      <c r="AE1174" s="85" t="str">
        <f>IFERROR(__xludf.DUMMYFUNCTION("""COMPUTED_VALUE"""),"CUM - LP - ANGGI")</f>
        <v>CUM - LP - ANGGI</v>
      </c>
      <c r="AF1174" s="85" t="str">
        <f>IFERROR(__xludf.DUMMYFUNCTION("""COMPUTED_VALUE"""),"081315623332")</f>
        <v>081315623332</v>
      </c>
      <c r="AG1174" s="85" t="str">
        <f>IFERROR(__xludf.DUMMYFUNCTION("""COMPUTED_VALUE"""),"81315623332")</f>
        <v>81315623332</v>
      </c>
      <c r="AH1174" s="85" t="str">
        <f>IFERROR(__xludf.DUMMYFUNCTION("""COMPUTED_VALUE"""),"tamansawo17@gmail.com")</f>
        <v>tamansawo17@gmail.com</v>
      </c>
      <c r="AI1174" s="85" t="str">
        <f>IFERROR(__xludf.DUMMYFUNCTION("""COMPUTED_VALUE"""),"16417S6")</f>
        <v>16417S6</v>
      </c>
      <c r="AJ1174" s="85" t="str">
        <f>IFERROR(__xludf.DUMMYFUNCTION("""COMPUTED_VALUE"""),"6a925905a46b1edb2d069f48")</f>
        <v>6a925905a46b1edb2d069f48</v>
      </c>
      <c r="AK1174" s="85" t="str">
        <f>IFERROR(__xludf.DUMMYFUNCTION("""COMPUTED_VALUE"""),"tamansawo17@gmail.com")</f>
        <v>tamansawo17@gmail.com</v>
      </c>
      <c r="AL1174" s="85" t="str">
        <f>IFERROR(__xludf.DUMMYFUNCTION("""COMPUTED_VALUE"""),"#Muc16417S6$")</f>
        <v>#Muc16417S6$</v>
      </c>
      <c r="AM1174" s="85" t="str">
        <f>IFERROR(__xludf.DUMMYFUNCTION("""COMPUTED_VALUE"""),"KANTOR REGIONAL II JAKARTA 10004")</f>
        <v>KANTOR REGIONAL II JAKARTA 10004</v>
      </c>
      <c r="AN1174" s="85" t="str">
        <f>IFERROR(__xludf.DUMMYFUNCTION("""COMPUTED_VALUE"""),"KC DEPOK 16400")</f>
        <v>KC DEPOK 16400</v>
      </c>
      <c r="AO1174" s="85" t="str">
        <f>IFERROR(__xludf.DUMMYFUNCTION("""COMPUTED_VALUE"""),"0231010100271")</f>
        <v>0231010100271</v>
      </c>
      <c r="AP1174" s="85" t="str">
        <f>IFERROR(__xludf.DUMMYFUNCTION("""COMPUTED_VALUE"""),"0231010100271")</f>
        <v>0231010100271</v>
      </c>
      <c r="AQ1174" s="93" t="str">
        <f>IFERROR(__xludf.DUMMYFUNCTION("""COMPUTED_VALUE"""),"702794896700")</f>
        <v>702794896700</v>
      </c>
      <c r="AR1174" s="85" t="str">
        <f>IFERROR(__xludf.DUMMYFUNCTION("""COMPUTED_VALUE"""),"CIMB NIAGA")</f>
        <v>CIMB NIAGA</v>
      </c>
      <c r="AS1174" s="85" t="str">
        <f>IFERROR(__xludf.DUMMYFUNCTION("""COMPUTED_VALUE"""),"NUR MUHAMAD ARIF")</f>
        <v>NUR MUHAMAD ARIF</v>
      </c>
      <c r="AT1174" s="85" t="str">
        <f>IFERROR(__xludf.DUMMYFUNCTION("""COMPUTED_VALUE"""),"-63,929,759")</f>
        <v>-63,929,759</v>
      </c>
      <c r="AU1174" s="85" t="str">
        <f>IFERROR(__xludf.DUMMYFUNCTION("""COMPUTED_VALUE"""),"1,068,455,221")</f>
        <v>1,068,455,221</v>
      </c>
      <c r="AV1174" s="85"/>
      <c r="AW1174" s="85"/>
      <c r="AX1174" s="85"/>
      <c r="AY1174" s="85"/>
      <c r="AZ1174" s="85"/>
      <c r="BA1174" s="85"/>
      <c r="BB1174" s="85"/>
      <c r="BC1174" s="85"/>
      <c r="BD1174" s="85"/>
      <c r="BE1174" s="85"/>
      <c r="BF1174" s="85"/>
      <c r="BG1174" s="85"/>
      <c r="BH1174" s="85"/>
      <c r="BI1174" s="85"/>
      <c r="BJ1174" s="85"/>
      <c r="BK1174" s="85"/>
      <c r="BL1174" s="85"/>
      <c r="BM1174" s="85"/>
      <c r="BN1174" s="85"/>
      <c r="BO1174" s="85"/>
      <c r="BP1174" s="85"/>
      <c r="BQ1174" s="85"/>
      <c r="BR1174" s="85"/>
      <c r="BS1174" s="85"/>
      <c r="BT1174" s="85"/>
      <c r="BU1174" s="85"/>
      <c r="BV1174" s="85"/>
      <c r="BW1174" s="85"/>
      <c r="BX1174" s="85"/>
      <c r="BY1174" s="85"/>
      <c r="BZ1174" s="85"/>
      <c r="CA1174" s="85"/>
      <c r="CB1174" s="85"/>
      <c r="CC1174" s="85"/>
      <c r="CD1174" s="85"/>
      <c r="CE1174" s="85"/>
      <c r="CF1174" s="85"/>
      <c r="CG1174" s="85"/>
      <c r="CH1174" s="85"/>
      <c r="CI1174" s="85"/>
      <c r="CJ1174" s="85"/>
      <c r="CK1174" s="2"/>
    </row>
    <row r="1175" ht="12.75" customHeight="1">
      <c r="A1175" s="80">
        <f>IFERROR(__xludf.DUMMYFUNCTION("""COMPUTED_VALUE"""),1171.0)</f>
        <v>1171</v>
      </c>
      <c r="B1175" s="80"/>
      <c r="C1175" s="80"/>
      <c r="D1175" s="81">
        <f>IFERROR(__xludf.DUMMYFUNCTION("""COMPUTED_VALUE"""),46217.0)</f>
        <v>46217</v>
      </c>
      <c r="E1175" s="82"/>
      <c r="F1175" s="80"/>
      <c r="G1175" s="81">
        <f>IFERROR(__xludf.DUMMYFUNCTION("""COMPUTED_VALUE"""),46265.0)</f>
        <v>46265</v>
      </c>
      <c r="H1175" s="80"/>
      <c r="I1175" s="80"/>
      <c r="J1175" s="80"/>
      <c r="K1175" s="80"/>
      <c r="L1175" s="80">
        <f>IFERROR(__xludf.DUMMYFUNCTION("""COMPUTED_VALUE"""),48.0)</f>
        <v>48</v>
      </c>
      <c r="M1175" s="80"/>
      <c r="N1175" s="80"/>
      <c r="O1175" s="80"/>
      <c r="P1175" s="80" t="str">
        <f>IFERROR(__xludf.DUMMYFUNCTION("""COMPUTED_VALUE"""),"MUCSPA70012PSUMK")</f>
        <v>MUCSPA70012PSUMK</v>
      </c>
      <c r="Q1175" s="80" t="str">
        <f>IFERROR(__xludf.DUMMYFUNCTION("""COMPUTED_VALUE"""),"MUC PAKET CERIA NOHYOGHI")</f>
        <v>MUC PAKET CERIA NOHYOGHI</v>
      </c>
      <c r="R1175" s="80" t="str">
        <f>IFERROR(__xludf.DUMMYFUNCTION("""COMPUTED_VALUE"""),"MUC PAKET CERIA NOHYOGHI")</f>
        <v>MUC PAKET CERIA NOHYOGHI</v>
      </c>
      <c r="S1175" s="80" t="str">
        <f>IFERROR(__xludf.DUMMYFUNCTION("""COMPUTED_VALUE"""),"WIGIYANTI")</f>
        <v>WIGIYANTI</v>
      </c>
      <c r="T1175" s="80" t="str">
        <f>IFERROR(__xludf.DUMMYFUNCTION("""COMPUTED_VALUE"""),"JL.CENDRAWASIH NO.54 B RT03 RW10, CARUY, CIPARI, KAB.CILACAP")</f>
        <v>JL.CENDRAWASIH NO.54 B RT03 RW10, CARUY, CIPARI, KAB.CILACAP</v>
      </c>
      <c r="U1175" s="80" t="str">
        <f>IFERROR(__xludf.DUMMYFUNCTION("""COMPUTED_VALUE"""),"JL. YOS SUDARSO, RT.01 RW.01")</f>
        <v>JL. YOS SUDARSO, RT.01 RW.01</v>
      </c>
      <c r="V1175" s="80" t="str">
        <f>IFERROR(__xludf.DUMMYFUNCTION("""COMPUTED_VALUE"""),"RT03 R \ RW10,")</f>
        <v>RT03 R \ RW10,</v>
      </c>
      <c r="W1175" s="80" t="str">
        <f>IFERROR(__xludf.DUMMYFUNCTION("""COMPUTED_VALUE"""),"MULYASARI")</f>
        <v>MULYASARI</v>
      </c>
      <c r="X1175" s="80" t="str">
        <f>IFERROR(__xludf.DUMMYFUNCTION("""COMPUTED_VALUE"""),"MAJENANG")</f>
        <v>MAJENANG</v>
      </c>
      <c r="Y1175" s="80" t="str">
        <f>IFERROR(__xludf.DUMMYFUNCTION("""COMPUTED_VALUE"""),"KAB.CILACAP")</f>
        <v>KAB.CILACAP</v>
      </c>
      <c r="Z1175" s="80" t="str">
        <f>IFERROR(__xludf.DUMMYFUNCTION("""COMPUTED_VALUE"""),"JAWA TENGAH")</f>
        <v>JAWA TENGAH</v>
      </c>
      <c r="AA1175" s="80" t="str">
        <f>IFERROR(__xludf.DUMMYFUNCTION("""COMPUTED_VALUE"""),"53257")</f>
        <v>53257</v>
      </c>
      <c r="AB1175" s="80" t="str">
        <f>IFERROR(__xludf.DUMMYFUNCTION("""COMPUTED_VALUE"""),"3301184509860006")</f>
        <v>3301184509860006</v>
      </c>
      <c r="AC1175" s="80" t="str">
        <f>IFERROR(__xludf.DUMMYFUNCTION("""COMPUTED_VALUE"""),"33.011.845.0-986.0006")</f>
        <v>33.011.845.0-986.0006</v>
      </c>
      <c r="AD1175" s="80" t="str">
        <f>IFERROR(__xludf.DUMMYFUNCTION("""COMPUTED_VALUE"""),"CUM - UMKMNK - ASEP")</f>
        <v>CUM - UMKMNK - ASEP</v>
      </c>
      <c r="AE1175" s="80" t="str">
        <f>IFERROR(__xludf.DUMMYFUNCTION("""COMPUTED_VALUE"""),"CUM - UMKMNK - ASEP")</f>
        <v>CUM - UMKMNK - ASEP</v>
      </c>
      <c r="AF1175" s="80" t="str">
        <f>IFERROR(__xludf.DUMMYFUNCTION("""COMPUTED_VALUE"""),"082324891083")</f>
        <v>082324891083</v>
      </c>
      <c r="AG1175" s="80" t="str">
        <f>IFERROR(__xludf.DUMMYFUNCTION("""COMPUTED_VALUE"""),"82324891083")</f>
        <v>82324891083</v>
      </c>
      <c r="AH1175" s="80" t="str">
        <f>IFERROR(__xludf.DUMMYFUNCTION("""COMPUTED_VALUE"""),"wigiy011@gmail.com")</f>
        <v>wigiy011@gmail.com</v>
      </c>
      <c r="AI1175" s="80" t="str">
        <f>IFERROR(__xludf.DUMMYFUNCTION("""COMPUTED_VALUE"""),"53257S3")</f>
        <v>53257S3</v>
      </c>
      <c r="AJ1175" s="80" t="str">
        <f>IFERROR(__xludf.DUMMYFUNCTION("""COMPUTED_VALUE"""),"6a92596dfb8b6f13dc033e88")</f>
        <v>6a92596dfb8b6f13dc033e88</v>
      </c>
      <c r="AK1175" s="80" t="str">
        <f>IFERROR(__xludf.DUMMYFUNCTION("""COMPUTED_VALUE"""),"wigiy011@gmail.com")</f>
        <v>wigiy011@gmail.com</v>
      </c>
      <c r="AL1175" s="80" t="str">
        <f>IFERROR(__xludf.DUMMYFUNCTION("""COMPUTED_VALUE"""),"#Muc53257S3$")</f>
        <v>#Muc53257S3$</v>
      </c>
      <c r="AM1175" s="80" t="str">
        <f>IFERROR(__xludf.DUMMYFUNCTION("""COMPUTED_VALUE"""),"KANTOR REGIONAL IV SEMARANG 50004")</f>
        <v>KANTOR REGIONAL IV SEMARANG 50004</v>
      </c>
      <c r="AN1175" s="80" t="str">
        <f>IFERROR(__xludf.DUMMYFUNCTION("""COMPUTED_VALUE"""),"KC CILACAP 53200")</f>
        <v>KC CILACAP 53200</v>
      </c>
      <c r="AO1175" s="80" t="str">
        <f>IFERROR(__xludf.DUMMYFUNCTION("""COMPUTED_VALUE"""),"2804250069153")</f>
        <v>2804250069153</v>
      </c>
      <c r="AP1175" s="80" t="str">
        <f>IFERROR(__xludf.DUMMYFUNCTION("""COMPUTED_VALUE"""),"2804250069153")</f>
        <v>2804250069153</v>
      </c>
      <c r="AQ1175" s="83" t="str">
        <f>IFERROR(__xludf.DUMMYFUNCTION("""COMPUTED_VALUE"""),"4330338216")</f>
        <v>4330338216</v>
      </c>
      <c r="AR1175" s="80" t="str">
        <f>IFERROR(__xludf.DUMMYFUNCTION("""COMPUTED_VALUE"""),"BCA")</f>
        <v>BCA</v>
      </c>
      <c r="AS1175" s="80" t="str">
        <f>IFERROR(__xludf.DUMMYFUNCTION("""COMPUTED_VALUE"""),"WIGIYANTI")</f>
        <v>WIGIYANTI</v>
      </c>
      <c r="AT1175" s="80" t="str">
        <f>IFERROR(__xludf.DUMMYFUNCTION("""COMPUTED_VALUE"""),"-73,013,612")</f>
        <v>-73,013,612</v>
      </c>
      <c r="AU1175" s="80" t="str">
        <f>IFERROR(__xludf.DUMMYFUNCTION("""COMPUTED_VALUE"""),"1,087,643,357")</f>
        <v>1,087,643,357</v>
      </c>
      <c r="AV1175" s="80"/>
      <c r="AW1175" s="80"/>
      <c r="AX1175" s="80"/>
      <c r="AY1175" s="80"/>
      <c r="AZ1175" s="80"/>
      <c r="BA1175" s="80"/>
      <c r="BB1175" s="80"/>
      <c r="BC1175" s="80"/>
      <c r="BD1175" s="80"/>
      <c r="BE1175" s="80"/>
      <c r="BF1175" s="80"/>
      <c r="BG1175" s="80"/>
      <c r="BH1175" s="80"/>
      <c r="BI1175" s="80"/>
      <c r="BJ1175" s="80"/>
      <c r="BK1175" s="80"/>
      <c r="BL1175" s="80"/>
      <c r="BM1175" s="80"/>
      <c r="BN1175" s="80"/>
      <c r="BO1175" s="80"/>
      <c r="BP1175" s="80"/>
      <c r="BQ1175" s="80"/>
      <c r="BR1175" s="80"/>
      <c r="BS1175" s="80"/>
      <c r="BT1175" s="80"/>
      <c r="BU1175" s="80"/>
      <c r="BV1175" s="80"/>
      <c r="BW1175" s="80"/>
      <c r="BX1175" s="80"/>
      <c r="BY1175" s="80"/>
      <c r="BZ1175" s="80"/>
      <c r="CA1175" s="80"/>
      <c r="CB1175" s="80"/>
      <c r="CC1175" s="80"/>
      <c r="CD1175" s="80"/>
      <c r="CE1175" s="80"/>
      <c r="CF1175" s="80"/>
      <c r="CG1175" s="80"/>
      <c r="CH1175" s="80"/>
      <c r="CI1175" s="80"/>
      <c r="CJ1175" s="80"/>
      <c r="CK1175" s="2"/>
    </row>
    <row r="1176" ht="12.75" customHeight="1">
      <c r="A1176" s="85">
        <f>IFERROR(__xludf.DUMMYFUNCTION("""COMPUTED_VALUE"""),1172.0)</f>
        <v>1172</v>
      </c>
      <c r="B1176" s="85"/>
      <c r="C1176" s="85"/>
      <c r="D1176" s="86">
        <f>IFERROR(__xludf.DUMMYFUNCTION("""COMPUTED_VALUE"""),46217.0)</f>
        <v>46217</v>
      </c>
      <c r="E1176" s="88"/>
      <c r="F1176" s="85"/>
      <c r="G1176" s="86"/>
      <c r="H1176" s="85"/>
      <c r="I1176" s="85"/>
      <c r="J1176" s="85"/>
      <c r="K1176" s="85"/>
      <c r="L1176" s="85"/>
      <c r="M1176" s="85"/>
      <c r="N1176" s="85"/>
      <c r="O1176" s="85"/>
      <c r="P1176" s="85" t="str">
        <f>IFERROR(__xludf.DUMMYFUNCTION("""COMPUTED_VALUE"""),"MUCSPA70013PSUMK")</f>
        <v>MUCSPA70013PSUMK</v>
      </c>
      <c r="Q1176" s="85" t="str">
        <f>IFERROR(__xludf.DUMMYFUNCTION("""COMPUTED_VALUE"""),"MUC FSHOP")</f>
        <v>MUC FSHOP</v>
      </c>
      <c r="R1176" s="85" t="str">
        <f>IFERROR(__xludf.DUMMYFUNCTION("""COMPUTED_VALUE"""),"MUC FSHOP")</f>
        <v>MUC FSHOP</v>
      </c>
      <c r="S1176" s="85" t="str">
        <f>IFERROR(__xludf.DUMMYFUNCTION("""COMPUTED_VALUE"""),"NUNING SUSILOWATI")</f>
        <v>NUNING SUSILOWATI</v>
      </c>
      <c r="T1176" s="85" t="str">
        <f>IFERROR(__xludf.DUMMYFUNCTION("""COMPUTED_VALUE"""),"PERUM TAMAN CEMARA BLOK H-3. KRODAN. RT 15 RW 71, MAGUWOHARJO, DEPOK, KAB.SLEMAN")</f>
        <v>PERUM TAMAN CEMARA BLOK H-3. KRODAN. RT 15 RW 71, MAGUWOHARJO, DEPOK, KAB.SLEMAN</v>
      </c>
      <c r="U1176" s="85" t="str">
        <f>IFERROR(__xludf.DUMMYFUNCTION("""COMPUTED_VALUE"""),"JL. TAMAN CEMARA BLOK H24, JENENGAN")</f>
        <v>JL. TAMAN CEMARA BLOK H24, JENENGAN</v>
      </c>
      <c r="V1176" s="85" t="str">
        <f>IFERROR(__xludf.DUMMYFUNCTION("""COMPUTED_VALUE"""),"RT 15  \ RW 71,")</f>
        <v>RT 15  \ RW 71,</v>
      </c>
      <c r="W1176" s="85" t="str">
        <f>IFERROR(__xludf.DUMMYFUNCTION("""COMPUTED_VALUE"""),"MAGUWOHARJO")</f>
        <v>MAGUWOHARJO</v>
      </c>
      <c r="X1176" s="85" t="str">
        <f>IFERROR(__xludf.DUMMYFUNCTION("""COMPUTED_VALUE"""),"DEPOK")</f>
        <v>DEPOK</v>
      </c>
      <c r="Y1176" s="85" t="str">
        <f>IFERROR(__xludf.DUMMYFUNCTION("""COMPUTED_VALUE"""),"KAB.SLEMAN")</f>
        <v>KAB.SLEMAN</v>
      </c>
      <c r="Z1176" s="85" t="str">
        <f>IFERROR(__xludf.DUMMYFUNCTION("""COMPUTED_VALUE"""),"D.I Yogyakarta")</f>
        <v>D.I Yogyakarta</v>
      </c>
      <c r="AA1176" s="85" t="str">
        <f>IFERROR(__xludf.DUMMYFUNCTION("""COMPUTED_VALUE"""),"55282")</f>
        <v>55282</v>
      </c>
      <c r="AB1176" s="85" t="str">
        <f>IFERROR(__xludf.DUMMYFUNCTION("""COMPUTED_VALUE"""),"3404076908800009")</f>
        <v>3404076908800009</v>
      </c>
      <c r="AC1176" s="85" t="str">
        <f>IFERROR(__xludf.DUMMYFUNCTION("""COMPUTED_VALUE"""),"34.040.769.0-880.0009")</f>
        <v>34.040.769.0-880.0009</v>
      </c>
      <c r="AD1176" s="85" t="str">
        <f>IFERROR(__xludf.DUMMYFUNCTION("""COMPUTED_VALUE"""),"CUM - UMKMNK - ASEP")</f>
        <v>CUM - UMKMNK - ASEP</v>
      </c>
      <c r="AE1176" s="85" t="str">
        <f>IFERROR(__xludf.DUMMYFUNCTION("""COMPUTED_VALUE"""),"CUM - UMKMNK - ASEP")</f>
        <v>CUM - UMKMNK - ASEP</v>
      </c>
      <c r="AF1176" s="85" t="str">
        <f>IFERROR(__xludf.DUMMYFUNCTION("""COMPUTED_VALUE"""),"081281880779")</f>
        <v>081281880779</v>
      </c>
      <c r="AG1176" s="85" t="str">
        <f>IFERROR(__xludf.DUMMYFUNCTION("""COMPUTED_VALUE"""),"81281880779")</f>
        <v>81281880779</v>
      </c>
      <c r="AH1176" s="85" t="str">
        <f>IFERROR(__xludf.DUMMYFUNCTION("""COMPUTED_VALUE"""),"nuningfa2@gmail.com")</f>
        <v>nuningfa2@gmail.com</v>
      </c>
      <c r="AI1176" s="85"/>
      <c r="AJ1176" s="85"/>
      <c r="AK1176" s="85"/>
      <c r="AL1176" s="85"/>
      <c r="AM1176" s="85" t="str">
        <f>IFERROR(__xludf.DUMMYFUNCTION("""COMPUTED_VALUE"""),"KANTOR REGIONAL IV SEMARANG 50004")</f>
        <v>KANTOR REGIONAL IV SEMARANG 50004</v>
      </c>
      <c r="AN1176" s="85" t="str">
        <f>IFERROR(__xludf.DUMMYFUNCTION("""COMPUTED_VALUE"""),"KCU YOGYAKARTA 55000")</f>
        <v>KCU YOGYAKARTA 55000</v>
      </c>
      <c r="AO1176" s="85" t="str">
        <f>IFERROR(__xludf.DUMMYFUNCTION("""COMPUTED_VALUE"""),"0708250075634")</f>
        <v>0708250075634</v>
      </c>
      <c r="AP1176" s="85" t="str">
        <f>IFERROR(__xludf.DUMMYFUNCTION("""COMPUTED_VALUE"""),"0708250075634")</f>
        <v>0708250075634</v>
      </c>
      <c r="AQ1176" s="93" t="str">
        <f>IFERROR(__xludf.DUMMYFUNCTION("""COMPUTED_VALUE"""),"4560775381")</f>
        <v>4560775381</v>
      </c>
      <c r="AR1176" s="85" t="str">
        <f>IFERROR(__xludf.DUMMYFUNCTION("""COMPUTED_VALUE"""),"BCA")</f>
        <v>BCA</v>
      </c>
      <c r="AS1176" s="85" t="str">
        <f>IFERROR(__xludf.DUMMYFUNCTION("""COMPUTED_VALUE"""),"NUNING SUSILOWATI")</f>
        <v>NUNING SUSILOWATI</v>
      </c>
      <c r="AT1176" s="85" t="str">
        <f>IFERROR(__xludf.DUMMYFUNCTION("""COMPUTED_VALUE"""),"-77,594,024")</f>
        <v>-77,594,024</v>
      </c>
      <c r="AU1176" s="85" t="str">
        <f>IFERROR(__xludf.DUMMYFUNCTION("""COMPUTED_VALUE"""),"1,104,193,334")</f>
        <v>1,104,193,334</v>
      </c>
      <c r="AV1176" s="85"/>
      <c r="AW1176" s="85"/>
      <c r="AX1176" s="85"/>
      <c r="AY1176" s="85"/>
      <c r="AZ1176" s="85"/>
      <c r="BA1176" s="85"/>
      <c r="BB1176" s="85"/>
      <c r="BC1176" s="85"/>
      <c r="BD1176" s="85"/>
      <c r="BE1176" s="85"/>
      <c r="BF1176" s="85"/>
      <c r="BG1176" s="85"/>
      <c r="BH1176" s="85"/>
      <c r="BI1176" s="85"/>
      <c r="BJ1176" s="85"/>
      <c r="BK1176" s="85"/>
      <c r="BL1176" s="85"/>
      <c r="BM1176" s="85"/>
      <c r="BN1176" s="85"/>
      <c r="BO1176" s="85"/>
      <c r="BP1176" s="85"/>
      <c r="BQ1176" s="85"/>
      <c r="BR1176" s="85"/>
      <c r="BS1176" s="85"/>
      <c r="BT1176" s="85"/>
      <c r="BU1176" s="85"/>
      <c r="BV1176" s="85"/>
      <c r="BW1176" s="85"/>
      <c r="BX1176" s="85"/>
      <c r="BY1176" s="85"/>
      <c r="BZ1176" s="85"/>
      <c r="CA1176" s="85"/>
      <c r="CB1176" s="85"/>
      <c r="CC1176" s="85"/>
      <c r="CD1176" s="85"/>
      <c r="CE1176" s="85"/>
      <c r="CF1176" s="85"/>
      <c r="CG1176" s="85"/>
      <c r="CH1176" s="85"/>
      <c r="CI1176" s="85"/>
      <c r="CJ1176" s="85"/>
      <c r="CK1176" s="2"/>
    </row>
    <row r="1177" ht="12.75" customHeight="1">
      <c r="A1177" s="80">
        <f>IFERROR(__xludf.DUMMYFUNCTION("""COMPUTED_VALUE"""),1173.0)</f>
        <v>1173</v>
      </c>
      <c r="B1177" s="80"/>
      <c r="C1177" s="80"/>
      <c r="D1177" s="81">
        <f>IFERROR(__xludf.DUMMYFUNCTION("""COMPUTED_VALUE"""),46218.0)</f>
        <v>46218</v>
      </c>
      <c r="E1177" s="82"/>
      <c r="F1177" s="80"/>
      <c r="G1177" s="81">
        <f>IFERROR(__xludf.DUMMYFUNCTION("""COMPUTED_VALUE"""),46223.0)</f>
        <v>46223</v>
      </c>
      <c r="H1177" s="80"/>
      <c r="I1177" s="80"/>
      <c r="J1177" s="80"/>
      <c r="K1177" s="80"/>
      <c r="L1177" s="80">
        <f>IFERROR(__xludf.DUMMYFUNCTION("""COMPUTED_VALUE"""),5.0)</f>
        <v>5</v>
      </c>
      <c r="M1177" s="80"/>
      <c r="N1177" s="80"/>
      <c r="O1177" s="80"/>
      <c r="P1177" s="80" t="str">
        <f>IFERROR(__xludf.DUMMYFUNCTION("""COMPUTED_VALUE"""),"53BSPA17147JBNDS")</f>
        <v>53BSPA17147JBNDS</v>
      </c>
      <c r="Q1177" s="80" t="str">
        <f>IFERROR(__xludf.DUMMYFUNCTION("""COMPUTED_VALUE"""),"MUC JANA")</f>
        <v>MUC JANA</v>
      </c>
      <c r="R1177" s="80" t="str">
        <f>IFERROR(__xludf.DUMMYFUNCTION("""COMPUTED_VALUE"""),"MUC JANA")</f>
        <v>MUC JANA</v>
      </c>
      <c r="S1177" s="80" t="str">
        <f>IFERROR(__xludf.DUMMYFUNCTION("""COMPUTED_VALUE"""),"ARSINAH")</f>
        <v>ARSINAH</v>
      </c>
      <c r="T1177" s="80" t="str">
        <f>IFERROR(__xludf.DUMMYFUNCTION("""COMPUTED_VALUE"""),"KP SABRANG RT 02 RW 01, JAWILAN, JAWILAN, KAB.SERANG")</f>
        <v>KP SABRANG RT 02 RW 01, JAWILAN, JAWILAN, KAB.SERANG</v>
      </c>
      <c r="U1177" s="80" t="str">
        <f>IFERROR(__xludf.DUMMYFUNCTION("""COMPUTED_VALUE"""),"KP. CIAWET JL. Raya Cikande Rangkasbitung")</f>
        <v>KP. CIAWET JL. Raya Cikande Rangkasbitung</v>
      </c>
      <c r="V1177" s="80" t="str">
        <f>IFERROR(__xludf.DUMMYFUNCTION("""COMPUTED_VALUE"""),"RT 02  \ RW 01,")</f>
        <v>RT 02  \ RW 01,</v>
      </c>
      <c r="W1177" s="80" t="str">
        <f>IFERROR(__xludf.DUMMYFUNCTION("""COMPUTED_VALUE"""),"MAJASARI")</f>
        <v>MAJASARI</v>
      </c>
      <c r="X1177" s="80" t="str">
        <f>IFERROR(__xludf.DUMMYFUNCTION("""COMPUTED_VALUE"""),"JAWILAN")</f>
        <v>JAWILAN</v>
      </c>
      <c r="Y1177" s="80" t="str">
        <f>IFERROR(__xludf.DUMMYFUNCTION("""COMPUTED_VALUE"""),"KAB.SERANG")</f>
        <v>KAB.SERANG</v>
      </c>
      <c r="Z1177" s="80" t="str">
        <f>IFERROR(__xludf.DUMMYFUNCTION("""COMPUTED_VALUE"""),"BANTEN")</f>
        <v>BANTEN</v>
      </c>
      <c r="AA1177" s="80" t="str">
        <f>IFERROR(__xludf.DUMMYFUNCTION("""COMPUTED_VALUE"""),"42177")</f>
        <v>42177</v>
      </c>
      <c r="AB1177" s="80" t="str">
        <f>IFERROR(__xludf.DUMMYFUNCTION("""COMPUTED_VALUE"""),"3604265507910001")</f>
        <v>3604265507910001</v>
      </c>
      <c r="AC1177" s="80" t="str">
        <f>IFERROR(__xludf.DUMMYFUNCTION("""COMPUTED_VALUE"""),"70.770.274.2-401.000")</f>
        <v>70.770.274.2-401.000</v>
      </c>
      <c r="AD1177" s="80" t="str">
        <f>IFERROR(__xludf.DUMMYFUNCTION("""COMPUTED_VALUE"""),"CUM - NDS")</f>
        <v>CUM - NDS</v>
      </c>
      <c r="AE1177" s="80" t="str">
        <f>IFERROR(__xludf.DUMMYFUNCTION("""COMPUTED_VALUE"""),"CUM - NDS")</f>
        <v>CUM - NDS</v>
      </c>
      <c r="AF1177" s="80" t="str">
        <f>IFERROR(__xludf.DUMMYFUNCTION("""COMPUTED_VALUE"""),"08227531353")</f>
        <v>08227531353</v>
      </c>
      <c r="AG1177" s="80" t="str">
        <f>IFERROR(__xludf.DUMMYFUNCTION("""COMPUTED_VALUE"""),"8227531353")</f>
        <v>8227531353</v>
      </c>
      <c r="AH1177" s="80" t="str">
        <f>IFERROR(__xludf.DUMMYFUNCTION("""COMPUTED_VALUE"""),"mangjanajana610@gmail.com")</f>
        <v>mangjanajana610@gmail.com</v>
      </c>
      <c r="AI1177" s="80" t="str">
        <f>IFERROR(__xludf.DUMMYFUNCTION("""COMPUTED_VALUE"""),"42177S1")</f>
        <v>42177S1</v>
      </c>
      <c r="AJ1177" s="80" t="str">
        <f>IFERROR(__xludf.DUMMYFUNCTION("""COMPUTED_VALUE"""),"6a5cdd0cbd1083d8110eb02c")</f>
        <v>6a5cdd0cbd1083d8110eb02c</v>
      </c>
      <c r="AK1177" s="80" t="str">
        <f>IFERROR(__xludf.DUMMYFUNCTION("""COMPUTED_VALUE"""),"mangjanajana610@gmail.com")</f>
        <v>mangjanajana610@gmail.com</v>
      </c>
      <c r="AL1177" s="80" t="str">
        <f>IFERROR(__xludf.DUMMYFUNCTION("""COMPUTED_VALUE"""),"#Muc42177S1$")</f>
        <v>#Muc42177S1$</v>
      </c>
      <c r="AM1177" s="80" t="str">
        <f>IFERROR(__xludf.DUMMYFUNCTION("""COMPUTED_VALUE"""),"KANTOR REGIONAL II JAKARTA 10004")</f>
        <v>KANTOR REGIONAL II JAKARTA 10004</v>
      </c>
      <c r="AN1177" s="80" t="str">
        <f>IFERROR(__xludf.DUMMYFUNCTION("""COMPUTED_VALUE"""),"KCU SERANG 42100")</f>
        <v>KCU SERANG 42100</v>
      </c>
      <c r="AO1177" s="80" t="str">
        <f>IFERROR(__xludf.DUMMYFUNCTION("""COMPUTED_VALUE"""),"1407260066867")</f>
        <v>1407260066867</v>
      </c>
      <c r="AP1177" s="80" t="str">
        <f>IFERROR(__xludf.DUMMYFUNCTION("""COMPUTED_VALUE"""),"1407260066867")</f>
        <v>1407260066867</v>
      </c>
      <c r="AQ1177" s="83" t="str">
        <f>IFERROR(__xludf.DUMMYFUNCTION("""COMPUTED_VALUE"""),"4921150070")</f>
        <v>4921150070</v>
      </c>
      <c r="AR1177" s="80" t="str">
        <f>IFERROR(__xludf.DUMMYFUNCTION("""COMPUTED_VALUE"""),"BCA")</f>
        <v>BCA</v>
      </c>
      <c r="AS1177" s="80" t="str">
        <f>IFERROR(__xludf.DUMMYFUNCTION("""COMPUTED_VALUE"""),"JANA")</f>
        <v>JANA</v>
      </c>
      <c r="AT1177" s="80" t="str">
        <f>IFERROR(__xludf.DUMMYFUNCTION("""COMPUTED_VALUE"""),"-62,780,133")</f>
        <v>-62,780,133</v>
      </c>
      <c r="AU1177" s="80" t="str">
        <f>IFERROR(__xludf.DUMMYFUNCTION("""COMPUTED_VALUE"""),"1,063,435,291")</f>
        <v>1,063,435,291</v>
      </c>
      <c r="AV1177" s="80"/>
      <c r="AW1177" s="80"/>
      <c r="AX1177" s="80"/>
      <c r="AY1177" s="80"/>
      <c r="AZ1177" s="80"/>
      <c r="BA1177" s="80"/>
      <c r="BB1177" s="80"/>
      <c r="BC1177" s="80"/>
      <c r="BD1177" s="80"/>
      <c r="BE1177" s="80"/>
      <c r="BF1177" s="80"/>
      <c r="BG1177" s="80"/>
      <c r="BH1177" s="80"/>
      <c r="BI1177" s="80"/>
      <c r="BJ1177" s="80"/>
      <c r="BK1177" s="80"/>
      <c r="BL1177" s="80"/>
      <c r="BM1177" s="80"/>
      <c r="BN1177" s="80"/>
      <c r="BO1177" s="80"/>
      <c r="BP1177" s="80"/>
      <c r="BQ1177" s="80"/>
      <c r="BR1177" s="80"/>
      <c r="BS1177" s="80"/>
      <c r="BT1177" s="80"/>
      <c r="BU1177" s="80"/>
      <c r="BV1177" s="80"/>
      <c r="BW1177" s="80"/>
      <c r="BX1177" s="80"/>
      <c r="BY1177" s="80"/>
      <c r="BZ1177" s="80"/>
      <c r="CA1177" s="80"/>
      <c r="CB1177" s="80"/>
      <c r="CC1177" s="80"/>
      <c r="CD1177" s="80"/>
      <c r="CE1177" s="80"/>
      <c r="CF1177" s="80"/>
      <c r="CG1177" s="80"/>
      <c r="CH1177" s="80"/>
      <c r="CI1177" s="80"/>
      <c r="CJ1177" s="80"/>
      <c r="CK1177" s="2"/>
    </row>
    <row r="1178" ht="12.75" customHeight="1">
      <c r="A1178" s="85">
        <f>IFERROR(__xludf.DUMMYFUNCTION("""COMPUTED_VALUE"""),1174.0)</f>
        <v>1174</v>
      </c>
      <c r="B1178" s="85"/>
      <c r="C1178" s="85"/>
      <c r="D1178" s="86">
        <f>IFERROR(__xludf.DUMMYFUNCTION("""COMPUTED_VALUE"""),46218.0)</f>
        <v>46218</v>
      </c>
      <c r="E1178" s="88"/>
      <c r="F1178" s="85"/>
      <c r="G1178" s="86">
        <f>IFERROR(__xludf.DUMMYFUNCTION("""COMPUTED_VALUE"""),46258.0)</f>
        <v>46258</v>
      </c>
      <c r="H1178" s="85"/>
      <c r="I1178" s="85"/>
      <c r="J1178" s="85"/>
      <c r="K1178" s="85"/>
      <c r="L1178" s="85">
        <f>IFERROR(__xludf.DUMMYFUNCTION("""COMPUTED_VALUE"""),40.0)</f>
        <v>40</v>
      </c>
      <c r="M1178" s="85"/>
      <c r="N1178" s="85"/>
      <c r="O1178" s="85"/>
      <c r="P1178" s="85" t="str">
        <f>IFERROR(__xludf.DUMMYFUNCTION("""COMPUTED_VALUE"""),"MUCSPA70014PSUMK")</f>
        <v>MUCSPA70014PSUMK</v>
      </c>
      <c r="Q1178" s="85" t="str">
        <f>IFERROR(__xludf.DUMMYFUNCTION("""COMPUTED_VALUE"""),"MUC IB Yogi Dewantara")</f>
        <v>MUC IB Yogi Dewantara</v>
      </c>
      <c r="R1178" s="85" t="str">
        <f>IFERROR(__xludf.DUMMYFUNCTION("""COMPUTED_VALUE"""),"MUC IB Yogi Dewantara")</f>
        <v>MUC IB Yogi Dewantara</v>
      </c>
      <c r="S1178" s="85" t="str">
        <f>IFERROR(__xludf.DUMMYFUNCTION("""COMPUTED_VALUE"""),"Ida Bagus Yogi Dewantara")</f>
        <v>Ida Bagus Yogi Dewantara</v>
      </c>
      <c r="T1178" s="85" t="str">
        <f>IFERROR(__xludf.DUMMYFUNCTION("""COMPUTED_VALUE"""),"JL.HARMONIKA BLOK N/10Harmonika Blok N no 10, Cipondoh, Tangerang 15158")</f>
        <v>JL.HARMONIKA BLOK N/10Harmonika Blok N no 10, Cipondoh, Tangerang 15158</v>
      </c>
      <c r="U1178" s="85" t="str">
        <f>IFERROR(__xludf.DUMMYFUNCTION("""COMPUTED_VALUE"""),"Jl Harmonika Blok N no 10, Komplek Garuda Cipondoh Permai")</f>
        <v>Jl Harmonika Blok N no 10, Komplek Garuda Cipondoh Permai</v>
      </c>
      <c r="V1178" s="85"/>
      <c r="W1178" s="85" t="str">
        <f>IFERROR(__xludf.DUMMYFUNCTION("""COMPUTED_VALUE"""),"Cipondoh")</f>
        <v>Cipondoh</v>
      </c>
      <c r="X1178" s="85" t="str">
        <f>IFERROR(__xludf.DUMMYFUNCTION("""COMPUTED_VALUE"""),"Cipondoh")</f>
        <v>Cipondoh</v>
      </c>
      <c r="Y1178" s="85" t="str">
        <f>IFERROR(__xludf.DUMMYFUNCTION("""COMPUTED_VALUE"""),"Tangerang")</f>
        <v>Tangerang</v>
      </c>
      <c r="Z1178" s="85" t="str">
        <f>IFERROR(__xludf.DUMMYFUNCTION("""COMPUTED_VALUE"""),"Banten")</f>
        <v>Banten</v>
      </c>
      <c r="AA1178" s="85" t="str">
        <f>IFERROR(__xludf.DUMMYFUNCTION("""COMPUTED_VALUE"""),"15148")</f>
        <v>15148</v>
      </c>
      <c r="AB1178" s="85" t="str">
        <f>IFERROR(__xludf.DUMMYFUNCTION("""COMPUTED_VALUE"""),"3671051007970006")</f>
        <v>3671051007970006</v>
      </c>
      <c r="AC1178" s="85" t="str">
        <f>IFERROR(__xludf.DUMMYFUNCTION("""COMPUTED_VALUE"""),"60.162.900.9-416.000")</f>
        <v>60.162.900.9-416.000</v>
      </c>
      <c r="AD1178" s="85" t="str">
        <f>IFERROR(__xludf.DUMMYFUNCTION("""COMPUTED_VALUE"""),"CUM - UMKMNK - ASEP")</f>
        <v>CUM - UMKMNK - ASEP</v>
      </c>
      <c r="AE1178" s="85" t="str">
        <f>IFERROR(__xludf.DUMMYFUNCTION("""COMPUTED_VALUE"""),"CUM - UMKMNK - ASEP")</f>
        <v>CUM - UMKMNK - ASEP</v>
      </c>
      <c r="AF1178" s="85" t="str">
        <f>IFERROR(__xludf.DUMMYFUNCTION("""COMPUTED_VALUE"""),"0895370256273")</f>
        <v>0895370256273</v>
      </c>
      <c r="AG1178" s="85" t="str">
        <f>IFERROR(__xludf.DUMMYFUNCTION("""COMPUTED_VALUE"""),"895370256273")</f>
        <v>895370256273</v>
      </c>
      <c r="AH1178" s="85" t="str">
        <f>IFERROR(__xludf.DUMMYFUNCTION("""COMPUTED_VALUE"""),"yogidewantara28@gmail.com")</f>
        <v>yogidewantara28@gmail.com</v>
      </c>
      <c r="AI1178" s="85" t="str">
        <f>IFERROR(__xludf.DUMMYFUNCTION("""COMPUTED_VALUE"""),"15148S6")</f>
        <v>15148S6</v>
      </c>
      <c r="AJ1178" s="85" t="str">
        <f>IFERROR(__xludf.DUMMYFUNCTION("""COMPUTED_VALUE"""),"6a8a6fa12e7ede3b6e0b9f88")</f>
        <v>6a8a6fa12e7ede3b6e0b9f88</v>
      </c>
      <c r="AK1178" s="85" t="str">
        <f>IFERROR(__xludf.DUMMYFUNCTION("""COMPUTED_VALUE"""),"yogidewantara28@gmail.com")</f>
        <v>yogidewantara28@gmail.com</v>
      </c>
      <c r="AL1178" s="85" t="str">
        <f>IFERROR(__xludf.DUMMYFUNCTION("""COMPUTED_VALUE"""),"#Muc15148S6$")</f>
        <v>#Muc15148S6$</v>
      </c>
      <c r="AM1178" s="85" t="str">
        <f>IFERROR(__xludf.DUMMYFUNCTION("""COMPUTED_VALUE"""),"KANTOR REGIONAL II JAKARTA 10004")</f>
        <v>KANTOR REGIONAL II JAKARTA 10004</v>
      </c>
      <c r="AN1178" s="85" t="str">
        <f>IFERROR(__xludf.DUMMYFUNCTION("""COMPUTED_VALUE"""),"KCU TANGERANG 15000")</f>
        <v>KCU TANGERANG 15000</v>
      </c>
      <c r="AO1178" s="85" t="str">
        <f>IFERROR(__xludf.DUMMYFUNCTION("""COMPUTED_VALUE"""),"1407260017444")</f>
        <v>1407260017444</v>
      </c>
      <c r="AP1178" s="85" t="str">
        <f>IFERROR(__xludf.DUMMYFUNCTION("""COMPUTED_VALUE"""),"1407260017444")</f>
        <v>1407260017444</v>
      </c>
      <c r="AQ1178" s="93" t="str">
        <f>IFERROR(__xludf.DUMMYFUNCTION("""COMPUTED_VALUE"""),"8670650104")</f>
        <v>8670650104</v>
      </c>
      <c r="AR1178" s="85" t="str">
        <f>IFERROR(__xludf.DUMMYFUNCTION("""COMPUTED_VALUE"""),"BCA")</f>
        <v>BCA</v>
      </c>
      <c r="AS1178" s="85" t="str">
        <f>IFERROR(__xludf.DUMMYFUNCTION("""COMPUTED_VALUE"""),"Ida Bagus Yogi Dewantara")</f>
        <v>Ida Bagus Yogi Dewantara</v>
      </c>
      <c r="AT1178" s="85" t="str">
        <f>IFERROR(__xludf.DUMMYFUNCTION("""COMPUTED_VALUE"""),"-61,891,584")</f>
        <v>-61,891,584</v>
      </c>
      <c r="AU1178" s="85" t="str">
        <f>IFERROR(__xludf.DUMMYFUNCTION("""COMPUTED_VALUE"""),"1,066,783,678")</f>
        <v>1,066,783,678</v>
      </c>
      <c r="AV1178" s="85"/>
      <c r="AW1178" s="85"/>
      <c r="AX1178" s="85"/>
      <c r="AY1178" s="85"/>
      <c r="AZ1178" s="85"/>
      <c r="BA1178" s="85"/>
      <c r="BB1178" s="85"/>
      <c r="BC1178" s="85"/>
      <c r="BD1178" s="85"/>
      <c r="BE1178" s="85"/>
      <c r="BF1178" s="85"/>
      <c r="BG1178" s="85"/>
      <c r="BH1178" s="85"/>
      <c r="BI1178" s="85"/>
      <c r="BJ1178" s="85"/>
      <c r="BK1178" s="85"/>
      <c r="BL1178" s="85"/>
      <c r="BM1178" s="85"/>
      <c r="BN1178" s="85"/>
      <c r="BO1178" s="85"/>
      <c r="BP1178" s="85"/>
      <c r="BQ1178" s="85"/>
      <c r="BR1178" s="85"/>
      <c r="BS1178" s="85"/>
      <c r="BT1178" s="85"/>
      <c r="BU1178" s="85"/>
      <c r="BV1178" s="85"/>
      <c r="BW1178" s="85"/>
      <c r="BX1178" s="85"/>
      <c r="BY1178" s="85"/>
      <c r="BZ1178" s="85"/>
      <c r="CA1178" s="85"/>
      <c r="CB1178" s="85"/>
      <c r="CC1178" s="85"/>
      <c r="CD1178" s="85"/>
      <c r="CE1178" s="85"/>
      <c r="CF1178" s="85"/>
      <c r="CG1178" s="85"/>
      <c r="CH1178" s="85"/>
      <c r="CI1178" s="85"/>
      <c r="CJ1178" s="85"/>
      <c r="CK1178" s="2"/>
    </row>
    <row r="1179" ht="12.75" customHeight="1">
      <c r="A1179" s="80">
        <f>IFERROR(__xludf.DUMMYFUNCTION("""COMPUTED_VALUE"""),1175.0)</f>
        <v>1175</v>
      </c>
      <c r="B1179" s="80"/>
      <c r="C1179" s="80"/>
      <c r="D1179" s="81">
        <f>IFERROR(__xludf.DUMMYFUNCTION("""COMPUTED_VALUE"""),46218.0)</f>
        <v>46218</v>
      </c>
      <c r="E1179" s="82"/>
      <c r="F1179" s="80"/>
      <c r="G1179" s="81">
        <f>IFERROR(__xludf.DUMMYFUNCTION("""COMPUTED_VALUE"""),46238.0)</f>
        <v>46238</v>
      </c>
      <c r="H1179" s="80"/>
      <c r="I1179" s="80"/>
      <c r="J1179" s="80"/>
      <c r="K1179" s="80"/>
      <c r="L1179" s="80">
        <f>IFERROR(__xludf.DUMMYFUNCTION("""COMPUTED_VALUE"""),20.0)</f>
        <v>20</v>
      </c>
      <c r="M1179" s="80"/>
      <c r="N1179" s="80"/>
      <c r="O1179" s="80"/>
      <c r="P1179" s="80" t="str">
        <f>IFERROR(__xludf.DUMMYFUNCTION("""COMPUTED_VALUE"""),"MUCSPA70016PSUMK")</f>
        <v>MUCSPA70016PSUMK</v>
      </c>
      <c r="Q1179" s="80" t="str">
        <f>IFERROR(__xludf.DUMMYFUNCTION("""COMPUTED_VALUE"""),"MUC PAJAR BULAN")</f>
        <v>MUC PAJAR BULAN</v>
      </c>
      <c r="R1179" s="80" t="str">
        <f>IFERROR(__xludf.DUMMYFUNCTION("""COMPUTED_VALUE"""),"MUC PAJAR BULAN")</f>
        <v>MUC PAJAR BULAN</v>
      </c>
      <c r="S1179" s="80" t="str">
        <f>IFERROR(__xludf.DUMMYFUNCTION("""COMPUTED_VALUE"""),"Heri Irawan")</f>
        <v>Heri Irawan</v>
      </c>
      <c r="T1179" s="80" t="str">
        <f>IFERROR(__xludf.DUMMYFUNCTION("""COMPUTED_VALUE"""),"Jl. Gotong Royong NO. 70 RT. 002 Desa Pajar Bulan Kec. Tanjung Batu Kab. Ogan Ilir Sumatera Selatan")</f>
        <v>Jl. Gotong Royong NO. 70 RT. 002 Desa Pajar Bulan Kec. Tanjung Batu Kab. Ogan Ilir Sumatera Selatan</v>
      </c>
      <c r="U1179" s="80" t="str">
        <f>IFERROR(__xludf.DUMMYFUNCTION("""COMPUTED_VALUE"""),"Jl. Gotong Royong Ds. I RT. 002 Desa Pajar Bulan Kec. Tanjung Batu Kab. Ogan Ilir Sumatera Selatan")</f>
        <v>Jl. Gotong Royong Ds. I RT. 002 Desa Pajar Bulan Kec. Tanjung Batu Kab. Ogan Ilir Sumatera Selatan</v>
      </c>
      <c r="V1179" s="80"/>
      <c r="W1179" s="80" t="str">
        <f>IFERROR(__xludf.DUMMYFUNCTION("""COMPUTED_VALUE"""),"Pajar Bulan")</f>
        <v>Pajar Bulan</v>
      </c>
      <c r="X1179" s="80" t="str">
        <f>IFERROR(__xludf.DUMMYFUNCTION("""COMPUTED_VALUE"""),"Tanjung Batu")</f>
        <v>Tanjung Batu</v>
      </c>
      <c r="Y1179" s="80" t="str">
        <f>IFERROR(__xludf.DUMMYFUNCTION("""COMPUTED_VALUE"""),"Ogan Ilir")</f>
        <v>Ogan Ilir</v>
      </c>
      <c r="Z1179" s="80" t="str">
        <f>IFERROR(__xludf.DUMMYFUNCTION("""COMPUTED_VALUE"""),"SUMATERA SELATAN")</f>
        <v>SUMATERA SELATAN</v>
      </c>
      <c r="AA1179" s="80" t="str">
        <f>IFERROR(__xludf.DUMMYFUNCTION("""COMPUTED_VALUE"""),"30864")</f>
        <v>30864</v>
      </c>
      <c r="AB1179" s="80" t="str">
        <f>IFERROR(__xludf.DUMMYFUNCTION("""COMPUTED_VALUE"""),"1610021204940001")</f>
        <v>1610021204940001</v>
      </c>
      <c r="AC1179" s="80" t="str">
        <f>IFERROR(__xludf.DUMMYFUNCTION("""COMPUTED_VALUE"""),"42.589.786.5-312.000")</f>
        <v>42.589.786.5-312.000</v>
      </c>
      <c r="AD1179" s="80" t="str">
        <f>IFERROR(__xludf.DUMMYFUNCTION("""COMPUTED_VALUE"""),"CUM - UMKMNK - ASEP")</f>
        <v>CUM - UMKMNK - ASEP</v>
      </c>
      <c r="AE1179" s="80" t="str">
        <f>IFERROR(__xludf.DUMMYFUNCTION("""COMPUTED_VALUE"""),"CUM - UMKMNK - ASEP")</f>
        <v>CUM - UMKMNK - ASEP</v>
      </c>
      <c r="AF1179" s="80" t="str">
        <f>IFERROR(__xludf.DUMMYFUNCTION("""COMPUTED_VALUE"""),"082281468814")</f>
        <v>082281468814</v>
      </c>
      <c r="AG1179" s="80" t="str">
        <f>IFERROR(__xludf.DUMMYFUNCTION("""COMPUTED_VALUE"""),"82281468814")</f>
        <v>82281468814</v>
      </c>
      <c r="AH1179" s="80" t="str">
        <f>IFERROR(__xludf.DUMMYFUNCTION("""COMPUTED_VALUE"""),"heriirawan1204@gmail.com")</f>
        <v>heriirawan1204@gmail.com</v>
      </c>
      <c r="AI1179" s="80" t="str">
        <f>IFERROR(__xludf.DUMMYFUNCTION("""COMPUTED_VALUE"""),"30864S1")</f>
        <v>30864S1</v>
      </c>
      <c r="AJ1179" s="80" t="str">
        <f>IFERROR(__xludf.DUMMYFUNCTION("""COMPUTED_VALUE"""),"6a71b8b988b5e588dc0b13af")</f>
        <v>6a71b8b988b5e588dc0b13af</v>
      </c>
      <c r="AK1179" s="80" t="str">
        <f>IFERROR(__xludf.DUMMYFUNCTION("""COMPUTED_VALUE"""),"heriirawan1204@gmail.com")</f>
        <v>heriirawan1204@gmail.com</v>
      </c>
      <c r="AL1179" s="80" t="str">
        <f>IFERROR(__xludf.DUMMYFUNCTION("""COMPUTED_VALUE"""),"#Muc30864S1$")</f>
        <v>#Muc30864S1$</v>
      </c>
      <c r="AM1179" s="80" t="str">
        <f>IFERROR(__xludf.DUMMYFUNCTION("""COMPUTED_VALUE"""),"KANTOR REGIONAL I MEDAN 20004")</f>
        <v>KANTOR REGIONAL I MEDAN 20004</v>
      </c>
      <c r="AN1179" s="80" t="str">
        <f>IFERROR(__xludf.DUMMYFUNCTION("""COMPUTED_VALUE"""),"KCU PALEMBANG 30000")</f>
        <v>KCU PALEMBANG 30000</v>
      </c>
      <c r="AO1179" s="80" t="str">
        <f>IFERROR(__xludf.DUMMYFUNCTION("""COMPUTED_VALUE"""),"1202000621753")</f>
        <v>1202000621753</v>
      </c>
      <c r="AP1179" s="80" t="str">
        <f>IFERROR(__xludf.DUMMYFUNCTION("""COMPUTED_VALUE"""),"1202000621753")</f>
        <v>1202000621753</v>
      </c>
      <c r="AQ1179" s="83" t="str">
        <f>IFERROR(__xludf.DUMMYFUNCTION("""COMPUTED_VALUE"""),"0214458094")</f>
        <v>0214458094</v>
      </c>
      <c r="AR1179" s="80" t="str">
        <f>IFERROR(__xludf.DUMMYFUNCTION("""COMPUTED_VALUE"""),"BCA")</f>
        <v>BCA</v>
      </c>
      <c r="AS1179" s="80" t="str">
        <f>IFERROR(__xludf.DUMMYFUNCTION("""COMPUTED_VALUE"""),"Heri Irawan")</f>
        <v>Heri Irawan</v>
      </c>
      <c r="AT1179" s="80" t="str">
        <f>IFERROR(__xludf.DUMMYFUNCTION("""COMPUTED_VALUE"""),"-3,351,039")</f>
        <v>-3,351,039</v>
      </c>
      <c r="AU1179" s="80" t="str">
        <f>IFERROR(__xludf.DUMMYFUNCTION("""COMPUTED_VALUE"""),"1,046,047,871")</f>
        <v>1,046,047,871</v>
      </c>
      <c r="AV1179" s="80"/>
      <c r="AW1179" s="80"/>
      <c r="AX1179" s="80"/>
      <c r="AY1179" s="80"/>
      <c r="AZ1179" s="80"/>
      <c r="BA1179" s="80"/>
      <c r="BB1179" s="80"/>
      <c r="BC1179" s="80"/>
      <c r="BD1179" s="80"/>
      <c r="BE1179" s="80"/>
      <c r="BF1179" s="80"/>
      <c r="BG1179" s="80"/>
      <c r="BH1179" s="80"/>
      <c r="BI1179" s="80"/>
      <c r="BJ1179" s="80"/>
      <c r="BK1179" s="80"/>
      <c r="BL1179" s="80"/>
      <c r="BM1179" s="80"/>
      <c r="BN1179" s="80"/>
      <c r="BO1179" s="80"/>
      <c r="BP1179" s="80"/>
      <c r="BQ1179" s="80"/>
      <c r="BR1179" s="80"/>
      <c r="BS1179" s="80"/>
      <c r="BT1179" s="80"/>
      <c r="BU1179" s="80"/>
      <c r="BV1179" s="80"/>
      <c r="BW1179" s="80"/>
      <c r="BX1179" s="80"/>
      <c r="BY1179" s="80"/>
      <c r="BZ1179" s="80"/>
      <c r="CA1179" s="80"/>
      <c r="CB1179" s="80"/>
      <c r="CC1179" s="80"/>
      <c r="CD1179" s="80"/>
      <c r="CE1179" s="80"/>
      <c r="CF1179" s="80"/>
      <c r="CG1179" s="80"/>
      <c r="CH1179" s="80"/>
      <c r="CI1179" s="80"/>
      <c r="CJ1179" s="80"/>
      <c r="CK1179" s="2"/>
    </row>
    <row r="1180" ht="12.75" customHeight="1">
      <c r="A1180" s="85">
        <f>IFERROR(__xludf.DUMMYFUNCTION("""COMPUTED_VALUE"""),1176.0)</f>
        <v>1176</v>
      </c>
      <c r="B1180" s="85"/>
      <c r="C1180" s="85"/>
      <c r="D1180" s="86">
        <f>IFERROR(__xludf.DUMMYFUNCTION("""COMPUTED_VALUE"""),46218.0)</f>
        <v>46218</v>
      </c>
      <c r="E1180" s="88"/>
      <c r="F1180" s="85"/>
      <c r="G1180" s="86">
        <f>IFERROR(__xludf.DUMMYFUNCTION("""COMPUTED_VALUE"""),46244.0)</f>
        <v>46244</v>
      </c>
      <c r="H1180" s="85"/>
      <c r="I1180" s="85"/>
      <c r="J1180" s="85"/>
      <c r="K1180" s="85"/>
      <c r="L1180" s="85">
        <f>IFERROR(__xludf.DUMMYFUNCTION("""COMPUTED_VALUE"""),26.0)</f>
        <v>26</v>
      </c>
      <c r="M1180" s="85"/>
      <c r="N1180" s="85"/>
      <c r="O1180" s="85"/>
      <c r="P1180" s="85" t="str">
        <f>IFERROR(__xludf.DUMMYFUNCTION("""COMPUTED_VALUE"""),"MUCSPA70017PSUMK")</f>
        <v>MUCSPA70017PSUMK</v>
      </c>
      <c r="Q1180" s="85" t="str">
        <f>IFERROR(__xludf.DUMMYFUNCTION("""COMPUTED_VALUE"""),"MUC FENNYS ART")</f>
        <v>MUC FENNYS ART</v>
      </c>
      <c r="R1180" s="85" t="str">
        <f>IFERROR(__xludf.DUMMYFUNCTION("""COMPUTED_VALUE"""),"MUC FENNYS ART")</f>
        <v>MUC FENNYS ART</v>
      </c>
      <c r="S1180" s="85" t="str">
        <f>IFERROR(__xludf.DUMMYFUNCTION("""COMPUTED_VALUE"""),"FENNY LUCKYHARTI")</f>
        <v>FENNY LUCKYHARTI</v>
      </c>
      <c r="T1180" s="85" t="str">
        <f>IFERROR(__xludf.DUMMYFUNCTION("""COMPUTED_VALUE"""),"JL.KAV KESEHATAN BLOK E2 RT 02 RW 09, CIPAYUNG, CIPUTAT, TANGSEL")</f>
        <v>JL.KAV KESEHATAN BLOK E2 RT 02 RW 09, CIPAYUNG, CIPUTAT, TANGSEL</v>
      </c>
      <c r="U1180" s="85" t="str">
        <f>IFERROR(__xludf.DUMMYFUNCTION("""COMPUTED_VALUE"""),"Komplek Kejagung RI, JL.KAV KESEHATAN BLOK E2/GPW03 RT 02 RW 09")</f>
        <v>Komplek Kejagung RI, JL.KAV KESEHATAN BLOK E2/GPW03 RT 02 RW 09</v>
      </c>
      <c r="V1180" s="85" t="str">
        <f>IFERROR(__xludf.DUMMYFUNCTION("""COMPUTED_VALUE"""),"RT 02  \ RW 09,")</f>
        <v>RT 02  \ RW 09,</v>
      </c>
      <c r="W1180" s="85" t="str">
        <f>IFERROR(__xludf.DUMMYFUNCTION("""COMPUTED_VALUE"""),"CIPAYUNG")</f>
        <v>CIPAYUNG</v>
      </c>
      <c r="X1180" s="85" t="str">
        <f>IFERROR(__xludf.DUMMYFUNCTION("""COMPUTED_VALUE"""),"CIPUTAT")</f>
        <v>CIPUTAT</v>
      </c>
      <c r="Y1180" s="85" t="str">
        <f>IFERROR(__xludf.DUMMYFUNCTION("""COMPUTED_VALUE"""),"TANGSEL")</f>
        <v>TANGSEL</v>
      </c>
      <c r="Z1180" s="85" t="str">
        <f>IFERROR(__xludf.DUMMYFUNCTION("""COMPUTED_VALUE"""),"BANTEN")</f>
        <v>BANTEN</v>
      </c>
      <c r="AA1180" s="85" t="str">
        <f>IFERROR(__xludf.DUMMYFUNCTION("""COMPUTED_VALUE"""),"15411")</f>
        <v>15411</v>
      </c>
      <c r="AB1180" s="85" t="str">
        <f>IFERROR(__xludf.DUMMYFUNCTION("""COMPUTED_VALUE"""),"3674046602670004")</f>
        <v>3674046602670004</v>
      </c>
      <c r="AC1180" s="85" t="str">
        <f>IFERROR(__xludf.DUMMYFUNCTION("""COMPUTED_VALUE"""),"61.027.520.8-453.000")</f>
        <v>61.027.520.8-453.000</v>
      </c>
      <c r="AD1180" s="85" t="str">
        <f>IFERROR(__xludf.DUMMYFUNCTION("""COMPUTED_VALUE"""),"CUM - UMKMNK - ASEP")</f>
        <v>CUM - UMKMNK - ASEP</v>
      </c>
      <c r="AE1180" s="85" t="str">
        <f>IFERROR(__xludf.DUMMYFUNCTION("""COMPUTED_VALUE"""),"CUM - UMKMNK - ASEP")</f>
        <v>CUM - UMKMNK - ASEP</v>
      </c>
      <c r="AF1180" s="85" t="str">
        <f>IFERROR(__xludf.DUMMYFUNCTION("""COMPUTED_VALUE"""),"0817898922")</f>
        <v>0817898922</v>
      </c>
      <c r="AG1180" s="85" t="str">
        <f>IFERROR(__xludf.DUMMYFUNCTION("""COMPUTED_VALUE"""),"817898922")</f>
        <v>817898922</v>
      </c>
      <c r="AH1180" s="85" t="str">
        <f>IFERROR(__xludf.DUMMYFUNCTION("""COMPUTED_VALUE"""),"fennyluckyharti259@gmail.com")</f>
        <v>fennyluckyharti259@gmail.com</v>
      </c>
      <c r="AI1180" s="85" t="str">
        <f>IFERROR(__xludf.DUMMYFUNCTION("""COMPUTED_VALUE"""),"15411S6")</f>
        <v>15411S6</v>
      </c>
      <c r="AJ1180" s="85" t="str">
        <f>IFERROR(__xludf.DUMMYFUNCTION("""COMPUTED_VALUE"""),"6a7947cd0912ed78cf06d2ec")</f>
        <v>6a7947cd0912ed78cf06d2ec</v>
      </c>
      <c r="AK1180" s="85" t="str">
        <f>IFERROR(__xludf.DUMMYFUNCTION("""COMPUTED_VALUE"""),"fennyluckyharti259@gmail.com")</f>
        <v>fennyluckyharti259@gmail.com</v>
      </c>
      <c r="AL1180" s="85" t="str">
        <f>IFERROR(__xludf.DUMMYFUNCTION("""COMPUTED_VALUE"""),"#Muc15411S6$")</f>
        <v>#Muc15411S6$</v>
      </c>
      <c r="AM1180" s="85" t="str">
        <f>IFERROR(__xludf.DUMMYFUNCTION("""COMPUTED_VALUE"""),"KANTOR REGIONAL II JAKARTA 10004")</f>
        <v>KANTOR REGIONAL II JAKARTA 10004</v>
      </c>
      <c r="AN1180" s="85" t="str">
        <f>IFERROR(__xludf.DUMMYFUNCTION("""COMPUTED_VALUE"""),"KC TANGERANGSELATAN 15400")</f>
        <v>KC TANGERANGSELATAN 15400</v>
      </c>
      <c r="AO1180" s="85" t="str">
        <f>IFERROR(__xludf.DUMMYFUNCTION("""COMPUTED_VALUE"""),"1407260115048")</f>
        <v>1407260115048</v>
      </c>
      <c r="AP1180" s="85" t="str">
        <f>IFERROR(__xludf.DUMMYFUNCTION("""COMPUTED_VALUE"""),"1407260115048")</f>
        <v>1407260115048</v>
      </c>
      <c r="AQ1180" s="93" t="str">
        <f>IFERROR(__xludf.DUMMYFUNCTION("""COMPUTED_VALUE"""),"1560001072265")</f>
        <v>1560001072265</v>
      </c>
      <c r="AR1180" s="85" t="str">
        <f>IFERROR(__xludf.DUMMYFUNCTION("""COMPUTED_VALUE"""),"MANDIRI")</f>
        <v>MANDIRI</v>
      </c>
      <c r="AS1180" s="85" t="str">
        <f>IFERROR(__xludf.DUMMYFUNCTION("""COMPUTED_VALUE"""),"FENNY LUCKYHARTI")</f>
        <v>FENNY LUCKYHARTI</v>
      </c>
      <c r="AT1180" s="85" t="str">
        <f>IFERROR(__xludf.DUMMYFUNCTION("""COMPUTED_VALUE"""),"-63,376,435")</f>
        <v>-63,376,435</v>
      </c>
      <c r="AU1180" s="85" t="str">
        <f>IFERROR(__xludf.DUMMYFUNCTION("""COMPUTED_VALUE"""),"1,067,526,116")</f>
        <v>1,067,526,116</v>
      </c>
      <c r="AV1180" s="85"/>
      <c r="AW1180" s="85"/>
      <c r="AX1180" s="85"/>
      <c r="AY1180" s="85"/>
      <c r="AZ1180" s="85"/>
      <c r="BA1180" s="85"/>
      <c r="BB1180" s="85"/>
      <c r="BC1180" s="85"/>
      <c r="BD1180" s="85"/>
      <c r="BE1180" s="85"/>
      <c r="BF1180" s="85"/>
      <c r="BG1180" s="85"/>
      <c r="BH1180" s="85"/>
      <c r="BI1180" s="85"/>
      <c r="BJ1180" s="85"/>
      <c r="BK1180" s="85"/>
      <c r="BL1180" s="85"/>
      <c r="BM1180" s="85"/>
      <c r="BN1180" s="85"/>
      <c r="BO1180" s="85"/>
      <c r="BP1180" s="85"/>
      <c r="BQ1180" s="85"/>
      <c r="BR1180" s="85"/>
      <c r="BS1180" s="85"/>
      <c r="BT1180" s="85"/>
      <c r="BU1180" s="85"/>
      <c r="BV1180" s="85"/>
      <c r="BW1180" s="85"/>
      <c r="BX1180" s="85"/>
      <c r="BY1180" s="85"/>
      <c r="BZ1180" s="85"/>
      <c r="CA1180" s="85"/>
      <c r="CB1180" s="85"/>
      <c r="CC1180" s="85"/>
      <c r="CD1180" s="85"/>
      <c r="CE1180" s="85"/>
      <c r="CF1180" s="85"/>
      <c r="CG1180" s="85"/>
      <c r="CH1180" s="85"/>
      <c r="CI1180" s="85"/>
      <c r="CJ1180" s="85"/>
      <c r="CK1180" s="2"/>
    </row>
    <row r="1181" ht="12.75" customHeight="1">
      <c r="A1181" s="80">
        <f>IFERROR(__xludf.DUMMYFUNCTION("""COMPUTED_VALUE"""),1177.0)</f>
        <v>1177</v>
      </c>
      <c r="B1181" s="80"/>
      <c r="C1181" s="80"/>
      <c r="D1181" s="81">
        <f>IFERROR(__xludf.DUMMYFUNCTION("""COMPUTED_VALUE"""),46218.0)</f>
        <v>46218</v>
      </c>
      <c r="E1181" s="82"/>
      <c r="F1181" s="80"/>
      <c r="G1181" s="81"/>
      <c r="H1181" s="80"/>
      <c r="I1181" s="80"/>
      <c r="J1181" s="80"/>
      <c r="K1181" s="80"/>
      <c r="L1181" s="80"/>
      <c r="M1181" s="80"/>
      <c r="N1181" s="80"/>
      <c r="O1181" s="80"/>
      <c r="P1181" s="80" t="str">
        <f>IFERROR(__xludf.DUMMYFUNCTION("""COMPUTED_VALUE"""),"MUCSPA63618PSIND")</f>
        <v>MUCSPA63618PSIND</v>
      </c>
      <c r="Q1181" s="80" t="str">
        <f>IFERROR(__xludf.DUMMYFUNCTION("""COMPUTED_VALUE"""),"MUC DELPEDISI")</f>
        <v>MUC DELPEDISI</v>
      </c>
      <c r="R1181" s="80" t="str">
        <f>IFERROR(__xludf.DUMMYFUNCTION("""COMPUTED_VALUE"""),"MUC DELPEDISI")</f>
        <v>MUC DELPEDISI</v>
      </c>
      <c r="S1181" s="80" t="str">
        <f>IFERROR(__xludf.DUMMYFUNCTION("""COMPUTED_VALUE"""),"DEDI SUPRIADI")</f>
        <v>DEDI SUPRIADI</v>
      </c>
      <c r="T1181" s="80" t="str">
        <f>IFERROR(__xludf.DUMMYFUNCTION("""COMPUTED_VALUE"""),"DUSUN BULAK BANJAR RT 01 RW 01 DESA BANJARHARJA")</f>
        <v>DUSUN BULAK BANJAR RT 01 RW 01 DESA BANJARHARJA</v>
      </c>
      <c r="U1181" s="80" t="str">
        <f>IFERROR(__xludf.DUMMYFUNCTION("""COMPUTED_VALUE"""),"BANJARHARJA")</f>
        <v>BANJARHARJA</v>
      </c>
      <c r="V1181" s="80" t="str">
        <f>IFERROR(__xludf.DUMMYFUNCTION("""COMPUTED_VALUE"""),"RT 01  \ RW 01")</f>
        <v>RT 01  \ RW 01</v>
      </c>
      <c r="W1181" s="80" t="str">
        <f>IFERROR(__xludf.DUMMYFUNCTION("""COMPUTED_VALUE"""),"BANJARHARJA")</f>
        <v>BANJARHARJA</v>
      </c>
      <c r="X1181" s="80" t="str">
        <f>IFERROR(__xludf.DUMMYFUNCTION("""COMPUTED_VALUE"""),"KALIPUCANG")</f>
        <v>KALIPUCANG</v>
      </c>
      <c r="Y1181" s="80" t="str">
        <f>IFERROR(__xludf.DUMMYFUNCTION("""COMPUTED_VALUE"""),"KAB. PANGANDARAN")</f>
        <v>KAB. PANGANDARAN</v>
      </c>
      <c r="Z1181" s="80" t="str">
        <f>IFERROR(__xludf.DUMMYFUNCTION("""COMPUTED_VALUE"""),"JAWA BARAT")</f>
        <v>JAWA BARAT</v>
      </c>
      <c r="AA1181" s="80" t="str">
        <f>IFERROR(__xludf.DUMMYFUNCTION("""COMPUTED_VALUE"""),"46397")</f>
        <v>46397</v>
      </c>
      <c r="AB1181" s="80" t="str">
        <f>IFERROR(__xludf.DUMMYFUNCTION("""COMPUTED_VALUE"""),"3207212209780001")</f>
        <v>3207212209780001</v>
      </c>
      <c r="AC1181" s="80" t="str">
        <f>IFERROR(__xludf.DUMMYFUNCTION("""COMPUTED_VALUE"""),"92.757.343.6-442.000")</f>
        <v>92.757.343.6-442.000</v>
      </c>
      <c r="AD1181" s="80" t="str">
        <f>IFERROR(__xludf.DUMMYFUNCTION("""COMPUTED_VALUE"""),"CUM - PS - NONKORGEN")</f>
        <v>CUM - PS - NONKORGEN</v>
      </c>
      <c r="AE1181" s="80" t="str">
        <f>IFERROR(__xludf.DUMMYFUNCTION("""COMPUTED_VALUE"""),"PAK ADNRI KC BANJAR")</f>
        <v>PAK ADNRI KC BANJAR</v>
      </c>
      <c r="AF1181" s="80" t="str">
        <f>IFERROR(__xludf.DUMMYFUNCTION("""COMPUTED_VALUE"""),"085323378003")</f>
        <v>085323378003</v>
      </c>
      <c r="AG1181" s="80" t="str">
        <f>IFERROR(__xludf.DUMMYFUNCTION("""COMPUTED_VALUE"""),"85323378003")</f>
        <v>85323378003</v>
      </c>
      <c r="AH1181" s="80" t="str">
        <f>IFERROR(__xludf.DUMMYFUNCTION("""COMPUTED_VALUE"""),"dshadipruwita@gmail.com")</f>
        <v>dshadipruwita@gmail.com</v>
      </c>
      <c r="AI1181" s="80"/>
      <c r="AJ1181" s="80"/>
      <c r="AK1181" s="80"/>
      <c r="AL1181" s="80"/>
      <c r="AM1181" s="80" t="str">
        <f>IFERROR(__xludf.DUMMYFUNCTION("""COMPUTED_VALUE"""),"KANTOR REGIONAL III BANDUNG 40004")</f>
        <v>KANTOR REGIONAL III BANDUNG 40004</v>
      </c>
      <c r="AN1181" s="80" t="str">
        <f>IFERROR(__xludf.DUMMYFUNCTION("""COMPUTED_VALUE"""),"KC BANJAR 46300")</f>
        <v>KC BANJAR 46300</v>
      </c>
      <c r="AO1181" s="80" t="str">
        <f>IFERROR(__xludf.DUMMYFUNCTION("""COMPUTED_VALUE"""),"9120203950043")</f>
        <v>9120203950043</v>
      </c>
      <c r="AP1181" s="80" t="str">
        <f>IFERROR(__xludf.DUMMYFUNCTION("""COMPUTED_VALUE"""),"9120203950043")</f>
        <v>9120203950043</v>
      </c>
      <c r="AQ1181" s="83" t="str">
        <f>IFERROR(__xludf.DUMMYFUNCTION("""COMPUTED_VALUE"""),"400801000094500")</f>
        <v>400801000094500</v>
      </c>
      <c r="AR1181" s="80" t="str">
        <f>IFERROR(__xludf.DUMMYFUNCTION("""COMPUTED_VALUE"""),"BRI")</f>
        <v>BRI</v>
      </c>
      <c r="AS1181" s="80" t="str">
        <f>IFERROR(__xludf.DUMMYFUNCTION("""COMPUTED_VALUE"""),"DEDI SUPRIADI")</f>
        <v>DEDI SUPRIADI</v>
      </c>
      <c r="AT1181" s="80" t="str">
        <f>IFERROR(__xludf.DUMMYFUNCTION("""COMPUTED_VALUE"""),"-7.6169453,108.7275833")</f>
        <v>-7.6169453,108.7275833</v>
      </c>
      <c r="AU1181" s="80" t="str">
        <f>IFERROR(__xludf.DUMMYFUNCTION("""COMPUTED_VALUE"""),"-7.6169453,108.7275833")</f>
        <v>-7.6169453,108.7275833</v>
      </c>
      <c r="AV1181" s="80"/>
      <c r="AW1181" s="80"/>
      <c r="AX1181" s="80"/>
      <c r="AY1181" s="80"/>
      <c r="AZ1181" s="80"/>
      <c r="BA1181" s="80"/>
      <c r="BB1181" s="80"/>
      <c r="BC1181" s="80"/>
      <c r="BD1181" s="80"/>
      <c r="BE1181" s="80"/>
      <c r="BF1181" s="80"/>
      <c r="BG1181" s="80"/>
      <c r="BH1181" s="80"/>
      <c r="BI1181" s="80"/>
      <c r="BJ1181" s="80"/>
      <c r="BK1181" s="80"/>
      <c r="BL1181" s="80"/>
      <c r="BM1181" s="80"/>
      <c r="BN1181" s="80"/>
      <c r="BO1181" s="80"/>
      <c r="BP1181" s="80"/>
      <c r="BQ1181" s="80"/>
      <c r="BR1181" s="80"/>
      <c r="BS1181" s="80"/>
      <c r="BT1181" s="80"/>
      <c r="BU1181" s="80"/>
      <c r="BV1181" s="80"/>
      <c r="BW1181" s="80"/>
      <c r="BX1181" s="80"/>
      <c r="BY1181" s="80"/>
      <c r="BZ1181" s="80"/>
      <c r="CA1181" s="80"/>
      <c r="CB1181" s="80"/>
      <c r="CC1181" s="80"/>
      <c r="CD1181" s="80"/>
      <c r="CE1181" s="80"/>
      <c r="CF1181" s="80"/>
      <c r="CG1181" s="80"/>
      <c r="CH1181" s="80"/>
      <c r="CI1181" s="80"/>
      <c r="CJ1181" s="80"/>
      <c r="CK1181" s="2"/>
    </row>
    <row r="1182" ht="12.75" customHeight="1">
      <c r="A1182" s="85">
        <f>IFERROR(__xludf.DUMMYFUNCTION("""COMPUTED_VALUE"""),1178.0)</f>
        <v>1178</v>
      </c>
      <c r="B1182" s="85"/>
      <c r="C1182" s="85"/>
      <c r="D1182" s="86">
        <f>IFERROR(__xludf.DUMMYFUNCTION("""COMPUTED_VALUE"""),46218.0)</f>
        <v>46218</v>
      </c>
      <c r="E1182" s="88"/>
      <c r="F1182" s="85"/>
      <c r="G1182" s="86"/>
      <c r="H1182" s="85"/>
      <c r="I1182" s="85"/>
      <c r="J1182" s="85"/>
      <c r="K1182" s="85"/>
      <c r="L1182" s="85"/>
      <c r="M1182" s="85"/>
      <c r="N1182" s="85"/>
      <c r="O1182" s="85"/>
      <c r="P1182" s="85" t="str">
        <f>IFERROR(__xludf.DUMMYFUNCTION("""COMPUTED_VALUE"""),"MUCSPA70002PSAAK")</f>
        <v>MUCSPA70002PSAAK</v>
      </c>
      <c r="Q1182" s="85" t="str">
        <f>IFERROR(__xludf.DUMMYFUNCTION("""COMPUTED_VALUE"""),"MUC TERANG 73")</f>
        <v>MUC TERANG 73</v>
      </c>
      <c r="R1182" s="85" t="str">
        <f>IFERROR(__xludf.DUMMYFUNCTION("""COMPUTED_VALUE"""),"MUC TERANG 73")</f>
        <v>MUC TERANG 73</v>
      </c>
      <c r="S1182" s="85" t="str">
        <f>IFERROR(__xludf.DUMMYFUNCTION("""COMPUTED_VALUE"""),"NGO. FELIX FARENGKOAN")</f>
        <v>NGO. FELIX FARENGKOAN</v>
      </c>
      <c r="T1182" s="85" t="str">
        <f>IFERROR(__xludf.DUMMYFUNCTION("""COMPUTED_VALUE"""),"GG.ADIMAJA NO 10 RT 04 RW 06, KARANG ANYAR, ASTANA ANYAR, BANDUNG")</f>
        <v>GG.ADIMAJA NO 10 RT 04 RW 06, KARANG ANYAR, ASTANA ANYAR, BANDUNG</v>
      </c>
      <c r="U1182" s="85" t="str">
        <f>IFERROR(__xludf.DUMMYFUNCTION("""COMPUTED_VALUE"""),"JL. SUKAJADI NO.73")</f>
        <v>JL. SUKAJADI NO.73</v>
      </c>
      <c r="V1182" s="85" t="str">
        <f>IFERROR(__xludf.DUMMYFUNCTION("""COMPUTED_VALUE"""),"RT 04  \ RW 06,")</f>
        <v>RT 04  \ RW 06,</v>
      </c>
      <c r="W1182" s="85" t="str">
        <f>IFERROR(__xludf.DUMMYFUNCTION("""COMPUTED_VALUE"""),"CIPEDES")</f>
        <v>CIPEDES</v>
      </c>
      <c r="X1182" s="85" t="str">
        <f>IFERROR(__xludf.DUMMYFUNCTION("""COMPUTED_VALUE"""),"SUKAJADI")</f>
        <v>SUKAJADI</v>
      </c>
      <c r="Y1182" s="85" t="str">
        <f>IFERROR(__xludf.DUMMYFUNCTION("""COMPUTED_VALUE"""),"BANDUNG")</f>
        <v>BANDUNG</v>
      </c>
      <c r="Z1182" s="85" t="str">
        <f>IFERROR(__xludf.DUMMYFUNCTION("""COMPUTED_VALUE"""),"JAWA BARAT")</f>
        <v>JAWA BARAT</v>
      </c>
      <c r="AA1182" s="85" t="str">
        <f>IFERROR(__xludf.DUMMYFUNCTION("""COMPUTED_VALUE"""),"40162")</f>
        <v>40162</v>
      </c>
      <c r="AB1182" s="85" t="str">
        <f>IFERROR(__xludf.DUMMYFUNCTION("""COMPUTED_VALUE"""),"3273103010810001")</f>
        <v>3273103010810001</v>
      </c>
      <c r="AC1182" s="85" t="str">
        <f>IFERROR(__xludf.DUMMYFUNCTION("""COMPUTED_VALUE"""),"50.672.247.9-422.000")</f>
        <v>50.672.247.9-422.000</v>
      </c>
      <c r="AD1182" s="85" t="str">
        <f>IFERROR(__xludf.DUMMYFUNCTION("""COMPUTED_VALUE"""),"CUM - LP - ANGGI")</f>
        <v>CUM - LP - ANGGI</v>
      </c>
      <c r="AE1182" s="85" t="str">
        <f>IFERROR(__xludf.DUMMYFUNCTION("""COMPUTED_VALUE"""),"CUM - LP - ANGGI")</f>
        <v>CUM - LP - ANGGI</v>
      </c>
      <c r="AF1182" s="85" t="str">
        <f>IFERROR(__xludf.DUMMYFUNCTION("""COMPUTED_VALUE"""),"082214188839")</f>
        <v>082214188839</v>
      </c>
      <c r="AG1182" s="85" t="str">
        <f>IFERROR(__xludf.DUMMYFUNCTION("""COMPUTED_VALUE"""),"82214188839")</f>
        <v>82214188839</v>
      </c>
      <c r="AH1182" s="85" t="str">
        <f>IFERROR(__xludf.DUMMYFUNCTION("""COMPUTED_VALUE"""),"felixfar39@gmail.com")</f>
        <v>felixfar39@gmail.com</v>
      </c>
      <c r="AI1182" s="85"/>
      <c r="AJ1182" s="85"/>
      <c r="AK1182" s="85"/>
      <c r="AL1182" s="85"/>
      <c r="AM1182" s="85" t="str">
        <f>IFERROR(__xludf.DUMMYFUNCTION("""COMPUTED_VALUE"""),"KANTOR REGIONAL III BANDUNG 40004")</f>
        <v>KANTOR REGIONAL III BANDUNG 40004</v>
      </c>
      <c r="AN1182" s="85" t="str">
        <f>IFERROR(__xludf.DUMMYFUNCTION("""COMPUTED_VALUE"""),"KCU BANDUNG 40000")</f>
        <v>KCU BANDUNG 40000</v>
      </c>
      <c r="AO1182" s="85" t="str">
        <f>IFERROR(__xludf.DUMMYFUNCTION("""COMPUTED_VALUE"""),"1010230105197")</f>
        <v>1010230105197</v>
      </c>
      <c r="AP1182" s="85" t="str">
        <f>IFERROR(__xludf.DUMMYFUNCTION("""COMPUTED_VALUE"""),"1010230105197")</f>
        <v>1010230105197</v>
      </c>
      <c r="AQ1182" s="93" t="str">
        <f>IFERROR(__xludf.DUMMYFUNCTION("""COMPUTED_VALUE"""),"8480039239")</f>
        <v>8480039239</v>
      </c>
      <c r="AR1182" s="85" t="str">
        <f>IFERROR(__xludf.DUMMYFUNCTION("""COMPUTED_VALUE"""),"BCA")</f>
        <v>BCA</v>
      </c>
      <c r="AS1182" s="85" t="str">
        <f>IFERROR(__xludf.DUMMYFUNCTION("""COMPUTED_VALUE"""),"NGO. FELIX FARENGKOAN")</f>
        <v>NGO. FELIX FARENGKOAN</v>
      </c>
      <c r="AT1182" s="85" t="str">
        <f>IFERROR(__xludf.DUMMYFUNCTION("""COMPUTED_VALUE"""),"-68,928,208")</f>
        <v>-68,928,208</v>
      </c>
      <c r="AU1182" s="85" t="str">
        <f>IFERROR(__xludf.DUMMYFUNCTION("""COMPUTED_VALUE"""),"1,075,969,194")</f>
        <v>1,075,969,194</v>
      </c>
      <c r="AV1182" s="85"/>
      <c r="AW1182" s="85"/>
      <c r="AX1182" s="85"/>
      <c r="AY1182" s="85"/>
      <c r="AZ1182" s="85"/>
      <c r="BA1182" s="85"/>
      <c r="BB1182" s="85"/>
      <c r="BC1182" s="85"/>
      <c r="BD1182" s="85"/>
      <c r="BE1182" s="85"/>
      <c r="BF1182" s="85"/>
      <c r="BG1182" s="85"/>
      <c r="BH1182" s="85"/>
      <c r="BI1182" s="85"/>
      <c r="BJ1182" s="85"/>
      <c r="BK1182" s="85"/>
      <c r="BL1182" s="85"/>
      <c r="BM1182" s="85"/>
      <c r="BN1182" s="85"/>
      <c r="BO1182" s="85"/>
      <c r="BP1182" s="85"/>
      <c r="BQ1182" s="85"/>
      <c r="BR1182" s="85"/>
      <c r="BS1182" s="85"/>
      <c r="BT1182" s="85"/>
      <c r="BU1182" s="85"/>
      <c r="BV1182" s="85"/>
      <c r="BW1182" s="85"/>
      <c r="BX1182" s="85"/>
      <c r="BY1182" s="85"/>
      <c r="BZ1182" s="85"/>
      <c r="CA1182" s="85"/>
      <c r="CB1182" s="85"/>
      <c r="CC1182" s="85"/>
      <c r="CD1182" s="85"/>
      <c r="CE1182" s="85"/>
      <c r="CF1182" s="85"/>
      <c r="CG1182" s="85"/>
      <c r="CH1182" s="85"/>
      <c r="CI1182" s="85"/>
      <c r="CJ1182" s="85"/>
      <c r="CK1182" s="2"/>
    </row>
    <row r="1183" ht="12.75" customHeight="1">
      <c r="A1183" s="80">
        <f>IFERROR(__xludf.DUMMYFUNCTION("""COMPUTED_VALUE"""),1179.0)</f>
        <v>1179</v>
      </c>
      <c r="B1183" s="80"/>
      <c r="C1183" s="80"/>
      <c r="D1183" s="81">
        <f>IFERROR(__xludf.DUMMYFUNCTION("""COMPUTED_VALUE"""),46218.0)</f>
        <v>46218</v>
      </c>
      <c r="E1183" s="82"/>
      <c r="F1183" s="80"/>
      <c r="G1183" s="81">
        <f>IFERROR(__xludf.DUMMYFUNCTION("""COMPUTED_VALUE"""),46255.0)</f>
        <v>46255</v>
      </c>
      <c r="H1183" s="80"/>
      <c r="I1183" s="80"/>
      <c r="J1183" s="80"/>
      <c r="K1183" s="80"/>
      <c r="L1183" s="80">
        <f>IFERROR(__xludf.DUMMYFUNCTION("""COMPUTED_VALUE"""),37.0)</f>
        <v>37</v>
      </c>
      <c r="M1183" s="80"/>
      <c r="N1183" s="80"/>
      <c r="O1183" s="80"/>
      <c r="P1183" s="80" t="str">
        <f>IFERROR(__xludf.DUMMYFUNCTION("""COMPUTED_VALUE"""),"52BSPA07134JTAMD")</f>
        <v>52BSPA07134JTAMD</v>
      </c>
      <c r="Q1183" s="80" t="str">
        <f>IFERROR(__xludf.DUMMYFUNCTION("""COMPUTED_VALUE"""),"MUC FASTNET")</f>
        <v>MUC FASTNET</v>
      </c>
      <c r="R1183" s="80" t="str">
        <f>IFERROR(__xludf.DUMMYFUNCTION("""COMPUTED_VALUE"""),"MUC FASTNET")</f>
        <v>MUC FASTNET</v>
      </c>
      <c r="S1183" s="80" t="str">
        <f>IFERROR(__xludf.DUMMYFUNCTION("""COMPUTED_VALUE"""),"LIPUR ARIYANTO")</f>
        <v>LIPUR ARIYANTO</v>
      </c>
      <c r="T1183" s="80" t="str">
        <f>IFERROR(__xludf.DUMMYFUNCTION("""COMPUTED_VALUE"""),"NGREMANG RT. 006 RW. 003 BORANGAN MANISRENGGO")</f>
        <v>NGREMANG RT. 006 RW. 003 BORANGAN MANISRENGGO</v>
      </c>
      <c r="U1183" s="80" t="str">
        <f>IFERROR(__xludf.DUMMYFUNCTION("""COMPUTED_VALUE"""),"Jl. Raya Manisrenggo, Bendosari, Tanjungsari, Kec. Manisrenggo, Kabupaten Klaten, Jawa Tengah")</f>
        <v>Jl. Raya Manisrenggo, Bendosari, Tanjungsari, Kec. Manisrenggo, Kabupaten Klaten, Jawa Tengah</v>
      </c>
      <c r="V1183" s="80" t="str">
        <f>IFERROR(__xludf.DUMMYFUNCTION("""COMPUTED_VALUE"""),"RT. 00 \ RW. 00")</f>
        <v>RT. 00 \ RW. 00</v>
      </c>
      <c r="W1183" s="80" t="str">
        <f>IFERROR(__xludf.DUMMYFUNCTION("""COMPUTED_VALUE"""),"Tanjungsari")</f>
        <v>Tanjungsari</v>
      </c>
      <c r="X1183" s="80" t="str">
        <f>IFERROR(__xludf.DUMMYFUNCTION("""COMPUTED_VALUE"""),"Manisrenggo")</f>
        <v>Manisrenggo</v>
      </c>
      <c r="Y1183" s="80" t="str">
        <f>IFERROR(__xludf.DUMMYFUNCTION("""COMPUTED_VALUE"""),"Kabupaten Klaten")</f>
        <v>Kabupaten Klaten</v>
      </c>
      <c r="Z1183" s="80" t="str">
        <f>IFERROR(__xludf.DUMMYFUNCTION("""COMPUTED_VALUE"""),"Jawa Tengah")</f>
        <v>Jawa Tengah</v>
      </c>
      <c r="AA1183" s="80" t="str">
        <f>IFERROR(__xludf.DUMMYFUNCTION("""COMPUTED_VALUE"""),"57485")</f>
        <v>57485</v>
      </c>
      <c r="AB1183" s="80" t="str">
        <f>IFERROR(__xludf.DUMMYFUNCTION("""COMPUTED_VALUE"""),"3310092401900001")</f>
        <v>3310092401900001</v>
      </c>
      <c r="AC1183" s="80" t="str">
        <f>IFERROR(__xludf.DUMMYFUNCTION("""COMPUTED_VALUE"""),"41.802.706.6-525.000")</f>
        <v>41.802.706.6-525.000</v>
      </c>
      <c r="AD1183" s="80" t="str">
        <f>IFERROR(__xludf.DUMMYFUNCTION("""COMPUTED_VALUE"""),"CUM - AMD")</f>
        <v>CUM - AMD</v>
      </c>
      <c r="AE1183" s="80" t="str">
        <f>IFERROR(__xludf.DUMMYFUNCTION("""COMPUTED_VALUE"""),"CUM - AMD")</f>
        <v>CUM - AMD</v>
      </c>
      <c r="AF1183" s="80" t="str">
        <f>IFERROR(__xludf.DUMMYFUNCTION("""COMPUTED_VALUE"""),"085876969619")</f>
        <v>085876969619</v>
      </c>
      <c r="AG1183" s="80" t="str">
        <f>IFERROR(__xludf.DUMMYFUNCTION("""COMPUTED_VALUE"""),"85876969619")</f>
        <v>85876969619</v>
      </c>
      <c r="AH1183" s="80" t="str">
        <f>IFERROR(__xludf.DUMMYFUNCTION("""COMPUTED_VALUE"""),"lipurariyanto@gmail.com")</f>
        <v>lipurariyanto@gmail.com</v>
      </c>
      <c r="AI1183" s="80" t="str">
        <f>IFERROR(__xludf.DUMMYFUNCTION("""COMPUTED_VALUE"""),"57485S1")</f>
        <v>57485S1</v>
      </c>
      <c r="AJ1183" s="80" t="str">
        <f>IFERROR(__xludf.DUMMYFUNCTION("""COMPUTED_VALUE"""),"6a87c3c31bae016e380ea401")</f>
        <v>6a87c3c31bae016e380ea401</v>
      </c>
      <c r="AK1183" s="80" t="str">
        <f>IFERROR(__xludf.DUMMYFUNCTION("""COMPUTED_VALUE"""),"lipurariyanto@gmail.com")</f>
        <v>lipurariyanto@gmail.com</v>
      </c>
      <c r="AL1183" s="80" t="str">
        <f>IFERROR(__xludf.DUMMYFUNCTION("""COMPUTED_VALUE"""),"#Muc57485S1$")</f>
        <v>#Muc57485S1$</v>
      </c>
      <c r="AM1183" s="80" t="str">
        <f>IFERROR(__xludf.DUMMYFUNCTION("""COMPUTED_VALUE"""),"KANTOR REGIONAL IV SEMARANG 50004")</f>
        <v>KANTOR REGIONAL IV SEMARANG 50004</v>
      </c>
      <c r="AN1183" s="80" t="str">
        <f>IFERROR(__xludf.DUMMYFUNCTION("""COMPUTED_VALUE"""),"KC KLATEN 57400")</f>
        <v>KC KLATEN 57400</v>
      </c>
      <c r="AO1183" s="80" t="str">
        <f>IFERROR(__xludf.DUMMYFUNCTION("""COMPUTED_VALUE"""),"2404260049019")</f>
        <v>2404260049019</v>
      </c>
      <c r="AP1183" s="80" t="str">
        <f>IFERROR(__xludf.DUMMYFUNCTION("""COMPUTED_VALUE"""),"2404260049019")</f>
        <v>2404260049019</v>
      </c>
      <c r="AQ1183" s="83" t="str">
        <f>IFERROR(__xludf.DUMMYFUNCTION("""COMPUTED_VALUE"""),"8176027032")</f>
        <v>8176027032</v>
      </c>
      <c r="AR1183" s="80" t="str">
        <f>IFERROR(__xludf.DUMMYFUNCTION("""COMPUTED_VALUE"""),"BCA")</f>
        <v>BCA</v>
      </c>
      <c r="AS1183" s="80" t="str">
        <f>IFERROR(__xludf.DUMMYFUNCTION("""COMPUTED_VALUE"""),"LIPUR ARIYANTO")</f>
        <v>LIPUR ARIYANTO</v>
      </c>
      <c r="AT1183" s="80" t="str">
        <f>IFERROR(__xludf.DUMMYFUNCTION("""COMPUTED_VALUE"""),"-77,004,828")</f>
        <v>-77,004,828</v>
      </c>
      <c r="AU1183" s="80" t="str">
        <f>IFERROR(__xludf.DUMMYFUNCTION("""COMPUTED_VALUE"""),"1,104,760,344")</f>
        <v>1,104,760,344</v>
      </c>
      <c r="AV1183" s="80"/>
      <c r="AW1183" s="80"/>
      <c r="AX1183" s="80"/>
      <c r="AY1183" s="80"/>
      <c r="AZ1183" s="80"/>
      <c r="BA1183" s="80"/>
      <c r="BB1183" s="80"/>
      <c r="BC1183" s="80"/>
      <c r="BD1183" s="80"/>
      <c r="BE1183" s="80"/>
      <c r="BF1183" s="80"/>
      <c r="BG1183" s="80"/>
      <c r="BH1183" s="80"/>
      <c r="BI1183" s="80"/>
      <c r="BJ1183" s="80"/>
      <c r="BK1183" s="80"/>
      <c r="BL1183" s="80"/>
      <c r="BM1183" s="80"/>
      <c r="BN1183" s="80"/>
      <c r="BO1183" s="80"/>
      <c r="BP1183" s="80"/>
      <c r="BQ1183" s="80"/>
      <c r="BR1183" s="80"/>
      <c r="BS1183" s="80"/>
      <c r="BT1183" s="80"/>
      <c r="BU1183" s="80"/>
      <c r="BV1183" s="80"/>
      <c r="BW1183" s="80"/>
      <c r="BX1183" s="80"/>
      <c r="BY1183" s="80"/>
      <c r="BZ1183" s="80"/>
      <c r="CA1183" s="80"/>
      <c r="CB1183" s="80"/>
      <c r="CC1183" s="80"/>
      <c r="CD1183" s="80"/>
      <c r="CE1183" s="80"/>
      <c r="CF1183" s="80"/>
      <c r="CG1183" s="80"/>
      <c r="CH1183" s="80"/>
      <c r="CI1183" s="80"/>
      <c r="CJ1183" s="80"/>
      <c r="CK1183" s="2"/>
    </row>
    <row r="1184" ht="12.75" customHeight="1">
      <c r="A1184" s="85">
        <f>IFERROR(__xludf.DUMMYFUNCTION("""COMPUTED_VALUE"""),1180.0)</f>
        <v>1180</v>
      </c>
      <c r="B1184" s="85"/>
      <c r="C1184" s="85"/>
      <c r="D1184" s="86">
        <f>IFERROR(__xludf.DUMMYFUNCTION("""COMPUTED_VALUE"""),46218.0)</f>
        <v>46218</v>
      </c>
      <c r="E1184" s="88"/>
      <c r="F1184" s="85"/>
      <c r="G1184" s="86">
        <f>IFERROR(__xludf.DUMMYFUNCTION("""COMPUTED_VALUE"""),46232.0)</f>
        <v>46232</v>
      </c>
      <c r="H1184" s="85"/>
      <c r="I1184" s="85"/>
      <c r="J1184" s="85"/>
      <c r="K1184" s="85"/>
      <c r="L1184" s="85">
        <f>IFERROR(__xludf.DUMMYFUNCTION("""COMPUTED_VALUE"""),14.0)</f>
        <v>14</v>
      </c>
      <c r="M1184" s="85"/>
      <c r="N1184" s="85"/>
      <c r="O1184" s="85"/>
      <c r="P1184" s="85" t="str">
        <f>IFERROR(__xludf.DUMMYFUNCTION("""COMPUTED_VALUE"""),"MUCSPA70018PSUMK")</f>
        <v>MUCSPA70018PSUMK</v>
      </c>
      <c r="Q1184" s="85" t="str">
        <f>IFERROR(__xludf.DUMMYFUNCTION("""COMPUTED_VALUE"""),"MUC SURYA UTAMA")</f>
        <v>MUC SURYA UTAMA</v>
      </c>
      <c r="R1184" s="85" t="str">
        <f>IFERROR(__xludf.DUMMYFUNCTION("""COMPUTED_VALUE"""),"MUC SURYA UTAMA")</f>
        <v>MUC SURYA UTAMA</v>
      </c>
      <c r="S1184" s="85" t="str">
        <f>IFERROR(__xludf.DUMMYFUNCTION("""COMPUTED_VALUE"""),"NOOR CAHYO UTOMO")</f>
        <v>NOOR CAHYO UTOMO</v>
      </c>
      <c r="T1184" s="85" t="str">
        <f>IFERROR(__xludf.DUMMYFUNCTION("""COMPUTED_VALUE"""),"Perumahan Duta Kranji Jl. Gelatik raya blok C. 768 RT. 004/009 Kranji Bekasi Barat")</f>
        <v>Perumahan Duta Kranji Jl. Gelatik raya blok C. 768 RT. 004/009 Kranji Bekasi Barat</v>
      </c>
      <c r="U1184" s="85" t="str">
        <f>IFERROR(__xludf.DUMMYFUNCTION("""COMPUTED_VALUE"""),"Jalan Nusa Indah No.15 Malaka Jaya Duren Sawit Jakarta Timur")</f>
        <v>Jalan Nusa Indah No.15 Malaka Jaya Duren Sawit Jakarta Timur</v>
      </c>
      <c r="V1184" s="85"/>
      <c r="W1184" s="85" t="str">
        <f>IFERROR(__xludf.DUMMYFUNCTION("""COMPUTED_VALUE"""),"Malaka Jaya")</f>
        <v>Malaka Jaya</v>
      </c>
      <c r="X1184" s="85" t="str">
        <f>IFERROR(__xludf.DUMMYFUNCTION("""COMPUTED_VALUE"""),"Duren Sawit")</f>
        <v>Duren Sawit</v>
      </c>
      <c r="Y1184" s="85" t="str">
        <f>IFERROR(__xludf.DUMMYFUNCTION("""COMPUTED_VALUE"""),"Jakarta Timur")</f>
        <v>Jakarta Timur</v>
      </c>
      <c r="Z1184" s="85" t="str">
        <f>IFERROR(__xludf.DUMMYFUNCTION("""COMPUTED_VALUE"""),"Dki Jakarta")</f>
        <v>Dki Jakarta</v>
      </c>
      <c r="AA1184" s="85" t="str">
        <f>IFERROR(__xludf.DUMMYFUNCTION("""COMPUTED_VALUE"""),"13460")</f>
        <v>13460</v>
      </c>
      <c r="AB1184" s="85" t="str">
        <f>IFERROR(__xludf.DUMMYFUNCTION("""COMPUTED_VALUE"""),"3275020902620011")</f>
        <v>3275020902620011</v>
      </c>
      <c r="AC1184" s="85" t="str">
        <f>IFERROR(__xludf.DUMMYFUNCTION("""COMPUTED_VALUE"""),"68.458.868.4-407.000")</f>
        <v>68.458.868.4-407.000</v>
      </c>
      <c r="AD1184" s="85" t="str">
        <f>IFERROR(__xludf.DUMMYFUNCTION("""COMPUTED_VALUE"""),"CUM - UMKMNK - ASEP")</f>
        <v>CUM - UMKMNK - ASEP</v>
      </c>
      <c r="AE1184" s="85" t="str">
        <f>IFERROR(__xludf.DUMMYFUNCTION("""COMPUTED_VALUE"""),"CUM - UMKMNK - ASEP")</f>
        <v>CUM - UMKMNK - ASEP</v>
      </c>
      <c r="AF1184" s="85" t="str">
        <f>IFERROR(__xludf.DUMMYFUNCTION("""COMPUTED_VALUE"""),"081567893333")</f>
        <v>081567893333</v>
      </c>
      <c r="AG1184" s="85" t="str">
        <f>IFERROR(__xludf.DUMMYFUNCTION("""COMPUTED_VALUE"""),"81567893333")</f>
        <v>81567893333</v>
      </c>
      <c r="AH1184" s="85" t="str">
        <f>IFERROR(__xludf.DUMMYFUNCTION("""COMPUTED_VALUE"""),"noorcahyoutomo@gmail.com")</f>
        <v>noorcahyoutomo@gmail.com</v>
      </c>
      <c r="AI1184" s="85" t="str">
        <f>IFERROR(__xludf.DUMMYFUNCTION("""COMPUTED_VALUE"""),"13460S5")</f>
        <v>13460S5</v>
      </c>
      <c r="AJ1184" s="85" t="str">
        <f>IFERROR(__xludf.DUMMYFUNCTION("""COMPUTED_VALUE"""),"6a6757d35bae7ae62304deba")</f>
        <v>6a6757d35bae7ae62304deba</v>
      </c>
      <c r="AK1184" s="85" t="str">
        <f>IFERROR(__xludf.DUMMYFUNCTION("""COMPUTED_VALUE"""),"noorcahyoutomo@gmail.com")</f>
        <v>noorcahyoutomo@gmail.com</v>
      </c>
      <c r="AL1184" s="85" t="str">
        <f>IFERROR(__xludf.DUMMYFUNCTION("""COMPUTED_VALUE"""),"#Muc13460S5$")</f>
        <v>#Muc13460S5$</v>
      </c>
      <c r="AM1184" s="85" t="str">
        <f>IFERROR(__xludf.DUMMYFUNCTION("""COMPUTED_VALUE"""),"KANTOR REGIONAL II JAKARTA 10004")</f>
        <v>KANTOR REGIONAL II JAKARTA 10004</v>
      </c>
      <c r="AN1184" s="85" t="str">
        <f>IFERROR(__xludf.DUMMYFUNCTION("""COMPUTED_VALUE"""),"KCU JAKARTAPREMIER 13000")</f>
        <v>KCU JAKARTAPREMIER 13000</v>
      </c>
      <c r="AO1184" s="85" t="str">
        <f>IFERROR(__xludf.DUMMYFUNCTION("""COMPUTED_VALUE"""),"0102230067604")</f>
        <v>0102230067604</v>
      </c>
      <c r="AP1184" s="85" t="str">
        <f>IFERROR(__xludf.DUMMYFUNCTION("""COMPUTED_VALUE"""),"0102230067604")</f>
        <v>0102230067604</v>
      </c>
      <c r="AQ1184" s="93" t="str">
        <f>IFERROR(__xludf.DUMMYFUNCTION("""COMPUTED_VALUE"""),"6633331818")</f>
        <v>6633331818</v>
      </c>
      <c r="AR1184" s="85" t="str">
        <f>IFERROR(__xludf.DUMMYFUNCTION("""COMPUTED_VALUE"""),"BCA")</f>
        <v>BCA</v>
      </c>
      <c r="AS1184" s="85" t="str">
        <f>IFERROR(__xludf.DUMMYFUNCTION("""COMPUTED_VALUE"""),"NOOR CAHYO UTOMO")</f>
        <v>NOOR CAHYO UTOMO</v>
      </c>
      <c r="AT1184" s="85" t="str">
        <f>IFERROR(__xludf.DUMMYFUNCTION("""COMPUTED_VALUE"""),"-62,184,622")</f>
        <v>-62,184,622</v>
      </c>
      <c r="AU1184" s="85" t="str">
        <f>IFERROR(__xludf.DUMMYFUNCTION("""COMPUTED_VALUE"""),"1,069,348,381")</f>
        <v>1,069,348,381</v>
      </c>
      <c r="AV1184" s="85"/>
      <c r="AW1184" s="85"/>
      <c r="AX1184" s="85"/>
      <c r="AY1184" s="85"/>
      <c r="AZ1184" s="85"/>
      <c r="BA1184" s="85"/>
      <c r="BB1184" s="85"/>
      <c r="BC1184" s="85"/>
      <c r="BD1184" s="85"/>
      <c r="BE1184" s="85"/>
      <c r="BF1184" s="85"/>
      <c r="BG1184" s="85"/>
      <c r="BH1184" s="85"/>
      <c r="BI1184" s="85"/>
      <c r="BJ1184" s="85"/>
      <c r="BK1184" s="85"/>
      <c r="BL1184" s="85"/>
      <c r="BM1184" s="85"/>
      <c r="BN1184" s="85"/>
      <c r="BO1184" s="85"/>
      <c r="BP1184" s="85"/>
      <c r="BQ1184" s="85"/>
      <c r="BR1184" s="85"/>
      <c r="BS1184" s="85"/>
      <c r="BT1184" s="85"/>
      <c r="BU1184" s="85"/>
      <c r="BV1184" s="85"/>
      <c r="BW1184" s="85"/>
      <c r="BX1184" s="85"/>
      <c r="BY1184" s="85"/>
      <c r="BZ1184" s="85"/>
      <c r="CA1184" s="85"/>
      <c r="CB1184" s="85"/>
      <c r="CC1184" s="85"/>
      <c r="CD1184" s="85"/>
      <c r="CE1184" s="85"/>
      <c r="CF1184" s="85"/>
      <c r="CG1184" s="85"/>
      <c r="CH1184" s="85"/>
      <c r="CI1184" s="85"/>
      <c r="CJ1184" s="85"/>
      <c r="CK1184" s="2"/>
    </row>
    <row r="1185" ht="12.75" customHeight="1">
      <c r="A1185" s="80">
        <f>IFERROR(__xludf.DUMMYFUNCTION("""COMPUTED_VALUE"""),1181.0)</f>
        <v>1181</v>
      </c>
      <c r="B1185" s="80"/>
      <c r="C1185" s="80"/>
      <c r="D1185" s="81">
        <f>IFERROR(__xludf.DUMMYFUNCTION("""COMPUTED_VALUE"""),46218.0)</f>
        <v>46218</v>
      </c>
      <c r="E1185" s="82"/>
      <c r="F1185" s="80"/>
      <c r="G1185" s="81"/>
      <c r="H1185" s="80"/>
      <c r="I1185" s="80"/>
      <c r="J1185" s="80"/>
      <c r="K1185" s="80"/>
      <c r="L1185" s="80"/>
      <c r="M1185" s="80"/>
      <c r="N1185" s="80"/>
      <c r="O1185" s="80"/>
      <c r="P1185" s="80" t="str">
        <f>IFERROR(__xludf.DUMMYFUNCTION("""COMPUTED_VALUE"""),"MUCSPA63620PSIND")</f>
        <v>MUCSPA63620PSIND</v>
      </c>
      <c r="Q1185" s="80" t="str">
        <f>IFERROR(__xludf.DUMMYFUNCTION("""COMPUTED_VALUE"""),"MUC RUNICS")</f>
        <v>MUC RUNICS</v>
      </c>
      <c r="R1185" s="80" t="str">
        <f>IFERROR(__xludf.DUMMYFUNCTION("""COMPUTED_VALUE"""),"MUC RUNICS")</f>
        <v>MUC RUNICS</v>
      </c>
      <c r="S1185" s="80" t="str">
        <f>IFERROR(__xludf.DUMMYFUNCTION("""COMPUTED_VALUE"""),"ANTON")</f>
        <v>ANTON</v>
      </c>
      <c r="T1185" s="80" t="str">
        <f>IFERROR(__xludf.DUMMYFUNCTION("""COMPUTED_VALUE"""),"KP. BINUANGEN RT 22 RW 6 MUARA, WANASALAM")</f>
        <v>KP. BINUANGEN RT 22 RW 6 MUARA, WANASALAM</v>
      </c>
      <c r="U1185" s="80" t="str">
        <f>IFERROR(__xludf.DUMMYFUNCTION("""COMPUTED_VALUE"""),"MUARA")</f>
        <v>MUARA</v>
      </c>
      <c r="V1185" s="80" t="str">
        <f>IFERROR(__xludf.DUMMYFUNCTION("""COMPUTED_VALUE"""),"RT 22  \ RW 6 M")</f>
        <v>RT 22  \ RW 6 M</v>
      </c>
      <c r="W1185" s="80" t="str">
        <f>IFERROR(__xludf.DUMMYFUNCTION("""COMPUTED_VALUE"""),"MUARA")</f>
        <v>MUARA</v>
      </c>
      <c r="X1185" s="80" t="str">
        <f>IFERROR(__xludf.DUMMYFUNCTION("""COMPUTED_VALUE"""),"WANASALAM")</f>
        <v>WANASALAM</v>
      </c>
      <c r="Y1185" s="80" t="str">
        <f>IFERROR(__xludf.DUMMYFUNCTION("""COMPUTED_VALUE"""),"KAB. LEBAK")</f>
        <v>KAB. LEBAK</v>
      </c>
      <c r="Z1185" s="80" t="str">
        <f>IFERROR(__xludf.DUMMYFUNCTION("""COMPUTED_VALUE"""),"BANTEN")</f>
        <v>BANTEN</v>
      </c>
      <c r="AA1185" s="80" t="str">
        <f>IFERROR(__xludf.DUMMYFUNCTION("""COMPUTED_VALUE"""),"42396")</f>
        <v>42396</v>
      </c>
      <c r="AB1185" s="80" t="str">
        <f>IFERROR(__xludf.DUMMYFUNCTION("""COMPUTED_VALUE"""),"3602214506990003")</f>
        <v>3602214506990003</v>
      </c>
      <c r="AC1185" s="80" t="str">
        <f>IFERROR(__xludf.DUMMYFUNCTION("""COMPUTED_VALUE"""),"36.022.145.0-699.0003")</f>
        <v>36.022.145.0-699.0003</v>
      </c>
      <c r="AD1185" s="80" t="str">
        <f>IFERROR(__xludf.DUMMYFUNCTION("""COMPUTED_VALUE"""),"PAK SUHANDI KC RANGKAS")</f>
        <v>PAK SUHANDI KC RANGKAS</v>
      </c>
      <c r="AE1185" s="80" t="str">
        <f>IFERROR(__xludf.DUMMYFUNCTION("""COMPUTED_VALUE"""),"PAK SUHANDI KC RANGKAS")</f>
        <v>PAK SUHANDI KC RANGKAS</v>
      </c>
      <c r="AF1185" s="80" t="str">
        <f>IFERROR(__xludf.DUMMYFUNCTION("""COMPUTED_VALUE"""),"081917701374")</f>
        <v>081917701374</v>
      </c>
      <c r="AG1185" s="80" t="str">
        <f>IFERROR(__xludf.DUMMYFUNCTION("""COMPUTED_VALUE"""),"81917701374")</f>
        <v>81917701374</v>
      </c>
      <c r="AH1185" s="80" t="str">
        <f>IFERROR(__xludf.DUMMYFUNCTION("""COMPUTED_VALUE"""),"antonnton43@gmail.com")</f>
        <v>antonnton43@gmail.com</v>
      </c>
      <c r="AI1185" s="80"/>
      <c r="AJ1185" s="80"/>
      <c r="AK1185" s="80"/>
      <c r="AL1185" s="80"/>
      <c r="AM1185" s="80" t="str">
        <f>IFERROR(__xludf.DUMMYFUNCTION("""COMPUTED_VALUE"""),"KANTOR REGIONAL II JAKARTA 10004")</f>
        <v>KANTOR REGIONAL II JAKARTA 10004</v>
      </c>
      <c r="AN1185" s="80" t="str">
        <f>IFERROR(__xludf.DUMMYFUNCTION("""COMPUTED_VALUE"""),"KC RANGKASBITUNG 42300")</f>
        <v>KC RANGKASBITUNG 42300</v>
      </c>
      <c r="AO1185" s="80" t="str">
        <f>IFERROR(__xludf.DUMMYFUNCTION("""COMPUTED_VALUE"""),"1407260117875")</f>
        <v>1407260117875</v>
      </c>
      <c r="AP1185" s="80" t="str">
        <f>IFERROR(__xludf.DUMMYFUNCTION("""COMPUTED_VALUE"""),"1407260117875")</f>
        <v>1407260117875</v>
      </c>
      <c r="AQ1185" s="83" t="str">
        <f>IFERROR(__xludf.DUMMYFUNCTION("""COMPUTED_VALUE"""),"4816 0106 6229 532")</f>
        <v>4816 0106 6229 532</v>
      </c>
      <c r="AR1185" s="80" t="str">
        <f>IFERROR(__xludf.DUMMYFUNCTION("""COMPUTED_VALUE"""),"BRI")</f>
        <v>BRI</v>
      </c>
      <c r="AS1185" s="80" t="str">
        <f>IFERROR(__xludf.DUMMYFUNCTION("""COMPUTED_VALUE"""),"ANTON")</f>
        <v>ANTON</v>
      </c>
      <c r="AT1185" s="80" t="str">
        <f>IFERROR(__xludf.DUMMYFUNCTION("""COMPUTED_VALUE"""),"-6.8362056,105.886681")</f>
        <v>-6.8362056,105.886681</v>
      </c>
      <c r="AU1185" s="80" t="str">
        <f>IFERROR(__xludf.DUMMYFUNCTION("""COMPUTED_VALUE"""),"-6.8362056,105.886681")</f>
        <v>-6.8362056,105.886681</v>
      </c>
      <c r="AV1185" s="80"/>
      <c r="AW1185" s="80"/>
      <c r="AX1185" s="80"/>
      <c r="AY1185" s="80"/>
      <c r="AZ1185" s="80"/>
      <c r="BA1185" s="80"/>
      <c r="BB1185" s="80"/>
      <c r="BC1185" s="80"/>
      <c r="BD1185" s="80"/>
      <c r="BE1185" s="80"/>
      <c r="BF1185" s="80"/>
      <c r="BG1185" s="80"/>
      <c r="BH1185" s="80"/>
      <c r="BI1185" s="80"/>
      <c r="BJ1185" s="80"/>
      <c r="BK1185" s="80"/>
      <c r="BL1185" s="80"/>
      <c r="BM1185" s="80"/>
      <c r="BN1185" s="80"/>
      <c r="BO1185" s="80"/>
      <c r="BP1185" s="80"/>
      <c r="BQ1185" s="80"/>
      <c r="BR1185" s="80"/>
      <c r="BS1185" s="80"/>
      <c r="BT1185" s="80"/>
      <c r="BU1185" s="80"/>
      <c r="BV1185" s="80"/>
      <c r="BW1185" s="80"/>
      <c r="BX1185" s="80"/>
      <c r="BY1185" s="80"/>
      <c r="BZ1185" s="80"/>
      <c r="CA1185" s="80"/>
      <c r="CB1185" s="80"/>
      <c r="CC1185" s="80"/>
      <c r="CD1185" s="80"/>
      <c r="CE1185" s="80"/>
      <c r="CF1185" s="80"/>
      <c r="CG1185" s="80"/>
      <c r="CH1185" s="80"/>
      <c r="CI1185" s="80"/>
      <c r="CJ1185" s="80"/>
      <c r="CK1185" s="2"/>
    </row>
    <row r="1186" ht="12.75" customHeight="1">
      <c r="A1186" s="85">
        <f>IFERROR(__xludf.DUMMYFUNCTION("""COMPUTED_VALUE"""),1182.0)</f>
        <v>1182</v>
      </c>
      <c r="B1186" s="85"/>
      <c r="C1186" s="85"/>
      <c r="D1186" s="86">
        <f>IFERROR(__xludf.DUMMYFUNCTION("""COMPUTED_VALUE"""),46218.0)</f>
        <v>46218</v>
      </c>
      <c r="E1186" s="88"/>
      <c r="F1186" s="85"/>
      <c r="G1186" s="86">
        <f>IFERROR(__xludf.DUMMYFUNCTION("""COMPUTED_VALUE"""),46244.0)</f>
        <v>46244</v>
      </c>
      <c r="H1186" s="85"/>
      <c r="I1186" s="85"/>
      <c r="J1186" s="85"/>
      <c r="K1186" s="85"/>
      <c r="L1186" s="85">
        <f>IFERROR(__xludf.DUMMYFUNCTION("""COMPUTED_VALUE"""),26.0)</f>
        <v>26</v>
      </c>
      <c r="M1186" s="85"/>
      <c r="N1186" s="85"/>
      <c r="O1186" s="85"/>
      <c r="P1186" s="85" t="str">
        <f>IFERROR(__xludf.DUMMYFUNCTION("""COMPUTED_VALUE"""),"53BSPA17148JBNDS")</f>
        <v>53BSPA17148JBNDS</v>
      </c>
      <c r="Q1186" s="85" t="str">
        <f>IFERROR(__xludf.DUMMYFUNCTION("""COMPUTED_VALUE"""),"MUC PASAR CIPUTAT")</f>
        <v>MUC PASAR CIPUTAT</v>
      </c>
      <c r="R1186" s="85" t="str">
        <f>IFERROR(__xludf.DUMMYFUNCTION("""COMPUTED_VALUE"""),"MUC PASAR CIPUTAT")</f>
        <v>MUC PASAR CIPUTAT</v>
      </c>
      <c r="S1186" s="85" t="str">
        <f>IFERROR(__xludf.DUMMYFUNCTION("""COMPUTED_VALUE"""),"Teguh Imam Santoso")</f>
        <v>Teguh Imam Santoso</v>
      </c>
      <c r="T1186" s="85" t="str">
        <f>IFERROR(__xludf.DUMMYFUNCTION("""COMPUTED_VALUE"""),"Griya Bambu Apus Kencana Blok A4, Jl. Gurame Tengah 2A, Bambu Apus, Tangerang Selatan")</f>
        <v>Griya Bambu Apus Kencana Blok A4, Jl. Gurame Tengah 2A, Bambu Apus, Tangerang Selatan</v>
      </c>
      <c r="U1186" s="85" t="str">
        <f>IFERROR(__xludf.DUMMYFUNCTION("""COMPUTED_VALUE"""),"Jl. Aria Putra No 42")</f>
        <v>Jl. Aria Putra No 42</v>
      </c>
      <c r="V1186" s="85"/>
      <c r="W1186" s="85" t="str">
        <f>IFERROR(__xludf.DUMMYFUNCTION("""COMPUTED_VALUE"""),"Ciputat")</f>
        <v>Ciputat</v>
      </c>
      <c r="X1186" s="85" t="str">
        <f>IFERROR(__xludf.DUMMYFUNCTION("""COMPUTED_VALUE"""),"Ciputat")</f>
        <v>Ciputat</v>
      </c>
      <c r="Y1186" s="85" t="str">
        <f>IFERROR(__xludf.DUMMYFUNCTION("""COMPUTED_VALUE"""),"Tangerang Selatan")</f>
        <v>Tangerang Selatan</v>
      </c>
      <c r="Z1186" s="85" t="str">
        <f>IFERROR(__xludf.DUMMYFUNCTION("""COMPUTED_VALUE"""),"Banten")</f>
        <v>Banten</v>
      </c>
      <c r="AA1186" s="85" t="str">
        <f>IFERROR(__xludf.DUMMYFUNCTION("""COMPUTED_VALUE"""),"15411")</f>
        <v>15411</v>
      </c>
      <c r="AB1186" s="85" t="str">
        <f>IFERROR(__xludf.DUMMYFUNCTION("""COMPUTED_VALUE"""),"3276042201700002")</f>
        <v>3276042201700002</v>
      </c>
      <c r="AC1186" s="85" t="str">
        <f>IFERROR(__xludf.DUMMYFUNCTION("""COMPUTED_VALUE"""),"48.863.595.4-412.000")</f>
        <v>48.863.595.4-412.000</v>
      </c>
      <c r="AD1186" s="85" t="str">
        <f>IFERROR(__xludf.DUMMYFUNCTION("""COMPUTED_VALUE"""),"CUM - NDS")</f>
        <v>CUM - NDS</v>
      </c>
      <c r="AE1186" s="85" t="str">
        <f>IFERROR(__xludf.DUMMYFUNCTION("""COMPUTED_VALUE"""),"CUM - NDS")</f>
        <v>CUM - NDS</v>
      </c>
      <c r="AF1186" s="85" t="str">
        <f>IFERROR(__xludf.DUMMYFUNCTION("""COMPUTED_VALUE"""),"081287161605")</f>
        <v>081287161605</v>
      </c>
      <c r="AG1186" s="85" t="str">
        <f>IFERROR(__xludf.DUMMYFUNCTION("""COMPUTED_VALUE"""),"81287161605")</f>
        <v>81287161605</v>
      </c>
      <c r="AH1186" s="85" t="str">
        <f>IFERROR(__xludf.DUMMYFUNCTION("""COMPUTED_VALUE"""),"teguhimamsantoso2201@gmail.com")</f>
        <v>teguhimamsantoso2201@gmail.com</v>
      </c>
      <c r="AI1186" s="85" t="str">
        <f>IFERROR(__xludf.DUMMYFUNCTION("""COMPUTED_VALUE"""),"15411S7")</f>
        <v>15411S7</v>
      </c>
      <c r="AJ1186" s="85" t="str">
        <f>IFERROR(__xludf.DUMMYFUNCTION("""COMPUTED_VALUE"""),"6a794b5e22bb2119990801a2")</f>
        <v>6a794b5e22bb2119990801a2</v>
      </c>
      <c r="AK1186" s="85" t="str">
        <f>IFERROR(__xludf.DUMMYFUNCTION("""COMPUTED_VALUE"""),"teguhimamsantoso2201@gmail.com")</f>
        <v>teguhimamsantoso2201@gmail.com</v>
      </c>
      <c r="AL1186" s="85" t="str">
        <f>IFERROR(__xludf.DUMMYFUNCTION("""COMPUTED_VALUE"""),"#Muc15411S7$")</f>
        <v>#Muc15411S7$</v>
      </c>
      <c r="AM1186" s="85" t="str">
        <f>IFERROR(__xludf.DUMMYFUNCTION("""COMPUTED_VALUE"""),"KANTOR REGIONAL II JAKARTA 10004")</f>
        <v>KANTOR REGIONAL II JAKARTA 10004</v>
      </c>
      <c r="AN1186" s="85" t="str">
        <f>IFERROR(__xludf.DUMMYFUNCTION("""COMPUTED_VALUE"""),"KC TANGERANGSELATAN 15400")</f>
        <v>KC TANGERANGSELATAN 15400</v>
      </c>
      <c r="AO1186" s="85" t="str">
        <f>IFERROR(__xludf.DUMMYFUNCTION("""COMPUTED_VALUE"""),"1407260099548")</f>
        <v>1407260099548</v>
      </c>
      <c r="AP1186" s="85" t="str">
        <f>IFERROR(__xludf.DUMMYFUNCTION("""COMPUTED_VALUE"""),"1407260099548")</f>
        <v>1407260099548</v>
      </c>
      <c r="AQ1186" s="93" t="str">
        <f>IFERROR(__xludf.DUMMYFUNCTION("""COMPUTED_VALUE"""),"4732235993")</f>
        <v>4732235993</v>
      </c>
      <c r="AR1186" s="85" t="str">
        <f>IFERROR(__xludf.DUMMYFUNCTION("""COMPUTED_VALUE"""),"BCA")</f>
        <v>BCA</v>
      </c>
      <c r="AS1186" s="85" t="str">
        <f>IFERROR(__xludf.DUMMYFUNCTION("""COMPUTED_VALUE"""),"Teguh Imam Santoso")</f>
        <v>Teguh Imam Santoso</v>
      </c>
      <c r="AT1186" s="85" t="str">
        <f>IFERROR(__xludf.DUMMYFUNCTION("""COMPUTED_VALUE"""),"-63,136,043")</f>
        <v>-63,136,043</v>
      </c>
      <c r="AU1186" s="85" t="str">
        <f>IFERROR(__xludf.DUMMYFUNCTION("""COMPUTED_VALUE"""),"1,067,255,111")</f>
        <v>1,067,255,111</v>
      </c>
      <c r="AV1186" s="85"/>
      <c r="AW1186" s="85"/>
      <c r="AX1186" s="85"/>
      <c r="AY1186" s="85"/>
      <c r="AZ1186" s="85"/>
      <c r="BA1186" s="85"/>
      <c r="BB1186" s="85"/>
      <c r="BC1186" s="85"/>
      <c r="BD1186" s="85"/>
      <c r="BE1186" s="85"/>
      <c r="BF1186" s="85"/>
      <c r="BG1186" s="85"/>
      <c r="BH1186" s="85"/>
      <c r="BI1186" s="85"/>
      <c r="BJ1186" s="85"/>
      <c r="BK1186" s="85"/>
      <c r="BL1186" s="85"/>
      <c r="BM1186" s="85"/>
      <c r="BN1186" s="85"/>
      <c r="BO1186" s="85"/>
      <c r="BP1186" s="85"/>
      <c r="BQ1186" s="85"/>
      <c r="BR1186" s="85"/>
      <c r="BS1186" s="85"/>
      <c r="BT1186" s="85"/>
      <c r="BU1186" s="85"/>
      <c r="BV1186" s="85"/>
      <c r="BW1186" s="85"/>
      <c r="BX1186" s="85"/>
      <c r="BY1186" s="85"/>
      <c r="BZ1186" s="85"/>
      <c r="CA1186" s="85"/>
      <c r="CB1186" s="85"/>
      <c r="CC1186" s="85"/>
      <c r="CD1186" s="85"/>
      <c r="CE1186" s="85"/>
      <c r="CF1186" s="85"/>
      <c r="CG1186" s="85"/>
      <c r="CH1186" s="85"/>
      <c r="CI1186" s="85"/>
      <c r="CJ1186" s="85"/>
      <c r="CK1186" s="2"/>
    </row>
    <row r="1187" ht="12.75" customHeight="1">
      <c r="A1187" s="80">
        <f>IFERROR(__xludf.DUMMYFUNCTION("""COMPUTED_VALUE"""),1183.0)</f>
        <v>1183</v>
      </c>
      <c r="B1187" s="80"/>
      <c r="C1187" s="80"/>
      <c r="D1187" s="81">
        <f>IFERROR(__xludf.DUMMYFUNCTION("""COMPUTED_VALUE"""),46218.0)</f>
        <v>46218</v>
      </c>
      <c r="E1187" s="82"/>
      <c r="F1187" s="80"/>
      <c r="G1187" s="81">
        <f>IFERROR(__xludf.DUMMYFUNCTION("""COMPUTED_VALUE"""),46279.0)</f>
        <v>46279</v>
      </c>
      <c r="H1187" s="80"/>
      <c r="I1187" s="80"/>
      <c r="J1187" s="80"/>
      <c r="K1187" s="80"/>
      <c r="L1187" s="80">
        <f>IFERROR(__xludf.DUMMYFUNCTION("""COMPUTED_VALUE"""),61.0)</f>
        <v>61</v>
      </c>
      <c r="M1187" s="80"/>
      <c r="N1187" s="80"/>
      <c r="O1187" s="80"/>
      <c r="P1187" s="80" t="str">
        <f>IFERROR(__xludf.DUMMYFUNCTION("""COMPUTED_VALUE"""),"MUCSPA63616PSIND")</f>
        <v>MUCSPA63616PSIND</v>
      </c>
      <c r="Q1187" s="80" t="str">
        <f>IFERROR(__xludf.DUMMYFUNCTION("""COMPUTED_VALUE"""),"MUC JATI EXPRESS")</f>
        <v>MUC JATI EXPRESS</v>
      </c>
      <c r="R1187" s="80" t="str">
        <f>IFERROR(__xludf.DUMMYFUNCTION("""COMPUTED_VALUE"""),"MUC JATI EXPRESS")</f>
        <v>MUC JATI EXPRESS</v>
      </c>
      <c r="S1187" s="80" t="str">
        <f>IFERROR(__xludf.DUMMYFUNCTION("""COMPUTED_VALUE"""),"DYAH SETYA JATI")</f>
        <v>DYAH SETYA JATI</v>
      </c>
      <c r="T1187" s="80" t="str">
        <f>IFERROR(__xludf.DUMMYFUNCTION("""COMPUTED_VALUE"""),"GLAGAHSARI UH 4/530 RT 20 RW 05, WARUNGBOTO, UMBULHARJO, YOGYAKARTA")</f>
        <v>GLAGAHSARI UH 4/530 RT 20 RW 05, WARUNGBOTO, UMBULHARJO, YOGYAKARTA</v>
      </c>
      <c r="U1187" s="80" t="str">
        <f>IFERROR(__xludf.DUMMYFUNCTION("""COMPUTED_VALUE"""),"JL. TIRTA MARTA NO.405 RT.14 RW.51 POGUNG KIDUL")</f>
        <v>JL. TIRTA MARTA NO.405 RT.14 RW.51 POGUNG KIDUL</v>
      </c>
      <c r="V1187" s="80" t="str">
        <f>IFERROR(__xludf.DUMMYFUNCTION("""COMPUTED_VALUE"""),"RT 20  \ RW 05,")</f>
        <v>RT 20  \ RW 05,</v>
      </c>
      <c r="W1187" s="80" t="str">
        <f>IFERROR(__xludf.DUMMYFUNCTION("""COMPUTED_VALUE"""),"SINDUADI")</f>
        <v>SINDUADI</v>
      </c>
      <c r="X1187" s="80" t="str">
        <f>IFERROR(__xludf.DUMMYFUNCTION("""COMPUTED_VALUE"""),"MLATI")</f>
        <v>MLATI</v>
      </c>
      <c r="Y1187" s="80" t="str">
        <f>IFERROR(__xludf.DUMMYFUNCTION("""COMPUTED_VALUE"""),"KAB.SLEMAN")</f>
        <v>KAB.SLEMAN</v>
      </c>
      <c r="Z1187" s="80" t="str">
        <f>IFERROR(__xludf.DUMMYFUNCTION("""COMPUTED_VALUE"""),"D.I YOGYAKARTA")</f>
        <v>D.I YOGYAKARTA</v>
      </c>
      <c r="AA1187" s="80" t="str">
        <f>IFERROR(__xludf.DUMMYFUNCTION("""COMPUTED_VALUE"""),"55281")</f>
        <v>55281</v>
      </c>
      <c r="AB1187" s="80" t="str">
        <f>IFERROR(__xludf.DUMMYFUNCTION("""COMPUTED_VALUE"""),"3471135203760002")</f>
        <v>3471135203760002</v>
      </c>
      <c r="AC1187" s="80" t="str">
        <f>IFERROR(__xludf.DUMMYFUNCTION("""COMPUTED_VALUE"""),"22.501.005.2-541.000")</f>
        <v>22.501.005.2-541.000</v>
      </c>
      <c r="AD1187" s="80" t="str">
        <f>IFERROR(__xludf.DUMMYFUNCTION("""COMPUTED_VALUE"""),"PA BOS PA PURBO")</f>
        <v>PA BOS PA PURBO</v>
      </c>
      <c r="AE1187" s="80" t="str">
        <f>IFERROR(__xludf.DUMMYFUNCTION("""COMPUTED_VALUE"""),"PA BOS PA PURBO")</f>
        <v>PA BOS PA PURBO</v>
      </c>
      <c r="AF1187" s="80" t="str">
        <f>IFERROR(__xludf.DUMMYFUNCTION("""COMPUTED_VALUE"""),"089639731434")</f>
        <v>089639731434</v>
      </c>
      <c r="AG1187" s="80" t="str">
        <f>IFERROR(__xludf.DUMMYFUNCTION("""COMPUTED_VALUE"""),"89639731434")</f>
        <v>89639731434</v>
      </c>
      <c r="AH1187" s="80" t="str">
        <f>IFERROR(__xludf.DUMMYFUNCTION("""COMPUTED_VALUE"""),"dyahsetyajati76@gmail.com")</f>
        <v>dyahsetyajati76@gmail.com</v>
      </c>
      <c r="AI1187" s="80" t="str">
        <f>IFERROR(__xludf.DUMMYFUNCTION("""COMPUTED_VALUE"""),"55597S7 ")</f>
        <v>55597S7 </v>
      </c>
      <c r="AJ1187" s="80" t="str">
        <f>IFERROR(__xludf.DUMMYFUNCTION("""COMPUTED_VALUE"""),"6a9d88c4ed6fe30bc107cdbc ")</f>
        <v>6a9d88c4ed6fe30bc107cdbc </v>
      </c>
      <c r="AK1187" s="80" t="str">
        <f>IFERROR(__xludf.DUMMYFUNCTION("""COMPUTED_VALUE"""),"dyahsetyajati76@gmail.com")</f>
        <v>dyahsetyajati76@gmail.com</v>
      </c>
      <c r="AL1187" s="80" t="str">
        <f>IFERROR(__xludf.DUMMYFUNCTION("""COMPUTED_VALUE"""),"#Muc55597S7$")</f>
        <v>#Muc55597S7$</v>
      </c>
      <c r="AM1187" s="80" t="str">
        <f>IFERROR(__xludf.DUMMYFUNCTION("""COMPUTED_VALUE"""),"KANTOR REGIONAL IV SEMARANG 50004")</f>
        <v>KANTOR REGIONAL IV SEMARANG 50004</v>
      </c>
      <c r="AN1187" s="80" t="str">
        <f>IFERROR(__xludf.DUMMYFUNCTION("""COMPUTED_VALUE"""),"KCU YOGYAKARTA 55000")</f>
        <v>KCU YOGYAKARTA 55000</v>
      </c>
      <c r="AO1187" s="80" t="str">
        <f>IFERROR(__xludf.DUMMYFUNCTION("""COMPUTED_VALUE"""),"1407260107953")</f>
        <v>1407260107953</v>
      </c>
      <c r="AP1187" s="80" t="str">
        <f>IFERROR(__xludf.DUMMYFUNCTION("""COMPUTED_VALUE"""),"1407260107953")</f>
        <v>1407260107953</v>
      </c>
      <c r="AQ1187" s="83" t="str">
        <f>IFERROR(__xludf.DUMMYFUNCTION("""COMPUTED_VALUE"""),"6380069120")</f>
        <v>6380069120</v>
      </c>
      <c r="AR1187" s="80" t="str">
        <f>IFERROR(__xludf.DUMMYFUNCTION("""COMPUTED_VALUE"""),"BCA")</f>
        <v>BCA</v>
      </c>
      <c r="AS1187" s="80" t="str">
        <f>IFERROR(__xludf.DUMMYFUNCTION("""COMPUTED_VALUE"""),"DYAH SETYA JATI")</f>
        <v>DYAH SETYA JATI</v>
      </c>
      <c r="AT1187" s="80" t="str">
        <f>IFERROR(__xludf.DUMMYFUNCTION("""COMPUTED_VALUE"""),"-77,565,694")</f>
        <v>-77,565,694</v>
      </c>
      <c r="AU1187" s="80" t="str">
        <f>IFERROR(__xludf.DUMMYFUNCTION("""COMPUTED_VALUE"""),"1,103,718,091")</f>
        <v>1,103,718,091</v>
      </c>
      <c r="AV1187" s="80"/>
      <c r="AW1187" s="80"/>
      <c r="AX1187" s="80"/>
      <c r="AY1187" s="80"/>
      <c r="AZ1187" s="80"/>
      <c r="BA1187" s="80"/>
      <c r="BB1187" s="80"/>
      <c r="BC1187" s="80"/>
      <c r="BD1187" s="80"/>
      <c r="BE1187" s="80"/>
      <c r="BF1187" s="80"/>
      <c r="BG1187" s="80"/>
      <c r="BH1187" s="80"/>
      <c r="BI1187" s="80"/>
      <c r="BJ1187" s="80"/>
      <c r="BK1187" s="80"/>
      <c r="BL1187" s="80"/>
      <c r="BM1187" s="80"/>
      <c r="BN1187" s="80"/>
      <c r="BO1187" s="80"/>
      <c r="BP1187" s="80"/>
      <c r="BQ1187" s="80"/>
      <c r="BR1187" s="80"/>
      <c r="BS1187" s="80"/>
      <c r="BT1187" s="80"/>
      <c r="BU1187" s="80"/>
      <c r="BV1187" s="80"/>
      <c r="BW1187" s="80"/>
      <c r="BX1187" s="80"/>
      <c r="BY1187" s="80"/>
      <c r="BZ1187" s="80"/>
      <c r="CA1187" s="80"/>
      <c r="CB1187" s="80"/>
      <c r="CC1187" s="80"/>
      <c r="CD1187" s="80"/>
      <c r="CE1187" s="80"/>
      <c r="CF1187" s="80"/>
      <c r="CG1187" s="80"/>
      <c r="CH1187" s="80"/>
      <c r="CI1187" s="80"/>
      <c r="CJ1187" s="80"/>
      <c r="CK1187" s="2"/>
    </row>
    <row r="1188" ht="12.75" customHeight="1">
      <c r="A1188" s="85">
        <f>IFERROR(__xludf.DUMMYFUNCTION("""COMPUTED_VALUE"""),1184.0)</f>
        <v>1184</v>
      </c>
      <c r="B1188" s="85"/>
      <c r="C1188" s="85"/>
      <c r="D1188" s="86">
        <f>IFERROR(__xludf.DUMMYFUNCTION("""COMPUTED_VALUE"""),46218.0)</f>
        <v>46218</v>
      </c>
      <c r="E1188" s="88"/>
      <c r="F1188" s="85"/>
      <c r="G1188" s="180"/>
      <c r="H1188" s="85"/>
      <c r="I1188" s="85"/>
      <c r="J1188" s="85"/>
      <c r="K1188" s="85"/>
      <c r="L1188" s="85"/>
      <c r="M1188" s="85"/>
      <c r="N1188" s="85"/>
      <c r="O1188" s="85"/>
      <c r="P1188" s="85" t="str">
        <f>IFERROR(__xludf.DUMMYFUNCTION("""COMPUTED_VALUE"""),"MUCSPA70019PSUMK")</f>
        <v>MUCSPA70019PSUMK</v>
      </c>
      <c r="Q1188" s="85" t="str">
        <f>IFERROR(__xludf.DUMMYFUNCTION("""COMPUTED_VALUE"""),"MUC TARAKANALADA")</f>
        <v>MUC TARAKANALADA</v>
      </c>
      <c r="R1188" s="85" t="str">
        <f>IFERROR(__xludf.DUMMYFUNCTION("""COMPUTED_VALUE"""),"MUC TARAKANALADA")</f>
        <v>MUC TARAKANALADA</v>
      </c>
      <c r="S1188" s="85" t="str">
        <f>IFERROR(__xludf.DUMMYFUNCTION("""COMPUTED_VALUE"""),"FARID RIDWANULLAH S Pd")</f>
        <v>FARID RIDWANULLAH S Pd</v>
      </c>
      <c r="T1188" s="85" t="str">
        <f>IFERROR(__xludf.DUMMYFUNCTION("""COMPUTED_VALUE"""),"DUSUN PUHUN RT 3 RW 3 CIPUTAT, CIAWIGEBANG KAB. KUNINGAN")</f>
        <v>DUSUN PUHUN RT 3 RW 3 CIPUTAT, CIAWIGEBANG KAB. KUNINGAN</v>
      </c>
      <c r="U1188" s="85" t="str">
        <f>IFERROR(__xludf.DUMMYFUNCTION("""COMPUTED_VALUE"""),"JL. RAYA KOJENGKANG")</f>
        <v>JL. RAYA KOJENGKANG</v>
      </c>
      <c r="V1188" s="85" t="str">
        <f>IFERROR(__xludf.DUMMYFUNCTION("""COMPUTED_VALUE"""),"RT 3 R \ RW 3 C")</f>
        <v>RT 3 R \ RW 3 C</v>
      </c>
      <c r="W1188" s="85" t="str">
        <f>IFERROR(__xludf.DUMMYFUNCTION("""COMPUTED_VALUE"""),"CIPUTAT")</f>
        <v>CIPUTAT</v>
      </c>
      <c r="X1188" s="85" t="str">
        <f>IFERROR(__xludf.DUMMYFUNCTION("""COMPUTED_VALUE"""),"CIAWIGEBANG")</f>
        <v>CIAWIGEBANG</v>
      </c>
      <c r="Y1188" s="85" t="str">
        <f>IFERROR(__xludf.DUMMYFUNCTION("""COMPUTED_VALUE"""),"KAB. KUNINGAN")</f>
        <v>KAB. KUNINGAN</v>
      </c>
      <c r="Z1188" s="85" t="str">
        <f>IFERROR(__xludf.DUMMYFUNCTION("""COMPUTED_VALUE"""),"JAWA BARAT")</f>
        <v>JAWA BARAT</v>
      </c>
      <c r="AA1188" s="85" t="str">
        <f>IFERROR(__xludf.DUMMYFUNCTION("""COMPUTED_VALUE"""),"45591")</f>
        <v>45591</v>
      </c>
      <c r="AB1188" s="85" t="str">
        <f>IFERROR(__xludf.DUMMYFUNCTION("""COMPUTED_VALUE"""),"3208101405970008")</f>
        <v>3208101405970008</v>
      </c>
      <c r="AC1188" s="85" t="str">
        <f>IFERROR(__xludf.DUMMYFUNCTION("""COMPUTED_VALUE"""),"90.374.996.8-438.000")</f>
        <v>90.374.996.8-438.000</v>
      </c>
      <c r="AD1188" s="85" t="str">
        <f>IFERROR(__xludf.DUMMYFUNCTION("""COMPUTED_VALUE"""),"CUM - UMKMNK - ASEP")</f>
        <v>CUM - UMKMNK - ASEP</v>
      </c>
      <c r="AE1188" s="85" t="str">
        <f>IFERROR(__xludf.DUMMYFUNCTION("""COMPUTED_VALUE"""),"CUM - UMKMNK - ASEP")</f>
        <v>CUM - UMKMNK - ASEP</v>
      </c>
      <c r="AF1188" s="85" t="str">
        <f>IFERROR(__xludf.DUMMYFUNCTION("""COMPUTED_VALUE"""),"08888977844")</f>
        <v>08888977844</v>
      </c>
      <c r="AG1188" s="85" t="str">
        <f>IFERROR(__xludf.DUMMYFUNCTION("""COMPUTED_VALUE"""),"8888977844")</f>
        <v>8888977844</v>
      </c>
      <c r="AH1188" s="85" t="str">
        <f>IFERROR(__xludf.DUMMYFUNCTION("""COMPUTED_VALUE"""),"faridsridwanullah@gmail.com")</f>
        <v>faridsridwanullah@gmail.com</v>
      </c>
      <c r="AI1188" s="85"/>
      <c r="AJ1188" s="85"/>
      <c r="AK1188" s="85"/>
      <c r="AL1188" s="85"/>
      <c r="AM1188" s="85" t="str">
        <f>IFERROR(__xludf.DUMMYFUNCTION("""COMPUTED_VALUE"""),"KANTOR REGIONAL III BANDUNG 40004")</f>
        <v>KANTOR REGIONAL III BANDUNG 40004</v>
      </c>
      <c r="AN1188" s="85" t="str">
        <f>IFERROR(__xludf.DUMMYFUNCTION("""COMPUTED_VALUE"""),"KC KUNINGAN 45500")</f>
        <v>KC KUNINGAN 45500</v>
      </c>
      <c r="AO1188" s="85" t="str">
        <f>IFERROR(__xludf.DUMMYFUNCTION("""COMPUTED_VALUE"""),"0304220008205")</f>
        <v>0304220008205</v>
      </c>
      <c r="AP1188" s="85" t="str">
        <f>IFERROR(__xludf.DUMMYFUNCTION("""COMPUTED_VALUE"""),"0304220008205")</f>
        <v>0304220008205</v>
      </c>
      <c r="AQ1188" s="93" t="str">
        <f>IFERROR(__xludf.DUMMYFUNCTION("""COMPUTED_VALUE"""),"1340030226897")</f>
        <v>1340030226897</v>
      </c>
      <c r="AR1188" s="85" t="str">
        <f>IFERROR(__xludf.DUMMYFUNCTION("""COMPUTED_VALUE"""),"MANDIRI")</f>
        <v>MANDIRI</v>
      </c>
      <c r="AS1188" s="85" t="str">
        <f>IFERROR(__xludf.DUMMYFUNCTION("""COMPUTED_VALUE"""),"FARID RIDWANULLAH")</f>
        <v>FARID RIDWANULLAH</v>
      </c>
      <c r="AT1188" s="85" t="str">
        <f>IFERROR(__xludf.DUMMYFUNCTION("""COMPUTED_VALUE"""),"-6.9827003,108.5881445")</f>
        <v>-6.9827003,108.5881445</v>
      </c>
      <c r="AU1188" s="85" t="str">
        <f>IFERROR(__xludf.DUMMYFUNCTION("""COMPUTED_VALUE"""),"-6.9827003,108.5881445")</f>
        <v>-6.9827003,108.5881445</v>
      </c>
      <c r="AV1188" s="85"/>
      <c r="AW1188" s="85"/>
      <c r="AX1188" s="85"/>
      <c r="AY1188" s="85"/>
      <c r="AZ1188" s="85"/>
      <c r="BA1188" s="85"/>
      <c r="BB1188" s="85"/>
      <c r="BC1188" s="85"/>
      <c r="BD1188" s="85"/>
      <c r="BE1188" s="85"/>
      <c r="BF1188" s="85"/>
      <c r="BG1188" s="85"/>
      <c r="BH1188" s="85"/>
      <c r="BI1188" s="85"/>
      <c r="BJ1188" s="85"/>
      <c r="BK1188" s="85"/>
      <c r="BL1188" s="85"/>
      <c r="BM1188" s="85"/>
      <c r="BN1188" s="85"/>
      <c r="BO1188" s="85"/>
      <c r="BP1188" s="85"/>
      <c r="BQ1188" s="85"/>
      <c r="BR1188" s="85"/>
      <c r="BS1188" s="85"/>
      <c r="BT1188" s="85"/>
      <c r="BU1188" s="85"/>
      <c r="BV1188" s="85"/>
      <c r="BW1188" s="85"/>
      <c r="BX1188" s="85"/>
      <c r="BY1188" s="85"/>
      <c r="BZ1188" s="85"/>
      <c r="CA1188" s="85"/>
      <c r="CB1188" s="85"/>
      <c r="CC1188" s="85"/>
      <c r="CD1188" s="85"/>
      <c r="CE1188" s="85"/>
      <c r="CF1188" s="85"/>
      <c r="CG1188" s="85"/>
      <c r="CH1188" s="85"/>
      <c r="CI1188" s="85"/>
      <c r="CJ1188" s="85"/>
      <c r="CK1188" s="2"/>
    </row>
    <row r="1189" ht="12.75" customHeight="1">
      <c r="A1189" s="80">
        <f>IFERROR(__xludf.DUMMYFUNCTION("""COMPUTED_VALUE"""),1185.0)</f>
        <v>1185</v>
      </c>
      <c r="B1189" s="80"/>
      <c r="C1189" s="80"/>
      <c r="D1189" s="81">
        <f>IFERROR(__xludf.DUMMYFUNCTION("""COMPUTED_VALUE"""),46218.0)</f>
        <v>46218</v>
      </c>
      <c r="E1189" s="82"/>
      <c r="F1189" s="80"/>
      <c r="G1189" s="81">
        <f>IFERROR(__xludf.DUMMYFUNCTION("""COMPUTED_VALUE"""),46266.0)</f>
        <v>46266</v>
      </c>
      <c r="H1189" s="80"/>
      <c r="I1189" s="80"/>
      <c r="J1189" s="80"/>
      <c r="K1189" s="80"/>
      <c r="L1189" s="80">
        <f>IFERROR(__xludf.DUMMYFUNCTION("""COMPUTED_VALUE"""),48.0)</f>
        <v>48</v>
      </c>
      <c r="M1189" s="80"/>
      <c r="N1189" s="80"/>
      <c r="O1189" s="80"/>
      <c r="P1189" s="80" t="str">
        <f>IFERROR(__xludf.DUMMYFUNCTION("""COMPUTED_VALUE"""),"MUCSPA63617PSIND")</f>
        <v>MUCSPA63617PSIND</v>
      </c>
      <c r="Q1189" s="80" t="str">
        <f>IFERROR(__xludf.DUMMYFUNCTION("""COMPUTED_VALUE"""),"MUC TOKO EZAR")</f>
        <v>MUC TOKO EZAR</v>
      </c>
      <c r="R1189" s="80" t="str">
        <f>IFERROR(__xludf.DUMMYFUNCTION("""COMPUTED_VALUE"""),"MUC TOKO EZAR")</f>
        <v>MUC TOKO EZAR</v>
      </c>
      <c r="S1189" s="80" t="str">
        <f>IFERROR(__xludf.DUMMYFUNCTION("""COMPUTED_VALUE"""),"UDIN SAPARUDIN")</f>
        <v>UDIN SAPARUDIN</v>
      </c>
      <c r="T1189" s="80" t="str">
        <f>IFERROR(__xludf.DUMMYFUNCTION("""COMPUTED_VALUE"""),"Kp mengko RT/RW 02/08")</f>
        <v>Kp mengko RT/RW 02/08</v>
      </c>
      <c r="U1189" s="80" t="str">
        <f>IFERROR(__xludf.DUMMYFUNCTION("""COMPUTED_VALUE"""),"Kp mengko RT/RW 02/08")</f>
        <v>Kp mengko RT/RW 02/08</v>
      </c>
      <c r="V1189" s="80" t="str">
        <f>IFERROR(__xludf.DUMMYFUNCTION("""COMPUTED_VALUE"""),"RT/RW  \ RW 02/")</f>
        <v>RT/RW  \ RW 02/</v>
      </c>
      <c r="W1189" s="80" t="str">
        <f>IFERROR(__xludf.DUMMYFUNCTION("""COMPUTED_VALUE"""),"Cikolelet")</f>
        <v>Cikolelet</v>
      </c>
      <c r="X1189" s="80" t="str">
        <f>IFERROR(__xludf.DUMMYFUNCTION("""COMPUTED_VALUE"""),"Cinangka")</f>
        <v>Cinangka</v>
      </c>
      <c r="Y1189" s="80" t="str">
        <f>IFERROR(__xludf.DUMMYFUNCTION("""COMPUTED_VALUE"""),"Kab. Serang")</f>
        <v>Kab. Serang</v>
      </c>
      <c r="Z1189" s="80" t="str">
        <f>IFERROR(__xludf.DUMMYFUNCTION("""COMPUTED_VALUE"""),"Banten")</f>
        <v>Banten</v>
      </c>
      <c r="AA1189" s="80" t="str">
        <f>IFERROR(__xludf.DUMMYFUNCTION("""COMPUTED_VALUE"""),"42167")</f>
        <v>42167</v>
      </c>
      <c r="AB1189" s="80" t="str">
        <f>IFERROR(__xludf.DUMMYFUNCTION("""COMPUTED_VALUE"""),"3604311806840003")</f>
        <v>3604311806840003</v>
      </c>
      <c r="AC1189" s="80" t="str">
        <f>IFERROR(__xludf.DUMMYFUNCTION("""COMPUTED_VALUE"""),"46.844.987.1-401.000")</f>
        <v>46.844.987.1-401.000</v>
      </c>
      <c r="AD1189" s="80" t="str">
        <f>IFERROR(__xludf.DUMMYFUNCTION("""COMPUTED_VALUE"""),"PAK ICHCSAN")</f>
        <v>PAK ICHCSAN</v>
      </c>
      <c r="AE1189" s="80" t="str">
        <f>IFERROR(__xludf.DUMMYFUNCTION("""COMPUTED_VALUE"""),"PAK ICHCSAN")</f>
        <v>PAK ICHCSAN</v>
      </c>
      <c r="AF1189" s="80" t="str">
        <f>IFERROR(__xludf.DUMMYFUNCTION("""COMPUTED_VALUE"""),"083812174649")</f>
        <v>083812174649</v>
      </c>
      <c r="AG1189" s="80" t="str">
        <f>IFERROR(__xludf.DUMMYFUNCTION("""COMPUTED_VALUE"""),"83812174649")</f>
        <v>83812174649</v>
      </c>
      <c r="AH1189" s="80" t="str">
        <f>IFERROR(__xludf.DUMMYFUNCTION("""COMPUTED_VALUE"""),"udinsaparudin276@gmail.com")</f>
        <v>udinsaparudin276@gmail.com</v>
      </c>
      <c r="AI1189" s="80" t="str">
        <f>IFERROR(__xludf.DUMMYFUNCTION("""COMPUTED_VALUE"""),"42167S2")</f>
        <v>42167S2</v>
      </c>
      <c r="AJ1189" s="80" t="str">
        <f>IFERROR(__xludf.DUMMYFUNCTION("""COMPUTED_VALUE"""),"6a96999c7c0e5ebcb10d61af")</f>
        <v>6a96999c7c0e5ebcb10d61af</v>
      </c>
      <c r="AK1189" s="80" t="str">
        <f>IFERROR(__xludf.DUMMYFUNCTION("""COMPUTED_VALUE"""),"udinsaparudin276@gmail.com")</f>
        <v>udinsaparudin276@gmail.com</v>
      </c>
      <c r="AL1189" s="80" t="str">
        <f>IFERROR(__xludf.DUMMYFUNCTION("""COMPUTED_VALUE"""),"#Muc42167S2$")</f>
        <v>#Muc42167S2$</v>
      </c>
      <c r="AM1189" s="80" t="str">
        <f>IFERROR(__xludf.DUMMYFUNCTION("""COMPUTED_VALUE"""),"KANTOR REGIONAL II JAKARTA 10004")</f>
        <v>KANTOR REGIONAL II JAKARTA 10004</v>
      </c>
      <c r="AN1189" s="80" t="str">
        <f>IFERROR(__xludf.DUMMYFUNCTION("""COMPUTED_VALUE"""),"KC CILEGON 42400")</f>
        <v>KC CILEGON 42400</v>
      </c>
      <c r="AO1189" s="80" t="str">
        <f>IFERROR(__xludf.DUMMYFUNCTION("""COMPUTED_VALUE"""),"1407260109209")</f>
        <v>1407260109209</v>
      </c>
      <c r="AP1189" s="80" t="str">
        <f>IFERROR(__xludf.DUMMYFUNCTION("""COMPUTED_VALUE"""),"1407260109209")</f>
        <v>1407260109209</v>
      </c>
      <c r="AQ1189" s="83" t="str">
        <f>IFERROR(__xludf.DUMMYFUNCTION("""COMPUTED_VALUE"""),"0086003759100")</f>
        <v>0086003759100</v>
      </c>
      <c r="AR1189" s="80" t="str">
        <f>IFERROR(__xludf.DUMMYFUNCTION("""COMPUTED_VALUE"""),"BJB")</f>
        <v>BJB</v>
      </c>
      <c r="AS1189" s="80" t="str">
        <f>IFERROR(__xludf.DUMMYFUNCTION("""COMPUTED_VALUE"""),"Udin Saparudin")</f>
        <v>Udin Saparudin</v>
      </c>
      <c r="AT1189" s="80" t="str">
        <f>IFERROR(__xludf.DUMMYFUNCTION("""COMPUTED_VALUE"""),"-6.1546993,105.9000871")</f>
        <v>-6.1546993,105.9000871</v>
      </c>
      <c r="AU1189" s="80" t="str">
        <f>IFERROR(__xludf.DUMMYFUNCTION("""COMPUTED_VALUE"""),"1,059,000,871")</f>
        <v>1,059,000,871</v>
      </c>
      <c r="AV1189" s="80"/>
      <c r="AW1189" s="80"/>
      <c r="AX1189" s="80"/>
      <c r="AY1189" s="80"/>
      <c r="AZ1189" s="80"/>
      <c r="BA1189" s="80"/>
      <c r="BB1189" s="80"/>
      <c r="BC1189" s="80"/>
      <c r="BD1189" s="80"/>
      <c r="BE1189" s="80"/>
      <c r="BF1189" s="80"/>
      <c r="BG1189" s="80"/>
      <c r="BH1189" s="80"/>
      <c r="BI1189" s="80"/>
      <c r="BJ1189" s="80"/>
      <c r="BK1189" s="80"/>
      <c r="BL1189" s="80"/>
      <c r="BM1189" s="80"/>
      <c r="BN1189" s="80"/>
      <c r="BO1189" s="80"/>
      <c r="BP1189" s="80"/>
      <c r="BQ1189" s="80"/>
      <c r="BR1189" s="80"/>
      <c r="BS1189" s="80"/>
      <c r="BT1189" s="80"/>
      <c r="BU1189" s="80"/>
      <c r="BV1189" s="80"/>
      <c r="BW1189" s="80"/>
      <c r="BX1189" s="80"/>
      <c r="BY1189" s="80"/>
      <c r="BZ1189" s="80"/>
      <c r="CA1189" s="80"/>
      <c r="CB1189" s="80"/>
      <c r="CC1189" s="80"/>
      <c r="CD1189" s="80"/>
      <c r="CE1189" s="80"/>
      <c r="CF1189" s="80"/>
      <c r="CG1189" s="80"/>
      <c r="CH1189" s="80"/>
      <c r="CI1189" s="80"/>
      <c r="CJ1189" s="80"/>
      <c r="CK1189" s="2"/>
    </row>
    <row r="1190" ht="12.75" customHeight="1">
      <c r="A1190" s="85">
        <f>IFERROR(__xludf.DUMMYFUNCTION("""COMPUTED_VALUE"""),1186.0)</f>
        <v>1186</v>
      </c>
      <c r="B1190" s="85"/>
      <c r="C1190" s="85"/>
      <c r="D1190" s="86">
        <f>IFERROR(__xludf.DUMMYFUNCTION("""COMPUTED_VALUE"""),46218.0)</f>
        <v>46218</v>
      </c>
      <c r="E1190" s="88"/>
      <c r="F1190" s="85"/>
      <c r="G1190" s="86">
        <f>IFERROR(__xludf.DUMMYFUNCTION("""COMPUTED_VALUE"""),46237.0)</f>
        <v>46237</v>
      </c>
      <c r="H1190" s="85"/>
      <c r="I1190" s="85"/>
      <c r="J1190" s="85"/>
      <c r="K1190" s="85"/>
      <c r="L1190" s="85">
        <f>IFERROR(__xludf.DUMMYFUNCTION("""COMPUTED_VALUE"""),19.0)</f>
        <v>19</v>
      </c>
      <c r="M1190" s="85"/>
      <c r="N1190" s="85"/>
      <c r="O1190" s="85"/>
      <c r="P1190" s="85" t="str">
        <f>IFERROR(__xludf.DUMMYFUNCTION("""COMPUTED_VALUE"""),"MUCSPA63619PSIND")</f>
        <v>MUCSPA63619PSIND</v>
      </c>
      <c r="Q1190" s="85" t="str">
        <f>IFERROR(__xludf.DUMMYFUNCTION("""COMPUTED_VALUE"""),"MUC ALIYA")</f>
        <v>MUC ALIYA</v>
      </c>
      <c r="R1190" s="85" t="str">
        <f>IFERROR(__xludf.DUMMYFUNCTION("""COMPUTED_VALUE"""),"MUC ALIYA")</f>
        <v>MUC ALIYA</v>
      </c>
      <c r="S1190" s="85" t="str">
        <f>IFERROR(__xludf.DUMMYFUNCTION("""COMPUTED_VALUE"""),"Moh. Abdul Kholis")</f>
        <v>Moh. Abdul Kholis</v>
      </c>
      <c r="T1190" s="85" t="str">
        <f>IFERROR(__xludf.DUMMYFUNCTION("""COMPUTED_VALUE"""),"perum IPB alam sinar sari Jl. Rambutan no 157 RT 03 RW 04 Desa Sinar sari kec. Dramaga Kab Bogor")</f>
        <v>perum IPB alam sinar sari Jl. Rambutan no 157 RT 03 RW 04 Desa Sinar sari kec. Dramaga Kab Bogor</v>
      </c>
      <c r="U1190" s="85" t="str">
        <f>IFERROR(__xludf.DUMMYFUNCTION("""COMPUTED_VALUE"""),"Jl. Gardu Raya RT 03 RW 11")</f>
        <v>Jl. Gardu Raya RT 03 RW 11</v>
      </c>
      <c r="V1190" s="85" t="str">
        <f>IFERROR(__xludf.DUMMYFUNCTION("""COMPUTED_VALUE"""),"RT 03  \ RW 04")</f>
        <v>RT 03  \ RW 04</v>
      </c>
      <c r="W1190" s="85" t="str">
        <f>IFERROR(__xludf.DUMMYFUNCTION("""COMPUTED_VALUE"""),"Bubulak")</f>
        <v>Bubulak</v>
      </c>
      <c r="X1190" s="85" t="str">
        <f>IFERROR(__xludf.DUMMYFUNCTION("""COMPUTED_VALUE"""),"Bogor Barat")</f>
        <v>Bogor Barat</v>
      </c>
      <c r="Y1190" s="85" t="str">
        <f>IFERROR(__xludf.DUMMYFUNCTION("""COMPUTED_VALUE"""),"Bogor")</f>
        <v>Bogor</v>
      </c>
      <c r="Z1190" s="85" t="str">
        <f>IFERROR(__xludf.DUMMYFUNCTION("""COMPUTED_VALUE"""),"Jawa Barat")</f>
        <v>Jawa Barat</v>
      </c>
      <c r="AA1190" s="85" t="str">
        <f>IFERROR(__xludf.DUMMYFUNCTION("""COMPUTED_VALUE"""),"16615")</f>
        <v>16615</v>
      </c>
      <c r="AB1190" s="85" t="str">
        <f>IFERROR(__xludf.DUMMYFUNCTION("""COMPUTED_VALUE"""),"3209261210840018")</f>
        <v>3209261210840018</v>
      </c>
      <c r="AC1190" s="85" t="str">
        <f>IFERROR(__xludf.DUMMYFUNCTION("""COMPUTED_VALUE"""),"86.959.264.2-407.000")</f>
        <v>86.959.264.2-407.000</v>
      </c>
      <c r="AD1190" s="85" t="str">
        <f>IFERROR(__xludf.DUMMYFUNCTION("""COMPUTED_VALUE"""),"CUM - PS - ASEPN")</f>
        <v>CUM - PS - ASEPN</v>
      </c>
      <c r="AE1190" s="85" t="str">
        <f>IFERROR(__xludf.DUMMYFUNCTION("""COMPUTED_VALUE"""),"CUM - PS - ASEPN")</f>
        <v>CUM - PS - ASEPN</v>
      </c>
      <c r="AF1190" s="85" t="str">
        <f>IFERROR(__xludf.DUMMYFUNCTION("""COMPUTED_VALUE"""),"085710924922")</f>
        <v>085710924922</v>
      </c>
      <c r="AG1190" s="85" t="str">
        <f>IFERROR(__xludf.DUMMYFUNCTION("""COMPUTED_VALUE"""),"85710924922")</f>
        <v>85710924922</v>
      </c>
      <c r="AH1190" s="85" t="str">
        <f>IFERROR(__xludf.DUMMYFUNCTION("""COMPUTED_VALUE"""),"kopkarsitaliya001@gmail.com")</f>
        <v>kopkarsitaliya001@gmail.com</v>
      </c>
      <c r="AI1190" s="85" t="str">
        <f>IFERROR(__xludf.DUMMYFUNCTION("""COMPUTED_VALUE"""),"16115S4")</f>
        <v>16115S4</v>
      </c>
      <c r="AJ1190" s="85" t="str">
        <f>IFERROR(__xludf.DUMMYFUNCTION("""COMPUTED_VALUE"""),"6a6c6f24f2623c7dd208a818")</f>
        <v>6a6c6f24f2623c7dd208a818</v>
      </c>
      <c r="AK1190" s="85" t="str">
        <f>IFERROR(__xludf.DUMMYFUNCTION("""COMPUTED_VALUE"""),"kopkarsitaliya001@gmail.com")</f>
        <v>kopkarsitaliya001@gmail.com</v>
      </c>
      <c r="AL1190" s="85" t="str">
        <f>IFERROR(__xludf.DUMMYFUNCTION("""COMPUTED_VALUE"""),"#Muc16115S4*")</f>
        <v>#Muc16115S4*</v>
      </c>
      <c r="AM1190" s="85" t="str">
        <f>IFERROR(__xludf.DUMMYFUNCTION("""COMPUTED_VALUE"""),"KANTOR REGIONAL II JAKARTA 10004")</f>
        <v>KANTOR REGIONAL II JAKARTA 10004</v>
      </c>
      <c r="AN1190" s="85" t="str">
        <f>IFERROR(__xludf.DUMMYFUNCTION("""COMPUTED_VALUE"""),"KCU BOGOR 16000")</f>
        <v>KCU BOGOR 16000</v>
      </c>
      <c r="AO1190" s="85" t="str">
        <f>IFERROR(__xludf.DUMMYFUNCTION("""COMPUTED_VALUE"""),"1507260046181")</f>
        <v>1507260046181</v>
      </c>
      <c r="AP1190" s="85" t="str">
        <f>IFERROR(__xludf.DUMMYFUNCTION("""COMPUTED_VALUE"""),"1507260046181")</f>
        <v>1507260046181</v>
      </c>
      <c r="AQ1190" s="93" t="str">
        <f>IFERROR(__xludf.DUMMYFUNCTION("""COMPUTED_VALUE"""),"1040559128")</f>
        <v>1040559128</v>
      </c>
      <c r="AR1190" s="85" t="str">
        <f>IFERROR(__xludf.DUMMYFUNCTION("""COMPUTED_VALUE"""),"BSI")</f>
        <v>BSI</v>
      </c>
      <c r="AS1190" s="85" t="str">
        <f>IFERROR(__xludf.DUMMYFUNCTION("""COMPUTED_VALUE"""),"kopkar sit aliya")</f>
        <v>kopkar sit aliya</v>
      </c>
      <c r="AT1190" s="85" t="str">
        <f>IFERROR(__xludf.DUMMYFUNCTION("""COMPUTED_VALUE"""),"-6.5711378,106.7498307")</f>
        <v>-6.5711378,106.7498307</v>
      </c>
      <c r="AU1190" s="85" t="str">
        <f>IFERROR(__xludf.DUMMYFUNCTION("""COMPUTED_VALUE"""),"-6.5711378,106.7498307")</f>
        <v>-6.5711378,106.7498307</v>
      </c>
      <c r="AV1190" s="85"/>
      <c r="AW1190" s="85"/>
      <c r="AX1190" s="85"/>
      <c r="AY1190" s="85"/>
      <c r="AZ1190" s="85"/>
      <c r="BA1190" s="85"/>
      <c r="BB1190" s="85"/>
      <c r="BC1190" s="85"/>
      <c r="BD1190" s="85"/>
      <c r="BE1190" s="85"/>
      <c r="BF1190" s="85"/>
      <c r="BG1190" s="85"/>
      <c r="BH1190" s="85"/>
      <c r="BI1190" s="85"/>
      <c r="BJ1190" s="85"/>
      <c r="BK1190" s="85"/>
      <c r="BL1190" s="85"/>
      <c r="BM1190" s="85"/>
      <c r="BN1190" s="85"/>
      <c r="BO1190" s="85"/>
      <c r="BP1190" s="85"/>
      <c r="BQ1190" s="85"/>
      <c r="BR1190" s="85"/>
      <c r="BS1190" s="85"/>
      <c r="BT1190" s="85"/>
      <c r="BU1190" s="85"/>
      <c r="BV1190" s="85"/>
      <c r="BW1190" s="85"/>
      <c r="BX1190" s="85"/>
      <c r="BY1190" s="85"/>
      <c r="BZ1190" s="85"/>
      <c r="CA1190" s="85"/>
      <c r="CB1190" s="85"/>
      <c r="CC1190" s="85"/>
      <c r="CD1190" s="85"/>
      <c r="CE1190" s="85"/>
      <c r="CF1190" s="85"/>
      <c r="CG1190" s="85"/>
      <c r="CH1190" s="85"/>
      <c r="CI1190" s="85"/>
      <c r="CJ1190" s="85"/>
      <c r="CK1190" s="2"/>
    </row>
    <row r="1191" ht="12.75" customHeight="1">
      <c r="A1191" s="80">
        <f>IFERROR(__xludf.DUMMYFUNCTION("""COMPUTED_VALUE"""),1187.0)</f>
        <v>1187</v>
      </c>
      <c r="B1191" s="80"/>
      <c r="C1191" s="80"/>
      <c r="D1191" s="81">
        <f>IFERROR(__xludf.DUMMYFUNCTION("""COMPUTED_VALUE"""),46218.0)</f>
        <v>46218</v>
      </c>
      <c r="E1191" s="82"/>
      <c r="F1191" s="80"/>
      <c r="G1191" s="81"/>
      <c r="H1191" s="80"/>
      <c r="I1191" s="80"/>
      <c r="J1191" s="80"/>
      <c r="K1191" s="80"/>
      <c r="L1191" s="80"/>
      <c r="M1191" s="80"/>
      <c r="N1191" s="80"/>
      <c r="O1191" s="80"/>
      <c r="P1191" s="80" t="str">
        <f>IFERROR(__xludf.DUMMYFUNCTION("""COMPUTED_VALUE"""),"52BSPA07865JTAMT")</f>
        <v>52BSPA07865JTAMT</v>
      </c>
      <c r="Q1191" s="80" t="str">
        <f>IFERROR(__xludf.DUMMYFUNCTION("""COMPUTED_VALUE"""),"MUC PURWOGONDO")</f>
        <v>MUC PURWOGONDO</v>
      </c>
      <c r="R1191" s="80" t="str">
        <f>IFERROR(__xludf.DUMMYFUNCTION("""COMPUTED_VALUE"""),"MUC PURWOGONDO")</f>
        <v>MUC PURWOGONDO</v>
      </c>
      <c r="S1191" s="80" t="str">
        <f>IFERROR(__xludf.DUMMYFUNCTION("""COMPUTED_VALUE"""),"YUSUF DIHARNANTO")</f>
        <v>YUSUF DIHARNANTO</v>
      </c>
      <c r="T1191" s="80" t="str">
        <f>IFERROR(__xludf.DUMMYFUNCTION("""COMPUTED_VALUE"""),"PURWOGONDO RT 20 RW 2 PURWOGONDO, KALINYAMATAN")</f>
        <v>PURWOGONDO RT 20 RW 2 PURWOGONDO, KALINYAMATAN</v>
      </c>
      <c r="U1191" s="80" t="str">
        <f>IFERROR(__xludf.DUMMYFUNCTION("""COMPUTED_VALUE"""),"PURWOGONDO RT 20 RW 2")</f>
        <v>PURWOGONDO RT 20 RW 2</v>
      </c>
      <c r="V1191" s="80" t="str">
        <f>IFERROR(__xludf.DUMMYFUNCTION("""COMPUTED_VALUE"""),"RT 20  \ RWOGON")</f>
        <v>RT 20  \ RWOGON</v>
      </c>
      <c r="W1191" s="80" t="str">
        <f>IFERROR(__xludf.DUMMYFUNCTION("""COMPUTED_VALUE"""),"PURWOGONDO")</f>
        <v>PURWOGONDO</v>
      </c>
      <c r="X1191" s="80" t="str">
        <f>IFERROR(__xludf.DUMMYFUNCTION("""COMPUTED_VALUE"""),"KALINYAMATAN")</f>
        <v>KALINYAMATAN</v>
      </c>
      <c r="Y1191" s="80" t="str">
        <f>IFERROR(__xludf.DUMMYFUNCTION("""COMPUTED_VALUE"""),"KAB. JEPARA")</f>
        <v>KAB. JEPARA</v>
      </c>
      <c r="Z1191" s="80" t="str">
        <f>IFERROR(__xludf.DUMMYFUNCTION("""COMPUTED_VALUE"""),"JAWA TENGAH")</f>
        <v>JAWA TENGAH</v>
      </c>
      <c r="AA1191" s="80" t="str">
        <f>IFERROR(__xludf.DUMMYFUNCTION("""COMPUTED_VALUE"""),"59462")</f>
        <v>59462</v>
      </c>
      <c r="AB1191" s="80" t="str">
        <f>IFERROR(__xludf.DUMMYFUNCTION("""COMPUTED_VALUE"""),"3320130405690005")</f>
        <v>3320130405690005</v>
      </c>
      <c r="AC1191" s="80" t="str">
        <f>IFERROR(__xludf.DUMMYFUNCTION("""COMPUTED_VALUE"""),"96.487.740.1-516.000")</f>
        <v>96.487.740.1-516.000</v>
      </c>
      <c r="AD1191" s="80" t="str">
        <f>IFERROR(__xludf.DUMMYFUNCTION("""COMPUTED_VALUE"""),"SUB AMT")</f>
        <v>SUB AMT</v>
      </c>
      <c r="AE1191" s="80" t="str">
        <f>IFERROR(__xludf.DUMMYFUNCTION("""COMPUTED_VALUE"""),"SUB AMT")</f>
        <v>SUB AMT</v>
      </c>
      <c r="AF1191" s="80" t="str">
        <f>IFERROR(__xludf.DUMMYFUNCTION("""COMPUTED_VALUE"""),"082225381211")</f>
        <v>082225381211</v>
      </c>
      <c r="AG1191" s="80" t="str">
        <f>IFERROR(__xludf.DUMMYFUNCTION("""COMPUTED_VALUE"""),"82225381211")</f>
        <v>82225381211</v>
      </c>
      <c r="AH1191" s="80" t="str">
        <f>IFERROR(__xludf.DUMMYFUNCTION("""COMPUTED_VALUE"""),"yusananda178@gmail.com")</f>
        <v>yusananda178@gmail.com</v>
      </c>
      <c r="AI1191" s="80"/>
      <c r="AJ1191" s="80"/>
      <c r="AK1191" s="80"/>
      <c r="AL1191" s="80"/>
      <c r="AM1191" s="80" t="str">
        <f>IFERROR(__xludf.DUMMYFUNCTION("""COMPUTED_VALUE"""),"KANTOR REGIONAL IV SEMARANG 50004")</f>
        <v>KANTOR REGIONAL IV SEMARANG 50004</v>
      </c>
      <c r="AN1191" s="80" t="str">
        <f>IFERROR(__xludf.DUMMYFUNCTION("""COMPUTED_VALUE"""),"KC JEPARA 59400")</f>
        <v>KC JEPARA 59400</v>
      </c>
      <c r="AO1191" s="80" t="str">
        <f>IFERROR(__xludf.DUMMYFUNCTION("""COMPUTED_VALUE"""),"1701230014418")</f>
        <v>1701230014418</v>
      </c>
      <c r="AP1191" s="80" t="str">
        <f>IFERROR(__xludf.DUMMYFUNCTION("""COMPUTED_VALUE"""),"1701230014418")</f>
        <v>1701230014418</v>
      </c>
      <c r="AQ1191" s="83" t="str">
        <f>IFERROR(__xludf.DUMMYFUNCTION("""COMPUTED_VALUE"""),"356801038923538")</f>
        <v>356801038923538</v>
      </c>
      <c r="AR1191" s="80" t="str">
        <f>IFERROR(__xludf.DUMMYFUNCTION("""COMPUTED_VALUE"""),"BRI")</f>
        <v>BRI</v>
      </c>
      <c r="AS1191" s="80" t="str">
        <f>IFERROR(__xludf.DUMMYFUNCTION("""COMPUTED_VALUE"""),"YUSUF DIHARNANTO")</f>
        <v>YUSUF DIHARNANTO</v>
      </c>
      <c r="AT1191" s="80" t="str">
        <f>IFERROR(__xludf.DUMMYFUNCTION("""COMPUTED_VALUE"""),"-6.7355045,110.7146876")</f>
        <v>-6.7355045,110.7146876</v>
      </c>
      <c r="AU1191" s="80" t="str">
        <f>IFERROR(__xludf.DUMMYFUNCTION("""COMPUTED_VALUE"""),"-6.7355045,110.7146876")</f>
        <v>-6.7355045,110.7146876</v>
      </c>
      <c r="AV1191" s="80"/>
      <c r="AW1191" s="80"/>
      <c r="AX1191" s="80"/>
      <c r="AY1191" s="80"/>
      <c r="AZ1191" s="80"/>
      <c r="BA1191" s="80"/>
      <c r="BB1191" s="80"/>
      <c r="BC1191" s="80"/>
      <c r="BD1191" s="80"/>
      <c r="BE1191" s="80"/>
      <c r="BF1191" s="80"/>
      <c r="BG1191" s="80"/>
      <c r="BH1191" s="80"/>
      <c r="BI1191" s="80"/>
      <c r="BJ1191" s="80"/>
      <c r="BK1191" s="80"/>
      <c r="BL1191" s="80"/>
      <c r="BM1191" s="80"/>
      <c r="BN1191" s="80"/>
      <c r="BO1191" s="80"/>
      <c r="BP1191" s="80"/>
      <c r="BQ1191" s="80"/>
      <c r="BR1191" s="80"/>
      <c r="BS1191" s="80"/>
      <c r="BT1191" s="80"/>
      <c r="BU1191" s="80"/>
      <c r="BV1191" s="80"/>
      <c r="BW1191" s="80"/>
      <c r="BX1191" s="80"/>
      <c r="BY1191" s="80"/>
      <c r="BZ1191" s="80"/>
      <c r="CA1191" s="80"/>
      <c r="CB1191" s="80"/>
      <c r="CC1191" s="80"/>
      <c r="CD1191" s="80"/>
      <c r="CE1191" s="80"/>
      <c r="CF1191" s="80"/>
      <c r="CG1191" s="80"/>
      <c r="CH1191" s="80"/>
      <c r="CI1191" s="80"/>
      <c r="CJ1191" s="80"/>
      <c r="CK1191" s="2"/>
    </row>
    <row r="1192" ht="12.75" customHeight="1">
      <c r="A1192" s="85">
        <f>IFERROR(__xludf.DUMMYFUNCTION("""COMPUTED_VALUE"""),1188.0)</f>
        <v>1188</v>
      </c>
      <c r="B1192" s="85"/>
      <c r="C1192" s="85"/>
      <c r="D1192" s="86">
        <f>IFERROR(__xludf.DUMMYFUNCTION("""COMPUTED_VALUE"""),46218.0)</f>
        <v>46218</v>
      </c>
      <c r="E1192" s="88"/>
      <c r="F1192" s="85"/>
      <c r="G1192" s="86">
        <f>IFERROR(__xludf.DUMMYFUNCTION("""COMPUTED_VALUE"""),46280.0)</f>
        <v>46280</v>
      </c>
      <c r="H1192" s="85"/>
      <c r="I1192" s="85"/>
      <c r="J1192" s="85"/>
      <c r="K1192" s="85"/>
      <c r="L1192" s="85">
        <f>IFERROR(__xludf.DUMMYFUNCTION("""COMPUTED_VALUE"""),62.0)</f>
        <v>62</v>
      </c>
      <c r="M1192" s="85"/>
      <c r="N1192" s="85"/>
      <c r="O1192" s="85"/>
      <c r="P1192" s="85" t="str">
        <f>IFERROR(__xludf.DUMMYFUNCTION("""COMPUTED_VALUE"""),"53BSPA17149JBNDS")</f>
        <v>53BSPA17149JBNDS</v>
      </c>
      <c r="Q1192" s="85" t="str">
        <f>IFERROR(__xludf.DUMMYFUNCTION("""COMPUTED_VALUE"""),"MUC RADEN JAYA")</f>
        <v>MUC RADEN JAYA</v>
      </c>
      <c r="R1192" s="85" t="str">
        <f>IFERROR(__xludf.DUMMYFUNCTION("""COMPUTED_VALUE"""),"MUC RADEN JAYA")</f>
        <v>MUC RADEN JAYA</v>
      </c>
      <c r="S1192" s="85" t="str">
        <f>IFERROR(__xludf.DUMMYFUNCTION("""COMPUTED_VALUE"""),"PURWA SULISTIYA SARI")</f>
        <v>PURWA SULISTIYA SARI</v>
      </c>
      <c r="T1192" s="85" t="str">
        <f>IFERROR(__xludf.DUMMYFUNCTION("""COMPUTED_VALUE"""),"KP. BOJONG KONENG RT 1 RW 7 TELAGAMURNI CIKARANGBARAT KAB. BEKASI")</f>
        <v>KP. BOJONG KONENG RT 1 RW 7 TELAGAMURNI CIKARANGBARAT KAB. BEKASI</v>
      </c>
      <c r="U1192" s="85" t="str">
        <f>IFERROR(__xludf.DUMMYFUNCTION("""COMPUTED_VALUE"""),"KP. BOJONG KONENG")</f>
        <v>KP. BOJONG KONENG</v>
      </c>
      <c r="V1192" s="85" t="str">
        <f>IFERROR(__xludf.DUMMYFUNCTION("""COMPUTED_VALUE"""),"RT 1 R \ RW 7 T")</f>
        <v>RT 1 R \ RW 7 T</v>
      </c>
      <c r="W1192" s="85" t="str">
        <f>IFERROR(__xludf.DUMMYFUNCTION("""COMPUTED_VALUE"""),"TELAGAMURNI")</f>
        <v>TELAGAMURNI</v>
      </c>
      <c r="X1192" s="85" t="str">
        <f>IFERROR(__xludf.DUMMYFUNCTION("""COMPUTED_VALUE"""),"CIKARANG BARAT")</f>
        <v>CIKARANG BARAT</v>
      </c>
      <c r="Y1192" s="85" t="str">
        <f>IFERROR(__xludf.DUMMYFUNCTION("""COMPUTED_VALUE"""),"KAB. BEKASI")</f>
        <v>KAB. BEKASI</v>
      </c>
      <c r="Z1192" s="85" t="str">
        <f>IFERROR(__xludf.DUMMYFUNCTION("""COMPUTED_VALUE"""),"JAWA BARAT")</f>
        <v>JAWA BARAT</v>
      </c>
      <c r="AA1192" s="85" t="str">
        <f>IFERROR(__xludf.DUMMYFUNCTION("""COMPUTED_VALUE"""),"17520")</f>
        <v>17520</v>
      </c>
      <c r="AB1192" s="85" t="str">
        <f>IFERROR(__xludf.DUMMYFUNCTION("""COMPUTED_VALUE"""),"3216084503910002")</f>
        <v>3216084503910002</v>
      </c>
      <c r="AC1192" s="85" t="str">
        <f>IFERROR(__xludf.DUMMYFUNCTION("""COMPUTED_VALUE"""),"73.447.276.4-413.000")</f>
        <v>73.447.276.4-413.000</v>
      </c>
      <c r="AD1192" s="85" t="str">
        <f>IFERROR(__xludf.DUMMYFUNCTION("""COMPUTED_VALUE"""),"SUB NDS")</f>
        <v>SUB NDS</v>
      </c>
      <c r="AE1192" s="85" t="str">
        <f>IFERROR(__xludf.DUMMYFUNCTION("""COMPUTED_VALUE"""),"SUB NDS")</f>
        <v>SUB NDS</v>
      </c>
      <c r="AF1192" s="85" t="str">
        <f>IFERROR(__xludf.DUMMYFUNCTION("""COMPUTED_VALUE"""),"081314172936")</f>
        <v>081314172936</v>
      </c>
      <c r="AG1192" s="85" t="str">
        <f>IFERROR(__xludf.DUMMYFUNCTION("""COMPUTED_VALUE"""),"81314172936")</f>
        <v>81314172936</v>
      </c>
      <c r="AH1192" s="85" t="str">
        <f>IFERROR(__xludf.DUMMYFUNCTION("""COMPUTED_VALUE"""),"tya.purwasari@gmail.com")</f>
        <v>tya.purwasari@gmail.com</v>
      </c>
      <c r="AI1192" s="85" t="str">
        <f>IFERROR(__xludf.DUMMYFUNCTION("""COMPUTED_VALUE"""),"17849S9 ")</f>
        <v>17849S9 </v>
      </c>
      <c r="AJ1192" s="85" t="str">
        <f>IFERROR(__xludf.DUMMYFUNCTION("""COMPUTED_VALUE"""),"6a9d6d7a91090ae5e20f843b ")</f>
        <v>6a9d6d7a91090ae5e20f843b </v>
      </c>
      <c r="AK1192" s="85" t="str">
        <f>IFERROR(__xludf.DUMMYFUNCTION("""COMPUTED_VALUE"""),"tya.purwasari@gmail.com")</f>
        <v>tya.purwasari@gmail.com</v>
      </c>
      <c r="AL1192" s="85" t="str">
        <f>IFERROR(__xludf.DUMMYFUNCTION("""COMPUTED_VALUE"""),"#Muc17849S9$")</f>
        <v>#Muc17849S9$</v>
      </c>
      <c r="AM1192" s="85" t="str">
        <f>IFERROR(__xludf.DUMMYFUNCTION("""COMPUTED_VALUE"""),"KANTOR REGIONAL II JAKARTA 10004")</f>
        <v>KANTOR REGIONAL II JAKARTA 10004</v>
      </c>
      <c r="AN1192" s="85" t="str">
        <f>IFERROR(__xludf.DUMMYFUNCTION("""COMPUTED_VALUE"""),"KC CIKARANG 17500")</f>
        <v>KC CIKARANG 17500</v>
      </c>
      <c r="AO1192" s="85" t="str">
        <f>IFERROR(__xludf.DUMMYFUNCTION("""COMPUTED_VALUE"""),"1507260073144")</f>
        <v>1507260073144</v>
      </c>
      <c r="AP1192" s="85" t="str">
        <f>IFERROR(__xludf.DUMMYFUNCTION("""COMPUTED_VALUE"""),"1507260073144")</f>
        <v>1507260073144</v>
      </c>
      <c r="AQ1192" s="93" t="str">
        <f>IFERROR(__xludf.DUMMYFUNCTION("""COMPUTED_VALUE"""),"1560018962680")</f>
        <v>1560018962680</v>
      </c>
      <c r="AR1192" s="85" t="str">
        <f>IFERROR(__xludf.DUMMYFUNCTION("""COMPUTED_VALUE"""),"MANDIRI")</f>
        <v>MANDIRI</v>
      </c>
      <c r="AS1192" s="85" t="str">
        <f>IFERROR(__xludf.DUMMYFUNCTION("""COMPUTED_VALUE"""),"PURWA SULISTIYA SARI")</f>
        <v>PURWA SULISTIYA SARI</v>
      </c>
      <c r="AT1192" s="85" t="str">
        <f>IFERROR(__xludf.DUMMYFUNCTION("""COMPUTED_VALUE"""),"-6.2607918,107.1097789")</f>
        <v>-6.2607918,107.1097789</v>
      </c>
      <c r="AU1192" s="85" t="str">
        <f>IFERROR(__xludf.DUMMYFUNCTION("""COMPUTED_VALUE"""),"-6.2607918,107.1097789")</f>
        <v>-6.2607918,107.1097789</v>
      </c>
      <c r="AV1192" s="85"/>
      <c r="AW1192" s="85"/>
      <c r="AX1192" s="85"/>
      <c r="AY1192" s="85"/>
      <c r="AZ1192" s="85"/>
      <c r="BA1192" s="85"/>
      <c r="BB1192" s="85"/>
      <c r="BC1192" s="85"/>
      <c r="BD1192" s="85"/>
      <c r="BE1192" s="85"/>
      <c r="BF1192" s="85"/>
      <c r="BG1192" s="85"/>
      <c r="BH1192" s="85"/>
      <c r="BI1192" s="85"/>
      <c r="BJ1192" s="85"/>
      <c r="BK1192" s="85"/>
      <c r="BL1192" s="85"/>
      <c r="BM1192" s="85"/>
      <c r="BN1192" s="85"/>
      <c r="BO1192" s="85"/>
      <c r="BP1192" s="85"/>
      <c r="BQ1192" s="85"/>
      <c r="BR1192" s="85"/>
      <c r="BS1192" s="85"/>
      <c r="BT1192" s="85"/>
      <c r="BU1192" s="85"/>
      <c r="BV1192" s="85"/>
      <c r="BW1192" s="85"/>
      <c r="BX1192" s="85"/>
      <c r="BY1192" s="85"/>
      <c r="BZ1192" s="85"/>
      <c r="CA1192" s="85"/>
      <c r="CB1192" s="85"/>
      <c r="CC1192" s="85"/>
      <c r="CD1192" s="85"/>
      <c r="CE1192" s="85"/>
      <c r="CF1192" s="85"/>
      <c r="CG1192" s="85"/>
      <c r="CH1192" s="85"/>
      <c r="CI1192" s="85"/>
      <c r="CJ1192" s="85"/>
      <c r="CK1192" s="2"/>
    </row>
    <row r="1193" ht="12.75" customHeight="1">
      <c r="A1193" s="80">
        <f>IFERROR(__xludf.DUMMYFUNCTION("""COMPUTED_VALUE"""),1189.0)</f>
        <v>1189</v>
      </c>
      <c r="B1193" s="80"/>
      <c r="C1193" s="80"/>
      <c r="D1193" s="81">
        <f>IFERROR(__xludf.DUMMYFUNCTION("""COMPUTED_VALUE"""),46220.0)</f>
        <v>46220</v>
      </c>
      <c r="E1193" s="82"/>
      <c r="F1193" s="80"/>
      <c r="G1193" s="81">
        <f>IFERROR(__xludf.DUMMYFUNCTION("""COMPUTED_VALUE"""),46230.0)</f>
        <v>46230</v>
      </c>
      <c r="H1193" s="80"/>
      <c r="I1193" s="80"/>
      <c r="J1193" s="80"/>
      <c r="K1193" s="80"/>
      <c r="L1193" s="80">
        <f>IFERROR(__xludf.DUMMYFUNCTION("""COMPUTED_VALUE"""),10.0)</f>
        <v>10</v>
      </c>
      <c r="M1193" s="80"/>
      <c r="N1193" s="80"/>
      <c r="O1193" s="80"/>
      <c r="P1193" s="80" t="str">
        <f>IFERROR(__xludf.DUMMYFUNCTION("""COMPUTED_VALUE"""),"MUCSPA63622PSIND")</f>
        <v>MUCSPA63622PSIND</v>
      </c>
      <c r="Q1193" s="80" t="str">
        <f>IFERROR(__xludf.DUMMYFUNCTION("""COMPUTED_VALUE"""),"MUC UD THYNUS COM")</f>
        <v>MUC UD THYNUS COM</v>
      </c>
      <c r="R1193" s="80" t="str">
        <f>IFERROR(__xludf.DUMMYFUNCTION("""COMPUTED_VALUE"""),"MUC UD THYNUS COM")</f>
        <v>MUC UD THYNUS COM</v>
      </c>
      <c r="S1193" s="80" t="str">
        <f>IFERROR(__xludf.DUMMYFUNCTION("""COMPUTED_VALUE"""),"YUSTINUS ZAI")</f>
        <v>YUSTINUS ZAI</v>
      </c>
      <c r="T1193" s="80" t="str">
        <f>IFERROR(__xludf.DUMMYFUNCTION("""COMPUTED_VALUE"""),"Jl Simpang Empat, Lasara, Namohalu Esiwa")</f>
        <v>Jl Simpang Empat, Lasara, Namohalu Esiwa</v>
      </c>
      <c r="U1193" s="80" t="str">
        <f>IFERROR(__xludf.DUMMYFUNCTION("""COMPUTED_VALUE"""),"Jl. Simpang Empat, Lasara, Kec. Namohalu Esiwa, Kabupaten Nias Utara Sumatera Utara")</f>
        <v>Jl. Simpang Empat, Lasara, Kec. Namohalu Esiwa, Kabupaten Nias Utara Sumatera Utara</v>
      </c>
      <c r="V1193" s="80"/>
      <c r="W1193" s="80" t="str">
        <f>IFERROR(__xludf.DUMMYFUNCTION("""COMPUTED_VALUE"""),"Lasara")</f>
        <v>Lasara</v>
      </c>
      <c r="X1193" s="80" t="str">
        <f>IFERROR(__xludf.DUMMYFUNCTION("""COMPUTED_VALUE"""),"Namohalu Esiwa")</f>
        <v>Namohalu Esiwa</v>
      </c>
      <c r="Y1193" s="80" t="str">
        <f>IFERROR(__xludf.DUMMYFUNCTION("""COMPUTED_VALUE"""),"Kab. Nias Utara")</f>
        <v>Kab. Nias Utara</v>
      </c>
      <c r="Z1193" s="80" t="str">
        <f>IFERROR(__xludf.DUMMYFUNCTION("""COMPUTED_VALUE"""),"Sumatera Utara")</f>
        <v>Sumatera Utara</v>
      </c>
      <c r="AA1193" s="80" t="str">
        <f>IFERROR(__xludf.DUMMYFUNCTION("""COMPUTED_VALUE"""),"22855")</f>
        <v>22855</v>
      </c>
      <c r="AB1193" s="80" t="str">
        <f>IFERROR(__xludf.DUMMYFUNCTION("""COMPUTED_VALUE"""),"1204122501960003")</f>
        <v>1204122501960003</v>
      </c>
      <c r="AC1193" s="80" t="str">
        <f>IFERROR(__xludf.DUMMYFUNCTION("""COMPUTED_VALUE"""),"91.437.765.0-126.000")</f>
        <v>91.437.765.0-126.000</v>
      </c>
      <c r="AD1193" s="80" t="str">
        <f>IFERROR(__xludf.DUMMYFUNCTION("""COMPUTED_VALUE"""),"CUM - PS - NONKORGEN")</f>
        <v>CUM - PS - NONKORGEN</v>
      </c>
      <c r="AE1193" s="80" t="str">
        <f>IFERROR(__xludf.DUMMYFUNCTION("""COMPUTED_VALUE"""),"PAK RENDRA KC GUNUNGSITOLI")</f>
        <v>PAK RENDRA KC GUNUNGSITOLI</v>
      </c>
      <c r="AF1193" s="80" t="str">
        <f>IFERROR(__xludf.DUMMYFUNCTION("""COMPUTED_VALUE"""),"085284821229")</f>
        <v>085284821229</v>
      </c>
      <c r="AG1193" s="80" t="str">
        <f>IFERROR(__xludf.DUMMYFUNCTION("""COMPUTED_VALUE"""),"85284821229")</f>
        <v>85284821229</v>
      </c>
      <c r="AH1193" s="80" t="str">
        <f>IFERROR(__xludf.DUMMYFUNCTION("""COMPUTED_VALUE"""),"yustinuszai25@gmail.com")</f>
        <v>yustinuszai25@gmail.com</v>
      </c>
      <c r="AI1193" s="80" t="str">
        <f>IFERROR(__xludf.DUMMYFUNCTION("""COMPUTED_VALUE"""),"22855S1")</f>
        <v>22855S1</v>
      </c>
      <c r="AJ1193" s="80" t="str">
        <f>IFERROR(__xludf.DUMMYFUNCTION("""COMPUTED_VALUE"""),"6a66d7493f31ac0086037ad7")</f>
        <v>6a66d7493f31ac0086037ad7</v>
      </c>
      <c r="AK1193" s="80" t="str">
        <f>IFERROR(__xludf.DUMMYFUNCTION("""COMPUTED_VALUE"""),"yustinuszai25@gmail.com")</f>
        <v>yustinuszai25@gmail.com</v>
      </c>
      <c r="AL1193" s="80" t="str">
        <f>IFERROR(__xludf.DUMMYFUNCTION("""COMPUTED_VALUE"""),"#Muc22855S1$")</f>
        <v>#Muc22855S1$</v>
      </c>
      <c r="AM1193" s="80" t="str">
        <f>IFERROR(__xludf.DUMMYFUNCTION("""COMPUTED_VALUE"""),"KANTOR REGIONAL I MEDAN 20004")</f>
        <v>KANTOR REGIONAL I MEDAN 20004</v>
      </c>
      <c r="AN1193" s="80" t="str">
        <f>IFERROR(__xludf.DUMMYFUNCTION("""COMPUTED_VALUE"""),"KC GUNUNGSITOLI 22800")</f>
        <v>KC GUNUNGSITOLI 22800</v>
      </c>
      <c r="AO1193" s="80" t="str">
        <f>IFERROR(__xludf.DUMMYFUNCTION("""COMPUTED_VALUE"""),"9120006642042")</f>
        <v>9120006642042</v>
      </c>
      <c r="AP1193" s="80" t="str">
        <f>IFERROR(__xludf.DUMMYFUNCTION("""COMPUTED_VALUE"""),"9120006642042")</f>
        <v>9120006642042</v>
      </c>
      <c r="AQ1193" s="83" t="str">
        <f>IFERROR(__xludf.DUMMYFUNCTION("""COMPUTED_VALUE"""),"27202040111584")</f>
        <v>27202040111584</v>
      </c>
      <c r="AR1193" s="80" t="str">
        <f>IFERROR(__xludf.DUMMYFUNCTION("""COMPUTED_VALUE"""),"SUMUT")</f>
        <v>SUMUT</v>
      </c>
      <c r="AS1193" s="80" t="str">
        <f>IFERROR(__xludf.DUMMYFUNCTION("""COMPUTED_VALUE"""),"YUSTINUS ZAI")</f>
        <v>YUSTINUS ZAI</v>
      </c>
      <c r="AT1193" s="80" t="str">
        <f>IFERROR(__xludf.DUMMYFUNCTION("""COMPUTED_VALUE"""),"1.351821,97.405783")</f>
        <v>1.351821,97.405783</v>
      </c>
      <c r="AU1193" s="80" t="str">
        <f>IFERROR(__xludf.DUMMYFUNCTION("""COMPUTED_VALUE"""),"97,405,783")</f>
        <v>97,405,783</v>
      </c>
      <c r="AV1193" s="80"/>
      <c r="AW1193" s="80"/>
      <c r="AX1193" s="80"/>
      <c r="AY1193" s="80"/>
      <c r="AZ1193" s="80"/>
      <c r="BA1193" s="80"/>
      <c r="BB1193" s="80"/>
      <c r="BC1193" s="80"/>
      <c r="BD1193" s="80"/>
      <c r="BE1193" s="80"/>
      <c r="BF1193" s="80"/>
      <c r="BG1193" s="80"/>
      <c r="BH1193" s="80"/>
      <c r="BI1193" s="80"/>
      <c r="BJ1193" s="80"/>
      <c r="BK1193" s="80"/>
      <c r="BL1193" s="80"/>
      <c r="BM1193" s="80"/>
      <c r="BN1193" s="80"/>
      <c r="BO1193" s="80"/>
      <c r="BP1193" s="80"/>
      <c r="BQ1193" s="80"/>
      <c r="BR1193" s="80"/>
      <c r="BS1193" s="80"/>
      <c r="BT1193" s="80"/>
      <c r="BU1193" s="80"/>
      <c r="BV1193" s="80"/>
      <c r="BW1193" s="80"/>
      <c r="BX1193" s="80"/>
      <c r="BY1193" s="80"/>
      <c r="BZ1193" s="80"/>
      <c r="CA1193" s="80"/>
      <c r="CB1193" s="80"/>
      <c r="CC1193" s="80"/>
      <c r="CD1193" s="80"/>
      <c r="CE1193" s="80"/>
      <c r="CF1193" s="80"/>
      <c r="CG1193" s="80"/>
      <c r="CH1193" s="80"/>
      <c r="CI1193" s="80"/>
      <c r="CJ1193" s="80"/>
      <c r="CK1193" s="2"/>
    </row>
    <row r="1194" ht="12.75" customHeight="1">
      <c r="A1194" s="85">
        <f>IFERROR(__xludf.DUMMYFUNCTION("""COMPUTED_VALUE"""),1190.0)</f>
        <v>1190</v>
      </c>
      <c r="B1194" s="85"/>
      <c r="C1194" s="85"/>
      <c r="D1194" s="86">
        <f>IFERROR(__xludf.DUMMYFUNCTION("""COMPUTED_VALUE"""),46220.0)</f>
        <v>46220</v>
      </c>
      <c r="E1194" s="88"/>
      <c r="F1194" s="85"/>
      <c r="G1194" s="86">
        <f>IFERROR(__xludf.DUMMYFUNCTION("""COMPUTED_VALUE"""),46230.0)</f>
        <v>46230</v>
      </c>
      <c r="H1194" s="85"/>
      <c r="I1194" s="85"/>
      <c r="J1194" s="85"/>
      <c r="K1194" s="85"/>
      <c r="L1194" s="85">
        <f>IFERROR(__xludf.DUMMYFUNCTION("""COMPUTED_VALUE"""),10.0)</f>
        <v>10</v>
      </c>
      <c r="M1194" s="85"/>
      <c r="N1194" s="85"/>
      <c r="O1194" s="85"/>
      <c r="P1194" s="85" t="str">
        <f>IFERROR(__xludf.DUMMYFUNCTION("""COMPUTED_VALUE"""),"MUCSPA63624PSIND")</f>
        <v>MUCSPA63624PSIND</v>
      </c>
      <c r="Q1194" s="85" t="str">
        <f>IFERROR(__xludf.DUMMYFUNCTION("""COMPUTED_VALUE"""),"MUC SURYA KREASI")</f>
        <v>MUC SURYA KREASI</v>
      </c>
      <c r="R1194" s="85" t="str">
        <f>IFERROR(__xludf.DUMMYFUNCTION("""COMPUTED_VALUE"""),"MUC SURYA KREASI")</f>
        <v>MUC SURYA KREASI</v>
      </c>
      <c r="S1194" s="85" t="str">
        <f>IFERROR(__xludf.DUMMYFUNCTION("""COMPUTED_VALUE"""),"SURYA INDRA PRAJA")</f>
        <v>SURYA INDRA PRAJA</v>
      </c>
      <c r="T1194" s="85" t="str">
        <f>IFERROR(__xludf.DUMMYFUNCTION("""COMPUTED_VALUE"""),"KP. KARANG MULYA 001 / 003 KARANG TENGAH")</f>
        <v>KP. KARANG MULYA 001 / 003 KARANG TENGAH</v>
      </c>
      <c r="U1194" s="85" t="str">
        <f>IFERROR(__xludf.DUMMYFUNCTION("""COMPUTED_VALUE"""),"JL. MANDOR HASAN NO. 72")</f>
        <v>JL. MANDOR HASAN NO. 72</v>
      </c>
      <c r="V1194" s="85"/>
      <c r="W1194" s="85" t="str">
        <f>IFERROR(__xludf.DUMMYFUNCTION("""COMPUTED_VALUE"""),"BAMBU APUS")</f>
        <v>BAMBU APUS</v>
      </c>
      <c r="X1194" s="85" t="str">
        <f>IFERROR(__xludf.DUMMYFUNCTION("""COMPUTED_VALUE"""),"CIPAYUNG")</f>
        <v>CIPAYUNG</v>
      </c>
      <c r="Y1194" s="85" t="str">
        <f>IFERROR(__xludf.DUMMYFUNCTION("""COMPUTED_VALUE"""),"JAKARTA TIMUR")</f>
        <v>JAKARTA TIMUR</v>
      </c>
      <c r="Z1194" s="85" t="str">
        <f>IFERROR(__xludf.DUMMYFUNCTION("""COMPUTED_VALUE"""),"DKI JAKARTA")</f>
        <v>DKI JAKARTA</v>
      </c>
      <c r="AA1194" s="85" t="str">
        <f>IFERROR(__xludf.DUMMYFUNCTION("""COMPUTED_VALUE"""),"13840")</f>
        <v>13840</v>
      </c>
      <c r="AB1194" s="85" t="str">
        <f>IFERROR(__xludf.DUMMYFUNCTION("""COMPUTED_VALUE"""),"3671121812830003")</f>
        <v>3671121812830003</v>
      </c>
      <c r="AC1194" s="85" t="str">
        <f>IFERROR(__xludf.DUMMYFUNCTION("""COMPUTED_VALUE"""),"80.409.524.8-416.000")</f>
        <v>80.409.524.8-416.000</v>
      </c>
      <c r="AD1194" s="85" t="str">
        <f>IFERROR(__xludf.DUMMYFUNCTION("""COMPUTED_VALUE"""),"NON KORGEN")</f>
        <v>NON KORGEN</v>
      </c>
      <c r="AE1194" s="85" t="str">
        <f>IFERROR(__xludf.DUMMYFUNCTION("""COMPUTED_VALUE"""),"ADM HOTLINE")</f>
        <v>ADM HOTLINE</v>
      </c>
      <c r="AF1194" s="85" t="str">
        <f>IFERROR(__xludf.DUMMYFUNCTION("""COMPUTED_VALUE"""),"087882992718")</f>
        <v>087882992718</v>
      </c>
      <c r="AG1194" s="85" t="str">
        <f>IFERROR(__xludf.DUMMYFUNCTION("""COMPUTED_VALUE"""),"87882992718")</f>
        <v>87882992718</v>
      </c>
      <c r="AH1194" s="85" t="str">
        <f>IFERROR(__xludf.DUMMYFUNCTION("""COMPUTED_VALUE"""),"suryakreasibangunmandiri@gmail.com")</f>
        <v>suryakreasibangunmandiri@gmail.com</v>
      </c>
      <c r="AI1194" s="85" t="str">
        <f>IFERROR(__xludf.DUMMYFUNCTION("""COMPUTED_VALUE"""),"13890S3")</f>
        <v>13890S3</v>
      </c>
      <c r="AJ1194" s="85" t="str">
        <f>IFERROR(__xludf.DUMMYFUNCTION("""COMPUTED_VALUE"""),"6a676cb57706a87527031a12")</f>
        <v>6a676cb57706a87527031a12</v>
      </c>
      <c r="AK1194" s="85" t="str">
        <f>IFERROR(__xludf.DUMMYFUNCTION("""COMPUTED_VALUE"""),"suryakreasibangunmandiri@gmail.com")</f>
        <v>suryakreasibangunmandiri@gmail.com</v>
      </c>
      <c r="AL1194" s="85" t="str">
        <f>IFERROR(__xludf.DUMMYFUNCTION("""COMPUTED_VALUE"""),"#Muc13890S3$")</f>
        <v>#Muc13890S3$</v>
      </c>
      <c r="AM1194" s="85" t="str">
        <f>IFERROR(__xludf.DUMMYFUNCTION("""COMPUTED_VALUE"""),"KANTOR REGIONAL II JAKARTA 10004")</f>
        <v>KANTOR REGIONAL II JAKARTA 10004</v>
      </c>
      <c r="AN1194" s="85" t="str">
        <f>IFERROR(__xludf.DUMMYFUNCTION("""COMPUTED_VALUE"""),"KCU JAKARTAPREMIER 13000")</f>
        <v>KCU JAKARTAPREMIER 13000</v>
      </c>
      <c r="AO1194" s="85" t="str">
        <f>IFERROR(__xludf.DUMMYFUNCTION("""COMPUTED_VALUE"""),"1405240276765")</f>
        <v>1405240276765</v>
      </c>
      <c r="AP1194" s="85" t="str">
        <f>IFERROR(__xludf.DUMMYFUNCTION("""COMPUTED_VALUE"""),"1405240276765")</f>
        <v>1405240276765</v>
      </c>
      <c r="AQ1194" s="93" t="str">
        <f>IFERROR(__xludf.DUMMYFUNCTION("""COMPUTED_VALUE"""),"3190265675")</f>
        <v>3190265675</v>
      </c>
      <c r="AR1194" s="85" t="str">
        <f>IFERROR(__xludf.DUMMYFUNCTION("""COMPUTED_VALUE"""),"BCA")</f>
        <v>BCA</v>
      </c>
      <c r="AS1194" s="85" t="str">
        <f>IFERROR(__xludf.DUMMYFUNCTION("""COMPUTED_VALUE"""),"PT. SURYA KREASI BANGUN MANDIRI")</f>
        <v>PT. SURYA KREASI BANGUN MANDIRI</v>
      </c>
      <c r="AT1194" s="85" t="str">
        <f>IFERROR(__xludf.DUMMYFUNCTION("""COMPUTED_VALUE"""),"-63,260,059")</f>
        <v>-63,260,059</v>
      </c>
      <c r="AU1194" s="85" t="str">
        <f>IFERROR(__xludf.DUMMYFUNCTION("""COMPUTED_VALUE"""),"1,068,968,058")</f>
        <v>1,068,968,058</v>
      </c>
      <c r="AV1194" s="85"/>
      <c r="AW1194" s="85"/>
      <c r="AX1194" s="85"/>
      <c r="AY1194" s="85"/>
      <c r="AZ1194" s="85"/>
      <c r="BA1194" s="85"/>
      <c r="BB1194" s="85"/>
      <c r="BC1194" s="85"/>
      <c r="BD1194" s="85"/>
      <c r="BE1194" s="85"/>
      <c r="BF1194" s="85"/>
      <c r="BG1194" s="85"/>
      <c r="BH1194" s="85"/>
      <c r="BI1194" s="85"/>
      <c r="BJ1194" s="85"/>
      <c r="BK1194" s="85"/>
      <c r="BL1194" s="85"/>
      <c r="BM1194" s="85"/>
      <c r="BN1194" s="85"/>
      <c r="BO1194" s="85"/>
      <c r="BP1194" s="85"/>
      <c r="BQ1194" s="85"/>
      <c r="BR1194" s="85"/>
      <c r="BS1194" s="85"/>
      <c r="BT1194" s="85"/>
      <c r="BU1194" s="85"/>
      <c r="BV1194" s="85"/>
      <c r="BW1194" s="85"/>
      <c r="BX1194" s="85"/>
      <c r="BY1194" s="85"/>
      <c r="BZ1194" s="85"/>
      <c r="CA1194" s="85"/>
      <c r="CB1194" s="85"/>
      <c r="CC1194" s="85"/>
      <c r="CD1194" s="85"/>
      <c r="CE1194" s="85"/>
      <c r="CF1194" s="85"/>
      <c r="CG1194" s="85"/>
      <c r="CH1194" s="85"/>
      <c r="CI1194" s="85"/>
      <c r="CJ1194" s="85"/>
      <c r="CK1194" s="2"/>
    </row>
    <row r="1195" ht="12.75" customHeight="1">
      <c r="A1195" s="80">
        <f>IFERROR(__xludf.DUMMYFUNCTION("""COMPUTED_VALUE"""),1191.0)</f>
        <v>1191</v>
      </c>
      <c r="B1195" s="80"/>
      <c r="C1195" s="80"/>
      <c r="D1195" s="81">
        <f>IFERROR(__xludf.DUMMYFUNCTION("""COMPUTED_VALUE"""),46220.0)</f>
        <v>46220</v>
      </c>
      <c r="E1195" s="82"/>
      <c r="F1195" s="80"/>
      <c r="G1195" s="81">
        <f>IFERROR(__xludf.DUMMYFUNCTION("""COMPUTED_VALUE"""),46265.0)</f>
        <v>46265</v>
      </c>
      <c r="H1195" s="80"/>
      <c r="I1195" s="80"/>
      <c r="J1195" s="80"/>
      <c r="K1195" s="80"/>
      <c r="L1195" s="80">
        <f>IFERROR(__xludf.DUMMYFUNCTION("""COMPUTED_VALUE"""),45.0)</f>
        <v>45</v>
      </c>
      <c r="M1195" s="80"/>
      <c r="N1195" s="80"/>
      <c r="O1195" s="80"/>
      <c r="P1195" s="80" t="str">
        <f>IFERROR(__xludf.DUMMYFUNCTION("""COMPUTED_VALUE"""),"MUCSPA63621PSIND")</f>
        <v>MUCSPA63621PSIND</v>
      </c>
      <c r="Q1195" s="80" t="str">
        <f>IFERROR(__xludf.DUMMYFUNCTION("""COMPUTED_VALUE"""),"MUC KOPPAS BADAK PANDEGLANG")</f>
        <v>MUC KOPPAS BADAK PANDEGLANG</v>
      </c>
      <c r="R1195" s="80" t="str">
        <f>IFERROR(__xludf.DUMMYFUNCTION("""COMPUTED_VALUE"""),"MUC KOPPAS BADAK PANDEGLANG")</f>
        <v>MUC KOPPAS BADAK PANDEGLANG</v>
      </c>
      <c r="S1195" s="80" t="str">
        <f>IFERROR(__xludf.DUMMYFUNCTION("""COMPUTED_VALUE"""),"SITI IMAS BAENI")</f>
        <v>SITI IMAS BAENI</v>
      </c>
      <c r="T1195" s="80" t="str">
        <f>IFERROR(__xludf.DUMMYFUNCTION("""COMPUTED_VALUE"""),"KP MAJA TAJUR RT 01 RW 01, SUKARATU, MAJASARI, KAB.PANDEGLANG")</f>
        <v>KP MAJA TAJUR RT 01 RW 01, SUKARATU, MAJASARI, KAB.PANDEGLANG</v>
      </c>
      <c r="U1195" s="80" t="str">
        <f>IFERROR(__xludf.DUMMYFUNCTION("""COMPUTED_VALUE"""),"JL. AHMAD YANI PASAR BADAK RAM SELATAN NO.6")</f>
        <v>JL. AHMAD YANI PASAR BADAK RAM SELATAN NO.6</v>
      </c>
      <c r="V1195" s="80" t="str">
        <f>IFERROR(__xludf.DUMMYFUNCTION("""COMPUTED_VALUE"""),"RT 01  \ RW 01,")</f>
        <v>RT 01  \ RW 01,</v>
      </c>
      <c r="W1195" s="80" t="str">
        <f>IFERROR(__xludf.DUMMYFUNCTION("""COMPUTED_VALUE"""),"PANDEGLANG")</f>
        <v>PANDEGLANG</v>
      </c>
      <c r="X1195" s="80" t="str">
        <f>IFERROR(__xludf.DUMMYFUNCTION("""COMPUTED_VALUE"""),"PANDEGLANG")</f>
        <v>PANDEGLANG</v>
      </c>
      <c r="Y1195" s="80" t="str">
        <f>IFERROR(__xludf.DUMMYFUNCTION("""COMPUTED_VALUE"""),"KAB.PANDEGLANG")</f>
        <v>KAB.PANDEGLANG</v>
      </c>
      <c r="Z1195" s="80" t="str">
        <f>IFERROR(__xludf.DUMMYFUNCTION("""COMPUTED_VALUE"""),"BANTEN")</f>
        <v>BANTEN</v>
      </c>
      <c r="AA1195" s="80" t="str">
        <f>IFERROR(__xludf.DUMMYFUNCTION("""COMPUTED_VALUE"""),"42211")</f>
        <v>42211</v>
      </c>
      <c r="AB1195" s="80" t="str">
        <f>IFERROR(__xludf.DUMMYFUNCTION("""COMPUTED_VALUE"""),"3601340107890187")</f>
        <v>3601340107890187</v>
      </c>
      <c r="AC1195" s="80" t="str">
        <f>IFERROR(__xludf.DUMMYFUNCTION("""COMPUTED_VALUE"""),"91.334.029.5-419.000")</f>
        <v>91.334.029.5-419.000</v>
      </c>
      <c r="AD1195" s="80" t="str">
        <f>IFERROR(__xludf.DUMMYFUNCTION("""COMPUTED_VALUE"""),"CUM - PS - MARVEL")</f>
        <v>CUM - PS - MARVEL</v>
      </c>
      <c r="AE1195" s="80" t="str">
        <f>IFERROR(__xludf.DUMMYFUNCTION("""COMPUTED_VALUE"""),"CUM - PS - MARVEL")</f>
        <v>CUM - PS - MARVEL</v>
      </c>
      <c r="AF1195" s="80" t="str">
        <f>IFERROR(__xludf.DUMMYFUNCTION("""COMPUTED_VALUE"""),"085778621241")</f>
        <v>085778621241</v>
      </c>
      <c r="AG1195" s="80" t="str">
        <f>IFERROR(__xludf.DUMMYFUNCTION("""COMPUTED_VALUE"""),"85778621241")</f>
        <v>85778621241</v>
      </c>
      <c r="AH1195" s="80" t="str">
        <f>IFERROR(__xludf.DUMMYFUNCTION("""COMPUTED_VALUE"""),"koppasbadak2019@gmail.com")</f>
        <v>koppasbadak2019@gmail.com</v>
      </c>
      <c r="AI1195" s="80" t="str">
        <f>IFERROR(__xludf.DUMMYFUNCTION("""COMPUTED_VALUE"""),"42213S1")</f>
        <v>42213S1</v>
      </c>
      <c r="AJ1195" s="80" t="str">
        <f>IFERROR(__xludf.DUMMYFUNCTION("""COMPUTED_VALUE"""),"6a9258d833776b59770be6da")</f>
        <v>6a9258d833776b59770be6da</v>
      </c>
      <c r="AK1195" s="80" t="str">
        <f>IFERROR(__xludf.DUMMYFUNCTION("""COMPUTED_VALUE"""),"koppasbadak2019@gmail.com")</f>
        <v>koppasbadak2019@gmail.com</v>
      </c>
      <c r="AL1195" s="80" t="str">
        <f>IFERROR(__xludf.DUMMYFUNCTION("""COMPUTED_VALUE"""),"#Muc42213S1$")</f>
        <v>#Muc42213S1$</v>
      </c>
      <c r="AM1195" s="80" t="str">
        <f>IFERROR(__xludf.DUMMYFUNCTION("""COMPUTED_VALUE"""),"KANTOR REGIONAL II JAKARTA 10004")</f>
        <v>KANTOR REGIONAL II JAKARTA 10004</v>
      </c>
      <c r="AN1195" s="80" t="str">
        <f>IFERROR(__xludf.DUMMYFUNCTION("""COMPUTED_VALUE"""),"KC PANDEGLANG 42200")</f>
        <v>KC PANDEGLANG 42200</v>
      </c>
      <c r="AO1195" s="80" t="str">
        <f>IFERROR(__xludf.DUMMYFUNCTION("""COMPUTED_VALUE"""),"1507260072705")</f>
        <v>1507260072705</v>
      </c>
      <c r="AP1195" s="80" t="str">
        <f>IFERROR(__xludf.DUMMYFUNCTION("""COMPUTED_VALUE"""),"1507260072705")</f>
        <v>1507260072705</v>
      </c>
      <c r="AQ1195" s="83" t="str">
        <f>IFERROR(__xludf.DUMMYFUNCTION("""COMPUTED_VALUE"""),"6097142132")</f>
        <v>6097142132</v>
      </c>
      <c r="AR1195" s="80" t="str">
        <f>IFERROR(__xludf.DUMMYFUNCTION("""COMPUTED_VALUE"""),"BCA")</f>
        <v>BCA</v>
      </c>
      <c r="AS1195" s="80" t="str">
        <f>IFERROR(__xludf.DUMMYFUNCTION("""COMPUTED_VALUE"""),"SITI IMAS BAENI")</f>
        <v>SITI IMAS BAENI</v>
      </c>
      <c r="AT1195" s="80" t="str">
        <f>IFERROR(__xludf.DUMMYFUNCTION("""COMPUTED_VALUE"""),"-63,049,278")</f>
        <v>-63,049,278</v>
      </c>
      <c r="AU1195" s="80" t="str">
        <f>IFERROR(__xludf.DUMMYFUNCTION("""COMPUTED_VALUE"""),"1,061,062,475")</f>
        <v>1,061,062,475</v>
      </c>
      <c r="AV1195" s="80"/>
      <c r="AW1195" s="80"/>
      <c r="AX1195" s="80"/>
      <c r="AY1195" s="80"/>
      <c r="AZ1195" s="80"/>
      <c r="BA1195" s="80"/>
      <c r="BB1195" s="80"/>
      <c r="BC1195" s="80"/>
      <c r="BD1195" s="80"/>
      <c r="BE1195" s="80"/>
      <c r="BF1195" s="80"/>
      <c r="BG1195" s="80"/>
      <c r="BH1195" s="80"/>
      <c r="BI1195" s="80"/>
      <c r="BJ1195" s="80"/>
      <c r="BK1195" s="80"/>
      <c r="BL1195" s="80"/>
      <c r="BM1195" s="80"/>
      <c r="BN1195" s="80"/>
      <c r="BO1195" s="80"/>
      <c r="BP1195" s="80"/>
      <c r="BQ1195" s="80"/>
      <c r="BR1195" s="80"/>
      <c r="BS1195" s="80"/>
      <c r="BT1195" s="80"/>
      <c r="BU1195" s="80"/>
      <c r="BV1195" s="80"/>
      <c r="BW1195" s="80"/>
      <c r="BX1195" s="80"/>
      <c r="BY1195" s="80"/>
      <c r="BZ1195" s="80"/>
      <c r="CA1195" s="80"/>
      <c r="CB1195" s="80"/>
      <c r="CC1195" s="80"/>
      <c r="CD1195" s="80"/>
      <c r="CE1195" s="80"/>
      <c r="CF1195" s="80"/>
      <c r="CG1195" s="80"/>
      <c r="CH1195" s="80"/>
      <c r="CI1195" s="80"/>
      <c r="CJ1195" s="80"/>
      <c r="CK1195" s="2"/>
    </row>
    <row r="1196" ht="12.75" customHeight="1">
      <c r="A1196" s="85">
        <f>IFERROR(__xludf.DUMMYFUNCTION("""COMPUTED_VALUE"""),1192.0)</f>
        <v>1192</v>
      </c>
      <c r="B1196" s="85"/>
      <c r="C1196" s="85"/>
      <c r="D1196" s="86">
        <f>IFERROR(__xludf.DUMMYFUNCTION("""COMPUTED_VALUE"""),46220.0)</f>
        <v>46220</v>
      </c>
      <c r="E1196" s="88"/>
      <c r="F1196" s="85"/>
      <c r="G1196" s="86">
        <f>IFERROR(__xludf.DUMMYFUNCTION("""COMPUTED_VALUE"""),46237.0)</f>
        <v>46237</v>
      </c>
      <c r="H1196" s="85"/>
      <c r="I1196" s="85"/>
      <c r="J1196" s="85"/>
      <c r="K1196" s="85"/>
      <c r="L1196" s="85">
        <f>IFERROR(__xludf.DUMMYFUNCTION("""COMPUTED_VALUE"""),17.0)</f>
        <v>17</v>
      </c>
      <c r="M1196" s="85"/>
      <c r="N1196" s="85"/>
      <c r="O1196" s="85"/>
      <c r="P1196" s="85" t="str">
        <f>IFERROR(__xludf.DUMMYFUNCTION("""COMPUTED_VALUE"""),"MUCSPA63626PSIND")</f>
        <v>MUCSPA63626PSIND</v>
      </c>
      <c r="Q1196" s="85" t="str">
        <f>IFERROR(__xludf.DUMMYFUNCTION("""COMPUTED_VALUE"""),"MUC BOSBA")</f>
        <v>MUC BOSBA</v>
      </c>
      <c r="R1196" s="85" t="str">
        <f>IFERROR(__xludf.DUMMYFUNCTION("""COMPUTED_VALUE"""),"MUC BOSBA")</f>
        <v>MUC BOSBA</v>
      </c>
      <c r="S1196" s="85" t="str">
        <f>IFERROR(__xludf.DUMMYFUNCTION("""COMPUTED_VALUE"""),"HIDAYAT")</f>
        <v>HIDAYAT</v>
      </c>
      <c r="T1196" s="85" t="str">
        <f>IFERROR(__xludf.DUMMYFUNCTION("""COMPUTED_VALUE"""),"KP COBOGO RT 002/010 CANGKUANG KULON DAYEH KOLOT KAB BANDUNG")</f>
        <v>KP COBOGO RT 002/010 CANGKUANG KULON DAYEH KOLOT KAB BANDUNG</v>
      </c>
      <c r="U1196" s="85" t="str">
        <f>IFERROR(__xludf.DUMMYFUNCTION("""COMPUTED_VALUE"""),"JL CIBOGO CANGKUANG NO. 26 RT. 002 RW. 010 CANGKUANG KULON DAYEH KOLOT KAB. BANDUNG")</f>
        <v>JL CIBOGO CANGKUANG NO. 26 RT. 002 RW. 010 CANGKUANG KULON DAYEH KOLOT KAB. BANDUNG</v>
      </c>
      <c r="V1196" s="85"/>
      <c r="W1196" s="85" t="str">
        <f>IFERROR(__xludf.DUMMYFUNCTION("""COMPUTED_VALUE"""),"Cangkuang Kulon")</f>
        <v>Cangkuang Kulon</v>
      </c>
      <c r="X1196" s="85" t="str">
        <f>IFERROR(__xludf.DUMMYFUNCTION("""COMPUTED_VALUE"""),"Dayeuh Kolot")</f>
        <v>Dayeuh Kolot</v>
      </c>
      <c r="Y1196" s="85" t="str">
        <f>IFERROR(__xludf.DUMMYFUNCTION("""COMPUTED_VALUE"""),"Bandung")</f>
        <v>Bandung</v>
      </c>
      <c r="Z1196" s="85" t="str">
        <f>IFERROR(__xludf.DUMMYFUNCTION("""COMPUTED_VALUE"""),"Jawa Barat")</f>
        <v>Jawa Barat</v>
      </c>
      <c r="AA1196" s="85" t="str">
        <f>IFERROR(__xludf.DUMMYFUNCTION("""COMPUTED_VALUE"""),"40353")</f>
        <v>40353</v>
      </c>
      <c r="AB1196" s="85" t="str">
        <f>IFERROR(__xludf.DUMMYFUNCTION("""COMPUTED_VALUE"""),"3204121208860002")</f>
        <v>3204121208860002</v>
      </c>
      <c r="AC1196" s="85" t="str">
        <f>IFERROR(__xludf.DUMMYFUNCTION("""COMPUTED_VALUE"""),"50.280.904.9-445.000")</f>
        <v>50.280.904.9-445.000</v>
      </c>
      <c r="AD1196" s="85" t="str">
        <f>IFERROR(__xludf.DUMMYFUNCTION("""COMPUTED_VALUE"""),"CUM - PS - RRI")</f>
        <v>CUM - PS - RRI</v>
      </c>
      <c r="AE1196" s="85" t="str">
        <f>IFERROR(__xludf.DUMMYFUNCTION("""COMPUTED_VALUE"""),"CUM - PS - RRI")</f>
        <v>CUM - PS - RRI</v>
      </c>
      <c r="AF1196" s="85" t="str">
        <f>IFERROR(__xludf.DUMMYFUNCTION("""COMPUTED_VALUE"""),"089656133221")</f>
        <v>089656133221</v>
      </c>
      <c r="AG1196" s="85" t="str">
        <f>IFERROR(__xludf.DUMMYFUNCTION("""COMPUTED_VALUE"""),"89656133221")</f>
        <v>89656133221</v>
      </c>
      <c r="AH1196" s="85" t="str">
        <f>IFERROR(__xludf.DUMMYFUNCTION("""COMPUTED_VALUE"""),"hidayatjayamakmur@gmail.com")</f>
        <v>hidayatjayamakmur@gmail.com</v>
      </c>
      <c r="AI1196" s="85" t="str">
        <f>IFERROR(__xludf.DUMMYFUNCTION("""COMPUTED_VALUE"""),"40353SA")</f>
        <v>40353SA</v>
      </c>
      <c r="AJ1196" s="85" t="str">
        <f>IFERROR(__xludf.DUMMYFUNCTION("""COMPUTED_VALUE"""),"6a6d91c03f6d9fcf2a018c8a")</f>
        <v>6a6d91c03f6d9fcf2a018c8a</v>
      </c>
      <c r="AK1196" s="85" t="str">
        <f>IFERROR(__xludf.DUMMYFUNCTION("""COMPUTED_VALUE"""),"hidayatjayamakmur@gmail.com")</f>
        <v>hidayatjayamakmur@gmail.com</v>
      </c>
      <c r="AL1196" s="85" t="str">
        <f>IFERROR(__xludf.DUMMYFUNCTION("""COMPUTED_VALUE"""),"#Muc40353SA%")</f>
        <v>#Muc40353SA%</v>
      </c>
      <c r="AM1196" s="85" t="str">
        <f>IFERROR(__xludf.DUMMYFUNCTION("""COMPUTED_VALUE"""),"KANTOR REGIONAL III BANDUNG 40004")</f>
        <v>KANTOR REGIONAL III BANDUNG 40004</v>
      </c>
      <c r="AN1196" s="85" t="str">
        <f>IFERROR(__xludf.DUMMYFUNCTION("""COMPUTED_VALUE"""),"KC SOREANG 40900")</f>
        <v>KC SOREANG 40900</v>
      </c>
      <c r="AO1196" s="85" t="str">
        <f>IFERROR(__xludf.DUMMYFUNCTION("""COMPUTED_VALUE"""),"2608250056948")</f>
        <v>2608250056948</v>
      </c>
      <c r="AP1196" s="85" t="str">
        <f>IFERROR(__xludf.DUMMYFUNCTION("""COMPUTED_VALUE"""),"2608250056948")</f>
        <v>2608250056948</v>
      </c>
      <c r="AQ1196" s="93" t="str">
        <f>IFERROR(__xludf.DUMMYFUNCTION("""COMPUTED_VALUE"""),"3460969998")</f>
        <v>3460969998</v>
      </c>
      <c r="AR1196" s="85" t="str">
        <f>IFERROR(__xludf.DUMMYFUNCTION("""COMPUTED_VALUE"""),"BCA")</f>
        <v>BCA</v>
      </c>
      <c r="AS1196" s="85" t="str">
        <f>IFERROR(__xludf.DUMMYFUNCTION("""COMPUTED_VALUE"""),"HIDAYAT")</f>
        <v>HIDAYAT</v>
      </c>
      <c r="AT1196" s="85" t="str">
        <f>IFERROR(__xludf.DUMMYFUNCTION("""COMPUTED_VALUE"""),"-6.9733059,107.5929742")</f>
        <v>-6.9733059,107.5929742</v>
      </c>
      <c r="AU1196" s="85" t="str">
        <f>IFERROR(__xludf.DUMMYFUNCTION("""COMPUTED_VALUE"""),"1,075,929,742")</f>
        <v>1,075,929,742</v>
      </c>
      <c r="AV1196" s="85"/>
      <c r="AW1196" s="85"/>
      <c r="AX1196" s="85"/>
      <c r="AY1196" s="85"/>
      <c r="AZ1196" s="85"/>
      <c r="BA1196" s="85"/>
      <c r="BB1196" s="85"/>
      <c r="BC1196" s="85"/>
      <c r="BD1196" s="85"/>
      <c r="BE1196" s="85"/>
      <c r="BF1196" s="85"/>
      <c r="BG1196" s="85"/>
      <c r="BH1196" s="85"/>
      <c r="BI1196" s="85"/>
      <c r="BJ1196" s="85"/>
      <c r="BK1196" s="85"/>
      <c r="BL1196" s="85"/>
      <c r="BM1196" s="85"/>
      <c r="BN1196" s="85"/>
      <c r="BO1196" s="85"/>
      <c r="BP1196" s="85"/>
      <c r="BQ1196" s="85"/>
      <c r="BR1196" s="85"/>
      <c r="BS1196" s="85"/>
      <c r="BT1196" s="85"/>
      <c r="BU1196" s="85"/>
      <c r="BV1196" s="85"/>
      <c r="BW1196" s="85"/>
      <c r="BX1196" s="85"/>
      <c r="BY1196" s="85"/>
      <c r="BZ1196" s="85"/>
      <c r="CA1196" s="85"/>
      <c r="CB1196" s="85"/>
      <c r="CC1196" s="85"/>
      <c r="CD1196" s="85"/>
      <c r="CE1196" s="85"/>
      <c r="CF1196" s="85"/>
      <c r="CG1196" s="85"/>
      <c r="CH1196" s="85"/>
      <c r="CI1196" s="85"/>
      <c r="CJ1196" s="85"/>
      <c r="CK1196" s="2"/>
    </row>
    <row r="1197" ht="12.75" customHeight="1">
      <c r="A1197" s="80">
        <f>IFERROR(__xludf.DUMMYFUNCTION("""COMPUTED_VALUE"""),1193.0)</f>
        <v>1193</v>
      </c>
      <c r="B1197" s="80"/>
      <c r="C1197" s="80"/>
      <c r="D1197" s="81">
        <f>IFERROR(__xludf.DUMMYFUNCTION("""COMPUTED_VALUE"""),46220.0)</f>
        <v>46220</v>
      </c>
      <c r="E1197" s="82"/>
      <c r="F1197" s="80"/>
      <c r="G1197" s="81">
        <f>IFERROR(__xludf.DUMMYFUNCTION("""COMPUTED_VALUE"""),46280.0)</f>
        <v>46280</v>
      </c>
      <c r="H1197" s="80"/>
      <c r="I1197" s="80"/>
      <c r="J1197" s="80"/>
      <c r="K1197" s="80"/>
      <c r="L1197" s="80">
        <f>IFERROR(__xludf.DUMMYFUNCTION("""COMPUTED_VALUE"""),60.0)</f>
        <v>60</v>
      </c>
      <c r="M1197" s="80"/>
      <c r="N1197" s="80"/>
      <c r="O1197" s="80"/>
      <c r="P1197" s="80" t="str">
        <f>IFERROR(__xludf.DUMMYFUNCTION("""COMPUTED_VALUE"""),"MUCSPA63627PSIND")</f>
        <v>MUCSPA63627PSIND</v>
      </c>
      <c r="Q1197" s="80" t="str">
        <f>IFERROR(__xludf.DUMMYFUNCTION("""COMPUTED_VALUE"""),"MUC CMS LOGISTIC AGENCY")</f>
        <v>MUC CMS LOGISTIC AGENCY</v>
      </c>
      <c r="R1197" s="80" t="str">
        <f>IFERROR(__xludf.DUMMYFUNCTION("""COMPUTED_VALUE"""),"MUC CMS LOGISTIC AGENCY")</f>
        <v>MUC CMS LOGISTIC AGENCY</v>
      </c>
      <c r="S1197" s="80" t="str">
        <f>IFERROR(__xludf.DUMMYFUNCTION("""COMPUTED_VALUE"""),"FARDI JANNAH")</f>
        <v>FARDI JANNAH</v>
      </c>
      <c r="T1197" s="80" t="str">
        <f>IFERROR(__xludf.DUMMYFUNCTION("""COMPUTED_VALUE"""),"DUSUN MANIS RT 07 RW 03, CIGARUKGAK, CIAWIGEBANG, KAB.KUNINGAN")</f>
        <v>DUSUN MANIS RT 07 RW 03, CIGARUKGAK, CIAWIGEBANG, KAB.KUNINGAN</v>
      </c>
      <c r="U1197" s="80" t="str">
        <f>IFERROR(__xludf.DUMMYFUNCTION("""COMPUTED_VALUE"""),"Jl. Linggarjati No. 99 Dusun Pahing, Linggajati, Cilimus, Kuningan, Jawa Barat, 45556")</f>
        <v>Jl. Linggarjati No. 99 Dusun Pahing, Linggajati, Cilimus, Kuningan, Jawa Barat, 45556</v>
      </c>
      <c r="V1197" s="80" t="str">
        <f>IFERROR(__xludf.DUMMYFUNCTION("""COMPUTED_VALUE"""),"RT 07  \ RW 03,")</f>
        <v>RT 07  \ RW 03,</v>
      </c>
      <c r="W1197" s="80" t="str">
        <f>IFERROR(__xludf.DUMMYFUNCTION("""COMPUTED_VALUE"""),"SETIANEGARA")</f>
        <v>SETIANEGARA</v>
      </c>
      <c r="X1197" s="80" t="str">
        <f>IFERROR(__xludf.DUMMYFUNCTION("""COMPUTED_VALUE"""),"CILIMUS")</f>
        <v>CILIMUS</v>
      </c>
      <c r="Y1197" s="80" t="str">
        <f>IFERROR(__xludf.DUMMYFUNCTION("""COMPUTED_VALUE"""),"KAB.KUNINGAN")</f>
        <v>KAB.KUNINGAN</v>
      </c>
      <c r="Z1197" s="80" t="str">
        <f>IFERROR(__xludf.DUMMYFUNCTION("""COMPUTED_VALUE"""),"JAWA BARAT")</f>
        <v>JAWA BARAT</v>
      </c>
      <c r="AA1197" s="80" t="str">
        <f>IFERROR(__xludf.DUMMYFUNCTION("""COMPUTED_VALUE"""),"45556")</f>
        <v>45556</v>
      </c>
      <c r="AB1197" s="80" t="str">
        <f>IFERROR(__xludf.DUMMYFUNCTION("""COMPUTED_VALUE"""),"3208103007980003")</f>
        <v>3208103007980003</v>
      </c>
      <c r="AC1197" s="80" t="str">
        <f>IFERROR(__xludf.DUMMYFUNCTION("""COMPUTED_VALUE"""),"63.475.009.5-438.000")</f>
        <v>63.475.009.5-438.000</v>
      </c>
      <c r="AD1197" s="80" t="str">
        <f>IFERROR(__xludf.DUMMYFUNCTION("""COMPUTED_VALUE"""),"CUM - PS - ANO")</f>
        <v>CUM - PS - ANO</v>
      </c>
      <c r="AE1197" s="80" t="str">
        <f>IFERROR(__xludf.DUMMYFUNCTION("""COMPUTED_VALUE"""),"CUM - PS - ANO")</f>
        <v>CUM - PS - ANO</v>
      </c>
      <c r="AF1197" s="80" t="str">
        <f>IFERROR(__xludf.DUMMYFUNCTION("""COMPUTED_VALUE"""),"085888708693")</f>
        <v>085888708693</v>
      </c>
      <c r="AG1197" s="80" t="str">
        <f>IFERROR(__xludf.DUMMYFUNCTION("""COMPUTED_VALUE"""),"85888708693")</f>
        <v>85888708693</v>
      </c>
      <c r="AH1197" s="80" t="str">
        <f>IFERROR(__xludf.DUMMYFUNCTION("""COMPUTED_VALUE"""),"fardijannah3007@gmail.com / fardijannah30@gmail.com")</f>
        <v>fardijannah3007@gmail.com / fardijannah30@gmail.com</v>
      </c>
      <c r="AI1197" s="80" t="str">
        <f>IFERROR(__xludf.DUMMYFUNCTION("""COMPUTED_VALUE"""),"45556SA ")</f>
        <v>45556SA </v>
      </c>
      <c r="AJ1197" s="80" t="str">
        <f>IFERROR(__xludf.DUMMYFUNCTION("""COMPUTED_VALUE"""),"6a9d73c31e3c6b77890e941f ")</f>
        <v>6a9d73c31e3c6b77890e941f </v>
      </c>
      <c r="AK1197" s="80" t="str">
        <f>IFERROR(__xludf.DUMMYFUNCTION("""COMPUTED_VALUE"""),"fardijannah30@gmail.com")</f>
        <v>fardijannah30@gmail.com</v>
      </c>
      <c r="AL1197" s="80" t="str">
        <f>IFERROR(__xludf.DUMMYFUNCTION("""COMPUTED_VALUE"""),"#Muc45556SA$")</f>
        <v>#Muc45556SA$</v>
      </c>
      <c r="AM1197" s="80" t="str">
        <f>IFERROR(__xludf.DUMMYFUNCTION("""COMPUTED_VALUE"""),"KANTOR REGIONAL III BANDUNG 40004")</f>
        <v>KANTOR REGIONAL III BANDUNG 40004</v>
      </c>
      <c r="AN1197" s="80" t="str">
        <f>IFERROR(__xludf.DUMMYFUNCTION("""COMPUTED_VALUE"""),"KC KUNINGAN 45500")</f>
        <v>KC KUNINGAN 45500</v>
      </c>
      <c r="AO1197" s="80" t="str">
        <f>IFERROR(__xludf.DUMMYFUNCTION("""COMPUTED_VALUE"""),"1707260173792")</f>
        <v>1707260173792</v>
      </c>
      <c r="AP1197" s="80" t="str">
        <f>IFERROR(__xludf.DUMMYFUNCTION("""COMPUTED_VALUE"""),"1707260173792")</f>
        <v>1707260173792</v>
      </c>
      <c r="AQ1197" s="83" t="str">
        <f>IFERROR(__xludf.DUMMYFUNCTION("""COMPUTED_VALUE"""),"2992088100")</f>
        <v>2992088100</v>
      </c>
      <c r="AR1197" s="80" t="str">
        <f>IFERROR(__xludf.DUMMYFUNCTION("""COMPUTED_VALUE"""),"BCA")</f>
        <v>BCA</v>
      </c>
      <c r="AS1197" s="80" t="str">
        <f>IFERROR(__xludf.DUMMYFUNCTION("""COMPUTED_VALUE"""),"Dudi Jamaludin")</f>
        <v>Dudi Jamaludin</v>
      </c>
      <c r="AT1197" s="80" t="str">
        <f>IFERROR(__xludf.DUMMYFUNCTION("""COMPUTED_VALUE"""),"-6.8771483,108.4678078")</f>
        <v>-6.8771483,108.4678078</v>
      </c>
      <c r="AU1197" s="80" t="str">
        <f>IFERROR(__xludf.DUMMYFUNCTION("""COMPUTED_VALUE"""),"-6.8771483,108.4678078")</f>
        <v>-6.8771483,108.4678078</v>
      </c>
      <c r="AV1197" s="80"/>
      <c r="AW1197" s="80"/>
      <c r="AX1197" s="80"/>
      <c r="AY1197" s="80"/>
      <c r="AZ1197" s="80"/>
      <c r="BA1197" s="80"/>
      <c r="BB1197" s="80"/>
      <c r="BC1197" s="80"/>
      <c r="BD1197" s="80"/>
      <c r="BE1197" s="80"/>
      <c r="BF1197" s="80"/>
      <c r="BG1197" s="80"/>
      <c r="BH1197" s="80"/>
      <c r="BI1197" s="80"/>
      <c r="BJ1197" s="80"/>
      <c r="BK1197" s="80"/>
      <c r="BL1197" s="80"/>
      <c r="BM1197" s="80"/>
      <c r="BN1197" s="80"/>
      <c r="BO1197" s="80"/>
      <c r="BP1197" s="80"/>
      <c r="BQ1197" s="80"/>
      <c r="BR1197" s="80"/>
      <c r="BS1197" s="80"/>
      <c r="BT1197" s="80"/>
      <c r="BU1197" s="80"/>
      <c r="BV1197" s="80"/>
      <c r="BW1197" s="80"/>
      <c r="BX1197" s="80"/>
      <c r="BY1197" s="80"/>
      <c r="BZ1197" s="80"/>
      <c r="CA1197" s="80"/>
      <c r="CB1197" s="80"/>
      <c r="CC1197" s="80"/>
      <c r="CD1197" s="80"/>
      <c r="CE1197" s="80"/>
      <c r="CF1197" s="80"/>
      <c r="CG1197" s="80"/>
      <c r="CH1197" s="80"/>
      <c r="CI1197" s="80"/>
      <c r="CJ1197" s="80"/>
      <c r="CK1197" s="2"/>
    </row>
    <row r="1198" ht="12.75" customHeight="1">
      <c r="A1198" s="85">
        <f>IFERROR(__xludf.DUMMYFUNCTION("""COMPUTED_VALUE"""),1194.0)</f>
        <v>1194</v>
      </c>
      <c r="B1198" s="85"/>
      <c r="C1198" s="85"/>
      <c r="D1198" s="86">
        <f>IFERROR(__xludf.DUMMYFUNCTION("""COMPUTED_VALUE"""),46221.0)</f>
        <v>46221</v>
      </c>
      <c r="E1198" s="88"/>
      <c r="F1198" s="85"/>
      <c r="G1198" s="86"/>
      <c r="H1198" s="85"/>
      <c r="I1198" s="85"/>
      <c r="J1198" s="85"/>
      <c r="K1198" s="85"/>
      <c r="L1198" s="85"/>
      <c r="M1198" s="85"/>
      <c r="N1198" s="85"/>
      <c r="O1198" s="85"/>
      <c r="P1198" s="85" t="str">
        <f>IFERROR(__xludf.DUMMYFUNCTION("""COMPUTED_VALUE"""),"MUCSPA70024PSUMK")</f>
        <v>MUCSPA70024PSUMK</v>
      </c>
      <c r="Q1198" s="85" t="str">
        <f>IFERROR(__xludf.DUMMYFUNCTION("""COMPUTED_VALUE"""),"MUC NOVER YANTO")</f>
        <v>MUC NOVER YANTO</v>
      </c>
      <c r="R1198" s="85" t="str">
        <f>IFERROR(__xludf.DUMMYFUNCTION("""COMPUTED_VALUE"""),"MUC NOVER YANTO")</f>
        <v>MUC NOVER YANTO</v>
      </c>
      <c r="S1198" s="85" t="str">
        <f>IFERROR(__xludf.DUMMYFUNCTION("""COMPUTED_VALUE"""),"NOVER YANTO")</f>
        <v>NOVER YANTO</v>
      </c>
      <c r="T1198" s="85" t="str">
        <f>IFERROR(__xludf.DUMMYFUNCTION("""COMPUTED_VALUE"""),"PUNGUT TENGAH RT 03 RW 00, PUNGUT TENGAH, AIR HANGAT TIMUR, KAB.KERINCI")</f>
        <v>PUNGUT TENGAH RT 03 RW 00, PUNGUT TENGAH, AIR HANGAT TIMUR, KAB.KERINCI</v>
      </c>
      <c r="U1198" s="85" t="str">
        <f>IFERROR(__xludf.DUMMYFUNCTION("""COMPUTED_VALUE"""),"DESA PUNGUT TENGAH RT 03 RW 00 ( RENAH PEMETIK COFFEE SUMATRA )")</f>
        <v>DESA PUNGUT TENGAH RT 03 RW 00 ( RENAH PEMETIK COFFEE SUMATRA )</v>
      </c>
      <c r="V1198" s="85" t="str">
        <f>IFERROR(__xludf.DUMMYFUNCTION("""COMPUTED_VALUE"""),"RT 03  \ RW 00,")</f>
        <v>RT 03  \ RW 00,</v>
      </c>
      <c r="W1198" s="85" t="str">
        <f>IFERROR(__xludf.DUMMYFUNCTION("""COMPUTED_VALUE"""),"PUNGUT TENGAH")</f>
        <v>PUNGUT TENGAH</v>
      </c>
      <c r="X1198" s="85" t="str">
        <f>IFERROR(__xludf.DUMMYFUNCTION("""COMPUTED_VALUE"""),"AIR HANGAT TIMUR")</f>
        <v>AIR HANGAT TIMUR</v>
      </c>
      <c r="Y1198" s="85" t="str">
        <f>IFERROR(__xludf.DUMMYFUNCTION("""COMPUTED_VALUE"""),"KAB.KERINCI")</f>
        <v>KAB.KERINCI</v>
      </c>
      <c r="Z1198" s="85" t="str">
        <f>IFERROR(__xludf.DUMMYFUNCTION("""COMPUTED_VALUE"""),"JAMBI")</f>
        <v>JAMBI</v>
      </c>
      <c r="AA1198" s="85" t="str">
        <f>IFERROR(__xludf.DUMMYFUNCTION("""COMPUTED_VALUE"""),"37161")</f>
        <v>37161</v>
      </c>
      <c r="AB1198" s="85" t="str">
        <f>IFERROR(__xludf.DUMMYFUNCTION("""COMPUTED_VALUE"""),"1501111006910001")</f>
        <v>1501111006910001</v>
      </c>
      <c r="AC1198" s="85" t="str">
        <f>IFERROR(__xludf.DUMMYFUNCTION("""COMPUTED_VALUE"""),"83.347.287.7-333.000")</f>
        <v>83.347.287.7-333.000</v>
      </c>
      <c r="AD1198" s="85" t="str">
        <f>IFERROR(__xludf.DUMMYFUNCTION("""COMPUTED_VALUE"""),"CUM - UMKMNK - ASEP")</f>
        <v>CUM - UMKMNK - ASEP</v>
      </c>
      <c r="AE1198" s="85" t="str">
        <f>IFERROR(__xludf.DUMMYFUNCTION("""COMPUTED_VALUE"""),"CUM - UMKMNK - ASEP")</f>
        <v>CUM - UMKMNK - ASEP</v>
      </c>
      <c r="AF1198" s="85" t="str">
        <f>IFERROR(__xludf.DUMMYFUNCTION("""COMPUTED_VALUE"""),"082248167920")</f>
        <v>082248167920</v>
      </c>
      <c r="AG1198" s="85" t="str">
        <f>IFERROR(__xludf.DUMMYFUNCTION("""COMPUTED_VALUE"""),"82248167920")</f>
        <v>82248167920</v>
      </c>
      <c r="AH1198" s="85" t="str">
        <f>IFERROR(__xludf.DUMMYFUNCTION("""COMPUTED_VALUE"""),"noverhanif06@gmail.com")</f>
        <v>noverhanif06@gmail.com</v>
      </c>
      <c r="AI1198" s="85"/>
      <c r="AJ1198" s="85"/>
      <c r="AK1198" s="85"/>
      <c r="AL1198" s="85"/>
      <c r="AM1198" s="85" t="str">
        <f>IFERROR(__xludf.DUMMYFUNCTION("""COMPUTED_VALUE"""),"KANTOR REGIONAL I MEDAN 20004")</f>
        <v>KANTOR REGIONAL I MEDAN 20004</v>
      </c>
      <c r="AN1198" s="85" t="str">
        <f>IFERROR(__xludf.DUMMYFUNCTION("""COMPUTED_VALUE"""),"KC SUNGAIPENUH 37100")</f>
        <v>KC SUNGAIPENUH 37100</v>
      </c>
      <c r="AO1198" s="85" t="str">
        <f>IFERROR(__xludf.DUMMYFUNCTION("""COMPUTED_VALUE"""),"1607260053075")</f>
        <v>1607260053075</v>
      </c>
      <c r="AP1198" s="85" t="str">
        <f>IFERROR(__xludf.DUMMYFUNCTION("""COMPUTED_VALUE"""),"1607260053075")</f>
        <v>1607260053075</v>
      </c>
      <c r="AQ1198" s="93" t="str">
        <f>IFERROR(__xludf.DUMMYFUNCTION("""COMPUTED_VALUE"""),"7249281322")</f>
        <v>7249281322</v>
      </c>
      <c r="AR1198" s="85" t="str">
        <f>IFERROR(__xludf.DUMMYFUNCTION("""COMPUTED_VALUE"""),"Bank Syariah Indonesia")</f>
        <v>Bank Syariah Indonesia</v>
      </c>
      <c r="AS1198" s="85" t="str">
        <f>IFERROR(__xludf.DUMMYFUNCTION("""COMPUTED_VALUE"""),"NOVER YANTO")</f>
        <v>NOVER YANTO</v>
      </c>
      <c r="AT1198" s="85" t="str">
        <f>IFERROR(__xludf.DUMMYFUNCTION("""COMPUTED_VALUE"""),"-19,979,493.00")</f>
        <v>-19,979,493.00</v>
      </c>
      <c r="AU1198" s="85" t="str">
        <f>IFERROR(__xludf.DUMMYFUNCTION("""COMPUTED_VALUE"""),"1,014,636,326")</f>
        <v>1,014,636,326</v>
      </c>
      <c r="AV1198" s="85"/>
      <c r="AW1198" s="85"/>
      <c r="AX1198" s="85"/>
      <c r="AY1198" s="85"/>
      <c r="AZ1198" s="85"/>
      <c r="BA1198" s="85"/>
      <c r="BB1198" s="85"/>
      <c r="BC1198" s="85"/>
      <c r="BD1198" s="85"/>
      <c r="BE1198" s="85"/>
      <c r="BF1198" s="85"/>
      <c r="BG1198" s="85"/>
      <c r="BH1198" s="85"/>
      <c r="BI1198" s="85"/>
      <c r="BJ1198" s="85"/>
      <c r="BK1198" s="85"/>
      <c r="BL1198" s="85"/>
      <c r="BM1198" s="85"/>
      <c r="BN1198" s="85"/>
      <c r="BO1198" s="85"/>
      <c r="BP1198" s="85"/>
      <c r="BQ1198" s="85"/>
      <c r="BR1198" s="85"/>
      <c r="BS1198" s="85"/>
      <c r="BT1198" s="85"/>
      <c r="BU1198" s="85"/>
      <c r="BV1198" s="85"/>
      <c r="BW1198" s="85"/>
      <c r="BX1198" s="85"/>
      <c r="BY1198" s="85"/>
      <c r="BZ1198" s="85"/>
      <c r="CA1198" s="85"/>
      <c r="CB1198" s="85"/>
      <c r="CC1198" s="85"/>
      <c r="CD1198" s="85"/>
      <c r="CE1198" s="85"/>
      <c r="CF1198" s="85"/>
      <c r="CG1198" s="85"/>
      <c r="CH1198" s="85"/>
      <c r="CI1198" s="85"/>
      <c r="CJ1198" s="85"/>
      <c r="CK1198" s="2"/>
    </row>
    <row r="1199" ht="12.75" customHeight="1">
      <c r="A1199" s="80">
        <f>IFERROR(__xludf.DUMMYFUNCTION("""COMPUTED_VALUE"""),1195.0)</f>
        <v>1195</v>
      </c>
      <c r="B1199" s="80"/>
      <c r="C1199" s="80"/>
      <c r="D1199" s="81">
        <f>IFERROR(__xludf.DUMMYFUNCTION("""COMPUTED_VALUE"""),46221.0)</f>
        <v>46221</v>
      </c>
      <c r="E1199" s="82"/>
      <c r="F1199" s="80"/>
      <c r="G1199" s="81">
        <f>IFERROR(__xludf.DUMMYFUNCTION("""COMPUTED_VALUE"""),46267.0)</f>
        <v>46267</v>
      </c>
      <c r="H1199" s="80"/>
      <c r="I1199" s="80"/>
      <c r="J1199" s="80"/>
      <c r="K1199" s="80"/>
      <c r="L1199" s="80">
        <f>IFERROR(__xludf.DUMMYFUNCTION("""COMPUTED_VALUE"""),46.0)</f>
        <v>46</v>
      </c>
      <c r="M1199" s="80"/>
      <c r="N1199" s="80"/>
      <c r="O1199" s="80"/>
      <c r="P1199" s="80" t="str">
        <f>IFERROR(__xludf.DUMMYFUNCTION("""COMPUTED_VALUE"""),"MUCSPA63588PSIND")</f>
        <v>MUCSPA63588PSIND</v>
      </c>
      <c r="Q1199" s="80" t="str">
        <f>IFERROR(__xludf.DUMMYFUNCTION("""COMPUTED_VALUE"""),"MUC MALAKA TOKO")</f>
        <v>MUC MALAKA TOKO</v>
      </c>
      <c r="R1199" s="80" t="str">
        <f>IFERROR(__xludf.DUMMYFUNCTION("""COMPUTED_VALUE"""),"MUC MALAKA TOKO")</f>
        <v>MUC MALAKA TOKO</v>
      </c>
      <c r="S1199" s="80" t="str">
        <f>IFERROR(__xludf.DUMMYFUNCTION("""COMPUTED_VALUE"""),"SARI YULIS")</f>
        <v>SARI YULIS</v>
      </c>
      <c r="T1199" s="80" t="str">
        <f>IFERROR(__xludf.DUMMYFUNCTION("""COMPUTED_VALUE"""),"GP.TP.RAYA RT 0 RW 0, TEUPIN RAYA, BATEE, KAB.PIDIE")</f>
        <v>GP.TP.RAYA RT 0 RW 0, TEUPIN RAYA, BATEE, KAB.PIDIE</v>
      </c>
      <c r="U1199" s="80" t="str">
        <f>IFERROR(__xludf.DUMMYFUNCTION("""COMPUTED_VALUE"""),"BLANGKULA RT 01 RW 01")</f>
        <v>BLANGKULA RT 01 RW 01</v>
      </c>
      <c r="V1199" s="80" t="str">
        <f>IFERROR(__xludf.DUMMYFUNCTION("""COMPUTED_VALUE"""),"RT 0 R \ RW 0,")</f>
        <v>RT 0 R \ RW 0,</v>
      </c>
      <c r="W1199" s="80" t="str">
        <f>IFERROR(__xludf.DUMMYFUNCTION("""COMPUTED_VALUE"""),"TEUPIN RAYA")</f>
        <v>TEUPIN RAYA</v>
      </c>
      <c r="X1199" s="80" t="str">
        <f>IFERROR(__xludf.DUMMYFUNCTION("""COMPUTED_VALUE"""),"BATEE")</f>
        <v>BATEE</v>
      </c>
      <c r="Y1199" s="80" t="str">
        <f>IFERROR(__xludf.DUMMYFUNCTION("""COMPUTED_VALUE"""),"KAB.PIDIE")</f>
        <v>KAB.PIDIE</v>
      </c>
      <c r="Z1199" s="80" t="str">
        <f>IFERROR(__xludf.DUMMYFUNCTION("""COMPUTED_VALUE"""),"ACEH")</f>
        <v>ACEH</v>
      </c>
      <c r="AA1199" s="80" t="str">
        <f>IFERROR(__xludf.DUMMYFUNCTION("""COMPUTED_VALUE"""),"24152")</f>
        <v>24152</v>
      </c>
      <c r="AB1199" s="80" t="str">
        <f>IFERROR(__xludf.DUMMYFUNCTION("""COMPUTED_VALUE"""),"1107033112970005")</f>
        <v>1107033112970005</v>
      </c>
      <c r="AC1199" s="80" t="str">
        <f>IFERROR(__xludf.DUMMYFUNCTION("""COMPUTED_VALUE"""),"30.485.498.7-108.000")</f>
        <v>30.485.498.7-108.000</v>
      </c>
      <c r="AD1199" s="80" t="str">
        <f>IFERROR(__xludf.DUMMYFUNCTION("""COMPUTED_VALUE"""),"CUM - PS - NONKORGEN")</f>
        <v>CUM - PS - NONKORGEN</v>
      </c>
      <c r="AE1199" s="80" t="str">
        <f>IFERROR(__xludf.DUMMYFUNCTION("""COMPUTED_VALUE"""),"KC PIDIE ACEH")</f>
        <v>KC PIDIE ACEH</v>
      </c>
      <c r="AF1199" s="80" t="str">
        <f>IFERROR(__xludf.DUMMYFUNCTION("""COMPUTED_VALUE"""),"082365524169")</f>
        <v>082365524169</v>
      </c>
      <c r="AG1199" s="80" t="str">
        <f>IFERROR(__xludf.DUMMYFUNCTION("""COMPUTED_VALUE"""),"82365524169")</f>
        <v>82365524169</v>
      </c>
      <c r="AH1199" s="80" t="str">
        <f>IFERROR(__xludf.DUMMYFUNCTION("""COMPUTED_VALUE"""),"1305saryulis@gmail.com")</f>
        <v>1305saryulis@gmail.com</v>
      </c>
      <c r="AI1199" s="80" t="str">
        <f>IFERROR(__xludf.DUMMYFUNCTION("""COMPUTED_VALUE"""),"24152S1")</f>
        <v>24152S1</v>
      </c>
      <c r="AJ1199" s="80" t="str">
        <f>IFERROR(__xludf.DUMMYFUNCTION("""COMPUTED_VALUE"""),"6a96ab44bb9eb017cd06d5b2")</f>
        <v>6a96ab44bb9eb017cd06d5b2</v>
      </c>
      <c r="AK1199" s="80" t="str">
        <f>IFERROR(__xludf.DUMMYFUNCTION("""COMPUTED_VALUE"""),"1305saryulis@gmail.com")</f>
        <v>1305saryulis@gmail.com</v>
      </c>
      <c r="AL1199" s="80" t="str">
        <f>IFERROR(__xludf.DUMMYFUNCTION("""COMPUTED_VALUE"""),"#Muc24152S1$")</f>
        <v>#Muc24152S1$</v>
      </c>
      <c r="AM1199" s="80" t="str">
        <f>IFERROR(__xludf.DUMMYFUNCTION("""COMPUTED_VALUE"""),"KANTOR REGIONAL I MEDAN 20004")</f>
        <v>KANTOR REGIONAL I MEDAN 20004</v>
      </c>
      <c r="AN1199" s="80" t="str">
        <f>IFERROR(__xludf.DUMMYFUNCTION("""COMPUTED_VALUE"""),"KC SIGLI 24100")</f>
        <v>KC SIGLI 24100</v>
      </c>
      <c r="AO1199" s="80" t="str">
        <f>IFERROR(__xludf.DUMMYFUNCTION("""COMPUTED_VALUE"""),"0707260049859")</f>
        <v>0707260049859</v>
      </c>
      <c r="AP1199" s="80" t="str">
        <f>IFERROR(__xludf.DUMMYFUNCTION("""COMPUTED_VALUE"""),"0707260049859")</f>
        <v>0707260049859</v>
      </c>
      <c r="AQ1199" s="83" t="str">
        <f>IFERROR(__xludf.DUMMYFUNCTION("""COMPUTED_VALUE"""),"3112979777")</f>
        <v>3112979777</v>
      </c>
      <c r="AR1199" s="80" t="str">
        <f>IFERROR(__xludf.DUMMYFUNCTION("""COMPUTED_VALUE"""),"BSI")</f>
        <v>BSI</v>
      </c>
      <c r="AS1199" s="80" t="str">
        <f>IFERROR(__xludf.DUMMYFUNCTION("""COMPUTED_VALUE"""),"SARI YULIS")</f>
        <v>SARI YULIS</v>
      </c>
      <c r="AT1199" s="80" t="str">
        <f>IFERROR(__xludf.DUMMYFUNCTION("""COMPUTED_VALUE"""),"5,394,914")</f>
        <v>5,394,914</v>
      </c>
      <c r="AU1199" s="80" t="str">
        <f>IFERROR(__xludf.DUMMYFUNCTION("""COMPUTED_VALUE"""),"95,906,858")</f>
        <v>95,906,858</v>
      </c>
      <c r="AV1199" s="80"/>
      <c r="AW1199" s="80"/>
      <c r="AX1199" s="80"/>
      <c r="AY1199" s="80"/>
      <c r="AZ1199" s="80"/>
      <c r="BA1199" s="80"/>
      <c r="BB1199" s="80"/>
      <c r="BC1199" s="80"/>
      <c r="BD1199" s="80"/>
      <c r="BE1199" s="80"/>
      <c r="BF1199" s="80"/>
      <c r="BG1199" s="80"/>
      <c r="BH1199" s="80"/>
      <c r="BI1199" s="80"/>
      <c r="BJ1199" s="80"/>
      <c r="BK1199" s="80"/>
      <c r="BL1199" s="80"/>
      <c r="BM1199" s="80"/>
      <c r="BN1199" s="80"/>
      <c r="BO1199" s="80"/>
      <c r="BP1199" s="80"/>
      <c r="BQ1199" s="80"/>
      <c r="BR1199" s="80"/>
      <c r="BS1199" s="80"/>
      <c r="BT1199" s="80"/>
      <c r="BU1199" s="80"/>
      <c r="BV1199" s="80"/>
      <c r="BW1199" s="80"/>
      <c r="BX1199" s="80"/>
      <c r="BY1199" s="80"/>
      <c r="BZ1199" s="80"/>
      <c r="CA1199" s="80"/>
      <c r="CB1199" s="80"/>
      <c r="CC1199" s="80"/>
      <c r="CD1199" s="80"/>
      <c r="CE1199" s="80"/>
      <c r="CF1199" s="80"/>
      <c r="CG1199" s="80"/>
      <c r="CH1199" s="80"/>
      <c r="CI1199" s="80"/>
      <c r="CJ1199" s="80"/>
      <c r="CK1199" s="2"/>
    </row>
    <row r="1200" ht="12.75" customHeight="1">
      <c r="A1200" s="85">
        <f>IFERROR(__xludf.DUMMYFUNCTION("""COMPUTED_VALUE"""),1196.0)</f>
        <v>1196</v>
      </c>
      <c r="B1200" s="85"/>
      <c r="C1200" s="85"/>
      <c r="D1200" s="86">
        <f>IFERROR(__xludf.DUMMYFUNCTION("""COMPUTED_VALUE"""),46221.0)</f>
        <v>46221</v>
      </c>
      <c r="E1200" s="88"/>
      <c r="F1200" s="85"/>
      <c r="G1200" s="86"/>
      <c r="H1200" s="85"/>
      <c r="I1200" s="85"/>
      <c r="J1200" s="85"/>
      <c r="K1200" s="85"/>
      <c r="L1200" s="85"/>
      <c r="M1200" s="85"/>
      <c r="N1200" s="85"/>
      <c r="O1200" s="85"/>
      <c r="P1200" s="85" t="str">
        <f>IFERROR(__xludf.DUMMYFUNCTION("""COMPUTED_VALUE"""),"MUCSPA70015PSUMK")</f>
        <v>MUCSPA70015PSUMK</v>
      </c>
      <c r="Q1200" s="85" t="str">
        <f>IFERROR(__xludf.DUMMYFUNCTION("""COMPUTED_VALUE"""),"MUC INDRAZIS")</f>
        <v>MUC INDRAZIS</v>
      </c>
      <c r="R1200" s="85" t="str">
        <f>IFERROR(__xludf.DUMMYFUNCTION("""COMPUTED_VALUE"""),"MUC INDRAZIS")</f>
        <v>MUC INDRAZIS</v>
      </c>
      <c r="S1200" s="85" t="str">
        <f>IFERROR(__xludf.DUMMYFUNCTION("""COMPUTED_VALUE"""),"ANSARUDDIN")</f>
        <v>ANSARUDDIN</v>
      </c>
      <c r="T1200" s="85" t="str">
        <f>IFERROR(__xludf.DUMMYFUNCTION("""COMPUTED_VALUE"""),"KOMP.GRIYA PERSADA ASRI BLOK A NO. 8 RT 13 RW 04, SARANG HALANG, PELAIHARI, KAB.TANAH LAUT")</f>
        <v>KOMP.GRIYA PERSADA ASRI BLOK A NO. 8 RT 13 RW 04, SARANG HALANG, PELAIHARI, KAB.TANAH LAUT</v>
      </c>
      <c r="U1200" s="85" t="str">
        <f>IFERROR(__xludf.DUMMYFUNCTION("""COMPUTED_VALUE"""),"JL. PURNAWIRAWAN ( LDR Bouquet )")</f>
        <v>JL. PURNAWIRAWAN ( LDR Bouquet )</v>
      </c>
      <c r="V1200" s="85" t="str">
        <f>IFERROR(__xludf.DUMMYFUNCTION("""COMPUTED_VALUE"""),"RT 13  \ RW 04,")</f>
        <v>RT 13  \ RW 04,</v>
      </c>
      <c r="W1200" s="85" t="str">
        <f>IFERROR(__xludf.DUMMYFUNCTION("""COMPUTED_VALUE"""),"ANGSAU")</f>
        <v>ANGSAU</v>
      </c>
      <c r="X1200" s="85" t="str">
        <f>IFERROR(__xludf.DUMMYFUNCTION("""COMPUTED_VALUE"""),"PELAIHARI")</f>
        <v>PELAIHARI</v>
      </c>
      <c r="Y1200" s="85" t="str">
        <f>IFERROR(__xludf.DUMMYFUNCTION("""COMPUTED_VALUE"""),"KAB.TANAH LAUT")</f>
        <v>KAB.TANAH LAUT</v>
      </c>
      <c r="Z1200" s="85" t="str">
        <f>IFERROR(__xludf.DUMMYFUNCTION("""COMPUTED_VALUE"""),"KALIMANTAN SELATAN")</f>
        <v>KALIMANTAN SELATAN</v>
      </c>
      <c r="AA1200" s="85" t="str">
        <f>IFERROR(__xludf.DUMMYFUNCTION("""COMPUTED_VALUE"""),"70814")</f>
        <v>70814</v>
      </c>
      <c r="AB1200" s="85" t="str">
        <f>IFERROR(__xludf.DUMMYFUNCTION("""COMPUTED_VALUE"""),"6301033103700003")</f>
        <v>6301033103700003</v>
      </c>
      <c r="AC1200" s="85" t="str">
        <f>IFERROR(__xludf.DUMMYFUNCTION("""COMPUTED_VALUE"""),"69.623.274.3-732.000")</f>
        <v>69.623.274.3-732.000</v>
      </c>
      <c r="AD1200" s="85" t="str">
        <f>IFERROR(__xludf.DUMMYFUNCTION("""COMPUTED_VALUE"""),"CUM - UMKMNK - ASEP")</f>
        <v>CUM - UMKMNK - ASEP</v>
      </c>
      <c r="AE1200" s="85" t="str">
        <f>IFERROR(__xludf.DUMMYFUNCTION("""COMPUTED_VALUE"""),"CUM - UMKMNK - ASEP")</f>
        <v>CUM - UMKMNK - ASEP</v>
      </c>
      <c r="AF1200" s="85" t="str">
        <f>IFERROR(__xludf.DUMMYFUNCTION("""COMPUTED_VALUE"""),"082155836364")</f>
        <v>082155836364</v>
      </c>
      <c r="AG1200" s="85" t="str">
        <f>IFERROR(__xludf.DUMMYFUNCTION("""COMPUTED_VALUE"""),"82155836364")</f>
        <v>82155836364</v>
      </c>
      <c r="AH1200" s="85" t="str">
        <f>IFERROR(__xludf.DUMMYFUNCTION("""COMPUTED_VALUE"""),"ansar.manan71@gmail.com")</f>
        <v>ansar.manan71@gmail.com</v>
      </c>
      <c r="AI1200" s="85"/>
      <c r="AJ1200" s="85"/>
      <c r="AK1200" s="85"/>
      <c r="AL1200" s="85"/>
      <c r="AM1200" s="85" t="str">
        <f>IFERROR(__xludf.DUMMYFUNCTION("""COMPUTED_VALUE"""),"KANTOR REGIONAL VI MAKASAR 90004")</f>
        <v>KANTOR REGIONAL VI MAKASAR 90004</v>
      </c>
      <c r="AN1200" s="85" t="str">
        <f>IFERROR(__xludf.DUMMYFUNCTION("""COMPUTED_VALUE"""),"KC BANJARBARU 70700")</f>
        <v>KC BANJARBARU 70700</v>
      </c>
      <c r="AO1200" s="85" t="str">
        <f>IFERROR(__xludf.DUMMYFUNCTION("""COMPUTED_VALUE"""),"1507260037811")</f>
        <v>1507260037811</v>
      </c>
      <c r="AP1200" s="85" t="str">
        <f>IFERROR(__xludf.DUMMYFUNCTION("""COMPUTED_VALUE"""),"1507260037811")</f>
        <v>1507260037811</v>
      </c>
      <c r="AQ1200" s="93" t="str">
        <f>IFERROR(__xludf.DUMMYFUNCTION("""COMPUTED_VALUE"""),"2001236318")</f>
        <v>2001236318</v>
      </c>
      <c r="AR1200" s="85" t="str">
        <f>IFERROR(__xludf.DUMMYFUNCTION("""COMPUTED_VALUE"""),"Bank Pembangunan Daerah")</f>
        <v>Bank Pembangunan Daerah</v>
      </c>
      <c r="AS1200" s="85" t="str">
        <f>IFERROR(__xludf.DUMMYFUNCTION("""COMPUTED_VALUE"""),"RENNY KURNIAWATI")</f>
        <v>RENNY KURNIAWATI</v>
      </c>
      <c r="AT1200" s="85" t="str">
        <f>IFERROR(__xludf.DUMMYFUNCTION("""COMPUTED_VALUE"""),"-3,797,134")</f>
        <v>-3,797,134</v>
      </c>
      <c r="AU1200" s="85" t="str">
        <f>IFERROR(__xludf.DUMMYFUNCTION("""COMPUTED_VALUE"""),"1,147,732,885")</f>
        <v>1,147,732,885</v>
      </c>
      <c r="AV1200" s="85"/>
      <c r="AW1200" s="85"/>
      <c r="AX1200" s="85"/>
      <c r="AY1200" s="85"/>
      <c r="AZ1200" s="85"/>
      <c r="BA1200" s="85"/>
      <c r="BB1200" s="85"/>
      <c r="BC1200" s="85"/>
      <c r="BD1200" s="85"/>
      <c r="BE1200" s="85"/>
      <c r="BF1200" s="85"/>
      <c r="BG1200" s="85"/>
      <c r="BH1200" s="85"/>
      <c r="BI1200" s="85"/>
      <c r="BJ1200" s="85"/>
      <c r="BK1200" s="85"/>
      <c r="BL1200" s="85"/>
      <c r="BM1200" s="85"/>
      <c r="BN1200" s="85"/>
      <c r="BO1200" s="85"/>
      <c r="BP1200" s="85"/>
      <c r="BQ1200" s="85"/>
      <c r="BR1200" s="85"/>
      <c r="BS1200" s="85"/>
      <c r="BT1200" s="85"/>
      <c r="BU1200" s="85"/>
      <c r="BV1200" s="85"/>
      <c r="BW1200" s="85"/>
      <c r="BX1200" s="85"/>
      <c r="BY1200" s="85"/>
      <c r="BZ1200" s="85"/>
      <c r="CA1200" s="85"/>
      <c r="CB1200" s="85"/>
      <c r="CC1200" s="85"/>
      <c r="CD1200" s="85"/>
      <c r="CE1200" s="85"/>
      <c r="CF1200" s="85"/>
      <c r="CG1200" s="85"/>
      <c r="CH1200" s="85"/>
      <c r="CI1200" s="85"/>
      <c r="CJ1200" s="85"/>
      <c r="CK1200" s="2"/>
    </row>
    <row r="1201" ht="12.75" customHeight="1">
      <c r="A1201" s="80">
        <f>IFERROR(__xludf.DUMMYFUNCTION("""COMPUTED_VALUE"""),1197.0)</f>
        <v>1197</v>
      </c>
      <c r="B1201" s="80"/>
      <c r="C1201" s="80"/>
      <c r="D1201" s="81">
        <f>IFERROR(__xludf.DUMMYFUNCTION("""COMPUTED_VALUE"""),46221.0)</f>
        <v>46221</v>
      </c>
      <c r="E1201" s="82"/>
      <c r="F1201" s="80"/>
      <c r="G1201" s="81">
        <f>IFERROR(__xludf.DUMMYFUNCTION("""COMPUTED_VALUE"""),46244.0)</f>
        <v>46244</v>
      </c>
      <c r="H1201" s="80"/>
      <c r="I1201" s="80"/>
      <c r="J1201" s="80"/>
      <c r="K1201" s="80"/>
      <c r="L1201" s="80">
        <f>IFERROR(__xludf.DUMMYFUNCTION("""COMPUTED_VALUE"""),23.0)</f>
        <v>23</v>
      </c>
      <c r="M1201" s="80"/>
      <c r="N1201" s="80"/>
      <c r="O1201" s="80"/>
      <c r="P1201" s="80" t="str">
        <f>IFERROR(__xludf.DUMMYFUNCTION("""COMPUTED_VALUE"""),"MUCSPA63581PSIND")</f>
        <v>MUCSPA63581PSIND</v>
      </c>
      <c r="Q1201" s="80" t="str">
        <f>IFERROR(__xludf.DUMMYFUNCTION("""COMPUTED_VALUE"""),"MUC JAKARTA CARGO EXPRESS")</f>
        <v>MUC JAKARTA CARGO EXPRESS</v>
      </c>
      <c r="R1201" s="80" t="str">
        <f>IFERROR(__xludf.DUMMYFUNCTION("""COMPUTED_VALUE"""),"MUC JAKARTA CARGO EXPRESS")</f>
        <v>MUC JAKARTA CARGO EXPRESS</v>
      </c>
      <c r="S1201" s="80" t="str">
        <f>IFERROR(__xludf.DUMMYFUNCTION("""COMPUTED_VALUE"""),"RD. ARKAN HENDRAJAYA")</f>
        <v>RD. ARKAN HENDRAJAYA</v>
      </c>
      <c r="T1201" s="80" t="str">
        <f>IFERROR(__xludf.DUMMYFUNCTION("""COMPUTED_VALUE"""),"MENTENG PULO II NO.7 RT01 RW12, MENTENG DALAM, TEBET, JAKARTA SELATAN")</f>
        <v>MENTENG PULO II NO.7 RT01 RW12, MENTENG DALAM, TEBET, JAKARTA SELATAN</v>
      </c>
      <c r="U1201" s="80" t="str">
        <f>IFERROR(__xludf.DUMMYFUNCTION("""COMPUTED_VALUE"""),"JL. RAYA SIRKUIT SENTUL NO.16")</f>
        <v>JL. RAYA SIRKUIT SENTUL NO.16</v>
      </c>
      <c r="V1201" s="80" t="str">
        <f>IFERROR(__xludf.DUMMYFUNCTION("""COMPUTED_VALUE"""),"RT01 R \ RW12,")</f>
        <v>RT01 R \ RW12,</v>
      </c>
      <c r="W1201" s="80" t="str">
        <f>IFERROR(__xludf.DUMMYFUNCTION("""COMPUTED_VALUE"""),"LEUWINUTUG")</f>
        <v>LEUWINUTUG</v>
      </c>
      <c r="X1201" s="80" t="str">
        <f>IFERROR(__xludf.DUMMYFUNCTION("""COMPUTED_VALUE"""),"CITEUREUP")</f>
        <v>CITEUREUP</v>
      </c>
      <c r="Y1201" s="80" t="str">
        <f>IFERROR(__xludf.DUMMYFUNCTION("""COMPUTED_VALUE"""),"KAB.BOGOR")</f>
        <v>KAB.BOGOR</v>
      </c>
      <c r="Z1201" s="80" t="str">
        <f>IFERROR(__xludf.DUMMYFUNCTION("""COMPUTED_VALUE"""),"JAWA BARAT")</f>
        <v>JAWA BARAT</v>
      </c>
      <c r="AA1201" s="80" t="str">
        <f>IFERROR(__xludf.DUMMYFUNCTION("""COMPUTED_VALUE"""),"16810")</f>
        <v>16810</v>
      </c>
      <c r="AB1201" s="80" t="str">
        <f>IFERROR(__xludf.DUMMYFUNCTION("""COMPUTED_VALUE"""),"3174012208950005")</f>
        <v>3174012208950005</v>
      </c>
      <c r="AC1201" s="80" t="str">
        <f>IFERROR(__xludf.DUMMYFUNCTION("""COMPUTED_VALUE"""),"41.383.504.2-403.000")</f>
        <v>41.383.504.2-403.000</v>
      </c>
      <c r="AD1201" s="80" t="str">
        <f>IFERROR(__xludf.DUMMYFUNCTION("""COMPUTED_VALUE"""),"CUM - PS - NONKORGEN")</f>
        <v>CUM - PS - NONKORGEN</v>
      </c>
      <c r="AE1201" s="80" t="str">
        <f>IFERROR(__xludf.DUMMYFUNCTION("""COMPUTED_VALUE"""),"BU NOCA KC CIBINONG")</f>
        <v>BU NOCA KC CIBINONG</v>
      </c>
      <c r="AF1201" s="80" t="str">
        <f>IFERROR(__xludf.DUMMYFUNCTION("""COMPUTED_VALUE"""),"081132000403")</f>
        <v>081132000403</v>
      </c>
      <c r="AG1201" s="80" t="str">
        <f>IFERROR(__xludf.DUMMYFUNCTION("""COMPUTED_VALUE"""),"81132000403")</f>
        <v>81132000403</v>
      </c>
      <c r="AH1201" s="80" t="str">
        <f>IFERROR(__xludf.DUMMYFUNCTION("""COMPUTED_VALUE"""),"arkan.jce@gmail.com")</f>
        <v>arkan.jce@gmail.com</v>
      </c>
      <c r="AI1201" s="80" t="str">
        <f>IFERROR(__xludf.DUMMYFUNCTION("""COMPUTED_VALUE"""),"16813S1")</f>
        <v>16813S1</v>
      </c>
      <c r="AJ1201" s="80" t="str">
        <f>IFERROR(__xludf.DUMMYFUNCTION("""COMPUTED_VALUE"""),"6a794e204eeaad1a250e2d03")</f>
        <v>6a794e204eeaad1a250e2d03</v>
      </c>
      <c r="AK1201" s="80" t="str">
        <f>IFERROR(__xludf.DUMMYFUNCTION("""COMPUTED_VALUE"""),"arkan.jce@gmail.com")</f>
        <v>arkan.jce@gmail.com</v>
      </c>
      <c r="AL1201" s="80" t="str">
        <f>IFERROR(__xludf.DUMMYFUNCTION("""COMPUTED_VALUE"""),"#Muc16813S1$")</f>
        <v>#Muc16813S1$</v>
      </c>
      <c r="AM1201" s="80" t="str">
        <f>IFERROR(__xludf.DUMMYFUNCTION("""COMPUTED_VALUE"""),"KANTOR REGIONAL II JAKARTA 10004")</f>
        <v>KANTOR REGIONAL II JAKARTA 10004</v>
      </c>
      <c r="AN1201" s="80" t="str">
        <f>IFERROR(__xludf.DUMMYFUNCTION("""COMPUTED_VALUE"""),"KC CIBINONG 16900")</f>
        <v>KC CIBINONG 16900</v>
      </c>
      <c r="AO1201" s="80" t="str">
        <f>IFERROR(__xludf.DUMMYFUNCTION("""COMPUTED_VALUE"""),"9120219290036")</f>
        <v>9120219290036</v>
      </c>
      <c r="AP1201" s="80" t="str">
        <f>IFERROR(__xludf.DUMMYFUNCTION("""COMPUTED_VALUE"""),"9120219290036")</f>
        <v>9120219290036</v>
      </c>
      <c r="AQ1201" s="83" t="str">
        <f>IFERROR(__xludf.DUMMYFUNCTION("""COMPUTED_VALUE"""),"5750899911")</f>
        <v>5750899911</v>
      </c>
      <c r="AR1201" s="80" t="str">
        <f>IFERROR(__xludf.DUMMYFUNCTION("""COMPUTED_VALUE"""),"BCA")</f>
        <v>BCA</v>
      </c>
      <c r="AS1201" s="80" t="str">
        <f>IFERROR(__xludf.DUMMYFUNCTION("""COMPUTED_VALUE"""),"PT Jakarta Cargo Express")</f>
        <v>PT Jakarta Cargo Express</v>
      </c>
      <c r="AT1201" s="80" t="str">
        <f>IFERROR(__xludf.DUMMYFUNCTION("""COMPUTED_VALUE"""),"-65,206,718.00")</f>
        <v>-65,206,718.00</v>
      </c>
      <c r="AU1201" s="80" t="str">
        <f>IFERROR(__xludf.DUMMYFUNCTION("""COMPUTED_VALUE"""),"1,068,595,934")</f>
        <v>1,068,595,934</v>
      </c>
      <c r="AV1201" s="80"/>
      <c r="AW1201" s="80"/>
      <c r="AX1201" s="80"/>
      <c r="AY1201" s="80"/>
      <c r="AZ1201" s="80"/>
      <c r="BA1201" s="80"/>
      <c r="BB1201" s="80"/>
      <c r="BC1201" s="80"/>
      <c r="BD1201" s="80"/>
      <c r="BE1201" s="80"/>
      <c r="BF1201" s="80"/>
      <c r="BG1201" s="80"/>
      <c r="BH1201" s="80"/>
      <c r="BI1201" s="80"/>
      <c r="BJ1201" s="80"/>
      <c r="BK1201" s="80"/>
      <c r="BL1201" s="80"/>
      <c r="BM1201" s="80"/>
      <c r="BN1201" s="80"/>
      <c r="BO1201" s="80"/>
      <c r="BP1201" s="80"/>
      <c r="BQ1201" s="80"/>
      <c r="BR1201" s="80"/>
      <c r="BS1201" s="80"/>
      <c r="BT1201" s="80"/>
      <c r="BU1201" s="80"/>
      <c r="BV1201" s="80"/>
      <c r="BW1201" s="80"/>
      <c r="BX1201" s="80"/>
      <c r="BY1201" s="80"/>
      <c r="BZ1201" s="80"/>
      <c r="CA1201" s="80"/>
      <c r="CB1201" s="80"/>
      <c r="CC1201" s="80"/>
      <c r="CD1201" s="80"/>
      <c r="CE1201" s="80"/>
      <c r="CF1201" s="80"/>
      <c r="CG1201" s="80"/>
      <c r="CH1201" s="80"/>
      <c r="CI1201" s="80"/>
      <c r="CJ1201" s="80"/>
      <c r="CK1201" s="2"/>
    </row>
    <row r="1202" ht="12.75" customHeight="1">
      <c r="A1202" s="85">
        <f>IFERROR(__xludf.DUMMYFUNCTION("""COMPUTED_VALUE"""),1198.0)</f>
        <v>1198</v>
      </c>
      <c r="B1202" s="85"/>
      <c r="C1202" s="85"/>
      <c r="D1202" s="86">
        <f>IFERROR(__xludf.DUMMYFUNCTION("""COMPUTED_VALUE"""),46221.0)</f>
        <v>46221</v>
      </c>
      <c r="E1202" s="88"/>
      <c r="F1202" s="85"/>
      <c r="G1202" s="86">
        <f>IFERROR(__xludf.DUMMYFUNCTION("""COMPUTED_VALUE"""),46280.0)</f>
        <v>46280</v>
      </c>
      <c r="H1202" s="85"/>
      <c r="I1202" s="85"/>
      <c r="J1202" s="85"/>
      <c r="K1202" s="85"/>
      <c r="L1202" s="85">
        <f>IFERROR(__xludf.DUMMYFUNCTION("""COMPUTED_VALUE"""),59.0)</f>
        <v>59</v>
      </c>
      <c r="M1202" s="85"/>
      <c r="N1202" s="85"/>
      <c r="O1202" s="85"/>
      <c r="P1202" s="85" t="str">
        <f>IFERROR(__xludf.DUMMYFUNCTION("""COMPUTED_VALUE"""),"MUCSPA70022PSUMK")</f>
        <v>MUCSPA70022PSUMK</v>
      </c>
      <c r="Q1202" s="85" t="str">
        <f>IFERROR(__xludf.DUMMYFUNCTION("""COMPUTED_VALUE"""),"MUC Easy Express")</f>
        <v>MUC Easy Express</v>
      </c>
      <c r="R1202" s="85" t="str">
        <f>IFERROR(__xludf.DUMMYFUNCTION("""COMPUTED_VALUE"""),"MUC Easy Express")</f>
        <v>MUC Easy Express</v>
      </c>
      <c r="S1202" s="85" t="str">
        <f>IFERROR(__xludf.DUMMYFUNCTION("""COMPUTED_VALUE"""),"SEPRIZAL")</f>
        <v>SEPRIZAL</v>
      </c>
      <c r="T1202" s="85" t="str">
        <f>IFERROR(__xludf.DUMMYFUNCTION("""COMPUTED_VALUE"""),"Jl.H.ATUN NO.62 K RT 09 RW 07, DUREN SAWIT, DUREN SAWIT, JAKARTA TIMUR")</f>
        <v>Jl.H.ATUN NO.62 K RT 09 RW 07, DUREN SAWIT, DUREN SAWIT, JAKARTA TIMUR</v>
      </c>
      <c r="U1202" s="85" t="str">
        <f>IFERROR(__xludf.DUMMYFUNCTION("""COMPUTED_VALUE"""),"JL. H. ATUN NO.62A RT 09 RW 07")</f>
        <v>JL. H. ATUN NO.62A RT 09 RW 07</v>
      </c>
      <c r="V1202" s="85" t="str">
        <f>IFERROR(__xludf.DUMMYFUNCTION("""COMPUTED_VALUE"""),"RT 09  \ RW 07,")</f>
        <v>RT 09  \ RW 07,</v>
      </c>
      <c r="W1202" s="85" t="str">
        <f>IFERROR(__xludf.DUMMYFUNCTION("""COMPUTED_VALUE"""),"DUREN SAWIT")</f>
        <v>DUREN SAWIT</v>
      </c>
      <c r="X1202" s="85" t="str">
        <f>IFERROR(__xludf.DUMMYFUNCTION("""COMPUTED_VALUE"""),"DUREN SAWIT")</f>
        <v>DUREN SAWIT</v>
      </c>
      <c r="Y1202" s="85" t="str">
        <f>IFERROR(__xludf.DUMMYFUNCTION("""COMPUTED_VALUE"""),"JAKARTA TIMUR")</f>
        <v>JAKARTA TIMUR</v>
      </c>
      <c r="Z1202" s="85" t="str">
        <f>IFERROR(__xludf.DUMMYFUNCTION("""COMPUTED_VALUE"""),"DKI JAKARTA")</f>
        <v>DKI JAKARTA</v>
      </c>
      <c r="AA1202" s="85" t="str">
        <f>IFERROR(__xludf.DUMMYFUNCTION("""COMPUTED_VALUE"""),"13440")</f>
        <v>13440</v>
      </c>
      <c r="AB1202" s="85" t="str">
        <f>IFERROR(__xludf.DUMMYFUNCTION("""COMPUTED_VALUE"""),"3275081209670027")</f>
        <v>3275081209670027</v>
      </c>
      <c r="AC1202" s="85" t="str">
        <f>IFERROR(__xludf.DUMMYFUNCTION("""COMPUTED_VALUE"""),"96.033.012.4-003.000")</f>
        <v>96.033.012.4-003.000</v>
      </c>
      <c r="AD1202" s="85" t="str">
        <f>IFERROR(__xludf.DUMMYFUNCTION("""COMPUTED_VALUE"""),"CUM - UMKMNK - ASEP")</f>
        <v>CUM - UMKMNK - ASEP</v>
      </c>
      <c r="AE1202" s="85" t="str">
        <f>IFERROR(__xludf.DUMMYFUNCTION("""COMPUTED_VALUE"""),"CUM - UMKMNK - ASEP")</f>
        <v>CUM - UMKMNK - ASEP</v>
      </c>
      <c r="AF1202" s="85" t="str">
        <f>IFERROR(__xludf.DUMMYFUNCTION("""COMPUTED_VALUE"""),"081295290453")</f>
        <v>081295290453</v>
      </c>
      <c r="AG1202" s="85" t="str">
        <f>IFERROR(__xludf.DUMMYFUNCTION("""COMPUTED_VALUE"""),"81295290453")</f>
        <v>81295290453</v>
      </c>
      <c r="AH1202" s="85" t="str">
        <f>IFERROR(__xludf.DUMMYFUNCTION("""COMPUTED_VALUE"""),"abisnis2289@gmail.com")</f>
        <v>abisnis2289@gmail.com</v>
      </c>
      <c r="AI1202" s="85" t="str">
        <f>IFERROR(__xludf.DUMMYFUNCTION("""COMPUTED_VALUE"""),"13440S2 ")</f>
        <v>13440S2 </v>
      </c>
      <c r="AJ1202" s="85" t="str">
        <f>IFERROR(__xludf.DUMMYFUNCTION("""COMPUTED_VALUE"""),"6a9d8cbf62b185f3db08cf11 ")</f>
        <v>6a9d8cbf62b185f3db08cf11 </v>
      </c>
      <c r="AK1202" s="85" t="str">
        <f>IFERROR(__xludf.DUMMYFUNCTION("""COMPUTED_VALUE"""),"abisnis2289@gmail.com")</f>
        <v>abisnis2289@gmail.com</v>
      </c>
      <c r="AL1202" s="85" t="str">
        <f>IFERROR(__xludf.DUMMYFUNCTION("""COMPUTED_VALUE"""),"#Muc13440S2$")</f>
        <v>#Muc13440S2$</v>
      </c>
      <c r="AM1202" s="85" t="str">
        <f>IFERROR(__xludf.DUMMYFUNCTION("""COMPUTED_VALUE"""),"KANTOR REGIONAL II JAKARTA 10004")</f>
        <v>KANTOR REGIONAL II JAKARTA 10004</v>
      </c>
      <c r="AN1202" s="85" t="str">
        <f>IFERROR(__xludf.DUMMYFUNCTION("""COMPUTED_VALUE"""),"KCU JAKARTAPREMIER 13000")</f>
        <v>KCU JAKARTAPREMIER 13000</v>
      </c>
      <c r="AO1202" s="85" t="str">
        <f>IFERROR(__xludf.DUMMYFUNCTION("""COMPUTED_VALUE"""),"1707260175276")</f>
        <v>1707260175276</v>
      </c>
      <c r="AP1202" s="85" t="str">
        <f>IFERROR(__xludf.DUMMYFUNCTION("""COMPUTED_VALUE"""),"1707260175276")</f>
        <v>1707260175276</v>
      </c>
      <c r="AQ1202" s="93" t="str">
        <f>IFERROR(__xludf.DUMMYFUNCTION("""COMPUTED_VALUE"""),"760978406000")</f>
        <v>760978406000</v>
      </c>
      <c r="AR1202" s="85" t="str">
        <f>IFERROR(__xludf.DUMMYFUNCTION("""COMPUTED_VALUE"""),"NIAGA")</f>
        <v>NIAGA</v>
      </c>
      <c r="AS1202" s="85" t="str">
        <f>IFERROR(__xludf.DUMMYFUNCTION("""COMPUTED_VALUE"""),"SEPRIZAL")</f>
        <v>SEPRIZAL</v>
      </c>
      <c r="AT1202" s="85" t="str">
        <f>IFERROR(__xludf.DUMMYFUNCTION("""COMPUTED_VALUE"""),"-62,447,708.00")</f>
        <v>-62,447,708.00</v>
      </c>
      <c r="AU1202" s="85" t="str">
        <f>IFERROR(__xludf.DUMMYFUNCTION("""COMPUTED_VALUE"""),"1,069,162,868")</f>
        <v>1,069,162,868</v>
      </c>
      <c r="AV1202" s="85"/>
      <c r="AW1202" s="85"/>
      <c r="AX1202" s="85"/>
      <c r="AY1202" s="85"/>
      <c r="AZ1202" s="85"/>
      <c r="BA1202" s="85"/>
      <c r="BB1202" s="85"/>
      <c r="BC1202" s="85"/>
      <c r="BD1202" s="85"/>
      <c r="BE1202" s="85"/>
      <c r="BF1202" s="85"/>
      <c r="BG1202" s="85"/>
      <c r="BH1202" s="85"/>
      <c r="BI1202" s="85"/>
      <c r="BJ1202" s="85"/>
      <c r="BK1202" s="85"/>
      <c r="BL1202" s="85"/>
      <c r="BM1202" s="85"/>
      <c r="BN1202" s="85"/>
      <c r="BO1202" s="85"/>
      <c r="BP1202" s="85"/>
      <c r="BQ1202" s="85"/>
      <c r="BR1202" s="85"/>
      <c r="BS1202" s="85"/>
      <c r="BT1202" s="85"/>
      <c r="BU1202" s="85"/>
      <c r="BV1202" s="85"/>
      <c r="BW1202" s="85"/>
      <c r="BX1202" s="85"/>
      <c r="BY1202" s="85"/>
      <c r="BZ1202" s="85"/>
      <c r="CA1202" s="85"/>
      <c r="CB1202" s="85"/>
      <c r="CC1202" s="85"/>
      <c r="CD1202" s="85"/>
      <c r="CE1202" s="85"/>
      <c r="CF1202" s="85"/>
      <c r="CG1202" s="85"/>
      <c r="CH1202" s="85"/>
      <c r="CI1202" s="85"/>
      <c r="CJ1202" s="85"/>
      <c r="CK1202" s="2"/>
    </row>
    <row r="1203" ht="12.75" customHeight="1">
      <c r="A1203" s="80">
        <f>IFERROR(__xludf.DUMMYFUNCTION("""COMPUTED_VALUE"""),1199.0)</f>
        <v>1199</v>
      </c>
      <c r="B1203" s="80"/>
      <c r="C1203" s="80"/>
      <c r="D1203" s="81">
        <f>IFERROR(__xludf.DUMMYFUNCTION("""COMPUTED_VALUE"""),46221.0)</f>
        <v>46221</v>
      </c>
      <c r="E1203" s="82"/>
      <c r="F1203" s="80"/>
      <c r="G1203" s="81"/>
      <c r="H1203" s="80"/>
      <c r="I1203" s="80"/>
      <c r="J1203" s="80"/>
      <c r="K1203" s="80"/>
      <c r="L1203" s="80"/>
      <c r="M1203" s="80"/>
      <c r="N1203" s="80"/>
      <c r="O1203" s="80"/>
      <c r="P1203" s="80" t="str">
        <f>IFERROR(__xludf.DUMMYFUNCTION("""COMPUTED_VALUE"""),"MUCSPA70021PSUMK")</f>
        <v>MUCSPA70021PSUMK</v>
      </c>
      <c r="Q1203" s="80" t="str">
        <f>IFERROR(__xludf.DUMMYFUNCTION("""COMPUTED_VALUE"""),"MUC GALAXY")</f>
        <v>MUC GALAXY</v>
      </c>
      <c r="R1203" s="80" t="str">
        <f>IFERROR(__xludf.DUMMYFUNCTION("""COMPUTED_VALUE"""),"MUC GALAXY")</f>
        <v>MUC GALAXY</v>
      </c>
      <c r="S1203" s="80" t="str">
        <f>IFERROR(__xludf.DUMMYFUNCTION("""COMPUTED_VALUE"""),"DJOHAN HARIS")</f>
        <v>DJOHAN HARIS</v>
      </c>
      <c r="T1203" s="80" t="str">
        <f>IFERROR(__xludf.DUMMYFUNCTION("""COMPUTED_VALUE"""),"JL KASUARI RAYA NO 133 RT 06 RW 02, KAYURINGINJAYA, BEKASI SELATAN, BEKASI")</f>
        <v>JL KASUARI RAYA NO 133 RT 06 RW 02, KAYURINGINJAYA, BEKASI SELATAN, BEKASI</v>
      </c>
      <c r="U1203" s="80" t="str">
        <f>IFERROR(__xludf.DUMMYFUNCTION("""COMPUTED_VALUE"""),"Jl. Boulevard Raya Blok BD. 131A Grand Galaxy City, Ruko Sporadis RT 04 RW 14")</f>
        <v>Jl. Boulevard Raya Blok BD. 131A Grand Galaxy City, Ruko Sporadis RT 04 RW 14</v>
      </c>
      <c r="V1203" s="80" t="str">
        <f>IFERROR(__xludf.DUMMYFUNCTION("""COMPUTED_VALUE"""),"RT 06  \ RW 02,")</f>
        <v>RT 06  \ RW 02,</v>
      </c>
      <c r="W1203" s="80" t="str">
        <f>IFERROR(__xludf.DUMMYFUNCTION("""COMPUTED_VALUE"""),"PEKAYONJAYA")</f>
        <v>PEKAYONJAYA</v>
      </c>
      <c r="X1203" s="80" t="str">
        <f>IFERROR(__xludf.DUMMYFUNCTION("""COMPUTED_VALUE"""),"BEKASI SELATAN")</f>
        <v>BEKASI SELATAN</v>
      </c>
      <c r="Y1203" s="80" t="str">
        <f>IFERROR(__xludf.DUMMYFUNCTION("""COMPUTED_VALUE"""),"BEKASI")</f>
        <v>BEKASI</v>
      </c>
      <c r="Z1203" s="80" t="str">
        <f>IFERROR(__xludf.DUMMYFUNCTION("""COMPUTED_VALUE"""),"JAWA BARAT")</f>
        <v>JAWA BARAT</v>
      </c>
      <c r="AA1203" s="80" t="str">
        <f>IFERROR(__xludf.DUMMYFUNCTION("""COMPUTED_VALUE"""),"17147")</f>
        <v>17147</v>
      </c>
      <c r="AB1203" s="80" t="str">
        <f>IFERROR(__xludf.DUMMYFUNCTION("""COMPUTED_VALUE"""),"3275042911820011")</f>
        <v>3275042911820011</v>
      </c>
      <c r="AC1203" s="80" t="str">
        <f>IFERROR(__xludf.DUMMYFUNCTION("""COMPUTED_VALUE"""),"68.213.825.0-432.000")</f>
        <v>68.213.825.0-432.000</v>
      </c>
      <c r="AD1203" s="80" t="str">
        <f>IFERROR(__xludf.DUMMYFUNCTION("""COMPUTED_VALUE"""),"CUM - UMKMNK - ASEP")</f>
        <v>CUM - UMKMNK - ASEP</v>
      </c>
      <c r="AE1203" s="80" t="str">
        <f>IFERROR(__xludf.DUMMYFUNCTION("""COMPUTED_VALUE"""),"CUM - UMKMNK - ASEP")</f>
        <v>CUM - UMKMNK - ASEP</v>
      </c>
      <c r="AF1203" s="80" t="str">
        <f>IFERROR(__xludf.DUMMYFUNCTION("""COMPUTED_VALUE"""),"085811115544")</f>
        <v>085811115544</v>
      </c>
      <c r="AG1203" s="80" t="str">
        <f>IFERROR(__xludf.DUMMYFUNCTION("""COMPUTED_VALUE"""),"85811115544")</f>
        <v>85811115544</v>
      </c>
      <c r="AH1203" s="80" t="str">
        <f>IFERROR(__xludf.DUMMYFUNCTION("""COMPUTED_VALUE"""),"djohanharis@gmail.com")</f>
        <v>djohanharis@gmail.com</v>
      </c>
      <c r="AI1203" s="80"/>
      <c r="AJ1203" s="80"/>
      <c r="AK1203" s="80"/>
      <c r="AL1203" s="80"/>
      <c r="AM1203" s="80"/>
      <c r="AN1203" s="80"/>
      <c r="AO1203" s="80" t="str">
        <f>IFERROR(__xludf.DUMMYFUNCTION("""COMPUTED_VALUE"""),"1607260041296")</f>
        <v>1607260041296</v>
      </c>
      <c r="AP1203" s="80" t="str">
        <f>IFERROR(__xludf.DUMMYFUNCTION("""COMPUTED_VALUE"""),"1607260041296")</f>
        <v>1607260041296</v>
      </c>
      <c r="AQ1203" s="83" t="str">
        <f>IFERROR(__xludf.DUMMYFUNCTION("""COMPUTED_VALUE"""),"0320.0107.4474.501")</f>
        <v>0320.0107.4474.501</v>
      </c>
      <c r="AR1203" s="80" t="str">
        <f>IFERROR(__xludf.DUMMYFUNCTION("""COMPUTED_VALUE"""),"BRI")</f>
        <v>BRI</v>
      </c>
      <c r="AS1203" s="80" t="str">
        <f>IFERROR(__xludf.DUMMYFUNCTION("""COMPUTED_VALUE"""),"DJOHAN HARIS")</f>
        <v>DJOHAN HARIS</v>
      </c>
      <c r="AT1203" s="80" t="str">
        <f>IFERROR(__xludf.DUMMYFUNCTION("""COMPUTED_VALUE"""),"-62,614,733")</f>
        <v>-62,614,733</v>
      </c>
      <c r="AU1203" s="80" t="str">
        <f>IFERROR(__xludf.DUMMYFUNCTION("""COMPUTED_VALUE"""),"1,069,726,545")</f>
        <v>1,069,726,545</v>
      </c>
      <c r="AV1203" s="80"/>
      <c r="AW1203" s="80"/>
      <c r="AX1203" s="80"/>
      <c r="AY1203" s="80"/>
      <c r="AZ1203" s="80"/>
      <c r="BA1203" s="80"/>
      <c r="BB1203" s="80"/>
      <c r="BC1203" s="80"/>
      <c r="BD1203" s="80"/>
      <c r="BE1203" s="80"/>
      <c r="BF1203" s="80"/>
      <c r="BG1203" s="80"/>
      <c r="BH1203" s="80"/>
      <c r="BI1203" s="80"/>
      <c r="BJ1203" s="80"/>
      <c r="BK1203" s="80"/>
      <c r="BL1203" s="80"/>
      <c r="BM1203" s="80"/>
      <c r="BN1203" s="80"/>
      <c r="BO1203" s="80"/>
      <c r="BP1203" s="80"/>
      <c r="BQ1203" s="80"/>
      <c r="BR1203" s="80"/>
      <c r="BS1203" s="80"/>
      <c r="BT1203" s="80"/>
      <c r="BU1203" s="80"/>
      <c r="BV1203" s="80"/>
      <c r="BW1203" s="80"/>
      <c r="BX1203" s="80"/>
      <c r="BY1203" s="80"/>
      <c r="BZ1203" s="80"/>
      <c r="CA1203" s="80"/>
      <c r="CB1203" s="80"/>
      <c r="CC1203" s="80"/>
      <c r="CD1203" s="80"/>
      <c r="CE1203" s="80"/>
      <c r="CF1203" s="80"/>
      <c r="CG1203" s="80"/>
      <c r="CH1203" s="80"/>
      <c r="CI1203" s="80"/>
      <c r="CJ1203" s="80"/>
      <c r="CK1203" s="2"/>
    </row>
    <row r="1204" ht="12.75" customHeight="1">
      <c r="A1204" s="85">
        <f>IFERROR(__xludf.DUMMYFUNCTION("""COMPUTED_VALUE"""),1200.0)</f>
        <v>1200</v>
      </c>
      <c r="B1204" s="85"/>
      <c r="C1204" s="85"/>
      <c r="D1204" s="86">
        <f>IFERROR(__xludf.DUMMYFUNCTION("""COMPUTED_VALUE"""),46221.0)</f>
        <v>46221</v>
      </c>
      <c r="E1204" s="88"/>
      <c r="F1204" s="85"/>
      <c r="G1204" s="86"/>
      <c r="H1204" s="85"/>
      <c r="I1204" s="85"/>
      <c r="J1204" s="85"/>
      <c r="K1204" s="85"/>
      <c r="L1204" s="85"/>
      <c r="M1204" s="85"/>
      <c r="N1204" s="85"/>
      <c r="O1204" s="85"/>
      <c r="P1204" s="85" t="str">
        <f>IFERROR(__xludf.DUMMYFUNCTION("""COMPUTED_VALUE"""),"MUCSPA70031PSUMK")</f>
        <v>MUCSPA70031PSUMK</v>
      </c>
      <c r="Q1204" s="85" t="str">
        <f>IFERROR(__xludf.DUMMYFUNCTION("""COMPUTED_VALUE"""),"MUC BAYU JAYA")</f>
        <v>MUC BAYU JAYA</v>
      </c>
      <c r="R1204" s="85" t="str">
        <f>IFERROR(__xludf.DUMMYFUNCTION("""COMPUTED_VALUE"""),"MUC BAYU JAYA")</f>
        <v>MUC BAYU JAYA</v>
      </c>
      <c r="S1204" s="85" t="str">
        <f>IFERROR(__xludf.DUMMYFUNCTION("""COMPUTED_VALUE"""),"RATNA KAMSARI")</f>
        <v>RATNA KAMSARI</v>
      </c>
      <c r="T1204" s="85" t="str">
        <f>IFERROR(__xludf.DUMMYFUNCTION("""COMPUTED_VALUE"""),"TROJAYAN,NGAMBAH RT 07 RW 00, MULYODADI, BAMBANG LIPURO, KAB.BANTUL")</f>
        <v>TROJAYAN,NGAMBAH RT 07 RW 00, MULYODADI, BAMBANG LIPURO, KAB.BANTUL</v>
      </c>
      <c r="U1204" s="85" t="str">
        <f>IFERROR(__xludf.DUMMYFUNCTION("""COMPUTED_VALUE"""),"TROJAYAN,NGAMBAH RT 07 RW 00")</f>
        <v>TROJAYAN,NGAMBAH RT 07 RW 00</v>
      </c>
      <c r="V1204" s="85" t="str">
        <f>IFERROR(__xludf.DUMMYFUNCTION("""COMPUTED_VALUE"""),"RT 07  \ RW 00,")</f>
        <v>RT 07  \ RW 00,</v>
      </c>
      <c r="W1204" s="85" t="str">
        <f>IFERROR(__xludf.DUMMYFUNCTION("""COMPUTED_VALUE"""),"MULYODADI")</f>
        <v>MULYODADI</v>
      </c>
      <c r="X1204" s="85" t="str">
        <f>IFERROR(__xludf.DUMMYFUNCTION("""COMPUTED_VALUE"""),"BAMBANGLIPURO")</f>
        <v>BAMBANGLIPURO</v>
      </c>
      <c r="Y1204" s="85" t="str">
        <f>IFERROR(__xludf.DUMMYFUNCTION("""COMPUTED_VALUE"""),"KAB.BANTUL")</f>
        <v>KAB.BANTUL</v>
      </c>
      <c r="Z1204" s="85" t="str">
        <f>IFERROR(__xludf.DUMMYFUNCTION("""COMPUTED_VALUE"""),"D.I YOGYAKARTA")</f>
        <v>D.I YOGYAKARTA</v>
      </c>
      <c r="AA1204" s="85" t="str">
        <f>IFERROR(__xludf.DUMMYFUNCTION("""COMPUTED_VALUE"""),"55764")</f>
        <v>55764</v>
      </c>
      <c r="AB1204" s="85" t="str">
        <f>IFERROR(__xludf.DUMMYFUNCTION("""COMPUTED_VALUE"""),"3404085610770002")</f>
        <v>3404085610770002</v>
      </c>
      <c r="AC1204" s="85" t="str">
        <f>IFERROR(__xludf.DUMMYFUNCTION("""COMPUTED_VALUE"""),"43.352.204.2-543.000")</f>
        <v>43.352.204.2-543.000</v>
      </c>
      <c r="AD1204" s="85" t="str">
        <f>IFERROR(__xludf.DUMMYFUNCTION("""COMPUTED_VALUE"""),"CUM - UMKMNK - ASEP")</f>
        <v>CUM - UMKMNK - ASEP</v>
      </c>
      <c r="AE1204" s="85" t="str">
        <f>IFERROR(__xludf.DUMMYFUNCTION("""COMPUTED_VALUE"""),"CUM - UMKMNK - ASEP")</f>
        <v>CUM - UMKMNK - ASEP</v>
      </c>
      <c r="AF1204" s="85" t="str">
        <f>IFERROR(__xludf.DUMMYFUNCTION("""COMPUTED_VALUE"""),"087843118225")</f>
        <v>087843118225</v>
      </c>
      <c r="AG1204" s="85" t="str">
        <f>IFERROR(__xludf.DUMMYFUNCTION("""COMPUTED_VALUE"""),"87843118225")</f>
        <v>87843118225</v>
      </c>
      <c r="AH1204" s="85" t="str">
        <f>IFERROR(__xludf.DUMMYFUNCTION("""COMPUTED_VALUE"""),"kamsariratna59@gmail.com")</f>
        <v>kamsariratna59@gmail.com</v>
      </c>
      <c r="AI1204" s="85"/>
      <c r="AJ1204" s="85"/>
      <c r="AK1204" s="85"/>
      <c r="AL1204" s="85"/>
      <c r="AM1204" s="85" t="str">
        <f>IFERROR(__xludf.DUMMYFUNCTION("""COMPUTED_VALUE"""),"KANTOR REGIONAL IV SEMARANG 50004")</f>
        <v>KANTOR REGIONAL IV SEMARANG 50004</v>
      </c>
      <c r="AN1204" s="85" t="str">
        <f>IFERROR(__xludf.DUMMYFUNCTION("""COMPUTED_VALUE"""),"KC BANTUL 55700")</f>
        <v>KC BANTUL 55700</v>
      </c>
      <c r="AO1204" s="85" t="str">
        <f>IFERROR(__xludf.DUMMYFUNCTION("""COMPUTED_VALUE"""),"2110210011079")</f>
        <v>2110210011079</v>
      </c>
      <c r="AP1204" s="85" t="str">
        <f>IFERROR(__xludf.DUMMYFUNCTION("""COMPUTED_VALUE"""),"2110210011079")</f>
        <v>2110210011079</v>
      </c>
      <c r="AQ1204" s="93" t="str">
        <f>IFERROR(__xludf.DUMMYFUNCTION("""COMPUTED_VALUE"""),"760949485")</f>
        <v>760949485</v>
      </c>
      <c r="AR1204" s="85" t="str">
        <f>IFERROR(__xludf.DUMMYFUNCTION("""COMPUTED_VALUE"""),"BNI")</f>
        <v>BNI</v>
      </c>
      <c r="AS1204" s="85" t="str">
        <f>IFERROR(__xludf.DUMMYFUNCTION("""COMPUTED_VALUE"""),"RATNA KAMSARI")</f>
        <v>RATNA KAMSARI</v>
      </c>
      <c r="AT1204" s="85" t="str">
        <f>IFERROR(__xludf.DUMMYFUNCTION("""COMPUTED_VALUE"""),"-79,483,412.00")</f>
        <v>-79,483,412.00</v>
      </c>
      <c r="AU1204" s="85" t="str">
        <f>IFERROR(__xludf.DUMMYFUNCTION("""COMPUTED_VALUE"""),"1,103,121,066")</f>
        <v>1,103,121,066</v>
      </c>
      <c r="AV1204" s="85"/>
      <c r="AW1204" s="85"/>
      <c r="AX1204" s="85"/>
      <c r="AY1204" s="85"/>
      <c r="AZ1204" s="85"/>
      <c r="BA1204" s="85"/>
      <c r="BB1204" s="85"/>
      <c r="BC1204" s="85"/>
      <c r="BD1204" s="85"/>
      <c r="BE1204" s="85"/>
      <c r="BF1204" s="85"/>
      <c r="BG1204" s="85"/>
      <c r="BH1204" s="85"/>
      <c r="BI1204" s="85"/>
      <c r="BJ1204" s="85"/>
      <c r="BK1204" s="85"/>
      <c r="BL1204" s="85"/>
      <c r="BM1204" s="85"/>
      <c r="BN1204" s="85"/>
      <c r="BO1204" s="85"/>
      <c r="BP1204" s="85"/>
      <c r="BQ1204" s="85"/>
      <c r="BR1204" s="85"/>
      <c r="BS1204" s="85"/>
      <c r="BT1204" s="85"/>
      <c r="BU1204" s="85"/>
      <c r="BV1204" s="85"/>
      <c r="BW1204" s="85"/>
      <c r="BX1204" s="85"/>
      <c r="BY1204" s="85"/>
      <c r="BZ1204" s="85"/>
      <c r="CA1204" s="85"/>
      <c r="CB1204" s="85"/>
      <c r="CC1204" s="85"/>
      <c r="CD1204" s="85"/>
      <c r="CE1204" s="85"/>
      <c r="CF1204" s="85"/>
      <c r="CG1204" s="85"/>
      <c r="CH1204" s="85"/>
      <c r="CI1204" s="85"/>
      <c r="CJ1204" s="85"/>
      <c r="CK1204" s="2"/>
    </row>
    <row r="1205" ht="12.75" customHeight="1">
      <c r="A1205" s="80">
        <f>IFERROR(__xludf.DUMMYFUNCTION("""COMPUTED_VALUE"""),1201.0)</f>
        <v>1201</v>
      </c>
      <c r="B1205" s="80"/>
      <c r="C1205" s="80"/>
      <c r="D1205" s="81">
        <f>IFERROR(__xludf.DUMMYFUNCTION("""COMPUTED_VALUE"""),46221.0)</f>
        <v>46221</v>
      </c>
      <c r="E1205" s="82"/>
      <c r="F1205" s="80"/>
      <c r="G1205" s="81">
        <f>IFERROR(__xludf.DUMMYFUNCTION("""COMPUTED_VALUE"""),46238.0)</f>
        <v>46238</v>
      </c>
      <c r="H1205" s="80"/>
      <c r="I1205" s="80"/>
      <c r="J1205" s="80"/>
      <c r="K1205" s="80"/>
      <c r="L1205" s="80">
        <f>IFERROR(__xludf.DUMMYFUNCTION("""COMPUTED_VALUE"""),17.0)</f>
        <v>17</v>
      </c>
      <c r="M1205" s="80"/>
      <c r="N1205" s="80"/>
      <c r="O1205" s="80"/>
      <c r="P1205" s="80" t="str">
        <f>IFERROR(__xludf.DUMMYFUNCTION("""COMPUTED_VALUE"""),"MUCSPA63630PSIND")</f>
        <v>MUCSPA63630PSIND</v>
      </c>
      <c r="Q1205" s="80" t="str">
        <f>IFERROR(__xludf.DUMMYFUNCTION("""COMPUTED_VALUE"""),"MUC WISMA JAYA")</f>
        <v>MUC WISMA JAYA</v>
      </c>
      <c r="R1205" s="80" t="str">
        <f>IFERROR(__xludf.DUMMYFUNCTION("""COMPUTED_VALUE"""),"MUC WISMA JAYA")</f>
        <v>MUC WISMA JAYA</v>
      </c>
      <c r="S1205" s="80" t="str">
        <f>IFERROR(__xludf.DUMMYFUNCTION("""COMPUTED_VALUE"""),"AGUNG JISANUBARI")</f>
        <v>AGUNG JISANUBARI</v>
      </c>
      <c r="T1205" s="80" t="str">
        <f>IFERROR(__xludf.DUMMYFUNCTION("""COMPUTED_VALUE"""),"JL. IRIAN JAYA 8 NO. 312 RT 4 RW 18 AREN JAYA BEKASI TIMUR")</f>
        <v>JL. IRIAN JAYA 8 NO. 312 RT 4 RW 18 AREN JAYA BEKASI TIMUR</v>
      </c>
      <c r="U1205" s="80" t="str">
        <f>IFERROR(__xludf.DUMMYFUNCTION("""COMPUTED_VALUE"""),"JL. KUSUMA TIMUR NO. 1")</f>
        <v>JL. KUSUMA TIMUR NO. 1</v>
      </c>
      <c r="V1205" s="80" t="str">
        <f>IFERROR(__xludf.DUMMYFUNCTION("""COMPUTED_VALUE"""),"RT 4 R \ RW 18")</f>
        <v>RT 4 R \ RW 18</v>
      </c>
      <c r="W1205" s="80" t="str">
        <f>IFERROR(__xludf.DUMMYFUNCTION("""COMPUTED_VALUE"""),"ARENJAYA")</f>
        <v>ARENJAYA</v>
      </c>
      <c r="X1205" s="80" t="str">
        <f>IFERROR(__xludf.DUMMYFUNCTION("""COMPUTED_VALUE"""),"BEKASI TIMUR")</f>
        <v>BEKASI TIMUR</v>
      </c>
      <c r="Y1205" s="80" t="str">
        <f>IFERROR(__xludf.DUMMYFUNCTION("""COMPUTED_VALUE"""),"BEKASI")</f>
        <v>BEKASI</v>
      </c>
      <c r="Z1205" s="80" t="str">
        <f>IFERROR(__xludf.DUMMYFUNCTION("""COMPUTED_VALUE"""),"JAWA BARAT")</f>
        <v>JAWA BARAT</v>
      </c>
      <c r="AA1205" s="80" t="str">
        <f>IFERROR(__xludf.DUMMYFUNCTION("""COMPUTED_VALUE"""),"17111")</f>
        <v>17111</v>
      </c>
      <c r="AB1205" s="80" t="str">
        <f>IFERROR(__xludf.DUMMYFUNCTION("""COMPUTED_VALUE"""),"3275010408860020")</f>
        <v>3275010408860020</v>
      </c>
      <c r="AC1205" s="80" t="str">
        <f>IFERROR(__xludf.DUMMYFUNCTION("""COMPUTED_VALUE"""),"67.059.940.6-407.000")</f>
        <v>67.059.940.6-407.000</v>
      </c>
      <c r="AD1205" s="80" t="str">
        <f>IFERROR(__xludf.DUMMYFUNCTION("""COMPUTED_VALUE"""),"CUM - PS - AYS")</f>
        <v>CUM - PS - AYS</v>
      </c>
      <c r="AE1205" s="80" t="str">
        <f>IFERROR(__xludf.DUMMYFUNCTION("""COMPUTED_VALUE"""),"SUB YUNUS POS")</f>
        <v>SUB YUNUS POS</v>
      </c>
      <c r="AF1205" s="80" t="str">
        <f>IFERROR(__xludf.DUMMYFUNCTION("""COMPUTED_VALUE"""),"083193828090")</f>
        <v>083193828090</v>
      </c>
      <c r="AG1205" s="80" t="str">
        <f>IFERROR(__xludf.DUMMYFUNCTION("""COMPUTED_VALUE"""),"83193828090")</f>
        <v>83193828090</v>
      </c>
      <c r="AH1205" s="80" t="str">
        <f>IFERROR(__xludf.DUMMYFUNCTION("""COMPUTED_VALUE"""),"aghe06@gmail.com")</f>
        <v>aghe06@gmail.com</v>
      </c>
      <c r="AI1205" s="80" t="str">
        <f>IFERROR(__xludf.DUMMYFUNCTION("""COMPUTED_VALUE"""),"17118S2")</f>
        <v>17118S2</v>
      </c>
      <c r="AJ1205" s="80" t="str">
        <f>IFERROR(__xludf.DUMMYFUNCTION("""COMPUTED_VALUE"""),"6a71649fe807f6dab00d71f5")</f>
        <v>6a71649fe807f6dab00d71f5</v>
      </c>
      <c r="AK1205" s="80" t="str">
        <f>IFERROR(__xludf.DUMMYFUNCTION("""COMPUTED_VALUE"""),"aghe06@gmail.com")</f>
        <v>aghe06@gmail.com</v>
      </c>
      <c r="AL1205" s="80" t="str">
        <f>IFERROR(__xludf.DUMMYFUNCTION("""COMPUTED_VALUE"""),"#Muc17118S2*")</f>
        <v>#Muc17118S2*</v>
      </c>
      <c r="AM1205" s="80" t="str">
        <f>IFERROR(__xludf.DUMMYFUNCTION("""COMPUTED_VALUE"""),"KANTOR REGIONAL II JAKARTA 10004")</f>
        <v>KANTOR REGIONAL II JAKARTA 10004</v>
      </c>
      <c r="AN1205" s="80" t="str">
        <f>IFERROR(__xludf.DUMMYFUNCTION("""COMPUTED_VALUE"""),"KCU BEKASI 17000")</f>
        <v>KCU BEKASI 17000</v>
      </c>
      <c r="AO1205" s="80" t="str">
        <f>IFERROR(__xludf.DUMMYFUNCTION("""COMPUTED_VALUE"""),"1707260160018")</f>
        <v>1707260160018</v>
      </c>
      <c r="AP1205" s="80" t="str">
        <f>IFERROR(__xludf.DUMMYFUNCTION("""COMPUTED_VALUE"""),"1707260160018")</f>
        <v>1707260160018</v>
      </c>
      <c r="AQ1205" s="83" t="str">
        <f>IFERROR(__xludf.DUMMYFUNCTION("""COMPUTED_VALUE"""),"8850559555")</f>
        <v>8850559555</v>
      </c>
      <c r="AR1205" s="80" t="str">
        <f>IFERROR(__xludf.DUMMYFUNCTION("""COMPUTED_VALUE"""),"BCA")</f>
        <v>BCA</v>
      </c>
      <c r="AS1205" s="80" t="str">
        <f>IFERROR(__xludf.DUMMYFUNCTION("""COMPUTED_VALUE"""),"AGUNG JISANUBARI")</f>
        <v>AGUNG JISANUBARI</v>
      </c>
      <c r="AT1205" s="80" t="str">
        <f>IFERROR(__xludf.DUMMYFUNCTION("""COMPUTED_VALUE"""),"-6.2354004,107.0321514")</f>
        <v>-6.2354004,107.0321514</v>
      </c>
      <c r="AU1205" s="80" t="str">
        <f>IFERROR(__xludf.DUMMYFUNCTION("""COMPUTED_VALUE"""),"-6.2354004,107.0321514")</f>
        <v>-6.2354004,107.0321514</v>
      </c>
      <c r="AV1205" s="80"/>
      <c r="AW1205" s="80"/>
      <c r="AX1205" s="80"/>
      <c r="AY1205" s="80"/>
      <c r="AZ1205" s="80"/>
      <c r="BA1205" s="80"/>
      <c r="BB1205" s="80"/>
      <c r="BC1205" s="80"/>
      <c r="BD1205" s="80"/>
      <c r="BE1205" s="80"/>
      <c r="BF1205" s="80"/>
      <c r="BG1205" s="80"/>
      <c r="BH1205" s="80"/>
      <c r="BI1205" s="80"/>
      <c r="BJ1205" s="80"/>
      <c r="BK1205" s="80"/>
      <c r="BL1205" s="80"/>
      <c r="BM1205" s="80"/>
      <c r="BN1205" s="80"/>
      <c r="BO1205" s="80"/>
      <c r="BP1205" s="80"/>
      <c r="BQ1205" s="80"/>
      <c r="BR1205" s="80"/>
      <c r="BS1205" s="80"/>
      <c r="BT1205" s="80"/>
      <c r="BU1205" s="80"/>
      <c r="BV1205" s="80"/>
      <c r="BW1205" s="80"/>
      <c r="BX1205" s="80"/>
      <c r="BY1205" s="80"/>
      <c r="BZ1205" s="80"/>
      <c r="CA1205" s="80"/>
      <c r="CB1205" s="80"/>
      <c r="CC1205" s="80"/>
      <c r="CD1205" s="80"/>
      <c r="CE1205" s="80"/>
      <c r="CF1205" s="80"/>
      <c r="CG1205" s="80"/>
      <c r="CH1205" s="80"/>
      <c r="CI1205" s="80"/>
      <c r="CJ1205" s="80"/>
      <c r="CK1205" s="2"/>
    </row>
    <row r="1206" ht="12.75" customHeight="1">
      <c r="A1206" s="85">
        <f>IFERROR(__xludf.DUMMYFUNCTION("""COMPUTED_VALUE"""),1202.0)</f>
        <v>1202</v>
      </c>
      <c r="B1206" s="85"/>
      <c r="C1206" s="85"/>
      <c r="D1206" s="86">
        <f>IFERROR(__xludf.DUMMYFUNCTION("""COMPUTED_VALUE"""),46221.0)</f>
        <v>46221</v>
      </c>
      <c r="E1206" s="88"/>
      <c r="F1206" s="85"/>
      <c r="G1206" s="86">
        <f>IFERROR(__xludf.DUMMYFUNCTION("""COMPUTED_VALUE"""),46239.0)</f>
        <v>46239</v>
      </c>
      <c r="H1206" s="85"/>
      <c r="I1206" s="85"/>
      <c r="J1206" s="85"/>
      <c r="K1206" s="85"/>
      <c r="L1206" s="85">
        <f>IFERROR(__xludf.DUMMYFUNCTION("""COMPUTED_VALUE"""),18.0)</f>
        <v>18</v>
      </c>
      <c r="M1206" s="85"/>
      <c r="N1206" s="85"/>
      <c r="O1206" s="85"/>
      <c r="P1206" s="85" t="str">
        <f>IFERROR(__xludf.DUMMYFUNCTION("""COMPUTED_VALUE"""),"44BSPA45363NTBDR")</f>
        <v>44BSPA45363NTBDR</v>
      </c>
      <c r="Q1206" s="85" t="str">
        <f>IFERROR(__xludf.DUMMYFUNCTION("""COMPUTED_VALUE"""),"MUC RADEN MAS")</f>
        <v>MUC RADEN MAS</v>
      </c>
      <c r="R1206" s="85" t="str">
        <f>IFERROR(__xludf.DUMMYFUNCTION("""COMPUTED_VALUE"""),"MUC RADEN MAS")</f>
        <v>MUC RADEN MAS</v>
      </c>
      <c r="S1206" s="85" t="str">
        <f>IFERROR(__xludf.DUMMYFUNCTION("""COMPUTED_VALUE"""),"R EDDY SUPRIYANTO DIGDO KUSUMO. ST.")</f>
        <v>R EDDY SUPRIYANTO DIGDO KUSUMO. ST.</v>
      </c>
      <c r="T1206" s="85" t="str">
        <f>IFERROR(__xludf.DUMMYFUNCTION("""COMPUTED_VALUE"""),"JL ANCAR I NO.12 PAGESANGAN BARU RT/RW. 005/067 KEL. PAGESANGAN BARAT KEC. MATARAM - NTB")</f>
        <v>JL ANCAR I NO.12 PAGESANGAN BARU RT/RW. 005/067 KEL. PAGESANGAN BARAT KEC. MATARAM - NTB</v>
      </c>
      <c r="U1206" s="85" t="str">
        <f>IFERROR(__xludf.DUMMYFUNCTION("""COMPUTED_VALUE"""),"JL. MAJAPAHIT NO.10 PAGESANGAN KEC. MATARAM - NTB")</f>
        <v>JL. MAJAPAHIT NO.10 PAGESANGAN KEC. MATARAM - NTB</v>
      </c>
      <c r="V1206" s="85" t="str">
        <f>IFERROR(__xludf.DUMMYFUNCTION("""COMPUTED_VALUE"""),"RT/RW. \ RW. 00")</f>
        <v>RT/RW. \ RW. 00</v>
      </c>
      <c r="W1206" s="85" t="str">
        <f>IFERROR(__xludf.DUMMYFUNCTION("""COMPUTED_VALUE"""),"PAGESANGAN")</f>
        <v>PAGESANGAN</v>
      </c>
      <c r="X1206" s="85" t="str">
        <f>IFERROR(__xludf.DUMMYFUNCTION("""COMPUTED_VALUE"""),"MATARAM")</f>
        <v>MATARAM</v>
      </c>
      <c r="Y1206" s="85" t="str">
        <f>IFERROR(__xludf.DUMMYFUNCTION("""COMPUTED_VALUE"""),"MATARAM")</f>
        <v>MATARAM</v>
      </c>
      <c r="Z1206" s="85" t="str">
        <f>IFERROR(__xludf.DUMMYFUNCTION("""COMPUTED_VALUE"""),"NTB")</f>
        <v>NTB</v>
      </c>
      <c r="AA1206" s="85" t="str">
        <f>IFERROR(__xludf.DUMMYFUNCTION("""COMPUTED_VALUE"""),"83115")</f>
        <v>83115</v>
      </c>
      <c r="AB1206" s="85" t="str">
        <f>IFERROR(__xludf.DUMMYFUNCTION("""COMPUTED_VALUE"""),"5271020807800002")</f>
        <v>5271020807800002</v>
      </c>
      <c r="AC1206" s="85" t="str">
        <f>IFERROR(__xludf.DUMMYFUNCTION("""COMPUTED_VALUE"""),"08.420.494.0-911.000")</f>
        <v>08.420.494.0-911.000</v>
      </c>
      <c r="AD1206" s="85" t="str">
        <f>IFERROR(__xludf.DUMMYFUNCTION("""COMPUTED_VALUE"""),"44CUMBSBDRIEN - CUM BSB - DRIEN")</f>
        <v>44CUMBSBDRIEN - CUM BSB - DRIEN</v>
      </c>
      <c r="AE1206" s="85" t="str">
        <f>IFERROR(__xludf.DUMMYFUNCTION("""COMPUTED_VALUE"""),"44CUMBSBDRIEN - CUM BSB - DRIEN")</f>
        <v>44CUMBSBDRIEN - CUM BSB - DRIEN</v>
      </c>
      <c r="AF1206" s="85" t="str">
        <f>IFERROR(__xludf.DUMMYFUNCTION("""COMPUTED_VALUE"""),"081915771239")</f>
        <v>081915771239</v>
      </c>
      <c r="AG1206" s="85" t="str">
        <f>IFERROR(__xludf.DUMMYFUNCTION("""COMPUTED_VALUE"""),"81915771239")</f>
        <v>81915771239</v>
      </c>
      <c r="AH1206" s="85" t="str">
        <f>IFERROR(__xludf.DUMMYFUNCTION("""COMPUTED_VALUE"""),"eddiedigdos@gmail.com")</f>
        <v>eddiedigdos@gmail.com</v>
      </c>
      <c r="AI1206" s="85" t="str">
        <f>IFERROR(__xludf.DUMMYFUNCTION("""COMPUTED_VALUE"""),"83132S1")</f>
        <v>83132S1</v>
      </c>
      <c r="AJ1206" s="85" t="str">
        <f>IFERROR(__xludf.DUMMYFUNCTION("""COMPUTED_VALUE"""),"6a72bc965315455f78034556")</f>
        <v>6a72bc965315455f78034556</v>
      </c>
      <c r="AK1206" s="85" t="str">
        <f>IFERROR(__xludf.DUMMYFUNCTION("""COMPUTED_VALUE"""),"eddiedigdos@gmail.com")</f>
        <v>eddiedigdos@gmail.com</v>
      </c>
      <c r="AL1206" s="85" t="str">
        <f>IFERROR(__xludf.DUMMYFUNCTION("""COMPUTED_VALUE"""),"#Muc83132S1$")</f>
        <v>#Muc83132S1$</v>
      </c>
      <c r="AM1206" s="85" t="str">
        <f>IFERROR(__xludf.DUMMYFUNCTION("""COMPUTED_VALUE"""),"KANTOR REGIONAL V SURABAYA 60004")</f>
        <v>KANTOR REGIONAL V SURABAYA 60004</v>
      </c>
      <c r="AN1206" s="85" t="str">
        <f>IFERROR(__xludf.DUMMYFUNCTION("""COMPUTED_VALUE"""),"KCU MATARAM 83000")</f>
        <v>KCU MATARAM 83000</v>
      </c>
      <c r="AO1206" s="85" t="str">
        <f>IFERROR(__xludf.DUMMYFUNCTION("""COMPUTED_VALUE"""),"2304250008923")</f>
        <v>2304250008923</v>
      </c>
      <c r="AP1206" s="85" t="str">
        <f>IFERROR(__xludf.DUMMYFUNCTION("""COMPUTED_VALUE"""),"2304250008923")</f>
        <v>2304250008923</v>
      </c>
      <c r="AQ1206" s="93" t="str">
        <f>IFERROR(__xludf.DUMMYFUNCTION("""COMPUTED_VALUE"""),"1993136455")</f>
        <v>1993136455</v>
      </c>
      <c r="AR1206" s="85" t="str">
        <f>IFERROR(__xludf.DUMMYFUNCTION("""COMPUTED_VALUE"""),"BNI")</f>
        <v>BNI</v>
      </c>
      <c r="AS1206" s="85" t="str">
        <f>IFERROR(__xludf.DUMMYFUNCTION("""COMPUTED_VALUE"""),"R EDDY SUPRIYANTO DIGDO KUSUMO. ST")</f>
        <v>R EDDY SUPRIYANTO DIGDO KUSUMO. ST</v>
      </c>
      <c r="AT1206" s="85" t="str">
        <f>IFERROR(__xludf.DUMMYFUNCTION("""COMPUTED_VALUE"""),"-8.5918464,116.0984804")</f>
        <v>-8.5918464,116.0984804</v>
      </c>
      <c r="AU1206" s="85" t="str">
        <f>IFERROR(__xludf.DUMMYFUNCTION("""COMPUTED_VALUE"""),"-8.5918464,116.0984804")</f>
        <v>-8.5918464,116.0984804</v>
      </c>
      <c r="AV1206" s="85"/>
      <c r="AW1206" s="85"/>
      <c r="AX1206" s="85"/>
      <c r="AY1206" s="85"/>
      <c r="AZ1206" s="85"/>
      <c r="BA1206" s="85"/>
      <c r="BB1206" s="85"/>
      <c r="BC1206" s="85"/>
      <c r="BD1206" s="85"/>
      <c r="BE1206" s="85"/>
      <c r="BF1206" s="85"/>
      <c r="BG1206" s="85"/>
      <c r="BH1206" s="85"/>
      <c r="BI1206" s="85"/>
      <c r="BJ1206" s="85"/>
      <c r="BK1206" s="85"/>
      <c r="BL1206" s="85"/>
      <c r="BM1206" s="85"/>
      <c r="BN1206" s="85"/>
      <c r="BO1206" s="85"/>
      <c r="BP1206" s="85"/>
      <c r="BQ1206" s="85"/>
      <c r="BR1206" s="85"/>
      <c r="BS1206" s="85"/>
      <c r="BT1206" s="85"/>
      <c r="BU1206" s="85"/>
      <c r="BV1206" s="85"/>
      <c r="BW1206" s="85"/>
      <c r="BX1206" s="85"/>
      <c r="BY1206" s="85"/>
      <c r="BZ1206" s="85"/>
      <c r="CA1206" s="85"/>
      <c r="CB1206" s="85"/>
      <c r="CC1206" s="85"/>
      <c r="CD1206" s="85"/>
      <c r="CE1206" s="85"/>
      <c r="CF1206" s="85"/>
      <c r="CG1206" s="85"/>
      <c r="CH1206" s="85"/>
      <c r="CI1206" s="85"/>
      <c r="CJ1206" s="85"/>
      <c r="CK1206" s="2"/>
    </row>
    <row r="1207" ht="12.75" customHeight="1">
      <c r="A1207" s="80">
        <f>IFERROR(__xludf.DUMMYFUNCTION("""COMPUTED_VALUE"""),1203.0)</f>
        <v>1203</v>
      </c>
      <c r="B1207" s="80"/>
      <c r="C1207" s="80"/>
      <c r="D1207" s="81">
        <f>IFERROR(__xludf.DUMMYFUNCTION("""COMPUTED_VALUE"""),46221.0)</f>
        <v>46221</v>
      </c>
      <c r="E1207" s="82"/>
      <c r="F1207" s="80"/>
      <c r="G1207" s="81">
        <f>IFERROR(__xludf.DUMMYFUNCTION("""COMPUTED_VALUE"""),46239.0)</f>
        <v>46239</v>
      </c>
      <c r="H1207" s="80"/>
      <c r="I1207" s="80"/>
      <c r="J1207" s="80"/>
      <c r="K1207" s="80"/>
      <c r="L1207" s="80">
        <f>IFERROR(__xludf.DUMMYFUNCTION("""COMPUTED_VALUE"""),18.0)</f>
        <v>18</v>
      </c>
      <c r="M1207" s="80"/>
      <c r="N1207" s="80"/>
      <c r="O1207" s="80"/>
      <c r="P1207" s="80" t="str">
        <f>IFERROR(__xludf.DUMMYFUNCTION("""COMPUTED_VALUE"""),"MUCSPA63629PSIND")</f>
        <v>MUCSPA63629PSIND</v>
      </c>
      <c r="Q1207" s="80" t="str">
        <f>IFERROR(__xludf.DUMMYFUNCTION("""COMPUTED_VALUE"""),"MUC ALITA")</f>
        <v>MUC ALITA</v>
      </c>
      <c r="R1207" s="80" t="str">
        <f>IFERROR(__xludf.DUMMYFUNCTION("""COMPUTED_VALUE"""),"MUC ALITA")</f>
        <v>MUC ALITA</v>
      </c>
      <c r="S1207" s="80" t="str">
        <f>IFERROR(__xludf.DUMMYFUNCTION("""COMPUTED_VALUE"""),"USEP SUPRIATNA")</f>
        <v>USEP SUPRIATNA</v>
      </c>
      <c r="T1207" s="80" t="str">
        <f>IFERROR(__xludf.DUMMYFUNCTION("""COMPUTED_VALUE"""),"PERUM KACAPI INDAH BI OK C5 RT003 RW 010 MANGKUBUMI TASIKMALAYA")</f>
        <v>PERUM KACAPI INDAH BI OK C5 RT003 RW 010 MANGKUBUMI TASIKMALAYA</v>
      </c>
      <c r="U1207" s="80" t="str">
        <f>IFERROR(__xludf.DUMMYFUNCTION("""COMPUTED_VALUE"""),"Jalan Kampung lima belas Cimerah, Sukaherang")</f>
        <v>Jalan Kampung lima belas Cimerah, Sukaherang</v>
      </c>
      <c r="V1207" s="80" t="str">
        <f>IFERROR(__xludf.DUMMYFUNCTION("""COMPUTED_VALUE"""),"RT003  \ RW 010")</f>
        <v>RT003  \ RW 010</v>
      </c>
      <c r="W1207" s="80" t="str">
        <f>IFERROR(__xludf.DUMMYFUNCTION("""COMPUTED_VALUE"""),"Sukaherang")</f>
        <v>Sukaherang</v>
      </c>
      <c r="X1207" s="80" t="str">
        <f>IFERROR(__xludf.DUMMYFUNCTION("""COMPUTED_VALUE"""),"Singaparna")</f>
        <v>Singaparna</v>
      </c>
      <c r="Y1207" s="80" t="str">
        <f>IFERROR(__xludf.DUMMYFUNCTION("""COMPUTED_VALUE"""),"Kab. Tasikmalaya")</f>
        <v>Kab. Tasikmalaya</v>
      </c>
      <c r="Z1207" s="80" t="str">
        <f>IFERROR(__xludf.DUMMYFUNCTION("""COMPUTED_VALUE"""),"Jawa Barat")</f>
        <v>Jawa Barat</v>
      </c>
      <c r="AA1207" s="80" t="str">
        <f>IFERROR(__xludf.DUMMYFUNCTION("""COMPUTED_VALUE"""),"46181")</f>
        <v>46181</v>
      </c>
      <c r="AB1207" s="80" t="str">
        <f>IFERROR(__xludf.DUMMYFUNCTION("""COMPUTED_VALUE"""),"3278082109630003")</f>
        <v>3278082109630003</v>
      </c>
      <c r="AC1207" s="80" t="str">
        <f>IFERROR(__xludf.DUMMYFUNCTION("""COMPUTED_VALUE"""),"47.258.120.6-425.000")</f>
        <v>47.258.120.6-425.000</v>
      </c>
      <c r="AD1207" s="80" t="str">
        <f>IFERROR(__xludf.DUMMYFUNCTION("""COMPUTED_VALUE"""),"CUM - PS - IKF")</f>
        <v>CUM - PS - IKF</v>
      </c>
      <c r="AE1207" s="80" t="str">
        <f>IFERROR(__xludf.DUMMYFUNCTION("""COMPUTED_VALUE"""),"SUB IKHFAN POS")</f>
        <v>SUB IKHFAN POS</v>
      </c>
      <c r="AF1207" s="80" t="str">
        <f>IFERROR(__xludf.DUMMYFUNCTION("""COMPUTED_VALUE"""),"08122077514")</f>
        <v>08122077514</v>
      </c>
      <c r="AG1207" s="80" t="str">
        <f>IFERROR(__xludf.DUMMYFUNCTION("""COMPUTED_VALUE"""),"8122077514")</f>
        <v>8122077514</v>
      </c>
      <c r="AH1207" s="80" t="str">
        <f>IFERROR(__xludf.DUMMYFUNCTION("""COMPUTED_VALUE"""),"supriatna288@gmail.com")</f>
        <v>supriatna288@gmail.com</v>
      </c>
      <c r="AI1207" s="80" t="str">
        <f>IFERROR(__xludf.DUMMYFUNCTION("""COMPUTED_VALUE"""),"46413S1")</f>
        <v>46413S1</v>
      </c>
      <c r="AJ1207" s="80" t="str">
        <f>IFERROR(__xludf.DUMMYFUNCTION("""COMPUTED_VALUE"""),"6a72a06caa1886be620681c0")</f>
        <v>6a72a06caa1886be620681c0</v>
      </c>
      <c r="AK1207" s="80" t="str">
        <f>IFERROR(__xludf.DUMMYFUNCTION("""COMPUTED_VALUE"""),"supriatna288@gmail.com")</f>
        <v>supriatna288@gmail.com</v>
      </c>
      <c r="AL1207" s="80" t="str">
        <f>IFERROR(__xludf.DUMMYFUNCTION("""COMPUTED_VALUE"""),"#Muc46413S1$")</f>
        <v>#Muc46413S1$</v>
      </c>
      <c r="AM1207" s="80" t="str">
        <f>IFERROR(__xludf.DUMMYFUNCTION("""COMPUTED_VALUE"""),"KANTOR REGIONAL III BANDUNG 40004")</f>
        <v>KANTOR REGIONAL III BANDUNG 40004</v>
      </c>
      <c r="AN1207" s="80" t="str">
        <f>IFERROR(__xludf.DUMMYFUNCTION("""COMPUTED_VALUE"""),"KC TASIKMALAYA 46100")</f>
        <v>KC TASIKMALAYA 46100</v>
      </c>
      <c r="AO1207" s="80" t="str">
        <f>IFERROR(__xludf.DUMMYFUNCTION("""COMPUTED_VALUE"""),"1707260191792")</f>
        <v>1707260191792</v>
      </c>
      <c r="AP1207" s="80" t="str">
        <f>IFERROR(__xludf.DUMMYFUNCTION("""COMPUTED_VALUE"""),"1707260191792")</f>
        <v>1707260191792</v>
      </c>
      <c r="AQ1207" s="83" t="str">
        <f>IFERROR(__xludf.DUMMYFUNCTION("""COMPUTED_VALUE"""),"016101011591503")</f>
        <v>016101011591503</v>
      </c>
      <c r="AR1207" s="80" t="str">
        <f>IFERROR(__xludf.DUMMYFUNCTION("""COMPUTED_VALUE"""),"BRI")</f>
        <v>BRI</v>
      </c>
      <c r="AS1207" s="80" t="str">
        <f>IFERROR(__xludf.DUMMYFUNCTION("""COMPUTED_VALUE"""),"Usep Supriatna")</f>
        <v>Usep Supriatna</v>
      </c>
      <c r="AT1207" s="80" t="str">
        <f>IFERROR(__xludf.DUMMYFUNCTION("""COMPUTED_VALUE"""),"-7.34995,108.1016637")</f>
        <v>-7.34995,108.1016637</v>
      </c>
      <c r="AU1207" s="80" t="str">
        <f>IFERROR(__xludf.DUMMYFUNCTION("""COMPUTED_VALUE"""),"-7.34995,108.1016637")</f>
        <v>-7.34995,108.1016637</v>
      </c>
      <c r="AV1207" s="80"/>
      <c r="AW1207" s="80"/>
      <c r="AX1207" s="80"/>
      <c r="AY1207" s="80"/>
      <c r="AZ1207" s="80"/>
      <c r="BA1207" s="80"/>
      <c r="BB1207" s="80"/>
      <c r="BC1207" s="80"/>
      <c r="BD1207" s="80"/>
      <c r="BE1207" s="80"/>
      <c r="BF1207" s="80"/>
      <c r="BG1207" s="80"/>
      <c r="BH1207" s="80"/>
      <c r="BI1207" s="80"/>
      <c r="BJ1207" s="80"/>
      <c r="BK1207" s="80"/>
      <c r="BL1207" s="80"/>
      <c r="BM1207" s="80"/>
      <c r="BN1207" s="80"/>
      <c r="BO1207" s="80"/>
      <c r="BP1207" s="80"/>
      <c r="BQ1207" s="80"/>
      <c r="BR1207" s="80"/>
      <c r="BS1207" s="80"/>
      <c r="BT1207" s="80"/>
      <c r="BU1207" s="80"/>
      <c r="BV1207" s="80"/>
      <c r="BW1207" s="80"/>
      <c r="BX1207" s="80"/>
      <c r="BY1207" s="80"/>
      <c r="BZ1207" s="80"/>
      <c r="CA1207" s="80"/>
      <c r="CB1207" s="80"/>
      <c r="CC1207" s="80"/>
      <c r="CD1207" s="80"/>
      <c r="CE1207" s="80"/>
      <c r="CF1207" s="80"/>
      <c r="CG1207" s="80"/>
      <c r="CH1207" s="80"/>
      <c r="CI1207" s="80"/>
      <c r="CJ1207" s="80"/>
      <c r="CK1207" s="2"/>
    </row>
    <row r="1208" ht="12.75" customHeight="1">
      <c r="A1208" s="85">
        <f>IFERROR(__xludf.DUMMYFUNCTION("""COMPUTED_VALUE"""),1204.0)</f>
        <v>1204</v>
      </c>
      <c r="B1208" s="85"/>
      <c r="C1208" s="85"/>
      <c r="D1208" s="86">
        <f>IFERROR(__xludf.DUMMYFUNCTION("""COMPUTED_VALUE"""),46221.0)</f>
        <v>46221</v>
      </c>
      <c r="E1208" s="88"/>
      <c r="F1208" s="85"/>
      <c r="G1208" s="86">
        <f>IFERROR(__xludf.DUMMYFUNCTION("""COMPUTED_VALUE"""),46238.0)</f>
        <v>46238</v>
      </c>
      <c r="H1208" s="85"/>
      <c r="I1208" s="85"/>
      <c r="J1208" s="85"/>
      <c r="K1208" s="85"/>
      <c r="L1208" s="85">
        <f>IFERROR(__xludf.DUMMYFUNCTION("""COMPUTED_VALUE"""),17.0)</f>
        <v>17</v>
      </c>
      <c r="M1208" s="85"/>
      <c r="N1208" s="85"/>
      <c r="O1208" s="85"/>
      <c r="P1208" s="85" t="str">
        <f>IFERROR(__xludf.DUMMYFUNCTION("""COMPUTED_VALUE"""),"MUCSPA63615PSIND")</f>
        <v>MUCSPA63615PSIND</v>
      </c>
      <c r="Q1208" s="85" t="str">
        <f>IFERROR(__xludf.DUMMYFUNCTION("""COMPUTED_VALUE"""),"MUC GOLDEN CITY")</f>
        <v>MUC GOLDEN CITY</v>
      </c>
      <c r="R1208" s="85" t="str">
        <f>IFERROR(__xludf.DUMMYFUNCTION("""COMPUTED_VALUE"""),"MUC GOLDEN CITY")</f>
        <v>MUC GOLDEN CITY</v>
      </c>
      <c r="S1208" s="85" t="str">
        <f>IFERROR(__xludf.DUMMYFUNCTION("""COMPUTED_VALUE"""),"ROCKY TJIPTADI")</f>
        <v>ROCKY TJIPTADI</v>
      </c>
      <c r="T1208" s="85" t="str">
        <f>IFERROR(__xludf.DUMMYFUNCTION("""COMPUTED_VALUE"""),"Jl. Borneo Raya Blok D1/11 Kel. Bekasi Jaya Kec. Bekasi Timur. Bekasi")</f>
        <v>Jl. Borneo Raya Blok D1/11 Kel. Bekasi Jaya Kec. Bekasi Timur. Bekasi</v>
      </c>
      <c r="U1208" s="85" t="str">
        <f>IFERROR(__xludf.DUMMYFUNCTION("""COMPUTED_VALUE"""),"RUKO CLUSTER GARDENIA Jl. Nusantara Raya No.09 BLOK A1, RT.001 RW.037")</f>
        <v>RUKO CLUSTER GARDENIA Jl. Nusantara Raya No.09 BLOK A1, RT.001 RW.037</v>
      </c>
      <c r="V1208" s="85"/>
      <c r="W1208" s="85" t="str">
        <f>IFERROR(__xludf.DUMMYFUNCTION("""COMPUTED_VALUE"""),"Teluk Pucung")</f>
        <v>Teluk Pucung</v>
      </c>
      <c r="X1208" s="85" t="str">
        <f>IFERROR(__xludf.DUMMYFUNCTION("""COMPUTED_VALUE"""),"Bekasi Utara")</f>
        <v>Bekasi Utara</v>
      </c>
      <c r="Y1208" s="85" t="str">
        <f>IFERROR(__xludf.DUMMYFUNCTION("""COMPUTED_VALUE"""),"Bekasi")</f>
        <v>Bekasi</v>
      </c>
      <c r="Z1208" s="85" t="str">
        <f>IFERROR(__xludf.DUMMYFUNCTION("""COMPUTED_VALUE"""),"Jawa Barat")</f>
        <v>Jawa Barat</v>
      </c>
      <c r="AA1208" s="85" t="str">
        <f>IFERROR(__xludf.DUMMYFUNCTION("""COMPUTED_VALUE"""),"17121")</f>
        <v>17121</v>
      </c>
      <c r="AB1208" s="85" t="str">
        <f>IFERROR(__xludf.DUMMYFUNCTION("""COMPUTED_VALUE"""),"3275090701870013")</f>
        <v>3275090701870013</v>
      </c>
      <c r="AC1208" s="85" t="str">
        <f>IFERROR(__xludf.DUMMYFUNCTION("""COMPUTED_VALUE"""),"26.044.246.2-432.000")</f>
        <v>26.044.246.2-432.000</v>
      </c>
      <c r="AD1208" s="85" t="str">
        <f>IFERROR(__xludf.DUMMYFUNCTION("""COMPUTED_VALUE"""),"CUM - PS - NONKORGEN")</f>
        <v>CUM - PS - NONKORGEN</v>
      </c>
      <c r="AE1208" s="85" t="str">
        <f>IFERROR(__xludf.DUMMYFUNCTION("""COMPUTED_VALUE"""),"PAK YOGI KCU BEKASI")</f>
        <v>PAK YOGI KCU BEKASI</v>
      </c>
      <c r="AF1208" s="85" t="str">
        <f>IFERROR(__xludf.DUMMYFUNCTION("""COMPUTED_VALUE"""),"081316806990")</f>
        <v>081316806990</v>
      </c>
      <c r="AG1208" s="85" t="str">
        <f>IFERROR(__xludf.DUMMYFUNCTION("""COMPUTED_VALUE"""),"81316806990")</f>
        <v>81316806990</v>
      </c>
      <c r="AH1208" s="85" t="str">
        <f>IFERROR(__xludf.DUMMYFUNCTION("""COMPUTED_VALUE"""),"rocky.tjiptadi@gmail.com")</f>
        <v>rocky.tjiptadi@gmail.com</v>
      </c>
      <c r="AI1208" s="85" t="str">
        <f>IFERROR(__xludf.DUMMYFUNCTION("""COMPUTED_VALUE"""),"17121S5")</f>
        <v>17121S5</v>
      </c>
      <c r="AJ1208" s="85" t="str">
        <f>IFERROR(__xludf.DUMMYFUNCTION("""COMPUTED_VALUE"""),"6a70549693b85aee6e0a23e4")</f>
        <v>6a70549693b85aee6e0a23e4</v>
      </c>
      <c r="AK1208" s="85" t="str">
        <f>IFERROR(__xludf.DUMMYFUNCTION("""COMPUTED_VALUE"""),"rocky.tjiptadi@gmail.com")</f>
        <v>rocky.tjiptadi@gmail.com</v>
      </c>
      <c r="AL1208" s="85" t="str">
        <f>IFERROR(__xludf.DUMMYFUNCTION("""COMPUTED_VALUE"""),"#Muc17121S5$")</f>
        <v>#Muc17121S5$</v>
      </c>
      <c r="AM1208" s="85" t="str">
        <f>IFERROR(__xludf.DUMMYFUNCTION("""COMPUTED_VALUE"""),"KANTOR REGIONAL II JAKARTA 10004")</f>
        <v>KANTOR REGIONAL II JAKARTA 10004</v>
      </c>
      <c r="AN1208" s="85" t="str">
        <f>IFERROR(__xludf.DUMMYFUNCTION("""COMPUTED_VALUE"""),"KCU BEKASI 17000")</f>
        <v>KCU BEKASI 17000</v>
      </c>
      <c r="AO1208" s="85" t="str">
        <f>IFERROR(__xludf.DUMMYFUNCTION("""COMPUTED_VALUE"""),"2508240016635")</f>
        <v>2508240016635</v>
      </c>
      <c r="AP1208" s="85" t="str">
        <f>IFERROR(__xludf.DUMMYFUNCTION("""COMPUTED_VALUE"""),"2508240016635")</f>
        <v>2508240016635</v>
      </c>
      <c r="AQ1208" s="93" t="str">
        <f>IFERROR(__xludf.DUMMYFUNCTION("""COMPUTED_VALUE"""),"1560024465744")</f>
        <v>1560024465744</v>
      </c>
      <c r="AR1208" s="85" t="str">
        <f>IFERROR(__xludf.DUMMYFUNCTION("""COMPUTED_VALUE"""),"Mandiri")</f>
        <v>Mandiri</v>
      </c>
      <c r="AS1208" s="85" t="str">
        <f>IFERROR(__xludf.DUMMYFUNCTION("""COMPUTED_VALUE"""),"Rocky")</f>
        <v>Rocky</v>
      </c>
      <c r="AT1208" s="85" t="str">
        <f>IFERROR(__xludf.DUMMYFUNCTION("""COMPUTED_VALUE"""),"-6.2004255,107.0157049")</f>
        <v>-6.2004255,107.0157049</v>
      </c>
      <c r="AU1208" s="85" t="str">
        <f>IFERROR(__xludf.DUMMYFUNCTION("""COMPUTED_VALUE"""),"-6.2004255,107.0157049")</f>
        <v>-6.2004255,107.0157049</v>
      </c>
      <c r="AV1208" s="85"/>
      <c r="AW1208" s="85"/>
      <c r="AX1208" s="85"/>
      <c r="AY1208" s="85"/>
      <c r="AZ1208" s="85"/>
      <c r="BA1208" s="85"/>
      <c r="BB1208" s="85"/>
      <c r="BC1208" s="85"/>
      <c r="BD1208" s="85"/>
      <c r="BE1208" s="85"/>
      <c r="BF1208" s="85"/>
      <c r="BG1208" s="85"/>
      <c r="BH1208" s="85"/>
      <c r="BI1208" s="85"/>
      <c r="BJ1208" s="85"/>
      <c r="BK1208" s="85"/>
      <c r="BL1208" s="85"/>
      <c r="BM1208" s="85"/>
      <c r="BN1208" s="85"/>
      <c r="BO1208" s="85"/>
      <c r="BP1208" s="85"/>
      <c r="BQ1208" s="85"/>
      <c r="BR1208" s="85"/>
      <c r="BS1208" s="85"/>
      <c r="BT1208" s="85"/>
      <c r="BU1208" s="85"/>
      <c r="BV1208" s="85"/>
      <c r="BW1208" s="85"/>
      <c r="BX1208" s="85"/>
      <c r="BY1208" s="85"/>
      <c r="BZ1208" s="85"/>
      <c r="CA1208" s="85"/>
      <c r="CB1208" s="85"/>
      <c r="CC1208" s="85"/>
      <c r="CD1208" s="85"/>
      <c r="CE1208" s="85"/>
      <c r="CF1208" s="85"/>
      <c r="CG1208" s="85"/>
      <c r="CH1208" s="85"/>
      <c r="CI1208" s="85"/>
      <c r="CJ1208" s="85"/>
      <c r="CK1208" s="2"/>
    </row>
    <row r="1209" ht="12.75" customHeight="1">
      <c r="A1209" s="80">
        <f>IFERROR(__xludf.DUMMYFUNCTION("""COMPUTED_VALUE"""),1205.0)</f>
        <v>1205</v>
      </c>
      <c r="B1209" s="80"/>
      <c r="C1209" s="80"/>
      <c r="D1209" s="81">
        <f>IFERROR(__xludf.DUMMYFUNCTION("""COMPUTED_VALUE"""),46221.0)</f>
        <v>46221</v>
      </c>
      <c r="E1209" s="82"/>
      <c r="F1209" s="80"/>
      <c r="G1209" s="81">
        <f>IFERROR(__xludf.DUMMYFUNCTION("""COMPUTED_VALUE"""),46232.0)</f>
        <v>46232</v>
      </c>
      <c r="H1209" s="80"/>
      <c r="I1209" s="80"/>
      <c r="J1209" s="80"/>
      <c r="K1209" s="80"/>
      <c r="L1209" s="80">
        <f>IFERROR(__xludf.DUMMYFUNCTION("""COMPUTED_VALUE"""),11.0)</f>
        <v>11</v>
      </c>
      <c r="M1209" s="80"/>
      <c r="N1209" s="80"/>
      <c r="O1209" s="80"/>
      <c r="P1209" s="80" t="str">
        <f>IFERROR(__xludf.DUMMYFUNCTION("""COMPUTED_VALUE"""),"MUCSPA70029PSUMK")</f>
        <v>MUCSPA70029PSUMK</v>
      </c>
      <c r="Q1209" s="80" t="str">
        <f>IFERROR(__xludf.DUMMYFUNCTION("""COMPUTED_VALUE"""),"MUC AGATHIS")</f>
        <v>MUC AGATHIS</v>
      </c>
      <c r="R1209" s="80" t="str">
        <f>IFERROR(__xludf.DUMMYFUNCTION("""COMPUTED_VALUE"""),"MUC AGATHIS")</f>
        <v>MUC AGATHIS</v>
      </c>
      <c r="S1209" s="80" t="str">
        <f>IFERROR(__xludf.DUMMYFUNCTION("""COMPUTED_VALUE"""),"ELLY DEVIYANTY APRILYANE")</f>
        <v>ELLY DEVIYANTY APRILYANE</v>
      </c>
      <c r="T1209" s="80" t="str">
        <f>IFERROR(__xludf.DUMMYFUNCTION("""COMPUTED_VALUE"""),"Jl. Istana kawaluyaan 1 no. 12a soekarnohatta")</f>
        <v>Jl. Istana kawaluyaan 1 no. 12a soekarnohatta</v>
      </c>
      <c r="U1209" s="80" t="str">
        <f>IFERROR(__xludf.DUMMYFUNCTION("""COMPUTED_VALUE"""),"Jl. Riung gede permai v blok H no. 11")</f>
        <v>Jl. Riung gede permai v blok H no. 11</v>
      </c>
      <c r="V1209" s="80"/>
      <c r="W1209" s="80" t="str">
        <f>IFERROR(__xludf.DUMMYFUNCTION("""COMPUTED_VALUE"""),"Cisaranten kidul")</f>
        <v>Cisaranten kidul</v>
      </c>
      <c r="X1209" s="80" t="str">
        <f>IFERROR(__xludf.DUMMYFUNCTION("""COMPUTED_VALUE"""),"Gedebage")</f>
        <v>Gedebage</v>
      </c>
      <c r="Y1209" s="80" t="str">
        <f>IFERROR(__xludf.DUMMYFUNCTION("""COMPUTED_VALUE"""),"Bandung")</f>
        <v>Bandung</v>
      </c>
      <c r="Z1209" s="80" t="str">
        <f>IFERROR(__xludf.DUMMYFUNCTION("""COMPUTED_VALUE"""),"Jawa Barat")</f>
        <v>Jawa Barat</v>
      </c>
      <c r="AA1209" s="80" t="str">
        <f>IFERROR(__xludf.DUMMYFUNCTION("""COMPUTED_VALUE"""),"40292")</f>
        <v>40292</v>
      </c>
      <c r="AB1209" s="80" t="str">
        <f>IFERROR(__xludf.DUMMYFUNCTION("""COMPUTED_VALUE"""),"3273226804730012")</f>
        <v>3273226804730012</v>
      </c>
      <c r="AC1209" s="80" t="str">
        <f>IFERROR(__xludf.DUMMYFUNCTION("""COMPUTED_VALUE"""),"16.983.959.4-442.000")</f>
        <v>16.983.959.4-442.000</v>
      </c>
      <c r="AD1209" s="80" t="str">
        <f>IFERROR(__xludf.DUMMYFUNCTION("""COMPUTED_VALUE"""),"CUM - UMKMNK - ASEP")</f>
        <v>CUM - UMKMNK - ASEP</v>
      </c>
      <c r="AE1209" s="80" t="str">
        <f>IFERROR(__xludf.DUMMYFUNCTION("""COMPUTED_VALUE"""),"CUM - UMKMNK - ASEP")</f>
        <v>CUM - UMKMNK - ASEP</v>
      </c>
      <c r="AF1209" s="80" t="str">
        <f>IFERROR(__xludf.DUMMYFUNCTION("""COMPUTED_VALUE"""),"085133441275")</f>
        <v>085133441275</v>
      </c>
      <c r="AG1209" s="80" t="str">
        <f>IFERROR(__xludf.DUMMYFUNCTION("""COMPUTED_VALUE"""),"85133441275")</f>
        <v>85133441275</v>
      </c>
      <c r="AH1209" s="80" t="str">
        <f>IFERROR(__xludf.DUMMYFUNCTION("""COMPUTED_VALUE"""),"Dapoer.ini.makan@gmail.com")</f>
        <v>Dapoer.ini.makan@gmail.com</v>
      </c>
      <c r="AI1209" s="80" t="str">
        <f>IFERROR(__xludf.DUMMYFUNCTION("""COMPUTED_VALUE"""),"40295S3")</f>
        <v>40295S3</v>
      </c>
      <c r="AJ1209" s="80" t="str">
        <f>IFERROR(__xludf.DUMMYFUNCTION("""COMPUTED_VALUE"""),"6a6982d9fb2f53c2830a7642")</f>
        <v>6a6982d9fb2f53c2830a7642</v>
      </c>
      <c r="AK1209" s="80" t="str">
        <f>IFERROR(__xludf.DUMMYFUNCTION("""COMPUTED_VALUE"""),"Dapoer.ini.makan@gmail.com")</f>
        <v>Dapoer.ini.makan@gmail.com</v>
      </c>
      <c r="AL1209" s="80" t="str">
        <f>IFERROR(__xludf.DUMMYFUNCTION("""COMPUTED_VALUE"""),"#Muc40295S3$")</f>
        <v>#Muc40295S3$</v>
      </c>
      <c r="AM1209" s="80" t="str">
        <f>IFERROR(__xludf.DUMMYFUNCTION("""COMPUTED_VALUE"""),"KANTOR REGIONAL III BANDUNG 40004")</f>
        <v>KANTOR REGIONAL III BANDUNG 40004</v>
      </c>
      <c r="AN1209" s="80" t="str">
        <f>IFERROR(__xludf.DUMMYFUNCTION("""COMPUTED_VALUE"""),"KC UJUNGBERUNG 40100")</f>
        <v>KC UJUNGBERUNG 40100</v>
      </c>
      <c r="AO1209" s="80" t="str">
        <f>IFERROR(__xludf.DUMMYFUNCTION("""COMPUTED_VALUE"""),"0220500831128")</f>
        <v>0220500831128</v>
      </c>
      <c r="AP1209" s="80" t="str">
        <f>IFERROR(__xludf.DUMMYFUNCTION("""COMPUTED_VALUE"""),"0220500831128")</f>
        <v>0220500831128</v>
      </c>
      <c r="AQ1209" s="83" t="str">
        <f>IFERROR(__xludf.DUMMYFUNCTION("""COMPUTED_VALUE"""),"5770282111")</f>
        <v>5770282111</v>
      </c>
      <c r="AR1209" s="80" t="str">
        <f>IFERROR(__xludf.DUMMYFUNCTION("""COMPUTED_VALUE"""),"BCA")</f>
        <v>BCA</v>
      </c>
      <c r="AS1209" s="80" t="str">
        <f>IFERROR(__xludf.DUMMYFUNCTION("""COMPUTED_VALUE"""),"Elly Deviyanty A")</f>
        <v>Elly Deviyanty A</v>
      </c>
      <c r="AT1209" s="80" t="str">
        <f>IFERROR(__xludf.DUMMYFUNCTION("""COMPUTED_VALUE"""),"-6.9502246,107.6822654")</f>
        <v>-6.9502246,107.6822654</v>
      </c>
      <c r="AU1209" s="80" t="str">
        <f>IFERROR(__xludf.DUMMYFUNCTION("""COMPUTED_VALUE"""),"-6.9502246,107.6822654")</f>
        <v>-6.9502246,107.6822654</v>
      </c>
      <c r="AV1209" s="80"/>
      <c r="AW1209" s="80"/>
      <c r="AX1209" s="80"/>
      <c r="AY1209" s="80"/>
      <c r="AZ1209" s="80"/>
      <c r="BA1209" s="80"/>
      <c r="BB1209" s="80"/>
      <c r="BC1209" s="80"/>
      <c r="BD1209" s="80"/>
      <c r="BE1209" s="80"/>
      <c r="BF1209" s="80"/>
      <c r="BG1209" s="80"/>
      <c r="BH1209" s="80"/>
      <c r="BI1209" s="80"/>
      <c r="BJ1209" s="80"/>
      <c r="BK1209" s="80"/>
      <c r="BL1209" s="80"/>
      <c r="BM1209" s="80"/>
      <c r="BN1209" s="80"/>
      <c r="BO1209" s="80"/>
      <c r="BP1209" s="80"/>
      <c r="BQ1209" s="80"/>
      <c r="BR1209" s="80"/>
      <c r="BS1209" s="80"/>
      <c r="BT1209" s="80"/>
      <c r="BU1209" s="80"/>
      <c r="BV1209" s="80"/>
      <c r="BW1209" s="80"/>
      <c r="BX1209" s="80"/>
      <c r="BY1209" s="80"/>
      <c r="BZ1209" s="80"/>
      <c r="CA1209" s="80"/>
      <c r="CB1209" s="80"/>
      <c r="CC1209" s="80"/>
      <c r="CD1209" s="80"/>
      <c r="CE1209" s="80"/>
      <c r="CF1209" s="80"/>
      <c r="CG1209" s="80"/>
      <c r="CH1209" s="80"/>
      <c r="CI1209" s="80"/>
      <c r="CJ1209" s="80"/>
      <c r="CK1209" s="2"/>
    </row>
    <row r="1210" ht="12.75" customHeight="1">
      <c r="A1210" s="85">
        <f>IFERROR(__xludf.DUMMYFUNCTION("""COMPUTED_VALUE"""),1206.0)</f>
        <v>1206</v>
      </c>
      <c r="B1210" s="85"/>
      <c r="C1210" s="85"/>
      <c r="D1210" s="86">
        <f>IFERROR(__xludf.DUMMYFUNCTION("""COMPUTED_VALUE"""),46221.0)</f>
        <v>46221</v>
      </c>
      <c r="E1210" s="88"/>
      <c r="F1210" s="85"/>
      <c r="G1210" s="86">
        <f>IFERROR(__xludf.DUMMYFUNCTION("""COMPUTED_VALUE"""),46275.0)</f>
        <v>46275</v>
      </c>
      <c r="H1210" s="85"/>
      <c r="I1210" s="85"/>
      <c r="J1210" s="85"/>
      <c r="K1210" s="85"/>
      <c r="L1210" s="85">
        <f>IFERROR(__xludf.DUMMYFUNCTION("""COMPUTED_VALUE"""),54.0)</f>
        <v>54</v>
      </c>
      <c r="M1210" s="85"/>
      <c r="N1210" s="85"/>
      <c r="O1210" s="85"/>
      <c r="P1210" s="85" t="str">
        <f>IFERROR(__xludf.DUMMYFUNCTION("""COMPUTED_VALUE"""),"53BSPA17151JBNDS")</f>
        <v>53BSPA17151JBNDS</v>
      </c>
      <c r="Q1210" s="85" t="str">
        <f>IFERROR(__xludf.DUMMYFUNCTION("""COMPUTED_VALUE"""),"MUC KAYU MANIS BARAT")</f>
        <v>MUC KAYU MANIS BARAT</v>
      </c>
      <c r="R1210" s="85" t="str">
        <f>IFERROR(__xludf.DUMMYFUNCTION("""COMPUTED_VALUE"""),"MUC KAYU MANIS BARAT")</f>
        <v>MUC KAYU MANIS BARAT</v>
      </c>
      <c r="S1210" s="85" t="str">
        <f>IFERROR(__xludf.DUMMYFUNCTION("""COMPUTED_VALUE"""),"AL ARIF")</f>
        <v>AL ARIF</v>
      </c>
      <c r="T1210" s="85" t="str">
        <f>IFERROR(__xludf.DUMMYFUNCTION("""COMPUTED_VALUE"""),"Bulak Indah Cakung Timur")</f>
        <v>Bulak Indah Cakung Timur</v>
      </c>
      <c r="U1210" s="85" t="str">
        <f>IFERROR(__xludf.DUMMYFUNCTION("""COMPUTED_VALUE"""),"Jl Kayu Manis Barat No 19 RT 8 RW 2")</f>
        <v>Jl Kayu Manis Barat No 19 RT 8 RW 2</v>
      </c>
      <c r="V1210" s="85"/>
      <c r="W1210" s="85" t="str">
        <f>IFERROR(__xludf.DUMMYFUNCTION("""COMPUTED_VALUE"""),"Kayu Manis")</f>
        <v>Kayu Manis</v>
      </c>
      <c r="X1210" s="85" t="str">
        <f>IFERROR(__xludf.DUMMYFUNCTION("""COMPUTED_VALUE"""),"Matraman")</f>
        <v>Matraman</v>
      </c>
      <c r="Y1210" s="85" t="str">
        <f>IFERROR(__xludf.DUMMYFUNCTION("""COMPUTED_VALUE"""),"Jakarta Timur")</f>
        <v>Jakarta Timur</v>
      </c>
      <c r="Z1210" s="85" t="str">
        <f>IFERROR(__xludf.DUMMYFUNCTION("""COMPUTED_VALUE"""),"DKI Jakarta")</f>
        <v>DKI Jakarta</v>
      </c>
      <c r="AA1210" s="85" t="str">
        <f>IFERROR(__xludf.DUMMYFUNCTION("""COMPUTED_VALUE"""),"13140")</f>
        <v>13140</v>
      </c>
      <c r="AB1210" s="85" t="str">
        <f>IFERROR(__xludf.DUMMYFUNCTION("""COMPUTED_VALUE"""),"3175060709780021")</f>
        <v>3175060709780021</v>
      </c>
      <c r="AC1210" s="85" t="str">
        <f>IFERROR(__xludf.DUMMYFUNCTION("""COMPUTED_VALUE"""),"79.854.261.9-006.000")</f>
        <v>79.854.261.9-006.000</v>
      </c>
      <c r="AD1210" s="85" t="str">
        <f>IFERROR(__xludf.DUMMYFUNCTION("""COMPUTED_VALUE"""),"CUM - NDS")</f>
        <v>CUM - NDS</v>
      </c>
      <c r="AE1210" s="85" t="str">
        <f>IFERROR(__xludf.DUMMYFUNCTION("""COMPUTED_VALUE"""),"CUM - NDS")</f>
        <v>CUM - NDS</v>
      </c>
      <c r="AF1210" s="85" t="str">
        <f>IFERROR(__xludf.DUMMYFUNCTION("""COMPUTED_VALUE"""),"081380871978")</f>
        <v>081380871978</v>
      </c>
      <c r="AG1210" s="85" t="str">
        <f>IFERROR(__xludf.DUMMYFUNCTION("""COMPUTED_VALUE"""),"81380871978")</f>
        <v>81380871978</v>
      </c>
      <c r="AH1210" s="85" t="str">
        <f>IFERROR(__xludf.DUMMYFUNCTION("""COMPUTED_VALUE"""),"alarief2012@gmail.com")</f>
        <v>alarief2012@gmail.com</v>
      </c>
      <c r="AI1210" s="85" t="str">
        <f>IFERROR(__xludf.DUMMYFUNCTION("""COMPUTED_VALUE"""),"13120S2 ")</f>
        <v>13120S2 </v>
      </c>
      <c r="AJ1210" s="85" t="str">
        <f>IFERROR(__xludf.DUMMYFUNCTION("""COMPUTED_VALUE"""),"6a9e60694ea7ffd4690dedb5 ")</f>
        <v>6a9e60694ea7ffd4690dedb5 </v>
      </c>
      <c r="AK1210" s="85" t="str">
        <f>IFERROR(__xludf.DUMMYFUNCTION("""COMPUTED_VALUE"""),"alarief2012@gmail.com")</f>
        <v>alarief2012@gmail.com</v>
      </c>
      <c r="AL1210" s="85" t="str">
        <f>IFERROR(__xludf.DUMMYFUNCTION("""COMPUTED_VALUE"""),"#Muc13120S2$")</f>
        <v>#Muc13120S2$</v>
      </c>
      <c r="AM1210" s="85" t="str">
        <f>IFERROR(__xludf.DUMMYFUNCTION("""COMPUTED_VALUE"""),"KANTOR REGIONAL II JAKARTA 10004")</f>
        <v>KANTOR REGIONAL II JAKARTA 10004</v>
      </c>
      <c r="AN1210" s="85" t="str">
        <f>IFERROR(__xludf.DUMMYFUNCTION("""COMPUTED_VALUE"""),"KCU JAKARTAPREMIER 13000")</f>
        <v>KCU JAKARTAPREMIER 13000</v>
      </c>
      <c r="AO1210" s="85" t="str">
        <f>IFERROR(__xludf.DUMMYFUNCTION("""COMPUTED_VALUE"""),"1807260046239")</f>
        <v>1807260046239</v>
      </c>
      <c r="AP1210" s="85" t="str">
        <f>IFERROR(__xludf.DUMMYFUNCTION("""COMPUTED_VALUE"""),"1807260046239")</f>
        <v>1807260046239</v>
      </c>
      <c r="AQ1210" s="93" t="str">
        <f>IFERROR(__xludf.DUMMYFUNCTION("""COMPUTED_VALUE"""),"5195033371")</f>
        <v>5195033371</v>
      </c>
      <c r="AR1210" s="85" t="str">
        <f>IFERROR(__xludf.DUMMYFUNCTION("""COMPUTED_VALUE"""),"BCA")</f>
        <v>BCA</v>
      </c>
      <c r="AS1210" s="85" t="str">
        <f>IFERROR(__xludf.DUMMYFUNCTION("""COMPUTED_VALUE"""),"AL ARIF")</f>
        <v>AL ARIF</v>
      </c>
      <c r="AT1210" s="85" t="str">
        <f>IFERROR(__xludf.DUMMYFUNCTION("""COMPUTED_VALUE"""),"-6.198087,106.8548214")</f>
        <v>-6.198087,106.8548214</v>
      </c>
      <c r="AU1210" s="85" t="str">
        <f>IFERROR(__xludf.DUMMYFUNCTION("""COMPUTED_VALUE"""),"-6.198087,106.8548214")</f>
        <v>-6.198087,106.8548214</v>
      </c>
      <c r="AV1210" s="85"/>
      <c r="AW1210" s="85"/>
      <c r="AX1210" s="85"/>
      <c r="AY1210" s="85"/>
      <c r="AZ1210" s="85"/>
      <c r="BA1210" s="85"/>
      <c r="BB1210" s="85"/>
      <c r="BC1210" s="85"/>
      <c r="BD1210" s="85"/>
      <c r="BE1210" s="85"/>
      <c r="BF1210" s="85"/>
      <c r="BG1210" s="85"/>
      <c r="BH1210" s="85"/>
      <c r="BI1210" s="85"/>
      <c r="BJ1210" s="85"/>
      <c r="BK1210" s="85"/>
      <c r="BL1210" s="85"/>
      <c r="BM1210" s="85"/>
      <c r="BN1210" s="85"/>
      <c r="BO1210" s="85"/>
      <c r="BP1210" s="85"/>
      <c r="BQ1210" s="85"/>
      <c r="BR1210" s="85"/>
      <c r="BS1210" s="85"/>
      <c r="BT1210" s="85"/>
      <c r="BU1210" s="85"/>
      <c r="BV1210" s="85"/>
      <c r="BW1210" s="85"/>
      <c r="BX1210" s="85"/>
      <c r="BY1210" s="85"/>
      <c r="BZ1210" s="85"/>
      <c r="CA1210" s="85"/>
      <c r="CB1210" s="85"/>
      <c r="CC1210" s="85"/>
      <c r="CD1210" s="85"/>
      <c r="CE1210" s="85"/>
      <c r="CF1210" s="85"/>
      <c r="CG1210" s="85"/>
      <c r="CH1210" s="85"/>
      <c r="CI1210" s="85"/>
      <c r="CJ1210" s="85"/>
      <c r="CK1210" s="2"/>
    </row>
    <row r="1211" ht="12.75" customHeight="1">
      <c r="A1211" s="80">
        <f>IFERROR(__xludf.DUMMYFUNCTION("""COMPUTED_VALUE"""),1207.0)</f>
        <v>1207</v>
      </c>
      <c r="B1211" s="80"/>
      <c r="C1211" s="80"/>
      <c r="D1211" s="81">
        <f>IFERROR(__xludf.DUMMYFUNCTION("""COMPUTED_VALUE"""),46223.0)</f>
        <v>46223</v>
      </c>
      <c r="E1211" s="82"/>
      <c r="F1211" s="80"/>
      <c r="G1211" s="81">
        <f>IFERROR(__xludf.DUMMYFUNCTION("""COMPUTED_VALUE"""),46258.0)</f>
        <v>46258</v>
      </c>
      <c r="H1211" s="80"/>
      <c r="I1211" s="80"/>
      <c r="J1211" s="80"/>
      <c r="K1211" s="80"/>
      <c r="L1211" s="80">
        <f>IFERROR(__xludf.DUMMYFUNCTION("""COMPUTED_VALUE"""),35.0)</f>
        <v>35</v>
      </c>
      <c r="M1211" s="80"/>
      <c r="N1211" s="80"/>
      <c r="O1211" s="80"/>
      <c r="P1211" s="80" t="str">
        <f>IFERROR(__xludf.DUMMYFUNCTION("""COMPUTED_VALUE"""),"53BSPA17150JBNDS")</f>
        <v>53BSPA17150JBNDS</v>
      </c>
      <c r="Q1211" s="80" t="str">
        <f>IFERROR(__xludf.DUMMYFUNCTION("""COMPUTED_VALUE"""),"MUC AAT SUPRIATNA")</f>
        <v>MUC AAT SUPRIATNA</v>
      </c>
      <c r="R1211" s="80" t="str">
        <f>IFERROR(__xludf.DUMMYFUNCTION("""COMPUTED_VALUE"""),"MUC AAT SUPRIATNA")</f>
        <v>MUC AAT SUPRIATNA</v>
      </c>
      <c r="S1211" s="80" t="str">
        <f>IFERROR(__xludf.DUMMYFUNCTION("""COMPUTED_VALUE"""),"AAT SUPRIATNA")</f>
        <v>AAT SUPRIATNA</v>
      </c>
      <c r="T1211" s="80" t="str">
        <f>IFERROR(__xludf.DUMMYFUNCTION("""COMPUTED_VALUE"""),"Cisereh RT 01 RW 01 Ds.Cisereh Kec.Tigaraksa Tangerang")</f>
        <v>Cisereh RT 01 RW 01 Ds.Cisereh Kec.Tigaraksa Tangerang</v>
      </c>
      <c r="U1211" s="80" t="str">
        <f>IFERROR(__xludf.DUMMYFUNCTION("""COMPUTED_VALUE"""),"Cisereh RT 01 RW 01 Ds.Cisereh Kec.Tigaraksa Tangerang")</f>
        <v>Cisereh RT 01 RW 01 Ds.Cisereh Kec.Tigaraksa Tangerang</v>
      </c>
      <c r="V1211" s="80" t="str">
        <f>IFERROR(__xludf.DUMMYFUNCTION("""COMPUTED_VALUE"""),"RT 01  \ RW 01")</f>
        <v>RT 01  \ RW 01</v>
      </c>
      <c r="W1211" s="80" t="str">
        <f>IFERROR(__xludf.DUMMYFUNCTION("""COMPUTED_VALUE"""),"Cisereh")</f>
        <v>Cisereh</v>
      </c>
      <c r="X1211" s="80" t="str">
        <f>IFERROR(__xludf.DUMMYFUNCTION("""COMPUTED_VALUE"""),"Tigaraksa")</f>
        <v>Tigaraksa</v>
      </c>
      <c r="Y1211" s="80" t="str">
        <f>IFERROR(__xludf.DUMMYFUNCTION("""COMPUTED_VALUE"""),"Kab.Tangerang")</f>
        <v>Kab.Tangerang</v>
      </c>
      <c r="Z1211" s="80" t="str">
        <f>IFERROR(__xludf.DUMMYFUNCTION("""COMPUTED_VALUE"""),"Banten")</f>
        <v>Banten</v>
      </c>
      <c r="AA1211" s="80" t="str">
        <f>IFERROR(__xludf.DUMMYFUNCTION("""COMPUTED_VALUE"""),"15720")</f>
        <v>15720</v>
      </c>
      <c r="AB1211" s="80" t="str">
        <f>IFERROR(__xludf.DUMMYFUNCTION("""COMPUTED_VALUE"""),"3603030806860003")</f>
        <v>3603030806860003</v>
      </c>
      <c r="AC1211" s="80" t="str">
        <f>IFERROR(__xludf.DUMMYFUNCTION("""COMPUTED_VALUE"""),"36.030.308.0-686.0003")</f>
        <v>36.030.308.0-686.0003</v>
      </c>
      <c r="AD1211" s="80" t="str">
        <f>IFERROR(__xludf.DUMMYFUNCTION("""COMPUTED_VALUE"""),"CUM - NDS")</f>
        <v>CUM - NDS</v>
      </c>
      <c r="AE1211" s="80" t="str">
        <f>IFERROR(__xludf.DUMMYFUNCTION("""COMPUTED_VALUE"""),"CUM - NDS")</f>
        <v>CUM - NDS</v>
      </c>
      <c r="AF1211" s="80" t="str">
        <f>IFERROR(__xludf.DUMMYFUNCTION("""COMPUTED_VALUE"""),"083819224929")</f>
        <v>083819224929</v>
      </c>
      <c r="AG1211" s="80" t="str">
        <f>IFERROR(__xludf.DUMMYFUNCTION("""COMPUTED_VALUE"""),"83819224929")</f>
        <v>83819224929</v>
      </c>
      <c r="AH1211" s="80" t="str">
        <f>IFERROR(__xludf.DUMMYFUNCTION("""COMPUTED_VALUE"""),"aats95669@gmail.com")</f>
        <v>aats95669@gmail.com</v>
      </c>
      <c r="AI1211" s="80" t="str">
        <f>IFERROR(__xludf.DUMMYFUNCTION("""COMPUTED_VALUE"""),"15933S2")</f>
        <v>15933S2</v>
      </c>
      <c r="AJ1211" s="80" t="str">
        <f>IFERROR(__xludf.DUMMYFUNCTION("""COMPUTED_VALUE"""),"6a8a7a17d3cea689e804af7b")</f>
        <v>6a8a7a17d3cea689e804af7b</v>
      </c>
      <c r="AK1211" s="80" t="str">
        <f>IFERROR(__xludf.DUMMYFUNCTION("""COMPUTED_VALUE"""),"aats95669@gmail.com")</f>
        <v>aats95669@gmail.com</v>
      </c>
      <c r="AL1211" s="80" t="str">
        <f>IFERROR(__xludf.DUMMYFUNCTION("""COMPUTED_VALUE"""),"#Muc15933S2$")</f>
        <v>#Muc15933S2$</v>
      </c>
      <c r="AM1211" s="80" t="str">
        <f>IFERROR(__xludf.DUMMYFUNCTION("""COMPUTED_VALUE"""),"KANTOR REGIONAL II JAKARTA 10004")</f>
        <v>KANTOR REGIONAL II JAKARTA 10004</v>
      </c>
      <c r="AN1211" s="80" t="str">
        <f>IFERROR(__xludf.DUMMYFUNCTION("""COMPUTED_VALUE"""),"KCU TANGERANG 15000")</f>
        <v>KCU TANGERANG 15000</v>
      </c>
      <c r="AO1211" s="80" t="str">
        <f>IFERROR(__xludf.DUMMYFUNCTION("""COMPUTED_VALUE"""),"2007260048572")</f>
        <v>2007260048572</v>
      </c>
      <c r="AP1211" s="80" t="str">
        <f>IFERROR(__xludf.DUMMYFUNCTION("""COMPUTED_VALUE"""),"2007260048572")</f>
        <v>2007260048572</v>
      </c>
      <c r="AQ1211" s="83" t="str">
        <f>IFERROR(__xludf.DUMMYFUNCTION("""COMPUTED_VALUE"""),"8333118872")</f>
        <v>8333118872</v>
      </c>
      <c r="AR1211" s="80" t="str">
        <f>IFERROR(__xludf.DUMMYFUNCTION("""COMPUTED_VALUE"""),"BCA")</f>
        <v>BCA</v>
      </c>
      <c r="AS1211" s="80" t="str">
        <f>IFERROR(__xludf.DUMMYFUNCTION("""COMPUTED_VALUE"""),"AAT SUPRIATNA")</f>
        <v>AAT SUPRIATNA</v>
      </c>
      <c r="AT1211" s="80" t="str">
        <f>IFERROR(__xludf.DUMMYFUNCTION("""COMPUTED_VALUE"""),"-6.2336389,106.4571944")</f>
        <v>-6.2336389,106.4571944</v>
      </c>
      <c r="AU1211" s="80" t="str">
        <f>IFERROR(__xludf.DUMMYFUNCTION("""COMPUTED_VALUE"""),"-6.2336389,106.4571944")</f>
        <v>-6.2336389,106.4571944</v>
      </c>
      <c r="AV1211" s="80"/>
      <c r="AW1211" s="80"/>
      <c r="AX1211" s="80"/>
      <c r="AY1211" s="80"/>
      <c r="AZ1211" s="80"/>
      <c r="BA1211" s="80"/>
      <c r="BB1211" s="80"/>
      <c r="BC1211" s="80"/>
      <c r="BD1211" s="80"/>
      <c r="BE1211" s="80"/>
      <c r="BF1211" s="80"/>
      <c r="BG1211" s="80"/>
      <c r="BH1211" s="80"/>
      <c r="BI1211" s="80"/>
      <c r="BJ1211" s="80"/>
      <c r="BK1211" s="80"/>
      <c r="BL1211" s="80"/>
      <c r="BM1211" s="80"/>
      <c r="BN1211" s="80"/>
      <c r="BO1211" s="80"/>
      <c r="BP1211" s="80"/>
      <c r="BQ1211" s="80"/>
      <c r="BR1211" s="80"/>
      <c r="BS1211" s="80"/>
      <c r="BT1211" s="80"/>
      <c r="BU1211" s="80"/>
      <c r="BV1211" s="80"/>
      <c r="BW1211" s="80"/>
      <c r="BX1211" s="80"/>
      <c r="BY1211" s="80"/>
      <c r="BZ1211" s="80"/>
      <c r="CA1211" s="80"/>
      <c r="CB1211" s="80"/>
      <c r="CC1211" s="80"/>
      <c r="CD1211" s="80"/>
      <c r="CE1211" s="80"/>
      <c r="CF1211" s="80"/>
      <c r="CG1211" s="80"/>
      <c r="CH1211" s="80"/>
      <c r="CI1211" s="80"/>
      <c r="CJ1211" s="80"/>
      <c r="CK1211" s="2"/>
    </row>
    <row r="1212" ht="12.75" customHeight="1">
      <c r="A1212" s="85">
        <f>IFERROR(__xludf.DUMMYFUNCTION("""COMPUTED_VALUE"""),1208.0)</f>
        <v>1208</v>
      </c>
      <c r="B1212" s="85"/>
      <c r="C1212" s="85"/>
      <c r="D1212" s="86">
        <f>IFERROR(__xludf.DUMMYFUNCTION("""COMPUTED_VALUE"""),46223.0)</f>
        <v>46223</v>
      </c>
      <c r="E1212" s="88"/>
      <c r="F1212" s="85"/>
      <c r="G1212" s="86">
        <f>IFERROR(__xludf.DUMMYFUNCTION("""COMPUTED_VALUE"""),46258.0)</f>
        <v>46258</v>
      </c>
      <c r="H1212" s="85"/>
      <c r="I1212" s="85"/>
      <c r="J1212" s="85"/>
      <c r="K1212" s="85"/>
      <c r="L1212" s="85">
        <f>IFERROR(__xludf.DUMMYFUNCTION("""COMPUTED_VALUE"""),35.0)</f>
        <v>35</v>
      </c>
      <c r="M1212" s="85"/>
      <c r="N1212" s="85"/>
      <c r="O1212" s="85"/>
      <c r="P1212" s="85" t="str">
        <f>IFERROR(__xludf.DUMMYFUNCTION("""COMPUTED_VALUE"""),"MUCSPA70025PSUMK")</f>
        <v>MUCSPA70025PSUMK</v>
      </c>
      <c r="Q1212" s="85" t="str">
        <f>IFERROR(__xludf.DUMMYFUNCTION("""COMPUTED_VALUE"""),"MUC SIZAIA FEBRIANA")</f>
        <v>MUC SIZAIA FEBRIANA</v>
      </c>
      <c r="R1212" s="85" t="str">
        <f>IFERROR(__xludf.DUMMYFUNCTION("""COMPUTED_VALUE"""),"MUC SIZAIA FEBRIANA")</f>
        <v>MUC SIZAIA FEBRIANA</v>
      </c>
      <c r="S1212" s="85" t="str">
        <f>IFERROR(__xludf.DUMMYFUNCTION("""COMPUTED_VALUE"""),"SIZAIA FEBRIANA")</f>
        <v>SIZAIA FEBRIANA</v>
      </c>
      <c r="T1212" s="85" t="str">
        <f>IFERROR(__xludf.DUMMYFUNCTION("""COMPUTED_VALUE"""),"JATI INDAH NO.43. A RT 03 RW 06, WAY URANG, KALIANDA, KAB.LAMPUNG SELATAN")</f>
        <v>JATI INDAH NO.43. A RT 03 RW 06, WAY URANG, KALIANDA, KAB.LAMPUNG SELATAN</v>
      </c>
      <c r="U1212" s="85" t="str">
        <f>IFERROR(__xludf.DUMMYFUNCTION("""COMPUTED_VALUE"""),"KOMPLEK JATI INDAH A.43 RT 03 RW 06")</f>
        <v>KOMPLEK JATI INDAH A.43 RT 03 RW 06</v>
      </c>
      <c r="V1212" s="85" t="str">
        <f>IFERROR(__xludf.DUMMYFUNCTION("""COMPUTED_VALUE"""),"RT 03  \ RW 06,")</f>
        <v>RT 03  \ RW 06,</v>
      </c>
      <c r="W1212" s="85" t="str">
        <f>IFERROR(__xludf.DUMMYFUNCTION("""COMPUTED_VALUE"""),"WAY URANG")</f>
        <v>WAY URANG</v>
      </c>
      <c r="X1212" s="85" t="str">
        <f>IFERROR(__xludf.DUMMYFUNCTION("""COMPUTED_VALUE"""),"KALIANDA")</f>
        <v>KALIANDA</v>
      </c>
      <c r="Y1212" s="85" t="str">
        <f>IFERROR(__xludf.DUMMYFUNCTION("""COMPUTED_VALUE"""),"KAB.LAMPUNG SELATAN")</f>
        <v>KAB.LAMPUNG SELATAN</v>
      </c>
      <c r="Z1212" s="85" t="str">
        <f>IFERROR(__xludf.DUMMYFUNCTION("""COMPUTED_VALUE"""),"LAMPUNG")</f>
        <v>LAMPUNG</v>
      </c>
      <c r="AA1212" s="85" t="str">
        <f>IFERROR(__xludf.DUMMYFUNCTION("""COMPUTED_VALUE"""),"35513")</f>
        <v>35513</v>
      </c>
      <c r="AB1212" s="85" t="str">
        <f>IFERROR(__xludf.DUMMYFUNCTION("""COMPUTED_VALUE"""),"1801066602750001")</f>
        <v>1801066602750001</v>
      </c>
      <c r="AC1212" s="85" t="str">
        <f>IFERROR(__xludf.DUMMYFUNCTION("""COMPUTED_VALUE"""),"71.008.955.8-325.000")</f>
        <v>71.008.955.8-325.000</v>
      </c>
      <c r="AD1212" s="85" t="str">
        <f>IFERROR(__xludf.DUMMYFUNCTION("""COMPUTED_VALUE"""),"CUM - UMKMNK - ASEP")</f>
        <v>CUM - UMKMNK - ASEP</v>
      </c>
      <c r="AE1212" s="85" t="str">
        <f>IFERROR(__xludf.DUMMYFUNCTION("""COMPUTED_VALUE"""),"CUM - UMKMNK - ASEP")</f>
        <v>CUM - UMKMNK - ASEP</v>
      </c>
      <c r="AF1212" s="85" t="str">
        <f>IFERROR(__xludf.DUMMYFUNCTION("""COMPUTED_VALUE"""),"0895612087440")</f>
        <v>0895612087440</v>
      </c>
      <c r="AG1212" s="85" t="str">
        <f>IFERROR(__xludf.DUMMYFUNCTION("""COMPUTED_VALUE"""),"895612087440")</f>
        <v>895612087440</v>
      </c>
      <c r="AH1212" s="85" t="str">
        <f>IFERROR(__xludf.DUMMYFUNCTION("""COMPUTED_VALUE"""),"reinaroesli@gmail.com")</f>
        <v>reinaroesli@gmail.com</v>
      </c>
      <c r="AI1212" s="85" t="str">
        <f>IFERROR(__xludf.DUMMYFUNCTION("""COMPUTED_VALUE"""),"35513S1")</f>
        <v>35513S1</v>
      </c>
      <c r="AJ1212" s="85" t="str">
        <f>IFERROR(__xludf.DUMMYFUNCTION("""COMPUTED_VALUE"""),"6a892018047365700e0134ee")</f>
        <v>6a892018047365700e0134ee</v>
      </c>
      <c r="AK1212" s="85" t="str">
        <f>IFERROR(__xludf.DUMMYFUNCTION("""COMPUTED_VALUE"""),"reinaroesli@gmail.com")</f>
        <v>reinaroesli@gmail.com</v>
      </c>
      <c r="AL1212" s="85" t="str">
        <f>IFERROR(__xludf.DUMMYFUNCTION("""COMPUTED_VALUE"""),"#Muc35513S1$")</f>
        <v>#Muc35513S1$</v>
      </c>
      <c r="AM1212" s="85" t="str">
        <f>IFERROR(__xludf.DUMMYFUNCTION("""COMPUTED_VALUE"""),"KANTOR REGIONAL I MEDAN 20004")</f>
        <v>KANTOR REGIONAL I MEDAN 20004</v>
      </c>
      <c r="AN1212" s="85" t="str">
        <f>IFERROR(__xludf.DUMMYFUNCTION("""COMPUTED_VALUE"""),"KCU BANDARLAMPUNG 35000")</f>
        <v>KCU BANDARLAMPUNG 35000</v>
      </c>
      <c r="AO1212" s="85" t="str">
        <f>IFERROR(__xludf.DUMMYFUNCTION("""COMPUTED_VALUE"""),"0802220040465")</f>
        <v>0802220040465</v>
      </c>
      <c r="AP1212" s="85" t="str">
        <f>IFERROR(__xludf.DUMMYFUNCTION("""COMPUTED_VALUE"""),"0802220040465")</f>
        <v>0802220040465</v>
      </c>
      <c r="AQ1212" s="93" t="str">
        <f>IFERROR(__xludf.DUMMYFUNCTION("""COMPUTED_VALUE"""),"7136285011")</f>
        <v>7136285011</v>
      </c>
      <c r="AR1212" s="85" t="str">
        <f>IFERROR(__xludf.DUMMYFUNCTION("""COMPUTED_VALUE"""),"BSI")</f>
        <v>BSI</v>
      </c>
      <c r="AS1212" s="85" t="str">
        <f>IFERROR(__xludf.DUMMYFUNCTION("""COMPUTED_VALUE"""),"SIZAIA FEBRIANA")</f>
        <v>SIZAIA FEBRIANA</v>
      </c>
      <c r="AT1212" s="85" t="str">
        <f>IFERROR(__xludf.DUMMYFUNCTION("""COMPUTED_VALUE"""),"-56,964,611.00")</f>
        <v>-56,964,611.00</v>
      </c>
      <c r="AU1212" s="85" t="str">
        <f>IFERROR(__xludf.DUMMYFUNCTION("""COMPUTED_VALUE"""),"1,055,808,552")</f>
        <v>1,055,808,552</v>
      </c>
      <c r="AV1212" s="85"/>
      <c r="AW1212" s="85"/>
      <c r="AX1212" s="85"/>
      <c r="AY1212" s="85"/>
      <c r="AZ1212" s="85"/>
      <c r="BA1212" s="85"/>
      <c r="BB1212" s="85"/>
      <c r="BC1212" s="85"/>
      <c r="BD1212" s="85"/>
      <c r="BE1212" s="85"/>
      <c r="BF1212" s="85"/>
      <c r="BG1212" s="85"/>
      <c r="BH1212" s="85"/>
      <c r="BI1212" s="85"/>
      <c r="BJ1212" s="85"/>
      <c r="BK1212" s="85"/>
      <c r="BL1212" s="85"/>
      <c r="BM1212" s="85"/>
      <c r="BN1212" s="85"/>
      <c r="BO1212" s="85"/>
      <c r="BP1212" s="85"/>
      <c r="BQ1212" s="85"/>
      <c r="BR1212" s="85"/>
      <c r="BS1212" s="85"/>
      <c r="BT1212" s="85"/>
      <c r="BU1212" s="85"/>
      <c r="BV1212" s="85"/>
      <c r="BW1212" s="85"/>
      <c r="BX1212" s="85"/>
      <c r="BY1212" s="85"/>
      <c r="BZ1212" s="85"/>
      <c r="CA1212" s="85"/>
      <c r="CB1212" s="85"/>
      <c r="CC1212" s="85"/>
      <c r="CD1212" s="85"/>
      <c r="CE1212" s="85"/>
      <c r="CF1212" s="85"/>
      <c r="CG1212" s="85"/>
      <c r="CH1212" s="85"/>
      <c r="CI1212" s="85"/>
      <c r="CJ1212" s="85"/>
      <c r="CK1212" s="2"/>
    </row>
    <row r="1213" ht="12.75" customHeight="1">
      <c r="A1213" s="80">
        <f>IFERROR(__xludf.DUMMYFUNCTION("""COMPUTED_VALUE"""),1209.0)</f>
        <v>1209</v>
      </c>
      <c r="B1213" s="80"/>
      <c r="C1213" s="80"/>
      <c r="D1213" s="81">
        <f>IFERROR(__xludf.DUMMYFUNCTION("""COMPUTED_VALUE"""),46223.0)</f>
        <v>46223</v>
      </c>
      <c r="E1213" s="82"/>
      <c r="F1213" s="80"/>
      <c r="G1213" s="81">
        <f>IFERROR(__xludf.DUMMYFUNCTION("""COMPUTED_VALUE"""),46224.0)</f>
        <v>46224</v>
      </c>
      <c r="H1213" s="80"/>
      <c r="I1213" s="80"/>
      <c r="J1213" s="80"/>
      <c r="K1213" s="80"/>
      <c r="L1213" s="80">
        <f>IFERROR(__xludf.DUMMYFUNCTION("""COMPUTED_VALUE"""),1.0)</f>
        <v>1</v>
      </c>
      <c r="M1213" s="80"/>
      <c r="N1213" s="80"/>
      <c r="O1213" s="80"/>
      <c r="P1213" s="80" t="str">
        <f>IFERROR(__xludf.DUMMYFUNCTION("""COMPUTED_VALUE"""),"53BSPA09882JBKTK")</f>
        <v>53BSPA09882JBKTK</v>
      </c>
      <c r="Q1213" s="80" t="str">
        <f>IFERROR(__xludf.DUMMYFUNCTION("""COMPUTED_VALUE"""),"MUC PURIDAGO")</f>
        <v>MUC PURIDAGO</v>
      </c>
      <c r="R1213" s="80" t="str">
        <f>IFERROR(__xludf.DUMMYFUNCTION("""COMPUTED_VALUE"""),"MUC PURIDAGO")</f>
        <v>MUC PURIDAGO</v>
      </c>
      <c r="S1213" s="80" t="str">
        <f>IFERROR(__xludf.DUMMYFUNCTION("""COMPUTED_VALUE"""),"TAN SANTI")</f>
        <v>TAN SANTI</v>
      </c>
      <c r="T1213" s="80" t="str">
        <f>IFERROR(__xludf.DUMMYFUNCTION("""COMPUTED_VALUE"""),"JL.PURI DAGO SELATAN 6 NO.3 RT 07 RW 15 SUKAMISKIN, ARCAMANIK, BANDUNG")</f>
        <v>JL.PURI DAGO SELATAN 6 NO.3 RT 07 RW 15 SUKAMISKIN, ARCAMANIK, BANDUNG</v>
      </c>
      <c r="U1213" s="80" t="str">
        <f>IFERROR(__xludf.DUMMYFUNCTION("""COMPUTED_VALUE"""),"JL. Terusan Jakarta No.Blok B1 Ruko Puri Dago Arcamanik")</f>
        <v>JL. Terusan Jakarta No.Blok B1 Ruko Puri Dago Arcamanik</v>
      </c>
      <c r="V1213" s="80" t="str">
        <f>IFERROR(__xludf.DUMMYFUNCTION("""COMPUTED_VALUE"""),"RT 07  \ RW 15")</f>
        <v>RT 07  \ RW 15</v>
      </c>
      <c r="W1213" s="80" t="str">
        <f>IFERROR(__xludf.DUMMYFUNCTION("""COMPUTED_VALUE"""),"SUKAMISKIN")</f>
        <v>SUKAMISKIN</v>
      </c>
      <c r="X1213" s="80" t="str">
        <f>IFERROR(__xludf.DUMMYFUNCTION("""COMPUTED_VALUE"""),"ARCAMANIK")</f>
        <v>ARCAMANIK</v>
      </c>
      <c r="Y1213" s="80" t="str">
        <f>IFERROR(__xludf.DUMMYFUNCTION("""COMPUTED_VALUE"""),"BANDUNG")</f>
        <v>BANDUNG</v>
      </c>
      <c r="Z1213" s="80" t="str">
        <f>IFERROR(__xludf.DUMMYFUNCTION("""COMPUTED_VALUE"""),"JAWA BARAT")</f>
        <v>JAWA BARAT</v>
      </c>
      <c r="AA1213" s="80" t="str">
        <f>IFERROR(__xludf.DUMMYFUNCTION("""COMPUTED_VALUE"""),"40293")</f>
        <v>40293</v>
      </c>
      <c r="AB1213" s="80" t="str">
        <f>IFERROR(__xludf.DUMMYFUNCTION("""COMPUTED_VALUE"""),"3273145105820004")</f>
        <v>3273145105820004</v>
      </c>
      <c r="AC1213" s="80" t="str">
        <f>IFERROR(__xludf.DUMMYFUNCTION("""COMPUTED_VALUE"""),"09.971.272.1-214.000")</f>
        <v>09.971.272.1-214.000</v>
      </c>
      <c r="AD1213" s="80" t="str">
        <f>IFERROR(__xludf.DUMMYFUNCTION("""COMPUTED_VALUE"""),"CUM - KTK")</f>
        <v>CUM - KTK</v>
      </c>
      <c r="AE1213" s="80" t="str">
        <f>IFERROR(__xludf.DUMMYFUNCTION("""COMPUTED_VALUE"""),"SUB KARTIKA")</f>
        <v>SUB KARTIKA</v>
      </c>
      <c r="AF1213" s="80" t="str">
        <f>IFERROR(__xludf.DUMMYFUNCTION("""COMPUTED_VALUE"""),"082117052327")</f>
        <v>082117052327</v>
      </c>
      <c r="AG1213" s="80" t="str">
        <f>IFERROR(__xludf.DUMMYFUNCTION("""COMPUTED_VALUE"""),"82117052327")</f>
        <v>82117052327</v>
      </c>
      <c r="AH1213" s="80" t="str">
        <f>IFERROR(__xludf.DUMMYFUNCTION("""COMPUTED_VALUE"""),"lionparcelpuridago@gmailcom")</f>
        <v>lionparcelpuridago@gmailcom</v>
      </c>
      <c r="AI1213" s="80" t="str">
        <f>IFERROR(__xludf.DUMMYFUNCTION("""COMPUTED_VALUE"""),"40293S6")</f>
        <v>40293S6</v>
      </c>
      <c r="AJ1213" s="80" t="str">
        <f>IFERROR(__xludf.DUMMYFUNCTION("""COMPUTED_VALUE"""),"6a5f5dfb88ab849e3504d32b")</f>
        <v>6a5f5dfb88ab849e3504d32b</v>
      </c>
      <c r="AK1213" s="80" t="str">
        <f>IFERROR(__xludf.DUMMYFUNCTION("""COMPUTED_VALUE"""),"lionparcelpuridago@gmailcom")</f>
        <v>lionparcelpuridago@gmailcom</v>
      </c>
      <c r="AL1213" s="80" t="str">
        <f>IFERROR(__xludf.DUMMYFUNCTION("""COMPUTED_VALUE"""),"#Muc40293S6$")</f>
        <v>#Muc40293S6$</v>
      </c>
      <c r="AM1213" s="80" t="str">
        <f>IFERROR(__xludf.DUMMYFUNCTION("""COMPUTED_VALUE"""),"KANTOR REGIONAL III BANDUNG 40004")</f>
        <v>KANTOR REGIONAL III BANDUNG 40004</v>
      </c>
      <c r="AN1213" s="80" t="str">
        <f>IFERROR(__xludf.DUMMYFUNCTION("""COMPUTED_VALUE"""),"KC UJUNGBERUNG 40100")</f>
        <v>KC UJUNGBERUNG 40100</v>
      </c>
      <c r="AO1213" s="80" t="str">
        <f>IFERROR(__xludf.DUMMYFUNCTION("""COMPUTED_VALUE"""),"2007260050739")</f>
        <v>2007260050739</v>
      </c>
      <c r="AP1213" s="80" t="str">
        <f>IFERROR(__xludf.DUMMYFUNCTION("""COMPUTED_VALUE"""),"2007260050739")</f>
        <v>2007260050739</v>
      </c>
      <c r="AQ1213" s="83" t="str">
        <f>IFERROR(__xludf.DUMMYFUNCTION("""COMPUTED_VALUE"""),"4372646865")</f>
        <v>4372646865</v>
      </c>
      <c r="AR1213" s="80" t="str">
        <f>IFERROR(__xludf.DUMMYFUNCTION("""COMPUTED_VALUE"""),"BCA")</f>
        <v>BCA</v>
      </c>
      <c r="AS1213" s="80" t="str">
        <f>IFERROR(__xludf.DUMMYFUNCTION("""COMPUTED_VALUE"""),"TAN SANTI")</f>
        <v>TAN SANTI</v>
      </c>
      <c r="AT1213" s="80" t="str">
        <f>IFERROR(__xludf.DUMMYFUNCTION("""COMPUTED_VALUE"""),"-69,134,489.00")</f>
        <v>-69,134,489.00</v>
      </c>
      <c r="AU1213" s="80" t="str">
        <f>IFERROR(__xludf.DUMMYFUNCTION("""COMPUTED_VALUE"""),"1,076,752,175")</f>
        <v>1,076,752,175</v>
      </c>
      <c r="AV1213" s="80"/>
      <c r="AW1213" s="80"/>
      <c r="AX1213" s="80"/>
      <c r="AY1213" s="80"/>
      <c r="AZ1213" s="80"/>
      <c r="BA1213" s="80"/>
      <c r="BB1213" s="80"/>
      <c r="BC1213" s="80"/>
      <c r="BD1213" s="80"/>
      <c r="BE1213" s="80"/>
      <c r="BF1213" s="80"/>
      <c r="BG1213" s="80"/>
      <c r="BH1213" s="80"/>
      <c r="BI1213" s="80"/>
      <c r="BJ1213" s="80"/>
      <c r="BK1213" s="80"/>
      <c r="BL1213" s="80"/>
      <c r="BM1213" s="80"/>
      <c r="BN1213" s="80"/>
      <c r="BO1213" s="80"/>
      <c r="BP1213" s="80"/>
      <c r="BQ1213" s="80"/>
      <c r="BR1213" s="80"/>
      <c r="BS1213" s="80"/>
      <c r="BT1213" s="80"/>
      <c r="BU1213" s="80"/>
      <c r="BV1213" s="80"/>
      <c r="BW1213" s="80"/>
      <c r="BX1213" s="80"/>
      <c r="BY1213" s="80"/>
      <c r="BZ1213" s="80"/>
      <c r="CA1213" s="80"/>
      <c r="CB1213" s="80"/>
      <c r="CC1213" s="80"/>
      <c r="CD1213" s="80"/>
      <c r="CE1213" s="80"/>
      <c r="CF1213" s="80"/>
      <c r="CG1213" s="80"/>
      <c r="CH1213" s="80"/>
      <c r="CI1213" s="80"/>
      <c r="CJ1213" s="80"/>
      <c r="CK1213" s="2"/>
    </row>
    <row r="1214" ht="12.75" customHeight="1">
      <c r="A1214" s="85">
        <f>IFERROR(__xludf.DUMMYFUNCTION("""COMPUTED_VALUE"""),1210.0)</f>
        <v>1210</v>
      </c>
      <c r="B1214" s="85"/>
      <c r="C1214" s="85"/>
      <c r="D1214" s="86">
        <f>IFERROR(__xludf.DUMMYFUNCTION("""COMPUTED_VALUE"""),46223.0)</f>
        <v>46223</v>
      </c>
      <c r="E1214" s="88"/>
      <c r="F1214" s="85"/>
      <c r="G1214" s="86"/>
      <c r="H1214" s="85"/>
      <c r="I1214" s="85"/>
      <c r="J1214" s="85"/>
      <c r="K1214" s="85"/>
      <c r="L1214" s="85"/>
      <c r="M1214" s="85"/>
      <c r="N1214" s="85"/>
      <c r="O1214" s="85"/>
      <c r="P1214" s="85" t="str">
        <f>IFERROR(__xludf.DUMMYFUNCTION("""COMPUTED_VALUE"""),"MUCSPA70032PSUMK")</f>
        <v>MUCSPA70032PSUMK</v>
      </c>
      <c r="Q1214" s="85" t="str">
        <f>IFERROR(__xludf.DUMMYFUNCTION("""COMPUTED_VALUE"""),"MUC MOENZOEL FOUNDATIONS")</f>
        <v>MUC MOENZOEL FOUNDATIONS</v>
      </c>
      <c r="R1214" s="85" t="str">
        <f>IFERROR(__xludf.DUMMYFUNCTION("""COMPUTED_VALUE"""),"MUC MOENZOEL FOUNDATIONS")</f>
        <v>MUC MOENZOEL FOUNDATIONS</v>
      </c>
      <c r="S1214" s="85" t="str">
        <f>IFERROR(__xludf.DUMMYFUNCTION("""COMPUTED_VALUE"""),"ASEP HERI EDI JUMHARI")</f>
        <v>ASEP HERI EDI JUMHARI</v>
      </c>
      <c r="T1214" s="85" t="str">
        <f>IFERROR(__xludf.DUMMYFUNCTION("""COMPUTED_VALUE"""),"Lingkungan Sukasari RT 01 RW 01 Kel. Cipari Kec. Cigugur Kab. Kuningan")</f>
        <v>Lingkungan Sukasari RT 01 RW 01 Kel. Cipari Kec. Cigugur Kab. Kuningan</v>
      </c>
      <c r="U1214" s="85" t="str">
        <f>IFERROR(__xludf.DUMMYFUNCTION("""COMPUTED_VALUE"""),"Moenzoel Cipari Jl Nasional Sang Adipati Kuningan Lingkungan Sukasari RT 01 RW 01 Cipari, Cigugur, Kab. Kuningan")</f>
        <v>Moenzoel Cipari Jl Nasional Sang Adipati Kuningan Lingkungan Sukasari RT 01 RW 01 Cipari, Cigugur, Kab. Kuningan</v>
      </c>
      <c r="V1214" s="85" t="str">
        <f>IFERROR(__xludf.DUMMYFUNCTION("""COMPUTED_VALUE"""),"RT 01  \ RW 01")</f>
        <v>RT 01  \ RW 01</v>
      </c>
      <c r="W1214" s="85" t="str">
        <f>IFERROR(__xludf.DUMMYFUNCTION("""COMPUTED_VALUE"""),"Cipari")</f>
        <v>Cipari</v>
      </c>
      <c r="X1214" s="85" t="str">
        <f>IFERROR(__xludf.DUMMYFUNCTION("""COMPUTED_VALUE"""),"Cigugur")</f>
        <v>Cigugur</v>
      </c>
      <c r="Y1214" s="85" t="str">
        <f>IFERROR(__xludf.DUMMYFUNCTION("""COMPUTED_VALUE"""),"Kuningan")</f>
        <v>Kuningan</v>
      </c>
      <c r="Z1214" s="85" t="str">
        <f>IFERROR(__xludf.DUMMYFUNCTION("""COMPUTED_VALUE"""),"Jawa Barat")</f>
        <v>Jawa Barat</v>
      </c>
      <c r="AA1214" s="85" t="str">
        <f>IFERROR(__xludf.DUMMYFUNCTION("""COMPUTED_VALUE"""),"45552")</f>
        <v>45552</v>
      </c>
      <c r="AB1214" s="85" t="str">
        <f>IFERROR(__xludf.DUMMYFUNCTION("""COMPUTED_VALUE"""),"3208181712820002")</f>
        <v>3208181712820002</v>
      </c>
      <c r="AC1214" s="85" t="str">
        <f>IFERROR(__xludf.DUMMYFUNCTION("""COMPUTED_VALUE"""),"26.096.911.8-438.000")</f>
        <v>26.096.911.8-438.000</v>
      </c>
      <c r="AD1214" s="85" t="str">
        <f>IFERROR(__xludf.DUMMYFUNCTION("""COMPUTED_VALUE"""),"CUM - UMKMNK - ASEP")</f>
        <v>CUM - UMKMNK - ASEP</v>
      </c>
      <c r="AE1214" s="85" t="str">
        <f>IFERROR(__xludf.DUMMYFUNCTION("""COMPUTED_VALUE"""),"CUM - UMKMNK - ASEP")</f>
        <v>CUM - UMKMNK - ASEP</v>
      </c>
      <c r="AF1214" s="85" t="str">
        <f>IFERROR(__xludf.DUMMYFUNCTION("""COMPUTED_VALUE"""),"085220012328")</f>
        <v>085220012328</v>
      </c>
      <c r="AG1214" s="85" t="str">
        <f>IFERROR(__xludf.DUMMYFUNCTION("""COMPUTED_VALUE"""),"85220012328")</f>
        <v>85220012328</v>
      </c>
      <c r="AH1214" s="85" t="str">
        <f>IFERROR(__xludf.DUMMYFUNCTION("""COMPUTED_VALUE"""),"asepheri897@gmail.com")</f>
        <v>asepheri897@gmail.com</v>
      </c>
      <c r="AI1214" s="85"/>
      <c r="AJ1214" s="85"/>
      <c r="AK1214" s="85"/>
      <c r="AL1214" s="85"/>
      <c r="AM1214" s="85" t="str">
        <f>IFERROR(__xludf.DUMMYFUNCTION("""COMPUTED_VALUE"""),"KANTOR REGIONAL III BANDUNG 40004")</f>
        <v>KANTOR REGIONAL III BANDUNG 40004</v>
      </c>
      <c r="AN1214" s="85" t="str">
        <f>IFERROR(__xludf.DUMMYFUNCTION("""COMPUTED_VALUE"""),"KC KUNINGAN 45500")</f>
        <v>KC KUNINGAN 45500</v>
      </c>
      <c r="AO1214" s="85" t="str">
        <f>IFERROR(__xludf.DUMMYFUNCTION("""COMPUTED_VALUE"""),"0220000412522")</f>
        <v>0220000412522</v>
      </c>
      <c r="AP1214" s="85" t="str">
        <f>IFERROR(__xludf.DUMMYFUNCTION("""COMPUTED_VALUE"""),"0220000412522")</f>
        <v>0220000412522</v>
      </c>
      <c r="AQ1214" s="93" t="str">
        <f>IFERROR(__xludf.DUMMYFUNCTION("""COMPUTED_VALUE"""),"013301010879533")</f>
        <v>013301010879533</v>
      </c>
      <c r="AR1214" s="85" t="str">
        <f>IFERROR(__xludf.DUMMYFUNCTION("""COMPUTED_VALUE"""),"BRI")</f>
        <v>BRI</v>
      </c>
      <c r="AS1214" s="85" t="str">
        <f>IFERROR(__xludf.DUMMYFUNCTION("""COMPUTED_VALUE"""),"ASEP HERI EDI JUMHARI")</f>
        <v>ASEP HERI EDI JUMHARI</v>
      </c>
      <c r="AT1214" s="85" t="str">
        <f>IFERROR(__xludf.DUMMYFUNCTION("""COMPUTED_VALUE"""),"-6.9650354,108.4657865")</f>
        <v>-6.9650354,108.4657865</v>
      </c>
      <c r="AU1214" s="85" t="str">
        <f>IFERROR(__xludf.DUMMYFUNCTION("""COMPUTED_VALUE"""),"-6.9650354,108.4657865")</f>
        <v>-6.9650354,108.4657865</v>
      </c>
      <c r="AV1214" s="85"/>
      <c r="AW1214" s="85"/>
      <c r="AX1214" s="85"/>
      <c r="AY1214" s="85"/>
      <c r="AZ1214" s="85"/>
      <c r="BA1214" s="85"/>
      <c r="BB1214" s="85"/>
      <c r="BC1214" s="85"/>
      <c r="BD1214" s="85"/>
      <c r="BE1214" s="85"/>
      <c r="BF1214" s="85"/>
      <c r="BG1214" s="85"/>
      <c r="BH1214" s="85"/>
      <c r="BI1214" s="85"/>
      <c r="BJ1214" s="85"/>
      <c r="BK1214" s="85"/>
      <c r="BL1214" s="85"/>
      <c r="BM1214" s="85"/>
      <c r="BN1214" s="85"/>
      <c r="BO1214" s="85"/>
      <c r="BP1214" s="85"/>
      <c r="BQ1214" s="85"/>
      <c r="BR1214" s="85"/>
      <c r="BS1214" s="85"/>
      <c r="BT1214" s="85"/>
      <c r="BU1214" s="85"/>
      <c r="BV1214" s="85"/>
      <c r="BW1214" s="85"/>
      <c r="BX1214" s="85"/>
      <c r="BY1214" s="85"/>
      <c r="BZ1214" s="85"/>
      <c r="CA1214" s="85"/>
      <c r="CB1214" s="85"/>
      <c r="CC1214" s="85"/>
      <c r="CD1214" s="85"/>
      <c r="CE1214" s="85"/>
      <c r="CF1214" s="85"/>
      <c r="CG1214" s="85"/>
      <c r="CH1214" s="85"/>
      <c r="CI1214" s="85"/>
      <c r="CJ1214" s="85"/>
      <c r="CK1214" s="2"/>
    </row>
    <row r="1215" ht="12.75" customHeight="1">
      <c r="A1215" s="80">
        <f>IFERROR(__xludf.DUMMYFUNCTION("""COMPUTED_VALUE"""),1211.0)</f>
        <v>1211</v>
      </c>
      <c r="B1215" s="80"/>
      <c r="C1215" s="80"/>
      <c r="D1215" s="81">
        <f>IFERROR(__xludf.DUMMYFUNCTION("""COMPUTED_VALUE"""),46224.0)</f>
        <v>46224</v>
      </c>
      <c r="E1215" s="82"/>
      <c r="F1215" s="80"/>
      <c r="G1215" s="81">
        <f>IFERROR(__xludf.DUMMYFUNCTION("""COMPUTED_VALUE"""),46265.0)</f>
        <v>46265</v>
      </c>
      <c r="H1215" s="80"/>
      <c r="I1215" s="80"/>
      <c r="J1215" s="80"/>
      <c r="K1215" s="80"/>
      <c r="L1215" s="80">
        <f>IFERROR(__xludf.DUMMYFUNCTION("""COMPUTED_VALUE"""),41.0)</f>
        <v>41</v>
      </c>
      <c r="M1215" s="80"/>
      <c r="N1215" s="80"/>
      <c r="O1215" s="80"/>
      <c r="P1215" s="80" t="str">
        <f>IFERROR(__xludf.DUMMYFUNCTION("""COMPUTED_VALUE"""),"44BSPA45367NTBDR")</f>
        <v>44BSPA45367NTBDR</v>
      </c>
      <c r="Q1215" s="80" t="str">
        <f>IFERROR(__xludf.DUMMYFUNCTION("""COMPUTED_VALUE"""),"MUC INDO TRANSPORT")</f>
        <v>MUC INDO TRANSPORT</v>
      </c>
      <c r="R1215" s="80" t="str">
        <f>IFERROR(__xludf.DUMMYFUNCTION("""COMPUTED_VALUE"""),"MUC INDO TRANSPORT")</f>
        <v>MUC INDO TRANSPORT</v>
      </c>
      <c r="S1215" s="80" t="str">
        <f>IFERROR(__xludf.DUMMYFUNCTION("""COMPUTED_VALUE"""),"ANDI HADI AL JUFRI")</f>
        <v>ANDI HADI AL JUFRI</v>
      </c>
      <c r="T1215" s="80" t="str">
        <f>IFERROR(__xludf.DUMMYFUNCTION("""COMPUTED_VALUE"""),"JL. TRANS SULAWESI RT 01 RW 00, TARENGGE, WOTU, KAB.LUWU TIMUR")</f>
        <v>JL. TRANS SULAWESI RT 01 RW 00, TARENGGE, WOTU, KAB.LUWU TIMUR</v>
      </c>
      <c r="U1215" s="80" t="str">
        <f>IFERROR(__xludf.DUMMYFUNCTION("""COMPUTED_VALUE"""),"Ruko Bisnis Centre Blok D11, Jl. Ujung Bori")</f>
        <v>Ruko Bisnis Centre Blok D11, Jl. Ujung Bori</v>
      </c>
      <c r="V1215" s="80" t="str">
        <f>IFERROR(__xludf.DUMMYFUNCTION("""COMPUTED_VALUE"""),"RT 01  \ RW 00,")</f>
        <v>RT 01  \ RW 00,</v>
      </c>
      <c r="W1215" s="80" t="str">
        <f>IFERROR(__xludf.DUMMYFUNCTION("""COMPUTED_VALUE"""),"BORONG")</f>
        <v>BORONG</v>
      </c>
      <c r="X1215" s="80" t="str">
        <f>IFERROR(__xludf.DUMMYFUNCTION("""COMPUTED_VALUE"""),"MANGGALA")</f>
        <v>MANGGALA</v>
      </c>
      <c r="Y1215" s="80" t="str">
        <f>IFERROR(__xludf.DUMMYFUNCTION("""COMPUTED_VALUE"""),"MAKASSAR")</f>
        <v>MAKASSAR</v>
      </c>
      <c r="Z1215" s="80" t="str">
        <f>IFERROR(__xludf.DUMMYFUNCTION("""COMPUTED_VALUE"""),"SULAWESI SELATAN")</f>
        <v>SULAWESI SELATAN</v>
      </c>
      <c r="AA1215" s="80" t="str">
        <f>IFERROR(__xludf.DUMMYFUNCTION("""COMPUTED_VALUE"""),"90234")</f>
        <v>90234</v>
      </c>
      <c r="AB1215" s="80" t="str">
        <f>IFERROR(__xludf.DUMMYFUNCTION("""COMPUTED_VALUE"""),"7324062212780001")</f>
        <v>7324062212780001</v>
      </c>
      <c r="AC1215" s="80" t="str">
        <f>IFERROR(__xludf.DUMMYFUNCTION("""COMPUTED_VALUE"""),"50.713.695.0-803.000")</f>
        <v>50.713.695.0-803.000</v>
      </c>
      <c r="AD1215" s="80" t="str">
        <f>IFERROR(__xludf.DUMMYFUNCTION("""COMPUTED_VALUE"""),"44CUMBSBDRIEN - CUM BSB - DRIEN")</f>
        <v>44CUMBSBDRIEN - CUM BSB - DRIEN</v>
      </c>
      <c r="AE1215" s="80" t="str">
        <f>IFERROR(__xludf.DUMMYFUNCTION("""COMPUTED_VALUE"""),"44CUMBSBDRIEN - CUM BSB - DRIEN")</f>
        <v>44CUMBSBDRIEN - CUM BSB - DRIEN</v>
      </c>
      <c r="AF1215" s="80" t="str">
        <f>IFERROR(__xludf.DUMMYFUNCTION("""COMPUTED_VALUE"""),"082271453333")</f>
        <v>082271453333</v>
      </c>
      <c r="AG1215" s="80" t="str">
        <f>IFERROR(__xludf.DUMMYFUNCTION("""COMPUTED_VALUE"""),"82271453333")</f>
        <v>82271453333</v>
      </c>
      <c r="AH1215" s="80" t="str">
        <f>IFERROR(__xludf.DUMMYFUNCTION("""COMPUTED_VALUE"""),"indotrans04@gmail.com")</f>
        <v>indotrans04@gmail.com</v>
      </c>
      <c r="AI1215" s="80" t="str">
        <f>IFERROR(__xludf.DUMMYFUNCTION("""COMPUTED_VALUE"""),"90234S1")</f>
        <v>90234S1</v>
      </c>
      <c r="AJ1215" s="80" t="str">
        <f>IFERROR(__xludf.DUMMYFUNCTION("""COMPUTED_VALUE"""),"6a9258b210b4078be5012ff9")</f>
        <v>6a9258b210b4078be5012ff9</v>
      </c>
      <c r="AK1215" s="80" t="str">
        <f>IFERROR(__xludf.DUMMYFUNCTION("""COMPUTED_VALUE"""),"indotrans04@gmail.com")</f>
        <v>indotrans04@gmail.com</v>
      </c>
      <c r="AL1215" s="80" t="str">
        <f>IFERROR(__xludf.DUMMYFUNCTION("""COMPUTED_VALUE"""),"#Muc9023S1*")</f>
        <v>#Muc9023S1*</v>
      </c>
      <c r="AM1215" s="80" t="str">
        <f>IFERROR(__xludf.DUMMYFUNCTION("""COMPUTED_VALUE"""),"KANTOR REGIONAL VI MAKASAR 90004")</f>
        <v>KANTOR REGIONAL VI MAKASAR 90004</v>
      </c>
      <c r="AN1215" s="80" t="str">
        <f>IFERROR(__xludf.DUMMYFUNCTION("""COMPUTED_VALUE"""),"KCU MAKASSAR 90000")</f>
        <v>KCU MAKASSAR 90000</v>
      </c>
      <c r="AO1215" s="80" t="str">
        <f>IFERROR(__xludf.DUMMYFUNCTION("""COMPUTED_VALUE"""),"2805240003236")</f>
        <v>2805240003236</v>
      </c>
      <c r="AP1215" s="80" t="str">
        <f>IFERROR(__xludf.DUMMYFUNCTION("""COMPUTED_VALUE"""),"2805240003236")</f>
        <v>2805240003236</v>
      </c>
      <c r="AQ1215" s="83" t="str">
        <f>IFERROR(__xludf.DUMMYFUNCTION("""COMPUTED_VALUE"""),"8260867335")</f>
        <v>8260867335</v>
      </c>
      <c r="AR1215" s="80" t="str">
        <f>IFERROR(__xludf.DUMMYFUNCTION("""COMPUTED_VALUE"""),"BCA")</f>
        <v>BCA</v>
      </c>
      <c r="AS1215" s="80" t="str">
        <f>IFERROR(__xludf.DUMMYFUNCTION("""COMPUTED_VALUE"""),"ANDI HADI AL JUFRI")</f>
        <v>ANDI HADI AL JUFRI</v>
      </c>
      <c r="AT1215" s="80" t="str">
        <f>IFERROR(__xludf.DUMMYFUNCTION("""COMPUTED_VALUE"""),"-51,645,126.00")</f>
        <v>-51,645,126.00</v>
      </c>
      <c r="AU1215" s="80" t="str">
        <f>IFERROR(__xludf.DUMMYFUNCTION("""COMPUTED_VALUE"""),"1,194,727,709")</f>
        <v>1,194,727,709</v>
      </c>
      <c r="AV1215" s="80"/>
      <c r="AW1215" s="80"/>
      <c r="AX1215" s="80"/>
      <c r="AY1215" s="80"/>
      <c r="AZ1215" s="80"/>
      <c r="BA1215" s="80"/>
      <c r="BB1215" s="80"/>
      <c r="BC1215" s="80"/>
      <c r="BD1215" s="80"/>
      <c r="BE1215" s="80"/>
      <c r="BF1215" s="80"/>
      <c r="BG1215" s="80"/>
      <c r="BH1215" s="80"/>
      <c r="BI1215" s="80"/>
      <c r="BJ1215" s="80"/>
      <c r="BK1215" s="80"/>
      <c r="BL1215" s="80"/>
      <c r="BM1215" s="80"/>
      <c r="BN1215" s="80"/>
      <c r="BO1215" s="80"/>
      <c r="BP1215" s="80"/>
      <c r="BQ1215" s="80"/>
      <c r="BR1215" s="80"/>
      <c r="BS1215" s="80"/>
      <c r="BT1215" s="80"/>
      <c r="BU1215" s="80"/>
      <c r="BV1215" s="80"/>
      <c r="BW1215" s="80"/>
      <c r="BX1215" s="80"/>
      <c r="BY1215" s="80"/>
      <c r="BZ1215" s="80"/>
      <c r="CA1215" s="80"/>
      <c r="CB1215" s="80"/>
      <c r="CC1215" s="80"/>
      <c r="CD1215" s="80"/>
      <c r="CE1215" s="80"/>
      <c r="CF1215" s="80"/>
      <c r="CG1215" s="80"/>
      <c r="CH1215" s="80"/>
      <c r="CI1215" s="80"/>
      <c r="CJ1215" s="80"/>
      <c r="CK1215" s="2"/>
    </row>
    <row r="1216" ht="12.75" customHeight="1">
      <c r="A1216" s="85">
        <f>IFERROR(__xludf.DUMMYFUNCTION("""COMPUTED_VALUE"""),1212.0)</f>
        <v>1212</v>
      </c>
      <c r="B1216" s="85"/>
      <c r="C1216" s="85"/>
      <c r="D1216" s="86">
        <f>IFERROR(__xludf.DUMMYFUNCTION("""COMPUTED_VALUE"""),46224.0)</f>
        <v>46224</v>
      </c>
      <c r="E1216" s="88"/>
      <c r="F1216" s="85"/>
      <c r="G1216" s="86">
        <f>IFERROR(__xludf.DUMMYFUNCTION("""COMPUTED_VALUE"""),46258.0)</f>
        <v>46258</v>
      </c>
      <c r="H1216" s="85"/>
      <c r="I1216" s="85"/>
      <c r="J1216" s="85"/>
      <c r="K1216" s="85"/>
      <c r="L1216" s="85">
        <f>IFERROR(__xludf.DUMMYFUNCTION("""COMPUTED_VALUE"""),34.0)</f>
        <v>34</v>
      </c>
      <c r="M1216" s="85"/>
      <c r="N1216" s="85"/>
      <c r="O1216" s="85"/>
      <c r="P1216" s="85" t="str">
        <f>IFERROR(__xludf.DUMMYFUNCTION("""COMPUTED_VALUE"""),"53BSPA17158JBNNK")</f>
        <v>53BSPA17158JBNNK</v>
      </c>
      <c r="Q1216" s="85" t="str">
        <f>IFERROR(__xludf.DUMMYFUNCTION("""COMPUTED_VALUE"""),"MUC UD KARUNIA BERKAH")</f>
        <v>MUC UD KARUNIA BERKAH</v>
      </c>
      <c r="R1216" s="85" t="str">
        <f>IFERROR(__xludf.DUMMYFUNCTION("""COMPUTED_VALUE"""),"MUC UD KARUNIA BERKAH")</f>
        <v>MUC UD KARUNIA BERKAH</v>
      </c>
      <c r="S1216" s="85" t="str">
        <f>IFERROR(__xludf.DUMMYFUNCTION("""COMPUTED_VALUE"""),"HENO RAMADHAN")</f>
        <v>HENO RAMADHAN</v>
      </c>
      <c r="T1216" s="85" t="str">
        <f>IFERROR(__xludf.DUMMYFUNCTION("""COMPUTED_VALUE"""),"KP. TONGGOH RT 2 RW 1, GUNUNGSARI, CITEUREUP, KAB. BOGOR")</f>
        <v>KP. TONGGOH RT 2 RW 1, GUNUNGSARI, CITEUREUP, KAB. BOGOR</v>
      </c>
      <c r="U1216" s="85" t="str">
        <f>IFERROR(__xludf.DUMMYFUNCTION("""COMPUTED_VALUE"""),"JL. SABILILAH")</f>
        <v>JL. SABILILAH</v>
      </c>
      <c r="V1216" s="85" t="str">
        <f>IFERROR(__xludf.DUMMYFUNCTION("""COMPUTED_VALUE"""),"RT 2 R \ RW 1,")</f>
        <v>RT 2 R \ RW 1,</v>
      </c>
      <c r="W1216" s="85" t="str">
        <f>IFERROR(__xludf.DUMMYFUNCTION("""COMPUTED_VALUE"""),"CITEUREUP")</f>
        <v>CITEUREUP</v>
      </c>
      <c r="X1216" s="85" t="str">
        <f>IFERROR(__xludf.DUMMYFUNCTION("""COMPUTED_VALUE"""),"CITEUREUP")</f>
        <v>CITEUREUP</v>
      </c>
      <c r="Y1216" s="85" t="str">
        <f>IFERROR(__xludf.DUMMYFUNCTION("""COMPUTED_VALUE"""),"KAB. BOGOR")</f>
        <v>KAB. BOGOR</v>
      </c>
      <c r="Z1216" s="85" t="str">
        <f>IFERROR(__xludf.DUMMYFUNCTION("""COMPUTED_VALUE"""),"JAWA BARAT")</f>
        <v>JAWA BARAT</v>
      </c>
      <c r="AA1216" s="85" t="str">
        <f>IFERROR(__xludf.DUMMYFUNCTION("""COMPUTED_VALUE"""),"16810")</f>
        <v>16810</v>
      </c>
      <c r="AB1216" s="85" t="str">
        <f>IFERROR(__xludf.DUMMYFUNCTION("""COMPUTED_VALUE"""),"3201030106840001")</f>
        <v>3201030106840001</v>
      </c>
      <c r="AC1216" s="85" t="str">
        <f>IFERROR(__xludf.DUMMYFUNCTION("""COMPUTED_VALUE"""),"79.945.270.1-436.000")</f>
        <v>79.945.270.1-436.000</v>
      </c>
      <c r="AD1216" s="85" t="str">
        <f>IFERROR(__xludf.DUMMYFUNCTION("""COMPUTED_VALUE"""),"CUM - NANIKA")</f>
        <v>CUM - NANIKA</v>
      </c>
      <c r="AE1216" s="85" t="str">
        <f>IFERROR(__xludf.DUMMYFUNCTION("""COMPUTED_VALUE"""),"CUM - NANIKA")</f>
        <v>CUM - NANIKA</v>
      </c>
      <c r="AF1216" s="85" t="str">
        <f>IFERROR(__xludf.DUMMYFUNCTION("""COMPUTED_VALUE"""),"0895339892349")</f>
        <v>0895339892349</v>
      </c>
      <c r="AG1216" s="85" t="str">
        <f>IFERROR(__xludf.DUMMYFUNCTION("""COMPUTED_VALUE"""),"895339892349")</f>
        <v>895339892349</v>
      </c>
      <c r="AH1216" s="85" t="str">
        <f>IFERROR(__xludf.DUMMYFUNCTION("""COMPUTED_VALUE"""),"henojibeh16@gmail.com")</f>
        <v>henojibeh16@gmail.com</v>
      </c>
      <c r="AI1216" s="85" t="str">
        <f>IFERROR(__xludf.DUMMYFUNCTION("""COMPUTED_VALUE"""),"16811S5")</f>
        <v>16811S5</v>
      </c>
      <c r="AJ1216" s="85" t="str">
        <f>IFERROR(__xludf.DUMMYFUNCTION("""COMPUTED_VALUE"""),"6a88f551b75136357603d9b4")</f>
        <v>6a88f551b75136357603d9b4</v>
      </c>
      <c r="AK1216" s="85" t="str">
        <f>IFERROR(__xludf.DUMMYFUNCTION("""COMPUTED_VALUE"""),"henojibeh16@gmail.com")</f>
        <v>henojibeh16@gmail.com</v>
      </c>
      <c r="AL1216" s="85" t="str">
        <f>IFERROR(__xludf.DUMMYFUNCTION("""COMPUTED_VALUE"""),"#Muc16811S5$")</f>
        <v>#Muc16811S5$</v>
      </c>
      <c r="AM1216" s="85" t="str">
        <f>IFERROR(__xludf.DUMMYFUNCTION("""COMPUTED_VALUE"""),"KANTOR REGIONAL II JAKARTA 10004")</f>
        <v>KANTOR REGIONAL II JAKARTA 10004</v>
      </c>
      <c r="AN1216" s="85" t="str">
        <f>IFERROR(__xludf.DUMMYFUNCTION("""COMPUTED_VALUE"""),"KC CIBINONG 16900")</f>
        <v>KC CIBINONG 16900</v>
      </c>
      <c r="AO1216" s="85" t="str">
        <f>IFERROR(__xludf.DUMMYFUNCTION("""COMPUTED_VALUE"""),"2904240258557")</f>
        <v>2904240258557</v>
      </c>
      <c r="AP1216" s="85" t="str">
        <f>IFERROR(__xludf.DUMMYFUNCTION("""COMPUTED_VALUE"""),"2904240258557")</f>
        <v>2904240258557</v>
      </c>
      <c r="AQ1216" s="93" t="str">
        <f>IFERROR(__xludf.DUMMYFUNCTION("""COMPUTED_VALUE"""),"5995024630")</f>
        <v>5995024630</v>
      </c>
      <c r="AR1216" s="85" t="str">
        <f>IFERROR(__xludf.DUMMYFUNCTION("""COMPUTED_VALUE"""),"BCA")</f>
        <v>BCA</v>
      </c>
      <c r="AS1216" s="85" t="str">
        <f>IFERROR(__xludf.DUMMYFUNCTION("""COMPUTED_VALUE"""),"HENO RAMADHAN")</f>
        <v>HENO RAMADHAN</v>
      </c>
      <c r="AT1216" s="85" t="str">
        <f>IFERROR(__xludf.DUMMYFUNCTION("""COMPUTED_VALUE"""),"-6.4881861,106.8740178")</f>
        <v>-6.4881861,106.8740178</v>
      </c>
      <c r="AU1216" s="85" t="str">
        <f>IFERROR(__xludf.DUMMYFUNCTION("""COMPUTED_VALUE"""),"-6.4881861,106.8740178")</f>
        <v>-6.4881861,106.8740178</v>
      </c>
      <c r="AV1216" s="85"/>
      <c r="AW1216" s="85"/>
      <c r="AX1216" s="85"/>
      <c r="AY1216" s="85"/>
      <c r="AZ1216" s="85"/>
      <c r="BA1216" s="85"/>
      <c r="BB1216" s="85"/>
      <c r="BC1216" s="85"/>
      <c r="BD1216" s="85"/>
      <c r="BE1216" s="85"/>
      <c r="BF1216" s="85"/>
      <c r="BG1216" s="85"/>
      <c r="BH1216" s="85"/>
      <c r="BI1216" s="85"/>
      <c r="BJ1216" s="85"/>
      <c r="BK1216" s="85"/>
      <c r="BL1216" s="85"/>
      <c r="BM1216" s="85"/>
      <c r="BN1216" s="85"/>
      <c r="BO1216" s="85"/>
      <c r="BP1216" s="85"/>
      <c r="BQ1216" s="85"/>
      <c r="BR1216" s="85"/>
      <c r="BS1216" s="85"/>
      <c r="BT1216" s="85"/>
      <c r="BU1216" s="85"/>
      <c r="BV1216" s="85"/>
      <c r="BW1216" s="85"/>
      <c r="BX1216" s="85"/>
      <c r="BY1216" s="85"/>
      <c r="BZ1216" s="85"/>
      <c r="CA1216" s="85"/>
      <c r="CB1216" s="85"/>
      <c r="CC1216" s="85"/>
      <c r="CD1216" s="85"/>
      <c r="CE1216" s="85"/>
      <c r="CF1216" s="85"/>
      <c r="CG1216" s="85"/>
      <c r="CH1216" s="85"/>
      <c r="CI1216" s="85"/>
      <c r="CJ1216" s="85"/>
      <c r="CK1216" s="2"/>
    </row>
    <row r="1217" ht="12.75" customHeight="1">
      <c r="A1217" s="80">
        <f>IFERROR(__xludf.DUMMYFUNCTION("""COMPUTED_VALUE"""),1213.0)</f>
        <v>1213</v>
      </c>
      <c r="B1217" s="80"/>
      <c r="C1217" s="80"/>
      <c r="D1217" s="81">
        <f>IFERROR(__xludf.DUMMYFUNCTION("""COMPUTED_VALUE"""),46224.0)</f>
        <v>46224</v>
      </c>
      <c r="E1217" s="82"/>
      <c r="F1217" s="80"/>
      <c r="G1217" s="81"/>
      <c r="H1217" s="80"/>
      <c r="I1217" s="80"/>
      <c r="J1217" s="80"/>
      <c r="K1217" s="80"/>
      <c r="L1217" s="80"/>
      <c r="M1217" s="80"/>
      <c r="N1217" s="80"/>
      <c r="O1217" s="80"/>
      <c r="P1217" s="80" t="str">
        <f>IFERROR(__xludf.DUMMYFUNCTION("""COMPUTED_VALUE"""),"53BSPA17152JBNDS")</f>
        <v>53BSPA17152JBNDS</v>
      </c>
      <c r="Q1217" s="80" t="str">
        <f>IFERROR(__xludf.DUMMYFUNCTION("""COMPUTED_VALUE"""),"MUC RIHLA")</f>
        <v>MUC RIHLA</v>
      </c>
      <c r="R1217" s="80" t="str">
        <f>IFERROR(__xludf.DUMMYFUNCTION("""COMPUTED_VALUE"""),"MUC RIHLA")</f>
        <v>MUC RIHLA</v>
      </c>
      <c r="S1217" s="80" t="str">
        <f>IFERROR(__xludf.DUMMYFUNCTION("""COMPUTED_VALUE"""),"ENGGAR MAWARTI")</f>
        <v>ENGGAR MAWARTI</v>
      </c>
      <c r="T1217" s="80" t="str">
        <f>IFERROR(__xludf.DUMMYFUNCTION("""COMPUTED_VALUE"""),"JL. KERJA BAKTI RT OO6 RW 002")</f>
        <v>JL. KERJA BAKTI RT OO6 RW 002</v>
      </c>
      <c r="U1217" s="80" t="str">
        <f>IFERROR(__xludf.DUMMYFUNCTION("""COMPUTED_VALUE"""),"JL. KERJA BAKTI RT OO6 RW 002, MAKASAR JAKTIM")</f>
        <v>JL. KERJA BAKTI RT OO6 RW 002, MAKASAR JAKTIM</v>
      </c>
      <c r="V1217" s="80" t="str">
        <f>IFERROR(__xludf.DUMMYFUNCTION("""COMPUTED_VALUE"""),"RT OO6 \ RW 002")</f>
        <v>RT OO6 \ RW 002</v>
      </c>
      <c r="W1217" s="80" t="str">
        <f>IFERROR(__xludf.DUMMYFUNCTION("""COMPUTED_VALUE"""),"MAKASAR")</f>
        <v>MAKASAR</v>
      </c>
      <c r="X1217" s="80" t="str">
        <f>IFERROR(__xludf.DUMMYFUNCTION("""COMPUTED_VALUE"""),"MAKASAR")</f>
        <v>MAKASAR</v>
      </c>
      <c r="Y1217" s="80" t="str">
        <f>IFERROR(__xludf.DUMMYFUNCTION("""COMPUTED_VALUE"""),"JAKTIM")</f>
        <v>JAKTIM</v>
      </c>
      <c r="Z1217" s="80" t="str">
        <f>IFERROR(__xludf.DUMMYFUNCTION("""COMPUTED_VALUE"""),"DKI Jakarta")</f>
        <v>DKI Jakarta</v>
      </c>
      <c r="AA1217" s="80" t="str">
        <f>IFERROR(__xludf.DUMMYFUNCTION("""COMPUTED_VALUE"""),"13570")</f>
        <v>13570</v>
      </c>
      <c r="AB1217" s="80" t="str">
        <f>IFERROR(__xludf.DUMMYFUNCTION("""COMPUTED_VALUE"""),"3175087105880001")</f>
        <v>3175087105880001</v>
      </c>
      <c r="AC1217" s="80" t="str">
        <f>IFERROR(__xludf.DUMMYFUNCTION("""COMPUTED_VALUE"""),"31.750.871.0-588.0001")</f>
        <v>31.750.871.0-588.0001</v>
      </c>
      <c r="AD1217" s="80" t="str">
        <f>IFERROR(__xludf.DUMMYFUNCTION("""COMPUTED_VALUE"""),"CUM - NDS")</f>
        <v>CUM - NDS</v>
      </c>
      <c r="AE1217" s="80" t="str">
        <f>IFERROR(__xludf.DUMMYFUNCTION("""COMPUTED_VALUE"""),"CUM - NDS")</f>
        <v>CUM - NDS</v>
      </c>
      <c r="AF1217" s="80" t="str">
        <f>IFERROR(__xludf.DUMMYFUNCTION("""COMPUTED_VALUE"""),"085811068570")</f>
        <v>085811068570</v>
      </c>
      <c r="AG1217" s="80" t="str">
        <f>IFERROR(__xludf.DUMMYFUNCTION("""COMPUTED_VALUE"""),"85811068570")</f>
        <v>85811068570</v>
      </c>
      <c r="AH1217" s="80" t="str">
        <f>IFERROR(__xludf.DUMMYFUNCTION("""COMPUTED_VALUE"""),"mawartienggar25@gmail.com")</f>
        <v>mawartienggar25@gmail.com</v>
      </c>
      <c r="AI1217" s="80"/>
      <c r="AJ1217" s="80"/>
      <c r="AK1217" s="80"/>
      <c r="AL1217" s="80"/>
      <c r="AM1217" s="80" t="str">
        <f>IFERROR(__xludf.DUMMYFUNCTION("""COMPUTED_VALUE"""),"KANTOR REGIONAL II JAKARTA 10004")</f>
        <v>KANTOR REGIONAL II JAKARTA 10004</v>
      </c>
      <c r="AN1217" s="80" t="str">
        <f>IFERROR(__xludf.DUMMYFUNCTION("""COMPUTED_VALUE"""),"KCU JAKARTAPREMIER 13000")</f>
        <v>KCU JAKARTAPREMIER 13000</v>
      </c>
      <c r="AO1217" s="80" t="str">
        <f>IFERROR(__xludf.DUMMYFUNCTION("""COMPUTED_VALUE"""),"2107260027206")</f>
        <v>2107260027206</v>
      </c>
      <c r="AP1217" s="80" t="str">
        <f>IFERROR(__xludf.DUMMYFUNCTION("""COMPUTED_VALUE"""),"2107260027206")</f>
        <v>2107260027206</v>
      </c>
      <c r="AQ1217" s="83" t="str">
        <f>IFERROR(__xludf.DUMMYFUNCTION("""COMPUTED_VALUE"""),"5265171041")</f>
        <v>5265171041</v>
      </c>
      <c r="AR1217" s="80" t="str">
        <f>IFERROR(__xludf.DUMMYFUNCTION("""COMPUTED_VALUE"""),"BCA")</f>
        <v>BCA</v>
      </c>
      <c r="AS1217" s="80" t="str">
        <f>IFERROR(__xludf.DUMMYFUNCTION("""COMPUTED_VALUE"""),"ENGGAR MAWARTI")</f>
        <v>ENGGAR MAWARTI</v>
      </c>
      <c r="AT1217" s="80" t="str">
        <f>IFERROR(__xludf.DUMMYFUNCTION("""COMPUTED_VALUE"""),"-6.2679699,106.878947")</f>
        <v>-6.2679699,106.878947</v>
      </c>
      <c r="AU1217" s="80" t="str">
        <f>IFERROR(__xludf.DUMMYFUNCTION("""COMPUTED_VALUE"""),"-6.2679699,106.878947")</f>
        <v>-6.2679699,106.878947</v>
      </c>
      <c r="AV1217" s="80"/>
      <c r="AW1217" s="80"/>
      <c r="AX1217" s="80"/>
      <c r="AY1217" s="80"/>
      <c r="AZ1217" s="80"/>
      <c r="BA1217" s="80"/>
      <c r="BB1217" s="80"/>
      <c r="BC1217" s="80"/>
      <c r="BD1217" s="80"/>
      <c r="BE1217" s="80"/>
      <c r="BF1217" s="80"/>
      <c r="BG1217" s="80"/>
      <c r="BH1217" s="80"/>
      <c r="BI1217" s="80"/>
      <c r="BJ1217" s="80"/>
      <c r="BK1217" s="80"/>
      <c r="BL1217" s="80"/>
      <c r="BM1217" s="80"/>
      <c r="BN1217" s="80"/>
      <c r="BO1217" s="80"/>
      <c r="BP1217" s="80"/>
      <c r="BQ1217" s="80"/>
      <c r="BR1217" s="80"/>
      <c r="BS1217" s="80"/>
      <c r="BT1217" s="80"/>
      <c r="BU1217" s="80"/>
      <c r="BV1217" s="80"/>
      <c r="BW1217" s="80"/>
      <c r="BX1217" s="80"/>
      <c r="BY1217" s="80"/>
      <c r="BZ1217" s="80"/>
      <c r="CA1217" s="80"/>
      <c r="CB1217" s="80"/>
      <c r="CC1217" s="80"/>
      <c r="CD1217" s="80"/>
      <c r="CE1217" s="80"/>
      <c r="CF1217" s="80"/>
      <c r="CG1217" s="80"/>
      <c r="CH1217" s="80"/>
      <c r="CI1217" s="80"/>
      <c r="CJ1217" s="80"/>
      <c r="CK1217" s="2"/>
    </row>
    <row r="1218" ht="12.75" customHeight="1">
      <c r="A1218" s="85">
        <f>IFERROR(__xludf.DUMMYFUNCTION("""COMPUTED_VALUE"""),1214.0)</f>
        <v>1214</v>
      </c>
      <c r="B1218" s="85"/>
      <c r="C1218" s="85"/>
      <c r="D1218" s="86">
        <f>IFERROR(__xludf.DUMMYFUNCTION("""COMPUTED_VALUE"""),46224.0)</f>
        <v>46224</v>
      </c>
      <c r="E1218" s="88"/>
      <c r="F1218" s="85"/>
      <c r="G1218" s="86">
        <f>IFERROR(__xludf.DUMMYFUNCTION("""COMPUTED_VALUE"""),46252.0)</f>
        <v>46252</v>
      </c>
      <c r="H1218" s="85"/>
      <c r="I1218" s="85"/>
      <c r="J1218" s="85"/>
      <c r="K1218" s="85"/>
      <c r="L1218" s="85">
        <f>IFERROR(__xludf.DUMMYFUNCTION("""COMPUTED_VALUE"""),28.0)</f>
        <v>28</v>
      </c>
      <c r="M1218" s="85"/>
      <c r="N1218" s="85"/>
      <c r="O1218" s="85"/>
      <c r="P1218" s="85" t="str">
        <f>IFERROR(__xludf.DUMMYFUNCTION("""COMPUTED_VALUE"""),"44BSPA45368NTBDR")</f>
        <v>44BSPA45368NTBDR</v>
      </c>
      <c r="Q1218" s="85" t="str">
        <f>IFERROR(__xludf.DUMMYFUNCTION("""COMPUTED_VALUE"""),"MUC NIGAN")</f>
        <v>MUC NIGAN</v>
      </c>
      <c r="R1218" s="85" t="str">
        <f>IFERROR(__xludf.DUMMYFUNCTION("""COMPUTED_VALUE"""),"MUC NIGAN")</f>
        <v>MUC NIGAN</v>
      </c>
      <c r="S1218" s="85" t="str">
        <f>IFERROR(__xludf.DUMMYFUNCTION("""COMPUTED_VALUE"""),"PASKHA BAKTI KURNIAWAN")</f>
        <v>PASKHA BAKTI KURNIAWAN</v>
      </c>
      <c r="T1218" s="85" t="str">
        <f>IFERROR(__xludf.DUMMYFUNCTION("""COMPUTED_VALUE"""),"ASRAMA PUTRA STIKES BAPTIS BLOK GG MAKAM NO. 03-11 BANGSAL PESANTREN KOTA KEDIRI JAWA TIMUR")</f>
        <v>ASRAMA PUTRA STIKES BAPTIS BLOK GG MAKAM NO. 03-11 BANGSAL PESANTREN KOTA KEDIRI JAWA TIMUR</v>
      </c>
      <c r="U1218" s="85" t="str">
        <f>IFERROR(__xludf.DUMMYFUNCTION("""COMPUTED_VALUE"""),"Jl. KH Hasyim Ashari, RT.01/RW.09, Banjarmlati, Kec. Mojoroto, Kabupaten Kediri, Jawa Timur 64119")</f>
        <v>Jl. KH Hasyim Ashari, RT.01/RW.09, Banjarmlati, Kec. Mojoroto, Kabupaten Kediri, Jawa Timur 64119</v>
      </c>
      <c r="V1218" s="85"/>
      <c r="W1218" s="85" t="str">
        <f>IFERROR(__xludf.DUMMYFUNCTION("""COMPUTED_VALUE"""),"Banjarmlati")</f>
        <v>Banjarmlati</v>
      </c>
      <c r="X1218" s="85" t="str">
        <f>IFERROR(__xludf.DUMMYFUNCTION("""COMPUTED_VALUE"""),"Mojoroto")</f>
        <v>Mojoroto</v>
      </c>
      <c r="Y1218" s="85" t="str">
        <f>IFERROR(__xludf.DUMMYFUNCTION("""COMPUTED_VALUE"""),"Kediri")</f>
        <v>Kediri</v>
      </c>
      <c r="Z1218" s="85" t="str">
        <f>IFERROR(__xludf.DUMMYFUNCTION("""COMPUTED_VALUE"""),"Jawa Timur")</f>
        <v>Jawa Timur</v>
      </c>
      <c r="AA1218" s="85" t="str">
        <f>IFERROR(__xludf.DUMMYFUNCTION("""COMPUTED_VALUE"""),"64119")</f>
        <v>64119</v>
      </c>
      <c r="AB1218" s="85" t="str">
        <f>IFERROR(__xludf.DUMMYFUNCTION("""COMPUTED_VALUE"""),"3506042604880002")</f>
        <v>3506042604880002</v>
      </c>
      <c r="AC1218" s="85" t="str">
        <f>IFERROR(__xludf.DUMMYFUNCTION("""COMPUTED_VALUE"""),"66.295.661.4-542.000")</f>
        <v>66.295.661.4-542.000</v>
      </c>
      <c r="AD1218" s="85" t="str">
        <f>IFERROR(__xludf.DUMMYFUNCTION("""COMPUTED_VALUE"""),"44CUMBSBDRIEN - CUM BSB - DRIEN")</f>
        <v>44CUMBSBDRIEN - CUM BSB - DRIEN</v>
      </c>
      <c r="AE1218" s="85" t="str">
        <f>IFERROR(__xludf.DUMMYFUNCTION("""COMPUTED_VALUE"""),"44CUMBSBDRIEN - CUM BSB - DRIEN")</f>
        <v>44CUMBSBDRIEN - CUM BSB - DRIEN</v>
      </c>
      <c r="AF1218" s="85" t="str">
        <f>IFERROR(__xludf.DUMMYFUNCTION("""COMPUTED_VALUE"""),"081327708883")</f>
        <v>081327708883</v>
      </c>
      <c r="AG1218" s="85" t="str">
        <f>IFERROR(__xludf.DUMMYFUNCTION("""COMPUTED_VALUE"""),"81327708883")</f>
        <v>81327708883</v>
      </c>
      <c r="AH1218" s="85" t="str">
        <f>IFERROR(__xludf.DUMMYFUNCTION("""COMPUTED_VALUE"""),"momapo.paskha@gmail.com")</f>
        <v>momapo.paskha@gmail.com</v>
      </c>
      <c r="AI1218" s="85" t="str">
        <f>IFERROR(__xludf.DUMMYFUNCTION("""COMPUTED_VALUE"""),"64119S4")</f>
        <v>64119S4</v>
      </c>
      <c r="AJ1218" s="85" t="str">
        <f>IFERROR(__xludf.DUMMYFUNCTION("""COMPUTED_VALUE"""),"6a81bfa470ebe991b00fa1ae")</f>
        <v>6a81bfa470ebe991b00fa1ae</v>
      </c>
      <c r="AK1218" s="85" t="str">
        <f>IFERROR(__xludf.DUMMYFUNCTION("""COMPUTED_VALUE"""),"momapo.paskha@gmail.com")</f>
        <v>momapo.paskha@gmail.com</v>
      </c>
      <c r="AL1218" s="85" t="str">
        <f>IFERROR(__xludf.DUMMYFUNCTION("""COMPUTED_VALUE"""),"#Muc64119S4$")</f>
        <v>#Muc64119S4$</v>
      </c>
      <c r="AM1218" s="85" t="str">
        <f>IFERROR(__xludf.DUMMYFUNCTION("""COMPUTED_VALUE"""),"KANTOR REGIONAL V SURABAYA 60004")</f>
        <v>KANTOR REGIONAL V SURABAYA 60004</v>
      </c>
      <c r="AN1218" s="85" t="str">
        <f>IFERROR(__xludf.DUMMYFUNCTION("""COMPUTED_VALUE"""),"KC KEDIRI 64100")</f>
        <v>KC KEDIRI 64100</v>
      </c>
      <c r="AO1218" s="85" t="str">
        <f>IFERROR(__xludf.DUMMYFUNCTION("""COMPUTED_VALUE"""),"1006260020012")</f>
        <v>1006260020012</v>
      </c>
      <c r="AP1218" s="85" t="str">
        <f>IFERROR(__xludf.DUMMYFUNCTION("""COMPUTED_VALUE"""),"1006260020012")</f>
        <v>1006260020012</v>
      </c>
      <c r="AQ1218" s="93" t="str">
        <f>IFERROR(__xludf.DUMMYFUNCTION("""COMPUTED_VALUE"""),"003301005404565")</f>
        <v>003301005404565</v>
      </c>
      <c r="AR1218" s="85" t="str">
        <f>IFERROR(__xludf.DUMMYFUNCTION("""COMPUTED_VALUE"""),"BRI")</f>
        <v>BRI</v>
      </c>
      <c r="AS1218" s="85" t="str">
        <f>IFERROR(__xludf.DUMMYFUNCTION("""COMPUTED_VALUE"""),"PASKHA BAKTI KURNIAWAN")</f>
        <v>PASKHA BAKTI KURNIAWAN</v>
      </c>
      <c r="AT1218" s="85" t="str">
        <f>IFERROR(__xludf.DUMMYFUNCTION("""COMPUTED_VALUE"""),"-7.8354822,112.0019095")</f>
        <v>-7.8354822,112.0019095</v>
      </c>
      <c r="AU1218" s="85" t="str">
        <f>IFERROR(__xludf.DUMMYFUNCTION("""COMPUTED_VALUE"""),"-7.8354822,112.0019095")</f>
        <v>-7.8354822,112.0019095</v>
      </c>
      <c r="AV1218" s="85"/>
      <c r="AW1218" s="85"/>
      <c r="AX1218" s="85"/>
      <c r="AY1218" s="85"/>
      <c r="AZ1218" s="85"/>
      <c r="BA1218" s="85"/>
      <c r="BB1218" s="85"/>
      <c r="BC1218" s="85"/>
      <c r="BD1218" s="85"/>
      <c r="BE1218" s="85"/>
      <c r="BF1218" s="85"/>
      <c r="BG1218" s="85"/>
      <c r="BH1218" s="85"/>
      <c r="BI1218" s="85"/>
      <c r="BJ1218" s="85"/>
      <c r="BK1218" s="85"/>
      <c r="BL1218" s="85"/>
      <c r="BM1218" s="85"/>
      <c r="BN1218" s="85"/>
      <c r="BO1218" s="85"/>
      <c r="BP1218" s="85"/>
      <c r="BQ1218" s="85"/>
      <c r="BR1218" s="85"/>
      <c r="BS1218" s="85"/>
      <c r="BT1218" s="85"/>
      <c r="BU1218" s="85"/>
      <c r="BV1218" s="85"/>
      <c r="BW1218" s="85"/>
      <c r="BX1218" s="85"/>
      <c r="BY1218" s="85"/>
      <c r="BZ1218" s="85"/>
      <c r="CA1218" s="85"/>
      <c r="CB1218" s="85"/>
      <c r="CC1218" s="85"/>
      <c r="CD1218" s="85"/>
      <c r="CE1218" s="85"/>
      <c r="CF1218" s="85"/>
      <c r="CG1218" s="85"/>
      <c r="CH1218" s="85"/>
      <c r="CI1218" s="85"/>
      <c r="CJ1218" s="85"/>
      <c r="CK1218" s="2"/>
    </row>
    <row r="1219" ht="12.75" customHeight="1">
      <c r="A1219" s="80">
        <f>IFERROR(__xludf.DUMMYFUNCTION("""COMPUTED_VALUE"""),1215.0)</f>
        <v>1215</v>
      </c>
      <c r="B1219" s="80"/>
      <c r="C1219" s="80"/>
      <c r="D1219" s="81">
        <f>IFERROR(__xludf.DUMMYFUNCTION("""COMPUTED_VALUE"""),46224.0)</f>
        <v>46224</v>
      </c>
      <c r="E1219" s="82"/>
      <c r="F1219" s="80"/>
      <c r="G1219" s="81"/>
      <c r="H1219" s="80"/>
      <c r="I1219" s="80"/>
      <c r="J1219" s="80"/>
      <c r="K1219" s="80"/>
      <c r="L1219" s="80"/>
      <c r="M1219" s="80"/>
      <c r="N1219" s="80"/>
      <c r="O1219" s="80"/>
      <c r="P1219" s="80" t="str">
        <f>IFERROR(__xludf.DUMMYFUNCTION("""COMPUTED_VALUE"""),"44BSPA45370NTBDR")</f>
        <v>44BSPA45370NTBDR</v>
      </c>
      <c r="Q1219" s="80" t="str">
        <f>IFERROR(__xludf.DUMMYFUNCTION("""COMPUTED_VALUE"""),"MUC DEDE WARDANI")</f>
        <v>MUC DEDE WARDANI</v>
      </c>
      <c r="R1219" s="80" t="str">
        <f>IFERROR(__xludf.DUMMYFUNCTION("""COMPUTED_VALUE"""),"MUC DEDE WARDANI")</f>
        <v>MUC DEDE WARDANI</v>
      </c>
      <c r="S1219" s="80" t="str">
        <f>IFERROR(__xludf.DUMMYFUNCTION("""COMPUTED_VALUE"""),"Dede Wardani")</f>
        <v>Dede Wardani</v>
      </c>
      <c r="T1219" s="80" t="str">
        <f>IFERROR(__xludf.DUMMYFUNCTION("""COMPUTED_VALUE"""),"ΚΡ. ΒΑΒΑΚΑN CIBATU RT. 017 RW. 004 CIBATU CISAAT KAB. SUKABUMI JAWA BARAT")</f>
        <v>ΚΡ. ΒΑΒΑΚΑN CIBATU RT. 017 RW. 004 CIBATU CISAAT KAB. SUKABUMI JAWA BARAT</v>
      </c>
      <c r="U1219" s="80" t="str">
        <f>IFERROR(__xludf.DUMMYFUNCTION("""COMPUTED_VALUE"""),"ΚΡ. ΒΑΒΑΚΑN CIBATU RT. 017 RW. 004 CIBATU")</f>
        <v>ΚΡ. ΒΑΒΑΚΑN CIBATU RT. 017 RW. 004 CIBATU</v>
      </c>
      <c r="V1219" s="80" t="str">
        <f>IFERROR(__xludf.DUMMYFUNCTION("""COMPUTED_VALUE"""),"RT. 01 \ RW. 00")</f>
        <v>RT. 01 \ RW. 00</v>
      </c>
      <c r="W1219" s="80" t="str">
        <f>IFERROR(__xludf.DUMMYFUNCTION("""COMPUTED_VALUE"""),"Cibatu")</f>
        <v>Cibatu</v>
      </c>
      <c r="X1219" s="80" t="str">
        <f>IFERROR(__xludf.DUMMYFUNCTION("""COMPUTED_VALUE"""),"Cisaat")</f>
        <v>Cisaat</v>
      </c>
      <c r="Y1219" s="80" t="str">
        <f>IFERROR(__xludf.DUMMYFUNCTION("""COMPUTED_VALUE"""),"Kab.Sukabumi")</f>
        <v>Kab.Sukabumi</v>
      </c>
      <c r="Z1219" s="80" t="str">
        <f>IFERROR(__xludf.DUMMYFUNCTION("""COMPUTED_VALUE"""),"Jawa Barat")</f>
        <v>Jawa Barat</v>
      </c>
      <c r="AA1219" s="80" t="str">
        <f>IFERROR(__xludf.DUMMYFUNCTION("""COMPUTED_VALUE"""),"43152")</f>
        <v>43152</v>
      </c>
      <c r="AB1219" s="80" t="str">
        <f>IFERROR(__xludf.DUMMYFUNCTION("""COMPUTED_VALUE"""),"3202290806980010")</f>
        <v>3202290806980010</v>
      </c>
      <c r="AC1219" s="80" t="str">
        <f>IFERROR(__xludf.DUMMYFUNCTION("""COMPUTED_VALUE"""),"65.391.996.9-405.000")</f>
        <v>65.391.996.9-405.000</v>
      </c>
      <c r="AD1219" s="80" t="str">
        <f>IFERROR(__xludf.DUMMYFUNCTION("""COMPUTED_VALUE"""),"44CUMBSBDRIEN - CUM BSB - DRIEN")</f>
        <v>44CUMBSBDRIEN - CUM BSB - DRIEN</v>
      </c>
      <c r="AE1219" s="80" t="str">
        <f>IFERROR(__xludf.DUMMYFUNCTION("""COMPUTED_VALUE"""),"44CUMBSBDRIEN - CUM BSB - DRIEN")</f>
        <v>44CUMBSBDRIEN - CUM BSB - DRIEN</v>
      </c>
      <c r="AF1219" s="80" t="str">
        <f>IFERROR(__xludf.DUMMYFUNCTION("""COMPUTED_VALUE"""),"085797506705")</f>
        <v>085797506705</v>
      </c>
      <c r="AG1219" s="80" t="str">
        <f>IFERROR(__xludf.DUMMYFUNCTION("""COMPUTED_VALUE"""),"85797506705")</f>
        <v>85797506705</v>
      </c>
      <c r="AH1219" s="80" t="str">
        <f>IFERROR(__xludf.DUMMYFUNCTION("""COMPUTED_VALUE"""),"dede.wardani080698@gmail.com")</f>
        <v>dede.wardani080698@gmail.com</v>
      </c>
      <c r="AI1219" s="80"/>
      <c r="AJ1219" s="80"/>
      <c r="AK1219" s="80"/>
      <c r="AL1219" s="80"/>
      <c r="AM1219" s="80" t="str">
        <f>IFERROR(__xludf.DUMMYFUNCTION("""COMPUTED_VALUE"""),"KANTOR REGIONAL III BANDUNG 40004")</f>
        <v>KANTOR REGIONAL III BANDUNG 40004</v>
      </c>
      <c r="AN1219" s="80" t="str">
        <f>IFERROR(__xludf.DUMMYFUNCTION("""COMPUTED_VALUE"""),"KC SUKABUMI 43100")</f>
        <v>KC SUKABUMI 43100</v>
      </c>
      <c r="AO1219" s="80" t="str">
        <f>IFERROR(__xludf.DUMMYFUNCTION("""COMPUTED_VALUE"""),"2007260099951")</f>
        <v>2007260099951</v>
      </c>
      <c r="AP1219" s="80" t="str">
        <f>IFERROR(__xludf.DUMMYFUNCTION("""COMPUTED_VALUE"""),"2007260099951")</f>
        <v>2007260099951</v>
      </c>
      <c r="AQ1219" s="83" t="str">
        <f>IFERROR(__xludf.DUMMYFUNCTION("""COMPUTED_VALUE"""),"901294332092")</f>
        <v>901294332092</v>
      </c>
      <c r="AR1219" s="80" t="str">
        <f>IFERROR(__xludf.DUMMYFUNCTION("""COMPUTED_VALUE"""),"SEABANK")</f>
        <v>SEABANK</v>
      </c>
      <c r="AS1219" s="80" t="str">
        <f>IFERROR(__xludf.DUMMYFUNCTION("""COMPUTED_VALUE"""),"DEDE WARDANI")</f>
        <v>DEDE WARDANI</v>
      </c>
      <c r="AT1219" s="80" t="str">
        <f>IFERROR(__xludf.DUMMYFUNCTION("""COMPUTED_VALUE"""),"-6.9115695,106.8791664")</f>
        <v>-6.9115695,106.8791664</v>
      </c>
      <c r="AU1219" s="80" t="str">
        <f>IFERROR(__xludf.DUMMYFUNCTION("""COMPUTED_VALUE"""),"-6.9115695,106.8791664")</f>
        <v>-6.9115695,106.8791664</v>
      </c>
      <c r="AV1219" s="80"/>
      <c r="AW1219" s="80"/>
      <c r="AX1219" s="80"/>
      <c r="AY1219" s="80"/>
      <c r="AZ1219" s="80"/>
      <c r="BA1219" s="80"/>
      <c r="BB1219" s="80"/>
      <c r="BC1219" s="80"/>
      <c r="BD1219" s="80"/>
      <c r="BE1219" s="80"/>
      <c r="BF1219" s="80"/>
      <c r="BG1219" s="80"/>
      <c r="BH1219" s="80"/>
      <c r="BI1219" s="80"/>
      <c r="BJ1219" s="80"/>
      <c r="BK1219" s="80"/>
      <c r="BL1219" s="80"/>
      <c r="BM1219" s="80"/>
      <c r="BN1219" s="80"/>
      <c r="BO1219" s="80"/>
      <c r="BP1219" s="80"/>
      <c r="BQ1219" s="80"/>
      <c r="BR1219" s="80"/>
      <c r="BS1219" s="80"/>
      <c r="BT1219" s="80"/>
      <c r="BU1219" s="80"/>
      <c r="BV1219" s="80"/>
      <c r="BW1219" s="80"/>
      <c r="BX1219" s="80"/>
      <c r="BY1219" s="80"/>
      <c r="BZ1219" s="80"/>
      <c r="CA1219" s="80"/>
      <c r="CB1219" s="80"/>
      <c r="CC1219" s="80"/>
      <c r="CD1219" s="80"/>
      <c r="CE1219" s="80"/>
      <c r="CF1219" s="80"/>
      <c r="CG1219" s="80"/>
      <c r="CH1219" s="80"/>
      <c r="CI1219" s="80"/>
      <c r="CJ1219" s="80"/>
      <c r="CK1219" s="2"/>
    </row>
    <row r="1220" ht="12.75" customHeight="1">
      <c r="A1220" s="85">
        <f>IFERROR(__xludf.DUMMYFUNCTION("""COMPUTED_VALUE"""),1216.0)</f>
        <v>1216</v>
      </c>
      <c r="B1220" s="85"/>
      <c r="C1220" s="85"/>
      <c r="D1220" s="86">
        <f>IFERROR(__xludf.DUMMYFUNCTION("""COMPUTED_VALUE"""),46224.0)</f>
        <v>46224</v>
      </c>
      <c r="E1220" s="88"/>
      <c r="F1220" s="85"/>
      <c r="G1220" s="86"/>
      <c r="H1220" s="85"/>
      <c r="I1220" s="85"/>
      <c r="J1220" s="85"/>
      <c r="K1220" s="85"/>
      <c r="L1220" s="85"/>
      <c r="M1220" s="85"/>
      <c r="N1220" s="85"/>
      <c r="O1220" s="85"/>
      <c r="P1220" s="85" t="str">
        <f>IFERROR(__xludf.DUMMYFUNCTION("""COMPUTED_VALUE"""),"44BSPA45369NTBDR")</f>
        <v>44BSPA45369NTBDR</v>
      </c>
      <c r="Q1220" s="85" t="str">
        <f>IFERROR(__xludf.DUMMYFUNCTION("""COMPUTED_VALUE"""),"MUC GUSNI YANTO")</f>
        <v>MUC GUSNI YANTO</v>
      </c>
      <c r="R1220" s="85" t="str">
        <f>IFERROR(__xludf.DUMMYFUNCTION("""COMPUTED_VALUE"""),"MUC GUSNI YANTO")</f>
        <v>MUC GUSNI YANTO</v>
      </c>
      <c r="S1220" s="85" t="str">
        <f>IFERROR(__xludf.DUMMYFUNCTION("""COMPUTED_VALUE"""),"GUSNI YANTO")</f>
        <v>GUSNI YANTO</v>
      </c>
      <c r="T1220" s="85" t="str">
        <f>IFERROR(__xludf.DUMMYFUNCTION("""COMPUTED_VALUE"""),"DK. GENEN RT 002 RW 002 SENDANGWUNGU")</f>
        <v>DK. GENEN RT 002 RW 002 SENDANGWUNGU</v>
      </c>
      <c r="U1220" s="85" t="str">
        <f>IFERROR(__xludf.DUMMYFUNCTION("""COMPUTED_VALUE"""),"DK. GENEN RT 002 RW 002 SENDANGWUNGU")</f>
        <v>DK. GENEN RT 002 RW 002 SENDANGWUNGU</v>
      </c>
      <c r="V1220" s="85" t="str">
        <f>IFERROR(__xludf.DUMMYFUNCTION("""COMPUTED_VALUE"""),"RT 002 \ RW 002")</f>
        <v>RT 002 \ RW 002</v>
      </c>
      <c r="W1220" s="85" t="str">
        <f>IFERROR(__xludf.DUMMYFUNCTION("""COMPUTED_VALUE"""),"SENDANGWUNGU")</f>
        <v>SENDANGWUNGU</v>
      </c>
      <c r="X1220" s="85" t="str">
        <f>IFERROR(__xludf.DUMMYFUNCTION("""COMPUTED_VALUE"""),"BANJAREJO")</f>
        <v>BANJAREJO</v>
      </c>
      <c r="Y1220" s="85" t="str">
        <f>IFERROR(__xludf.DUMMYFUNCTION("""COMPUTED_VALUE"""),"Kab. Blora")</f>
        <v>Kab. Blora</v>
      </c>
      <c r="Z1220" s="85" t="str">
        <f>IFERROR(__xludf.DUMMYFUNCTION("""COMPUTED_VALUE"""),"Jawa Tengah")</f>
        <v>Jawa Tengah</v>
      </c>
      <c r="AA1220" s="85" t="str">
        <f>IFERROR(__xludf.DUMMYFUNCTION("""COMPUTED_VALUE"""),"58253")</f>
        <v>58253</v>
      </c>
      <c r="AB1220" s="85" t="str">
        <f>IFERROR(__xludf.DUMMYFUNCTION("""COMPUTED_VALUE"""),"1271040708860007")</f>
        <v>1271040708860007</v>
      </c>
      <c r="AC1220" s="85" t="str">
        <f>IFERROR(__xludf.DUMMYFUNCTION("""COMPUTED_VALUE"""),"60.741.749.0-035.000")</f>
        <v>60.741.749.0-035.000</v>
      </c>
      <c r="AD1220" s="85" t="str">
        <f>IFERROR(__xludf.DUMMYFUNCTION("""COMPUTED_VALUE"""),"44CUMBSBDRIEN - CUM BSB - DRIEN")</f>
        <v>44CUMBSBDRIEN - CUM BSB - DRIEN</v>
      </c>
      <c r="AE1220" s="85" t="str">
        <f>IFERROR(__xludf.DUMMYFUNCTION("""COMPUTED_VALUE"""),"44CUMBSBDRIEN - CUM BSB - DRIEN")</f>
        <v>44CUMBSBDRIEN - CUM BSB - DRIEN</v>
      </c>
      <c r="AF1220" s="85" t="str">
        <f>IFERROR(__xludf.DUMMYFUNCTION("""COMPUTED_VALUE"""),"082310332010")</f>
        <v>082310332010</v>
      </c>
      <c r="AG1220" s="85" t="str">
        <f>IFERROR(__xludf.DUMMYFUNCTION("""COMPUTED_VALUE"""),"82310332010")</f>
        <v>82310332010</v>
      </c>
      <c r="AH1220" s="85" t="str">
        <f>IFERROR(__xludf.DUMMYFUNCTION("""COMPUTED_VALUE"""),"gusnieyanro@gmail.com")</f>
        <v>gusnieyanro@gmail.com</v>
      </c>
      <c r="AI1220" s="85"/>
      <c r="AJ1220" s="85"/>
      <c r="AK1220" s="85"/>
      <c r="AL1220" s="85"/>
      <c r="AM1220" s="85" t="str">
        <f>IFERROR(__xludf.DUMMYFUNCTION("""COMPUTED_VALUE"""),"KANTOR REGIONAL IV SEMARANG 50004")</f>
        <v>KANTOR REGIONAL IV SEMARANG 50004</v>
      </c>
      <c r="AN1220" s="85" t="str">
        <f>IFERROR(__xludf.DUMMYFUNCTION("""COMPUTED_VALUE"""),"KC BLORA 58200")</f>
        <v>KC BLORA 58200</v>
      </c>
      <c r="AO1220" s="85" t="str">
        <f>IFERROR(__xludf.DUMMYFUNCTION("""COMPUTED_VALUE"""),"2007260077605")</f>
        <v>2007260077605</v>
      </c>
      <c r="AP1220" s="85" t="str">
        <f>IFERROR(__xludf.DUMMYFUNCTION("""COMPUTED_VALUE"""),"2007260077605")</f>
        <v>2007260077605</v>
      </c>
      <c r="AQ1220" s="93" t="str">
        <f>IFERROR(__xludf.DUMMYFUNCTION("""COMPUTED_VALUE"""),"5335145060")</f>
        <v>5335145060</v>
      </c>
      <c r="AR1220" s="85" t="str">
        <f>IFERROR(__xludf.DUMMYFUNCTION("""COMPUTED_VALUE"""),"BCA")</f>
        <v>BCA</v>
      </c>
      <c r="AS1220" s="85" t="str">
        <f>IFERROR(__xludf.DUMMYFUNCTION("""COMPUTED_VALUE"""),"GUSNI YANTO")</f>
        <v>GUSNI YANTO</v>
      </c>
      <c r="AT1220" s="85" t="str">
        <f>IFERROR(__xludf.DUMMYFUNCTION("""COMPUTED_VALUE"""),"-7.0048699,111.3889661")</f>
        <v>-7.0048699,111.3889661</v>
      </c>
      <c r="AU1220" s="85" t="str">
        <f>IFERROR(__xludf.DUMMYFUNCTION("""COMPUTED_VALUE"""),"-7.0048699,111.3889661")</f>
        <v>-7.0048699,111.3889661</v>
      </c>
      <c r="AV1220" s="85"/>
      <c r="AW1220" s="85"/>
      <c r="AX1220" s="85"/>
      <c r="AY1220" s="85"/>
      <c r="AZ1220" s="85"/>
      <c r="BA1220" s="85"/>
      <c r="BB1220" s="85"/>
      <c r="BC1220" s="85"/>
      <c r="BD1220" s="85"/>
      <c r="BE1220" s="85"/>
      <c r="BF1220" s="85"/>
      <c r="BG1220" s="85"/>
      <c r="BH1220" s="85"/>
      <c r="BI1220" s="85"/>
      <c r="BJ1220" s="85"/>
      <c r="BK1220" s="85"/>
      <c r="BL1220" s="85"/>
      <c r="BM1220" s="85"/>
      <c r="BN1220" s="85"/>
      <c r="BO1220" s="85"/>
      <c r="BP1220" s="85"/>
      <c r="BQ1220" s="85"/>
      <c r="BR1220" s="85"/>
      <c r="BS1220" s="85"/>
      <c r="BT1220" s="85"/>
      <c r="BU1220" s="85"/>
      <c r="BV1220" s="85"/>
      <c r="BW1220" s="85"/>
      <c r="BX1220" s="85"/>
      <c r="BY1220" s="85"/>
      <c r="BZ1220" s="85"/>
      <c r="CA1220" s="85"/>
      <c r="CB1220" s="85"/>
      <c r="CC1220" s="85"/>
      <c r="CD1220" s="85"/>
      <c r="CE1220" s="85"/>
      <c r="CF1220" s="85"/>
      <c r="CG1220" s="85"/>
      <c r="CH1220" s="85"/>
      <c r="CI1220" s="85"/>
      <c r="CJ1220" s="85"/>
      <c r="CK1220" s="2"/>
    </row>
    <row r="1221" ht="12.75" customHeight="1">
      <c r="A1221" s="80">
        <f>IFERROR(__xludf.DUMMYFUNCTION("""COMPUTED_VALUE"""),1217.0)</f>
        <v>1217</v>
      </c>
      <c r="B1221" s="80"/>
      <c r="C1221" s="80"/>
      <c r="D1221" s="81">
        <f>IFERROR(__xludf.DUMMYFUNCTION("""COMPUTED_VALUE"""),46224.0)</f>
        <v>46224</v>
      </c>
      <c r="E1221" s="82"/>
      <c r="F1221" s="80"/>
      <c r="G1221" s="81">
        <f>IFERROR(__xludf.DUMMYFUNCTION("""COMPUTED_VALUE"""),46239.0)</f>
        <v>46239</v>
      </c>
      <c r="H1221" s="80"/>
      <c r="I1221" s="80"/>
      <c r="J1221" s="80"/>
      <c r="K1221" s="80"/>
      <c r="L1221" s="80">
        <f>IFERROR(__xludf.DUMMYFUNCTION("""COMPUTED_VALUE"""),15.0)</f>
        <v>15</v>
      </c>
      <c r="M1221" s="80"/>
      <c r="N1221" s="80"/>
      <c r="O1221" s="80"/>
      <c r="P1221" s="80" t="str">
        <f>IFERROR(__xludf.DUMMYFUNCTION("""COMPUTED_VALUE"""),"MUCSPA63623PSIND")</f>
        <v>MUCSPA63623PSIND</v>
      </c>
      <c r="Q1221" s="80" t="str">
        <f>IFERROR(__xludf.DUMMYFUNCTION("""COMPUTED_VALUE"""),"MUC SEPIKUL")</f>
        <v>MUC SEPIKUL</v>
      </c>
      <c r="R1221" s="80" t="str">
        <f>IFERROR(__xludf.DUMMYFUNCTION("""COMPUTED_VALUE"""),"MUC SEPIKUL")</f>
        <v>MUC SEPIKUL</v>
      </c>
      <c r="S1221" s="80" t="str">
        <f>IFERROR(__xludf.DUMMYFUNCTION("""COMPUTED_VALUE"""),"MUHAMMAD AHYA RIFQIL ANSORI")</f>
        <v>MUHAMMAD AHYA RIFQIL ANSORI</v>
      </c>
      <c r="T1221" s="80" t="str">
        <f>IFERROR(__xludf.DUMMYFUNCTION("""COMPUTED_VALUE"""),"GONDOSULI 01/01 GONDOSULI BULU KAB.TEMANGGUNG")</f>
        <v>GONDOSULI 01/01 GONDOSULI BULU KAB.TEMANGGUNG</v>
      </c>
      <c r="U1221" s="80" t="str">
        <f>IFERROR(__xludf.DUMMYFUNCTION("""COMPUTED_VALUE"""),"Jl. Ajibarang Secang Sepikul, Campursari, Kec. Bulu, Kabupaten Temanggung, Jawa Tengah 56253")</f>
        <v>Jl. Ajibarang Secang Sepikul, Campursari, Kec. Bulu, Kabupaten Temanggung, Jawa Tengah 56253</v>
      </c>
      <c r="V1221" s="80"/>
      <c r="W1221" s="80" t="str">
        <f>IFERROR(__xludf.DUMMYFUNCTION("""COMPUTED_VALUE"""),"CAMPURSARI")</f>
        <v>CAMPURSARI</v>
      </c>
      <c r="X1221" s="80" t="str">
        <f>IFERROR(__xludf.DUMMYFUNCTION("""COMPUTED_VALUE"""),"BULU")</f>
        <v>BULU</v>
      </c>
      <c r="Y1221" s="80" t="str">
        <f>IFERROR(__xludf.DUMMYFUNCTION("""COMPUTED_VALUE"""),"KAB.TEMANGGUNG")</f>
        <v>KAB.TEMANGGUNG</v>
      </c>
      <c r="Z1221" s="80" t="str">
        <f>IFERROR(__xludf.DUMMYFUNCTION("""COMPUTED_VALUE"""),"JAWA TENGAH")</f>
        <v>JAWA TENGAH</v>
      </c>
      <c r="AA1221" s="80" t="str">
        <f>IFERROR(__xludf.DUMMYFUNCTION("""COMPUTED_VALUE"""),"56253")</f>
        <v>56253</v>
      </c>
      <c r="AB1221" s="80" t="str">
        <f>IFERROR(__xludf.DUMMYFUNCTION("""COMPUTED_VALUE"""),"3323011401820002")</f>
        <v>3323011401820002</v>
      </c>
      <c r="AC1221" s="80" t="str">
        <f>IFERROR(__xludf.DUMMYFUNCTION("""COMPUTED_VALUE"""),"89.601.030.3-533.000")</f>
        <v>89.601.030.3-533.000</v>
      </c>
      <c r="AD1221" s="80" t="str">
        <f>IFERROR(__xludf.DUMMYFUNCTION("""COMPUTED_VALUE"""),"CUM - PS - AFF")</f>
        <v>CUM - PS - AFF</v>
      </c>
      <c r="AE1221" s="80" t="str">
        <f>IFERROR(__xludf.DUMMYFUNCTION("""COMPUTED_VALUE"""),"SUB FENTA POS")</f>
        <v>SUB FENTA POS</v>
      </c>
      <c r="AF1221" s="80" t="str">
        <f>IFERROR(__xludf.DUMMYFUNCTION("""COMPUTED_VALUE"""),"0816681631")</f>
        <v>0816681631</v>
      </c>
      <c r="AG1221" s="80" t="str">
        <f>IFERROR(__xludf.DUMMYFUNCTION("""COMPUTED_VALUE"""),"816681631")</f>
        <v>816681631</v>
      </c>
      <c r="AH1221" s="80" t="str">
        <f>IFERROR(__xludf.DUMMYFUNCTION("""COMPUTED_VALUE"""),"SUTOPO.V3@GMAIL.COM")</f>
        <v>SUTOPO.V3@GMAIL.COM</v>
      </c>
      <c r="AI1221" s="80" t="str">
        <f>IFERROR(__xludf.DUMMYFUNCTION("""COMPUTED_VALUE"""),"56253S5")</f>
        <v>56253S5</v>
      </c>
      <c r="AJ1221" s="80" t="str">
        <f>IFERROR(__xludf.DUMMYFUNCTION("""COMPUTED_VALUE"""),"6a72e05653429f050c045ef4")</f>
        <v>6a72e05653429f050c045ef4</v>
      </c>
      <c r="AK1221" s="80" t="str">
        <f>IFERROR(__xludf.DUMMYFUNCTION("""COMPUTED_VALUE"""),"sutopo.v3@gmail.com")</f>
        <v>sutopo.v3@gmail.com</v>
      </c>
      <c r="AL1221" s="80" t="str">
        <f>IFERROR(__xludf.DUMMYFUNCTION("""COMPUTED_VALUE"""),"#Muc56253S5$")</f>
        <v>#Muc56253S5$</v>
      </c>
      <c r="AM1221" s="80" t="str">
        <f>IFERROR(__xludf.DUMMYFUNCTION("""COMPUTED_VALUE"""),"KANTOR REGIONAL IV SEMARANG 50004")</f>
        <v>KANTOR REGIONAL IV SEMARANG 50004</v>
      </c>
      <c r="AN1221" s="80" t="str">
        <f>IFERROR(__xludf.DUMMYFUNCTION("""COMPUTED_VALUE"""),"KC TEMANGGUNG 56200")</f>
        <v>KC TEMANGGUNG 56200</v>
      </c>
      <c r="AO1221" s="80" t="str">
        <f>IFERROR(__xludf.DUMMYFUNCTION("""COMPUTED_VALUE"""),"901250011126")</f>
        <v>901250011126</v>
      </c>
      <c r="AP1221" s="80" t="str">
        <f>IFERROR(__xludf.DUMMYFUNCTION("""COMPUTED_VALUE"""),"901250011126")</f>
        <v>901250011126</v>
      </c>
      <c r="AQ1221" s="83" t="str">
        <f>IFERROR(__xludf.DUMMYFUNCTION("""COMPUTED_VALUE"""),"692201123456508")</f>
        <v>692201123456508</v>
      </c>
      <c r="AR1221" s="80" t="str">
        <f>IFERROR(__xludf.DUMMYFUNCTION("""COMPUTED_VALUE"""),"BRI")</f>
        <v>BRI</v>
      </c>
      <c r="AS1221" s="80" t="str">
        <f>IFERROR(__xludf.DUMMYFUNCTION("""COMPUTED_VALUE"""),"MUHAMMAD AHYA RIFQIL ANSORI")</f>
        <v>MUHAMMAD AHYA RIFQIL ANSORI</v>
      </c>
      <c r="AT1221" s="80" t="str">
        <f>IFERROR(__xludf.DUMMYFUNCTION("""COMPUTED_VALUE"""),"-7,278,822")</f>
        <v>-7,278,822</v>
      </c>
      <c r="AU1221" s="80" t="str">
        <f>IFERROR(__xludf.DUMMYFUNCTION("""COMPUTED_VALUE"""),"110,124,880")</f>
        <v>110,124,880</v>
      </c>
      <c r="AV1221" s="80"/>
      <c r="AW1221" s="80"/>
      <c r="AX1221" s="80"/>
      <c r="AY1221" s="80"/>
      <c r="AZ1221" s="80"/>
      <c r="BA1221" s="80"/>
      <c r="BB1221" s="80"/>
      <c r="BC1221" s="80"/>
      <c r="BD1221" s="80"/>
      <c r="BE1221" s="80"/>
      <c r="BF1221" s="80"/>
      <c r="BG1221" s="80"/>
      <c r="BH1221" s="80"/>
      <c r="BI1221" s="80"/>
      <c r="BJ1221" s="80"/>
      <c r="BK1221" s="80"/>
      <c r="BL1221" s="80"/>
      <c r="BM1221" s="80"/>
      <c r="BN1221" s="80"/>
      <c r="BO1221" s="80"/>
      <c r="BP1221" s="80"/>
      <c r="BQ1221" s="80"/>
      <c r="BR1221" s="80"/>
      <c r="BS1221" s="80"/>
      <c r="BT1221" s="80"/>
      <c r="BU1221" s="80"/>
      <c r="BV1221" s="80"/>
      <c r="BW1221" s="80"/>
      <c r="BX1221" s="80"/>
      <c r="BY1221" s="80"/>
      <c r="BZ1221" s="80"/>
      <c r="CA1221" s="80"/>
      <c r="CB1221" s="80"/>
      <c r="CC1221" s="80"/>
      <c r="CD1221" s="80"/>
      <c r="CE1221" s="80"/>
      <c r="CF1221" s="80"/>
      <c r="CG1221" s="80"/>
      <c r="CH1221" s="80"/>
      <c r="CI1221" s="80"/>
      <c r="CJ1221" s="80"/>
      <c r="CK1221" s="2"/>
    </row>
    <row r="1222" ht="12.75" customHeight="1">
      <c r="A1222" s="85">
        <f>IFERROR(__xludf.DUMMYFUNCTION("""COMPUTED_VALUE"""),1218.0)</f>
        <v>1218</v>
      </c>
      <c r="B1222" s="85"/>
      <c r="C1222" s="85"/>
      <c r="D1222" s="86">
        <f>IFERROR(__xludf.DUMMYFUNCTION("""COMPUTED_VALUE"""),46224.0)</f>
        <v>46224</v>
      </c>
      <c r="E1222" s="88"/>
      <c r="F1222" s="85"/>
      <c r="G1222" s="86"/>
      <c r="H1222" s="85"/>
      <c r="I1222" s="85"/>
      <c r="J1222" s="85"/>
      <c r="K1222" s="85"/>
      <c r="L1222" s="85"/>
      <c r="M1222" s="85"/>
      <c r="N1222" s="85"/>
      <c r="O1222" s="85"/>
      <c r="P1222" s="85" t="str">
        <f>IFERROR(__xludf.DUMMYFUNCTION("""COMPUTED_VALUE"""),"MUCSPA70026PSUMK")</f>
        <v>MUCSPA70026PSUMK</v>
      </c>
      <c r="Q1222" s="85" t="str">
        <f>IFERROR(__xludf.DUMMYFUNCTION("""COMPUTED_VALUE"""),"MUC Ratu Mataram Mandiri")</f>
        <v>MUC Ratu Mataram Mandiri</v>
      </c>
      <c r="R1222" s="85" t="str">
        <f>IFERROR(__xludf.DUMMYFUNCTION("""COMPUTED_VALUE"""),"MUC Ratu Mataram Mandiri")</f>
        <v>MUC Ratu Mataram Mandiri</v>
      </c>
      <c r="S1222" s="85" t="str">
        <f>IFERROR(__xludf.DUMMYFUNCTION("""COMPUTED_VALUE"""),"RIDWANI")</f>
        <v>RIDWANI</v>
      </c>
      <c r="T1222" s="85" t="str">
        <f>IFERROR(__xludf.DUMMYFUNCTION("""COMPUTED_VALUE"""),"JL WAHID ALI NO 54 RT 33 RW 13, DUA ILIR, ILIR TIMUR DUA, PALEMBANG")</f>
        <v>JL WAHID ALI NO 54 RT 33 RW 13, DUA ILIR, ILIR TIMUR DUA, PALEMBANG</v>
      </c>
      <c r="U1222" s="85" t="str">
        <f>IFERROR(__xludf.DUMMYFUNCTION("""COMPUTED_VALUE"""),"JL WAHID ALI NO.54 RT 33 RW 13")</f>
        <v>JL WAHID ALI NO.54 RT 33 RW 13</v>
      </c>
      <c r="V1222" s="85" t="str">
        <f>IFERROR(__xludf.DUMMYFUNCTION("""COMPUTED_VALUE"""),"RT 33  \ RW 13,")</f>
        <v>RT 33  \ RW 13,</v>
      </c>
      <c r="W1222" s="85" t="str">
        <f>IFERROR(__xludf.DUMMYFUNCTION("""COMPUTED_VALUE"""),"DUA ILIR")</f>
        <v>DUA ILIR</v>
      </c>
      <c r="X1222" s="85" t="str">
        <f>IFERROR(__xludf.DUMMYFUNCTION("""COMPUTED_VALUE"""),"ILIR TIMUR DUA")</f>
        <v>ILIR TIMUR DUA</v>
      </c>
      <c r="Y1222" s="85" t="str">
        <f>IFERROR(__xludf.DUMMYFUNCTION("""COMPUTED_VALUE"""),"PALEMBANG")</f>
        <v>PALEMBANG</v>
      </c>
      <c r="Z1222" s="85" t="str">
        <f>IFERROR(__xludf.DUMMYFUNCTION("""COMPUTED_VALUE"""),"Sumatera Selatan")</f>
        <v>Sumatera Selatan</v>
      </c>
      <c r="AA1222" s="85" t="str">
        <f>IFERROR(__xludf.DUMMYFUNCTION("""COMPUTED_VALUE"""),"30163")</f>
        <v>30163</v>
      </c>
      <c r="AB1222" s="85" t="str">
        <f>IFERROR(__xludf.DUMMYFUNCTION("""COMPUTED_VALUE"""),"1871096210800002")</f>
        <v>1871096210800002</v>
      </c>
      <c r="AC1222" s="85" t="str">
        <f>IFERROR(__xludf.DUMMYFUNCTION("""COMPUTED_VALUE"""),"18.710.962.1-080.0002")</f>
        <v>18.710.962.1-080.0002</v>
      </c>
      <c r="AD1222" s="85" t="str">
        <f>IFERROR(__xludf.DUMMYFUNCTION("""COMPUTED_VALUE"""),"CUM - UMKMNK - ASEP")</f>
        <v>CUM - UMKMNK - ASEP</v>
      </c>
      <c r="AE1222" s="85" t="str">
        <f>IFERROR(__xludf.DUMMYFUNCTION("""COMPUTED_VALUE"""),"CUM - UMKMNK - ASEP")</f>
        <v>CUM - UMKMNK - ASEP</v>
      </c>
      <c r="AF1222" s="85" t="str">
        <f>IFERROR(__xludf.DUMMYFUNCTION("""COMPUTED_VALUE"""),"081288762622")</f>
        <v>081288762622</v>
      </c>
      <c r="AG1222" s="85" t="str">
        <f>IFERROR(__xludf.DUMMYFUNCTION("""COMPUTED_VALUE"""),"81288762622")</f>
        <v>81288762622</v>
      </c>
      <c r="AH1222" s="85" t="str">
        <f>IFERROR(__xludf.DUMMYFUNCTION("""COMPUTED_VALUE"""),"riniridwani9@gmail.com")</f>
        <v>riniridwani9@gmail.com</v>
      </c>
      <c r="AI1222" s="85"/>
      <c r="AJ1222" s="85"/>
      <c r="AK1222" s="85"/>
      <c r="AL1222" s="85"/>
      <c r="AM1222" s="85" t="str">
        <f>IFERROR(__xludf.DUMMYFUNCTION("""COMPUTED_VALUE"""),"KANTOR REGIONAL I MEDAN 20004")</f>
        <v>KANTOR REGIONAL I MEDAN 20004</v>
      </c>
      <c r="AN1222" s="85" t="str">
        <f>IFERROR(__xludf.DUMMYFUNCTION("""COMPUTED_VALUE"""),"KCU PALEMBANG 30000")</f>
        <v>KCU PALEMBANG 30000</v>
      </c>
      <c r="AO1222" s="85" t="str">
        <f>IFERROR(__xludf.DUMMYFUNCTION("""COMPUTED_VALUE"""),"1607260036585")</f>
        <v>1607260036585</v>
      </c>
      <c r="AP1222" s="85" t="str">
        <f>IFERROR(__xludf.DUMMYFUNCTION("""COMPUTED_VALUE"""),"1607260036585")</f>
        <v>1607260036585</v>
      </c>
      <c r="AQ1222" s="93" t="str">
        <f>IFERROR(__xludf.DUMMYFUNCTION("""COMPUTED_VALUE"""),"0202271578")</f>
        <v>0202271578</v>
      </c>
      <c r="AR1222" s="85" t="str">
        <f>IFERROR(__xludf.DUMMYFUNCTION("""COMPUTED_VALUE"""),"BCA")</f>
        <v>BCA</v>
      </c>
      <c r="AS1222" s="85" t="str">
        <f>IFERROR(__xludf.DUMMYFUNCTION("""COMPUTED_VALUE"""),"RIDWANI")</f>
        <v>RIDWANI</v>
      </c>
      <c r="AT1222" s="85" t="str">
        <f>IFERROR(__xludf.DUMMYFUNCTION("""COMPUTED_VALUE"""),"-29,655,718.00")</f>
        <v>-29,655,718.00</v>
      </c>
      <c r="AU1222" s="85" t="str">
        <f>IFERROR(__xludf.DUMMYFUNCTION("""COMPUTED_VALUE"""),"1,047,868,578")</f>
        <v>1,047,868,578</v>
      </c>
      <c r="AV1222" s="85"/>
      <c r="AW1222" s="85"/>
      <c r="AX1222" s="85"/>
      <c r="AY1222" s="85"/>
      <c r="AZ1222" s="85"/>
      <c r="BA1222" s="85"/>
      <c r="BB1222" s="85"/>
      <c r="BC1222" s="85"/>
      <c r="BD1222" s="85"/>
      <c r="BE1222" s="85"/>
      <c r="BF1222" s="85"/>
      <c r="BG1222" s="85"/>
      <c r="BH1222" s="85"/>
      <c r="BI1222" s="85"/>
      <c r="BJ1222" s="85"/>
      <c r="BK1222" s="85"/>
      <c r="BL1222" s="85"/>
      <c r="BM1222" s="85"/>
      <c r="BN1222" s="85"/>
      <c r="BO1222" s="85"/>
      <c r="BP1222" s="85"/>
      <c r="BQ1222" s="85"/>
      <c r="BR1222" s="85"/>
      <c r="BS1222" s="85"/>
      <c r="BT1222" s="85"/>
      <c r="BU1222" s="85"/>
      <c r="BV1222" s="85"/>
      <c r="BW1222" s="85"/>
      <c r="BX1222" s="85"/>
      <c r="BY1222" s="85"/>
      <c r="BZ1222" s="85"/>
      <c r="CA1222" s="85"/>
      <c r="CB1222" s="85"/>
      <c r="CC1222" s="85"/>
      <c r="CD1222" s="85"/>
      <c r="CE1222" s="85"/>
      <c r="CF1222" s="85"/>
      <c r="CG1222" s="85"/>
      <c r="CH1222" s="85"/>
      <c r="CI1222" s="85"/>
      <c r="CJ1222" s="85"/>
      <c r="CK1222" s="2"/>
    </row>
    <row r="1223" ht="12.75" customHeight="1">
      <c r="A1223" s="80">
        <f>IFERROR(__xludf.DUMMYFUNCTION("""COMPUTED_VALUE"""),1219.0)</f>
        <v>1219</v>
      </c>
      <c r="B1223" s="80"/>
      <c r="C1223" s="80"/>
      <c r="D1223" s="81">
        <f>IFERROR(__xludf.DUMMYFUNCTION("""COMPUTED_VALUE"""),46225.0)</f>
        <v>46225</v>
      </c>
      <c r="E1223" s="82"/>
      <c r="F1223" s="80"/>
      <c r="G1223" s="81">
        <f>IFERROR(__xludf.DUMMYFUNCTION("""COMPUTED_VALUE"""),46237.0)</f>
        <v>46237</v>
      </c>
      <c r="H1223" s="80"/>
      <c r="I1223" s="80"/>
      <c r="J1223" s="80"/>
      <c r="K1223" s="80"/>
      <c r="L1223" s="80">
        <f>IFERROR(__xludf.DUMMYFUNCTION("""COMPUTED_VALUE"""),12.0)</f>
        <v>12</v>
      </c>
      <c r="M1223" s="80"/>
      <c r="N1223" s="80"/>
      <c r="O1223" s="80"/>
      <c r="P1223" s="80" t="str">
        <f>IFERROR(__xludf.DUMMYFUNCTION("""COMPUTED_VALUE"""),"MUCSPA70027PSUMK")</f>
        <v>MUCSPA70027PSUMK</v>
      </c>
      <c r="Q1223" s="80" t="str">
        <f>IFERROR(__xludf.DUMMYFUNCTION("""COMPUTED_VALUE"""),"MUC SALSABILA")</f>
        <v>MUC SALSABILA</v>
      </c>
      <c r="R1223" s="80" t="str">
        <f>IFERROR(__xludf.DUMMYFUNCTION("""COMPUTED_VALUE"""),"MUC SALSABILA")</f>
        <v>MUC SALSABILA</v>
      </c>
      <c r="S1223" s="80" t="str">
        <f>IFERROR(__xludf.DUMMYFUNCTION("""COMPUTED_VALUE"""),"ENENG SARI LISDIANTI")</f>
        <v>ENENG SARI LISDIANTI</v>
      </c>
      <c r="T1223" s="80" t="str">
        <f>IFERROR(__xludf.DUMMYFUNCTION("""COMPUTED_VALUE"""),"KP.LEUWIBUNGUR NO.14")</f>
        <v>KP.LEUWIBUNGUR NO.14</v>
      </c>
      <c r="U1223" s="80" t="str">
        <f>IFERROR(__xludf.DUMMYFUNCTION("""COMPUTED_VALUE"""),"JL HARTONO KP.LEUWIBUNGUR NO.14")</f>
        <v>JL HARTONO KP.LEUWIBUNGUR NO.14</v>
      </c>
      <c r="V1223" s="80"/>
      <c r="W1223" s="80" t="str">
        <f>IFERROR(__xludf.DUMMYFUNCTION("""COMPUTED_VALUE"""),"SUKAGALIH")</f>
        <v>SUKAGALIH</v>
      </c>
      <c r="X1223" s="80" t="str">
        <f>IFERROR(__xludf.DUMMYFUNCTION("""COMPUTED_VALUE"""),"CIKALONGKULON")</f>
        <v>CIKALONGKULON</v>
      </c>
      <c r="Y1223" s="80" t="str">
        <f>IFERROR(__xludf.DUMMYFUNCTION("""COMPUTED_VALUE"""),"KAB.CIANJUR")</f>
        <v>KAB.CIANJUR</v>
      </c>
      <c r="Z1223" s="80" t="str">
        <f>IFERROR(__xludf.DUMMYFUNCTION("""COMPUTED_VALUE"""),"JAWA BARAT")</f>
        <v>JAWA BARAT</v>
      </c>
      <c r="AA1223" s="80" t="str">
        <f>IFERROR(__xludf.DUMMYFUNCTION("""COMPUTED_VALUE"""),"43291")</f>
        <v>43291</v>
      </c>
      <c r="AB1223" s="80" t="str">
        <f>IFERROR(__xludf.DUMMYFUNCTION("""COMPUTED_VALUE"""),"3203124107890548")</f>
        <v>3203124107890548</v>
      </c>
      <c r="AC1223" s="80" t="str">
        <f>IFERROR(__xludf.DUMMYFUNCTION("""COMPUTED_VALUE"""),"32.031.241.0-789.0548")</f>
        <v>32.031.241.0-789.0548</v>
      </c>
      <c r="AD1223" s="80" t="str">
        <f>IFERROR(__xludf.DUMMYFUNCTION("""COMPUTED_VALUE"""),"CUM - UMKMNK - ASEP")</f>
        <v>CUM - UMKMNK - ASEP</v>
      </c>
      <c r="AE1223" s="80" t="str">
        <f>IFERROR(__xludf.DUMMYFUNCTION("""COMPUTED_VALUE"""),"CUM - UMKMNK - ASEP")</f>
        <v>CUM - UMKMNK - ASEP</v>
      </c>
      <c r="AF1223" s="80" t="str">
        <f>IFERROR(__xludf.DUMMYFUNCTION("""COMPUTED_VALUE"""),"085811113456")</f>
        <v>085811113456</v>
      </c>
      <c r="AG1223" s="80" t="str">
        <f>IFERROR(__xludf.DUMMYFUNCTION("""COMPUTED_VALUE"""),"85811113456")</f>
        <v>85811113456</v>
      </c>
      <c r="AH1223" s="80" t="str">
        <f>IFERROR(__xludf.DUMMYFUNCTION("""COMPUTED_VALUE"""),"nurisahin18042015@gmail.com")</f>
        <v>nurisahin18042015@gmail.com</v>
      </c>
      <c r="AI1223" s="80" t="str">
        <f>IFERROR(__xludf.DUMMYFUNCTION("""COMPUTED_VALUE"""),"43291S4")</f>
        <v>43291S4</v>
      </c>
      <c r="AJ1223" s="80" t="str">
        <f>IFERROR(__xludf.DUMMYFUNCTION("""COMPUTED_VALUE"""),"6a7037dc1d9703c46d0cd93f")</f>
        <v>6a7037dc1d9703c46d0cd93f</v>
      </c>
      <c r="AK1223" s="80" t="str">
        <f>IFERROR(__xludf.DUMMYFUNCTION("""COMPUTED_VALUE"""),"nurisahin18042015@gmail.com")</f>
        <v>nurisahin18042015@gmail.com</v>
      </c>
      <c r="AL1223" s="80" t="str">
        <f>IFERROR(__xludf.DUMMYFUNCTION("""COMPUTED_VALUE"""),"#Muc43291S4$")</f>
        <v>#Muc43291S4$</v>
      </c>
      <c r="AM1223" s="80" t="str">
        <f>IFERROR(__xludf.DUMMYFUNCTION("""COMPUTED_VALUE"""),"KANTOR REGIONAL III BANDUNG 40004")</f>
        <v>KANTOR REGIONAL III BANDUNG 40004</v>
      </c>
      <c r="AN1223" s="80" t="str">
        <f>IFERROR(__xludf.DUMMYFUNCTION("""COMPUTED_VALUE"""),"KC CIANJUR 43200")</f>
        <v>KC CIANJUR 43200</v>
      </c>
      <c r="AO1223" s="80" t="str">
        <f>IFERROR(__xludf.DUMMYFUNCTION("""COMPUTED_VALUE"""),"1707260136723")</f>
        <v>1707260136723</v>
      </c>
      <c r="AP1223" s="80" t="str">
        <f>IFERROR(__xludf.DUMMYFUNCTION("""COMPUTED_VALUE"""),"1707260136723")</f>
        <v>1707260136723</v>
      </c>
      <c r="AQ1223" s="83" t="str">
        <f>IFERROR(__xludf.DUMMYFUNCTION("""COMPUTED_VALUE"""),"4020693831")</f>
        <v>4020693831</v>
      </c>
      <c r="AR1223" s="80" t="str">
        <f>IFERROR(__xludf.DUMMYFUNCTION("""COMPUTED_VALUE"""),"BCA")</f>
        <v>BCA</v>
      </c>
      <c r="AS1223" s="80" t="str">
        <f>IFERROR(__xludf.DUMMYFUNCTION("""COMPUTED_VALUE"""),"ENENG SARI LISDIANTI")</f>
        <v>ENENG SARI LISDIANTI</v>
      </c>
      <c r="AT1223" s="80" t="str">
        <f>IFERROR(__xludf.DUMMYFUNCTION("""COMPUTED_VALUE"""),"-6.7201085,107.2126438")</f>
        <v>-6.7201085,107.2126438</v>
      </c>
      <c r="AU1223" s="80" t="str">
        <f>IFERROR(__xludf.DUMMYFUNCTION("""COMPUTED_VALUE"""),"-6.7201085,107.2126438")</f>
        <v>-6.7201085,107.2126438</v>
      </c>
      <c r="AV1223" s="80"/>
      <c r="AW1223" s="80"/>
      <c r="AX1223" s="80"/>
      <c r="AY1223" s="80"/>
      <c r="AZ1223" s="80"/>
      <c r="BA1223" s="80"/>
      <c r="BB1223" s="80"/>
      <c r="BC1223" s="80"/>
      <c r="BD1223" s="80"/>
      <c r="BE1223" s="80"/>
      <c r="BF1223" s="80"/>
      <c r="BG1223" s="80"/>
      <c r="BH1223" s="80"/>
      <c r="BI1223" s="80"/>
      <c r="BJ1223" s="80"/>
      <c r="BK1223" s="80"/>
      <c r="BL1223" s="80"/>
      <c r="BM1223" s="80"/>
      <c r="BN1223" s="80"/>
      <c r="BO1223" s="80"/>
      <c r="BP1223" s="80"/>
      <c r="BQ1223" s="80"/>
      <c r="BR1223" s="80"/>
      <c r="BS1223" s="80"/>
      <c r="BT1223" s="80"/>
      <c r="BU1223" s="80"/>
      <c r="BV1223" s="80"/>
      <c r="BW1223" s="80"/>
      <c r="BX1223" s="80"/>
      <c r="BY1223" s="80"/>
      <c r="BZ1223" s="80"/>
      <c r="CA1223" s="80"/>
      <c r="CB1223" s="80"/>
      <c r="CC1223" s="80"/>
      <c r="CD1223" s="80"/>
      <c r="CE1223" s="80"/>
      <c r="CF1223" s="80"/>
      <c r="CG1223" s="80"/>
      <c r="CH1223" s="80"/>
      <c r="CI1223" s="80"/>
      <c r="CJ1223" s="80"/>
      <c r="CK1223" s="2"/>
    </row>
    <row r="1224" ht="12.75" customHeight="1">
      <c r="A1224" s="85">
        <f>IFERROR(__xludf.DUMMYFUNCTION("""COMPUTED_VALUE"""),1220.0)</f>
        <v>1220</v>
      </c>
      <c r="B1224" s="85"/>
      <c r="C1224" s="85"/>
      <c r="D1224" s="86">
        <f>IFERROR(__xludf.DUMMYFUNCTION("""COMPUTED_VALUE"""),46225.0)</f>
        <v>46225</v>
      </c>
      <c r="E1224" s="88"/>
      <c r="F1224" s="85"/>
      <c r="G1224" s="86">
        <f>IFERROR(__xludf.DUMMYFUNCTION("""COMPUTED_VALUE"""),46252.0)</f>
        <v>46252</v>
      </c>
      <c r="H1224" s="85"/>
      <c r="I1224" s="85"/>
      <c r="J1224" s="85"/>
      <c r="K1224" s="85"/>
      <c r="L1224" s="85"/>
      <c r="M1224" s="85"/>
      <c r="N1224" s="85"/>
      <c r="O1224" s="85"/>
      <c r="P1224" s="85" t="str">
        <f>IFERROR(__xludf.DUMMYFUNCTION("""COMPUTED_VALUE"""),"MUCSPA70037PSUMK")</f>
        <v>MUCSPA70037PSUMK</v>
      </c>
      <c r="Q1224" s="85" t="str">
        <f>IFERROR(__xludf.DUMMYFUNCTION("""COMPUTED_VALUE"""),"MUC FAHMIZAL")</f>
        <v>MUC FAHMIZAL</v>
      </c>
      <c r="R1224" s="85" t="str">
        <f>IFERROR(__xludf.DUMMYFUNCTION("""COMPUTED_VALUE"""),"MUC FAHMIZAL")</f>
        <v>MUC FAHMIZAL</v>
      </c>
      <c r="S1224" s="85" t="str">
        <f>IFERROR(__xludf.DUMMYFUNCTION("""COMPUTED_VALUE"""),"FAHMIZAL")</f>
        <v>FAHMIZAL</v>
      </c>
      <c r="T1224" s="85" t="str">
        <f>IFERROR(__xludf.DUMMYFUNCTION("""COMPUTED_VALUE"""),"Dusun Tanah Pasir RT 00 RW 00, Cot Muda Itam, Peureulak, Kab.Aceh Timur")</f>
        <v>Dusun Tanah Pasir RT 00 RW 00, Cot Muda Itam, Peureulak, Kab.Aceh Timur</v>
      </c>
      <c r="U1224" s="85" t="str">
        <f>IFERROR(__xludf.DUMMYFUNCTION("""COMPUTED_VALUE"""),"JL. MEDAN - BANDA ACEH, SEUNEUBOK BACEE")</f>
        <v>JL. MEDAN - BANDA ACEH, SEUNEUBOK BACEE</v>
      </c>
      <c r="V1224" s="85" t="str">
        <f>IFERROR(__xludf.DUMMYFUNCTION("""COMPUTED_VALUE"""),"RT 00  \ RW 00,")</f>
        <v>RT 00  \ RW 00,</v>
      </c>
      <c r="W1224" s="85" t="str">
        <f>IFERROR(__xludf.DUMMYFUNCTION("""COMPUTED_VALUE"""),"SEUNEUBOK BACEE")</f>
        <v>SEUNEUBOK BACEE</v>
      </c>
      <c r="X1224" s="85" t="str">
        <f>IFERROR(__xludf.DUMMYFUNCTION("""COMPUTED_VALUE"""),"IDI RAYEUK")</f>
        <v>IDI RAYEUK</v>
      </c>
      <c r="Y1224" s="85" t="str">
        <f>IFERROR(__xludf.DUMMYFUNCTION("""COMPUTED_VALUE"""),"Kab.Aceh Timur")</f>
        <v>Kab.Aceh Timur</v>
      </c>
      <c r="Z1224" s="85" t="str">
        <f>IFERROR(__xludf.DUMMYFUNCTION("""COMPUTED_VALUE"""),"ACEH")</f>
        <v>ACEH</v>
      </c>
      <c r="AA1224" s="85" t="str">
        <f>IFERROR(__xludf.DUMMYFUNCTION("""COMPUTED_VALUE"""),"24442")</f>
        <v>24442</v>
      </c>
      <c r="AB1224" s="85" t="str">
        <f>IFERROR(__xludf.DUMMYFUNCTION("""COMPUTED_VALUE"""),"1103070306910001")</f>
        <v>1103070306910001</v>
      </c>
      <c r="AC1224" s="85" t="str">
        <f>IFERROR(__xludf.DUMMYFUNCTION("""COMPUTED_VALUE"""),"40.176.341.2-105.000")</f>
        <v>40.176.341.2-105.000</v>
      </c>
      <c r="AD1224" s="85" t="str">
        <f>IFERROR(__xludf.DUMMYFUNCTION("""COMPUTED_VALUE"""),"CUM - UMKMNK - ASEP")</f>
        <v>CUM - UMKMNK - ASEP</v>
      </c>
      <c r="AE1224" s="85" t="str">
        <f>IFERROR(__xludf.DUMMYFUNCTION("""COMPUTED_VALUE"""),"CUM - UMKMNK - ASEP")</f>
        <v>CUM - UMKMNK - ASEP</v>
      </c>
      <c r="AF1224" s="85" t="str">
        <f>IFERROR(__xludf.DUMMYFUNCTION("""COMPUTED_VALUE"""),"081262626612")</f>
        <v>081262626612</v>
      </c>
      <c r="AG1224" s="85" t="str">
        <f>IFERROR(__xludf.DUMMYFUNCTION("""COMPUTED_VALUE"""),"081262626612")</f>
        <v>081262626612</v>
      </c>
      <c r="AH1224" s="85" t="str">
        <f>IFERROR(__xludf.DUMMYFUNCTION("""COMPUTED_VALUE"""),"fahmizalsp91@gmail.com")</f>
        <v>fahmizalsp91@gmail.com</v>
      </c>
      <c r="AI1224" s="85" t="str">
        <f>IFERROR(__xludf.DUMMYFUNCTION("""COMPUTED_VALUE"""),"24454S2")</f>
        <v>24454S2</v>
      </c>
      <c r="AJ1224" s="85" t="str">
        <f>IFERROR(__xludf.DUMMYFUNCTION("""COMPUTED_VALUE"""),"6a8425040ba0d7929a08015f")</f>
        <v>6a8425040ba0d7929a08015f</v>
      </c>
      <c r="AK1224" s="85" t="str">
        <f>IFERROR(__xludf.DUMMYFUNCTION("""COMPUTED_VALUE"""),"fahmizalsp91@gmail.com")</f>
        <v>fahmizalsp91@gmail.com</v>
      </c>
      <c r="AL1224" s="85" t="str">
        <f>IFERROR(__xludf.DUMMYFUNCTION("""COMPUTED_VALUE"""),"@Muc24454S2$")</f>
        <v>@Muc24454S2$</v>
      </c>
      <c r="AM1224" s="85" t="str">
        <f>IFERROR(__xludf.DUMMYFUNCTION("""COMPUTED_VALUE"""),"KANTOR REGIONAL I MEDAN 20004")</f>
        <v>KANTOR REGIONAL I MEDAN 20004</v>
      </c>
      <c r="AN1224" s="85" t="str">
        <f>IFERROR(__xludf.DUMMYFUNCTION("""COMPUTED_VALUE"""),"KC LANGSA 24400")</f>
        <v>KC LANGSA 24400</v>
      </c>
      <c r="AO1224" s="85" t="str">
        <f>IFERROR(__xludf.DUMMYFUNCTION("""COMPUTED_VALUE"""),"2207260112044")</f>
        <v>2207260112044</v>
      </c>
      <c r="AP1224" s="85" t="str">
        <f>IFERROR(__xludf.DUMMYFUNCTION("""COMPUTED_VALUE"""),"2207260112044")</f>
        <v>2207260112044</v>
      </c>
      <c r="AQ1224" s="93" t="str">
        <f>IFERROR(__xludf.DUMMYFUNCTION("""COMPUTED_VALUE"""),"901871252683")</f>
        <v>901871252683</v>
      </c>
      <c r="AR1224" s="85" t="str">
        <f>IFERROR(__xludf.DUMMYFUNCTION("""COMPUTED_VALUE"""),"SeaBank")</f>
        <v>SeaBank</v>
      </c>
      <c r="AS1224" s="85" t="str">
        <f>IFERROR(__xludf.DUMMYFUNCTION("""COMPUTED_VALUE"""),"FAHMIZAL")</f>
        <v>FAHMIZAL</v>
      </c>
      <c r="AT1224" s="85" t="str">
        <f>IFERROR(__xludf.DUMMYFUNCTION("""COMPUTED_VALUE"""),"4,942,976.00")</f>
        <v>4,942,976.00</v>
      </c>
      <c r="AU1224" s="85" t="str">
        <f>IFERROR(__xludf.DUMMYFUNCTION("""COMPUTED_VALUE"""),"97,777,329")</f>
        <v>97,777,329</v>
      </c>
      <c r="AV1224" s="85"/>
      <c r="AW1224" s="85"/>
      <c r="AX1224" s="85"/>
      <c r="AY1224" s="85"/>
      <c r="AZ1224" s="85"/>
      <c r="BA1224" s="85"/>
      <c r="BB1224" s="85"/>
      <c r="BC1224" s="85"/>
      <c r="BD1224" s="85"/>
      <c r="BE1224" s="85"/>
      <c r="BF1224" s="85"/>
      <c r="BG1224" s="85"/>
      <c r="BH1224" s="85"/>
      <c r="BI1224" s="85"/>
      <c r="BJ1224" s="85"/>
      <c r="BK1224" s="85"/>
      <c r="BL1224" s="85"/>
      <c r="BM1224" s="85"/>
      <c r="BN1224" s="85"/>
      <c r="BO1224" s="85"/>
      <c r="BP1224" s="85"/>
      <c r="BQ1224" s="85"/>
      <c r="BR1224" s="85"/>
      <c r="BS1224" s="85"/>
      <c r="BT1224" s="85"/>
      <c r="BU1224" s="85"/>
      <c r="BV1224" s="85"/>
      <c r="BW1224" s="85"/>
      <c r="BX1224" s="85"/>
      <c r="BY1224" s="85"/>
      <c r="BZ1224" s="85"/>
      <c r="CA1224" s="85"/>
      <c r="CB1224" s="85"/>
      <c r="CC1224" s="85"/>
      <c r="CD1224" s="85"/>
      <c r="CE1224" s="85"/>
      <c r="CF1224" s="85"/>
      <c r="CG1224" s="85"/>
      <c r="CH1224" s="85"/>
      <c r="CI1224" s="85"/>
      <c r="CJ1224" s="85"/>
      <c r="CK1224" s="2"/>
    </row>
    <row r="1225" ht="12.75" customHeight="1">
      <c r="A1225" s="80">
        <f>IFERROR(__xludf.DUMMYFUNCTION("""COMPUTED_VALUE"""),1221.0)</f>
        <v>1221</v>
      </c>
      <c r="B1225" s="80"/>
      <c r="C1225" s="80"/>
      <c r="D1225" s="81">
        <f>IFERROR(__xludf.DUMMYFUNCTION("""COMPUTED_VALUE"""),46226.0)</f>
        <v>46226</v>
      </c>
      <c r="E1225" s="82"/>
      <c r="F1225" s="80"/>
      <c r="G1225" s="81">
        <f>IFERROR(__xludf.DUMMYFUNCTION("""COMPUTED_VALUE"""),46260.0)</f>
        <v>46260</v>
      </c>
      <c r="H1225" s="80"/>
      <c r="I1225" s="80"/>
      <c r="J1225" s="80"/>
      <c r="K1225" s="80"/>
      <c r="L1225" s="80">
        <f>IFERROR(__xludf.DUMMYFUNCTION("""COMPUTED_VALUE"""),34.0)</f>
        <v>34</v>
      </c>
      <c r="M1225" s="80"/>
      <c r="N1225" s="80"/>
      <c r="O1225" s="80"/>
      <c r="P1225" s="80" t="str">
        <f>IFERROR(__xludf.DUMMYFUNCTION("""COMPUTED_VALUE"""),"MUCSPA70003PSAAK")</f>
        <v>MUCSPA70003PSAAK</v>
      </c>
      <c r="Q1225" s="80" t="str">
        <f>IFERROR(__xludf.DUMMYFUNCTION("""COMPUTED_VALUE"""),"MUC MOHAT CIPEDES")</f>
        <v>MUC MOHAT CIPEDES</v>
      </c>
      <c r="R1225" s="80" t="str">
        <f>IFERROR(__xludf.DUMMYFUNCTION("""COMPUTED_VALUE"""),"MUC MOHAT CIPEDES")</f>
        <v>MUC MOHAT CIPEDES</v>
      </c>
      <c r="S1225" s="80" t="str">
        <f>IFERROR(__xludf.DUMMYFUNCTION("""COMPUTED_VALUE"""),"AZIS")</f>
        <v>AZIS</v>
      </c>
      <c r="T1225" s="80" t="str">
        <f>IFERROR(__xludf.DUMMYFUNCTION("""COMPUTED_VALUE"""),"CISALAK GN SAMANI RT 001 RW 013 SUKAMANAH CIPEDES")</f>
        <v>CISALAK GN SAMANI RT 001 RW 013 SUKAMANAH CIPEDES</v>
      </c>
      <c r="U1225" s="80" t="str">
        <f>IFERROR(__xludf.DUMMYFUNCTION("""COMPUTED_VALUE"""),"Jl. Mohamad Hatta No.165, Sukamanah, Cipedes")</f>
        <v>Jl. Mohamad Hatta No.165, Sukamanah, Cipedes</v>
      </c>
      <c r="V1225" s="80" t="str">
        <f>IFERROR(__xludf.DUMMYFUNCTION("""COMPUTED_VALUE"""),"RT 001 \ RW 013")</f>
        <v>RT 001 \ RW 013</v>
      </c>
      <c r="W1225" s="80" t="str">
        <f>IFERROR(__xludf.DUMMYFUNCTION("""COMPUTED_VALUE"""),"SUKAMANAH")</f>
        <v>SUKAMANAH</v>
      </c>
      <c r="X1225" s="80" t="str">
        <f>IFERROR(__xludf.DUMMYFUNCTION("""COMPUTED_VALUE"""),"CIPEDES")</f>
        <v>CIPEDES</v>
      </c>
      <c r="Y1225" s="80" t="str">
        <f>IFERROR(__xludf.DUMMYFUNCTION("""COMPUTED_VALUE"""),"TASIKMALAYA")</f>
        <v>TASIKMALAYA</v>
      </c>
      <c r="Z1225" s="80" t="str">
        <f>IFERROR(__xludf.DUMMYFUNCTION("""COMPUTED_VALUE"""),"JAWA BARAT")</f>
        <v>JAWA BARAT</v>
      </c>
      <c r="AA1225" s="80" t="str">
        <f>IFERROR(__xludf.DUMMYFUNCTION("""COMPUTED_VALUE"""),"46131")</f>
        <v>46131</v>
      </c>
      <c r="AB1225" s="80" t="str">
        <f>IFERROR(__xludf.DUMMYFUNCTION("""COMPUTED_VALUE"""),"3278022011810003")</f>
        <v>3278022011810003</v>
      </c>
      <c r="AC1225" s="80" t="str">
        <f>IFERROR(__xludf.DUMMYFUNCTION("""COMPUTED_VALUE"""),"97.161.399.7-425.000")</f>
        <v>97.161.399.7-425.000</v>
      </c>
      <c r="AD1225" s="80" t="str">
        <f>IFERROR(__xludf.DUMMYFUNCTION("""COMPUTED_VALUE"""),"CUM - LP - ANGGI")</f>
        <v>CUM - LP - ANGGI</v>
      </c>
      <c r="AE1225" s="80" t="str">
        <f>IFERROR(__xludf.DUMMYFUNCTION("""COMPUTED_VALUE"""),"CUM - LP - ANGGI")</f>
        <v>CUM - LP - ANGGI</v>
      </c>
      <c r="AF1225" s="80" t="str">
        <f>IFERROR(__xludf.DUMMYFUNCTION("""COMPUTED_VALUE"""),"085223491144")</f>
        <v>085223491144</v>
      </c>
      <c r="AG1225" s="80" t="str">
        <f>IFERROR(__xludf.DUMMYFUNCTION("""COMPUTED_VALUE"""),"85223491144")</f>
        <v>85223491144</v>
      </c>
      <c r="AH1225" s="80" t="str">
        <f>IFERROR(__xludf.DUMMYFUNCTION("""COMPUTED_VALUE"""),"adjisalbarn@gmail.com")</f>
        <v>adjisalbarn@gmail.com</v>
      </c>
      <c r="AI1225" s="80" t="str">
        <f>IFERROR(__xludf.DUMMYFUNCTION("""COMPUTED_VALUE"""),"46131S3")</f>
        <v>46131S3</v>
      </c>
      <c r="AJ1225" s="80" t="str">
        <f>IFERROR(__xludf.DUMMYFUNCTION("""COMPUTED_VALUE"""),"6a8d42dbcd17f7e76b09298e")</f>
        <v>6a8d42dbcd17f7e76b09298e</v>
      </c>
      <c r="AK1225" s="80" t="str">
        <f>IFERROR(__xludf.DUMMYFUNCTION("""COMPUTED_VALUE"""),"adjisalbarn@gmail.com")</f>
        <v>adjisalbarn@gmail.com</v>
      </c>
      <c r="AL1225" s="80" t="str">
        <f>IFERROR(__xludf.DUMMYFUNCTION("""COMPUTED_VALUE"""),"#Muc46131S3$")</f>
        <v>#Muc46131S3$</v>
      </c>
      <c r="AM1225" s="80" t="str">
        <f>IFERROR(__xludf.DUMMYFUNCTION("""COMPUTED_VALUE"""),"KANTOR REGIONAL III BANDUNG 40004")</f>
        <v>KANTOR REGIONAL III BANDUNG 40004</v>
      </c>
      <c r="AN1225" s="80" t="str">
        <f>IFERROR(__xludf.DUMMYFUNCTION("""COMPUTED_VALUE"""),"KC TASIKMALAYA 46100")</f>
        <v>KC TASIKMALAYA 46100</v>
      </c>
      <c r="AO1225" s="80" t="str">
        <f>IFERROR(__xludf.DUMMYFUNCTION("""COMPUTED_VALUE"""),"0701260043347")</f>
        <v>0701260043347</v>
      </c>
      <c r="AP1225" s="80" t="str">
        <f>IFERROR(__xludf.DUMMYFUNCTION("""COMPUTED_VALUE"""),"0701260043347")</f>
        <v>0701260043347</v>
      </c>
      <c r="AQ1225" s="83" t="str">
        <f>IFERROR(__xludf.DUMMYFUNCTION("""COMPUTED_VALUE"""),"0540640301")</f>
        <v>0540640301</v>
      </c>
      <c r="AR1225" s="80" t="str">
        <f>IFERROR(__xludf.DUMMYFUNCTION("""COMPUTED_VALUE"""),"BCA")</f>
        <v>BCA</v>
      </c>
      <c r="AS1225" s="80" t="str">
        <f>IFERROR(__xludf.DUMMYFUNCTION("""COMPUTED_VALUE"""),"AZIS")</f>
        <v>AZIS</v>
      </c>
      <c r="AT1225" s="80" t="str">
        <f>IFERROR(__xludf.DUMMYFUNCTION("""COMPUTED_VALUE"""),"-7.3176203,108.2320641")</f>
        <v>-7.3176203,108.2320641</v>
      </c>
      <c r="AU1225" s="80" t="str">
        <f>IFERROR(__xludf.DUMMYFUNCTION("""COMPUTED_VALUE"""),"-7.3176203,108.2320641")</f>
        <v>-7.3176203,108.2320641</v>
      </c>
      <c r="AV1225" s="80"/>
      <c r="AW1225" s="80"/>
      <c r="AX1225" s="80"/>
      <c r="AY1225" s="80"/>
      <c r="AZ1225" s="80"/>
      <c r="BA1225" s="80"/>
      <c r="BB1225" s="80"/>
      <c r="BC1225" s="80"/>
      <c r="BD1225" s="80"/>
      <c r="BE1225" s="80"/>
      <c r="BF1225" s="80"/>
      <c r="BG1225" s="80"/>
      <c r="BH1225" s="80"/>
      <c r="BI1225" s="80"/>
      <c r="BJ1225" s="80"/>
      <c r="BK1225" s="80"/>
      <c r="BL1225" s="80"/>
      <c r="BM1225" s="80"/>
      <c r="BN1225" s="80"/>
      <c r="BO1225" s="80"/>
      <c r="BP1225" s="80"/>
      <c r="BQ1225" s="80"/>
      <c r="BR1225" s="80"/>
      <c r="BS1225" s="80"/>
      <c r="BT1225" s="80"/>
      <c r="BU1225" s="80"/>
      <c r="BV1225" s="80"/>
      <c r="BW1225" s="80"/>
      <c r="BX1225" s="80"/>
      <c r="BY1225" s="80"/>
      <c r="BZ1225" s="80"/>
      <c r="CA1225" s="80"/>
      <c r="CB1225" s="80"/>
      <c r="CC1225" s="80"/>
      <c r="CD1225" s="80"/>
      <c r="CE1225" s="80"/>
      <c r="CF1225" s="80"/>
      <c r="CG1225" s="80"/>
      <c r="CH1225" s="80"/>
      <c r="CI1225" s="80"/>
      <c r="CJ1225" s="80"/>
      <c r="CK1225" s="2"/>
    </row>
    <row r="1226" ht="12.75" customHeight="1">
      <c r="A1226" s="85">
        <f>IFERROR(__xludf.DUMMYFUNCTION("""COMPUTED_VALUE"""),1222.0)</f>
        <v>1222</v>
      </c>
      <c r="B1226" s="85"/>
      <c r="C1226" s="85"/>
      <c r="D1226" s="86">
        <f>IFERROR(__xludf.DUMMYFUNCTION("""COMPUTED_VALUE"""),46226.0)</f>
        <v>46226</v>
      </c>
      <c r="E1226" s="88"/>
      <c r="F1226" s="85"/>
      <c r="G1226" s="86"/>
      <c r="H1226" s="85"/>
      <c r="I1226" s="85"/>
      <c r="J1226" s="85"/>
      <c r="K1226" s="85"/>
      <c r="L1226" s="85"/>
      <c r="M1226" s="85"/>
      <c r="N1226" s="85"/>
      <c r="O1226" s="85"/>
      <c r="P1226" s="85" t="str">
        <f>IFERROR(__xludf.DUMMYFUNCTION("""COMPUTED_VALUE"""),"MUCSPA70028PSUMK")</f>
        <v>MUCSPA70028PSUMK</v>
      </c>
      <c r="Q1226" s="85" t="str">
        <f>IFERROR(__xludf.DUMMYFUNCTION("""COMPUTED_VALUE"""),"MUC KIOS SEMBAKO 4BSB")</f>
        <v>MUC KIOS SEMBAKO 4BSB</v>
      </c>
      <c r="R1226" s="85" t="str">
        <f>IFERROR(__xludf.DUMMYFUNCTION("""COMPUTED_VALUE"""),"MUC KIOS SEMBAKO 4BSB")</f>
        <v>MUC KIOS SEMBAKO 4BSB</v>
      </c>
      <c r="S1226" s="85" t="str">
        <f>IFERROR(__xludf.DUMMYFUNCTION("""COMPUTED_VALUE"""),"SAPRIN TAMBURAKA")</f>
        <v>SAPRIN TAMBURAKA</v>
      </c>
      <c r="T1226" s="85" t="str">
        <f>IFERROR(__xludf.DUMMYFUNCTION("""COMPUTED_VALUE"""),"WAWOONE RT 01 RW 01, WAWOONE, WONGGEDUKU, KAB.KONAWE")</f>
        <v>WAWOONE RT 01 RW 01, WAWOONE, WONGGEDUKU, KAB.KONAWE</v>
      </c>
      <c r="U1226" s="85" t="str">
        <f>IFERROR(__xludf.DUMMYFUNCTION("""COMPUTED_VALUE"""),"DUSUN 1 DESA WAWOONE RT 01 RW 01")</f>
        <v>DUSUN 1 DESA WAWOONE RT 01 RW 01</v>
      </c>
      <c r="V1226" s="85" t="str">
        <f>IFERROR(__xludf.DUMMYFUNCTION("""COMPUTED_VALUE"""),"RT 01  \ RW 01,")</f>
        <v>RT 01  \ RW 01,</v>
      </c>
      <c r="W1226" s="85" t="str">
        <f>IFERROR(__xludf.DUMMYFUNCTION("""COMPUTED_VALUE"""),"WAWOONE")</f>
        <v>WAWOONE</v>
      </c>
      <c r="X1226" s="85" t="str">
        <f>IFERROR(__xludf.DUMMYFUNCTION("""COMPUTED_VALUE"""),"WONGGEDUKU")</f>
        <v>WONGGEDUKU</v>
      </c>
      <c r="Y1226" s="85" t="str">
        <f>IFERROR(__xludf.DUMMYFUNCTION("""COMPUTED_VALUE"""),"KAB.KONAWE")</f>
        <v>KAB.KONAWE</v>
      </c>
      <c r="Z1226" s="85" t="str">
        <f>IFERROR(__xludf.DUMMYFUNCTION("""COMPUTED_VALUE"""),"SULAWESI TENGGARA")</f>
        <v>SULAWESI TENGGARA</v>
      </c>
      <c r="AA1226" s="85" t="str">
        <f>IFERROR(__xludf.DUMMYFUNCTION("""COMPUTED_VALUE"""),"93468")</f>
        <v>93468</v>
      </c>
      <c r="AB1226" s="85" t="str">
        <f>IFERROR(__xludf.DUMMYFUNCTION("""COMPUTED_VALUE"""),"7471091504870003")</f>
        <v>7471091504870003</v>
      </c>
      <c r="AC1226" s="85" t="str">
        <f>IFERROR(__xludf.DUMMYFUNCTION("""COMPUTED_VALUE"""),"16.235.832.9-811.000")</f>
        <v>16.235.832.9-811.000</v>
      </c>
      <c r="AD1226" s="85" t="str">
        <f>IFERROR(__xludf.DUMMYFUNCTION("""COMPUTED_VALUE"""),"CUM - UMKMNK - ASEP")</f>
        <v>CUM - UMKMNK - ASEP</v>
      </c>
      <c r="AE1226" s="85" t="str">
        <f>IFERROR(__xludf.DUMMYFUNCTION("""COMPUTED_VALUE"""),"CUM - UMKMNK - ASEP")</f>
        <v>CUM - UMKMNK - ASEP</v>
      </c>
      <c r="AF1226" s="85" t="str">
        <f>IFERROR(__xludf.DUMMYFUNCTION("""COMPUTED_VALUE"""),"082298981244")</f>
        <v>082298981244</v>
      </c>
      <c r="AG1226" s="85" t="str">
        <f>IFERROR(__xludf.DUMMYFUNCTION("""COMPUTED_VALUE"""),"82298981244")</f>
        <v>82298981244</v>
      </c>
      <c r="AH1226" s="85" t="str">
        <f>IFERROR(__xludf.DUMMYFUNCTION("""COMPUTED_VALUE"""),"saprintamburaka5@gmail.com")</f>
        <v>saprintamburaka5@gmail.com</v>
      </c>
      <c r="AI1226" s="85"/>
      <c r="AJ1226" s="85"/>
      <c r="AK1226" s="85"/>
      <c r="AL1226" s="85"/>
      <c r="AM1226" s="85" t="str">
        <f>IFERROR(__xludf.DUMMYFUNCTION("""COMPUTED_VALUE"""),"KANTOR REGIONAL VI MAKASAR 90004")</f>
        <v>KANTOR REGIONAL VI MAKASAR 90004</v>
      </c>
      <c r="AN1226" s="85" t="str">
        <f>IFERROR(__xludf.DUMMYFUNCTION("""COMPUTED_VALUE"""),"KCU KENDARI 93000")</f>
        <v>KCU KENDARI 93000</v>
      </c>
      <c r="AO1226" s="85" t="str">
        <f>IFERROR(__xludf.DUMMYFUNCTION("""COMPUTED_VALUE"""),"1707260210655")</f>
        <v>1707260210655</v>
      </c>
      <c r="AP1226" s="85" t="str">
        <f>IFERROR(__xludf.DUMMYFUNCTION("""COMPUTED_VALUE"""),"1707260210655")</f>
        <v>1707260210655</v>
      </c>
      <c r="AQ1226" s="93" t="str">
        <f>IFERROR(__xludf.DUMMYFUNCTION("""COMPUTED_VALUE"""),"7910497540")</f>
        <v>7910497540</v>
      </c>
      <c r="AR1226" s="85" t="str">
        <f>IFERROR(__xludf.DUMMYFUNCTION("""COMPUTED_VALUE"""),"BCA")</f>
        <v>BCA</v>
      </c>
      <c r="AS1226" s="85" t="str">
        <f>IFERROR(__xludf.DUMMYFUNCTION("""COMPUTED_VALUE"""),"SAPRIN TAMBURAKA")</f>
        <v>SAPRIN TAMBURAKA</v>
      </c>
      <c r="AT1226" s="85" t="str">
        <f>IFERROR(__xludf.DUMMYFUNCTION("""COMPUTED_VALUE"""),"-39,438,198.00")</f>
        <v>-39,438,198.00</v>
      </c>
      <c r="AU1226" s="85" t="str">
        <f>IFERROR(__xludf.DUMMYFUNCTION("""COMPUTED_VALUE"""),"1,221,837,692")</f>
        <v>1,221,837,692</v>
      </c>
      <c r="AV1226" s="85"/>
      <c r="AW1226" s="85"/>
      <c r="AX1226" s="85"/>
      <c r="AY1226" s="85"/>
      <c r="AZ1226" s="85"/>
      <c r="BA1226" s="85"/>
      <c r="BB1226" s="85"/>
      <c r="BC1226" s="85"/>
      <c r="BD1226" s="85"/>
      <c r="BE1226" s="85"/>
      <c r="BF1226" s="85"/>
      <c r="BG1226" s="85"/>
      <c r="BH1226" s="85"/>
      <c r="BI1226" s="85"/>
      <c r="BJ1226" s="85"/>
      <c r="BK1226" s="85"/>
      <c r="BL1226" s="85"/>
      <c r="BM1226" s="85"/>
      <c r="BN1226" s="85"/>
      <c r="BO1226" s="85"/>
      <c r="BP1226" s="85"/>
      <c r="BQ1226" s="85"/>
      <c r="BR1226" s="85"/>
      <c r="BS1226" s="85"/>
      <c r="BT1226" s="85"/>
      <c r="BU1226" s="85"/>
      <c r="BV1226" s="85"/>
      <c r="BW1226" s="85"/>
      <c r="BX1226" s="85"/>
      <c r="BY1226" s="85"/>
      <c r="BZ1226" s="85"/>
      <c r="CA1226" s="85"/>
      <c r="CB1226" s="85"/>
      <c r="CC1226" s="85"/>
      <c r="CD1226" s="85"/>
      <c r="CE1226" s="85"/>
      <c r="CF1226" s="85"/>
      <c r="CG1226" s="85"/>
      <c r="CH1226" s="85"/>
      <c r="CI1226" s="85"/>
      <c r="CJ1226" s="85"/>
      <c r="CK1226" s="2"/>
    </row>
    <row r="1227" ht="12.75" customHeight="1">
      <c r="A1227" s="80">
        <f>IFERROR(__xludf.DUMMYFUNCTION("""COMPUTED_VALUE"""),1223.0)</f>
        <v>1223</v>
      </c>
      <c r="B1227" s="80"/>
      <c r="C1227" s="80"/>
      <c r="D1227" s="81">
        <f>IFERROR(__xludf.DUMMYFUNCTION("""COMPUTED_VALUE"""),46226.0)</f>
        <v>46226</v>
      </c>
      <c r="E1227" s="82"/>
      <c r="F1227" s="80"/>
      <c r="G1227" s="81">
        <f>IFERROR(__xludf.DUMMYFUNCTION("""COMPUTED_VALUE"""),46268.0)</f>
        <v>46268</v>
      </c>
      <c r="H1227" s="80"/>
      <c r="I1227" s="80"/>
      <c r="J1227" s="80"/>
      <c r="K1227" s="80"/>
      <c r="L1227" s="80">
        <f>IFERROR(__xludf.DUMMYFUNCTION("""COMPUTED_VALUE"""),42.0)</f>
        <v>42</v>
      </c>
      <c r="M1227" s="80"/>
      <c r="N1227" s="80"/>
      <c r="O1227" s="80"/>
      <c r="P1227" s="80" t="str">
        <f>IFERROR(__xludf.DUMMYFUNCTION("""COMPUTED_VALUE"""),"MUCSPA70020PSUMK")</f>
        <v>MUCSPA70020PSUMK</v>
      </c>
      <c r="Q1227" s="80" t="str">
        <f>IFERROR(__xludf.DUMMYFUNCTION("""COMPUTED_VALUE"""),"MUC ORINUNGGU KENDARI")</f>
        <v>MUC ORINUNGGU KENDARI</v>
      </c>
      <c r="R1227" s="80" t="str">
        <f>IFERROR(__xludf.DUMMYFUNCTION("""COMPUTED_VALUE"""),"MUC ORINUNGGU KENDARI")</f>
        <v>MUC ORINUNGGU KENDARI</v>
      </c>
      <c r="S1227" s="80" t="str">
        <f>IFERROR(__xludf.DUMMYFUNCTION("""COMPUTED_VALUE"""),"Jopang")</f>
        <v>Jopang</v>
      </c>
      <c r="T1227" s="80" t="str">
        <f>IFERROR(__xludf.DUMMYFUNCTION("""COMPUTED_VALUE"""),"Jalan Orinunggu Lorong Harapan RT 15/RW 04 Kel. Padaleu Kec. Kambu Kota Kendari Sulawesi Tenggara")</f>
        <v>Jalan Orinunggu Lorong Harapan RT 15/RW 04 Kel. Padaleu Kec. Kambu Kota Kendari Sulawesi Tenggara</v>
      </c>
      <c r="U1227" s="80" t="str">
        <f>IFERROR(__xludf.DUMMYFUNCTION("""COMPUTED_VALUE"""),"Jalan Orinunggu RT 015/04")</f>
        <v>Jalan Orinunggu RT 015/04</v>
      </c>
      <c r="V1227" s="80" t="str">
        <f>IFERROR(__xludf.DUMMYFUNCTION("""COMPUTED_VALUE"""),"RT 15/ \ RW 04")</f>
        <v>RT 15/ \ RW 04</v>
      </c>
      <c r="W1227" s="80" t="str">
        <f>IFERROR(__xludf.DUMMYFUNCTION("""COMPUTED_VALUE"""),"Padaleu")</f>
        <v>Padaleu</v>
      </c>
      <c r="X1227" s="80" t="str">
        <f>IFERROR(__xludf.DUMMYFUNCTION("""COMPUTED_VALUE"""),"Kambu")</f>
        <v>Kambu</v>
      </c>
      <c r="Y1227" s="80" t="str">
        <f>IFERROR(__xludf.DUMMYFUNCTION("""COMPUTED_VALUE"""),"Kendari")</f>
        <v>Kendari</v>
      </c>
      <c r="Z1227" s="80" t="str">
        <f>IFERROR(__xludf.DUMMYFUNCTION("""COMPUTED_VALUE"""),"Sulawesi Tenggara")</f>
        <v>Sulawesi Tenggara</v>
      </c>
      <c r="AA1227" s="80" t="str">
        <f>IFERROR(__xludf.DUMMYFUNCTION("""COMPUTED_VALUE"""),"93118")</f>
        <v>93118</v>
      </c>
      <c r="AB1227" s="80" t="str">
        <f>IFERROR(__xludf.DUMMYFUNCTION("""COMPUTED_VALUE"""),"7403131402740201")</f>
        <v>7403131402740201</v>
      </c>
      <c r="AC1227" s="80" t="str">
        <f>IFERROR(__xludf.DUMMYFUNCTION("""COMPUTED_VALUE"""),"47.990.851.9-816.000")</f>
        <v>47.990.851.9-816.000</v>
      </c>
      <c r="AD1227" s="80" t="str">
        <f>IFERROR(__xludf.DUMMYFUNCTION("""COMPUTED_VALUE"""),"CUM - UMKMNK - ASEP")</f>
        <v>CUM - UMKMNK - ASEP</v>
      </c>
      <c r="AE1227" s="80" t="str">
        <f>IFERROR(__xludf.DUMMYFUNCTION("""COMPUTED_VALUE"""),"CUM - UMKMNK - ASEP")</f>
        <v>CUM - UMKMNK - ASEP</v>
      </c>
      <c r="AF1227" s="80" t="str">
        <f>IFERROR(__xludf.DUMMYFUNCTION("""COMPUTED_VALUE"""),"082292929027")</f>
        <v>082292929027</v>
      </c>
      <c r="AG1227" s="80" t="str">
        <f>IFERROR(__xludf.DUMMYFUNCTION("""COMPUTED_VALUE"""),"82292929027")</f>
        <v>82292929027</v>
      </c>
      <c r="AH1227" s="80" t="str">
        <f>IFERROR(__xludf.DUMMYFUNCTION("""COMPUTED_VALUE"""),"jopang@uho.ac.id")</f>
        <v>jopang@uho.ac.id</v>
      </c>
      <c r="AI1227" s="80" t="str">
        <f>IFERROR(__xludf.DUMMYFUNCTION("""COMPUTED_VALUE"""),"93231S3")</f>
        <v>93231S3</v>
      </c>
      <c r="AJ1227" s="80" t="str">
        <f>IFERROR(__xludf.DUMMYFUNCTION("""COMPUTED_VALUE"""),"6a991b21a0fa3f8bd301ecba")</f>
        <v>6a991b21a0fa3f8bd301ecba</v>
      </c>
      <c r="AK1227" s="80" t="str">
        <f>IFERROR(__xludf.DUMMYFUNCTION("""COMPUTED_VALUE"""),"jopang@uho.ac.id")</f>
        <v>jopang@uho.ac.id</v>
      </c>
      <c r="AL1227" s="80" t="str">
        <f>IFERROR(__xludf.DUMMYFUNCTION("""COMPUTED_VALUE"""),"#Muc93231S3$")</f>
        <v>#Muc93231S3$</v>
      </c>
      <c r="AM1227" s="80" t="str">
        <f>IFERROR(__xludf.DUMMYFUNCTION("""COMPUTED_VALUE"""),"KANTOR REGIONAL VI MAKASAR 90004")</f>
        <v>KANTOR REGIONAL VI MAKASAR 90004</v>
      </c>
      <c r="AN1227" s="80" t="str">
        <f>IFERROR(__xludf.DUMMYFUNCTION("""COMPUTED_VALUE"""),"KCU KENDARI 93000")</f>
        <v>KCU KENDARI 93000</v>
      </c>
      <c r="AO1227" s="80" t="str">
        <f>IFERROR(__xludf.DUMMYFUNCTION("""COMPUTED_VALUE"""),"1607260030259")</f>
        <v>1607260030259</v>
      </c>
      <c r="AP1227" s="80" t="str">
        <f>IFERROR(__xludf.DUMMYFUNCTION("""COMPUTED_VALUE"""),"1607260030259")</f>
        <v>1607260030259</v>
      </c>
      <c r="AQ1227" s="83" t="str">
        <f>IFERROR(__xludf.DUMMYFUNCTION("""COMPUTED_VALUE"""),"763819048700")</f>
        <v>763819048700</v>
      </c>
      <c r="AR1227" s="80" t="str">
        <f>IFERROR(__xludf.DUMMYFUNCTION("""COMPUTED_VALUE"""),"CIMB Niaga")</f>
        <v>CIMB Niaga</v>
      </c>
      <c r="AS1227" s="80" t="str">
        <f>IFERROR(__xludf.DUMMYFUNCTION("""COMPUTED_VALUE"""),"Jopang")</f>
        <v>Jopang</v>
      </c>
      <c r="AT1227" s="80" t="str">
        <f>IFERROR(__xludf.DUMMYFUNCTION("""COMPUTED_VALUE"""),"-4.018284,122.5197941")</f>
        <v>-4.018284,122.5197941</v>
      </c>
      <c r="AU1227" s="80" t="str">
        <f>IFERROR(__xludf.DUMMYFUNCTION("""COMPUTED_VALUE"""),"-4.018284,122.5197941")</f>
        <v>-4.018284,122.5197941</v>
      </c>
      <c r="AV1227" s="80"/>
      <c r="AW1227" s="80"/>
      <c r="AX1227" s="80"/>
      <c r="AY1227" s="80"/>
      <c r="AZ1227" s="80"/>
      <c r="BA1227" s="80"/>
      <c r="BB1227" s="80"/>
      <c r="BC1227" s="80"/>
      <c r="BD1227" s="80"/>
      <c r="BE1227" s="80"/>
      <c r="BF1227" s="80"/>
      <c r="BG1227" s="80"/>
      <c r="BH1227" s="80"/>
      <c r="BI1227" s="80"/>
      <c r="BJ1227" s="80"/>
      <c r="BK1227" s="80"/>
      <c r="BL1227" s="80"/>
      <c r="BM1227" s="80"/>
      <c r="BN1227" s="80"/>
      <c r="BO1227" s="80"/>
      <c r="BP1227" s="80"/>
      <c r="BQ1227" s="80"/>
      <c r="BR1227" s="80"/>
      <c r="BS1227" s="80"/>
      <c r="BT1227" s="80"/>
      <c r="BU1227" s="80"/>
      <c r="BV1227" s="80"/>
      <c r="BW1227" s="80"/>
      <c r="BX1227" s="80"/>
      <c r="BY1227" s="80"/>
      <c r="BZ1227" s="80"/>
      <c r="CA1227" s="80"/>
      <c r="CB1227" s="80"/>
      <c r="CC1227" s="80"/>
      <c r="CD1227" s="80"/>
      <c r="CE1227" s="80"/>
      <c r="CF1227" s="80"/>
      <c r="CG1227" s="80"/>
      <c r="CH1227" s="80"/>
      <c r="CI1227" s="80"/>
      <c r="CJ1227" s="80"/>
      <c r="CK1227" s="2"/>
    </row>
    <row r="1228" ht="12.75" customHeight="1">
      <c r="A1228" s="85">
        <f>IFERROR(__xludf.DUMMYFUNCTION("""COMPUTED_VALUE"""),1224.0)</f>
        <v>1224</v>
      </c>
      <c r="B1228" s="85"/>
      <c r="C1228" s="85"/>
      <c r="D1228" s="86">
        <f>IFERROR(__xludf.DUMMYFUNCTION("""COMPUTED_VALUE"""),46226.0)</f>
        <v>46226</v>
      </c>
      <c r="E1228" s="88"/>
      <c r="F1228" s="85"/>
      <c r="G1228" s="86"/>
      <c r="H1228" s="85"/>
      <c r="I1228" s="85"/>
      <c r="J1228" s="85"/>
      <c r="K1228" s="85"/>
      <c r="L1228" s="85"/>
      <c r="M1228" s="85"/>
      <c r="N1228" s="85"/>
      <c r="O1228" s="85"/>
      <c r="P1228" s="85" t="str">
        <f>IFERROR(__xludf.DUMMYFUNCTION("""COMPUTED_VALUE"""),"MUCSPA63607PSIND")</f>
        <v>MUCSPA63607PSIND</v>
      </c>
      <c r="Q1228" s="85" t="str">
        <f>IFERROR(__xludf.DUMMYFUNCTION("""COMPUTED_VALUE"""),"MUC CIKARANG SELATAN")</f>
        <v>MUC CIKARANG SELATAN</v>
      </c>
      <c r="R1228" s="85" t="str">
        <f>IFERROR(__xludf.DUMMYFUNCTION("""COMPUTED_VALUE"""),"MUC CIKARANG SELATAN")</f>
        <v>MUC CIKARANG SELATAN</v>
      </c>
      <c r="S1228" s="85" t="str">
        <f>IFERROR(__xludf.DUMMYFUNCTION("""COMPUTED_VALUE"""),"IQBAL OLIMPIAD")</f>
        <v>IQBAL OLIMPIAD</v>
      </c>
      <c r="T1228" s="85" t="str">
        <f>IFERROR(__xludf.DUMMYFUNCTION("""COMPUTED_VALUE"""),"JL.MERCURIUS III АЗ/10 CKR BARU KAB.BEKASI")</f>
        <v>JL.MERCURIUS III АЗ/10 CKR BARU KAB.BEKASI</v>
      </c>
      <c r="U1228" s="85" t="str">
        <f>IFERROR(__xludf.DUMMYFUNCTION("""COMPUTED_VALUE"""),"JL. Raya Cikarang Cibarusah ( Area Fly Over Exit Tol Cikarang Barat )")</f>
        <v>JL. Raya Cikarang Cibarusah ( Area Fly Over Exit Tol Cikarang Barat )</v>
      </c>
      <c r="V1228" s="85"/>
      <c r="W1228" s="85" t="str">
        <f>IFERROR(__xludf.DUMMYFUNCTION("""COMPUTED_VALUE"""),"PASIRSARI")</f>
        <v>PASIRSARI</v>
      </c>
      <c r="X1228" s="85" t="str">
        <f>IFERROR(__xludf.DUMMYFUNCTION("""COMPUTED_VALUE"""),"CIKARANG SELATAN")</f>
        <v>CIKARANG SELATAN</v>
      </c>
      <c r="Y1228" s="85" t="str">
        <f>IFERROR(__xludf.DUMMYFUNCTION("""COMPUTED_VALUE"""),"KAB.BEKASI")</f>
        <v>KAB.BEKASI</v>
      </c>
      <c r="Z1228" s="85" t="str">
        <f>IFERROR(__xludf.DUMMYFUNCTION("""COMPUTED_VALUE"""),"JAWA BARAT")</f>
        <v>JAWA BARAT</v>
      </c>
      <c r="AA1228" s="85" t="str">
        <f>IFERROR(__xludf.DUMMYFUNCTION("""COMPUTED_VALUE"""),"17530")</f>
        <v>17530</v>
      </c>
      <c r="AB1228" s="85" t="str">
        <f>IFERROR(__xludf.DUMMYFUNCTION("""COMPUTED_VALUE"""),"3216090207960004")</f>
        <v>3216090207960004</v>
      </c>
      <c r="AC1228" s="85" t="str">
        <f>IFERROR(__xludf.DUMMYFUNCTION("""COMPUTED_VALUE"""),"53.861.347.2-414.000")</f>
        <v>53.861.347.2-414.000</v>
      </c>
      <c r="AD1228" s="85" t="str">
        <f>IFERROR(__xludf.DUMMYFUNCTION("""COMPUTED_VALUE"""),"CUM - PS - JMN")</f>
        <v>CUM - PS - JMN</v>
      </c>
      <c r="AE1228" s="85" t="str">
        <f>IFERROR(__xludf.DUMMYFUNCTION("""COMPUTED_VALUE"""),"CUM - PS - JMN")</f>
        <v>CUM - PS - JMN</v>
      </c>
      <c r="AF1228" s="85" t="str">
        <f>IFERROR(__xludf.DUMMYFUNCTION("""COMPUTED_VALUE"""),"081285494159")</f>
        <v>081285494159</v>
      </c>
      <c r="AG1228" s="85" t="str">
        <f>IFERROR(__xludf.DUMMYFUNCTION("""COMPUTED_VALUE"""),"81285494159")</f>
        <v>81285494159</v>
      </c>
      <c r="AH1228" s="85" t="str">
        <f>IFERROR(__xludf.DUMMYFUNCTION("""COMPUTED_VALUE"""),"olimpiadiqbal@gmail.com")</f>
        <v>olimpiadiqbal@gmail.com</v>
      </c>
      <c r="AI1228" s="85"/>
      <c r="AJ1228" s="85"/>
      <c r="AK1228" s="85"/>
      <c r="AL1228" s="85"/>
      <c r="AM1228" s="85" t="str">
        <f>IFERROR(__xludf.DUMMYFUNCTION("""COMPUTED_VALUE"""),"KANTOR REGIONAL II JAKARTA 10004")</f>
        <v>KANTOR REGIONAL II JAKARTA 10004</v>
      </c>
      <c r="AN1228" s="85" t="str">
        <f>IFERROR(__xludf.DUMMYFUNCTION("""COMPUTED_VALUE"""),"KC CIKARANG 17500")</f>
        <v>KC CIKARANG 17500</v>
      </c>
      <c r="AO1228" s="85" t="str">
        <f>IFERROR(__xludf.DUMMYFUNCTION("""COMPUTED_VALUE"""),"2207260010399")</f>
        <v>2207260010399</v>
      </c>
      <c r="AP1228" s="85" t="str">
        <f>IFERROR(__xludf.DUMMYFUNCTION("""COMPUTED_VALUE"""),"2207260010399")</f>
        <v>2207260010399</v>
      </c>
      <c r="AQ1228" s="93" t="str">
        <f>IFERROR(__xludf.DUMMYFUNCTION("""COMPUTED_VALUE"""),"8730957794")</f>
        <v>8730957794</v>
      </c>
      <c r="AR1228" s="85" t="str">
        <f>IFERROR(__xludf.DUMMYFUNCTION("""COMPUTED_VALUE"""),"BCA")</f>
        <v>BCA</v>
      </c>
      <c r="AS1228" s="85" t="str">
        <f>IFERROR(__xludf.DUMMYFUNCTION("""COMPUTED_VALUE"""),"IQBAL OLIMPIAD")</f>
        <v>IQBAL OLIMPIAD</v>
      </c>
      <c r="AT1228" s="85" t="str">
        <f>IFERROR(__xludf.DUMMYFUNCTION("""COMPUTED_VALUE"""),"-6.3144852,107.1413423")</f>
        <v>-6.3144852,107.1413423</v>
      </c>
      <c r="AU1228" s="85" t="str">
        <f>IFERROR(__xludf.DUMMYFUNCTION("""COMPUTED_VALUE"""),"-6.3144852,107.1413423")</f>
        <v>-6.3144852,107.1413423</v>
      </c>
      <c r="AV1228" s="85"/>
      <c r="AW1228" s="85"/>
      <c r="AX1228" s="85"/>
      <c r="AY1228" s="85"/>
      <c r="AZ1228" s="85"/>
      <c r="BA1228" s="85"/>
      <c r="BB1228" s="85"/>
      <c r="BC1228" s="85"/>
      <c r="BD1228" s="85"/>
      <c r="BE1228" s="85"/>
      <c r="BF1228" s="85"/>
      <c r="BG1228" s="85"/>
      <c r="BH1228" s="85"/>
      <c r="BI1228" s="85"/>
      <c r="BJ1228" s="85"/>
      <c r="BK1228" s="85"/>
      <c r="BL1228" s="85"/>
      <c r="BM1228" s="85"/>
      <c r="BN1228" s="85"/>
      <c r="BO1228" s="85"/>
      <c r="BP1228" s="85"/>
      <c r="BQ1228" s="85"/>
      <c r="BR1228" s="85"/>
      <c r="BS1228" s="85"/>
      <c r="BT1228" s="85"/>
      <c r="BU1228" s="85"/>
      <c r="BV1228" s="85"/>
      <c r="BW1228" s="85"/>
      <c r="BX1228" s="85"/>
      <c r="BY1228" s="85"/>
      <c r="BZ1228" s="85"/>
      <c r="CA1228" s="85"/>
      <c r="CB1228" s="85"/>
      <c r="CC1228" s="85"/>
      <c r="CD1228" s="85"/>
      <c r="CE1228" s="85"/>
      <c r="CF1228" s="85"/>
      <c r="CG1228" s="85"/>
      <c r="CH1228" s="85"/>
      <c r="CI1228" s="85"/>
      <c r="CJ1228" s="85"/>
      <c r="CK1228" s="2"/>
    </row>
    <row r="1229" ht="12.75" customHeight="1">
      <c r="A1229" s="80">
        <f>IFERROR(__xludf.DUMMYFUNCTION("""COMPUTED_VALUE"""),1225.0)</f>
        <v>1225</v>
      </c>
      <c r="B1229" s="80"/>
      <c r="C1229" s="80"/>
      <c r="D1229" s="81">
        <f>IFERROR(__xludf.DUMMYFUNCTION("""COMPUTED_VALUE"""),46226.0)</f>
        <v>46226</v>
      </c>
      <c r="E1229" s="82"/>
      <c r="F1229" s="80"/>
      <c r="G1229" s="81">
        <f>IFERROR(__xludf.DUMMYFUNCTION("""COMPUTED_VALUE"""),46267.0)</f>
        <v>46267</v>
      </c>
      <c r="H1229" s="80"/>
      <c r="I1229" s="80"/>
      <c r="J1229" s="80"/>
      <c r="K1229" s="80"/>
      <c r="L1229" s="80">
        <f>IFERROR(__xludf.DUMMYFUNCTION("""COMPUTED_VALUE"""),41.0)</f>
        <v>41</v>
      </c>
      <c r="M1229" s="80"/>
      <c r="N1229" s="80"/>
      <c r="O1229" s="80"/>
      <c r="P1229" s="80" t="str">
        <f>IFERROR(__xludf.DUMMYFUNCTION("""COMPUTED_VALUE"""),"44BSPA45365NTBDR")</f>
        <v>44BSPA45365NTBDR</v>
      </c>
      <c r="Q1229" s="80" t="str">
        <f>IFERROR(__xludf.DUMMYFUNCTION("""COMPUTED_VALUE"""),"MUC MULTI EXPRESS")</f>
        <v>MUC MULTI EXPRESS</v>
      </c>
      <c r="R1229" s="80" t="str">
        <f>IFERROR(__xludf.DUMMYFUNCTION("""COMPUTED_VALUE"""),"MUC MULTI EXPRESS")</f>
        <v>MUC MULTI EXPRESS</v>
      </c>
      <c r="S1229" s="80" t="str">
        <f>IFERROR(__xludf.DUMMYFUNCTION("""COMPUTED_VALUE"""),"FATCHUR RAHIM")</f>
        <v>FATCHUR RAHIM</v>
      </c>
      <c r="T1229" s="80" t="str">
        <f>IFERROR(__xludf.DUMMYFUNCTION("""COMPUTED_VALUE"""),"JL. PASAR BARU YOTEFA SAMPING SMKN5 JAYAPURA")</f>
        <v>JL. PASAR BARU YOTEFA SAMPING SMKN5 JAYAPURA</v>
      </c>
      <c r="U1229" s="80" t="str">
        <f>IFERROR(__xludf.DUMMYFUNCTION("""COMPUTED_VALUE"""),"JL PASAR BARU YOTEFA SAMPING SMKN 5")</f>
        <v>JL PASAR BARU YOTEFA SAMPING SMKN 5</v>
      </c>
      <c r="V1229" s="80"/>
      <c r="W1229" s="80" t="str">
        <f>IFERROR(__xludf.DUMMYFUNCTION("""COMPUTED_VALUE"""),"WAYMHOROCK")</f>
        <v>WAYMHOROCK</v>
      </c>
      <c r="X1229" s="80" t="str">
        <f>IFERROR(__xludf.DUMMYFUNCTION("""COMPUTED_VALUE"""),"ABEPURA")</f>
        <v>ABEPURA</v>
      </c>
      <c r="Y1229" s="80" t="str">
        <f>IFERROR(__xludf.DUMMYFUNCTION("""COMPUTED_VALUE"""),"KOTA JAYAPURA")</f>
        <v>KOTA JAYAPURA</v>
      </c>
      <c r="Z1229" s="80" t="str">
        <f>IFERROR(__xludf.DUMMYFUNCTION("""COMPUTED_VALUE"""),"PAPUA")</f>
        <v>PAPUA</v>
      </c>
      <c r="AA1229" s="80" t="str">
        <f>IFERROR(__xludf.DUMMYFUNCTION("""COMPUTED_VALUE"""),"99229")</f>
        <v>99229</v>
      </c>
      <c r="AB1229" s="80" t="str">
        <f>IFERROR(__xludf.DUMMYFUNCTION("""COMPUTED_VALUE"""),"9171031007930001")</f>
        <v>9171031007930001</v>
      </c>
      <c r="AC1229" s="80" t="str">
        <f>IFERROR(__xludf.DUMMYFUNCTION("""COMPUTED_VALUE"""),"83.283.752.0-952.000")</f>
        <v>83.283.752.0-952.000</v>
      </c>
      <c r="AD1229" s="80" t="str">
        <f>IFERROR(__xludf.DUMMYFUNCTION("""COMPUTED_VALUE"""),"44CUMBSBDRIEN - CUM BSB - DRIEN")</f>
        <v>44CUMBSBDRIEN - CUM BSB - DRIEN</v>
      </c>
      <c r="AE1229" s="80" t="str">
        <f>IFERROR(__xludf.DUMMYFUNCTION("""COMPUTED_VALUE"""),"44CUMBSBDRIEN - CUM BSB - DRIEN")</f>
        <v>44CUMBSBDRIEN - CUM BSB - DRIEN</v>
      </c>
      <c r="AF1229" s="80" t="str">
        <f>IFERROR(__xludf.DUMMYFUNCTION("""COMPUTED_VALUE"""),"082229000027")</f>
        <v>082229000027</v>
      </c>
      <c r="AG1229" s="80" t="str">
        <f>IFERROR(__xludf.DUMMYFUNCTION("""COMPUTED_VALUE"""),"82229000027")</f>
        <v>82229000027</v>
      </c>
      <c r="AH1229" s="80" t="str">
        <f>IFERROR(__xludf.DUMMYFUNCTION("""COMPUTED_VALUE"""),"multiexpressabepura@gmail.com")</f>
        <v>multiexpressabepura@gmail.com</v>
      </c>
      <c r="AI1229" s="80" t="str">
        <f>IFERROR(__xludf.DUMMYFUNCTION("""COMPUTED_VALUE"""),"99128S1")</f>
        <v>99128S1</v>
      </c>
      <c r="AJ1229" s="80" t="str">
        <f>IFERROR(__xludf.DUMMYFUNCTION("""COMPUTED_VALUE"""),"6a97f1729199ca546e09a980")</f>
        <v>6a97f1729199ca546e09a980</v>
      </c>
      <c r="AK1229" s="80" t="str">
        <f>IFERROR(__xludf.DUMMYFUNCTION("""COMPUTED_VALUE"""),"multiexpressabepura@gmail.com")</f>
        <v>multiexpressabepura@gmail.com</v>
      </c>
      <c r="AL1229" s="80" t="str">
        <f>IFERROR(__xludf.DUMMYFUNCTION("""COMPUTED_VALUE"""),"#Muc99128S1$")</f>
        <v>#Muc99128S1$</v>
      </c>
      <c r="AM1229" s="80" t="str">
        <f>IFERROR(__xludf.DUMMYFUNCTION("""COMPUTED_VALUE"""),"KANTOR REGIONAL VI MAKASAR 90004")</f>
        <v>KANTOR REGIONAL VI MAKASAR 90004</v>
      </c>
      <c r="AN1229" s="80" t="str">
        <f>IFERROR(__xludf.DUMMYFUNCTION("""COMPUTED_VALUE"""),"KCU JAYAPURA 99000")</f>
        <v>KCU JAYAPURA 99000</v>
      </c>
      <c r="AO1229" s="80" t="str">
        <f>IFERROR(__xludf.DUMMYFUNCTION("""COMPUTED_VALUE"""),"2603240373584")</f>
        <v>2603240373584</v>
      </c>
      <c r="AP1229" s="80" t="str">
        <f>IFERROR(__xludf.DUMMYFUNCTION("""COMPUTED_VALUE"""),"53202")</f>
        <v>53202</v>
      </c>
      <c r="AQ1229" s="83" t="str">
        <f>IFERROR(__xludf.DUMMYFUNCTION("""COMPUTED_VALUE"""),"7955518071")</f>
        <v>7955518071</v>
      </c>
      <c r="AR1229" s="80" t="str">
        <f>IFERROR(__xludf.DUMMYFUNCTION("""COMPUTED_VALUE"""),"BCA")</f>
        <v>BCA</v>
      </c>
      <c r="AS1229" s="80" t="str">
        <f>IFERROR(__xludf.DUMMYFUNCTION("""COMPUTED_VALUE"""),"FATCHUR RAHIM")</f>
        <v>FATCHUR RAHIM</v>
      </c>
      <c r="AT1229" s="80" t="str">
        <f>IFERROR(__xludf.DUMMYFUNCTION("""COMPUTED_VALUE"""),"-2.6082264,140.6800295")</f>
        <v>-2.6082264,140.6800295</v>
      </c>
      <c r="AU1229" s="80" t="str">
        <f>IFERROR(__xludf.DUMMYFUNCTION("""COMPUTED_VALUE"""),"-2.6082264,140.6800295")</f>
        <v>-2.6082264,140.6800295</v>
      </c>
      <c r="AV1229" s="80"/>
      <c r="AW1229" s="80"/>
      <c r="AX1229" s="80"/>
      <c r="AY1229" s="80"/>
      <c r="AZ1229" s="80"/>
      <c r="BA1229" s="80"/>
      <c r="BB1229" s="80"/>
      <c r="BC1229" s="80"/>
      <c r="BD1229" s="80"/>
      <c r="BE1229" s="80"/>
      <c r="BF1229" s="80"/>
      <c r="BG1229" s="80"/>
      <c r="BH1229" s="80"/>
      <c r="BI1229" s="80"/>
      <c r="BJ1229" s="80"/>
      <c r="BK1229" s="80"/>
      <c r="BL1229" s="80"/>
      <c r="BM1229" s="80"/>
      <c r="BN1229" s="80"/>
      <c r="BO1229" s="80"/>
      <c r="BP1229" s="80"/>
      <c r="BQ1229" s="80"/>
      <c r="BR1229" s="80"/>
      <c r="BS1229" s="80"/>
      <c r="BT1229" s="80"/>
      <c r="BU1229" s="80"/>
      <c r="BV1229" s="80"/>
      <c r="BW1229" s="80"/>
      <c r="BX1229" s="80"/>
      <c r="BY1229" s="80"/>
      <c r="BZ1229" s="80"/>
      <c r="CA1229" s="80"/>
      <c r="CB1229" s="80"/>
      <c r="CC1229" s="80"/>
      <c r="CD1229" s="80"/>
      <c r="CE1229" s="80"/>
      <c r="CF1229" s="80"/>
      <c r="CG1229" s="80"/>
      <c r="CH1229" s="80"/>
      <c r="CI1229" s="80"/>
      <c r="CJ1229" s="80"/>
      <c r="CK1229" s="2"/>
    </row>
    <row r="1230" ht="12.75" customHeight="1">
      <c r="A1230" s="85">
        <f>IFERROR(__xludf.DUMMYFUNCTION("""COMPUTED_VALUE"""),1226.0)</f>
        <v>1226</v>
      </c>
      <c r="B1230" s="85"/>
      <c r="C1230" s="85"/>
      <c r="D1230" s="86">
        <f>IFERROR(__xludf.DUMMYFUNCTION("""COMPUTED_VALUE"""),46226.0)</f>
        <v>46226</v>
      </c>
      <c r="E1230" s="88"/>
      <c r="F1230" s="85"/>
      <c r="G1230" s="86">
        <f>IFERROR(__xludf.DUMMYFUNCTION("""COMPUTED_VALUE"""),46280.0)</f>
        <v>46280</v>
      </c>
      <c r="H1230" s="85"/>
      <c r="I1230" s="85"/>
      <c r="J1230" s="85"/>
      <c r="K1230" s="85"/>
      <c r="L1230" s="85">
        <f>IFERROR(__xludf.DUMMYFUNCTION("""COMPUTED_VALUE"""),54.0)</f>
        <v>54</v>
      </c>
      <c r="M1230" s="85"/>
      <c r="N1230" s="85"/>
      <c r="O1230" s="85"/>
      <c r="P1230" s="85" t="str">
        <f>IFERROR(__xludf.DUMMYFUNCTION("""COMPUTED_VALUE"""),"MUCSPA70033PSUMK")</f>
        <v>MUCSPA70033PSUMK</v>
      </c>
      <c r="Q1230" s="85" t="str">
        <f>IFERROR(__xludf.DUMMYFUNCTION("""COMPUTED_VALUE"""),"MUC CIPTA KARYA PASUNDAN")</f>
        <v>MUC CIPTA KARYA PASUNDAN</v>
      </c>
      <c r="R1230" s="85" t="str">
        <f>IFERROR(__xludf.DUMMYFUNCTION("""COMPUTED_VALUE"""),"MUC CIPTA KARYA PASUNDAN")</f>
        <v>MUC CIPTA KARYA PASUNDAN</v>
      </c>
      <c r="S1230" s="85" t="str">
        <f>IFERROR(__xludf.DUMMYFUNCTION("""COMPUTED_VALUE"""),"SEBAS VERDINNA")</f>
        <v>SEBAS VERDINNA</v>
      </c>
      <c r="T1230" s="85" t="str">
        <f>IFERROR(__xludf.DUMMYFUNCTION("""COMPUTED_VALUE"""),"KP. KEPUH RT 03 RW 10, PADALARANG, PADALARANG, KAB.BANDUNG BARAT")</f>
        <v>KP. KEPUH RT 03 RW 10, PADALARANG, PADALARANG, KAB.BANDUNG BARAT</v>
      </c>
      <c r="U1230" s="85" t="str">
        <f>IFERROR(__xludf.DUMMYFUNCTION("""COMPUTED_VALUE"""),"JL. Letkol GA Manulang No.274 RT 01 RW 05 Purabaya")</f>
        <v>JL. Letkol GA Manulang No.274 RT 01 RW 05 Purabaya</v>
      </c>
      <c r="V1230" s="85" t="str">
        <f>IFERROR(__xludf.DUMMYFUNCTION("""COMPUTED_VALUE"""),"RT 03  \ RW 10,")</f>
        <v>RT 03  \ RW 10,</v>
      </c>
      <c r="W1230" s="85" t="str">
        <f>IFERROR(__xludf.DUMMYFUNCTION("""COMPUTED_VALUE"""),"JAYAMEKAR")</f>
        <v>JAYAMEKAR</v>
      </c>
      <c r="X1230" s="85" t="str">
        <f>IFERROR(__xludf.DUMMYFUNCTION("""COMPUTED_VALUE"""),"PADALARANG")</f>
        <v>PADALARANG</v>
      </c>
      <c r="Y1230" s="85" t="str">
        <f>IFERROR(__xludf.DUMMYFUNCTION("""COMPUTED_VALUE"""),"KAB.BANDUNG BARAT")</f>
        <v>KAB.BANDUNG BARAT</v>
      </c>
      <c r="Z1230" s="85" t="str">
        <f>IFERROR(__xludf.DUMMYFUNCTION("""COMPUTED_VALUE"""),"JAWA BARAT")</f>
        <v>JAWA BARAT</v>
      </c>
      <c r="AA1230" s="85" t="str">
        <f>IFERROR(__xludf.DUMMYFUNCTION("""COMPUTED_VALUE"""),"40553")</f>
        <v>40553</v>
      </c>
      <c r="AB1230" s="85" t="str">
        <f>IFERROR(__xludf.DUMMYFUNCTION("""COMPUTED_VALUE"""),"3217081103730022")</f>
        <v>3217081103730022</v>
      </c>
      <c r="AC1230" s="85" t="str">
        <f>IFERROR(__xludf.DUMMYFUNCTION("""COMPUTED_VALUE"""),"74.579.028.7-421.000")</f>
        <v>74.579.028.7-421.000</v>
      </c>
      <c r="AD1230" s="85" t="str">
        <f>IFERROR(__xludf.DUMMYFUNCTION("""COMPUTED_VALUE"""),"CUM - UMKMNK - ASEP")</f>
        <v>CUM - UMKMNK - ASEP</v>
      </c>
      <c r="AE1230" s="85" t="str">
        <f>IFERROR(__xludf.DUMMYFUNCTION("""COMPUTED_VALUE"""),"CUM - UMKMNK - ASEP")</f>
        <v>CUM - UMKMNK - ASEP</v>
      </c>
      <c r="AF1230" s="85" t="str">
        <f>IFERROR(__xludf.DUMMYFUNCTION("""COMPUTED_VALUE"""),"082315549908")</f>
        <v>082315549908</v>
      </c>
      <c r="AG1230" s="85" t="str">
        <f>IFERROR(__xludf.DUMMYFUNCTION("""COMPUTED_VALUE"""),"82315549908")</f>
        <v>82315549908</v>
      </c>
      <c r="AH1230" s="85" t="str">
        <f>IFERROR(__xludf.DUMMYFUNCTION("""COMPUTED_VALUE"""),"ebas@cakap-coop.com / sverdinna@gmail.com")</f>
        <v>ebas@cakap-coop.com / sverdinna@gmail.com</v>
      </c>
      <c r="AI1230" s="85" t="str">
        <f>IFERROR(__xludf.DUMMYFUNCTION("""COMPUTED_VALUE"""),"40712S3 ")</f>
        <v>40712S3 </v>
      </c>
      <c r="AJ1230" s="85" t="str">
        <f>IFERROR(__xludf.DUMMYFUNCTION("""COMPUTED_VALUE"""),"6a99212498ae27fe890894da ")</f>
        <v>6a99212498ae27fe890894da </v>
      </c>
      <c r="AK1230" s="85" t="str">
        <f>IFERROR(__xludf.DUMMYFUNCTION("""COMPUTED_VALUE"""),"sverdinna@gmail.com")</f>
        <v>sverdinna@gmail.com</v>
      </c>
      <c r="AL1230" s="85" t="str">
        <f>IFERROR(__xludf.DUMMYFUNCTION("""COMPUTED_VALUE"""),"#Muc40712S3$")</f>
        <v>#Muc40712S3$</v>
      </c>
      <c r="AM1230" s="85" t="str">
        <f>IFERROR(__xludf.DUMMYFUNCTION("""COMPUTED_VALUE"""),"KANTOR REGIONAL III BANDUNG 40004")</f>
        <v>KANTOR REGIONAL III BANDUNG 40004</v>
      </c>
      <c r="AN1230" s="85" t="str">
        <f>IFERROR(__xludf.DUMMYFUNCTION("""COMPUTED_VALUE"""),"KC CIMAHI 40500")</f>
        <v>KC CIMAHI 40500</v>
      </c>
      <c r="AO1230" s="85" t="str">
        <f>IFERROR(__xludf.DUMMYFUNCTION("""COMPUTED_VALUE"""),"9120305521005")</f>
        <v>9120305521005</v>
      </c>
      <c r="AP1230" s="85" t="str">
        <f>IFERROR(__xludf.DUMMYFUNCTION("""COMPUTED_VALUE"""),"9120305521005")</f>
        <v>9120305521005</v>
      </c>
      <c r="AQ1230" s="93" t="str">
        <f>IFERROR(__xludf.DUMMYFUNCTION("""COMPUTED_VALUE"""),"329401069883530")</f>
        <v>329401069883530</v>
      </c>
      <c r="AR1230" s="85" t="str">
        <f>IFERROR(__xludf.DUMMYFUNCTION("""COMPUTED_VALUE"""),"BRI")</f>
        <v>BRI</v>
      </c>
      <c r="AS1230" s="85" t="str">
        <f>IFERROR(__xludf.DUMMYFUNCTION("""COMPUTED_VALUE"""),"SEBAS VERDINNA")</f>
        <v>SEBAS VERDINNA</v>
      </c>
      <c r="AT1230" s="85" t="str">
        <f>IFERROR(__xludf.DUMMYFUNCTION("""COMPUTED_VALUE"""),"-68,517,795.00")</f>
        <v>-68,517,795.00</v>
      </c>
      <c r="AU1230" s="85" t="str">
        <f>IFERROR(__xludf.DUMMYFUNCTION("""COMPUTED_VALUE"""),"1,074,696,143")</f>
        <v>1,074,696,143</v>
      </c>
      <c r="AV1230" s="85"/>
      <c r="AW1230" s="85"/>
      <c r="AX1230" s="85"/>
      <c r="AY1230" s="85"/>
      <c r="AZ1230" s="85"/>
      <c r="BA1230" s="85"/>
      <c r="BB1230" s="85"/>
      <c r="BC1230" s="85"/>
      <c r="BD1230" s="85"/>
      <c r="BE1230" s="85"/>
      <c r="BF1230" s="85"/>
      <c r="BG1230" s="85"/>
      <c r="BH1230" s="85"/>
      <c r="BI1230" s="85"/>
      <c r="BJ1230" s="85"/>
      <c r="BK1230" s="85"/>
      <c r="BL1230" s="85"/>
      <c r="BM1230" s="85"/>
      <c r="BN1230" s="85"/>
      <c r="BO1230" s="85"/>
      <c r="BP1230" s="85"/>
      <c r="BQ1230" s="85"/>
      <c r="BR1230" s="85"/>
      <c r="BS1230" s="85"/>
      <c r="BT1230" s="85"/>
      <c r="BU1230" s="85"/>
      <c r="BV1230" s="85"/>
      <c r="BW1230" s="85"/>
      <c r="BX1230" s="85"/>
      <c r="BY1230" s="85"/>
      <c r="BZ1230" s="85"/>
      <c r="CA1230" s="85"/>
      <c r="CB1230" s="85"/>
      <c r="CC1230" s="85"/>
      <c r="CD1230" s="85"/>
      <c r="CE1230" s="85"/>
      <c r="CF1230" s="85"/>
      <c r="CG1230" s="85"/>
      <c r="CH1230" s="85"/>
      <c r="CI1230" s="85"/>
      <c r="CJ1230" s="85"/>
      <c r="CK1230" s="2"/>
    </row>
    <row r="1231" ht="12.75" customHeight="1">
      <c r="A1231" s="80">
        <f>IFERROR(__xludf.DUMMYFUNCTION("""COMPUTED_VALUE"""),1227.0)</f>
        <v>1227</v>
      </c>
      <c r="B1231" s="80"/>
      <c r="C1231" s="80"/>
      <c r="D1231" s="81">
        <f>IFERROR(__xludf.DUMMYFUNCTION("""COMPUTED_VALUE"""),46226.0)</f>
        <v>46226</v>
      </c>
      <c r="E1231" s="82"/>
      <c r="F1231" s="80"/>
      <c r="G1231" s="81">
        <f>IFERROR(__xludf.DUMMYFUNCTION("""COMPUTED_VALUE"""),46280.0)</f>
        <v>46280</v>
      </c>
      <c r="H1231" s="80"/>
      <c r="I1231" s="80"/>
      <c r="J1231" s="80"/>
      <c r="K1231" s="80"/>
      <c r="L1231" s="80">
        <f>IFERROR(__xludf.DUMMYFUNCTION("""COMPUTED_VALUE"""),54.0)</f>
        <v>54</v>
      </c>
      <c r="M1231" s="80"/>
      <c r="N1231" s="80"/>
      <c r="O1231" s="80"/>
      <c r="P1231" s="80" t="str">
        <f>IFERROR(__xludf.DUMMYFUNCTION("""COMPUTED_VALUE"""),"52BSPA07928JTYNA")</f>
        <v>52BSPA07928JTYNA</v>
      </c>
      <c r="Q1231" s="80" t="str">
        <f>IFERROR(__xludf.DUMMYFUNCTION("""COMPUTED_VALUE"""),"MUC YUDISTIRA")</f>
        <v>MUC YUDISTIRA</v>
      </c>
      <c r="R1231" s="80" t="str">
        <f>IFERROR(__xludf.DUMMYFUNCTION("""COMPUTED_VALUE"""),"MUC YUDISTIRA")</f>
        <v>MUC YUDISTIRA</v>
      </c>
      <c r="S1231" s="80" t="str">
        <f>IFERROR(__xludf.DUMMYFUNCTION("""COMPUTED_VALUE"""),"YUDISTIRA ASTANA KUSUMA, SE.")</f>
        <v>YUDISTIRA ASTANA KUSUMA, SE.</v>
      </c>
      <c r="T1231" s="80" t="str">
        <f>IFERROR(__xludf.DUMMYFUNCTION("""COMPUTED_VALUE"""),"Jl. Tukad Pakerisan No. 68, DPS")</f>
        <v>Jl. Tukad Pakerisan No. 68, DPS</v>
      </c>
      <c r="U1231" s="80" t="str">
        <f>IFERROR(__xludf.DUMMYFUNCTION("""COMPUTED_VALUE"""),"JL. YOS SUDARDO NO 178")</f>
        <v>JL. YOS SUDARDO NO 178</v>
      </c>
      <c r="V1231" s="80"/>
      <c r="W1231" s="80" t="str">
        <f>IFERROR(__xludf.DUMMYFUNCTION("""COMPUTED_VALUE"""),"KOTABARU")</f>
        <v>KOTABARU</v>
      </c>
      <c r="X1231" s="80" t="str">
        <f>IFERROR(__xludf.DUMMYFUNCTION("""COMPUTED_VALUE"""),"GONDOKUSUMAN")</f>
        <v>GONDOKUSUMAN</v>
      </c>
      <c r="Y1231" s="80" t="str">
        <f>IFERROR(__xludf.DUMMYFUNCTION("""COMPUTED_VALUE"""),"YOGYAKARTA")</f>
        <v>YOGYAKARTA</v>
      </c>
      <c r="Z1231" s="80" t="str">
        <f>IFERROR(__xludf.DUMMYFUNCTION("""COMPUTED_VALUE"""),"Daerah Istimewa Yogyakarta")</f>
        <v>Daerah Istimewa Yogyakarta</v>
      </c>
      <c r="AA1231" s="80" t="str">
        <f>IFERROR(__xludf.DUMMYFUNCTION("""COMPUTED_VALUE"""),"55224")</f>
        <v>55224</v>
      </c>
      <c r="AB1231" s="80" t="str">
        <f>IFERROR(__xludf.DUMMYFUNCTION("""COMPUTED_VALUE"""),"5171032305860017")</f>
        <v>5171032305860017</v>
      </c>
      <c r="AC1231" s="80" t="str">
        <f>IFERROR(__xludf.DUMMYFUNCTION("""COMPUTED_VALUE"""),"00.173.613.6-153.2000")</f>
        <v>00.173.613.6-153.2000</v>
      </c>
      <c r="AD1231" s="80" t="str">
        <f>IFERROR(__xludf.DUMMYFUNCTION("""COMPUTED_VALUE"""),"CUM - YNA")</f>
        <v>CUM - YNA</v>
      </c>
      <c r="AE1231" s="80" t="str">
        <f>IFERROR(__xludf.DUMMYFUNCTION("""COMPUTED_VALUE"""),"CUM - YNA")</f>
        <v>CUM - YNA</v>
      </c>
      <c r="AF1231" s="80" t="str">
        <f>IFERROR(__xludf.DUMMYFUNCTION("""COMPUTED_VALUE"""),"0811395022")</f>
        <v>0811395022</v>
      </c>
      <c r="AG1231" s="80" t="str">
        <f>IFERROR(__xludf.DUMMYFUNCTION("""COMPUTED_VALUE"""),"811395022")</f>
        <v>811395022</v>
      </c>
      <c r="AH1231" s="80" t="str">
        <f>IFERROR(__xludf.DUMMYFUNCTION("""COMPUTED_VALUE"""),"dwius.jog@gmail.com")</f>
        <v>dwius.jog@gmail.com</v>
      </c>
      <c r="AI1231" s="80" t="str">
        <f>IFERROR(__xludf.DUMMYFUNCTION("""COMPUTED_VALUE"""),"55224S1 ")</f>
        <v>55224S1 </v>
      </c>
      <c r="AJ1231" s="80" t="str">
        <f>IFERROR(__xludf.DUMMYFUNCTION("""COMPUTED_VALUE"""),"6a9ce77790c5b835020b2458 ")</f>
        <v>6a9ce77790c5b835020b2458 </v>
      </c>
      <c r="AK1231" s="80" t="str">
        <f>IFERROR(__xludf.DUMMYFUNCTION("""COMPUTED_VALUE"""),"dwius.jog@gmail.com")</f>
        <v>dwius.jog@gmail.com</v>
      </c>
      <c r="AL1231" s="80" t="str">
        <f>IFERROR(__xludf.DUMMYFUNCTION("""COMPUTED_VALUE"""),"#Muc55224S1$")</f>
        <v>#Muc55224S1$</v>
      </c>
      <c r="AM1231" s="80" t="str">
        <f>IFERROR(__xludf.DUMMYFUNCTION("""COMPUTED_VALUE"""),"KANTOR REGIONAL IV SEMARANG 50004")</f>
        <v>KANTOR REGIONAL IV SEMARANG 50004</v>
      </c>
      <c r="AN1231" s="80" t="str">
        <f>IFERROR(__xludf.DUMMYFUNCTION("""COMPUTED_VALUE"""),"KCU YOGYAKARTA 55000")</f>
        <v>KCU YOGYAKARTA 55000</v>
      </c>
      <c r="AO1231" s="80" t="str">
        <f>IFERROR(__xludf.DUMMYFUNCTION("""COMPUTED_VALUE"""),"2107260034709")</f>
        <v>2107260034709</v>
      </c>
      <c r="AP1231" s="80" t="str">
        <f>IFERROR(__xludf.DUMMYFUNCTION("""COMPUTED_VALUE"""),"2107260034709")</f>
        <v>2107260034709</v>
      </c>
      <c r="AQ1231" s="83" t="str">
        <f>IFERROR(__xludf.DUMMYFUNCTION("""COMPUTED_VALUE"""),"1370010373096")</f>
        <v>1370010373096</v>
      </c>
      <c r="AR1231" s="80" t="str">
        <f>IFERROR(__xludf.DUMMYFUNCTION("""COMPUTED_VALUE"""),"MANDIRI")</f>
        <v>MANDIRI</v>
      </c>
      <c r="AS1231" s="80" t="str">
        <f>IFERROR(__xludf.DUMMYFUNCTION("""COMPUTED_VALUE"""),"PT DWI UPAYA SUKSES")</f>
        <v>PT DWI UPAYA SUKSES</v>
      </c>
      <c r="AT1231" s="80" t="str">
        <f>IFERROR(__xludf.DUMMYFUNCTION("""COMPUTED_VALUE"""),"-7.7871655,110.373458")</f>
        <v>-7.7871655,110.373458</v>
      </c>
      <c r="AU1231" s="80" t="str">
        <f>IFERROR(__xludf.DUMMYFUNCTION("""COMPUTED_VALUE"""),"-7.7871655,110.373458")</f>
        <v>-7.7871655,110.373458</v>
      </c>
      <c r="AV1231" s="80"/>
      <c r="AW1231" s="80"/>
      <c r="AX1231" s="80"/>
      <c r="AY1231" s="80"/>
      <c r="AZ1231" s="80"/>
      <c r="BA1231" s="80"/>
      <c r="BB1231" s="80"/>
      <c r="BC1231" s="80"/>
      <c r="BD1231" s="80"/>
      <c r="BE1231" s="80"/>
      <c r="BF1231" s="80"/>
      <c r="BG1231" s="80"/>
      <c r="BH1231" s="80"/>
      <c r="BI1231" s="80"/>
      <c r="BJ1231" s="80"/>
      <c r="BK1231" s="80"/>
      <c r="BL1231" s="80"/>
      <c r="BM1231" s="80"/>
      <c r="BN1231" s="80"/>
      <c r="BO1231" s="80"/>
      <c r="BP1231" s="80"/>
      <c r="BQ1231" s="80"/>
      <c r="BR1231" s="80"/>
      <c r="BS1231" s="80"/>
      <c r="BT1231" s="80"/>
      <c r="BU1231" s="80"/>
      <c r="BV1231" s="80"/>
      <c r="BW1231" s="80"/>
      <c r="BX1231" s="80"/>
      <c r="BY1231" s="80"/>
      <c r="BZ1231" s="80"/>
      <c r="CA1231" s="80"/>
      <c r="CB1231" s="80"/>
      <c r="CC1231" s="80"/>
      <c r="CD1231" s="80"/>
      <c r="CE1231" s="80"/>
      <c r="CF1231" s="80"/>
      <c r="CG1231" s="80"/>
      <c r="CH1231" s="80"/>
      <c r="CI1231" s="80"/>
      <c r="CJ1231" s="80"/>
      <c r="CK1231" s="2"/>
    </row>
    <row r="1232" ht="12.75" customHeight="1">
      <c r="A1232" s="85">
        <f>IFERROR(__xludf.DUMMYFUNCTION("""COMPUTED_VALUE"""),1228.0)</f>
        <v>1228</v>
      </c>
      <c r="B1232" s="85"/>
      <c r="C1232" s="85"/>
      <c r="D1232" s="86">
        <f>IFERROR(__xludf.DUMMYFUNCTION("""COMPUTED_VALUE"""),46226.0)</f>
        <v>46226</v>
      </c>
      <c r="E1232" s="88"/>
      <c r="F1232" s="85"/>
      <c r="G1232" s="86"/>
      <c r="H1232" s="85"/>
      <c r="I1232" s="85"/>
      <c r="J1232" s="85"/>
      <c r="K1232" s="85"/>
      <c r="L1232" s="85"/>
      <c r="M1232" s="85"/>
      <c r="N1232" s="85"/>
      <c r="O1232" s="85"/>
      <c r="P1232" s="85" t="str">
        <f>IFERROR(__xludf.DUMMYFUNCTION("""COMPUTED_VALUE"""),"53BSPA17115JBEEN")</f>
        <v>53BSPA17115JBEEN</v>
      </c>
      <c r="Q1232" s="85" t="str">
        <f>IFERROR(__xludf.DUMMYFUNCTION("""COMPUTED_VALUE"""),"MUC CARGO SUKAMAJU BARU")</f>
        <v>MUC CARGO SUKAMAJU BARU</v>
      </c>
      <c r="R1232" s="85" t="str">
        <f>IFERROR(__xludf.DUMMYFUNCTION("""COMPUTED_VALUE"""),"MUC CARGO SUKAMAJU BARU")</f>
        <v>MUC CARGO SUKAMAJU BARU</v>
      </c>
      <c r="S1232" s="85" t="str">
        <f>IFERROR(__xludf.DUMMYFUNCTION("""COMPUTED_VALUE"""),"LARAS SATY")</f>
        <v>LARAS SATY</v>
      </c>
      <c r="T1232" s="85" t="str">
        <f>IFERROR(__xludf.DUMMYFUNCTION("""COMPUTED_VALUE"""),"LEMBAH HIJAU GOBEL,JL.PADI TRAKTOR 5 BLOK D11 NO.5 RT 08 RW 13, MEKARSARI, CIMANGGIS, DEPOK")</f>
        <v>LEMBAH HIJAU GOBEL,JL.PADI TRAKTOR 5 BLOK D11 NO.5 RT 08 RW 13, MEKARSARI, CIMANGGIS, DEPOK</v>
      </c>
      <c r="U1232" s="85" t="str">
        <f>IFERROR(__xludf.DUMMYFUNCTION("""COMPUTED_VALUE"""),"JL. NANGKA RT 02 RW 04")</f>
        <v>JL. NANGKA RT 02 RW 04</v>
      </c>
      <c r="V1232" s="85" t="str">
        <f>IFERROR(__xludf.DUMMYFUNCTION("""COMPUTED_VALUE"""),"RT 08  \ RW 13,")</f>
        <v>RT 08  \ RW 13,</v>
      </c>
      <c r="W1232" s="85" t="str">
        <f>IFERROR(__xludf.DUMMYFUNCTION("""COMPUTED_VALUE"""),"SUKAMAJU BARU")</f>
        <v>SUKAMAJU BARU</v>
      </c>
      <c r="X1232" s="85" t="str">
        <f>IFERROR(__xludf.DUMMYFUNCTION("""COMPUTED_VALUE"""),"TAPOS")</f>
        <v>TAPOS</v>
      </c>
      <c r="Y1232" s="85" t="str">
        <f>IFERROR(__xludf.DUMMYFUNCTION("""COMPUTED_VALUE"""),"DEPOK")</f>
        <v>DEPOK</v>
      </c>
      <c r="Z1232" s="85" t="str">
        <f>IFERROR(__xludf.DUMMYFUNCTION("""COMPUTED_VALUE"""),"JAWA BARAT")</f>
        <v>JAWA BARAT</v>
      </c>
      <c r="AA1232" s="85" t="str">
        <f>IFERROR(__xludf.DUMMYFUNCTION("""COMPUTED_VALUE"""),"16455")</f>
        <v>16455</v>
      </c>
      <c r="AB1232" s="85" t="str">
        <f>IFERROR(__xludf.DUMMYFUNCTION("""COMPUTED_VALUE"""),"3276026610010003")</f>
        <v>3276026610010003</v>
      </c>
      <c r="AC1232" s="85" t="str">
        <f>IFERROR(__xludf.DUMMYFUNCTION("""COMPUTED_VALUE"""),"32.760.266.1-001.0003")</f>
        <v>32.760.266.1-001.0003</v>
      </c>
      <c r="AD1232" s="85" t="str">
        <f>IFERROR(__xludf.DUMMYFUNCTION("""COMPUTED_VALUE"""),"CUM - EEN")</f>
        <v>CUM - EEN</v>
      </c>
      <c r="AE1232" s="85" t="str">
        <f>IFERROR(__xludf.DUMMYFUNCTION("""COMPUTED_VALUE"""),"CUM - EEN")</f>
        <v>CUM - EEN</v>
      </c>
      <c r="AF1232" s="85" t="str">
        <f>IFERROR(__xludf.DUMMYFUNCTION("""COMPUTED_VALUE"""),"087793740744")</f>
        <v>087793740744</v>
      </c>
      <c r="AG1232" s="85" t="str">
        <f>IFERROR(__xludf.DUMMYFUNCTION("""COMPUTED_VALUE"""),"87793740744")</f>
        <v>87793740744</v>
      </c>
      <c r="AH1232" s="85" t="str">
        <f>IFERROR(__xludf.DUMMYFUNCTION("""COMPUTED_VALUE"""),"umisih.2910@gmail.com")</f>
        <v>umisih.2910@gmail.com</v>
      </c>
      <c r="AI1232" s="85"/>
      <c r="AJ1232" s="85"/>
      <c r="AK1232" s="85"/>
      <c r="AL1232" s="85"/>
      <c r="AM1232" s="85" t="str">
        <f>IFERROR(__xludf.DUMMYFUNCTION("""COMPUTED_VALUE"""),"KANTOR REGIONAL II JAKARTA 10004")</f>
        <v>KANTOR REGIONAL II JAKARTA 10004</v>
      </c>
      <c r="AN1232" s="85" t="str">
        <f>IFERROR(__xludf.DUMMYFUNCTION("""COMPUTED_VALUE"""),"KC DEPOK 16400")</f>
        <v>KC DEPOK 16400</v>
      </c>
      <c r="AO1232" s="85" t="str">
        <f>IFERROR(__xludf.DUMMYFUNCTION("""COMPUTED_VALUE"""),"2107260035591")</f>
        <v>2107260035591</v>
      </c>
      <c r="AP1232" s="85" t="str">
        <f>IFERROR(__xludf.DUMMYFUNCTION("""COMPUTED_VALUE"""),"2107260035591")</f>
        <v>2107260035591</v>
      </c>
      <c r="AQ1232" s="93" t="str">
        <f>IFERROR(__xludf.DUMMYFUNCTION("""COMPUTED_VALUE"""),"1663680904")</f>
        <v>1663680904</v>
      </c>
      <c r="AR1232" s="85" t="str">
        <f>IFERROR(__xludf.DUMMYFUNCTION("""COMPUTED_VALUE"""),"BCA")</f>
        <v>BCA</v>
      </c>
      <c r="AS1232" s="85" t="str">
        <f>IFERROR(__xludf.DUMMYFUNCTION("""COMPUTED_VALUE"""),"LARASSATY")</f>
        <v>LARASSATY</v>
      </c>
      <c r="AT1232" s="85" t="str">
        <f>IFERROR(__xludf.DUMMYFUNCTION("""COMPUTED_VALUE"""),"-6.3999977,106.8651776")</f>
        <v>-6.3999977,106.8651776</v>
      </c>
      <c r="AU1232" s="85" t="str">
        <f>IFERROR(__xludf.DUMMYFUNCTION("""COMPUTED_VALUE"""),"-6.3999977,106.8651776")</f>
        <v>-6.3999977,106.8651776</v>
      </c>
      <c r="AV1232" s="85"/>
      <c r="AW1232" s="85"/>
      <c r="AX1232" s="85"/>
      <c r="AY1232" s="85"/>
      <c r="AZ1232" s="85"/>
      <c r="BA1232" s="85"/>
      <c r="BB1232" s="85"/>
      <c r="BC1232" s="85"/>
      <c r="BD1232" s="85"/>
      <c r="BE1232" s="85"/>
      <c r="BF1232" s="85"/>
      <c r="BG1232" s="85"/>
      <c r="BH1232" s="85"/>
      <c r="BI1232" s="85"/>
      <c r="BJ1232" s="85"/>
      <c r="BK1232" s="85"/>
      <c r="BL1232" s="85"/>
      <c r="BM1232" s="85"/>
      <c r="BN1232" s="85"/>
      <c r="BO1232" s="85"/>
      <c r="BP1232" s="85"/>
      <c r="BQ1232" s="85"/>
      <c r="BR1232" s="85"/>
      <c r="BS1232" s="85"/>
      <c r="BT1232" s="85"/>
      <c r="BU1232" s="85"/>
      <c r="BV1232" s="85"/>
      <c r="BW1232" s="85"/>
      <c r="BX1232" s="85"/>
      <c r="BY1232" s="85"/>
      <c r="BZ1232" s="85"/>
      <c r="CA1232" s="85"/>
      <c r="CB1232" s="85"/>
      <c r="CC1232" s="85"/>
      <c r="CD1232" s="85"/>
      <c r="CE1232" s="85"/>
      <c r="CF1232" s="85"/>
      <c r="CG1232" s="85"/>
      <c r="CH1232" s="85"/>
      <c r="CI1232" s="85"/>
      <c r="CJ1232" s="85"/>
      <c r="CK1232" s="2"/>
    </row>
    <row r="1233" ht="12.75" customHeight="1">
      <c r="A1233" s="80">
        <f>IFERROR(__xludf.DUMMYFUNCTION("""COMPUTED_VALUE"""),1229.0)</f>
        <v>1229</v>
      </c>
      <c r="B1233" s="80"/>
      <c r="C1233" s="80"/>
      <c r="D1233" s="81">
        <f>IFERROR(__xludf.DUMMYFUNCTION("""COMPUTED_VALUE"""),46226.0)</f>
        <v>46226</v>
      </c>
      <c r="E1233" s="82"/>
      <c r="F1233" s="80"/>
      <c r="G1233" s="81"/>
      <c r="H1233" s="80"/>
      <c r="I1233" s="80"/>
      <c r="J1233" s="80"/>
      <c r="K1233" s="80"/>
      <c r="L1233" s="80"/>
      <c r="M1233" s="80"/>
      <c r="N1233" s="80"/>
      <c r="O1233" s="80"/>
      <c r="P1233" s="80" t="str">
        <f>IFERROR(__xludf.DUMMYFUNCTION("""COMPUTED_VALUE"""),"53BSPA17160JBNNK")</f>
        <v>53BSPA17160JBNNK</v>
      </c>
      <c r="Q1233" s="80" t="str">
        <f>IFERROR(__xludf.DUMMYFUNCTION("""COMPUTED_VALUE"""),"MUC SUSUKAN BOJONG")</f>
        <v>MUC SUSUKAN BOJONG</v>
      </c>
      <c r="R1233" s="80" t="str">
        <f>IFERROR(__xludf.DUMMYFUNCTION("""COMPUTED_VALUE"""),"MUC SUSUKAN BOJONG")</f>
        <v>MUC SUSUKAN BOJONG</v>
      </c>
      <c r="S1233" s="80" t="str">
        <f>IFERROR(__xludf.DUMMYFUNCTION("""COMPUTED_VALUE"""),"MARDIAH")</f>
        <v>MARDIAH</v>
      </c>
      <c r="T1233" s="80" t="str">
        <f>IFERROR(__xludf.DUMMYFUNCTION("""COMPUTED_VALUE"""),"KP.JEMBLONGAN RT 01 RW 11, PANCORAN MAS, PANCORAN MAS, DEPOK")</f>
        <v>KP.JEMBLONGAN RT 01 RW 11, PANCORAN MAS, PANCORAN MAS, DEPOK</v>
      </c>
      <c r="U1233" s="80" t="str">
        <f>IFERROR(__xludf.DUMMYFUNCTION("""COMPUTED_VALUE"""),"JL. Raya Susukan RT 01 RW 01")</f>
        <v>JL. Raya Susukan RT 01 RW 01</v>
      </c>
      <c r="V1233" s="80" t="str">
        <f>IFERROR(__xludf.DUMMYFUNCTION("""COMPUTED_VALUE"""),"RT 01  \ RW 11,")</f>
        <v>RT 01  \ RW 11,</v>
      </c>
      <c r="W1233" s="80" t="str">
        <f>IFERROR(__xludf.DUMMYFUNCTION("""COMPUTED_VALUE"""),"SUSUKAN")</f>
        <v>SUSUKAN</v>
      </c>
      <c r="X1233" s="80" t="str">
        <f>IFERROR(__xludf.DUMMYFUNCTION("""COMPUTED_VALUE"""),"BOJONGGEDE")</f>
        <v>BOJONGGEDE</v>
      </c>
      <c r="Y1233" s="80" t="str">
        <f>IFERROR(__xludf.DUMMYFUNCTION("""COMPUTED_VALUE"""),"KAB.BOGOR")</f>
        <v>KAB.BOGOR</v>
      </c>
      <c r="Z1233" s="80" t="str">
        <f>IFERROR(__xludf.DUMMYFUNCTION("""COMPUTED_VALUE"""),"JAWA BARAT")</f>
        <v>JAWA BARAT</v>
      </c>
      <c r="AA1233" s="80" t="str">
        <f>IFERROR(__xludf.DUMMYFUNCTION("""COMPUTED_VALUE"""),"16920")</f>
        <v>16920</v>
      </c>
      <c r="AB1233" s="80" t="str">
        <f>IFERROR(__xludf.DUMMYFUNCTION("""COMPUTED_VALUE"""),"3276015207730017")</f>
        <v>3276015207730017</v>
      </c>
      <c r="AC1233" s="80" t="str">
        <f>IFERROR(__xludf.DUMMYFUNCTION("""COMPUTED_VALUE"""),"46.221.269.7-412.000")</f>
        <v>46.221.269.7-412.000</v>
      </c>
      <c r="AD1233" s="80" t="str">
        <f>IFERROR(__xludf.DUMMYFUNCTION("""COMPUTED_VALUE"""),"CUM - NANIKA")</f>
        <v>CUM - NANIKA</v>
      </c>
      <c r="AE1233" s="80" t="str">
        <f>IFERROR(__xludf.DUMMYFUNCTION("""COMPUTED_VALUE"""),"CUM - NANIKA")</f>
        <v>CUM - NANIKA</v>
      </c>
      <c r="AF1233" s="80" t="str">
        <f>IFERROR(__xludf.DUMMYFUNCTION("""COMPUTED_VALUE"""),"089662552892")</f>
        <v>089662552892</v>
      </c>
      <c r="AG1233" s="80" t="str">
        <f>IFERROR(__xludf.DUMMYFUNCTION("""COMPUTED_VALUE"""),"89662552892")</f>
        <v>89662552892</v>
      </c>
      <c r="AH1233" s="80" t="str">
        <f>IFERROR(__xludf.DUMMYFUNCTION("""COMPUTED_VALUE"""),"mardiahdiah793@yahoo.co.id")</f>
        <v>mardiahdiah793@yahoo.co.id</v>
      </c>
      <c r="AI1233" s="80"/>
      <c r="AJ1233" s="80"/>
      <c r="AK1233" s="80"/>
      <c r="AL1233" s="80"/>
      <c r="AM1233" s="80" t="str">
        <f>IFERROR(__xludf.DUMMYFUNCTION("""COMPUTED_VALUE"""),"KANTOR REGIONAL II JAKARTA 10004")</f>
        <v>KANTOR REGIONAL II JAKARTA 10004</v>
      </c>
      <c r="AN1233" s="80" t="str">
        <f>IFERROR(__xludf.DUMMYFUNCTION("""COMPUTED_VALUE"""),"KC CIBINONG 16900")</f>
        <v>KC CIBINONG 16900</v>
      </c>
      <c r="AO1233" s="80" t="str">
        <f>IFERROR(__xludf.DUMMYFUNCTION("""COMPUTED_VALUE"""),"2905260048085")</f>
        <v>2905260048085</v>
      </c>
      <c r="AP1233" s="80" t="str">
        <f>IFERROR(__xludf.DUMMYFUNCTION("""COMPUTED_VALUE"""),"2905260048085")</f>
        <v>2905260048085</v>
      </c>
      <c r="AQ1233" s="83" t="str">
        <f>IFERROR(__xludf.DUMMYFUNCTION("""COMPUTED_VALUE"""),"7152307406")</f>
        <v>7152307406</v>
      </c>
      <c r="AR1233" s="80" t="str">
        <f>IFERROR(__xludf.DUMMYFUNCTION("""COMPUTED_VALUE"""),"BCA")</f>
        <v>BCA</v>
      </c>
      <c r="AS1233" s="80" t="str">
        <f>IFERROR(__xludf.DUMMYFUNCTION("""COMPUTED_VALUE"""),"MARDIAH")</f>
        <v>MARDIAH</v>
      </c>
      <c r="AT1233" s="80" t="str">
        <f>IFERROR(__xludf.DUMMYFUNCTION("""COMPUTED_VALUE"""),"-64,758,323.00")</f>
        <v>-64,758,323.00</v>
      </c>
      <c r="AU1233" s="80" t="str">
        <f>IFERROR(__xludf.DUMMYFUNCTION("""COMPUTED_VALUE"""),"1,067,866,591")</f>
        <v>1,067,866,591</v>
      </c>
      <c r="AV1233" s="80"/>
      <c r="AW1233" s="80"/>
      <c r="AX1233" s="80"/>
      <c r="AY1233" s="80"/>
      <c r="AZ1233" s="80"/>
      <c r="BA1233" s="80"/>
      <c r="BB1233" s="80"/>
      <c r="BC1233" s="80"/>
      <c r="BD1233" s="80"/>
      <c r="BE1233" s="80"/>
      <c r="BF1233" s="80"/>
      <c r="BG1233" s="80"/>
      <c r="BH1233" s="80"/>
      <c r="BI1233" s="80"/>
      <c r="BJ1233" s="80"/>
      <c r="BK1233" s="80"/>
      <c r="BL1233" s="80"/>
      <c r="BM1233" s="80"/>
      <c r="BN1233" s="80"/>
      <c r="BO1233" s="80"/>
      <c r="BP1233" s="80"/>
      <c r="BQ1233" s="80"/>
      <c r="BR1233" s="80"/>
      <c r="BS1233" s="80"/>
      <c r="BT1233" s="80"/>
      <c r="BU1233" s="80"/>
      <c r="BV1233" s="80"/>
      <c r="BW1233" s="80"/>
      <c r="BX1233" s="80"/>
      <c r="BY1233" s="80"/>
      <c r="BZ1233" s="80"/>
      <c r="CA1233" s="80"/>
      <c r="CB1233" s="80"/>
      <c r="CC1233" s="80"/>
      <c r="CD1233" s="80"/>
      <c r="CE1233" s="80"/>
      <c r="CF1233" s="80"/>
      <c r="CG1233" s="80"/>
      <c r="CH1233" s="80"/>
      <c r="CI1233" s="80"/>
      <c r="CJ1233" s="80"/>
      <c r="CK1233" s="2"/>
    </row>
    <row r="1234" ht="12.75" customHeight="1">
      <c r="A1234" s="85">
        <f>IFERROR(__xludf.DUMMYFUNCTION("""COMPUTED_VALUE"""),1230.0)</f>
        <v>1230</v>
      </c>
      <c r="B1234" s="85"/>
      <c r="C1234" s="85"/>
      <c r="D1234" s="86">
        <f>IFERROR(__xludf.DUMMYFUNCTION("""COMPUTED_VALUE"""),46226.0)</f>
        <v>46226</v>
      </c>
      <c r="E1234" s="88"/>
      <c r="F1234" s="85"/>
      <c r="G1234" s="86">
        <f>IFERROR(__xludf.DUMMYFUNCTION("""COMPUTED_VALUE"""),46258.0)</f>
        <v>46258</v>
      </c>
      <c r="H1234" s="85"/>
      <c r="I1234" s="85"/>
      <c r="J1234" s="85"/>
      <c r="K1234" s="85"/>
      <c r="L1234" s="85">
        <f>IFERROR(__xludf.DUMMYFUNCTION("""COMPUTED_VALUE"""),32.0)</f>
        <v>32</v>
      </c>
      <c r="M1234" s="85"/>
      <c r="N1234" s="85"/>
      <c r="O1234" s="85"/>
      <c r="P1234" s="85" t="str">
        <f>IFERROR(__xludf.DUMMYFUNCTION("""COMPUTED_VALUE"""),"MUCSPA70036PSUMK")</f>
        <v>MUCSPA70036PSUMK</v>
      </c>
      <c r="Q1234" s="85" t="str">
        <f>IFERROR(__xludf.DUMMYFUNCTION("""COMPUTED_VALUE"""),"MUC RISNAWATI AL HUSNA")</f>
        <v>MUC RISNAWATI AL HUSNA</v>
      </c>
      <c r="R1234" s="85" t="str">
        <f>IFERROR(__xludf.DUMMYFUNCTION("""COMPUTED_VALUE"""),"MUC RISNAWATI AL HUSNA")</f>
        <v>MUC RISNAWATI AL HUSNA</v>
      </c>
      <c r="S1234" s="85" t="str">
        <f>IFERROR(__xludf.DUMMYFUNCTION("""COMPUTED_VALUE"""),"RISNAWATI")</f>
        <v>RISNAWATI</v>
      </c>
      <c r="T1234" s="85" t="str">
        <f>IFERROR(__xludf.DUMMYFUNCTION("""COMPUTED_VALUE"""),"PAREREJO RT 12 RW 04, PAREREJO, GADING REJO, KAB.PRINGSEWU")</f>
        <v>PAREREJO RT 12 RW 04, PAREREJO, GADING REJO, KAB.PRINGSEWU</v>
      </c>
      <c r="U1234" s="85" t="str">
        <f>IFERROR(__xludf.DUMMYFUNCTION("""COMPUTED_VALUE"""),"PAREREJO RT 12 RW 04")</f>
        <v>PAREREJO RT 12 RW 04</v>
      </c>
      <c r="V1234" s="85" t="str">
        <f>IFERROR(__xludf.DUMMYFUNCTION("""COMPUTED_VALUE"""),"RT 12  \ RW 04,")</f>
        <v>RT 12  \ RW 04,</v>
      </c>
      <c r="W1234" s="85" t="str">
        <f>IFERROR(__xludf.DUMMYFUNCTION("""COMPUTED_VALUE"""),"PAREREJO")</f>
        <v>PAREREJO</v>
      </c>
      <c r="X1234" s="85" t="str">
        <f>IFERROR(__xludf.DUMMYFUNCTION("""COMPUTED_VALUE"""),"GADING REJO")</f>
        <v>GADING REJO</v>
      </c>
      <c r="Y1234" s="85" t="str">
        <f>IFERROR(__xludf.DUMMYFUNCTION("""COMPUTED_VALUE"""),"KAB.PRINGSEWU")</f>
        <v>KAB.PRINGSEWU</v>
      </c>
      <c r="Z1234" s="85" t="str">
        <f>IFERROR(__xludf.DUMMYFUNCTION("""COMPUTED_VALUE"""),"LAMPUNG")</f>
        <v>LAMPUNG</v>
      </c>
      <c r="AA1234" s="85" t="str">
        <f>IFERROR(__xludf.DUMMYFUNCTION("""COMPUTED_VALUE"""),"35372")</f>
        <v>35372</v>
      </c>
      <c r="AB1234" s="85" t="str">
        <f>IFERROR(__xludf.DUMMYFUNCTION("""COMPUTED_VALUE"""),"1810025904810001")</f>
        <v>1810025904810001</v>
      </c>
      <c r="AC1234" s="85" t="str">
        <f>IFERROR(__xludf.DUMMYFUNCTION("""COMPUTED_VALUE"""),"43.584.544.1-325.000")</f>
        <v>43.584.544.1-325.000</v>
      </c>
      <c r="AD1234" s="85" t="str">
        <f>IFERROR(__xludf.DUMMYFUNCTION("""COMPUTED_VALUE"""),"CUM - UMKMNK - ASEP")</f>
        <v>CUM - UMKMNK - ASEP</v>
      </c>
      <c r="AE1234" s="85" t="str">
        <f>IFERROR(__xludf.DUMMYFUNCTION("""COMPUTED_VALUE"""),"CUM - UMKMNK - ASEP")</f>
        <v>CUM - UMKMNK - ASEP</v>
      </c>
      <c r="AF1234" s="85" t="str">
        <f>IFERROR(__xludf.DUMMYFUNCTION("""COMPUTED_VALUE"""),"085788840009")</f>
        <v>085788840009</v>
      </c>
      <c r="AG1234" s="85" t="str">
        <f>IFERROR(__xludf.DUMMYFUNCTION("""COMPUTED_VALUE"""),"85788840009")</f>
        <v>85788840009</v>
      </c>
      <c r="AH1234" s="85" t="str">
        <f>IFERROR(__xludf.DUMMYFUNCTION("""COMPUTED_VALUE"""),"risnawati190481@gmail.com")</f>
        <v>risnawati190481@gmail.com</v>
      </c>
      <c r="AI1234" s="85" t="str">
        <f>IFERROR(__xludf.DUMMYFUNCTION("""COMPUTED_VALUE"""),"35772S1")</f>
        <v>35772S1</v>
      </c>
      <c r="AJ1234" s="85" t="str">
        <f>IFERROR(__xludf.DUMMYFUNCTION("""COMPUTED_VALUE"""),"6a89450c2e2cabcce6056074")</f>
        <v>6a89450c2e2cabcce6056074</v>
      </c>
      <c r="AK1234" s="85" t="str">
        <f>IFERROR(__xludf.DUMMYFUNCTION("""COMPUTED_VALUE"""),"risnawati190481@gmail.com")</f>
        <v>risnawati190481@gmail.com</v>
      </c>
      <c r="AL1234" s="85" t="str">
        <f>IFERROR(__xludf.DUMMYFUNCTION("""COMPUTED_VALUE"""),"#Muc35772S1$")</f>
        <v>#Muc35772S1$</v>
      </c>
      <c r="AM1234" s="85" t="str">
        <f>IFERROR(__xludf.DUMMYFUNCTION("""COMPUTED_VALUE"""),"KANTOR REGIONAL I MEDAN 20004")</f>
        <v>KANTOR REGIONAL I MEDAN 20004</v>
      </c>
      <c r="AN1234" s="85" t="str">
        <f>IFERROR(__xludf.DUMMYFUNCTION("""COMPUTED_VALUE"""),"KCU BANDARLAMPUNG 35000")</f>
        <v>KCU BANDARLAMPUNG 35000</v>
      </c>
      <c r="AO1234" s="85" t="str">
        <f>IFERROR(__xludf.DUMMYFUNCTION("""COMPUTED_VALUE"""),"1709210000037")</f>
        <v>1709210000037</v>
      </c>
      <c r="AP1234" s="85" t="str">
        <f>IFERROR(__xludf.DUMMYFUNCTION("""COMPUTED_VALUE"""),"1709210000037")</f>
        <v>1709210000037</v>
      </c>
      <c r="AQ1234" s="93" t="str">
        <f>IFERROR(__xludf.DUMMYFUNCTION("""COMPUTED_VALUE"""),"77250102001534")</f>
        <v>77250102001534</v>
      </c>
      <c r="AR1234" s="85" t="str">
        <f>IFERROR(__xludf.DUMMYFUNCTION("""COMPUTED_VALUE"""),"BRI")</f>
        <v>BRI</v>
      </c>
      <c r="AS1234" s="85" t="str">
        <f>IFERROR(__xludf.DUMMYFUNCTION("""COMPUTED_VALUE"""),"RISNAWATI")</f>
        <v>RISNAWATI</v>
      </c>
      <c r="AT1234" s="85" t="str">
        <f>IFERROR(__xludf.DUMMYFUNCTION("""COMPUTED_VALUE"""),"-54,115,775.00")</f>
        <v>-54,115,775.00</v>
      </c>
      <c r="AU1234" s="85" t="str">
        <f>IFERROR(__xludf.DUMMYFUNCTION("""COMPUTED_VALUE"""),"1,049,753,802")</f>
        <v>1,049,753,802</v>
      </c>
      <c r="AV1234" s="85"/>
      <c r="AW1234" s="85"/>
      <c r="AX1234" s="85"/>
      <c r="AY1234" s="85"/>
      <c r="AZ1234" s="85"/>
      <c r="BA1234" s="85"/>
      <c r="BB1234" s="85"/>
      <c r="BC1234" s="85"/>
      <c r="BD1234" s="85"/>
      <c r="BE1234" s="85"/>
      <c r="BF1234" s="85"/>
      <c r="BG1234" s="85"/>
      <c r="BH1234" s="85"/>
      <c r="BI1234" s="85"/>
      <c r="BJ1234" s="85"/>
      <c r="BK1234" s="85"/>
      <c r="BL1234" s="85"/>
      <c r="BM1234" s="85"/>
      <c r="BN1234" s="85"/>
      <c r="BO1234" s="85"/>
      <c r="BP1234" s="85"/>
      <c r="BQ1234" s="85"/>
      <c r="BR1234" s="85"/>
      <c r="BS1234" s="85"/>
      <c r="BT1234" s="85"/>
      <c r="BU1234" s="85"/>
      <c r="BV1234" s="85"/>
      <c r="BW1234" s="85"/>
      <c r="BX1234" s="85"/>
      <c r="BY1234" s="85"/>
      <c r="BZ1234" s="85"/>
      <c r="CA1234" s="85"/>
      <c r="CB1234" s="85"/>
      <c r="CC1234" s="85"/>
      <c r="CD1234" s="85"/>
      <c r="CE1234" s="85"/>
      <c r="CF1234" s="85"/>
      <c r="CG1234" s="85"/>
      <c r="CH1234" s="85"/>
      <c r="CI1234" s="85"/>
      <c r="CJ1234" s="85"/>
      <c r="CK1234" s="2"/>
    </row>
    <row r="1235" ht="12.75" customHeight="1">
      <c r="A1235" s="80">
        <f>IFERROR(__xludf.DUMMYFUNCTION("""COMPUTED_VALUE"""),1231.0)</f>
        <v>1231</v>
      </c>
      <c r="B1235" s="80"/>
      <c r="C1235" s="80"/>
      <c r="D1235" s="81">
        <f>IFERROR(__xludf.DUMMYFUNCTION("""COMPUTED_VALUE"""),46230.0)</f>
        <v>46230</v>
      </c>
      <c r="E1235" s="82"/>
      <c r="F1235" s="80"/>
      <c r="G1235" s="81">
        <f>IFERROR(__xludf.DUMMYFUNCTION("""COMPUTED_VALUE"""),46258.0)</f>
        <v>46258</v>
      </c>
      <c r="H1235" s="80"/>
      <c r="I1235" s="80"/>
      <c r="J1235" s="80"/>
      <c r="K1235" s="80"/>
      <c r="L1235" s="80">
        <f>IFERROR(__xludf.DUMMYFUNCTION("""COMPUTED_VALUE"""),28.0)</f>
        <v>28</v>
      </c>
      <c r="M1235" s="80"/>
      <c r="N1235" s="80"/>
      <c r="O1235" s="80"/>
      <c r="P1235" s="80" t="str">
        <f>IFERROR(__xludf.DUMMYFUNCTION("""COMPUTED_VALUE"""),"MUCSPA70005PSAAK")</f>
        <v>MUCSPA70005PSAAK</v>
      </c>
      <c r="Q1235" s="80" t="str">
        <f>IFERROR(__xludf.DUMMYFUNCTION("""COMPUTED_VALUE"""),"MUC DADALI")</f>
        <v>MUC DADALI</v>
      </c>
      <c r="R1235" s="80" t="str">
        <f>IFERROR(__xludf.DUMMYFUNCTION("""COMPUTED_VALUE"""),"MUC DADALI")</f>
        <v>MUC DADALI</v>
      </c>
      <c r="S1235" s="80" t="str">
        <f>IFERROR(__xludf.DUMMYFUNCTION("""COMPUTED_VALUE"""),"UCU HASAN RASIDIN")</f>
        <v>UCU HASAN RASIDIN</v>
      </c>
      <c r="T1235" s="80" t="str">
        <f>IFERROR(__xludf.DUMMYFUNCTION("""COMPUTED_VALUE"""),"JL.DADALI NO.35 RT 01 RW 09, MALEBER, ANDIR, BANDUNG")</f>
        <v>JL.DADALI NO.35 RT 01 RW 09, MALEBER, ANDIR, BANDUNG</v>
      </c>
      <c r="U1235" s="80" t="str">
        <f>IFERROR(__xludf.DUMMYFUNCTION("""COMPUTED_VALUE"""),"JL. DADALI NO.35")</f>
        <v>JL. DADALI NO.35</v>
      </c>
      <c r="V1235" s="80" t="str">
        <f>IFERROR(__xludf.DUMMYFUNCTION("""COMPUTED_VALUE"""),"RT 01  \ RW 09,")</f>
        <v>RT 01  \ RW 09,</v>
      </c>
      <c r="W1235" s="80" t="str">
        <f>IFERROR(__xludf.DUMMYFUNCTION("""COMPUTED_VALUE"""),"GARUDA")</f>
        <v>GARUDA</v>
      </c>
      <c r="X1235" s="80" t="str">
        <f>IFERROR(__xludf.DUMMYFUNCTION("""COMPUTED_VALUE"""),"ANDIR")</f>
        <v>ANDIR</v>
      </c>
      <c r="Y1235" s="80" t="str">
        <f>IFERROR(__xludf.DUMMYFUNCTION("""COMPUTED_VALUE"""),"BANDUNG")</f>
        <v>BANDUNG</v>
      </c>
      <c r="Z1235" s="80" t="str">
        <f>IFERROR(__xludf.DUMMYFUNCTION("""COMPUTED_VALUE"""),"JAWA BARAT")</f>
        <v>JAWA BARAT</v>
      </c>
      <c r="AA1235" s="80" t="str">
        <f>IFERROR(__xludf.DUMMYFUNCTION("""COMPUTED_VALUE"""),"40184")</f>
        <v>40184</v>
      </c>
      <c r="AB1235" s="80" t="str">
        <f>IFERROR(__xludf.DUMMYFUNCTION("""COMPUTED_VALUE"""),"3273182309810008")</f>
        <v>3273182309810008</v>
      </c>
      <c r="AC1235" s="80" t="str">
        <f>IFERROR(__xludf.DUMMYFUNCTION("""COMPUTED_VALUE"""),"92.881.412.8-428.000")</f>
        <v>92.881.412.8-428.000</v>
      </c>
      <c r="AD1235" s="80" t="str">
        <f>IFERROR(__xludf.DUMMYFUNCTION("""COMPUTED_VALUE"""),"CUM - LP - ANGGI")</f>
        <v>CUM - LP - ANGGI</v>
      </c>
      <c r="AE1235" s="80" t="str">
        <f>IFERROR(__xludf.DUMMYFUNCTION("""COMPUTED_VALUE"""),"CUM - LP - ANGGI")</f>
        <v>CUM - LP - ANGGI</v>
      </c>
      <c r="AF1235" s="80" t="str">
        <f>IFERROR(__xludf.DUMMYFUNCTION("""COMPUTED_VALUE"""),"082315891380")</f>
        <v>082315891380</v>
      </c>
      <c r="AG1235" s="80" t="str">
        <f>IFERROR(__xludf.DUMMYFUNCTION("""COMPUTED_VALUE"""),"82315891380")</f>
        <v>82315891380</v>
      </c>
      <c r="AH1235" s="80" t="str">
        <f>IFERROR(__xludf.DUMMYFUNCTION("""COMPUTED_VALUE"""),"ucu.hasanr@gmail.com")</f>
        <v>ucu.hasanr@gmail.com</v>
      </c>
      <c r="AI1235" s="80" t="str">
        <f>IFERROR(__xludf.DUMMYFUNCTION("""COMPUTED_VALUE"""),"40184S1")</f>
        <v>40184S1</v>
      </c>
      <c r="AJ1235" s="80" t="str">
        <f>IFERROR(__xludf.DUMMYFUNCTION("""COMPUTED_VALUE"""),"6a89523ede4f4c956200677a")</f>
        <v>6a89523ede4f4c956200677a</v>
      </c>
      <c r="AK1235" s="80" t="str">
        <f>IFERROR(__xludf.DUMMYFUNCTION("""COMPUTED_VALUE"""),"ucu.hasanr@gmail.com")</f>
        <v>ucu.hasanr@gmail.com</v>
      </c>
      <c r="AL1235" s="80" t="str">
        <f>IFERROR(__xludf.DUMMYFUNCTION("""COMPUTED_VALUE"""),"#Muc40184S1$")</f>
        <v>#Muc40184S1$</v>
      </c>
      <c r="AM1235" s="80" t="str">
        <f>IFERROR(__xludf.DUMMYFUNCTION("""COMPUTED_VALUE"""),"KANTOR REGIONAL III BANDUNG 40004")</f>
        <v>KANTOR REGIONAL III BANDUNG 40004</v>
      </c>
      <c r="AN1235" s="80" t="str">
        <f>IFERROR(__xludf.DUMMYFUNCTION("""COMPUTED_VALUE"""),"KCU BANDUNG 40000")</f>
        <v>KCU BANDUNG 40000</v>
      </c>
      <c r="AO1235" s="80" t="str">
        <f>IFERROR(__xludf.DUMMYFUNCTION("""COMPUTED_VALUE"""),"2606260038633")</f>
        <v>2606260038633</v>
      </c>
      <c r="AP1235" s="80" t="str">
        <f>IFERROR(__xludf.DUMMYFUNCTION("""COMPUTED_VALUE"""),"2606260038633")</f>
        <v>2606260038633</v>
      </c>
      <c r="AQ1235" s="83" t="str">
        <f>IFERROR(__xludf.DUMMYFUNCTION("""COMPUTED_VALUE"""),"2810826226")</f>
        <v>2810826226</v>
      </c>
      <c r="AR1235" s="80" t="str">
        <f>IFERROR(__xludf.DUMMYFUNCTION("""COMPUTED_VALUE"""),"BCA")</f>
        <v>BCA</v>
      </c>
      <c r="AS1235" s="80" t="str">
        <f>IFERROR(__xludf.DUMMYFUNCTION("""COMPUTED_VALUE"""),"UCU HASAN RASIDIN")</f>
        <v>UCU HASAN RASIDIN</v>
      </c>
      <c r="AT1235" s="80" t="str">
        <f>IFERROR(__xludf.DUMMYFUNCTION("""COMPUTED_VALUE"""),"-6.9103523,107.5739549")</f>
        <v>-6.9103523,107.5739549</v>
      </c>
      <c r="AU1235" s="80" t="str">
        <f>IFERROR(__xludf.DUMMYFUNCTION("""COMPUTED_VALUE"""),"-6.9103523,107.5739549")</f>
        <v>-6.9103523,107.5739549</v>
      </c>
      <c r="AV1235" s="80"/>
      <c r="AW1235" s="80"/>
      <c r="AX1235" s="80"/>
      <c r="AY1235" s="80"/>
      <c r="AZ1235" s="80"/>
      <c r="BA1235" s="80"/>
      <c r="BB1235" s="80"/>
      <c r="BC1235" s="80"/>
      <c r="BD1235" s="80"/>
      <c r="BE1235" s="80"/>
      <c r="BF1235" s="80"/>
      <c r="BG1235" s="80"/>
      <c r="BH1235" s="80"/>
      <c r="BI1235" s="80"/>
      <c r="BJ1235" s="80"/>
      <c r="BK1235" s="80"/>
      <c r="BL1235" s="80"/>
      <c r="BM1235" s="80"/>
      <c r="BN1235" s="80"/>
      <c r="BO1235" s="80"/>
      <c r="BP1235" s="80"/>
      <c r="BQ1235" s="80"/>
      <c r="BR1235" s="80"/>
      <c r="BS1235" s="80"/>
      <c r="BT1235" s="80"/>
      <c r="BU1235" s="80"/>
      <c r="BV1235" s="80"/>
      <c r="BW1235" s="80"/>
      <c r="BX1235" s="80"/>
      <c r="BY1235" s="80"/>
      <c r="BZ1235" s="80"/>
      <c r="CA1235" s="80"/>
      <c r="CB1235" s="80"/>
      <c r="CC1235" s="80"/>
      <c r="CD1235" s="80"/>
      <c r="CE1235" s="80"/>
      <c r="CF1235" s="80"/>
      <c r="CG1235" s="80"/>
      <c r="CH1235" s="80"/>
      <c r="CI1235" s="80"/>
      <c r="CJ1235" s="80"/>
      <c r="CK1235" s="2"/>
    </row>
    <row r="1236" ht="12.75" customHeight="1">
      <c r="A1236" s="85">
        <f>IFERROR(__xludf.DUMMYFUNCTION("""COMPUTED_VALUE"""),1232.0)</f>
        <v>1232</v>
      </c>
      <c r="B1236" s="85"/>
      <c r="C1236" s="85"/>
      <c r="D1236" s="86">
        <f>IFERROR(__xludf.DUMMYFUNCTION("""COMPUTED_VALUE"""),46230.0)</f>
        <v>46230</v>
      </c>
      <c r="E1236" s="88"/>
      <c r="F1236" s="85"/>
      <c r="G1236" s="86">
        <f>IFERROR(__xludf.DUMMYFUNCTION("""COMPUTED_VALUE"""),46258.0)</f>
        <v>46258</v>
      </c>
      <c r="H1236" s="85"/>
      <c r="I1236" s="85"/>
      <c r="J1236" s="85"/>
      <c r="K1236" s="85"/>
      <c r="L1236" s="85">
        <f>IFERROR(__xludf.DUMMYFUNCTION("""COMPUTED_VALUE"""),28.0)</f>
        <v>28</v>
      </c>
      <c r="M1236" s="85"/>
      <c r="N1236" s="85"/>
      <c r="O1236" s="85"/>
      <c r="P1236" s="85" t="str">
        <f>IFERROR(__xludf.DUMMYFUNCTION("""COMPUTED_VALUE"""),"MUCSPA70004PSAAK")</f>
        <v>MUCSPA70004PSAAK</v>
      </c>
      <c r="Q1236" s="85" t="str">
        <f>IFERROR(__xludf.DUMMYFUNCTION("""COMPUTED_VALUE"""),"MUC KOPO SUKAASIH")</f>
        <v>MUC KOPO SUKAASIH</v>
      </c>
      <c r="R1236" s="85" t="str">
        <f>IFERROR(__xludf.DUMMYFUNCTION("""COMPUTED_VALUE"""),"MUC KOPO SUKAASIH")</f>
        <v>MUC KOPO SUKAASIH</v>
      </c>
      <c r="S1236" s="85" t="str">
        <f>IFERROR(__xludf.DUMMYFUNCTION("""COMPUTED_VALUE"""),"EDAH JUBAEDAH")</f>
        <v>EDAH JUBAEDAH</v>
      </c>
      <c r="T1236" s="85" t="str">
        <f>IFERROR(__xludf.DUMMYFUNCTION("""COMPUTED_VALUE"""),"JL KOPO GG PARASDI DALAM VII NO 2")</f>
        <v>JL KOPO GG PARASDI DALAM VII NO 2</v>
      </c>
      <c r="U1236" s="85" t="str">
        <f>IFERROR(__xludf.DUMMYFUNCTION("""COMPUTED_VALUE"""),"Jl. Raya Kopo No.254, Suka Asih")</f>
        <v>Jl. Raya Kopo No.254, Suka Asih</v>
      </c>
      <c r="V1236" s="85"/>
      <c r="W1236" s="85" t="str">
        <f>IFERROR(__xludf.DUMMYFUNCTION("""COMPUTED_VALUE"""),"SUKA ASIH")</f>
        <v>SUKA ASIH</v>
      </c>
      <c r="X1236" s="85" t="str">
        <f>IFERROR(__xludf.DUMMYFUNCTION("""COMPUTED_VALUE"""),"BOJONGLOA KALER")</f>
        <v>BOJONGLOA KALER</v>
      </c>
      <c r="Y1236" s="85" t="str">
        <f>IFERROR(__xludf.DUMMYFUNCTION("""COMPUTED_VALUE"""),"BANDUNG")</f>
        <v>BANDUNG</v>
      </c>
      <c r="Z1236" s="85" t="str">
        <f>IFERROR(__xludf.DUMMYFUNCTION("""COMPUTED_VALUE"""),"JAWA BARAT")</f>
        <v>JAWA BARAT</v>
      </c>
      <c r="AA1236" s="85" t="str">
        <f>IFERROR(__xludf.DUMMYFUNCTION("""COMPUTED_VALUE"""),"40231")</f>
        <v>40231</v>
      </c>
      <c r="AB1236" s="85" t="str">
        <f>IFERROR(__xludf.DUMMYFUNCTION("""COMPUTED_VALUE"""),"3273175605740005")</f>
        <v>3273175605740005</v>
      </c>
      <c r="AC1236" s="85" t="str">
        <f>IFERROR(__xludf.DUMMYFUNCTION("""COMPUTED_VALUE"""),"32.731.756.0-574.0005")</f>
        <v>32.731.756.0-574.0005</v>
      </c>
      <c r="AD1236" s="85" t="str">
        <f>IFERROR(__xludf.DUMMYFUNCTION("""COMPUTED_VALUE"""),"CUM - LP - ANGGI")</f>
        <v>CUM - LP - ANGGI</v>
      </c>
      <c r="AE1236" s="85" t="str">
        <f>IFERROR(__xludf.DUMMYFUNCTION("""COMPUTED_VALUE"""),"CUM - LP - ANGGI")</f>
        <v>CUM - LP - ANGGI</v>
      </c>
      <c r="AF1236" s="85" t="str">
        <f>IFERROR(__xludf.DUMMYFUNCTION("""COMPUTED_VALUE"""),"081313832259")</f>
        <v>081313832259</v>
      </c>
      <c r="AG1236" s="85" t="str">
        <f>IFERROR(__xludf.DUMMYFUNCTION("""COMPUTED_VALUE"""),"81313832259")</f>
        <v>81313832259</v>
      </c>
      <c r="AH1236" s="85" t="str">
        <f>IFERROR(__xludf.DUMMYFUNCTION("""COMPUTED_VALUE"""),"edahjubaedah01974@gmail.com")</f>
        <v>edahjubaedah01974@gmail.com</v>
      </c>
      <c r="AI1236" s="85" t="str">
        <f>IFERROR(__xludf.DUMMYFUNCTION("""COMPUTED_VALUE"""),"40233S3")</f>
        <v>40233S3</v>
      </c>
      <c r="AJ1236" s="85" t="str">
        <f>IFERROR(__xludf.DUMMYFUNCTION("""COMPUTED_VALUE"""),"6a894c254b8766b8800db9cc")</f>
        <v>6a894c254b8766b8800db9cc</v>
      </c>
      <c r="AK1236" s="85" t="str">
        <f>IFERROR(__xludf.DUMMYFUNCTION("""COMPUTED_VALUE"""),"edahjubaedah01974@gmail.com")</f>
        <v>edahjubaedah01974@gmail.com</v>
      </c>
      <c r="AL1236" s="85" t="str">
        <f>IFERROR(__xludf.DUMMYFUNCTION("""COMPUTED_VALUE"""),"#Muc40233S3$")</f>
        <v>#Muc40233S3$</v>
      </c>
      <c r="AM1236" s="85" t="str">
        <f>IFERROR(__xludf.DUMMYFUNCTION("""COMPUTED_VALUE"""),"KANTOR REGIONAL III BANDUNG 40004")</f>
        <v>KANTOR REGIONAL III BANDUNG 40004</v>
      </c>
      <c r="AN1236" s="85" t="str">
        <f>IFERROR(__xludf.DUMMYFUNCTION("""COMPUTED_VALUE"""),"KCU BANDUNG 40000")</f>
        <v>KCU BANDUNG 40000</v>
      </c>
      <c r="AO1236" s="85" t="str">
        <f>IFERROR(__xludf.DUMMYFUNCTION("""COMPUTED_VALUE"""),"2606260085139")</f>
        <v>2606260085139</v>
      </c>
      <c r="AP1236" s="85" t="str">
        <f>IFERROR(__xludf.DUMMYFUNCTION("""COMPUTED_VALUE"""),"2606260085139")</f>
        <v>2606260085139</v>
      </c>
      <c r="AQ1236" s="93" t="str">
        <f>IFERROR(__xludf.DUMMYFUNCTION("""COMPUTED_VALUE"""),"4530362235")</f>
        <v>4530362235</v>
      </c>
      <c r="AR1236" s="85" t="str">
        <f>IFERROR(__xludf.DUMMYFUNCTION("""COMPUTED_VALUE"""),"BCA")</f>
        <v>BCA</v>
      </c>
      <c r="AS1236" s="85" t="str">
        <f>IFERROR(__xludf.DUMMYFUNCTION("""COMPUTED_VALUE"""),"EDAH JUBAEDAH")</f>
        <v>EDAH JUBAEDAH</v>
      </c>
      <c r="AT1236" s="85" t="str">
        <f>IFERROR(__xludf.DUMMYFUNCTION("""COMPUTED_VALUE"""),"-6.9383869,107.592946")</f>
        <v>-6.9383869,107.592946</v>
      </c>
      <c r="AU1236" s="85" t="str">
        <f>IFERROR(__xludf.DUMMYFUNCTION("""COMPUTED_VALUE"""),"-6.9383869,107.592946")</f>
        <v>-6.9383869,107.592946</v>
      </c>
      <c r="AV1236" s="85"/>
      <c r="AW1236" s="85"/>
      <c r="AX1236" s="85"/>
      <c r="AY1236" s="85"/>
      <c r="AZ1236" s="85"/>
      <c r="BA1236" s="85"/>
      <c r="BB1236" s="85"/>
      <c r="BC1236" s="85"/>
      <c r="BD1236" s="85"/>
      <c r="BE1236" s="85"/>
      <c r="BF1236" s="85"/>
      <c r="BG1236" s="85"/>
      <c r="BH1236" s="85"/>
      <c r="BI1236" s="85"/>
      <c r="BJ1236" s="85"/>
      <c r="BK1236" s="85"/>
      <c r="BL1236" s="85"/>
      <c r="BM1236" s="85"/>
      <c r="BN1236" s="85"/>
      <c r="BO1236" s="85"/>
      <c r="BP1236" s="85"/>
      <c r="BQ1236" s="85"/>
      <c r="BR1236" s="85"/>
      <c r="BS1236" s="85"/>
      <c r="BT1236" s="85"/>
      <c r="BU1236" s="85"/>
      <c r="BV1236" s="85"/>
      <c r="BW1236" s="85"/>
      <c r="BX1236" s="85"/>
      <c r="BY1236" s="85"/>
      <c r="BZ1236" s="85"/>
      <c r="CA1236" s="85"/>
      <c r="CB1236" s="85"/>
      <c r="CC1236" s="85"/>
      <c r="CD1236" s="85"/>
      <c r="CE1236" s="85"/>
      <c r="CF1236" s="85"/>
      <c r="CG1236" s="85"/>
      <c r="CH1236" s="85"/>
      <c r="CI1236" s="85"/>
      <c r="CJ1236" s="85"/>
      <c r="CK1236" s="2"/>
    </row>
    <row r="1237" ht="12.75" customHeight="1">
      <c r="A1237" s="80">
        <f>IFERROR(__xludf.DUMMYFUNCTION("""COMPUTED_VALUE"""),1233.0)</f>
        <v>1233</v>
      </c>
      <c r="B1237" s="80"/>
      <c r="C1237" s="80"/>
      <c r="D1237" s="81">
        <f>IFERROR(__xludf.DUMMYFUNCTION("""COMPUTED_VALUE"""),46230.0)</f>
        <v>46230</v>
      </c>
      <c r="E1237" s="82"/>
      <c r="F1237" s="80"/>
      <c r="G1237" s="81">
        <f>IFERROR(__xludf.DUMMYFUNCTION("""COMPUTED_VALUE"""),46254.0)</f>
        <v>46254</v>
      </c>
      <c r="H1237" s="80"/>
      <c r="I1237" s="80"/>
      <c r="J1237" s="80"/>
      <c r="K1237" s="80"/>
      <c r="L1237" s="80">
        <f>IFERROR(__xludf.DUMMYFUNCTION("""COMPUTED_VALUE"""),24.0)</f>
        <v>24</v>
      </c>
      <c r="M1237" s="80"/>
      <c r="N1237" s="80"/>
      <c r="O1237" s="80"/>
      <c r="P1237" s="80" t="str">
        <f>IFERROR(__xludf.DUMMYFUNCTION("""COMPUTED_VALUE"""),"MUCSPA63632PSIND")</f>
        <v>MUCSPA63632PSIND</v>
      </c>
      <c r="Q1237" s="80" t="str">
        <f>IFERROR(__xludf.DUMMYFUNCTION("""COMPUTED_VALUE"""),"MUC PANGJAY62A")</f>
        <v>MUC PANGJAY62A</v>
      </c>
      <c r="R1237" s="80" t="str">
        <f>IFERROR(__xludf.DUMMYFUNCTION("""COMPUTED_VALUE"""),"MUC PANGJAY62A")</f>
        <v>MUC PANGJAY62A</v>
      </c>
      <c r="S1237" s="80" t="str">
        <f>IFERROR(__xludf.DUMMYFUNCTION("""COMPUTED_VALUE"""),"JONG, FANIWATI")</f>
        <v>JONG, FANIWATI</v>
      </c>
      <c r="T1237" s="80" t="str">
        <f>IFERROR(__xludf.DUMMYFUNCTION("""COMPUTED_VALUE"""),"Jl. CIPUTAT RAYA NO. 15 ILYAS, KEBAYORAN LAMA UTARA")</f>
        <v>Jl. CIPUTAT RAYA NO. 15 ILYAS, KEBAYORAN LAMA UTARA</v>
      </c>
      <c r="U1237" s="80" t="str">
        <f>IFERROR(__xludf.DUMMYFUNCTION("""COMPUTED_VALUE"""),"Jl. Pangeran Jayakarta no. 62A, RT 008 RW 009, Mangga Dua Selatan, Sawah Besar, Jakarta Pusat")</f>
        <v>Jl. Pangeran Jayakarta no. 62A, RT 008 RW 009, Mangga Dua Selatan, Sawah Besar, Jakarta Pusat</v>
      </c>
      <c r="V1237" s="80"/>
      <c r="W1237" s="80" t="str">
        <f>IFERROR(__xludf.DUMMYFUNCTION("""COMPUTED_VALUE"""),"Mangga Dua Selatan")</f>
        <v>Mangga Dua Selatan</v>
      </c>
      <c r="X1237" s="80" t="str">
        <f>IFERROR(__xludf.DUMMYFUNCTION("""COMPUTED_VALUE"""),"Sawah Besar")</f>
        <v>Sawah Besar</v>
      </c>
      <c r="Y1237" s="80" t="str">
        <f>IFERROR(__xludf.DUMMYFUNCTION("""COMPUTED_VALUE"""),"Jakarta Pusat")</f>
        <v>Jakarta Pusat</v>
      </c>
      <c r="Z1237" s="80" t="str">
        <f>IFERROR(__xludf.DUMMYFUNCTION("""COMPUTED_VALUE"""),"DKI Jakarta")</f>
        <v>DKI Jakarta</v>
      </c>
      <c r="AA1237" s="80" t="str">
        <f>IFERROR(__xludf.DUMMYFUNCTION("""COMPUTED_VALUE"""),"10730")</f>
        <v>10730</v>
      </c>
      <c r="AB1237" s="80" t="str">
        <f>IFERROR(__xludf.DUMMYFUNCTION("""COMPUTED_VALUE"""),"3171026506820003")</f>
        <v>3171026506820003</v>
      </c>
      <c r="AC1237" s="80" t="str">
        <f>IFERROR(__xludf.DUMMYFUNCTION("""COMPUTED_VALUE"""),"31.710.265.0-682.0003")</f>
        <v>31.710.265.0-682.0003</v>
      </c>
      <c r="AD1237" s="80" t="str">
        <f>IFERROR(__xludf.DUMMYFUNCTION("""COMPUTED_VALUE"""),"CUM - PS - NONKORGEN")</f>
        <v>CUM - PS - NONKORGEN</v>
      </c>
      <c r="AE1237" s="80" t="str">
        <f>IFERROR(__xludf.DUMMYFUNCTION("""COMPUTED_VALUE"""),"Pak Wanto KCU Centrum")</f>
        <v>Pak Wanto KCU Centrum</v>
      </c>
      <c r="AF1237" s="80" t="str">
        <f>IFERROR(__xludf.DUMMYFUNCTION("""COMPUTED_VALUE"""),"089637954637")</f>
        <v>089637954637</v>
      </c>
      <c r="AG1237" s="80" t="str">
        <f>IFERROR(__xludf.DUMMYFUNCTION("""COMPUTED_VALUE"""),"89637954637")</f>
        <v>89637954637</v>
      </c>
      <c r="AH1237" s="80" t="str">
        <f>IFERROR(__xludf.DUMMYFUNCTION("""COMPUTED_VALUE"""),"laundrymonster82@gmail.com")</f>
        <v>laundrymonster82@gmail.com</v>
      </c>
      <c r="AI1237" s="80" t="str">
        <f>IFERROR(__xludf.DUMMYFUNCTION("""COMPUTED_VALUE"""),"10730S4")</f>
        <v>10730S4</v>
      </c>
      <c r="AJ1237" s="80" t="str">
        <f>IFERROR(__xludf.DUMMYFUNCTION("""COMPUTED_VALUE"""),"6a85c89cd6388e63c8081904")</f>
        <v>6a85c89cd6388e63c8081904</v>
      </c>
      <c r="AK1237" s="80" t="str">
        <f>IFERROR(__xludf.DUMMYFUNCTION("""COMPUTED_VALUE"""),"laundrymonster82@gmail.com")</f>
        <v>laundrymonster82@gmail.com</v>
      </c>
      <c r="AL1237" s="80" t="str">
        <f>IFERROR(__xludf.DUMMYFUNCTION("""COMPUTED_VALUE"""),"#Muc10730S4$")</f>
        <v>#Muc10730S4$</v>
      </c>
      <c r="AM1237" s="80" t="str">
        <f>IFERROR(__xludf.DUMMYFUNCTION("""COMPUTED_VALUE"""),"KANTOR REGIONAL II JAKARTA 10004")</f>
        <v>KANTOR REGIONAL II JAKARTA 10004</v>
      </c>
      <c r="AN1237" s="80" t="str">
        <f>IFERROR(__xludf.DUMMYFUNCTION("""COMPUTED_VALUE"""),"KCU JAKARTACENTRUM 10000")</f>
        <v>KCU JAKARTACENTRUM 10000</v>
      </c>
      <c r="AO1237" s="80" t="str">
        <f>IFERROR(__xludf.DUMMYFUNCTION("""COMPUTED_VALUE"""),"0906230026196")</f>
        <v>0906230026196</v>
      </c>
      <c r="AP1237" s="80" t="str">
        <f>IFERROR(__xludf.DUMMYFUNCTION("""COMPUTED_VALUE"""),"0906230026196")</f>
        <v>0906230026196</v>
      </c>
      <c r="AQ1237" s="83" t="str">
        <f>IFERROR(__xludf.DUMMYFUNCTION("""COMPUTED_VALUE"""),"117901210721509")</f>
        <v>117901210721509</v>
      </c>
      <c r="AR1237" s="80" t="str">
        <f>IFERROR(__xludf.DUMMYFUNCTION("""COMPUTED_VALUE"""),"BRI")</f>
        <v>BRI</v>
      </c>
      <c r="AS1237" s="80" t="str">
        <f>IFERROR(__xludf.DUMMYFUNCTION("""COMPUTED_VALUE"""),"JONG, FANIWATI")</f>
        <v>JONG, FANIWATI</v>
      </c>
      <c r="AT1237" s="80" t="str">
        <f>IFERROR(__xludf.DUMMYFUNCTION("""COMPUTED_VALUE"""),"-6.2614432,106.6151827")</f>
        <v>-6.2614432,106.6151827</v>
      </c>
      <c r="AU1237" s="80" t="str">
        <f>IFERROR(__xludf.DUMMYFUNCTION("""COMPUTED_VALUE"""),"-6.2614432,106.6151827")</f>
        <v>-6.2614432,106.6151827</v>
      </c>
      <c r="AV1237" s="80"/>
      <c r="AW1237" s="80"/>
      <c r="AX1237" s="80"/>
      <c r="AY1237" s="80"/>
      <c r="AZ1237" s="80"/>
      <c r="BA1237" s="80"/>
      <c r="BB1237" s="80"/>
      <c r="BC1237" s="80"/>
      <c r="BD1237" s="80"/>
      <c r="BE1237" s="80"/>
      <c r="BF1237" s="80"/>
      <c r="BG1237" s="80"/>
      <c r="BH1237" s="80"/>
      <c r="BI1237" s="80"/>
      <c r="BJ1237" s="80"/>
      <c r="BK1237" s="80"/>
      <c r="BL1237" s="80"/>
      <c r="BM1237" s="80"/>
      <c r="BN1237" s="80"/>
      <c r="BO1237" s="80"/>
      <c r="BP1237" s="80"/>
      <c r="BQ1237" s="80"/>
      <c r="BR1237" s="80"/>
      <c r="BS1237" s="80"/>
      <c r="BT1237" s="80"/>
      <c r="BU1237" s="80"/>
      <c r="BV1237" s="80"/>
      <c r="BW1237" s="80"/>
      <c r="BX1237" s="80"/>
      <c r="BY1237" s="80"/>
      <c r="BZ1237" s="80"/>
      <c r="CA1237" s="80"/>
      <c r="CB1237" s="80"/>
      <c r="CC1237" s="80"/>
      <c r="CD1237" s="80"/>
      <c r="CE1237" s="80"/>
      <c r="CF1237" s="80"/>
      <c r="CG1237" s="80"/>
      <c r="CH1237" s="80"/>
      <c r="CI1237" s="80"/>
      <c r="CJ1237" s="80"/>
      <c r="CK1237" s="2"/>
    </row>
    <row r="1238" ht="12.75" customHeight="1">
      <c r="A1238" s="85">
        <f>IFERROR(__xludf.DUMMYFUNCTION("""COMPUTED_VALUE"""),1234.0)</f>
        <v>1234</v>
      </c>
      <c r="B1238" s="85"/>
      <c r="C1238" s="85"/>
      <c r="D1238" s="86">
        <f>IFERROR(__xludf.DUMMYFUNCTION("""COMPUTED_VALUE"""),46230.0)</f>
        <v>46230</v>
      </c>
      <c r="E1238" s="88"/>
      <c r="F1238" s="85"/>
      <c r="G1238" s="86"/>
      <c r="H1238" s="85"/>
      <c r="I1238" s="85"/>
      <c r="J1238" s="85"/>
      <c r="K1238" s="85"/>
      <c r="L1238" s="85"/>
      <c r="M1238" s="85"/>
      <c r="N1238" s="85"/>
      <c r="O1238" s="85"/>
      <c r="P1238" s="85" t="str">
        <f>IFERROR(__xludf.DUMMYFUNCTION("""COMPUTED_VALUE"""),"44BSPA45371NTBDR")</f>
        <v>44BSPA45371NTBDR</v>
      </c>
      <c r="Q1238" s="85" t="str">
        <f>IFERROR(__xludf.DUMMYFUNCTION("""COMPUTED_VALUE"""),"MUC SM LOGISTIK")</f>
        <v>MUC SM LOGISTIK</v>
      </c>
      <c r="R1238" s="85" t="str">
        <f>IFERROR(__xludf.DUMMYFUNCTION("""COMPUTED_VALUE"""),"MUC SM LOGISTIK")</f>
        <v>MUC SM LOGISTIK</v>
      </c>
      <c r="S1238" s="85" t="str">
        <f>IFERROR(__xludf.DUMMYFUNCTION("""COMPUTED_VALUE"""),"SLAMET MAHMUDI")</f>
        <v>SLAMET MAHMUDI</v>
      </c>
      <c r="T1238" s="85" t="str">
        <f>IFERROR(__xludf.DUMMYFUNCTION("""COMPUTED_VALUE"""),"WAHYUREJO RT 02 RW 07, PRINGAPUS, PRINGAPUS, KAB.SEMARANG")</f>
        <v>WAHYUREJO RT 02 RW 07, PRINGAPUS, PRINGAPUS, KAB.SEMARANG</v>
      </c>
      <c r="U1238" s="85" t="str">
        <f>IFERROR(__xludf.DUMMYFUNCTION("""COMPUTED_VALUE"""),"JL. Mbah Bulus RT 02 RW 07 Wahyurejo")</f>
        <v>JL. Mbah Bulus RT 02 RW 07 Wahyurejo</v>
      </c>
      <c r="V1238" s="85" t="str">
        <f>IFERROR(__xludf.DUMMYFUNCTION("""COMPUTED_VALUE"""),"RT 02  \ RW 07,")</f>
        <v>RT 02  \ RW 07,</v>
      </c>
      <c r="W1238" s="85" t="str">
        <f>IFERROR(__xludf.DUMMYFUNCTION("""COMPUTED_VALUE"""),"PRINGAPUS")</f>
        <v>PRINGAPUS</v>
      </c>
      <c r="X1238" s="85" t="str">
        <f>IFERROR(__xludf.DUMMYFUNCTION("""COMPUTED_VALUE"""),"PRINGAPUS")</f>
        <v>PRINGAPUS</v>
      </c>
      <c r="Y1238" s="85" t="str">
        <f>IFERROR(__xludf.DUMMYFUNCTION("""COMPUTED_VALUE"""),"KAB.SEMARANG")</f>
        <v>KAB.SEMARANG</v>
      </c>
      <c r="Z1238" s="85" t="str">
        <f>IFERROR(__xludf.DUMMYFUNCTION("""COMPUTED_VALUE"""),"JAWA TENGAH")</f>
        <v>JAWA TENGAH</v>
      </c>
      <c r="AA1238" s="85" t="str">
        <f>IFERROR(__xludf.DUMMYFUNCTION("""COMPUTED_VALUE"""),"50212")</f>
        <v>50212</v>
      </c>
      <c r="AB1238" s="85" t="str">
        <f>IFERROR(__xludf.DUMMYFUNCTION("""COMPUTED_VALUE"""),"3322152711870001")</f>
        <v>3322152711870001</v>
      </c>
      <c r="AC1238" s="85" t="str">
        <f>IFERROR(__xludf.DUMMYFUNCTION("""COMPUTED_VALUE"""),"33.221.527.1-187.0001")</f>
        <v>33.221.527.1-187.0001</v>
      </c>
      <c r="AD1238" s="85" t="str">
        <f>IFERROR(__xludf.DUMMYFUNCTION("""COMPUTED_VALUE"""),"44CUMBSBDRIEN - CUM BSB - DRIEN")</f>
        <v>44CUMBSBDRIEN - CUM BSB - DRIEN</v>
      </c>
      <c r="AE1238" s="85" t="str">
        <f>IFERROR(__xludf.DUMMYFUNCTION("""COMPUTED_VALUE"""),"44CUMBSBDRIEN - CUM BSB - DRIEN")</f>
        <v>44CUMBSBDRIEN - CUM BSB - DRIEN</v>
      </c>
      <c r="AF1238" s="85" t="str">
        <f>IFERROR(__xludf.DUMMYFUNCTION("""COMPUTED_VALUE"""),"081325350040")</f>
        <v>081325350040</v>
      </c>
      <c r="AG1238" s="85" t="str">
        <f>IFERROR(__xludf.DUMMYFUNCTION("""COMPUTED_VALUE"""),"81325350040")</f>
        <v>81325350040</v>
      </c>
      <c r="AH1238" s="85" t="str">
        <f>IFERROR(__xludf.DUMMYFUNCTION("""COMPUTED_VALUE"""),"slametmahmudi404@gmail.com")</f>
        <v>slametmahmudi404@gmail.com</v>
      </c>
      <c r="AI1238" s="85"/>
      <c r="AJ1238" s="85"/>
      <c r="AK1238" s="85"/>
      <c r="AL1238" s="85"/>
      <c r="AM1238" s="85" t="str">
        <f>IFERROR(__xludf.DUMMYFUNCTION("""COMPUTED_VALUE"""),"KANTOR REGIONAL IV SEMARANG 50004")</f>
        <v>KANTOR REGIONAL IV SEMARANG 50004</v>
      </c>
      <c r="AN1238" s="85" t="str">
        <f>IFERROR(__xludf.DUMMYFUNCTION("""COMPUTED_VALUE"""),"KC UNGARAN 50500")</f>
        <v>KC UNGARAN 50500</v>
      </c>
      <c r="AO1238" s="85" t="str">
        <f>IFERROR(__xludf.DUMMYFUNCTION("""COMPUTED_VALUE"""),"2307260075564")</f>
        <v>2307260075564</v>
      </c>
      <c r="AP1238" s="85" t="str">
        <f>IFERROR(__xludf.DUMMYFUNCTION("""COMPUTED_VALUE"""),"2307260075564")</f>
        <v>2307260075564</v>
      </c>
      <c r="AQ1238" s="93" t="str">
        <f>IFERROR(__xludf.DUMMYFUNCTION("""COMPUTED_VALUE"""),"2221194600")</f>
        <v>2221194600</v>
      </c>
      <c r="AR1238" s="85" t="str">
        <f>IFERROR(__xludf.DUMMYFUNCTION("""COMPUTED_VALUE"""),"BCA")</f>
        <v>BCA</v>
      </c>
      <c r="AS1238" s="85" t="str">
        <f>IFERROR(__xludf.DUMMYFUNCTION("""COMPUTED_VALUE"""),"SLAMET MAHMUDI")</f>
        <v>SLAMET MAHMUDI</v>
      </c>
      <c r="AT1238" s="85" t="str">
        <f>IFERROR(__xludf.DUMMYFUNCTION("""COMPUTED_VALUE"""),"-71,989,596.00")</f>
        <v>-71,989,596.00</v>
      </c>
      <c r="AU1238" s="85" t="str">
        <f>IFERROR(__xludf.DUMMYFUNCTION("""COMPUTED_VALUE"""),"1,104,705,839")</f>
        <v>1,104,705,839</v>
      </c>
      <c r="AV1238" s="85"/>
      <c r="AW1238" s="85"/>
      <c r="AX1238" s="85"/>
      <c r="AY1238" s="85"/>
      <c r="AZ1238" s="85"/>
      <c r="BA1238" s="85"/>
      <c r="BB1238" s="85"/>
      <c r="BC1238" s="85"/>
      <c r="BD1238" s="85"/>
      <c r="BE1238" s="85"/>
      <c r="BF1238" s="85"/>
      <c r="BG1238" s="85"/>
      <c r="BH1238" s="85"/>
      <c r="BI1238" s="85"/>
      <c r="BJ1238" s="85"/>
      <c r="BK1238" s="85"/>
      <c r="BL1238" s="85"/>
      <c r="BM1238" s="85"/>
      <c r="BN1238" s="85"/>
      <c r="BO1238" s="85"/>
      <c r="BP1238" s="85"/>
      <c r="BQ1238" s="85"/>
      <c r="BR1238" s="85"/>
      <c r="BS1238" s="85"/>
      <c r="BT1238" s="85"/>
      <c r="BU1238" s="85"/>
      <c r="BV1238" s="85"/>
      <c r="BW1238" s="85"/>
      <c r="BX1238" s="85"/>
      <c r="BY1238" s="85"/>
      <c r="BZ1238" s="85"/>
      <c r="CA1238" s="85"/>
      <c r="CB1238" s="85"/>
      <c r="CC1238" s="85"/>
      <c r="CD1238" s="85"/>
      <c r="CE1238" s="85"/>
      <c r="CF1238" s="85"/>
      <c r="CG1238" s="85"/>
      <c r="CH1238" s="85"/>
      <c r="CI1238" s="85"/>
      <c r="CJ1238" s="85"/>
      <c r="CK1238" s="2"/>
    </row>
    <row r="1239" ht="12.75" customHeight="1">
      <c r="A1239" s="80">
        <f>IFERROR(__xludf.DUMMYFUNCTION("""COMPUTED_VALUE"""),1235.0)</f>
        <v>1235</v>
      </c>
      <c r="B1239" s="80"/>
      <c r="C1239" s="80"/>
      <c r="D1239" s="81">
        <f>IFERROR(__xludf.DUMMYFUNCTION("""COMPUTED_VALUE"""),46230.0)</f>
        <v>46230</v>
      </c>
      <c r="E1239" s="82"/>
      <c r="F1239" s="80"/>
      <c r="G1239" s="81"/>
      <c r="H1239" s="80"/>
      <c r="I1239" s="80"/>
      <c r="J1239" s="80"/>
      <c r="K1239" s="80"/>
      <c r="L1239" s="80"/>
      <c r="M1239" s="80"/>
      <c r="N1239" s="80"/>
      <c r="O1239" s="80"/>
      <c r="P1239" s="80" t="str">
        <f>IFERROR(__xludf.DUMMYFUNCTION("""COMPUTED_VALUE"""),"MUCSPA63606PSIND")</f>
        <v>MUCSPA63606PSIND</v>
      </c>
      <c r="Q1239" s="80" t="str">
        <f>IFERROR(__xludf.DUMMYFUNCTION("""COMPUTED_VALUE"""),"MUC ALI PASAR")</f>
        <v>MUC ALI PASAR</v>
      </c>
      <c r="R1239" s="80" t="str">
        <f>IFERROR(__xludf.DUMMYFUNCTION("""COMPUTED_VALUE"""),"MUC ALI PASAR")</f>
        <v>MUC ALI PASAR</v>
      </c>
      <c r="S1239" s="80" t="str">
        <f>IFERROR(__xludf.DUMMYFUNCTION("""COMPUTED_VALUE"""),"ALI SOBRI")</f>
        <v>ALI SOBRI</v>
      </c>
      <c r="T1239" s="80" t="str">
        <f>IFERROR(__xludf.DUMMYFUNCTION("""COMPUTED_VALUE"""),"KP. LEGOK MENTENG RT 15 RW 02, SAMBILAWANG, WARINGINKURUNG, KAB.SERANG")</f>
        <v>KP. LEGOK MENTENG RT 15 RW 02, SAMBILAWANG, WARINGINKURUNG, KAB.SERANG</v>
      </c>
      <c r="U1239" s="80" t="str">
        <f>IFERROR(__xludf.DUMMYFUNCTION("""COMPUTED_VALUE"""),"JL. WARINGINKURUNG NO.184 PASAR SAMBILAWANG")</f>
        <v>JL. WARINGINKURUNG NO.184 PASAR SAMBILAWANG</v>
      </c>
      <c r="V1239" s="80" t="str">
        <f>IFERROR(__xludf.DUMMYFUNCTION("""COMPUTED_VALUE"""),"RT 15  \ RW 02,")</f>
        <v>RT 15  \ RW 02,</v>
      </c>
      <c r="W1239" s="80" t="str">
        <f>IFERROR(__xludf.DUMMYFUNCTION("""COMPUTED_VALUE"""),"SAMBILAWANG")</f>
        <v>SAMBILAWANG</v>
      </c>
      <c r="X1239" s="80" t="str">
        <f>IFERROR(__xludf.DUMMYFUNCTION("""COMPUTED_VALUE"""),"WARINGINKURUNG")</f>
        <v>WARINGINKURUNG</v>
      </c>
      <c r="Y1239" s="80" t="str">
        <f>IFERROR(__xludf.DUMMYFUNCTION("""COMPUTED_VALUE"""),"KAB.SERANG")</f>
        <v>KAB.SERANG</v>
      </c>
      <c r="Z1239" s="80" t="str">
        <f>IFERROR(__xludf.DUMMYFUNCTION("""COMPUTED_VALUE"""),"BANTEN")</f>
        <v>BANTEN</v>
      </c>
      <c r="AA1239" s="80" t="str">
        <f>IFERROR(__xludf.DUMMYFUNCTION("""COMPUTED_VALUE"""),"42453")</f>
        <v>42453</v>
      </c>
      <c r="AB1239" s="80" t="str">
        <f>IFERROR(__xludf.DUMMYFUNCTION("""COMPUTED_VALUE"""),"3604060304860001")</f>
        <v>3604060304860001</v>
      </c>
      <c r="AC1239" s="80" t="str">
        <f>IFERROR(__xludf.DUMMYFUNCTION("""COMPUTED_VALUE"""),"45.904.804.7-401.000")</f>
        <v>45.904.804.7-401.000</v>
      </c>
      <c r="AD1239" s="80" t="str">
        <f>IFERROR(__xludf.DUMMYFUNCTION("""COMPUTED_VALUE"""),"CUM - PS - NONKORGEN")</f>
        <v>CUM - PS - NONKORGEN</v>
      </c>
      <c r="AE1239" s="80" t="str">
        <f>IFERROR(__xludf.DUMMYFUNCTION("""COMPUTED_VALUE"""),"BU NELA KCU SERANG")</f>
        <v>BU NELA KCU SERANG</v>
      </c>
      <c r="AF1239" s="80" t="str">
        <f>IFERROR(__xludf.DUMMYFUNCTION("""COMPUTED_VALUE"""),"085710830747")</f>
        <v>085710830747</v>
      </c>
      <c r="AG1239" s="80" t="str">
        <f>IFERROR(__xludf.DUMMYFUNCTION("""COMPUTED_VALUE"""),"85710830747")</f>
        <v>85710830747</v>
      </c>
      <c r="AH1239" s="80" t="str">
        <f>IFERROR(__xludf.DUMMYFUNCTION("""COMPUTED_VALUE"""),"assayyida21@gmail.com / assobri3@gmail.com")</f>
        <v>assayyida21@gmail.com / assobri3@gmail.com</v>
      </c>
      <c r="AI1239" s="80"/>
      <c r="AJ1239" s="80"/>
      <c r="AK1239" s="80"/>
      <c r="AL1239" s="80"/>
      <c r="AM1239" s="80" t="str">
        <f>IFERROR(__xludf.DUMMYFUNCTION("""COMPUTED_VALUE"""),"KANTOR REGIONAL II JAKARTA 10004")</f>
        <v>KANTOR REGIONAL II JAKARTA 10004</v>
      </c>
      <c r="AN1239" s="80" t="str">
        <f>IFERROR(__xludf.DUMMYFUNCTION("""COMPUTED_VALUE"""),"KC CILEGON 42400")</f>
        <v>KC CILEGON 42400</v>
      </c>
      <c r="AO1239" s="80" t="str">
        <f>IFERROR(__xludf.DUMMYFUNCTION("""COMPUTED_VALUE"""),"0201011120822")</f>
        <v>0201011120822</v>
      </c>
      <c r="AP1239" s="80" t="str">
        <f>IFERROR(__xludf.DUMMYFUNCTION("""COMPUTED_VALUE"""),"0201011120822")</f>
        <v>0201011120822</v>
      </c>
      <c r="AQ1239" s="83" t="str">
        <f>IFERROR(__xludf.DUMMYFUNCTION("""COMPUTED_VALUE"""),"480301006791502")</f>
        <v>480301006791502</v>
      </c>
      <c r="AR1239" s="80" t="str">
        <f>IFERROR(__xludf.DUMMYFUNCTION("""COMPUTED_VALUE"""),"BRI")</f>
        <v>BRI</v>
      </c>
      <c r="AS1239" s="80" t="str">
        <f>IFERROR(__xludf.DUMMYFUNCTION("""COMPUTED_VALUE"""),"ALI SOBRI")</f>
        <v>ALI SOBRI</v>
      </c>
      <c r="AT1239" s="80" t="str">
        <f>IFERROR(__xludf.DUMMYFUNCTION("""COMPUTED_VALUE"""),"-6.0671117,106.0641744")</f>
        <v>-6.0671117,106.0641744</v>
      </c>
      <c r="AU1239" s="80" t="str">
        <f>IFERROR(__xludf.DUMMYFUNCTION("""COMPUTED_VALUE"""),"-6.0671117,106.0641744")</f>
        <v>-6.0671117,106.0641744</v>
      </c>
      <c r="AV1239" s="80"/>
      <c r="AW1239" s="80"/>
      <c r="AX1239" s="80"/>
      <c r="AY1239" s="80"/>
      <c r="AZ1239" s="80"/>
      <c r="BA1239" s="80"/>
      <c r="BB1239" s="80"/>
      <c r="BC1239" s="80"/>
      <c r="BD1239" s="80"/>
      <c r="BE1239" s="80"/>
      <c r="BF1239" s="80"/>
      <c r="BG1239" s="80"/>
      <c r="BH1239" s="80"/>
      <c r="BI1239" s="80"/>
      <c r="BJ1239" s="80"/>
      <c r="BK1239" s="80"/>
      <c r="BL1239" s="80"/>
      <c r="BM1239" s="80"/>
      <c r="BN1239" s="80"/>
      <c r="BO1239" s="80"/>
      <c r="BP1239" s="80"/>
      <c r="BQ1239" s="80"/>
      <c r="BR1239" s="80"/>
      <c r="BS1239" s="80"/>
      <c r="BT1239" s="80"/>
      <c r="BU1239" s="80"/>
      <c r="BV1239" s="80"/>
      <c r="BW1239" s="80"/>
      <c r="BX1239" s="80"/>
      <c r="BY1239" s="80"/>
      <c r="BZ1239" s="80"/>
      <c r="CA1239" s="80"/>
      <c r="CB1239" s="80"/>
      <c r="CC1239" s="80"/>
      <c r="CD1239" s="80"/>
      <c r="CE1239" s="80"/>
      <c r="CF1239" s="80"/>
      <c r="CG1239" s="80"/>
      <c r="CH1239" s="80"/>
      <c r="CI1239" s="80"/>
      <c r="CJ1239" s="80"/>
      <c r="CK1239" s="2"/>
    </row>
    <row r="1240" ht="12.75" customHeight="1">
      <c r="A1240" s="85">
        <f>IFERROR(__xludf.DUMMYFUNCTION("""COMPUTED_VALUE"""),1236.0)</f>
        <v>1236</v>
      </c>
      <c r="B1240" s="85"/>
      <c r="C1240" s="85"/>
      <c r="D1240" s="86">
        <f>IFERROR(__xludf.DUMMYFUNCTION("""COMPUTED_VALUE"""),46230.0)</f>
        <v>46230</v>
      </c>
      <c r="E1240" s="88"/>
      <c r="F1240" s="85"/>
      <c r="G1240" s="86"/>
      <c r="H1240" s="85"/>
      <c r="I1240" s="85"/>
      <c r="J1240" s="85"/>
      <c r="K1240" s="85"/>
      <c r="L1240" s="85"/>
      <c r="M1240" s="85"/>
      <c r="N1240" s="85"/>
      <c r="O1240" s="85"/>
      <c r="P1240" s="85" t="str">
        <f>IFERROR(__xludf.DUMMYFUNCTION("""COMPUTED_VALUE"""),"MUCSPA63633PSIND")</f>
        <v>MUCSPA63633PSIND</v>
      </c>
      <c r="Q1240" s="85" t="str">
        <f>IFERROR(__xludf.DUMMYFUNCTION("""COMPUTED_VALUE"""),"MUC RIZKSNACK")</f>
        <v>MUC RIZKSNACK</v>
      </c>
      <c r="R1240" s="85" t="str">
        <f>IFERROR(__xludf.DUMMYFUNCTION("""COMPUTED_VALUE"""),"MUC RIZKSNACK")</f>
        <v>MUC RIZKSNACK</v>
      </c>
      <c r="S1240" s="85" t="str">
        <f>IFERROR(__xludf.DUMMYFUNCTION("""COMPUTED_VALUE"""),"MOH. HUDAN WAFIQ HASYIM")</f>
        <v>MOH. HUDAN WAFIQ HASYIM</v>
      </c>
      <c r="T1240" s="85" t="str">
        <f>IFERROR(__xludf.DUMMYFUNCTION("""COMPUTED_VALUE"""),"TERMAS RT 003 RW 005 JEKEK BARON KAB.NGANJUK")</f>
        <v>TERMAS RT 003 RW 005 JEKEK BARON KAB.NGANJUK</v>
      </c>
      <c r="U1240" s="85" t="str">
        <f>IFERROR(__xludf.DUMMYFUNCTION("""COMPUTED_VALUE"""),"Dsn. Termas RT 03 RW 05 Ds. Jekek Kec. Baron Kab. Nganjuk - Jawa Timur (Barat MTsN 4 Nganjuk 200M kiri jalan)")</f>
        <v>Dsn. Termas RT 03 RW 05 Ds. Jekek Kec. Baron Kab. Nganjuk - Jawa Timur (Barat MTsN 4 Nganjuk 200M kiri jalan)</v>
      </c>
      <c r="V1240" s="85" t="str">
        <f>IFERROR(__xludf.DUMMYFUNCTION("""COMPUTED_VALUE"""),"RT 003 \ RW 005")</f>
        <v>RT 003 \ RW 005</v>
      </c>
      <c r="W1240" s="85" t="str">
        <f>IFERROR(__xludf.DUMMYFUNCTION("""COMPUTED_VALUE"""),"Jekek")</f>
        <v>Jekek</v>
      </c>
      <c r="X1240" s="85" t="str">
        <f>IFERROR(__xludf.DUMMYFUNCTION("""COMPUTED_VALUE"""),"Baron")</f>
        <v>Baron</v>
      </c>
      <c r="Y1240" s="85" t="str">
        <f>IFERROR(__xludf.DUMMYFUNCTION("""COMPUTED_VALUE"""),"Nganjuk")</f>
        <v>Nganjuk</v>
      </c>
      <c r="Z1240" s="85" t="str">
        <f>IFERROR(__xludf.DUMMYFUNCTION("""COMPUTED_VALUE"""),"Jawa Timur")</f>
        <v>Jawa Timur</v>
      </c>
      <c r="AA1240" s="85" t="str">
        <f>IFERROR(__xludf.DUMMYFUNCTION("""COMPUTED_VALUE"""),"64394")</f>
        <v>64394</v>
      </c>
      <c r="AB1240" s="85" t="str">
        <f>IFERROR(__xludf.DUMMYFUNCTION("""COMPUTED_VALUE"""),"3518101310010003")</f>
        <v>3518101310010003</v>
      </c>
      <c r="AC1240" s="85" t="str">
        <f>IFERROR(__xludf.DUMMYFUNCTION("""COMPUTED_VALUE"""),"27.817.342.2-655.000")</f>
        <v>27.817.342.2-655.000</v>
      </c>
      <c r="AD1240" s="85" t="str">
        <f>IFERROR(__xludf.DUMMYFUNCTION("""COMPUTED_VALUE"""),"CUM - PS - STA (KC NGANJUK)")</f>
        <v>CUM - PS - STA (KC NGANJUK)</v>
      </c>
      <c r="AE1240" s="85" t="str">
        <f>IFERROR(__xludf.DUMMYFUNCTION("""COMPUTED_VALUE"""),"PAK DEDI KC NGANJUK")</f>
        <v>PAK DEDI KC NGANJUK</v>
      </c>
      <c r="AF1240" s="85" t="str">
        <f>IFERROR(__xludf.DUMMYFUNCTION("""COMPUTED_VALUE"""),"085784697296")</f>
        <v>085784697296</v>
      </c>
      <c r="AG1240" s="85" t="str">
        <f>IFERROR(__xludf.DUMMYFUNCTION("""COMPUTED_VALUE"""),"85784697296")</f>
        <v>85784697296</v>
      </c>
      <c r="AH1240" s="85" t="str">
        <f>IFERROR(__xludf.DUMMYFUNCTION("""COMPUTED_VALUE"""),"hudanhasyim1310@gmail.com / mohhudanwafiqhasyim@gmail.com")</f>
        <v>hudanhasyim1310@gmail.com / mohhudanwafiqhasyim@gmail.com</v>
      </c>
      <c r="AI1240" s="85"/>
      <c r="AJ1240" s="85"/>
      <c r="AK1240" s="85"/>
      <c r="AL1240" s="85"/>
      <c r="AM1240" s="85" t="str">
        <f>IFERROR(__xludf.DUMMYFUNCTION("""COMPUTED_VALUE"""),"KANTOR REGIONAL V SURABAYA 60004")</f>
        <v>KANTOR REGIONAL V SURABAYA 60004</v>
      </c>
      <c r="AN1240" s="85" t="str">
        <f>IFERROR(__xludf.DUMMYFUNCTION("""COMPUTED_VALUE"""),"KC NGANJUK 64400")</f>
        <v>KC NGANJUK 64400</v>
      </c>
      <c r="AO1240" s="85" t="str">
        <f>IFERROR(__xludf.DUMMYFUNCTION("""COMPUTED_VALUE"""),"1802250067313")</f>
        <v>1802250067313</v>
      </c>
      <c r="AP1240" s="85" t="str">
        <f>IFERROR(__xludf.DUMMYFUNCTION("""COMPUTED_VALUE"""),"1802250067313")</f>
        <v>1802250067313</v>
      </c>
      <c r="AQ1240" s="93" t="str">
        <f>IFERROR(__xludf.DUMMYFUNCTION("""COMPUTED_VALUE"""),"205001003723539")</f>
        <v>205001003723539</v>
      </c>
      <c r="AR1240" s="85" t="str">
        <f>IFERROR(__xludf.DUMMYFUNCTION("""COMPUTED_VALUE"""),"BRI")</f>
        <v>BRI</v>
      </c>
      <c r="AS1240" s="85" t="str">
        <f>IFERROR(__xludf.DUMMYFUNCTION("""COMPUTED_VALUE"""),"MOH HUDAN WAFIQ HASYIM")</f>
        <v>MOH HUDAN WAFIQ HASYIM</v>
      </c>
      <c r="AT1240" s="85" t="str">
        <f>IFERROR(__xludf.DUMMYFUNCTION("""COMPUTED_VALUE"""),"-7.570138,112.062203")</f>
        <v>-7.570138,112.062203</v>
      </c>
      <c r="AU1240" s="85" t="str">
        <f>IFERROR(__xludf.DUMMYFUNCTION("""COMPUTED_VALUE"""),"-7.570138,112.062203")</f>
        <v>-7.570138,112.062203</v>
      </c>
      <c r="AV1240" s="85"/>
      <c r="AW1240" s="85"/>
      <c r="AX1240" s="85"/>
      <c r="AY1240" s="85"/>
      <c r="AZ1240" s="85"/>
      <c r="BA1240" s="85"/>
      <c r="BB1240" s="85"/>
      <c r="BC1240" s="85"/>
      <c r="BD1240" s="85"/>
      <c r="BE1240" s="85"/>
      <c r="BF1240" s="85"/>
      <c r="BG1240" s="85"/>
      <c r="BH1240" s="85"/>
      <c r="BI1240" s="85"/>
      <c r="BJ1240" s="85"/>
      <c r="BK1240" s="85"/>
      <c r="BL1240" s="85"/>
      <c r="BM1240" s="85"/>
      <c r="BN1240" s="85"/>
      <c r="BO1240" s="85"/>
      <c r="BP1240" s="85"/>
      <c r="BQ1240" s="85"/>
      <c r="BR1240" s="85"/>
      <c r="BS1240" s="85"/>
      <c r="BT1240" s="85"/>
      <c r="BU1240" s="85"/>
      <c r="BV1240" s="85"/>
      <c r="BW1240" s="85"/>
      <c r="BX1240" s="85"/>
      <c r="BY1240" s="85"/>
      <c r="BZ1240" s="85"/>
      <c r="CA1240" s="85"/>
      <c r="CB1240" s="85"/>
      <c r="CC1240" s="85"/>
      <c r="CD1240" s="85"/>
      <c r="CE1240" s="85"/>
      <c r="CF1240" s="85"/>
      <c r="CG1240" s="85"/>
      <c r="CH1240" s="85"/>
      <c r="CI1240" s="85"/>
      <c r="CJ1240" s="85"/>
      <c r="CK1240" s="2"/>
    </row>
    <row r="1241" ht="12.75" customHeight="1">
      <c r="A1241" s="80">
        <f>IFERROR(__xludf.DUMMYFUNCTION("""COMPUTED_VALUE"""),1237.0)</f>
        <v>1237</v>
      </c>
      <c r="B1241" s="80"/>
      <c r="C1241" s="80"/>
      <c r="D1241" s="81">
        <f>IFERROR(__xludf.DUMMYFUNCTION("""COMPUTED_VALUE"""),46230.0)</f>
        <v>46230</v>
      </c>
      <c r="E1241" s="82"/>
      <c r="F1241" s="80"/>
      <c r="G1241" s="81">
        <f>IFERROR(__xludf.DUMMYFUNCTION("""COMPUTED_VALUE"""),46230.0)</f>
        <v>46230</v>
      </c>
      <c r="H1241" s="80"/>
      <c r="I1241" s="80"/>
      <c r="J1241" s="80"/>
      <c r="K1241" s="80"/>
      <c r="L1241" s="80">
        <f>IFERROR(__xludf.DUMMYFUNCTION("""COMPUTED_VALUE"""),0.0)</f>
        <v>0</v>
      </c>
      <c r="M1241" s="80"/>
      <c r="N1241" s="80"/>
      <c r="O1241" s="80"/>
      <c r="P1241" s="80" t="str">
        <f>IFERROR(__xludf.DUMMYFUNCTION("""COMPUTED_VALUE"""),"MUCSPA63608PSIND")</f>
        <v>MUCSPA63608PSIND</v>
      </c>
      <c r="Q1241" s="80" t="str">
        <f>IFERROR(__xludf.DUMMYFUNCTION("""COMPUTED_VALUE"""),"MUC TEFA MPLB SMKN 1 LBS")</f>
        <v>MUC TEFA MPLB SMKN 1 LBS</v>
      </c>
      <c r="R1241" s="80" t="str">
        <f>IFERROR(__xludf.DUMMYFUNCTION("""COMPUTED_VALUE"""),"MUC TEFA MPLB SMKN 1 LBS")</f>
        <v>MUC TEFA MPLB SMKN 1 LBS</v>
      </c>
      <c r="S1241" s="80" t="str">
        <f>IFERROR(__xludf.DUMMYFUNCTION("""COMPUTED_VALUE"""),"Ratna Wilis")</f>
        <v>Ratna Wilis</v>
      </c>
      <c r="T1241" s="80" t="str">
        <f>IFERROR(__xludf.DUMMYFUNCTION("""COMPUTED_VALUE"""),"JI.Prof. Dr. Hamka no 26")</f>
        <v>JI.Prof. Dr. Hamka no 26</v>
      </c>
      <c r="U1241" s="80" t="str">
        <f>IFERROR(__xludf.DUMMYFUNCTION("""COMPUTED_VALUE"""),"Jl. Prof. Dr. Hamka No.26, Tanjuang Baringin, Lubuk Sikaping")</f>
        <v>Jl. Prof. Dr. Hamka No.26, Tanjuang Baringin, Lubuk Sikaping</v>
      </c>
      <c r="V1241" s="80"/>
      <c r="W1241" s="80" t="str">
        <f>IFERROR(__xludf.DUMMYFUNCTION("""COMPUTED_VALUE"""),"Tanjuang Baringin")</f>
        <v>Tanjuang Baringin</v>
      </c>
      <c r="X1241" s="80" t="str">
        <f>IFERROR(__xludf.DUMMYFUNCTION("""COMPUTED_VALUE"""),"Lubuk Sikaping")</f>
        <v>Lubuk Sikaping</v>
      </c>
      <c r="Y1241" s="80" t="str">
        <f>IFERROR(__xludf.DUMMYFUNCTION("""COMPUTED_VALUE"""),"Kab. Pasaman")</f>
        <v>Kab. Pasaman</v>
      </c>
      <c r="Z1241" s="80" t="str">
        <f>IFERROR(__xludf.DUMMYFUNCTION("""COMPUTED_VALUE"""),"Sumatera Barat")</f>
        <v>Sumatera Barat</v>
      </c>
      <c r="AA1241" s="80" t="str">
        <f>IFERROR(__xludf.DUMMYFUNCTION("""COMPUTED_VALUE"""),"26318")</f>
        <v>26318</v>
      </c>
      <c r="AB1241" s="80" t="str">
        <f>IFERROR(__xludf.DUMMYFUNCTION("""COMPUTED_VALUE"""),"1308054707750004")</f>
        <v>1308054707750004</v>
      </c>
      <c r="AC1241" s="80" t="str">
        <f>IFERROR(__xludf.DUMMYFUNCTION("""COMPUTED_VALUE"""),"00.011.972.4-320.5000")</f>
        <v>00.011.972.4-320.5000</v>
      </c>
      <c r="AD1241" s="80" t="str">
        <f>IFERROR(__xludf.DUMMYFUNCTION("""COMPUTED_VALUE"""),"CUM - PS - NONKORGEN")</f>
        <v>CUM - PS - NONKORGEN</v>
      </c>
      <c r="AE1241" s="80" t="str">
        <f>IFERROR(__xludf.DUMMYFUNCTION("""COMPUTED_VALUE"""),"Pak Andre KC Lubuksikaping")</f>
        <v>Pak Andre KC Lubuksikaping</v>
      </c>
      <c r="AF1241" s="80" t="str">
        <f>IFERROR(__xludf.DUMMYFUNCTION("""COMPUTED_VALUE"""),"081275386924")</f>
        <v>081275386924</v>
      </c>
      <c r="AG1241" s="80" t="str">
        <f>IFERROR(__xludf.DUMMYFUNCTION("""COMPUTED_VALUE"""),"81275386924")</f>
        <v>81275386924</v>
      </c>
      <c r="AH1241" s="80" t="str">
        <f>IFERROR(__xludf.DUMMYFUNCTION("""COMPUTED_VALUE"""),"nezasari66@guru.smk.belajar.id")</f>
        <v>nezasari66@guru.smk.belajar.id</v>
      </c>
      <c r="AI1241" s="80" t="str">
        <f>IFERROR(__xludf.DUMMYFUNCTION("""COMPUTED_VALUE"""),"26318S3")</f>
        <v>26318S3</v>
      </c>
      <c r="AJ1241" s="80" t="str">
        <f>IFERROR(__xludf.DUMMYFUNCTION("""COMPUTED_VALUE"""),"6a671ea59e9b41ef6b0fb8a8")</f>
        <v>6a671ea59e9b41ef6b0fb8a8</v>
      </c>
      <c r="AK1241" s="80" t="str">
        <f>IFERROR(__xludf.DUMMYFUNCTION("""COMPUTED_VALUE"""),"nezasari66@guru.smk.belajar.id")</f>
        <v>nezasari66@guru.smk.belajar.id</v>
      </c>
      <c r="AL1241" s="80" t="str">
        <f>IFERROR(__xludf.DUMMYFUNCTION("""COMPUTED_VALUE"""),"#Muc26318S3$")</f>
        <v>#Muc26318S3$</v>
      </c>
      <c r="AM1241" s="80" t="str">
        <f>IFERROR(__xludf.DUMMYFUNCTION("""COMPUTED_VALUE"""),"KANTOR REGIONAL I MEDAN 20004")</f>
        <v>KANTOR REGIONAL I MEDAN 20004</v>
      </c>
      <c r="AN1241" s="80" t="str">
        <f>IFERROR(__xludf.DUMMYFUNCTION("""COMPUTED_VALUE"""),"KC LUBUKSIKAPING 26300")</f>
        <v>KC LUBUKSIKAPING 26300</v>
      </c>
      <c r="AO1241" s="80" t="str">
        <f>IFERROR(__xludf.DUMMYFUNCTION("""COMPUTED_VALUE"""),"2307260054493")</f>
        <v>2307260054493</v>
      </c>
      <c r="AP1241" s="80" t="str">
        <f>IFERROR(__xludf.DUMMYFUNCTION("""COMPUTED_VALUE"""),"2307260054493")</f>
        <v>2307260054493</v>
      </c>
      <c r="AQ1241" s="83" t="str">
        <f>IFERROR(__xludf.DUMMYFUNCTION("""COMPUTED_VALUE"""),"0269-01-059140-50-2")</f>
        <v>0269-01-059140-50-2</v>
      </c>
      <c r="AR1241" s="80" t="str">
        <f>IFERROR(__xludf.DUMMYFUNCTION("""COMPUTED_VALUE"""),"BRI")</f>
        <v>BRI</v>
      </c>
      <c r="AS1241" s="80" t="str">
        <f>IFERROR(__xludf.DUMMYFUNCTION("""COMPUTED_VALUE"""),"TEFA MPLB SMKN 1 Lubuk Sikaping")</f>
        <v>TEFA MPLB SMKN 1 Lubuk Sikaping</v>
      </c>
      <c r="AT1241" s="80" t="str">
        <f>IFERROR(__xludf.DUMMYFUNCTION("""COMPUTED_VALUE"""),"0.1058899,100.1856468")</f>
        <v>0.1058899,100.1856468</v>
      </c>
      <c r="AU1241" s="80" t="str">
        <f>IFERROR(__xludf.DUMMYFUNCTION("""COMPUTED_VALUE"""),"0.1058899,100.1856468")</f>
        <v>0.1058899,100.1856468</v>
      </c>
      <c r="AV1241" s="80"/>
      <c r="AW1241" s="80"/>
      <c r="AX1241" s="80"/>
      <c r="AY1241" s="80"/>
      <c r="AZ1241" s="80"/>
      <c r="BA1241" s="80"/>
      <c r="BB1241" s="80"/>
      <c r="BC1241" s="80"/>
      <c r="BD1241" s="80"/>
      <c r="BE1241" s="80"/>
      <c r="BF1241" s="80"/>
      <c r="BG1241" s="80"/>
      <c r="BH1241" s="80"/>
      <c r="BI1241" s="80"/>
      <c r="BJ1241" s="80"/>
      <c r="BK1241" s="80"/>
      <c r="BL1241" s="80"/>
      <c r="BM1241" s="80"/>
      <c r="BN1241" s="80"/>
      <c r="BO1241" s="80"/>
      <c r="BP1241" s="80"/>
      <c r="BQ1241" s="80"/>
      <c r="BR1241" s="80"/>
      <c r="BS1241" s="80"/>
      <c r="BT1241" s="80"/>
      <c r="BU1241" s="80"/>
      <c r="BV1241" s="80"/>
      <c r="BW1241" s="80"/>
      <c r="BX1241" s="80"/>
      <c r="BY1241" s="80"/>
      <c r="BZ1241" s="80"/>
      <c r="CA1241" s="80"/>
      <c r="CB1241" s="80"/>
      <c r="CC1241" s="80"/>
      <c r="CD1241" s="80"/>
      <c r="CE1241" s="80"/>
      <c r="CF1241" s="80"/>
      <c r="CG1241" s="80"/>
      <c r="CH1241" s="80"/>
      <c r="CI1241" s="80"/>
      <c r="CJ1241" s="80"/>
      <c r="CK1241" s="2"/>
    </row>
    <row r="1242" ht="12.75" customHeight="1">
      <c r="A1242" s="85">
        <f>IFERROR(__xludf.DUMMYFUNCTION("""COMPUTED_VALUE"""),1238.0)</f>
        <v>1238</v>
      </c>
      <c r="B1242" s="85"/>
      <c r="C1242" s="85"/>
      <c r="D1242" s="86">
        <f>IFERROR(__xludf.DUMMYFUNCTION("""COMPUTED_VALUE"""),46230.0)</f>
        <v>46230</v>
      </c>
      <c r="E1242" s="88"/>
      <c r="F1242" s="85"/>
      <c r="G1242" s="86"/>
      <c r="H1242" s="85"/>
      <c r="I1242" s="85"/>
      <c r="J1242" s="85"/>
      <c r="K1242" s="85"/>
      <c r="L1242" s="85"/>
      <c r="M1242" s="85"/>
      <c r="N1242" s="85"/>
      <c r="O1242" s="85"/>
      <c r="P1242" s="85" t="str">
        <f>IFERROR(__xludf.DUMMYFUNCTION("""COMPUTED_VALUE"""),"MUCSPA63634PSIND")</f>
        <v>MUCSPA63634PSIND</v>
      </c>
      <c r="Q1242" s="85" t="str">
        <f>IFERROR(__xludf.DUMMYFUNCTION("""COMPUTED_VALUE"""),"MUC JASTIPCARGO OLIVIA15")</f>
        <v>MUC JASTIPCARGO OLIVIA15</v>
      </c>
      <c r="R1242" s="85" t="str">
        <f>IFERROR(__xludf.DUMMYFUNCTION("""COMPUTED_VALUE"""),"MUC JASTIPCARGOOLIVIA15")</f>
        <v>MUC JASTIPCARGOOLIVIA15</v>
      </c>
      <c r="S1242" s="85" t="str">
        <f>IFERROR(__xludf.DUMMYFUNCTION("""COMPUTED_VALUE"""),"OLIVIA SAPUTRI")</f>
        <v>OLIVIA SAPUTRI</v>
      </c>
      <c r="T1242" s="85" t="str">
        <f>IFERROR(__xludf.DUMMYFUNCTION("""COMPUTED_VALUE"""),"VIJAYA KUSUMA B.5 NO 10 RT 02 RW 17, CIPADUNG, CIBIRU, BANDUNG")</f>
        <v>VIJAYA KUSUMA B.5 NO 10 RT 02 RW 17, CIPADUNG, CIBIRU, BANDUNG</v>
      </c>
      <c r="U1242" s="85" t="str">
        <f>IFERROR(__xludf.DUMMYFUNCTION("""COMPUTED_VALUE"""),"JL. CIBATU MULYA RAYA PERUM WANGSA PILAR BETA GARDEN BLOK B 22")</f>
        <v>JL. CIBATU MULYA RAYA PERUM WANGSA PILAR BETA GARDEN BLOK B 22</v>
      </c>
      <c r="V1242" s="85" t="str">
        <f>IFERROR(__xludf.DUMMYFUNCTION("""COMPUTED_VALUE"""),"RT 02  \ RW 17,")</f>
        <v>RT 02  \ RW 17,</v>
      </c>
      <c r="W1242" s="85" t="str">
        <f>IFERROR(__xludf.DUMMYFUNCTION("""COMPUTED_VALUE"""),"JATIENDAH")</f>
        <v>JATIENDAH</v>
      </c>
      <c r="X1242" s="85" t="str">
        <f>IFERROR(__xludf.DUMMYFUNCTION("""COMPUTED_VALUE"""),"CILENGKRANG")</f>
        <v>CILENGKRANG</v>
      </c>
      <c r="Y1242" s="85" t="str">
        <f>IFERROR(__xludf.DUMMYFUNCTION("""COMPUTED_VALUE"""),"KAB.BANDUNG")</f>
        <v>KAB.BANDUNG</v>
      </c>
      <c r="Z1242" s="85" t="str">
        <f>IFERROR(__xludf.DUMMYFUNCTION("""COMPUTED_VALUE"""),"JAWA BARAT")</f>
        <v>JAWA BARAT</v>
      </c>
      <c r="AA1242" s="85" t="str">
        <f>IFERROR(__xludf.DUMMYFUNCTION("""COMPUTED_VALUE"""),"40616")</f>
        <v>40616</v>
      </c>
      <c r="AB1242" s="85" t="str">
        <f>IFERROR(__xludf.DUMMYFUNCTION("""COMPUTED_VALUE"""),"3201115502970005")</f>
        <v>3201115502970005</v>
      </c>
      <c r="AC1242" s="85" t="str">
        <f>IFERROR(__xludf.DUMMYFUNCTION("""COMPUTED_VALUE"""),"84.240.837.9-403.000")</f>
        <v>84.240.837.9-403.000</v>
      </c>
      <c r="AD1242" s="85" t="str">
        <f>IFERROR(__xludf.DUMMYFUNCTION("""COMPUTED_VALUE"""),"CUM - PS - THI")</f>
        <v>CUM - PS - THI</v>
      </c>
      <c r="AE1242" s="85" t="str">
        <f>IFERROR(__xludf.DUMMYFUNCTION("""COMPUTED_VALUE"""),"CUM - PS - THI")</f>
        <v>CUM - PS - THI</v>
      </c>
      <c r="AF1242" s="85" t="str">
        <f>IFERROR(__xludf.DUMMYFUNCTION("""COMPUTED_VALUE"""),"082240376867")</f>
        <v>082240376867</v>
      </c>
      <c r="AG1242" s="85" t="str">
        <f>IFERROR(__xludf.DUMMYFUNCTION("""COMPUTED_VALUE"""),"82240376867")</f>
        <v>82240376867</v>
      </c>
      <c r="AH1242" s="85" t="str">
        <f>IFERROR(__xludf.DUMMYFUNCTION("""COMPUTED_VALUE"""),"saputriolivia7@gmail.com")</f>
        <v>saputriolivia7@gmail.com</v>
      </c>
      <c r="AI1242" s="85"/>
      <c r="AJ1242" s="85"/>
      <c r="AK1242" s="85"/>
      <c r="AL1242" s="85"/>
      <c r="AM1242" s="85" t="str">
        <f>IFERROR(__xludf.DUMMYFUNCTION("""COMPUTED_VALUE"""),"KANTOR REGIONAL III BANDUNG 40004")</f>
        <v>KANTOR REGIONAL III BANDUNG 40004</v>
      </c>
      <c r="AN1242" s="85" t="str">
        <f>IFERROR(__xludf.DUMMYFUNCTION("""COMPUTED_VALUE"""),"KC UJUNGBERUNG 40100")</f>
        <v>KC UJUNGBERUNG 40100</v>
      </c>
      <c r="AO1242" s="85" t="str">
        <f>IFERROR(__xludf.DUMMYFUNCTION("""COMPUTED_VALUE"""),"2407260099527")</f>
        <v>2407260099527</v>
      </c>
      <c r="AP1242" s="85" t="str">
        <f>IFERROR(__xludf.DUMMYFUNCTION("""COMPUTED_VALUE"""),"2407260099527")</f>
        <v>2407260099527</v>
      </c>
      <c r="AQ1242" s="93" t="str">
        <f>IFERROR(__xludf.DUMMYFUNCTION("""COMPUTED_VALUE"""),"7940196285")</f>
        <v>7940196285</v>
      </c>
      <c r="AR1242" s="85" t="str">
        <f>IFERROR(__xludf.DUMMYFUNCTION("""COMPUTED_VALUE"""),"BCA")</f>
        <v>BCA</v>
      </c>
      <c r="AS1242" s="85" t="str">
        <f>IFERROR(__xludf.DUMMYFUNCTION("""COMPUTED_VALUE"""),"OLIVIA SAPUTRI")</f>
        <v>OLIVIA SAPUTRI</v>
      </c>
      <c r="AT1242" s="85" t="str">
        <f>IFERROR(__xludf.DUMMYFUNCTION("""COMPUTED_VALUE"""),"-6.9028219,107.6859803")</f>
        <v>-6.9028219,107.6859803</v>
      </c>
      <c r="AU1242" s="85" t="str">
        <f>IFERROR(__xludf.DUMMYFUNCTION("""COMPUTED_VALUE"""),"-6.9028219,107.6859803")</f>
        <v>-6.9028219,107.6859803</v>
      </c>
      <c r="AV1242" s="85"/>
      <c r="AW1242" s="85"/>
      <c r="AX1242" s="85"/>
      <c r="AY1242" s="85"/>
      <c r="AZ1242" s="85"/>
      <c r="BA1242" s="85"/>
      <c r="BB1242" s="85"/>
      <c r="BC1242" s="85"/>
      <c r="BD1242" s="85"/>
      <c r="BE1242" s="85"/>
      <c r="BF1242" s="85"/>
      <c r="BG1242" s="85"/>
      <c r="BH1242" s="85"/>
      <c r="BI1242" s="85"/>
      <c r="BJ1242" s="85"/>
      <c r="BK1242" s="85"/>
      <c r="BL1242" s="85"/>
      <c r="BM1242" s="85"/>
      <c r="BN1242" s="85"/>
      <c r="BO1242" s="85"/>
      <c r="BP1242" s="85"/>
      <c r="BQ1242" s="85"/>
      <c r="BR1242" s="85"/>
      <c r="BS1242" s="85"/>
      <c r="BT1242" s="85"/>
      <c r="BU1242" s="85"/>
      <c r="BV1242" s="85"/>
      <c r="BW1242" s="85"/>
      <c r="BX1242" s="85"/>
      <c r="BY1242" s="85"/>
      <c r="BZ1242" s="85"/>
      <c r="CA1242" s="85"/>
      <c r="CB1242" s="85"/>
      <c r="CC1242" s="85"/>
      <c r="CD1242" s="85"/>
      <c r="CE1242" s="85"/>
      <c r="CF1242" s="85"/>
      <c r="CG1242" s="85"/>
      <c r="CH1242" s="85"/>
      <c r="CI1242" s="85"/>
      <c r="CJ1242" s="85"/>
      <c r="CK1242" s="2"/>
    </row>
    <row r="1243" ht="12.75" customHeight="1">
      <c r="A1243" s="80">
        <f>IFERROR(__xludf.DUMMYFUNCTION("""COMPUTED_VALUE"""),1239.0)</f>
        <v>1239</v>
      </c>
      <c r="B1243" s="80"/>
      <c r="C1243" s="80"/>
      <c r="D1243" s="81">
        <f>IFERROR(__xludf.DUMMYFUNCTION("""COMPUTED_VALUE"""),46230.0)</f>
        <v>46230</v>
      </c>
      <c r="E1243" s="82"/>
      <c r="F1243" s="80"/>
      <c r="G1243" s="81"/>
      <c r="H1243" s="80"/>
      <c r="I1243" s="80"/>
      <c r="J1243" s="80"/>
      <c r="K1243" s="80"/>
      <c r="L1243" s="80"/>
      <c r="M1243" s="80"/>
      <c r="N1243" s="80"/>
      <c r="O1243" s="80"/>
      <c r="P1243" s="80" t="str">
        <f>IFERROR(__xludf.DUMMYFUNCTION("""COMPUTED_VALUE"""),"MUCSPA63609PSIND")</f>
        <v>MUCSPA63609PSIND</v>
      </c>
      <c r="Q1243" s="80" t="str">
        <f>IFERROR(__xludf.DUMMYFUNCTION("""COMPUTED_VALUE"""),"MUC AL MUNAR COMP")</f>
        <v>MUC AL MUNAR COMP</v>
      </c>
      <c r="R1243" s="80" t="str">
        <f>IFERROR(__xludf.DUMMYFUNCTION("""COMPUTED_VALUE"""),"MUC AL MUNAR COMP")</f>
        <v>MUC AL MUNAR COMP</v>
      </c>
      <c r="S1243" s="80" t="str">
        <f>IFERROR(__xludf.DUMMYFUNCTION("""COMPUTED_VALUE"""),"MUNAWAR. S.SY")</f>
        <v>MUNAWAR. S.SY</v>
      </c>
      <c r="T1243" s="80" t="str">
        <f>IFERROR(__xludf.DUMMYFUNCTION("""COMPUTED_VALUE"""),"DAWUHAN RT 012 RW 003 DAWUHAN KEC.TALANG, KAB.TEGAL")</f>
        <v>DAWUHAN RT 012 RW 003 DAWUHAN KEC.TALANG, KAB.TEGAL</v>
      </c>
      <c r="U1243" s="80" t="str">
        <f>IFERROR(__xludf.DUMMYFUNCTION("""COMPUTED_VALUE"""),"Dawuhan, Kec. Talang, Kab. Tegal, Jawa Tengah")</f>
        <v>Dawuhan, Kec. Talang, Kab. Tegal, Jawa Tengah</v>
      </c>
      <c r="V1243" s="80" t="str">
        <f>IFERROR(__xludf.DUMMYFUNCTION("""COMPUTED_VALUE"""),"RT 012 \ RW 003")</f>
        <v>RT 012 \ RW 003</v>
      </c>
      <c r="W1243" s="80" t="str">
        <f>IFERROR(__xludf.DUMMYFUNCTION("""COMPUTED_VALUE"""),"Dawuhan")</f>
        <v>Dawuhan</v>
      </c>
      <c r="X1243" s="80" t="str">
        <f>IFERROR(__xludf.DUMMYFUNCTION("""COMPUTED_VALUE"""),"Talang")</f>
        <v>Talang</v>
      </c>
      <c r="Y1243" s="80" t="str">
        <f>IFERROR(__xludf.DUMMYFUNCTION("""COMPUTED_VALUE"""),"Kab.Tegal")</f>
        <v>Kab.Tegal</v>
      </c>
      <c r="Z1243" s="80" t="str">
        <f>IFERROR(__xludf.DUMMYFUNCTION("""COMPUTED_VALUE"""),"Jawa Tengah")</f>
        <v>Jawa Tengah</v>
      </c>
      <c r="AA1243" s="80" t="str">
        <f>IFERROR(__xludf.DUMMYFUNCTION("""COMPUTED_VALUE"""),"52193")</f>
        <v>52193</v>
      </c>
      <c r="AB1243" s="80" t="str">
        <f>IFERROR(__xludf.DUMMYFUNCTION("""COMPUTED_VALUE"""),"3328120104860010")</f>
        <v>3328120104860010</v>
      </c>
      <c r="AC1243" s="80" t="str">
        <f>IFERROR(__xludf.DUMMYFUNCTION("""COMPUTED_VALUE"""),"81.578.212.3-501.000")</f>
        <v>81.578.212.3-501.000</v>
      </c>
      <c r="AD1243" s="80" t="str">
        <f>IFERROR(__xludf.DUMMYFUNCTION("""COMPUTED_VALUE"""),"CUM - PS - SYF")</f>
        <v>CUM - PS - SYF</v>
      </c>
      <c r="AE1243" s="80" t="str">
        <f>IFERROR(__xludf.DUMMYFUNCTION("""COMPUTED_VALUE"""),"CUM - PS - SYF")</f>
        <v>CUM - PS - SYF</v>
      </c>
      <c r="AF1243" s="80" t="str">
        <f>IFERROR(__xludf.DUMMYFUNCTION("""COMPUTED_VALUE"""),"085642705501")</f>
        <v>085642705501</v>
      </c>
      <c r="AG1243" s="80" t="str">
        <f>IFERROR(__xludf.DUMMYFUNCTION("""COMPUTED_VALUE"""),"85642705501")</f>
        <v>85642705501</v>
      </c>
      <c r="AH1243" s="80" t="str">
        <f>IFERROR(__xludf.DUMMYFUNCTION("""COMPUTED_VALUE"""),"vyaalmunawar06365@gmail.com")</f>
        <v>vyaalmunawar06365@gmail.com</v>
      </c>
      <c r="AI1243" s="80"/>
      <c r="AJ1243" s="80"/>
      <c r="AK1243" s="80"/>
      <c r="AL1243" s="80"/>
      <c r="AM1243" s="80" t="str">
        <f>IFERROR(__xludf.DUMMYFUNCTION("""COMPUTED_VALUE"""),"KANTOR REGIONAL IV SEMARANG 50004")</f>
        <v>KANTOR REGIONAL IV SEMARANG 50004</v>
      </c>
      <c r="AN1243" s="80" t="str">
        <f>IFERROR(__xludf.DUMMYFUNCTION("""COMPUTED_VALUE"""),"KC TEGAL 52100")</f>
        <v>KC TEGAL 52100</v>
      </c>
      <c r="AO1243" s="80" t="str">
        <f>IFERROR(__xludf.DUMMYFUNCTION("""COMPUTED_VALUE"""),"2307260091503")</f>
        <v>2307260091503</v>
      </c>
      <c r="AP1243" s="80" t="str">
        <f>IFERROR(__xludf.DUMMYFUNCTION("""COMPUTED_VALUE"""),"2307260091503")</f>
        <v>2307260091503</v>
      </c>
      <c r="AQ1243" s="83" t="str">
        <f>IFERROR(__xludf.DUMMYFUNCTION("""COMPUTED_VALUE"""),"7330803813")</f>
        <v>7330803813</v>
      </c>
      <c r="AR1243" s="80" t="str">
        <f>IFERROR(__xludf.DUMMYFUNCTION("""COMPUTED_VALUE"""),"BSI")</f>
        <v>BSI</v>
      </c>
      <c r="AS1243" s="80" t="str">
        <f>IFERROR(__xludf.DUMMYFUNCTION("""COMPUTED_VALUE"""),"MUNAWAR")</f>
        <v>MUNAWAR</v>
      </c>
      <c r="AT1243" s="80" t="str">
        <f>IFERROR(__xludf.DUMMYFUNCTION("""COMPUTED_VALUE"""),"-6.9096113,109.1602601")</f>
        <v>-6.9096113,109.1602601</v>
      </c>
      <c r="AU1243" s="80" t="str">
        <f>IFERROR(__xludf.DUMMYFUNCTION("""COMPUTED_VALUE"""),"-6.9096113,109.1602601")</f>
        <v>-6.9096113,109.1602601</v>
      </c>
      <c r="AV1243" s="80"/>
      <c r="AW1243" s="80"/>
      <c r="AX1243" s="80"/>
      <c r="AY1243" s="80"/>
      <c r="AZ1243" s="80"/>
      <c r="BA1243" s="80"/>
      <c r="BB1243" s="80"/>
      <c r="BC1243" s="80"/>
      <c r="BD1243" s="80"/>
      <c r="BE1243" s="80"/>
      <c r="BF1243" s="80"/>
      <c r="BG1243" s="80"/>
      <c r="BH1243" s="80"/>
      <c r="BI1243" s="80"/>
      <c r="BJ1243" s="80"/>
      <c r="BK1243" s="80"/>
      <c r="BL1243" s="80"/>
      <c r="BM1243" s="80"/>
      <c r="BN1243" s="80"/>
      <c r="BO1243" s="80"/>
      <c r="BP1243" s="80"/>
      <c r="BQ1243" s="80"/>
      <c r="BR1243" s="80"/>
      <c r="BS1243" s="80"/>
      <c r="BT1243" s="80"/>
      <c r="BU1243" s="80"/>
      <c r="BV1243" s="80"/>
      <c r="BW1243" s="80"/>
      <c r="BX1243" s="80"/>
      <c r="BY1243" s="80"/>
      <c r="BZ1243" s="80"/>
      <c r="CA1243" s="80"/>
      <c r="CB1243" s="80"/>
      <c r="CC1243" s="80"/>
      <c r="CD1243" s="80"/>
      <c r="CE1243" s="80"/>
      <c r="CF1243" s="80"/>
      <c r="CG1243" s="80"/>
      <c r="CH1243" s="80"/>
      <c r="CI1243" s="80"/>
      <c r="CJ1243" s="80"/>
      <c r="CK1243" s="2"/>
    </row>
    <row r="1244" ht="12.75" customHeight="1">
      <c r="A1244" s="85">
        <f>IFERROR(__xludf.DUMMYFUNCTION("""COMPUTED_VALUE"""),1240.0)</f>
        <v>1240</v>
      </c>
      <c r="B1244" s="85"/>
      <c r="C1244" s="85"/>
      <c r="D1244" s="86">
        <f>IFERROR(__xludf.DUMMYFUNCTION("""COMPUTED_VALUE"""),46231.0)</f>
        <v>46231</v>
      </c>
      <c r="E1244" s="88"/>
      <c r="F1244" s="85"/>
      <c r="G1244" s="86">
        <f>IFERROR(__xludf.DUMMYFUNCTION("""COMPUTED_VALUE"""),46258.0)</f>
        <v>46258</v>
      </c>
      <c r="H1244" s="85"/>
      <c r="I1244" s="85"/>
      <c r="J1244" s="85"/>
      <c r="K1244" s="85"/>
      <c r="L1244" s="85">
        <f>IFERROR(__xludf.DUMMYFUNCTION("""COMPUTED_VALUE"""),27.0)</f>
        <v>27</v>
      </c>
      <c r="M1244" s="85"/>
      <c r="N1244" s="85"/>
      <c r="O1244" s="85"/>
      <c r="P1244" s="85" t="str">
        <f>IFERROR(__xludf.DUMMYFUNCTION("""COMPUTED_VALUE"""),"MUCSPA63611PSIND")</f>
        <v>MUCSPA63611PSIND</v>
      </c>
      <c r="Q1244" s="85" t="str">
        <f>IFERROR(__xludf.DUMMYFUNCTION("""COMPUTED_VALUE"""),"MUC ASL MANUFAKTUR")</f>
        <v>MUC ASL MANUFAKTUR</v>
      </c>
      <c r="R1244" s="85" t="str">
        <f>IFERROR(__xludf.DUMMYFUNCTION("""COMPUTED_VALUE"""),"MUC ASL MANUFAKTUR")</f>
        <v>MUC ASL MANUFAKTUR</v>
      </c>
      <c r="S1244" s="85" t="str">
        <f>IFERROR(__xludf.DUMMYFUNCTION("""COMPUTED_VALUE"""),"ANDREAS LEA")</f>
        <v>ANDREAS LEA</v>
      </c>
      <c r="T1244" s="85" t="str">
        <f>IFERROR(__xludf.DUMMYFUNCTION("""COMPUTED_VALUE"""),"JL. DARUSSALAM VII RT 05 RW 08, KETAPANG, CIPONDOH, TANGERANG")</f>
        <v>JL. DARUSSALAM VII RT 05 RW 08, KETAPANG, CIPONDOH, TANGERANG</v>
      </c>
      <c r="U1244" s="85" t="str">
        <f>IFERROR(__xludf.DUMMYFUNCTION("""COMPUTED_VALUE"""),"JL. CITRA RAYA BIZLINK BLOK P3 NO. 76 78")</f>
        <v>JL. CITRA RAYA BIZLINK BLOK P3 NO. 76 78</v>
      </c>
      <c r="V1244" s="85" t="str">
        <f>IFERROR(__xludf.DUMMYFUNCTION("""COMPUTED_VALUE"""),"RT 05  \ RW 08,")</f>
        <v>RT 05  \ RW 08,</v>
      </c>
      <c r="W1244" s="85" t="str">
        <f>IFERROR(__xludf.DUMMYFUNCTION("""COMPUTED_VALUE"""),"SUKAMULYA")</f>
        <v>SUKAMULYA</v>
      </c>
      <c r="X1244" s="85" t="str">
        <f>IFERROR(__xludf.DUMMYFUNCTION("""COMPUTED_VALUE"""),"CIKUPA")</f>
        <v>CIKUPA</v>
      </c>
      <c r="Y1244" s="85" t="str">
        <f>IFERROR(__xludf.DUMMYFUNCTION("""COMPUTED_VALUE"""),"KAB.TANGERANG")</f>
        <v>KAB.TANGERANG</v>
      </c>
      <c r="Z1244" s="85" t="str">
        <f>IFERROR(__xludf.DUMMYFUNCTION("""COMPUTED_VALUE"""),"BANTEN")</f>
        <v>BANTEN</v>
      </c>
      <c r="AA1244" s="85" t="str">
        <f>IFERROR(__xludf.DUMMYFUNCTION("""COMPUTED_VALUE"""),"15710")</f>
        <v>15710</v>
      </c>
      <c r="AB1244" s="85" t="str">
        <f>IFERROR(__xludf.DUMMYFUNCTION("""COMPUTED_VALUE"""),"3602010510830003")</f>
        <v>3602010510830003</v>
      </c>
      <c r="AC1244" s="85" t="str">
        <f>IFERROR(__xludf.DUMMYFUNCTION("""COMPUTED_VALUE"""),"20.742.638.8-416.000")</f>
        <v>20.742.638.8-416.000</v>
      </c>
      <c r="AD1244" s="85" t="str">
        <f>IFERROR(__xludf.DUMMYFUNCTION("""COMPUTED_VALUE"""),"CUM - PS - DWIH")</f>
        <v>CUM - PS - DWIH</v>
      </c>
      <c r="AE1244" s="85" t="str">
        <f>IFERROR(__xludf.DUMMYFUNCTION("""COMPUTED_VALUE"""),"CUM - PS - DWIH")</f>
        <v>CUM - PS - DWIH</v>
      </c>
      <c r="AF1244" s="85" t="str">
        <f>IFERROR(__xludf.DUMMYFUNCTION("""COMPUTED_VALUE"""),"081226331265")</f>
        <v>081226331265</v>
      </c>
      <c r="AG1244" s="85" t="str">
        <f>IFERROR(__xludf.DUMMYFUNCTION("""COMPUTED_VALUE"""),"81226331265")</f>
        <v>81226331265</v>
      </c>
      <c r="AH1244" s="85" t="str">
        <f>IFERROR(__xludf.DUMMYFUNCTION("""COMPUTED_VALUE"""),"andreas@aslgroupindonesia.com / info@aslgroupindonesia.com")</f>
        <v>andreas@aslgroupindonesia.com / info@aslgroupindonesia.com</v>
      </c>
      <c r="AI1244" s="85" t="str">
        <f>IFERROR(__xludf.DUMMYFUNCTION("""COMPUTED_VALUE"""),"15719S1")</f>
        <v>15719S1</v>
      </c>
      <c r="AJ1244" s="85" t="str">
        <f>IFERROR(__xludf.DUMMYFUNCTION("""COMPUTED_VALUE"""),"6a8a9a9d8639afe24c047db8")</f>
        <v>6a8a9a9d8639afe24c047db8</v>
      </c>
      <c r="AK1244" s="85" t="str">
        <f>IFERROR(__xludf.DUMMYFUNCTION("""COMPUTED_VALUE"""),"andreas@aslgroupindonesia.com")</f>
        <v>andreas@aslgroupindonesia.com</v>
      </c>
      <c r="AL1244" s="85" t="str">
        <f>IFERROR(__xludf.DUMMYFUNCTION("""COMPUTED_VALUE"""),"#Muc15719S1$")</f>
        <v>#Muc15719S1$</v>
      </c>
      <c r="AM1244" s="85" t="str">
        <f>IFERROR(__xludf.DUMMYFUNCTION("""COMPUTED_VALUE"""),"KANTOR REGIONAL II JAKARTA 10004")</f>
        <v>KANTOR REGIONAL II JAKARTA 10004</v>
      </c>
      <c r="AN1244" s="85" t="str">
        <f>IFERROR(__xludf.DUMMYFUNCTION("""COMPUTED_VALUE"""),"KCU TANGERANG 15000")</f>
        <v>KCU TANGERANG 15000</v>
      </c>
      <c r="AO1244" s="85" t="str">
        <f>IFERROR(__xludf.DUMMYFUNCTION("""COMPUTED_VALUE"""),"2507260045234")</f>
        <v>2507260045234</v>
      </c>
      <c r="AP1244" s="85" t="str">
        <f>IFERROR(__xludf.DUMMYFUNCTION("""COMPUTED_VALUE"""),"2507260045234")</f>
        <v>2507260045234</v>
      </c>
      <c r="AQ1244" s="93" t="str">
        <f>IFERROR(__xludf.DUMMYFUNCTION("""COMPUTED_VALUE"""),"043701002901566")</f>
        <v>043701002901566</v>
      </c>
      <c r="AR1244" s="85" t="str">
        <f>IFERROR(__xludf.DUMMYFUNCTION("""COMPUTED_VALUE"""),"BRI")</f>
        <v>BRI</v>
      </c>
      <c r="AS1244" s="85" t="str">
        <f>IFERROR(__xludf.DUMMYFUNCTION("""COMPUTED_VALUE"""),"PT ASL Manufaktur Indonesia")</f>
        <v>PT ASL Manufaktur Indonesia</v>
      </c>
      <c r="AT1244" s="85" t="str">
        <f>IFERROR(__xludf.DUMMYFUNCTION("""COMPUTED_VALUE"""),"-6.2331837,106.4968538")</f>
        <v>-6.2331837,106.4968538</v>
      </c>
      <c r="AU1244" s="85" t="str">
        <f>IFERROR(__xludf.DUMMYFUNCTION("""COMPUTED_VALUE"""),"-6.2331837,106.4968538")</f>
        <v>-6.2331837,106.4968538</v>
      </c>
      <c r="AV1244" s="85"/>
      <c r="AW1244" s="85"/>
      <c r="AX1244" s="85"/>
      <c r="AY1244" s="85"/>
      <c r="AZ1244" s="85"/>
      <c r="BA1244" s="85"/>
      <c r="BB1244" s="85"/>
      <c r="BC1244" s="85"/>
      <c r="BD1244" s="85"/>
      <c r="BE1244" s="85"/>
      <c r="BF1244" s="85"/>
      <c r="BG1244" s="85"/>
      <c r="BH1244" s="85"/>
      <c r="BI1244" s="85"/>
      <c r="BJ1244" s="85"/>
      <c r="BK1244" s="85"/>
      <c r="BL1244" s="85"/>
      <c r="BM1244" s="85"/>
      <c r="BN1244" s="85"/>
      <c r="BO1244" s="85"/>
      <c r="BP1244" s="85"/>
      <c r="BQ1244" s="85"/>
      <c r="BR1244" s="85"/>
      <c r="BS1244" s="85"/>
      <c r="BT1244" s="85"/>
      <c r="BU1244" s="85"/>
      <c r="BV1244" s="85"/>
      <c r="BW1244" s="85"/>
      <c r="BX1244" s="85"/>
      <c r="BY1244" s="85"/>
      <c r="BZ1244" s="85"/>
      <c r="CA1244" s="85"/>
      <c r="CB1244" s="85"/>
      <c r="CC1244" s="85"/>
      <c r="CD1244" s="85"/>
      <c r="CE1244" s="85"/>
      <c r="CF1244" s="85"/>
      <c r="CG1244" s="85"/>
      <c r="CH1244" s="85"/>
      <c r="CI1244" s="85"/>
      <c r="CJ1244" s="85"/>
      <c r="CK1244" s="2"/>
    </row>
    <row r="1245" ht="12.75" customHeight="1">
      <c r="A1245" s="80">
        <f>IFERROR(__xludf.DUMMYFUNCTION("""COMPUTED_VALUE"""),1241.0)</f>
        <v>1241</v>
      </c>
      <c r="B1245" s="80"/>
      <c r="C1245" s="80"/>
      <c r="D1245" s="81">
        <f>IFERROR(__xludf.DUMMYFUNCTION("""COMPUTED_VALUE"""),46231.0)</f>
        <v>46231</v>
      </c>
      <c r="E1245" s="82"/>
      <c r="F1245" s="80"/>
      <c r="G1245" s="81">
        <f>IFERROR(__xludf.DUMMYFUNCTION("""COMPUTED_VALUE"""),46258.0)</f>
        <v>46258</v>
      </c>
      <c r="H1245" s="80"/>
      <c r="I1245" s="80"/>
      <c r="J1245" s="80"/>
      <c r="K1245" s="80"/>
      <c r="L1245" s="80">
        <f>IFERROR(__xludf.DUMMYFUNCTION("""COMPUTED_VALUE"""),27.0)</f>
        <v>27</v>
      </c>
      <c r="M1245" s="80"/>
      <c r="N1245" s="80"/>
      <c r="O1245" s="80"/>
      <c r="P1245" s="80" t="str">
        <f>IFERROR(__xludf.DUMMYFUNCTION("""COMPUTED_VALUE"""),"MUCSPA63614PSIND")</f>
        <v>MUCSPA63614PSIND</v>
      </c>
      <c r="Q1245" s="80" t="str">
        <f>IFERROR(__xludf.DUMMYFUNCTION("""COMPUTED_VALUE"""),"MUC WIJAYANTI")</f>
        <v>MUC WIJAYANTI</v>
      </c>
      <c r="R1245" s="80" t="str">
        <f>IFERROR(__xludf.DUMMYFUNCTION("""COMPUTED_VALUE"""),"MUC WIJAYANTI")</f>
        <v>MUC WIJAYANTI</v>
      </c>
      <c r="S1245" s="80" t="str">
        <f>IFERROR(__xludf.DUMMYFUNCTION("""COMPUTED_VALUE"""),"RENY DWIJAYANTI")</f>
        <v>RENY DWIJAYANTI</v>
      </c>
      <c r="T1245" s="80" t="str">
        <f>IFERROR(__xludf.DUMMYFUNCTION("""COMPUTED_VALUE"""),"Perumahan. Pondok Arum blok G No.6 Rt. 003/005 Kel. Nambo Jaya Kec. Karawaci. Tangerang")</f>
        <v>Perumahan. Pondok Arum blok G No.6 Rt. 003/005 Kel. Nambo Jaya Kec. Karawaci. Tangerang</v>
      </c>
      <c r="U1245" s="80" t="str">
        <f>IFERROR(__xludf.DUMMYFUNCTION("""COMPUTED_VALUE"""),"Perumahan rajeg mulya residen Gang srirejeki blok B9 No 6")</f>
        <v>Perumahan rajeg mulya residen Gang srirejeki blok B9 No 6</v>
      </c>
      <c r="V1245" s="80"/>
      <c r="W1245" s="80" t="str">
        <f>IFERROR(__xludf.DUMMYFUNCTION("""COMPUTED_VALUE"""),"Rajeg Mulya")</f>
        <v>Rajeg Mulya</v>
      </c>
      <c r="X1245" s="80" t="str">
        <f>IFERROR(__xludf.DUMMYFUNCTION("""COMPUTED_VALUE"""),"Rajeg")</f>
        <v>Rajeg</v>
      </c>
      <c r="Y1245" s="80" t="str">
        <f>IFERROR(__xludf.DUMMYFUNCTION("""COMPUTED_VALUE"""),"Kab. Tangerang")</f>
        <v>Kab. Tangerang</v>
      </c>
      <c r="Z1245" s="80" t="str">
        <f>IFERROR(__xludf.DUMMYFUNCTION("""COMPUTED_VALUE"""),"Banten")</f>
        <v>Banten</v>
      </c>
      <c r="AA1245" s="80" t="str">
        <f>IFERROR(__xludf.DUMMYFUNCTION("""COMPUTED_VALUE"""),"15540")</f>
        <v>15540</v>
      </c>
      <c r="AB1245" s="80" t="str">
        <f>IFERROR(__xludf.DUMMYFUNCTION("""COMPUTED_VALUE"""),"3207066601930002")</f>
        <v>3207066601930002</v>
      </c>
      <c r="AC1245" s="80" t="str">
        <f>IFERROR(__xludf.DUMMYFUNCTION("""COMPUTED_VALUE"""),"75.731.190.7-442.000")</f>
        <v>75.731.190.7-442.000</v>
      </c>
      <c r="AD1245" s="80" t="str">
        <f>IFERROR(__xludf.DUMMYFUNCTION("""COMPUTED_VALUE"""),"CUM - PS - DWIH")</f>
        <v>CUM - PS - DWIH</v>
      </c>
      <c r="AE1245" s="80" t="str">
        <f>IFERROR(__xludf.DUMMYFUNCTION("""COMPUTED_VALUE"""),"CUM - PS - DWIH")</f>
        <v>CUM - PS - DWIH</v>
      </c>
      <c r="AF1245" s="80" t="str">
        <f>IFERROR(__xludf.DUMMYFUNCTION("""COMPUTED_VALUE"""),"087889085751")</f>
        <v>087889085751</v>
      </c>
      <c r="AG1245" s="80" t="str">
        <f>IFERROR(__xludf.DUMMYFUNCTION("""COMPUTED_VALUE"""),"87889085751")</f>
        <v>87889085751</v>
      </c>
      <c r="AH1245" s="80" t="str">
        <f>IFERROR(__xludf.DUMMYFUNCTION("""COMPUTED_VALUE"""),"renny.dj93@gmail.com")</f>
        <v>renny.dj93@gmail.com</v>
      </c>
      <c r="AI1245" s="80" t="str">
        <f>IFERROR(__xludf.DUMMYFUNCTION("""COMPUTED_VALUE"""),"15546S5")</f>
        <v>15546S5</v>
      </c>
      <c r="AJ1245" s="80" t="str">
        <f>IFERROR(__xludf.DUMMYFUNCTION("""COMPUTED_VALUE"""),"6a8b9461c383f358090cb5c2")</f>
        <v>6a8b9461c383f358090cb5c2</v>
      </c>
      <c r="AK1245" s="80" t="str">
        <f>IFERROR(__xludf.DUMMYFUNCTION("""COMPUTED_VALUE"""),"renny.dj93@gmail.com")</f>
        <v>renny.dj93@gmail.com</v>
      </c>
      <c r="AL1245" s="80" t="str">
        <f>IFERROR(__xludf.DUMMYFUNCTION("""COMPUTED_VALUE"""),"#Muc15546S5$")</f>
        <v>#Muc15546S5$</v>
      </c>
      <c r="AM1245" s="80" t="str">
        <f>IFERROR(__xludf.DUMMYFUNCTION("""COMPUTED_VALUE"""),"KANTOR REGIONAL II JAKARTA 10004")</f>
        <v>KANTOR REGIONAL II JAKARTA 10004</v>
      </c>
      <c r="AN1245" s="80" t="str">
        <f>IFERROR(__xludf.DUMMYFUNCTION("""COMPUTED_VALUE"""),"KCU TANGERANG 15000")</f>
        <v>KCU TANGERANG 15000</v>
      </c>
      <c r="AO1245" s="80" t="str">
        <f>IFERROR(__xludf.DUMMYFUNCTION("""COMPUTED_VALUE"""),"2707260088699")</f>
        <v>2707260088699</v>
      </c>
      <c r="AP1245" s="80" t="str">
        <f>IFERROR(__xludf.DUMMYFUNCTION("""COMPUTED_VALUE"""),"2707260088699")</f>
        <v>2707260088699</v>
      </c>
      <c r="AQ1245" s="83" t="str">
        <f>IFERROR(__xludf.DUMMYFUNCTION("""COMPUTED_VALUE"""),"0540886202")</f>
        <v>0540886202</v>
      </c>
      <c r="AR1245" s="80" t="str">
        <f>IFERROR(__xludf.DUMMYFUNCTION("""COMPUTED_VALUE"""),"BCA")</f>
        <v>BCA</v>
      </c>
      <c r="AS1245" s="80" t="str">
        <f>IFERROR(__xludf.DUMMYFUNCTION("""COMPUTED_VALUE"""),"Reny Dwi Jayanti")</f>
        <v>Reny Dwi Jayanti</v>
      </c>
      <c r="AT1245" s="80" t="str">
        <f>IFERROR(__xludf.DUMMYFUNCTION("""COMPUTED_VALUE"""),"-6.1149624,106.5290234")</f>
        <v>-6.1149624,106.5290234</v>
      </c>
      <c r="AU1245" s="80" t="str">
        <f>IFERROR(__xludf.DUMMYFUNCTION("""COMPUTED_VALUE"""),"-6.1149624,106.5290234")</f>
        <v>-6.1149624,106.5290234</v>
      </c>
      <c r="AV1245" s="80"/>
      <c r="AW1245" s="80"/>
      <c r="AX1245" s="80"/>
      <c r="AY1245" s="80"/>
      <c r="AZ1245" s="80"/>
      <c r="BA1245" s="80"/>
      <c r="BB1245" s="80"/>
      <c r="BC1245" s="80"/>
      <c r="BD1245" s="80"/>
      <c r="BE1245" s="80"/>
      <c r="BF1245" s="80"/>
      <c r="BG1245" s="80"/>
      <c r="BH1245" s="80"/>
      <c r="BI1245" s="80"/>
      <c r="BJ1245" s="80"/>
      <c r="BK1245" s="80"/>
      <c r="BL1245" s="80"/>
      <c r="BM1245" s="80"/>
      <c r="BN1245" s="80"/>
      <c r="BO1245" s="80"/>
      <c r="BP1245" s="80"/>
      <c r="BQ1245" s="80"/>
      <c r="BR1245" s="80"/>
      <c r="BS1245" s="80"/>
      <c r="BT1245" s="80"/>
      <c r="BU1245" s="80"/>
      <c r="BV1245" s="80"/>
      <c r="BW1245" s="80"/>
      <c r="BX1245" s="80"/>
      <c r="BY1245" s="80"/>
      <c r="BZ1245" s="80"/>
      <c r="CA1245" s="80"/>
      <c r="CB1245" s="80"/>
      <c r="CC1245" s="80"/>
      <c r="CD1245" s="80"/>
      <c r="CE1245" s="80"/>
      <c r="CF1245" s="80"/>
      <c r="CG1245" s="80"/>
      <c r="CH1245" s="80"/>
      <c r="CI1245" s="80"/>
      <c r="CJ1245" s="80"/>
      <c r="CK1245" s="2"/>
    </row>
    <row r="1246" ht="12.75" customHeight="1">
      <c r="A1246" s="85">
        <f>IFERROR(__xludf.DUMMYFUNCTION("""COMPUTED_VALUE"""),1242.0)</f>
        <v>1242</v>
      </c>
      <c r="B1246" s="85"/>
      <c r="C1246" s="85"/>
      <c r="D1246" s="86">
        <f>IFERROR(__xludf.DUMMYFUNCTION("""COMPUTED_VALUE"""),46231.0)</f>
        <v>46231</v>
      </c>
      <c r="E1246" s="88"/>
      <c r="F1246" s="85"/>
      <c r="G1246" s="86">
        <f>IFERROR(__xludf.DUMMYFUNCTION("""COMPUTED_VALUE"""),46258.0)</f>
        <v>46258</v>
      </c>
      <c r="H1246" s="85"/>
      <c r="I1246" s="85"/>
      <c r="J1246" s="85"/>
      <c r="K1246" s="85"/>
      <c r="L1246" s="85">
        <f>IFERROR(__xludf.DUMMYFUNCTION("""COMPUTED_VALUE"""),27.0)</f>
        <v>27</v>
      </c>
      <c r="M1246" s="85"/>
      <c r="N1246" s="85"/>
      <c r="O1246" s="85"/>
      <c r="P1246" s="85" t="str">
        <f>IFERROR(__xludf.DUMMYFUNCTION("""COMPUTED_VALUE"""),"53BSPA17187JBEEN")</f>
        <v>53BSPA17187JBEEN</v>
      </c>
      <c r="Q1246" s="85" t="str">
        <f>IFERROR(__xludf.DUMMYFUNCTION("""COMPUTED_VALUE"""),"MUC CIKUPA")</f>
        <v>MUC CIKUPA</v>
      </c>
      <c r="R1246" s="85" t="str">
        <f>IFERROR(__xludf.DUMMYFUNCTION("""COMPUTED_VALUE"""),"MUC CIKUPA")</f>
        <v>MUC CIKUPA</v>
      </c>
      <c r="S1246" s="85" t="str">
        <f>IFERROR(__xludf.DUMMYFUNCTION("""COMPUTED_VALUE"""),"NURKHOLIS")</f>
        <v>NURKHOLIS</v>
      </c>
      <c r="T1246" s="85" t="str">
        <f>IFERROR(__xludf.DUMMYFUNCTION("""COMPUTED_VALUE"""),"KP. PASIRGADUNG RT 02 RW 03, PASIR GADUNG, CIKUPA, KAB.TANGERANG")</f>
        <v>KP. PASIRGADUNG RT 02 RW 03, PASIR GADUNG, CIKUPA, KAB.TANGERANG</v>
      </c>
      <c r="U1246" s="85" t="str">
        <f>IFERROR(__xludf.DUMMYFUNCTION("""COMPUTED_VALUE"""),"JL. RAYA SERANG KM 13 NO.42 RW 08")</f>
        <v>JL. RAYA SERANG KM 13 NO.42 RW 08</v>
      </c>
      <c r="V1246" s="85" t="str">
        <f>IFERROR(__xludf.DUMMYFUNCTION("""COMPUTED_VALUE"""),"RT 02  \ RW 03,")</f>
        <v>RT 02  \ RW 03,</v>
      </c>
      <c r="W1246" s="85" t="str">
        <f>IFERROR(__xludf.DUMMYFUNCTION("""COMPUTED_VALUE"""),"SUKADAMAI")</f>
        <v>SUKADAMAI</v>
      </c>
      <c r="X1246" s="85" t="str">
        <f>IFERROR(__xludf.DUMMYFUNCTION("""COMPUTED_VALUE"""),"CIKUPA")</f>
        <v>CIKUPA</v>
      </c>
      <c r="Y1246" s="85" t="str">
        <f>IFERROR(__xludf.DUMMYFUNCTION("""COMPUTED_VALUE"""),"KAB.TANGERANG")</f>
        <v>KAB.TANGERANG</v>
      </c>
      <c r="Z1246" s="85" t="str">
        <f>IFERROR(__xludf.DUMMYFUNCTION("""COMPUTED_VALUE"""),"BANTEN")</f>
        <v>BANTEN</v>
      </c>
      <c r="AA1246" s="85" t="str">
        <f>IFERROR(__xludf.DUMMYFUNCTION("""COMPUTED_VALUE"""),"15710")</f>
        <v>15710</v>
      </c>
      <c r="AB1246" s="85" t="str">
        <f>IFERROR(__xludf.DUMMYFUNCTION("""COMPUTED_VALUE"""),"3603182805880006")</f>
        <v>3603182805880006</v>
      </c>
      <c r="AC1246" s="85" t="str">
        <f>IFERROR(__xludf.DUMMYFUNCTION("""COMPUTED_VALUE"""),"98.448.149.9-451.0000")</f>
        <v>98.448.149.9-451.0000</v>
      </c>
      <c r="AD1246" s="85" t="str">
        <f>IFERROR(__xludf.DUMMYFUNCTION("""COMPUTED_VALUE"""),"CUM - EEN")</f>
        <v>CUM - EEN</v>
      </c>
      <c r="AE1246" s="85" t="str">
        <f>IFERROR(__xludf.DUMMYFUNCTION("""COMPUTED_VALUE"""),"CUM - EEN")</f>
        <v>CUM - EEN</v>
      </c>
      <c r="AF1246" s="85" t="str">
        <f>IFERROR(__xludf.DUMMYFUNCTION("""COMPUTED_VALUE"""),"082260871188")</f>
        <v>082260871188</v>
      </c>
      <c r="AG1246" s="85" t="str">
        <f>IFERROR(__xludf.DUMMYFUNCTION("""COMPUTED_VALUE"""),"82260871188")</f>
        <v>82260871188</v>
      </c>
      <c r="AH1246" s="85" t="str">
        <f>IFERROR(__xludf.DUMMYFUNCTION("""COMPUTED_VALUE"""),"lionparcelcikupa1@gmail.com")</f>
        <v>lionparcelcikupa1@gmail.com</v>
      </c>
      <c r="AI1246" s="85" t="str">
        <f>IFERROR(__xludf.DUMMYFUNCTION("""COMPUTED_VALUE"""),"15713S1")</f>
        <v>15713S1</v>
      </c>
      <c r="AJ1246" s="85" t="str">
        <f>IFERROR(__xludf.DUMMYFUNCTION("""COMPUTED_VALUE"""),"6a8b01d5969666708601fb50")</f>
        <v>6a8b01d5969666708601fb50</v>
      </c>
      <c r="AK1246" s="85" t="str">
        <f>IFERROR(__xludf.DUMMYFUNCTION("""COMPUTED_VALUE"""),"lionparcelcikupa1@gmail.com")</f>
        <v>lionparcelcikupa1@gmail.com</v>
      </c>
      <c r="AL1246" s="85" t="str">
        <f>IFERROR(__xludf.DUMMYFUNCTION("""COMPUTED_VALUE"""),"#Muc15713S1$")</f>
        <v>#Muc15713S1$</v>
      </c>
      <c r="AM1246" s="85" t="str">
        <f>IFERROR(__xludf.DUMMYFUNCTION("""COMPUTED_VALUE"""),"KANTOR REGIONAL II JAKARTA 10004")</f>
        <v>KANTOR REGIONAL II JAKARTA 10004</v>
      </c>
      <c r="AN1246" s="85" t="str">
        <f>IFERROR(__xludf.DUMMYFUNCTION("""COMPUTED_VALUE"""),"KCU TANGERANG 15000")</f>
        <v>KCU TANGERANG 15000</v>
      </c>
      <c r="AO1246" s="85" t="str">
        <f>IFERROR(__xludf.DUMMYFUNCTION("""COMPUTED_VALUE"""),"1209000432738")</f>
        <v>1209000432738</v>
      </c>
      <c r="AP1246" s="85" t="str">
        <f>IFERROR(__xludf.DUMMYFUNCTION("""COMPUTED_VALUE"""),"1209000432738")</f>
        <v>1209000432738</v>
      </c>
      <c r="AQ1246" s="93" t="str">
        <f>IFERROR(__xludf.DUMMYFUNCTION("""COMPUTED_VALUE"""),"7641091689")</f>
        <v>7641091689</v>
      </c>
      <c r="AR1246" s="85" t="str">
        <f>IFERROR(__xludf.DUMMYFUNCTION("""COMPUTED_VALUE"""),"BCA")</f>
        <v>BCA</v>
      </c>
      <c r="AS1246" s="85" t="str">
        <f>IFERROR(__xludf.DUMMYFUNCTION("""COMPUTED_VALUE"""),"NURKHOLIS")</f>
        <v>NURKHOLIS</v>
      </c>
      <c r="AT1246" s="85" t="str">
        <f>IFERROR(__xludf.DUMMYFUNCTION("""COMPUTED_VALUE"""),"-6.2194937,106.5346493")</f>
        <v>-6.2194937,106.5346493</v>
      </c>
      <c r="AU1246" s="85" t="str">
        <f>IFERROR(__xludf.DUMMYFUNCTION("""COMPUTED_VALUE"""),"-6.2194937,106.5346493")</f>
        <v>-6.2194937,106.5346493</v>
      </c>
      <c r="AV1246" s="85"/>
      <c r="AW1246" s="85"/>
      <c r="AX1246" s="85"/>
      <c r="AY1246" s="85"/>
      <c r="AZ1246" s="85"/>
      <c r="BA1246" s="85"/>
      <c r="BB1246" s="85"/>
      <c r="BC1246" s="85"/>
      <c r="BD1246" s="85"/>
      <c r="BE1246" s="85"/>
      <c r="BF1246" s="85"/>
      <c r="BG1246" s="85"/>
      <c r="BH1246" s="85"/>
      <c r="BI1246" s="85"/>
      <c r="BJ1246" s="85"/>
      <c r="BK1246" s="85"/>
      <c r="BL1246" s="85"/>
      <c r="BM1246" s="85"/>
      <c r="BN1246" s="85"/>
      <c r="BO1246" s="85"/>
      <c r="BP1246" s="85"/>
      <c r="BQ1246" s="85"/>
      <c r="BR1246" s="85"/>
      <c r="BS1246" s="85"/>
      <c r="BT1246" s="85"/>
      <c r="BU1246" s="85"/>
      <c r="BV1246" s="85"/>
      <c r="BW1246" s="85"/>
      <c r="BX1246" s="85"/>
      <c r="BY1246" s="85"/>
      <c r="BZ1246" s="85"/>
      <c r="CA1246" s="85"/>
      <c r="CB1246" s="85"/>
      <c r="CC1246" s="85"/>
      <c r="CD1246" s="85"/>
      <c r="CE1246" s="85"/>
      <c r="CF1246" s="85"/>
      <c r="CG1246" s="85"/>
      <c r="CH1246" s="85"/>
      <c r="CI1246" s="85"/>
      <c r="CJ1246" s="85"/>
      <c r="CK1246" s="2"/>
    </row>
    <row r="1247" ht="12.75" customHeight="1">
      <c r="A1247" s="80">
        <f>IFERROR(__xludf.DUMMYFUNCTION("""COMPUTED_VALUE"""),1243.0)</f>
        <v>1243</v>
      </c>
      <c r="B1247" s="80"/>
      <c r="C1247" s="80"/>
      <c r="D1247" s="81">
        <f>IFERROR(__xludf.DUMMYFUNCTION("""COMPUTED_VALUE"""),46231.0)</f>
        <v>46231</v>
      </c>
      <c r="E1247" s="82"/>
      <c r="F1247" s="80"/>
      <c r="G1247" s="81">
        <f>IFERROR(__xludf.DUMMYFUNCTION("""COMPUTED_VALUE"""),46244.0)</f>
        <v>46244</v>
      </c>
      <c r="H1247" s="80"/>
      <c r="I1247" s="80"/>
      <c r="J1247" s="80"/>
      <c r="K1247" s="80"/>
      <c r="L1247" s="80">
        <f>IFERROR(__xludf.DUMMYFUNCTION("""COMPUTED_VALUE"""),13.0)</f>
        <v>13</v>
      </c>
      <c r="M1247" s="80"/>
      <c r="N1247" s="80"/>
      <c r="O1247" s="80"/>
      <c r="P1247" s="80" t="str">
        <f>IFERROR(__xludf.DUMMYFUNCTION("""COMPUTED_VALUE"""),"MUCSPA70038PSUMK")</f>
        <v>MUCSPA70038PSUMK</v>
      </c>
      <c r="Q1247" s="80" t="str">
        <f>IFERROR(__xludf.DUMMYFUNCTION("""COMPUTED_VALUE"""),"MUC BZ LOGISTIC")</f>
        <v>MUC BZ LOGISTIC</v>
      </c>
      <c r="R1247" s="80" t="str">
        <f>IFERROR(__xludf.DUMMYFUNCTION("""COMPUTED_VALUE"""),"MUC BZ LOGISTIC")</f>
        <v>MUC BZ LOGISTIC</v>
      </c>
      <c r="S1247" s="80" t="str">
        <f>IFERROR(__xludf.DUMMYFUNCTION("""COMPUTED_VALUE"""),"ZUL FAHMI")</f>
        <v>ZUL FAHMI</v>
      </c>
      <c r="T1247" s="80" t="str">
        <f>IFERROR(__xludf.DUMMYFUNCTION("""COMPUTED_VALUE"""),"Jl Yunus 1 no.23 RT.06 RW.06 Sukabumi Utara Jakarta Barat 11540")</f>
        <v>Jl Yunus 1 no.23 RT.06 RW.06 Sukabumi Utara Jakarta Barat 11540</v>
      </c>
      <c r="U1247" s="80" t="str">
        <f>IFERROR(__xludf.DUMMYFUNCTION("""COMPUTED_VALUE"""),"Gedung Bina Pertiwi Lantai 1. Jl Raya Bekasi No.Km 22 , Rt.7/ Rw.1 , Cakung Jakarta Timur")</f>
        <v>Gedung Bina Pertiwi Lantai 1. Jl Raya Bekasi No.Km 22 , Rt.7/ Rw.1 , Cakung Jakarta Timur</v>
      </c>
      <c r="V1247" s="80" t="str">
        <f>IFERROR(__xludf.DUMMYFUNCTION("""COMPUTED_VALUE"""),"RT.06  \ RW.06")</f>
        <v>RT.06  \ RW.06</v>
      </c>
      <c r="W1247" s="80" t="str">
        <f>IFERROR(__xludf.DUMMYFUNCTION("""COMPUTED_VALUE"""),"Cakung Barat")</f>
        <v>Cakung Barat</v>
      </c>
      <c r="X1247" s="80" t="str">
        <f>IFERROR(__xludf.DUMMYFUNCTION("""COMPUTED_VALUE"""),"Cakung")</f>
        <v>Cakung</v>
      </c>
      <c r="Y1247" s="80" t="str">
        <f>IFERROR(__xludf.DUMMYFUNCTION("""COMPUTED_VALUE"""),"Jakarta Timur")</f>
        <v>Jakarta Timur</v>
      </c>
      <c r="Z1247" s="80" t="str">
        <f>IFERROR(__xludf.DUMMYFUNCTION("""COMPUTED_VALUE"""),"DKI Jakarta")</f>
        <v>DKI Jakarta</v>
      </c>
      <c r="AA1247" s="80" t="str">
        <f>IFERROR(__xludf.DUMMYFUNCTION("""COMPUTED_VALUE"""),"13910")</f>
        <v>13910</v>
      </c>
      <c r="AB1247" s="80" t="str">
        <f>IFERROR(__xludf.DUMMYFUNCTION("""COMPUTED_VALUE"""),"3173051203830018")</f>
        <v>3173051203830018</v>
      </c>
      <c r="AC1247" s="80" t="str">
        <f>IFERROR(__xludf.DUMMYFUNCTION("""COMPUTED_VALUE"""),"58.197.980.4-035.000")</f>
        <v>58.197.980.4-035.000</v>
      </c>
      <c r="AD1247" s="80" t="str">
        <f>IFERROR(__xludf.DUMMYFUNCTION("""COMPUTED_VALUE"""),"CUM - UMKMNK - ASEP")</f>
        <v>CUM - UMKMNK - ASEP</v>
      </c>
      <c r="AE1247" s="80" t="str">
        <f>IFERROR(__xludf.DUMMYFUNCTION("""COMPUTED_VALUE"""),"CUM - UMKMNK - ASEP")</f>
        <v>CUM - UMKMNK - ASEP</v>
      </c>
      <c r="AF1247" s="80" t="str">
        <f>IFERROR(__xludf.DUMMYFUNCTION("""COMPUTED_VALUE"""),"081932207765")</f>
        <v>081932207765</v>
      </c>
      <c r="AG1247" s="80" t="str">
        <f>IFERROR(__xludf.DUMMYFUNCTION("""COMPUTED_VALUE"""),"81932207765")</f>
        <v>81932207765</v>
      </c>
      <c r="AH1247" s="80" t="str">
        <f>IFERROR(__xludf.DUMMYFUNCTION("""COMPUTED_VALUE"""),"zulfahmibz@gmail.com")</f>
        <v>zulfahmibz@gmail.com</v>
      </c>
      <c r="AI1247" s="80" t="str">
        <f>IFERROR(__xludf.DUMMYFUNCTION("""COMPUTED_VALUE"""),"13910S7")</f>
        <v>13910S7</v>
      </c>
      <c r="AJ1247" s="80" t="str">
        <f>IFERROR(__xludf.DUMMYFUNCTION("""COMPUTED_VALUE"""),"6a797e6a045972a19f0997ba")</f>
        <v>6a797e6a045972a19f0997ba</v>
      </c>
      <c r="AK1247" s="80" t="str">
        <f>IFERROR(__xludf.DUMMYFUNCTION("""COMPUTED_VALUE"""),"zulfahmibz@gmail.com")</f>
        <v>zulfahmibz@gmail.com</v>
      </c>
      <c r="AL1247" s="80" t="str">
        <f>IFERROR(__xludf.DUMMYFUNCTION("""COMPUTED_VALUE"""),"#Muc13910S7$")</f>
        <v>#Muc13910S7$</v>
      </c>
      <c r="AM1247" s="80" t="str">
        <f>IFERROR(__xludf.DUMMYFUNCTION("""COMPUTED_VALUE"""),"KANTOR REGIONAL II JAKARTA 10004")</f>
        <v>KANTOR REGIONAL II JAKARTA 10004</v>
      </c>
      <c r="AN1247" s="80" t="str">
        <f>IFERROR(__xludf.DUMMYFUNCTION("""COMPUTED_VALUE"""),"KCU JAKARTAPREMIER 13000")</f>
        <v>KCU JAKARTAPREMIER 13000</v>
      </c>
      <c r="AO1247" s="80" t="str">
        <f>IFERROR(__xludf.DUMMYFUNCTION("""COMPUTED_VALUE"""),"2307260044953")</f>
        <v>2307260044953</v>
      </c>
      <c r="AP1247" s="80" t="str">
        <f>IFERROR(__xludf.DUMMYFUNCTION("""COMPUTED_VALUE"""),"2307260044953")</f>
        <v>2307260044953</v>
      </c>
      <c r="AQ1247" s="83" t="str">
        <f>IFERROR(__xludf.DUMMYFUNCTION("""COMPUTED_VALUE"""),"52700577091")</f>
        <v>52700577091</v>
      </c>
      <c r="AR1247" s="80" t="str">
        <f>IFERROR(__xludf.DUMMYFUNCTION("""COMPUTED_VALUE"""),"BCA")</f>
        <v>BCA</v>
      </c>
      <c r="AS1247" s="80" t="str">
        <f>IFERROR(__xludf.DUMMYFUNCTION("""COMPUTED_VALUE"""),"ZUL FAHMI")</f>
        <v>ZUL FAHMI</v>
      </c>
      <c r="AT1247" s="80" t="str">
        <f>IFERROR(__xludf.DUMMYFUNCTION("""COMPUTED_VALUE"""),"-6.1812442,106.9268838")</f>
        <v>-6.1812442,106.9268838</v>
      </c>
      <c r="AU1247" s="80" t="str">
        <f>IFERROR(__xludf.DUMMYFUNCTION("""COMPUTED_VALUE"""),"-6.1812442,106.9268838")</f>
        <v>-6.1812442,106.9268838</v>
      </c>
      <c r="AV1247" s="80"/>
      <c r="AW1247" s="80"/>
      <c r="AX1247" s="80"/>
      <c r="AY1247" s="80"/>
      <c r="AZ1247" s="80"/>
      <c r="BA1247" s="80"/>
      <c r="BB1247" s="80"/>
      <c r="BC1247" s="80"/>
      <c r="BD1247" s="80"/>
      <c r="BE1247" s="80"/>
      <c r="BF1247" s="80"/>
      <c r="BG1247" s="80"/>
      <c r="BH1247" s="80"/>
      <c r="BI1247" s="80"/>
      <c r="BJ1247" s="80"/>
      <c r="BK1247" s="80"/>
      <c r="BL1247" s="80"/>
      <c r="BM1247" s="80"/>
      <c r="BN1247" s="80"/>
      <c r="BO1247" s="80"/>
      <c r="BP1247" s="80"/>
      <c r="BQ1247" s="80"/>
      <c r="BR1247" s="80"/>
      <c r="BS1247" s="80"/>
      <c r="BT1247" s="80"/>
      <c r="BU1247" s="80"/>
      <c r="BV1247" s="80"/>
      <c r="BW1247" s="80"/>
      <c r="BX1247" s="80"/>
      <c r="BY1247" s="80"/>
      <c r="BZ1247" s="80"/>
      <c r="CA1247" s="80"/>
      <c r="CB1247" s="80"/>
      <c r="CC1247" s="80"/>
      <c r="CD1247" s="80"/>
      <c r="CE1247" s="80"/>
      <c r="CF1247" s="80"/>
      <c r="CG1247" s="80"/>
      <c r="CH1247" s="80"/>
      <c r="CI1247" s="80"/>
      <c r="CJ1247" s="80"/>
      <c r="CK1247" s="2"/>
    </row>
    <row r="1248" ht="12.75" customHeight="1">
      <c r="A1248" s="85">
        <f>IFERROR(__xludf.DUMMYFUNCTION("""COMPUTED_VALUE"""),1244.0)</f>
        <v>1244</v>
      </c>
      <c r="B1248" s="85"/>
      <c r="C1248" s="85"/>
      <c r="D1248" s="86">
        <f>IFERROR(__xludf.DUMMYFUNCTION("""COMPUTED_VALUE"""),46231.0)</f>
        <v>46231</v>
      </c>
      <c r="E1248" s="88"/>
      <c r="F1248" s="85"/>
      <c r="G1248" s="86"/>
      <c r="H1248" s="85"/>
      <c r="I1248" s="85"/>
      <c r="J1248" s="85"/>
      <c r="K1248" s="85"/>
      <c r="L1248" s="85"/>
      <c r="M1248" s="85"/>
      <c r="N1248" s="85"/>
      <c r="O1248" s="85"/>
      <c r="P1248" s="85" t="str">
        <f>IFERROR(__xludf.DUMMYFUNCTION("""COMPUTED_VALUE"""),"MUCSPA70035PSUMK")</f>
        <v>MUCSPA70035PSUMK</v>
      </c>
      <c r="Q1248" s="85" t="str">
        <f>IFERROR(__xludf.DUMMYFUNCTION("""COMPUTED_VALUE"""),"MUC ANTIQUE PRINTING JAYA")</f>
        <v>MUC ANTIQUE PRINTING JAYA</v>
      </c>
      <c r="R1248" s="85" t="str">
        <f>IFERROR(__xludf.DUMMYFUNCTION("""COMPUTED_VALUE"""),"MUC ANTIQUE PRINTING JAYA")</f>
        <v>MUC ANTIQUE PRINTING JAYA</v>
      </c>
      <c r="S1248" s="85" t="str">
        <f>IFERROR(__xludf.DUMMYFUNCTION("""COMPUTED_VALUE"""),"ANTI MASRUKAH")</f>
        <v>ANTI MASRUKAH</v>
      </c>
      <c r="T1248" s="85" t="str">
        <f>IFERROR(__xludf.DUMMYFUNCTION("""COMPUTED_VALUE"""),"EMERALD VILLAGE CLUSTER NO 24 RT 17 RW 44, DURUNGBEDUG, CANDI, KAB.SIDOARJO")</f>
        <v>EMERALD VILLAGE CLUSTER NO 24 RT 17 RW 44, DURUNGBEDUG, CANDI, KAB.SIDOARJO</v>
      </c>
      <c r="U1248" s="85" t="str">
        <f>IFERROR(__xludf.DUMMYFUNCTION("""COMPUTED_VALUE"""),"JL. EMERALD VILLAGE CLUSTER NO.24 RT 17 RW 44, BEDUGBARU")</f>
        <v>JL. EMERALD VILLAGE CLUSTER NO.24 RT 17 RW 44, BEDUGBARU</v>
      </c>
      <c r="V1248" s="85" t="str">
        <f>IFERROR(__xludf.DUMMYFUNCTION("""COMPUTED_VALUE"""),"RT 17  \ RW 44,")</f>
        <v>RT 17  \ RW 44,</v>
      </c>
      <c r="W1248" s="85" t="str">
        <f>IFERROR(__xludf.DUMMYFUNCTION("""COMPUTED_VALUE"""),"DURUNG BEDUG")</f>
        <v>DURUNG BEDUG</v>
      </c>
      <c r="X1248" s="85" t="str">
        <f>IFERROR(__xludf.DUMMYFUNCTION("""COMPUTED_VALUE"""),"CANDI")</f>
        <v>CANDI</v>
      </c>
      <c r="Y1248" s="85" t="str">
        <f>IFERROR(__xludf.DUMMYFUNCTION("""COMPUTED_VALUE"""),"KAB.SIDOARJO")</f>
        <v>KAB.SIDOARJO</v>
      </c>
      <c r="Z1248" s="85" t="str">
        <f>IFERROR(__xludf.DUMMYFUNCTION("""COMPUTED_VALUE"""),"JAWA TIMUR")</f>
        <v>JAWA TIMUR</v>
      </c>
      <c r="AA1248" s="85" t="str">
        <f>IFERROR(__xludf.DUMMYFUNCTION("""COMPUTED_VALUE"""),"61271")</f>
        <v>61271</v>
      </c>
      <c r="AB1248" s="85" t="str">
        <f>IFERROR(__xludf.DUMMYFUNCTION("""COMPUTED_VALUE"""),"3506016208760002")</f>
        <v>3506016208760002</v>
      </c>
      <c r="AC1248" s="85" t="str">
        <f>IFERROR(__xludf.DUMMYFUNCTION("""COMPUTED_VALUE"""),"82.027.480.1-643.000")</f>
        <v>82.027.480.1-643.000</v>
      </c>
      <c r="AD1248" s="85" t="str">
        <f>IFERROR(__xludf.DUMMYFUNCTION("""COMPUTED_VALUE"""),"CUM - UMKMNK - ASEP")</f>
        <v>CUM - UMKMNK - ASEP</v>
      </c>
      <c r="AE1248" s="85" t="str">
        <f>IFERROR(__xludf.DUMMYFUNCTION("""COMPUTED_VALUE"""),"CUM - UMKMNK - ASEP")</f>
        <v>CUM - UMKMNK - ASEP</v>
      </c>
      <c r="AF1248" s="85" t="str">
        <f>IFERROR(__xludf.DUMMYFUNCTION("""COMPUTED_VALUE"""),"087757767452")</f>
        <v>087757767452</v>
      </c>
      <c r="AG1248" s="85" t="str">
        <f>IFERROR(__xludf.DUMMYFUNCTION("""COMPUTED_VALUE"""),"87757767452")</f>
        <v>87757767452</v>
      </c>
      <c r="AH1248" s="85" t="str">
        <f>IFERROR(__xludf.DUMMYFUNCTION("""COMPUTED_VALUE"""),"antique.printingjaya22@gmail.com")</f>
        <v>antique.printingjaya22@gmail.com</v>
      </c>
      <c r="AI1248" s="85"/>
      <c r="AJ1248" s="85"/>
      <c r="AK1248" s="85"/>
      <c r="AL1248" s="85"/>
      <c r="AM1248" s="85" t="str">
        <f>IFERROR(__xludf.DUMMYFUNCTION("""COMPUTED_VALUE"""),"KANTOR REGIONAL V SURABAYA 60004")</f>
        <v>KANTOR REGIONAL V SURABAYA 60004</v>
      </c>
      <c r="AN1248" s="85" t="str">
        <f>IFERROR(__xludf.DUMMYFUNCTION("""COMPUTED_VALUE"""),"KC SIDOARJO 61200")</f>
        <v>KC SIDOARJO 61200</v>
      </c>
      <c r="AO1248" s="85" t="str">
        <f>IFERROR(__xludf.DUMMYFUNCTION("""COMPUTED_VALUE"""),"0299001900393")</f>
        <v>0299001900393</v>
      </c>
      <c r="AP1248" s="85" t="str">
        <f>IFERROR(__xludf.DUMMYFUNCTION("""COMPUTED_VALUE"""),"0299001900393")</f>
        <v>0299001900393</v>
      </c>
      <c r="AQ1248" s="93" t="str">
        <f>IFERROR(__xludf.DUMMYFUNCTION("""COMPUTED_VALUE"""),"5065022106")</f>
        <v>5065022106</v>
      </c>
      <c r="AR1248" s="85" t="str">
        <f>IFERROR(__xludf.DUMMYFUNCTION("""COMPUTED_VALUE"""),"BCA")</f>
        <v>BCA</v>
      </c>
      <c r="AS1248" s="85" t="str">
        <f>IFERROR(__xludf.DUMMYFUNCTION("""COMPUTED_VALUE"""),"ANTI MASRUKAH")</f>
        <v>ANTI MASRUKAH</v>
      </c>
      <c r="AT1248" s="85" t="str">
        <f>IFERROR(__xludf.DUMMYFUNCTION("""COMPUTED_VALUE"""),"-74,633,948.00")</f>
        <v>-74,633,948.00</v>
      </c>
      <c r="AU1248" s="85" t="str">
        <f>IFERROR(__xludf.DUMMYFUNCTION("""COMPUTED_VALUE"""),"1,125,940,892")</f>
        <v>1,125,940,892</v>
      </c>
      <c r="AV1248" s="85"/>
      <c r="AW1248" s="85"/>
      <c r="AX1248" s="85"/>
      <c r="AY1248" s="85"/>
      <c r="AZ1248" s="85"/>
      <c r="BA1248" s="85"/>
      <c r="BB1248" s="85"/>
      <c r="BC1248" s="85"/>
      <c r="BD1248" s="85"/>
      <c r="BE1248" s="85"/>
      <c r="BF1248" s="85"/>
      <c r="BG1248" s="85"/>
      <c r="BH1248" s="85"/>
      <c r="BI1248" s="85"/>
      <c r="BJ1248" s="85"/>
      <c r="BK1248" s="85"/>
      <c r="BL1248" s="85"/>
      <c r="BM1248" s="85"/>
      <c r="BN1248" s="85"/>
      <c r="BO1248" s="85"/>
      <c r="BP1248" s="85"/>
      <c r="BQ1248" s="85"/>
      <c r="BR1248" s="85"/>
      <c r="BS1248" s="85"/>
      <c r="BT1248" s="85"/>
      <c r="BU1248" s="85"/>
      <c r="BV1248" s="85"/>
      <c r="BW1248" s="85"/>
      <c r="BX1248" s="85"/>
      <c r="BY1248" s="85"/>
      <c r="BZ1248" s="85"/>
      <c r="CA1248" s="85"/>
      <c r="CB1248" s="85"/>
      <c r="CC1248" s="85"/>
      <c r="CD1248" s="85"/>
      <c r="CE1248" s="85"/>
      <c r="CF1248" s="85"/>
      <c r="CG1248" s="85"/>
      <c r="CH1248" s="85"/>
      <c r="CI1248" s="85"/>
      <c r="CJ1248" s="85"/>
      <c r="CK1248" s="2"/>
    </row>
    <row r="1249" ht="12.75" customHeight="1">
      <c r="A1249" s="80">
        <f>IFERROR(__xludf.DUMMYFUNCTION("""COMPUTED_VALUE"""),1245.0)</f>
        <v>1245</v>
      </c>
      <c r="B1249" s="80"/>
      <c r="C1249" s="80"/>
      <c r="D1249" s="81">
        <f>IFERROR(__xludf.DUMMYFUNCTION("""COMPUTED_VALUE"""),46231.0)</f>
        <v>46231</v>
      </c>
      <c r="E1249" s="82"/>
      <c r="F1249" s="80"/>
      <c r="G1249" s="81">
        <f>IFERROR(__xludf.DUMMYFUNCTION("""COMPUTED_VALUE"""),46248.0)</f>
        <v>46248</v>
      </c>
      <c r="H1249" s="80"/>
      <c r="I1249" s="80"/>
      <c r="J1249" s="80"/>
      <c r="K1249" s="80"/>
      <c r="L1249" s="80">
        <f>IFERROR(__xludf.DUMMYFUNCTION("""COMPUTED_VALUE"""),17.0)</f>
        <v>17</v>
      </c>
      <c r="M1249" s="80"/>
      <c r="N1249" s="80"/>
      <c r="O1249" s="80"/>
      <c r="P1249" s="80" t="str">
        <f>IFERROR(__xludf.DUMMYFUNCTION("""COMPUTED_VALUE"""),"53BSPA17153JBNDS")</f>
        <v>53BSPA17153JBNDS</v>
      </c>
      <c r="Q1249" s="80" t="str">
        <f>IFERROR(__xludf.DUMMYFUNCTION("""COMPUTED_VALUE"""),"MUC KALIDERES")</f>
        <v>MUC KALIDERES</v>
      </c>
      <c r="R1249" s="80" t="str">
        <f>IFERROR(__xludf.DUMMYFUNCTION("""COMPUTED_VALUE"""),"MUC KALIDERES")</f>
        <v>MUC KALIDERES</v>
      </c>
      <c r="S1249" s="80" t="str">
        <f>IFERROR(__xludf.DUMMYFUNCTION("""COMPUTED_VALUE"""),"HENDRA MONICO")</f>
        <v>HENDRA MONICO</v>
      </c>
      <c r="T1249" s="80" t="str">
        <f>IFERROR(__xludf.DUMMYFUNCTION("""COMPUTED_VALUE"""),"Jl beringin 3 no 309 Malaka jaya duren sawit Jakarta Timur")</f>
        <v>Jl beringin 3 no 309 Malaka jaya duren sawit Jakarta Timur</v>
      </c>
      <c r="U1249" s="80" t="str">
        <f>IFERROR(__xludf.DUMMYFUNCTION("""COMPUTED_VALUE"""),"Jl. Daan Mogot No.KM. 17 No. 50")</f>
        <v>Jl. Daan Mogot No.KM. 17 No. 50</v>
      </c>
      <c r="V1249" s="80"/>
      <c r="W1249" s="80" t="str">
        <f>IFERROR(__xludf.DUMMYFUNCTION("""COMPUTED_VALUE"""),"Kalideres")</f>
        <v>Kalideres</v>
      </c>
      <c r="X1249" s="80" t="str">
        <f>IFERROR(__xludf.DUMMYFUNCTION("""COMPUTED_VALUE"""),"Kalideres")</f>
        <v>Kalideres</v>
      </c>
      <c r="Y1249" s="80" t="str">
        <f>IFERROR(__xludf.DUMMYFUNCTION("""COMPUTED_VALUE"""),"Jakarta Barat")</f>
        <v>Jakarta Barat</v>
      </c>
      <c r="Z1249" s="80" t="str">
        <f>IFERROR(__xludf.DUMMYFUNCTION("""COMPUTED_VALUE"""),"DKI Jakarta")</f>
        <v>DKI Jakarta</v>
      </c>
      <c r="AA1249" s="80" t="str">
        <f>IFERROR(__xludf.DUMMYFUNCTION("""COMPUTED_VALUE"""),"11840")</f>
        <v>11840</v>
      </c>
      <c r="AB1249" s="80" t="str">
        <f>IFERROR(__xludf.DUMMYFUNCTION("""COMPUTED_VALUE"""),"3275042604830020")</f>
        <v>3275042604830020</v>
      </c>
      <c r="AC1249" s="80" t="str">
        <f>IFERROR(__xludf.DUMMYFUNCTION("""COMPUTED_VALUE"""),"25.972.114.0-432.000")</f>
        <v>25.972.114.0-432.000</v>
      </c>
      <c r="AD1249" s="80" t="str">
        <f>IFERROR(__xludf.DUMMYFUNCTION("""COMPUTED_VALUE"""),"CUM - NDS")</f>
        <v>CUM - NDS</v>
      </c>
      <c r="AE1249" s="80" t="str">
        <f>IFERROR(__xludf.DUMMYFUNCTION("""COMPUTED_VALUE"""),"CUM - NDS")</f>
        <v>CUM - NDS</v>
      </c>
      <c r="AF1249" s="80" t="str">
        <f>IFERROR(__xludf.DUMMYFUNCTION("""COMPUTED_VALUE"""),"082114556113")</f>
        <v>082114556113</v>
      </c>
      <c r="AG1249" s="80" t="str">
        <f>IFERROR(__xludf.DUMMYFUNCTION("""COMPUTED_VALUE"""),"082114556113")</f>
        <v>082114556113</v>
      </c>
      <c r="AH1249" s="80" t="str">
        <f>IFERROR(__xludf.DUMMYFUNCTION("""COMPUTED_VALUE"""),"friendoflogistic@gmail.com")</f>
        <v>friendoflogistic@gmail.com</v>
      </c>
      <c r="AI1249" s="80" t="str">
        <f>IFERROR(__xludf.DUMMYFUNCTION("""COMPUTED_VALUE"""),"11840S6")</f>
        <v>11840S6</v>
      </c>
      <c r="AJ1249" s="80" t="str">
        <f>IFERROR(__xludf.DUMMYFUNCTION("""COMPUTED_VALUE"""),"6a7ec8eec547777e56063fd4")</f>
        <v>6a7ec8eec547777e56063fd4</v>
      </c>
      <c r="AK1249" s="80" t="str">
        <f>IFERROR(__xludf.DUMMYFUNCTION("""COMPUTED_VALUE"""),"friendoflogistic@gmail.com")</f>
        <v>friendoflogistic@gmail.com</v>
      </c>
      <c r="AL1249" s="80" t="str">
        <f>IFERROR(__xludf.DUMMYFUNCTION("""COMPUTED_VALUE"""),"#Muc11840S6$")</f>
        <v>#Muc11840S6$</v>
      </c>
      <c r="AM1249" s="80" t="str">
        <f>IFERROR(__xludf.DUMMYFUNCTION("""COMPUTED_VALUE"""),"KANTOR REGIONAL II JAKARTA 10004")</f>
        <v>KANTOR REGIONAL II JAKARTA 10004</v>
      </c>
      <c r="AN1249" s="80" t="str">
        <f>IFERROR(__xludf.DUMMYFUNCTION("""COMPUTED_VALUE"""),"KCU JAKARTAOCEANIA 11000")</f>
        <v>KCU JAKARTAOCEANIA 11000</v>
      </c>
      <c r="AO1249" s="80" t="str">
        <f>IFERROR(__xludf.DUMMYFUNCTION("""COMPUTED_VALUE"""),"2707260076942")</f>
        <v>2707260076942</v>
      </c>
      <c r="AP1249" s="80" t="str">
        <f>IFERROR(__xludf.DUMMYFUNCTION("""COMPUTED_VALUE"""),"2707260076942")</f>
        <v>2707260076942</v>
      </c>
      <c r="AQ1249" s="83" t="str">
        <f>IFERROR(__xludf.DUMMYFUNCTION("""COMPUTED_VALUE"""),"8710222542")</f>
        <v>8710222542</v>
      </c>
      <c r="AR1249" s="80" t="str">
        <f>IFERROR(__xludf.DUMMYFUNCTION("""COMPUTED_VALUE"""),"BCA")</f>
        <v>BCA</v>
      </c>
      <c r="AS1249" s="80" t="str">
        <f>IFERROR(__xludf.DUMMYFUNCTION("""COMPUTED_VALUE"""),"HENDRA MONICO")</f>
        <v>HENDRA MONICO</v>
      </c>
      <c r="AT1249" s="80" t="str">
        <f>IFERROR(__xludf.DUMMYFUNCTION("""COMPUTED_VALUE"""),"-6.156294,106.7009558")</f>
        <v>-6.156294,106.7009558</v>
      </c>
      <c r="AU1249" s="80" t="str">
        <f>IFERROR(__xludf.DUMMYFUNCTION("""COMPUTED_VALUE"""),"-6.156294,106.7009558")</f>
        <v>-6.156294,106.7009558</v>
      </c>
      <c r="AV1249" s="80"/>
      <c r="AW1249" s="80"/>
      <c r="AX1249" s="80"/>
      <c r="AY1249" s="80"/>
      <c r="AZ1249" s="80"/>
      <c r="BA1249" s="80"/>
      <c r="BB1249" s="80"/>
      <c r="BC1249" s="80"/>
      <c r="BD1249" s="80"/>
      <c r="BE1249" s="80"/>
      <c r="BF1249" s="80"/>
      <c r="BG1249" s="80"/>
      <c r="BH1249" s="80"/>
      <c r="BI1249" s="80"/>
      <c r="BJ1249" s="80"/>
      <c r="BK1249" s="80"/>
      <c r="BL1249" s="80"/>
      <c r="BM1249" s="80"/>
      <c r="BN1249" s="80"/>
      <c r="BO1249" s="80"/>
      <c r="BP1249" s="80"/>
      <c r="BQ1249" s="80"/>
      <c r="BR1249" s="80"/>
      <c r="BS1249" s="80"/>
      <c r="BT1249" s="80"/>
      <c r="BU1249" s="80"/>
      <c r="BV1249" s="80"/>
      <c r="BW1249" s="80"/>
      <c r="BX1249" s="80"/>
      <c r="BY1249" s="80"/>
      <c r="BZ1249" s="80"/>
      <c r="CA1249" s="80"/>
      <c r="CB1249" s="80"/>
      <c r="CC1249" s="80"/>
      <c r="CD1249" s="80"/>
      <c r="CE1249" s="80"/>
      <c r="CF1249" s="80"/>
      <c r="CG1249" s="80"/>
      <c r="CH1249" s="80"/>
      <c r="CI1249" s="80"/>
      <c r="CJ1249" s="80"/>
      <c r="CK1249" s="2"/>
    </row>
    <row r="1250" ht="12.75" customHeight="1">
      <c r="A1250" s="85">
        <f>IFERROR(__xludf.DUMMYFUNCTION("""COMPUTED_VALUE"""),1246.0)</f>
        <v>1246</v>
      </c>
      <c r="B1250" s="85"/>
      <c r="C1250" s="85"/>
      <c r="D1250" s="86">
        <f>IFERROR(__xludf.DUMMYFUNCTION("""COMPUTED_VALUE"""),46231.0)</f>
        <v>46231</v>
      </c>
      <c r="E1250" s="88"/>
      <c r="F1250" s="85"/>
      <c r="G1250" s="86">
        <f>IFERROR(__xludf.DUMMYFUNCTION("""COMPUTED_VALUE"""),46252.0)</f>
        <v>46252</v>
      </c>
      <c r="H1250" s="85"/>
      <c r="I1250" s="85"/>
      <c r="J1250" s="85"/>
      <c r="K1250" s="85"/>
      <c r="L1250" s="85">
        <f>IFERROR(__xludf.DUMMYFUNCTION("""COMPUTED_VALUE"""),21.0)</f>
        <v>21</v>
      </c>
      <c r="M1250" s="85"/>
      <c r="N1250" s="85"/>
      <c r="O1250" s="85"/>
      <c r="P1250" s="85" t="str">
        <f>IFERROR(__xludf.DUMMYFUNCTION("""COMPUTED_VALUE"""),"53BSPA17156JBNDS")</f>
        <v>53BSPA17156JBNDS</v>
      </c>
      <c r="Q1250" s="85" t="str">
        <f>IFERROR(__xludf.DUMMYFUNCTION("""COMPUTED_VALUE"""),"MUC Omah Rahma Bhakti")</f>
        <v>MUC Omah Rahma Bhakti</v>
      </c>
      <c r="R1250" s="85" t="str">
        <f>IFERROR(__xludf.DUMMYFUNCTION("""COMPUTED_VALUE"""),"MUC Omah Rahma Bhakti")</f>
        <v>MUC Omah Rahma Bhakti</v>
      </c>
      <c r="S1250" s="85" t="str">
        <f>IFERROR(__xludf.DUMMYFUNCTION("""COMPUTED_VALUE"""),"FAJAR ILHAMI RHAMADHAN")</f>
        <v>FAJAR ILHAMI RHAMADHAN</v>
      </c>
      <c r="T1250" s="85" t="str">
        <f>IFERROR(__xludf.DUMMYFUNCTION("""COMPUTED_VALUE"""),"Jl. Dharma Bakti RT 007 RW 010 CENGKARENG BARAT, CENGKARENG JAKARTA BARAT")</f>
        <v>Jl. Dharma Bakti RT 007 RW 010 CENGKARENG BARAT, CENGKARENG JAKARTA BARAT</v>
      </c>
      <c r="U1250" s="85" t="str">
        <f>IFERROR(__xludf.DUMMYFUNCTION("""COMPUTED_VALUE"""),"Jl. Dharma Bakti III RT/RW 007/010 CENGKARENG")</f>
        <v>Jl. Dharma Bakti III RT/RW 007/010 CENGKARENG</v>
      </c>
      <c r="V1250" s="85" t="str">
        <f>IFERROR(__xludf.DUMMYFUNCTION("""COMPUTED_VALUE"""),"RT 007 \ RW 010")</f>
        <v>RT 007 \ RW 010</v>
      </c>
      <c r="W1250" s="85" t="str">
        <f>IFERROR(__xludf.DUMMYFUNCTION("""COMPUTED_VALUE"""),"Cengkareng Barat")</f>
        <v>Cengkareng Barat</v>
      </c>
      <c r="X1250" s="85" t="str">
        <f>IFERROR(__xludf.DUMMYFUNCTION("""COMPUTED_VALUE"""),"Cengkareng")</f>
        <v>Cengkareng</v>
      </c>
      <c r="Y1250" s="85" t="str">
        <f>IFERROR(__xludf.DUMMYFUNCTION("""COMPUTED_VALUE"""),"Jakarta Barat")</f>
        <v>Jakarta Barat</v>
      </c>
      <c r="Z1250" s="85" t="str">
        <f>IFERROR(__xludf.DUMMYFUNCTION("""COMPUTED_VALUE"""),"DKI Jakarta")</f>
        <v>DKI Jakarta</v>
      </c>
      <c r="AA1250" s="85" t="str">
        <f>IFERROR(__xludf.DUMMYFUNCTION("""COMPUTED_VALUE"""),"11730")</f>
        <v>11730</v>
      </c>
      <c r="AB1250" s="85" t="str">
        <f>IFERROR(__xludf.DUMMYFUNCTION("""COMPUTED_VALUE"""),"3173060712000015")</f>
        <v>3173060712000015</v>
      </c>
      <c r="AC1250" s="85" t="str">
        <f>IFERROR(__xludf.DUMMYFUNCTION("""COMPUTED_VALUE"""),"95.504.961.4-085.000")</f>
        <v>95.504.961.4-085.000</v>
      </c>
      <c r="AD1250" s="85" t="str">
        <f>IFERROR(__xludf.DUMMYFUNCTION("""COMPUTED_VALUE"""),"CUM - NDS")</f>
        <v>CUM - NDS</v>
      </c>
      <c r="AE1250" s="85" t="str">
        <f>IFERROR(__xludf.DUMMYFUNCTION("""COMPUTED_VALUE"""),"CUM - NDS")</f>
        <v>CUM - NDS</v>
      </c>
      <c r="AF1250" s="85" t="str">
        <f>IFERROR(__xludf.DUMMYFUNCTION("""COMPUTED_VALUE"""),"081515111728")</f>
        <v>081515111728</v>
      </c>
      <c r="AG1250" s="85" t="str">
        <f>IFERROR(__xludf.DUMMYFUNCTION("""COMPUTED_VALUE"""),"081515111728")</f>
        <v>081515111728</v>
      </c>
      <c r="AH1250" s="85" t="str">
        <f>IFERROR(__xludf.DUMMYFUNCTION("""COMPUTED_VALUE"""),"iranirhmt@gmail.com")</f>
        <v>iranirhmt@gmail.com</v>
      </c>
      <c r="AI1250" s="85" t="str">
        <f>IFERROR(__xludf.DUMMYFUNCTION("""COMPUTED_VALUE"""),"11730SE")</f>
        <v>11730SE</v>
      </c>
      <c r="AJ1250" s="85" t="str">
        <f>IFERROR(__xludf.DUMMYFUNCTION("""COMPUTED_VALUE"""),"6a7edb83f81f6a244d01ddf5")</f>
        <v>6a7edb83f81f6a244d01ddf5</v>
      </c>
      <c r="AK1250" s="85" t="str">
        <f>IFERROR(__xludf.DUMMYFUNCTION("""COMPUTED_VALUE"""),"iranirhmt@gmail.com")</f>
        <v>iranirhmt@gmail.com</v>
      </c>
      <c r="AL1250" s="85" t="str">
        <f>IFERROR(__xludf.DUMMYFUNCTION("""COMPUTED_VALUE"""),"#Muc11730SE$")</f>
        <v>#Muc11730SE$</v>
      </c>
      <c r="AM1250" s="85" t="str">
        <f>IFERROR(__xludf.DUMMYFUNCTION("""COMPUTED_VALUE"""),"KANTOR REGIONAL II JAKARTA 10004")</f>
        <v>KANTOR REGIONAL II JAKARTA 10004</v>
      </c>
      <c r="AN1250" s="85" t="str">
        <f>IFERROR(__xludf.DUMMYFUNCTION("""COMPUTED_VALUE"""),"KCU JAKARTAOCEANIA 11000")</f>
        <v>KCU JAKARTAOCEANIA 11000</v>
      </c>
      <c r="AO1250" s="85" t="str">
        <f>IFERROR(__xludf.DUMMYFUNCTION("""COMPUTED_VALUE"""),"2807260069653")</f>
        <v>2807260069653</v>
      </c>
      <c r="AP1250" s="85" t="str">
        <f>IFERROR(__xludf.DUMMYFUNCTION("""COMPUTED_VALUE"""),"2807260069653")</f>
        <v>2807260069653</v>
      </c>
      <c r="AQ1250" s="93" t="str">
        <f>IFERROR(__xludf.DUMMYFUNCTION("""COMPUTED_VALUE"""),"901955241350")</f>
        <v>901955241350</v>
      </c>
      <c r="AR1250" s="85" t="str">
        <f>IFERROR(__xludf.DUMMYFUNCTION("""COMPUTED_VALUE"""),"SEABANK")</f>
        <v>SEABANK</v>
      </c>
      <c r="AS1250" s="85" t="str">
        <f>IFERROR(__xludf.DUMMYFUNCTION("""COMPUTED_VALUE"""),"SALSA SAPTABELIA RAHMADI")</f>
        <v>SALSA SAPTABELIA RAHMADI</v>
      </c>
      <c r="AT1250" s="85" t="str">
        <f>IFERROR(__xludf.DUMMYFUNCTION("""COMPUTED_VALUE"""),"-6.1287408,106.7210632")</f>
        <v>-6.1287408,106.7210632</v>
      </c>
      <c r="AU1250" s="85" t="str">
        <f>IFERROR(__xludf.DUMMYFUNCTION("""COMPUTED_VALUE"""),"-6.1287408,106.7210632")</f>
        <v>-6.1287408,106.7210632</v>
      </c>
      <c r="AV1250" s="85"/>
      <c r="AW1250" s="85"/>
      <c r="AX1250" s="85"/>
      <c r="AY1250" s="85"/>
      <c r="AZ1250" s="85"/>
      <c r="BA1250" s="85"/>
      <c r="BB1250" s="85"/>
      <c r="BC1250" s="85"/>
      <c r="BD1250" s="85"/>
      <c r="BE1250" s="85"/>
      <c r="BF1250" s="85"/>
      <c r="BG1250" s="85"/>
      <c r="BH1250" s="85"/>
      <c r="BI1250" s="85"/>
      <c r="BJ1250" s="85"/>
      <c r="BK1250" s="85"/>
      <c r="BL1250" s="85"/>
      <c r="BM1250" s="85"/>
      <c r="BN1250" s="85"/>
      <c r="BO1250" s="85"/>
      <c r="BP1250" s="85"/>
      <c r="BQ1250" s="85"/>
      <c r="BR1250" s="85"/>
      <c r="BS1250" s="85"/>
      <c r="BT1250" s="85"/>
      <c r="BU1250" s="85"/>
      <c r="BV1250" s="85"/>
      <c r="BW1250" s="85"/>
      <c r="BX1250" s="85"/>
      <c r="BY1250" s="85"/>
      <c r="BZ1250" s="85"/>
      <c r="CA1250" s="85"/>
      <c r="CB1250" s="85"/>
      <c r="CC1250" s="85"/>
      <c r="CD1250" s="85"/>
      <c r="CE1250" s="85"/>
      <c r="CF1250" s="85"/>
      <c r="CG1250" s="85"/>
      <c r="CH1250" s="85"/>
      <c r="CI1250" s="85"/>
      <c r="CJ1250" s="85"/>
      <c r="CK1250" s="2"/>
    </row>
    <row r="1251" ht="12.75" customHeight="1">
      <c r="A1251" s="80">
        <f>IFERROR(__xludf.DUMMYFUNCTION("""COMPUTED_VALUE"""),1247.0)</f>
        <v>1247</v>
      </c>
      <c r="B1251" s="80"/>
      <c r="C1251" s="80"/>
      <c r="D1251" s="81">
        <f>IFERROR(__xludf.DUMMYFUNCTION("""COMPUTED_VALUE"""),46231.0)</f>
        <v>46231</v>
      </c>
      <c r="E1251" s="82"/>
      <c r="F1251" s="80"/>
      <c r="G1251" s="81">
        <f>IFERROR(__xludf.DUMMYFUNCTION("""COMPUTED_VALUE"""),46231.0)</f>
        <v>46231</v>
      </c>
      <c r="H1251" s="80"/>
      <c r="I1251" s="80"/>
      <c r="J1251" s="80"/>
      <c r="K1251" s="80"/>
      <c r="L1251" s="80">
        <f>IFERROR(__xludf.DUMMYFUNCTION("""COMPUTED_VALUE"""),0.0)</f>
        <v>0</v>
      </c>
      <c r="M1251" s="80"/>
      <c r="N1251" s="80"/>
      <c r="O1251" s="80"/>
      <c r="P1251" s="80" t="str">
        <f>IFERROR(__xludf.DUMMYFUNCTION("""COMPUTED_VALUE"""),"44BSPA45372NTBDR")</f>
        <v>44BSPA45372NTBDR</v>
      </c>
      <c r="Q1251" s="80" t="str">
        <f>IFERROR(__xludf.DUMMYFUNCTION("""COMPUTED_VALUE"""),"MUC GACOR DELIVERY EXPRESS")</f>
        <v>MUC GACOR DELIVERY EXPRESS</v>
      </c>
      <c r="R1251" s="80" t="str">
        <f>IFERROR(__xludf.DUMMYFUNCTION("""COMPUTED_VALUE"""),"MUC GACOR DELIVERY EXPRESS")</f>
        <v>MUC GACOR DELIVERY EXPRESS</v>
      </c>
      <c r="S1251" s="80" t="str">
        <f>IFERROR(__xludf.DUMMYFUNCTION("""COMPUTED_VALUE"""),"LAGANI")</f>
        <v>LAGANI</v>
      </c>
      <c r="T1251" s="80" t="str">
        <f>IFERROR(__xludf.DUMMYFUNCTION("""COMPUTED_VALUE"""),"KAYUNGO SARI RT 04 RW 00, KAYUNGO SARI, LONG IKIS, KAB.PASER")</f>
        <v>KAYUNGO SARI RT 04 RW 00, KAYUNGO SARI, LONG IKIS, KAB.PASER</v>
      </c>
      <c r="U1251" s="80" t="str">
        <f>IFERROR(__xludf.DUMMYFUNCTION("""COMPUTED_VALUE"""),"JL. RAJAWALI RT.04")</f>
        <v>JL. RAJAWALI RT.04</v>
      </c>
      <c r="V1251" s="80" t="str">
        <f>IFERROR(__xludf.DUMMYFUNCTION("""COMPUTED_VALUE"""),"RT 04  \ RW 00,")</f>
        <v>RT 04  \ RW 00,</v>
      </c>
      <c r="W1251" s="80" t="str">
        <f>IFERROR(__xludf.DUMMYFUNCTION("""COMPUTED_VALUE"""),"KAYUNGO SARI")</f>
        <v>KAYUNGO SARI</v>
      </c>
      <c r="X1251" s="80" t="str">
        <f>IFERROR(__xludf.DUMMYFUNCTION("""COMPUTED_VALUE"""),"LONG IKIS")</f>
        <v>LONG IKIS</v>
      </c>
      <c r="Y1251" s="80" t="str">
        <f>IFERROR(__xludf.DUMMYFUNCTION("""COMPUTED_VALUE"""),"KAB.PASER")</f>
        <v>KAB.PASER</v>
      </c>
      <c r="Z1251" s="80" t="str">
        <f>IFERROR(__xludf.DUMMYFUNCTION("""COMPUTED_VALUE"""),"KALIMANTAN TIMUR")</f>
        <v>KALIMANTAN TIMUR</v>
      </c>
      <c r="AA1251" s="80" t="str">
        <f>IFERROR(__xludf.DUMMYFUNCTION("""COMPUTED_VALUE"""),"76282")</f>
        <v>76282</v>
      </c>
      <c r="AB1251" s="80" t="str">
        <f>IFERROR(__xludf.DUMMYFUNCTION("""COMPUTED_VALUE"""),"6401060307900002")</f>
        <v>6401060307900002</v>
      </c>
      <c r="AC1251" s="80" t="str">
        <f>IFERROR(__xludf.DUMMYFUNCTION("""COMPUTED_VALUE"""),"27.023.294.5-726.000")</f>
        <v>27.023.294.5-726.000</v>
      </c>
      <c r="AD1251" s="80" t="str">
        <f>IFERROR(__xludf.DUMMYFUNCTION("""COMPUTED_VALUE"""),"44CUMBSBDRIEN - CUM BSB - DRIEN")</f>
        <v>44CUMBSBDRIEN - CUM BSB - DRIEN</v>
      </c>
      <c r="AE1251" s="80" t="str">
        <f>IFERROR(__xludf.DUMMYFUNCTION("""COMPUTED_VALUE"""),"44CUMBSBDRIEN - CUM BSB - DRIEN")</f>
        <v>44CUMBSBDRIEN - CUM BSB - DRIEN</v>
      </c>
      <c r="AF1251" s="80" t="str">
        <f>IFERROR(__xludf.DUMMYFUNCTION("""COMPUTED_VALUE"""),"082154306353")</f>
        <v>082154306353</v>
      </c>
      <c r="AG1251" s="80" t="str">
        <f>IFERROR(__xludf.DUMMYFUNCTION("""COMPUTED_VALUE"""),"082154306353")</f>
        <v>082154306353</v>
      </c>
      <c r="AH1251" s="80" t="str">
        <f>IFERROR(__xludf.DUMMYFUNCTION("""COMPUTED_VALUE"""),"pt.anaknusantaraberkarya@gmail.com")</f>
        <v>pt.anaknusantaraberkarya@gmail.com</v>
      </c>
      <c r="AI1251" s="80" t="str">
        <f>IFERROR(__xludf.DUMMYFUNCTION("""COMPUTED_VALUE"""),"76282S3")</f>
        <v>76282S3</v>
      </c>
      <c r="AJ1251" s="80" t="str">
        <f>IFERROR(__xludf.DUMMYFUNCTION("""COMPUTED_VALUE"""),"6a687bc4c1a09f76ae041a29")</f>
        <v>6a687bc4c1a09f76ae041a29</v>
      </c>
      <c r="AK1251" s="80" t="str">
        <f>IFERROR(__xludf.DUMMYFUNCTION("""COMPUTED_VALUE"""),"pt.anaknusantaraberkarya@gmail.com")</f>
        <v>pt.anaknusantaraberkarya@gmail.com</v>
      </c>
      <c r="AL1251" s="80" t="str">
        <f>IFERROR(__xludf.DUMMYFUNCTION("""COMPUTED_VALUE"""),"#Muc76282S3$")</f>
        <v>#Muc76282S3$</v>
      </c>
      <c r="AM1251" s="80" t="str">
        <f>IFERROR(__xludf.DUMMYFUNCTION("""COMPUTED_VALUE"""),"KANTOR REGIONAL VI MAKASAR 90004")</f>
        <v>KANTOR REGIONAL VI MAKASAR 90004</v>
      </c>
      <c r="AN1251" s="80" t="str">
        <f>IFERROR(__xludf.DUMMYFUNCTION("""COMPUTED_VALUE"""),"KCU BALIKPAPAN 76100")</f>
        <v>KCU BALIKPAPAN 76100</v>
      </c>
      <c r="AO1251" s="80" t="str">
        <f>IFERROR(__xludf.DUMMYFUNCTION("""COMPUTED_VALUE"""),"2707260022376")</f>
        <v>2707260022376</v>
      </c>
      <c r="AP1251" s="80" t="str">
        <f>IFERROR(__xludf.DUMMYFUNCTION("""COMPUTED_VALUE"""),"2707260022376")</f>
        <v>2707260022376</v>
      </c>
      <c r="AQ1251" s="83" t="str">
        <f>IFERROR(__xludf.DUMMYFUNCTION("""COMPUTED_VALUE"""),"760101012997533")</f>
        <v>760101012997533</v>
      </c>
      <c r="AR1251" s="80" t="str">
        <f>IFERROR(__xludf.DUMMYFUNCTION("""COMPUTED_VALUE"""),"BRI")</f>
        <v>BRI</v>
      </c>
      <c r="AS1251" s="80" t="str">
        <f>IFERROR(__xludf.DUMMYFUNCTION("""COMPUTED_VALUE"""),"LAGANI")</f>
        <v>LAGANI</v>
      </c>
      <c r="AT1251" s="80" t="str">
        <f>IFERROR(__xludf.DUMMYFUNCTION("""COMPUTED_VALUE"""),"-1.5348611,116.1970833")</f>
        <v>-1.5348611,116.1970833</v>
      </c>
      <c r="AU1251" s="80" t="str">
        <f>IFERROR(__xludf.DUMMYFUNCTION("""COMPUTED_VALUE"""),"-1.5348611,116.1970833")</f>
        <v>-1.5348611,116.1970833</v>
      </c>
      <c r="AV1251" s="80"/>
      <c r="AW1251" s="80"/>
      <c r="AX1251" s="80"/>
      <c r="AY1251" s="80"/>
      <c r="AZ1251" s="80"/>
      <c r="BA1251" s="80"/>
      <c r="BB1251" s="80"/>
      <c r="BC1251" s="80"/>
      <c r="BD1251" s="80"/>
      <c r="BE1251" s="80"/>
      <c r="BF1251" s="80"/>
      <c r="BG1251" s="80"/>
      <c r="BH1251" s="80"/>
      <c r="BI1251" s="80"/>
      <c r="BJ1251" s="80"/>
      <c r="BK1251" s="80"/>
      <c r="BL1251" s="80"/>
      <c r="BM1251" s="80"/>
      <c r="BN1251" s="80"/>
      <c r="BO1251" s="80"/>
      <c r="BP1251" s="80"/>
      <c r="BQ1251" s="80"/>
      <c r="BR1251" s="80"/>
      <c r="BS1251" s="80"/>
      <c r="BT1251" s="80"/>
      <c r="BU1251" s="80"/>
      <c r="BV1251" s="80"/>
      <c r="BW1251" s="80"/>
      <c r="BX1251" s="80"/>
      <c r="BY1251" s="80"/>
      <c r="BZ1251" s="80"/>
      <c r="CA1251" s="80"/>
      <c r="CB1251" s="80"/>
      <c r="CC1251" s="80"/>
      <c r="CD1251" s="80"/>
      <c r="CE1251" s="80"/>
      <c r="CF1251" s="80"/>
      <c r="CG1251" s="80"/>
      <c r="CH1251" s="80"/>
      <c r="CI1251" s="80"/>
      <c r="CJ1251" s="80"/>
      <c r="CK1251" s="2"/>
    </row>
    <row r="1252" ht="12.75" customHeight="1">
      <c r="A1252" s="85">
        <f>IFERROR(__xludf.DUMMYFUNCTION("""COMPUTED_VALUE"""),1248.0)</f>
        <v>1248</v>
      </c>
      <c r="B1252" s="85"/>
      <c r="C1252" s="85"/>
      <c r="D1252" s="86">
        <f>IFERROR(__xludf.DUMMYFUNCTION("""COMPUTED_VALUE"""),46231.0)</f>
        <v>46231</v>
      </c>
      <c r="E1252" s="88"/>
      <c r="F1252" s="85"/>
      <c r="G1252" s="86">
        <f>IFERROR(__xludf.DUMMYFUNCTION("""COMPUTED_VALUE"""),46258.0)</f>
        <v>46258</v>
      </c>
      <c r="H1252" s="85"/>
      <c r="I1252" s="85"/>
      <c r="J1252" s="85"/>
      <c r="K1252" s="85"/>
      <c r="L1252" s="85">
        <f>IFERROR(__xludf.DUMMYFUNCTION("""COMPUTED_VALUE"""),27.0)</f>
        <v>27</v>
      </c>
      <c r="M1252" s="85"/>
      <c r="N1252" s="85"/>
      <c r="O1252" s="85"/>
      <c r="P1252" s="85" t="str">
        <f>IFERROR(__xludf.DUMMYFUNCTION("""COMPUTED_VALUE"""),"MUCSPA70039PSUMK")</f>
        <v>MUCSPA70039PSUMK</v>
      </c>
      <c r="Q1252" s="85" t="str">
        <f>IFERROR(__xludf.DUMMYFUNCTION("""COMPUTED_VALUE"""),"MUC PHILIA AKASIA")</f>
        <v>MUC PHILIA AKASIA</v>
      </c>
      <c r="R1252" s="85" t="str">
        <f>IFERROR(__xludf.DUMMYFUNCTION("""COMPUTED_VALUE"""),"MUC PHILIA AKASIA")</f>
        <v>MUC PHILIA AKASIA</v>
      </c>
      <c r="S1252" s="85" t="str">
        <f>IFERROR(__xludf.DUMMYFUNCTION("""COMPUTED_VALUE"""),"MAGDALENA KUSMIYATI")</f>
        <v>MAGDALENA KUSMIYATI</v>
      </c>
      <c r="T1252" s="85" t="str">
        <f>IFERROR(__xludf.DUMMYFUNCTION("""COMPUTED_VALUE"""),"PERUM TALAGA BESTARI BLOK E-6/01 RT 13 RW 01, WANAKERTA, SINDANG JAYA, KAB.TANGERANG")</f>
        <v>PERUM TALAGA BESTARI BLOK E-6/01 RT 13 RW 01, WANAKERTA, SINDANG JAYA, KAB.TANGERANG</v>
      </c>
      <c r="U1252" s="85" t="str">
        <f>IFERROR(__xludf.DUMMYFUNCTION("""COMPUTED_VALUE"""),"JL. AGLAONEMA. I NO.1")</f>
        <v>JL. AGLAONEMA. I NO.1</v>
      </c>
      <c r="V1252" s="85" t="str">
        <f>IFERROR(__xludf.DUMMYFUNCTION("""COMPUTED_VALUE"""),"RT 13  \ RW 01,")</f>
        <v>RT 13  \ RW 01,</v>
      </c>
      <c r="W1252" s="85" t="str">
        <f>IFERROR(__xludf.DUMMYFUNCTION("""COMPUTED_VALUE"""),"WANAKERTA")</f>
        <v>WANAKERTA</v>
      </c>
      <c r="X1252" s="85" t="str">
        <f>IFERROR(__xludf.DUMMYFUNCTION("""COMPUTED_VALUE"""),"SINDANG JAYA")</f>
        <v>SINDANG JAYA</v>
      </c>
      <c r="Y1252" s="85" t="str">
        <f>IFERROR(__xludf.DUMMYFUNCTION("""COMPUTED_VALUE"""),"KAB.TANGERANG")</f>
        <v>KAB.TANGERANG</v>
      </c>
      <c r="Z1252" s="85" t="str">
        <f>IFERROR(__xludf.DUMMYFUNCTION("""COMPUTED_VALUE"""),"BANTEN")</f>
        <v>BANTEN</v>
      </c>
      <c r="AA1252" s="85" t="str">
        <f>IFERROR(__xludf.DUMMYFUNCTION("""COMPUTED_VALUE"""),"15560")</f>
        <v>15560</v>
      </c>
      <c r="AB1252" s="85" t="str">
        <f>IFERROR(__xludf.DUMMYFUNCTION("""COMPUTED_VALUE"""),"3603295403750002")</f>
        <v>3603295403750002</v>
      </c>
      <c r="AC1252" s="85" t="str">
        <f>IFERROR(__xludf.DUMMYFUNCTION("""COMPUTED_VALUE"""),"58.445.033.2-418.000")</f>
        <v>58.445.033.2-418.000</v>
      </c>
      <c r="AD1252" s="85" t="str">
        <f>IFERROR(__xludf.DUMMYFUNCTION("""COMPUTED_VALUE"""),"CUM - UMKMNK - ASEP")</f>
        <v>CUM - UMKMNK - ASEP</v>
      </c>
      <c r="AE1252" s="85" t="str">
        <f>IFERROR(__xludf.DUMMYFUNCTION("""COMPUTED_VALUE"""),"CUM - UMKMNK - ASEP")</f>
        <v>CUM - UMKMNK - ASEP</v>
      </c>
      <c r="AF1252" s="85" t="str">
        <f>IFERROR(__xludf.DUMMYFUNCTION("""COMPUTED_VALUE"""),"081297909756")</f>
        <v>081297909756</v>
      </c>
      <c r="AG1252" s="85" t="str">
        <f>IFERROR(__xludf.DUMMYFUNCTION("""COMPUTED_VALUE"""),"081297909756")</f>
        <v>081297909756</v>
      </c>
      <c r="AH1252" s="85" t="str">
        <f>IFERROR(__xludf.DUMMYFUNCTION("""COMPUTED_VALUE"""),"awardilra@gmail.com")</f>
        <v>awardilra@gmail.com</v>
      </c>
      <c r="AI1252" s="85" t="str">
        <f>IFERROR(__xludf.DUMMYFUNCTION("""COMPUTED_VALUE"""),"15595S2")</f>
        <v>15595S2</v>
      </c>
      <c r="AJ1252" s="85" t="str">
        <f>IFERROR(__xludf.DUMMYFUNCTION("""COMPUTED_VALUE"""),"6a8aa4f552e13db7110cbf6d")</f>
        <v>6a8aa4f552e13db7110cbf6d</v>
      </c>
      <c r="AK1252" s="85" t="str">
        <f>IFERROR(__xludf.DUMMYFUNCTION("""COMPUTED_VALUE"""),"awardilra@gmail.com")</f>
        <v>awardilra@gmail.com</v>
      </c>
      <c r="AL1252" s="85" t="str">
        <f>IFERROR(__xludf.DUMMYFUNCTION("""COMPUTED_VALUE"""),"#Muc15595S2$")</f>
        <v>#Muc15595S2$</v>
      </c>
      <c r="AM1252" s="85" t="str">
        <f>IFERROR(__xludf.DUMMYFUNCTION("""COMPUTED_VALUE"""),"KANTOR REGIONAL II JAKARTA 10004")</f>
        <v>KANTOR REGIONAL II JAKARTA 10004</v>
      </c>
      <c r="AN1252" s="85" t="str">
        <f>IFERROR(__xludf.DUMMYFUNCTION("""COMPUTED_VALUE"""),"KCU TANGERANG 15000")</f>
        <v>KCU TANGERANG 15000</v>
      </c>
      <c r="AO1252" s="85" t="str">
        <f>IFERROR(__xludf.DUMMYFUNCTION("""COMPUTED_VALUE"""),"1200001441774")</f>
        <v>1200001441774</v>
      </c>
      <c r="AP1252" s="85" t="str">
        <f>IFERROR(__xludf.DUMMYFUNCTION("""COMPUTED_VALUE"""),"1200001441774")</f>
        <v>1200001441774</v>
      </c>
      <c r="AQ1252" s="93" t="str">
        <f>IFERROR(__xludf.DUMMYFUNCTION("""COMPUTED_VALUE"""),"092001059678537")</f>
        <v>092001059678537</v>
      </c>
      <c r="AR1252" s="85" t="str">
        <f>IFERROR(__xludf.DUMMYFUNCTION("""COMPUTED_VALUE"""),"BRI")</f>
        <v>BRI</v>
      </c>
      <c r="AS1252" s="85" t="str">
        <f>IFERROR(__xludf.DUMMYFUNCTION("""COMPUTED_VALUE"""),"MAGDALENA KUSMIYATI")</f>
        <v>MAGDALENA KUSMIYATI</v>
      </c>
      <c r="AT1252" s="85" t="str">
        <f>IFERROR(__xludf.DUMMYFUNCTION("""COMPUTED_VALUE"""),"-6.1946951,106.4919918")</f>
        <v>-6.1946951,106.4919918</v>
      </c>
      <c r="AU1252" s="85" t="str">
        <f>IFERROR(__xludf.DUMMYFUNCTION("""COMPUTED_VALUE"""),"-6.1946951,106.4919918")</f>
        <v>-6.1946951,106.4919918</v>
      </c>
      <c r="AV1252" s="85"/>
      <c r="AW1252" s="85"/>
      <c r="AX1252" s="85"/>
      <c r="AY1252" s="85"/>
      <c r="AZ1252" s="85"/>
      <c r="BA1252" s="85"/>
      <c r="BB1252" s="85"/>
      <c r="BC1252" s="85"/>
      <c r="BD1252" s="85"/>
      <c r="BE1252" s="85"/>
      <c r="BF1252" s="85"/>
      <c r="BG1252" s="85"/>
      <c r="BH1252" s="85"/>
      <c r="BI1252" s="85"/>
      <c r="BJ1252" s="85"/>
      <c r="BK1252" s="85"/>
      <c r="BL1252" s="85"/>
      <c r="BM1252" s="85"/>
      <c r="BN1252" s="85"/>
      <c r="BO1252" s="85"/>
      <c r="BP1252" s="85"/>
      <c r="BQ1252" s="85"/>
      <c r="BR1252" s="85"/>
      <c r="BS1252" s="85"/>
      <c r="BT1252" s="85"/>
      <c r="BU1252" s="85"/>
      <c r="BV1252" s="85"/>
      <c r="BW1252" s="85"/>
      <c r="BX1252" s="85"/>
      <c r="BY1252" s="85"/>
      <c r="BZ1252" s="85"/>
      <c r="CA1252" s="85"/>
      <c r="CB1252" s="85"/>
      <c r="CC1252" s="85"/>
      <c r="CD1252" s="85"/>
      <c r="CE1252" s="85"/>
      <c r="CF1252" s="85"/>
      <c r="CG1252" s="85"/>
      <c r="CH1252" s="85"/>
      <c r="CI1252" s="85"/>
      <c r="CJ1252" s="85"/>
      <c r="CK1252" s="2"/>
    </row>
    <row r="1253" ht="12.75" customHeight="1">
      <c r="A1253" s="80">
        <f>IFERROR(__xludf.DUMMYFUNCTION("""COMPUTED_VALUE"""),1249.0)</f>
        <v>1249</v>
      </c>
      <c r="B1253" s="80"/>
      <c r="C1253" s="80"/>
      <c r="D1253" s="81">
        <f>IFERROR(__xludf.DUMMYFUNCTION("""COMPUTED_VALUE"""),46232.0)</f>
        <v>46232</v>
      </c>
      <c r="E1253" s="82"/>
      <c r="F1253" s="80"/>
      <c r="G1253" s="81">
        <f>IFERROR(__xludf.DUMMYFUNCTION("""COMPUTED_VALUE"""),46267.0)</f>
        <v>46267</v>
      </c>
      <c r="H1253" s="80"/>
      <c r="I1253" s="80"/>
      <c r="J1253" s="80"/>
      <c r="K1253" s="80"/>
      <c r="L1253" s="80">
        <f>IFERROR(__xludf.DUMMYFUNCTION("""COMPUTED_VALUE"""),35.0)</f>
        <v>35</v>
      </c>
      <c r="M1253" s="80"/>
      <c r="N1253" s="80"/>
      <c r="O1253" s="80"/>
      <c r="P1253" s="80" t="str">
        <f>IFERROR(__xludf.DUMMYFUNCTION("""COMPUTED_VALUE"""),"53BSPA17116JBEEN")</f>
        <v>53BSPA17116JBEEN</v>
      </c>
      <c r="Q1253" s="80" t="str">
        <f>IFERROR(__xludf.DUMMYFUNCTION("""COMPUTED_VALUE"""),"MUC PANCORAN MAS 28")</f>
        <v>MUC PANCORAN MAS 28</v>
      </c>
      <c r="R1253" s="80" t="str">
        <f>IFERROR(__xludf.DUMMYFUNCTION("""COMPUTED_VALUE"""),"MUC PANCORAN MAS 28")</f>
        <v>MUC PANCORAN MAS 28</v>
      </c>
      <c r="S1253" s="80" t="str">
        <f>IFERROR(__xludf.DUMMYFUNCTION("""COMPUTED_VALUE"""),"DIMAS RADYA WIRABHUANA")</f>
        <v>DIMAS RADYA WIRABHUANA</v>
      </c>
      <c r="T1253" s="80" t="str">
        <f>IFERROR(__xludf.DUMMYFUNCTION("""COMPUTED_VALUE"""),"Jl. Raya Sawangan No. 28 RT. 003/001 Mampang, Pancoran Mas Depok")</f>
        <v>Jl. Raya Sawangan No. 28 RT. 003/001 Mampang, Pancoran Mas Depok</v>
      </c>
      <c r="U1253" s="80" t="str">
        <f>IFERROR(__xludf.DUMMYFUNCTION("""COMPUTED_VALUE"""),"Jl. Raya Sawangan No. 28 RT. 003/001 Mampang, Pancoran Mas Depok")</f>
        <v>Jl. Raya Sawangan No. 28 RT. 003/001 Mampang, Pancoran Mas Depok</v>
      </c>
      <c r="V1253" s="80"/>
      <c r="W1253" s="80" t="str">
        <f>IFERROR(__xludf.DUMMYFUNCTION("""COMPUTED_VALUE"""),"Mampang")</f>
        <v>Mampang</v>
      </c>
      <c r="X1253" s="80" t="str">
        <f>IFERROR(__xludf.DUMMYFUNCTION("""COMPUTED_VALUE"""),"Pancoran Mas")</f>
        <v>Pancoran Mas</v>
      </c>
      <c r="Y1253" s="80" t="str">
        <f>IFERROR(__xludf.DUMMYFUNCTION("""COMPUTED_VALUE"""),"Depok")</f>
        <v>Depok</v>
      </c>
      <c r="Z1253" s="80" t="str">
        <f>IFERROR(__xludf.DUMMYFUNCTION("""COMPUTED_VALUE"""),"Jawa Barat")</f>
        <v>Jawa Barat</v>
      </c>
      <c r="AA1253" s="80" t="str">
        <f>IFERROR(__xludf.DUMMYFUNCTION("""COMPUTED_VALUE"""),"16433")</f>
        <v>16433</v>
      </c>
      <c r="AB1253" s="80" t="str">
        <f>IFERROR(__xludf.DUMMYFUNCTION("""COMPUTED_VALUE"""),"3276011012810005")</f>
        <v>3276011012810005</v>
      </c>
      <c r="AC1253" s="80" t="str">
        <f>IFERROR(__xludf.DUMMYFUNCTION("""COMPUTED_VALUE"""),"77.405.149.4-412.000")</f>
        <v>77.405.149.4-412.000</v>
      </c>
      <c r="AD1253" s="80" t="str">
        <f>IFERROR(__xludf.DUMMYFUNCTION("""COMPUTED_VALUE"""),"CUM - EEN")</f>
        <v>CUM - EEN</v>
      </c>
      <c r="AE1253" s="80" t="str">
        <f>IFERROR(__xludf.DUMMYFUNCTION("""COMPUTED_VALUE"""),"CUM - EEN")</f>
        <v>CUM - EEN</v>
      </c>
      <c r="AF1253" s="80" t="str">
        <f>IFERROR(__xludf.DUMMYFUNCTION("""COMPUTED_VALUE"""),"085743275203")</f>
        <v>085743275203</v>
      </c>
      <c r="AG1253" s="80" t="str">
        <f>IFERROR(__xludf.DUMMYFUNCTION("""COMPUTED_VALUE"""),"085743275203")</f>
        <v>085743275203</v>
      </c>
      <c r="AH1253" s="80" t="str">
        <f>IFERROR(__xludf.DUMMYFUNCTION("""COMPUTED_VALUE"""),"d.wirabhuana@gmail.com")</f>
        <v>d.wirabhuana@gmail.com</v>
      </c>
      <c r="AI1253" s="80" t="str">
        <f>IFERROR(__xludf.DUMMYFUNCTION("""COMPUTED_VALUE"""),"16433S7")</f>
        <v>16433S7</v>
      </c>
      <c r="AJ1253" s="80" t="str">
        <f>IFERROR(__xludf.DUMMYFUNCTION("""COMPUTED_VALUE"""),"6a96b19c44ce330fbe096511")</f>
        <v>6a96b19c44ce330fbe096511</v>
      </c>
      <c r="AK1253" s="80" t="str">
        <f>IFERROR(__xludf.DUMMYFUNCTION("""COMPUTED_VALUE"""),"d.wirabhuana@gmail.com")</f>
        <v>d.wirabhuana@gmail.com</v>
      </c>
      <c r="AL1253" s="80" t="str">
        <f>IFERROR(__xludf.DUMMYFUNCTION("""COMPUTED_VALUE"""),"#Muc16433S7$")</f>
        <v>#Muc16433S7$</v>
      </c>
      <c r="AM1253" s="80" t="str">
        <f>IFERROR(__xludf.DUMMYFUNCTION("""COMPUTED_VALUE"""),"KANTOR REGIONAL II JAKARTA 10004")</f>
        <v>KANTOR REGIONAL II JAKARTA 10004</v>
      </c>
      <c r="AN1253" s="80" t="str">
        <f>IFERROR(__xludf.DUMMYFUNCTION("""COMPUTED_VALUE"""),"KC DEPOK 16400")</f>
        <v>KC DEPOK 16400</v>
      </c>
      <c r="AO1253" s="80" t="str">
        <f>IFERROR(__xludf.DUMMYFUNCTION("""COMPUTED_VALUE"""),"2407260020156")</f>
        <v>2407260020156</v>
      </c>
      <c r="AP1253" s="80" t="str">
        <f>IFERROR(__xludf.DUMMYFUNCTION("""COMPUTED_VALUE"""),"2407260020156")</f>
        <v>2407260020156</v>
      </c>
      <c r="AQ1253" s="83" t="str">
        <f>IFERROR(__xludf.DUMMYFUNCTION("""COMPUTED_VALUE"""),"7151045921")</f>
        <v>7151045921</v>
      </c>
      <c r="AR1253" s="80" t="str">
        <f>IFERROR(__xludf.DUMMYFUNCTION("""COMPUTED_VALUE"""),"BCA")</f>
        <v>BCA</v>
      </c>
      <c r="AS1253" s="80" t="str">
        <f>IFERROR(__xludf.DUMMYFUNCTION("""COMPUTED_VALUE"""),"DIMAS RADYA WIRABHUANA")</f>
        <v>DIMAS RADYA WIRABHUANA</v>
      </c>
      <c r="AT1253" s="80" t="str">
        <f>IFERROR(__xludf.DUMMYFUNCTION("""COMPUTED_VALUE"""),"-6.3948842,106.7999641")</f>
        <v>-6.3948842,106.7999641</v>
      </c>
      <c r="AU1253" s="80" t="str">
        <f>IFERROR(__xludf.DUMMYFUNCTION("""COMPUTED_VALUE"""),"-6.3948842,106.7999641")</f>
        <v>-6.3948842,106.7999641</v>
      </c>
      <c r="AV1253" s="80"/>
      <c r="AW1253" s="80"/>
      <c r="AX1253" s="80"/>
      <c r="AY1253" s="80"/>
      <c r="AZ1253" s="80"/>
      <c r="BA1253" s="80"/>
      <c r="BB1253" s="80"/>
      <c r="BC1253" s="80"/>
      <c r="BD1253" s="80"/>
      <c r="BE1253" s="80"/>
      <c r="BF1253" s="80"/>
      <c r="BG1253" s="80"/>
      <c r="BH1253" s="80"/>
      <c r="BI1253" s="80"/>
      <c r="BJ1253" s="80"/>
      <c r="BK1253" s="80"/>
      <c r="BL1253" s="80"/>
      <c r="BM1253" s="80"/>
      <c r="BN1253" s="80"/>
      <c r="BO1253" s="80"/>
      <c r="BP1253" s="80"/>
      <c r="BQ1253" s="80"/>
      <c r="BR1253" s="80"/>
      <c r="BS1253" s="80"/>
      <c r="BT1253" s="80"/>
      <c r="BU1253" s="80"/>
      <c r="BV1253" s="80"/>
      <c r="BW1253" s="80"/>
      <c r="BX1253" s="80"/>
      <c r="BY1253" s="80"/>
      <c r="BZ1253" s="80"/>
      <c r="CA1253" s="80"/>
      <c r="CB1253" s="80"/>
      <c r="CC1253" s="80"/>
      <c r="CD1253" s="80"/>
      <c r="CE1253" s="80"/>
      <c r="CF1253" s="80"/>
      <c r="CG1253" s="80"/>
      <c r="CH1253" s="80"/>
      <c r="CI1253" s="80"/>
      <c r="CJ1253" s="80"/>
      <c r="CK1253" s="2"/>
    </row>
    <row r="1254" ht="12.75" customHeight="1">
      <c r="A1254" s="85">
        <f>IFERROR(__xludf.DUMMYFUNCTION("""COMPUTED_VALUE"""),1250.0)</f>
        <v>1250</v>
      </c>
      <c r="B1254" s="85"/>
      <c r="C1254" s="85"/>
      <c r="D1254" s="86">
        <f>IFERROR(__xludf.DUMMYFUNCTION("""COMPUTED_VALUE"""),46232.0)</f>
        <v>46232</v>
      </c>
      <c r="E1254" s="88"/>
      <c r="F1254" s="85"/>
      <c r="G1254" s="86">
        <f>IFERROR(__xludf.DUMMYFUNCTION("""COMPUTED_VALUE"""),46267.0)</f>
        <v>46267</v>
      </c>
      <c r="H1254" s="85"/>
      <c r="I1254" s="85"/>
      <c r="J1254" s="85"/>
      <c r="K1254" s="85"/>
      <c r="L1254" s="85">
        <f>IFERROR(__xludf.DUMMYFUNCTION("""COMPUTED_VALUE"""),35.0)</f>
        <v>35</v>
      </c>
      <c r="M1254" s="85"/>
      <c r="N1254" s="85"/>
      <c r="O1254" s="85"/>
      <c r="P1254" s="85" t="str">
        <f>IFERROR(__xludf.DUMMYFUNCTION("""COMPUTED_VALUE"""),"MUCSPA63628PSIND")</f>
        <v>MUCSPA63628PSIND</v>
      </c>
      <c r="Q1254" s="85" t="str">
        <f>IFERROR(__xludf.DUMMYFUNCTION("""COMPUTED_VALUE"""),"MUC HANANIA GHULAM JAYA")</f>
        <v>MUC HANANIA GHULAM JAYA</v>
      </c>
      <c r="R1254" s="85" t="str">
        <f>IFERROR(__xludf.DUMMYFUNCTION("""COMPUTED_VALUE"""),"MUC HANANIA GHULAM JAYA")</f>
        <v>MUC HANANIA GHULAM JAYA</v>
      </c>
      <c r="S1254" s="85" t="str">
        <f>IFERROR(__xludf.DUMMYFUNCTION("""COMPUTED_VALUE"""),"ASEP ZAELANI ABDUROHMAN")</f>
        <v>ASEP ZAELANI ABDUROHMAN</v>
      </c>
      <c r="T1254" s="85" t="str">
        <f>IFERROR(__xludf.DUMMYFUNCTION("""COMPUTED_VALUE"""),"JL. RAYA TEGAL ROTAN NO. 34 RT 01 RW 08, SAWAH BARU, CIPUTAT, TANGSEL")</f>
        <v>JL. RAYA TEGAL ROTAN NO. 34 RT 01 RW 08, SAWAH BARU, CIPUTAT, TANGSEL</v>
      </c>
      <c r="U1254" s="85" t="str">
        <f>IFERROR(__xludf.DUMMYFUNCTION("""COMPUTED_VALUE"""),"JL. CAMAT NO.7 RT 03 RW 05")</f>
        <v>JL. CAMAT NO.7 RT 03 RW 05</v>
      </c>
      <c r="V1254" s="85" t="str">
        <f>IFERROR(__xludf.DUMMYFUNCTION("""COMPUTED_VALUE"""),"RT 01  \ RW 08,")</f>
        <v>RT 01  \ RW 08,</v>
      </c>
      <c r="W1254" s="85" t="str">
        <f>IFERROR(__xludf.DUMMYFUNCTION("""COMPUTED_VALUE"""),"PONDOK PUCUNG")</f>
        <v>PONDOK PUCUNG</v>
      </c>
      <c r="X1254" s="85" t="str">
        <f>IFERROR(__xludf.DUMMYFUNCTION("""COMPUTED_VALUE"""),"PONDOK AREN")</f>
        <v>PONDOK AREN</v>
      </c>
      <c r="Y1254" s="85" t="str">
        <f>IFERROR(__xludf.DUMMYFUNCTION("""COMPUTED_VALUE"""),"TANGERANG SELATAN")</f>
        <v>TANGERANG SELATAN</v>
      </c>
      <c r="Z1254" s="85" t="str">
        <f>IFERROR(__xludf.DUMMYFUNCTION("""COMPUTED_VALUE"""),"BANTEN")</f>
        <v>BANTEN</v>
      </c>
      <c r="AA1254" s="85" t="str">
        <f>IFERROR(__xludf.DUMMYFUNCTION("""COMPUTED_VALUE"""),"15424")</f>
        <v>15424</v>
      </c>
      <c r="AB1254" s="85" t="str">
        <f>IFERROR(__xludf.DUMMYFUNCTION("""COMPUTED_VALUE"""),"3210101904910001")</f>
        <v>3210101904910001</v>
      </c>
      <c r="AC1254" s="85" t="str">
        <f>IFERROR(__xludf.DUMMYFUNCTION("""COMPUTED_VALUE"""),"73.320.150.0-438.000")</f>
        <v>73.320.150.0-438.000</v>
      </c>
      <c r="AD1254" s="85" t="str">
        <f>IFERROR(__xludf.DUMMYFUNCTION("""COMPUTED_VALUE"""),"CUM - PS - HSI")</f>
        <v>CUM - PS - HSI</v>
      </c>
      <c r="AE1254" s="85" t="str">
        <f>IFERROR(__xludf.DUMMYFUNCTION("""COMPUTED_VALUE"""),"CUM - PS - HSI")</f>
        <v>CUM - PS - HSI</v>
      </c>
      <c r="AF1254" s="85" t="str">
        <f>IFERROR(__xludf.DUMMYFUNCTION("""COMPUTED_VALUE"""),"0895626793114")</f>
        <v>0895626793114</v>
      </c>
      <c r="AG1254" s="85" t="str">
        <f>IFERROR(__xludf.DUMMYFUNCTION("""COMPUTED_VALUE"""),"0895626793114")</f>
        <v>0895626793114</v>
      </c>
      <c r="AH1254" s="85" t="str">
        <f>IFERROR(__xludf.DUMMYFUNCTION("""COMPUTED_VALUE"""),"asepzaelani27@gmail.com")</f>
        <v>asepzaelani27@gmail.com</v>
      </c>
      <c r="AI1254" s="85" t="str">
        <f>IFERROR(__xludf.DUMMYFUNCTION("""COMPUTED_VALUE"""),"15429S5")</f>
        <v>15429S5</v>
      </c>
      <c r="AJ1254" s="85" t="str">
        <f>IFERROR(__xludf.DUMMYFUNCTION("""COMPUTED_VALUE"""),"6a96749a93e860ef3c0e543a")</f>
        <v>6a96749a93e860ef3c0e543a</v>
      </c>
      <c r="AK1254" s="85" t="str">
        <f>IFERROR(__xludf.DUMMYFUNCTION("""COMPUTED_VALUE"""),"asepzaelani27@gmail.com")</f>
        <v>asepzaelani27@gmail.com</v>
      </c>
      <c r="AL1254" s="85" t="str">
        <f>IFERROR(__xludf.DUMMYFUNCTION("""COMPUTED_VALUE"""),"#Muc15429S5$")</f>
        <v>#Muc15429S5$</v>
      </c>
      <c r="AM1254" s="85" t="str">
        <f>IFERROR(__xludf.DUMMYFUNCTION("""COMPUTED_VALUE"""),"KANTOR REGIONAL II JAKARTA 10004")</f>
        <v>KANTOR REGIONAL II JAKARTA 10004</v>
      </c>
      <c r="AN1254" s="85" t="str">
        <f>IFERROR(__xludf.DUMMYFUNCTION("""COMPUTED_VALUE"""),"KC TANGERANGSELATAN 15400")</f>
        <v>KC TANGERANGSELATAN 15400</v>
      </c>
      <c r="AO1254" s="85" t="str">
        <f>IFERROR(__xludf.DUMMYFUNCTION("""COMPUTED_VALUE"""),"0201230039963")</f>
        <v>0201230039963</v>
      </c>
      <c r="AP1254" s="85" t="str">
        <f>IFERROR(__xludf.DUMMYFUNCTION("""COMPUTED_VALUE"""),"0201230039963")</f>
        <v>0201230039963</v>
      </c>
      <c r="AQ1254" s="93" t="str">
        <f>IFERROR(__xludf.DUMMYFUNCTION("""COMPUTED_VALUE"""),"6801986177")</f>
        <v>6801986177</v>
      </c>
      <c r="AR1254" s="85" t="str">
        <f>IFERROR(__xludf.DUMMYFUNCTION("""COMPUTED_VALUE"""),"BCA")</f>
        <v>BCA</v>
      </c>
      <c r="AS1254" s="85" t="str">
        <f>IFERROR(__xludf.DUMMYFUNCTION("""COMPUTED_VALUE"""),"ASEP ZAELANI ABDUROHMAN")</f>
        <v>ASEP ZAELANI ABDUROHMAN</v>
      </c>
      <c r="AT1254" s="85" t="str">
        <f>IFERROR(__xludf.DUMMYFUNCTION("""COMPUTED_VALUE"""),"-62,721,404.00")</f>
        <v>-62,721,404.00</v>
      </c>
      <c r="AU1254" s="85" t="str">
        <f>IFERROR(__xludf.DUMMYFUNCTION("""COMPUTED_VALUE"""),"1,067,091,645")</f>
        <v>1,067,091,645</v>
      </c>
      <c r="AV1254" s="85"/>
      <c r="AW1254" s="85"/>
      <c r="AX1254" s="85"/>
      <c r="AY1254" s="85"/>
      <c r="AZ1254" s="85"/>
      <c r="BA1254" s="85"/>
      <c r="BB1254" s="85"/>
      <c r="BC1254" s="85"/>
      <c r="BD1254" s="85"/>
      <c r="BE1254" s="85"/>
      <c r="BF1254" s="85"/>
      <c r="BG1254" s="85"/>
      <c r="BH1254" s="85"/>
      <c r="BI1254" s="85"/>
      <c r="BJ1254" s="85"/>
      <c r="BK1254" s="85"/>
      <c r="BL1254" s="85"/>
      <c r="BM1254" s="85"/>
      <c r="BN1254" s="85"/>
      <c r="BO1254" s="85"/>
      <c r="BP1254" s="85"/>
      <c r="BQ1254" s="85"/>
      <c r="BR1254" s="85"/>
      <c r="BS1254" s="85"/>
      <c r="BT1254" s="85"/>
      <c r="BU1254" s="85"/>
      <c r="BV1254" s="85"/>
      <c r="BW1254" s="85"/>
      <c r="BX1254" s="85"/>
      <c r="BY1254" s="85"/>
      <c r="BZ1254" s="85"/>
      <c r="CA1254" s="85"/>
      <c r="CB1254" s="85"/>
      <c r="CC1254" s="85"/>
      <c r="CD1254" s="85"/>
      <c r="CE1254" s="85"/>
      <c r="CF1254" s="85"/>
      <c r="CG1254" s="85"/>
      <c r="CH1254" s="85"/>
      <c r="CI1254" s="85"/>
      <c r="CJ1254" s="85"/>
      <c r="CK1254" s="2"/>
    </row>
    <row r="1255" ht="12.75" customHeight="1">
      <c r="A1255" s="80">
        <f>IFERROR(__xludf.DUMMYFUNCTION("""COMPUTED_VALUE"""),1251.0)</f>
        <v>1251</v>
      </c>
      <c r="B1255" s="80"/>
      <c r="C1255" s="80"/>
      <c r="D1255" s="81">
        <f>IFERROR(__xludf.DUMMYFUNCTION("""COMPUTED_VALUE"""),46232.0)</f>
        <v>46232</v>
      </c>
      <c r="E1255" s="82"/>
      <c r="F1255" s="80"/>
      <c r="G1255" s="81">
        <f>IFERROR(__xludf.DUMMYFUNCTION("""COMPUTED_VALUE"""),46254.0)</f>
        <v>46254</v>
      </c>
      <c r="H1255" s="80"/>
      <c r="I1255" s="80"/>
      <c r="J1255" s="80"/>
      <c r="K1255" s="80"/>
      <c r="L1255" s="80">
        <f>IFERROR(__xludf.DUMMYFUNCTION("""COMPUTED_VALUE"""),22.0)</f>
        <v>22</v>
      </c>
      <c r="M1255" s="80"/>
      <c r="N1255" s="80"/>
      <c r="O1255" s="80"/>
      <c r="P1255" s="80" t="str">
        <f>IFERROR(__xludf.DUMMYFUNCTION("""COMPUTED_VALUE"""),"MUCSPA70043PSUMK")</f>
        <v>MUCSPA70043PSUMK</v>
      </c>
      <c r="Q1255" s="80" t="str">
        <f>IFERROR(__xludf.DUMMYFUNCTION("""COMPUTED_VALUE"""),"MUC SMART NUSANTARA")</f>
        <v>MUC SMART NUSANTARA</v>
      </c>
      <c r="R1255" s="80" t="str">
        <f>IFERROR(__xludf.DUMMYFUNCTION("""COMPUTED_VALUE"""),"MUC SMART NUSANTARA")</f>
        <v>MUC SMART NUSANTARA</v>
      </c>
      <c r="S1255" s="80" t="str">
        <f>IFERROR(__xludf.DUMMYFUNCTION("""COMPUTED_VALUE"""),"SUMINAR PUJOWATI")</f>
        <v>SUMINAR PUJOWATI</v>
      </c>
      <c r="T1255" s="80" t="str">
        <f>IFERROR(__xludf.DUMMYFUNCTION("""COMPUTED_VALUE"""),"BUMI MARINA EMAS BARAT VII/43B RT 02 RW 06, KEPUTIH, SUKOLILO, SURABAYA")</f>
        <v>BUMI MARINA EMAS BARAT VII/43B RT 02 RW 06, KEPUTIH, SUKOLILO, SURABAYA</v>
      </c>
      <c r="U1255" s="80" t="str">
        <f>IFERROR(__xludf.DUMMYFUNCTION("""COMPUTED_VALUE"""),"JL. KAPAS GADING MADYA I NO.21")</f>
        <v>JL. KAPAS GADING MADYA I NO.21</v>
      </c>
      <c r="V1255" s="80" t="str">
        <f>IFERROR(__xludf.DUMMYFUNCTION("""COMPUTED_VALUE"""),"RT 02  \ RW 06,")</f>
        <v>RT 02  \ RW 06,</v>
      </c>
      <c r="W1255" s="80" t="str">
        <f>IFERROR(__xludf.DUMMYFUNCTION("""COMPUTED_VALUE"""),"GADING TAMBAKSARI")</f>
        <v>GADING TAMBAKSARI</v>
      </c>
      <c r="X1255" s="80" t="str">
        <f>IFERROR(__xludf.DUMMYFUNCTION("""COMPUTED_VALUE"""),"TAMBAKSARI")</f>
        <v>TAMBAKSARI</v>
      </c>
      <c r="Y1255" s="80" t="str">
        <f>IFERROR(__xludf.DUMMYFUNCTION("""COMPUTED_VALUE"""),"SURABAYA")</f>
        <v>SURABAYA</v>
      </c>
      <c r="Z1255" s="80" t="str">
        <f>IFERROR(__xludf.DUMMYFUNCTION("""COMPUTED_VALUE"""),"JAWA TIMUR")</f>
        <v>JAWA TIMUR</v>
      </c>
      <c r="AA1255" s="80" t="str">
        <f>IFERROR(__xludf.DUMMYFUNCTION("""COMPUTED_VALUE"""),"60134")</f>
        <v>60134</v>
      </c>
      <c r="AB1255" s="80" t="str">
        <f>IFERROR(__xludf.DUMMYFUNCTION("""COMPUTED_VALUE"""),"3578104608790003")</f>
        <v>3578104608790003</v>
      </c>
      <c r="AC1255" s="80" t="str">
        <f>IFERROR(__xludf.DUMMYFUNCTION("""COMPUTED_VALUE"""),"55.757.566.9-619.000")</f>
        <v>55.757.566.9-619.000</v>
      </c>
      <c r="AD1255" s="80" t="str">
        <f>IFERROR(__xludf.DUMMYFUNCTION("""COMPUTED_VALUE"""),"CUM - UMKMNK - ASEP")</f>
        <v>CUM - UMKMNK - ASEP</v>
      </c>
      <c r="AE1255" s="80" t="str">
        <f>IFERROR(__xludf.DUMMYFUNCTION("""COMPUTED_VALUE"""),"CUM - UMKMNK - ASEP")</f>
        <v>CUM - UMKMNK - ASEP</v>
      </c>
      <c r="AF1255" s="80" t="str">
        <f>IFERROR(__xludf.DUMMYFUNCTION("""COMPUTED_VALUE"""),"081703097001")</f>
        <v>081703097001</v>
      </c>
      <c r="AG1255" s="80" t="str">
        <f>IFERROR(__xludf.DUMMYFUNCTION("""COMPUTED_VALUE"""),"081703097001")</f>
        <v>081703097001</v>
      </c>
      <c r="AH1255" s="80" t="str">
        <f>IFERROR(__xludf.DUMMYFUNCTION("""COMPUTED_VALUE"""),"alyapujowati@gmail.com")</f>
        <v>alyapujowati@gmail.com</v>
      </c>
      <c r="AI1255" s="80" t="str">
        <f>IFERROR(__xludf.DUMMYFUNCTION("""COMPUTED_VALUE"""),"60134SB")</f>
        <v>60134SB</v>
      </c>
      <c r="AJ1255" s="80" t="str">
        <f>IFERROR(__xludf.DUMMYFUNCTION("""COMPUTED_VALUE"""),"6a867ed300d3a1ebe9023c68")</f>
        <v>6a867ed300d3a1ebe9023c68</v>
      </c>
      <c r="AK1255" s="80" t="str">
        <f>IFERROR(__xludf.DUMMYFUNCTION("""COMPUTED_VALUE"""),"alyapujowati@gmail.com")</f>
        <v>alyapujowati@gmail.com</v>
      </c>
      <c r="AL1255" s="80" t="str">
        <f>IFERROR(__xludf.DUMMYFUNCTION("""COMPUTED_VALUE"""),"#Muc60134SB$")</f>
        <v>#Muc60134SB$</v>
      </c>
      <c r="AM1255" s="80" t="str">
        <f>IFERROR(__xludf.DUMMYFUNCTION("""COMPUTED_VALUE"""),"KANTOR REGIONAL V SURABAYA 60004")</f>
        <v>KANTOR REGIONAL V SURABAYA 60004</v>
      </c>
      <c r="AN1255" s="80" t="str">
        <f>IFERROR(__xludf.DUMMYFUNCTION("""COMPUTED_VALUE"""),"KCU SURABAYA 60000")</f>
        <v>KCU SURABAYA 60000</v>
      </c>
      <c r="AO1255" s="80" t="str">
        <f>IFERROR(__xludf.DUMMYFUNCTION("""COMPUTED_VALUE"""),"2606230104528")</f>
        <v>2606230104528</v>
      </c>
      <c r="AP1255" s="80" t="str">
        <f>IFERROR(__xludf.DUMMYFUNCTION("""COMPUTED_VALUE"""),"2606230104528")</f>
        <v>2606230104528</v>
      </c>
      <c r="AQ1255" s="83" t="str">
        <f>IFERROR(__xludf.DUMMYFUNCTION("""COMPUTED_VALUE"""),"3890472906")</f>
        <v>3890472906</v>
      </c>
      <c r="AR1255" s="80" t="str">
        <f>IFERROR(__xludf.DUMMYFUNCTION("""COMPUTED_VALUE"""),"BCA")</f>
        <v>BCA</v>
      </c>
      <c r="AS1255" s="80" t="str">
        <f>IFERROR(__xludf.DUMMYFUNCTION("""COMPUTED_VALUE"""),"SUMINAR PUJOWATI")</f>
        <v>SUMINAR PUJOWATI</v>
      </c>
      <c r="AT1255" s="80" t="str">
        <f>IFERROR(__xludf.DUMMYFUNCTION("""COMPUTED_VALUE"""),"-7.2392167,112.7722039")</f>
        <v>-7.2392167,112.7722039</v>
      </c>
      <c r="AU1255" s="80" t="str">
        <f>IFERROR(__xludf.DUMMYFUNCTION("""COMPUTED_VALUE"""),"-7.2392167,112.7722039")</f>
        <v>-7.2392167,112.7722039</v>
      </c>
      <c r="AV1255" s="80"/>
      <c r="AW1255" s="80"/>
      <c r="AX1255" s="80"/>
      <c r="AY1255" s="80"/>
      <c r="AZ1255" s="80"/>
      <c r="BA1255" s="80"/>
      <c r="BB1255" s="80"/>
      <c r="BC1255" s="80"/>
      <c r="BD1255" s="80"/>
      <c r="BE1255" s="80"/>
      <c r="BF1255" s="80"/>
      <c r="BG1255" s="80"/>
      <c r="BH1255" s="80"/>
      <c r="BI1255" s="80"/>
      <c r="BJ1255" s="80"/>
      <c r="BK1255" s="80"/>
      <c r="BL1255" s="80"/>
      <c r="BM1255" s="80"/>
      <c r="BN1255" s="80"/>
      <c r="BO1255" s="80"/>
      <c r="BP1255" s="80"/>
      <c r="BQ1255" s="80"/>
      <c r="BR1255" s="80"/>
      <c r="BS1255" s="80"/>
      <c r="BT1255" s="80"/>
      <c r="BU1255" s="80"/>
      <c r="BV1255" s="80"/>
      <c r="BW1255" s="80"/>
      <c r="BX1255" s="80"/>
      <c r="BY1255" s="80"/>
      <c r="BZ1255" s="80"/>
      <c r="CA1255" s="80"/>
      <c r="CB1255" s="80"/>
      <c r="CC1255" s="80"/>
      <c r="CD1255" s="80"/>
      <c r="CE1255" s="80"/>
      <c r="CF1255" s="80"/>
      <c r="CG1255" s="80"/>
      <c r="CH1255" s="80"/>
      <c r="CI1255" s="80"/>
      <c r="CJ1255" s="80"/>
      <c r="CK1255" s="2"/>
    </row>
    <row r="1256" ht="12.75" customHeight="1">
      <c r="A1256" s="85">
        <f>IFERROR(__xludf.DUMMYFUNCTION("""COMPUTED_VALUE"""),1252.0)</f>
        <v>1252</v>
      </c>
      <c r="B1256" s="85"/>
      <c r="C1256" s="85"/>
      <c r="D1256" s="86">
        <f>IFERROR(__xludf.DUMMYFUNCTION("""COMPUTED_VALUE"""),46232.0)</f>
        <v>46232</v>
      </c>
      <c r="E1256" s="88"/>
      <c r="F1256" s="85"/>
      <c r="G1256" s="86">
        <f>IFERROR(__xludf.DUMMYFUNCTION("""COMPUTED_VALUE"""),46267.0)</f>
        <v>46267</v>
      </c>
      <c r="H1256" s="85"/>
      <c r="I1256" s="85"/>
      <c r="J1256" s="85"/>
      <c r="K1256" s="85"/>
      <c r="L1256" s="85">
        <f>IFERROR(__xludf.DUMMYFUNCTION("""COMPUTED_VALUE"""),35.0)</f>
        <v>35</v>
      </c>
      <c r="M1256" s="85"/>
      <c r="N1256" s="85"/>
      <c r="O1256" s="85"/>
      <c r="P1256" s="85" t="str">
        <f>IFERROR(__xludf.DUMMYFUNCTION("""COMPUTED_VALUE"""),"53BSPA17177JBNDS")</f>
        <v>53BSPA17177JBNDS</v>
      </c>
      <c r="Q1256" s="85" t="str">
        <f>IFERROR(__xludf.DUMMYFUNCTION("""COMPUTED_VALUE"""),"MUC IND CURES 2")</f>
        <v>MUC IND CURES 2</v>
      </c>
      <c r="R1256" s="85" t="str">
        <f>IFERROR(__xludf.DUMMYFUNCTION("""COMPUTED_VALUE"""),"MUC IND CURES 2")</f>
        <v>MUC IND CURES 2</v>
      </c>
      <c r="S1256" s="85" t="str">
        <f>IFERROR(__xludf.DUMMYFUNCTION("""COMPUTED_VALUE"""),"DWI PRASETYA NUGRAHA")</f>
        <v>DWI PRASETYA NUGRAHA</v>
      </c>
      <c r="T1256" s="85" t="str">
        <f>IFERROR(__xludf.DUMMYFUNCTION("""COMPUTED_VALUE"""),"Perumahan Curug Residence 2 Blok B-2, Jalan Mawar RT.004/RW.006, Kel. Curug, Kec. Bojongsari, Kota Depok")</f>
        <v>Perumahan Curug Residence 2 Blok B-2, Jalan Mawar RT.004/RW.006, Kel. Curug, Kec. Bojongsari, Kota Depok</v>
      </c>
      <c r="U1256" s="85" t="str">
        <f>IFERROR(__xludf.DUMMYFUNCTION("""COMPUTED_VALUE"""),"Perumahan Curug Residence 2 Blok B-2, Jalan Mawar RT.004/RW.006")</f>
        <v>Perumahan Curug Residence 2 Blok B-2, Jalan Mawar RT.004/RW.006</v>
      </c>
      <c r="V1256" s="85" t="str">
        <f>IFERROR(__xludf.DUMMYFUNCTION("""COMPUTED_VALUE"""),"RT.004 \ RW.006")</f>
        <v>RT.004 \ RW.006</v>
      </c>
      <c r="W1256" s="85" t="str">
        <f>IFERROR(__xludf.DUMMYFUNCTION("""COMPUTED_VALUE"""),"Curug")</f>
        <v>Curug</v>
      </c>
      <c r="X1256" s="85" t="str">
        <f>IFERROR(__xludf.DUMMYFUNCTION("""COMPUTED_VALUE"""),"Bojongsari")</f>
        <v>Bojongsari</v>
      </c>
      <c r="Y1256" s="85" t="str">
        <f>IFERROR(__xludf.DUMMYFUNCTION("""COMPUTED_VALUE"""),"Depok")</f>
        <v>Depok</v>
      </c>
      <c r="Z1256" s="85" t="str">
        <f>IFERROR(__xludf.DUMMYFUNCTION("""COMPUTED_VALUE"""),"Jawa Barat")</f>
        <v>Jawa Barat</v>
      </c>
      <c r="AA1256" s="85" t="str">
        <f>IFERROR(__xludf.DUMMYFUNCTION("""COMPUTED_VALUE"""),"16517")</f>
        <v>16517</v>
      </c>
      <c r="AB1256" s="85" t="str">
        <f>IFERROR(__xludf.DUMMYFUNCTION("""COMPUTED_VALUE"""),"3173070402790002")</f>
        <v>3173070402790002</v>
      </c>
      <c r="AC1256" s="85" t="str">
        <f>IFERROR(__xludf.DUMMYFUNCTION("""COMPUTED_VALUE"""),"49.380.956.0-031.000")</f>
        <v>49.380.956.0-031.000</v>
      </c>
      <c r="AD1256" s="85" t="str">
        <f>IFERROR(__xludf.DUMMYFUNCTION("""COMPUTED_VALUE"""),"CUM - NDS")</f>
        <v>CUM - NDS</v>
      </c>
      <c r="AE1256" s="85" t="str">
        <f>IFERROR(__xludf.DUMMYFUNCTION("""COMPUTED_VALUE"""),"CUM - NDS")</f>
        <v>CUM - NDS</v>
      </c>
      <c r="AF1256" s="85" t="str">
        <f>IFERROR(__xludf.DUMMYFUNCTION("""COMPUTED_VALUE"""),"0818822223")</f>
        <v>0818822223</v>
      </c>
      <c r="AG1256" s="85" t="str">
        <f>IFERROR(__xludf.DUMMYFUNCTION("""COMPUTED_VALUE"""),"0818822223")</f>
        <v>0818822223</v>
      </c>
      <c r="AH1256" s="85" t="str">
        <f>IFERROR(__xludf.DUMMYFUNCTION("""COMPUTED_VALUE"""),"dpras.nug@gmail.com")</f>
        <v>dpras.nug@gmail.com</v>
      </c>
      <c r="AI1256" s="85" t="str">
        <f>IFERROR(__xludf.DUMMYFUNCTION("""COMPUTED_VALUE"""),"16525S2")</f>
        <v>16525S2</v>
      </c>
      <c r="AJ1256" s="85" t="str">
        <f>IFERROR(__xludf.DUMMYFUNCTION("""COMPUTED_VALUE"""),"6a97b859da87a685040c92f8")</f>
        <v>6a97b859da87a685040c92f8</v>
      </c>
      <c r="AK1256" s="85" t="str">
        <f>IFERROR(__xludf.DUMMYFUNCTION("""COMPUTED_VALUE"""),"dpras.nug@gmail.com")</f>
        <v>dpras.nug@gmail.com</v>
      </c>
      <c r="AL1256" s="85" t="str">
        <f>IFERROR(__xludf.DUMMYFUNCTION("""COMPUTED_VALUE"""),"#Muc16525S2$")</f>
        <v>#Muc16525S2$</v>
      </c>
      <c r="AM1256" s="85" t="str">
        <f>IFERROR(__xludf.DUMMYFUNCTION("""COMPUTED_VALUE"""),"KANTOR REGIONAL II JAKARTA 10004")</f>
        <v>KANTOR REGIONAL II JAKARTA 10004</v>
      </c>
      <c r="AN1256" s="85" t="str">
        <f>IFERROR(__xludf.DUMMYFUNCTION("""COMPUTED_VALUE"""),"KC DEPOK 16400")</f>
        <v>KC DEPOK 16400</v>
      </c>
      <c r="AO1256" s="85" t="str">
        <f>IFERROR(__xludf.DUMMYFUNCTION("""COMPUTED_VALUE"""),"2407260090562")</f>
        <v>2407260090562</v>
      </c>
      <c r="AP1256" s="85" t="str">
        <f>IFERROR(__xludf.DUMMYFUNCTION("""COMPUTED_VALUE"""),"2407260090562")</f>
        <v>2407260090562</v>
      </c>
      <c r="AQ1256" s="93" t="str">
        <f>IFERROR(__xludf.DUMMYFUNCTION("""COMPUTED_VALUE"""),"901672822860")</f>
        <v>901672822860</v>
      </c>
      <c r="AR1256" s="85" t="str">
        <f>IFERROR(__xludf.DUMMYFUNCTION("""COMPUTED_VALUE"""),"Seabank")</f>
        <v>Seabank</v>
      </c>
      <c r="AS1256" s="85" t="str">
        <f>IFERROR(__xludf.DUMMYFUNCTION("""COMPUTED_VALUE"""),"DWI PRASETYA NUGRAHA")</f>
        <v>DWI PRASETYA NUGRAHA</v>
      </c>
      <c r="AT1256" s="85" t="str">
        <f>IFERROR(__xludf.DUMMYFUNCTION("""COMPUTED_VALUE"""),"-6.394,106.7383333")</f>
        <v>-6.394,106.7383333</v>
      </c>
      <c r="AU1256" s="85" t="str">
        <f>IFERROR(__xludf.DUMMYFUNCTION("""COMPUTED_VALUE"""),"-6.394,106.7383333")</f>
        <v>-6.394,106.7383333</v>
      </c>
      <c r="AV1256" s="85"/>
      <c r="AW1256" s="85"/>
      <c r="AX1256" s="85"/>
      <c r="AY1256" s="85"/>
      <c r="AZ1256" s="85"/>
      <c r="BA1256" s="85"/>
      <c r="BB1256" s="85"/>
      <c r="BC1256" s="85"/>
      <c r="BD1256" s="85"/>
      <c r="BE1256" s="85"/>
      <c r="BF1256" s="85"/>
      <c r="BG1256" s="85"/>
      <c r="BH1256" s="85"/>
      <c r="BI1256" s="85"/>
      <c r="BJ1256" s="85"/>
      <c r="BK1256" s="85"/>
      <c r="BL1256" s="85"/>
      <c r="BM1256" s="85"/>
      <c r="BN1256" s="85"/>
      <c r="BO1256" s="85"/>
      <c r="BP1256" s="85"/>
      <c r="BQ1256" s="85"/>
      <c r="BR1256" s="85"/>
      <c r="BS1256" s="85"/>
      <c r="BT1256" s="85"/>
      <c r="BU1256" s="85"/>
      <c r="BV1256" s="85"/>
      <c r="BW1256" s="85"/>
      <c r="BX1256" s="85"/>
      <c r="BY1256" s="85"/>
      <c r="BZ1256" s="85"/>
      <c r="CA1256" s="85"/>
      <c r="CB1256" s="85"/>
      <c r="CC1256" s="85"/>
      <c r="CD1256" s="85"/>
      <c r="CE1256" s="85"/>
      <c r="CF1256" s="85"/>
      <c r="CG1256" s="85"/>
      <c r="CH1256" s="85"/>
      <c r="CI1256" s="85"/>
      <c r="CJ1256" s="85"/>
      <c r="CK1256" s="2"/>
    </row>
    <row r="1257" ht="12.75" customHeight="1">
      <c r="A1257" s="80">
        <f>IFERROR(__xludf.DUMMYFUNCTION("""COMPUTED_VALUE"""),1253.0)</f>
        <v>1253</v>
      </c>
      <c r="B1257" s="80"/>
      <c r="C1257" s="80"/>
      <c r="D1257" s="81">
        <f>IFERROR(__xludf.DUMMYFUNCTION("""COMPUTED_VALUE"""),46232.0)</f>
        <v>46232</v>
      </c>
      <c r="E1257" s="82"/>
      <c r="F1257" s="80"/>
      <c r="G1257" s="81">
        <f>IFERROR(__xludf.DUMMYFUNCTION("""COMPUTED_VALUE"""),46267.0)</f>
        <v>46267</v>
      </c>
      <c r="H1257" s="80"/>
      <c r="I1257" s="80"/>
      <c r="J1257" s="80"/>
      <c r="K1257" s="80"/>
      <c r="L1257" s="80">
        <f>IFERROR(__xludf.DUMMYFUNCTION("""COMPUTED_VALUE"""),35.0)</f>
        <v>35</v>
      </c>
      <c r="M1257" s="80"/>
      <c r="N1257" s="80"/>
      <c r="O1257" s="80"/>
      <c r="P1257" s="80" t="str">
        <f>IFERROR(__xludf.DUMMYFUNCTION("""COMPUTED_VALUE"""),"53BSPA17155JBNDS")</f>
        <v>53BSPA17155JBNDS</v>
      </c>
      <c r="Q1257" s="80" t="str">
        <f>IFERROR(__xludf.DUMMYFUNCTION("""COMPUTED_VALUE"""),"MUC BAKTIJAYA")</f>
        <v>MUC BAKTIJAYA</v>
      </c>
      <c r="R1257" s="80" t="str">
        <f>IFERROR(__xludf.DUMMYFUNCTION("""COMPUTED_VALUE"""),"MUC BAKTIJAYA")</f>
        <v>MUC BAKTIJAYA</v>
      </c>
      <c r="S1257" s="80" t="str">
        <f>IFERROR(__xludf.DUMMYFUNCTION("""COMPUTED_VALUE"""),"DAONI TRIMARTHA")</f>
        <v>DAONI TRIMARTHA</v>
      </c>
      <c r="T1257" s="80" t="str">
        <f>IFERROR(__xludf.DUMMYFUNCTION("""COMPUTED_VALUE"""),"Jl. Citarum Raya No. 17 RT.06/RW.02, Kel. Baktijaya/Kec. Sukmajaya, Depok")</f>
        <v>Jl. Citarum Raya No. 17 RT.06/RW.02, Kel. Baktijaya/Kec. Sukmajaya, Depok</v>
      </c>
      <c r="U1257" s="80" t="str">
        <f>IFERROR(__xludf.DUMMYFUNCTION("""COMPUTED_VALUE"""),"Jl. Citarum Raya No. 17 RT.06/RW.02")</f>
        <v>Jl. Citarum Raya No. 17 RT.06/RW.02</v>
      </c>
      <c r="V1257" s="80" t="str">
        <f>IFERROR(__xludf.DUMMYFUNCTION("""COMPUTED_VALUE"""),"RT.06/ \ RW.02,")</f>
        <v>RT.06/ \ RW.02,</v>
      </c>
      <c r="W1257" s="80" t="str">
        <f>IFERROR(__xludf.DUMMYFUNCTION("""COMPUTED_VALUE"""),"Baktijaya")</f>
        <v>Baktijaya</v>
      </c>
      <c r="X1257" s="80" t="str">
        <f>IFERROR(__xludf.DUMMYFUNCTION("""COMPUTED_VALUE"""),"Sukmajaya")</f>
        <v>Sukmajaya</v>
      </c>
      <c r="Y1257" s="80" t="str">
        <f>IFERROR(__xludf.DUMMYFUNCTION("""COMPUTED_VALUE"""),"Depok")</f>
        <v>Depok</v>
      </c>
      <c r="Z1257" s="80" t="str">
        <f>IFERROR(__xludf.DUMMYFUNCTION("""COMPUTED_VALUE"""),"Jawa Barat")</f>
        <v>Jawa Barat</v>
      </c>
      <c r="AA1257" s="80" t="str">
        <f>IFERROR(__xludf.DUMMYFUNCTION("""COMPUTED_VALUE"""),"16418")</f>
        <v>16418</v>
      </c>
      <c r="AB1257" s="80" t="str">
        <f>IFERROR(__xludf.DUMMYFUNCTION("""COMPUTED_VALUE"""),"3276052411870015")</f>
        <v>3276052411870015</v>
      </c>
      <c r="AC1257" s="80" t="str">
        <f>IFERROR(__xludf.DUMMYFUNCTION("""COMPUTED_VALUE"""),"32.760.524.1-187.0015")</f>
        <v>32.760.524.1-187.0015</v>
      </c>
      <c r="AD1257" s="80" t="str">
        <f>IFERROR(__xludf.DUMMYFUNCTION("""COMPUTED_VALUE"""),"CUM - NDS")</f>
        <v>CUM - NDS</v>
      </c>
      <c r="AE1257" s="80" t="str">
        <f>IFERROR(__xludf.DUMMYFUNCTION("""COMPUTED_VALUE"""),"CUM - NDS")</f>
        <v>CUM - NDS</v>
      </c>
      <c r="AF1257" s="80" t="str">
        <f>IFERROR(__xludf.DUMMYFUNCTION("""COMPUTED_VALUE"""),"087776658217")</f>
        <v>087776658217</v>
      </c>
      <c r="AG1257" s="80" t="str">
        <f>IFERROR(__xludf.DUMMYFUNCTION("""COMPUTED_VALUE"""),"087776658217")</f>
        <v>087776658217</v>
      </c>
      <c r="AH1257" s="80" t="str">
        <f>IFERROR(__xludf.DUMMYFUNCTION("""COMPUTED_VALUE"""),"d3martha@yahoo.com")</f>
        <v>d3martha@yahoo.com</v>
      </c>
      <c r="AI1257" s="80" t="str">
        <f>IFERROR(__xludf.DUMMYFUNCTION("""COMPUTED_VALUE"""),"16418S5")</f>
        <v>16418S5</v>
      </c>
      <c r="AJ1257" s="80" t="str">
        <f>IFERROR(__xludf.DUMMYFUNCTION("""COMPUTED_VALUE"""),"6a97b9a182a083895b083b74")</f>
        <v>6a97b9a182a083895b083b74</v>
      </c>
      <c r="AK1257" s="80" t="str">
        <f>IFERROR(__xludf.DUMMYFUNCTION("""COMPUTED_VALUE"""),"d3martha@yahoo.com")</f>
        <v>d3martha@yahoo.com</v>
      </c>
      <c r="AL1257" s="80" t="str">
        <f>IFERROR(__xludf.DUMMYFUNCTION("""COMPUTED_VALUE"""),"#Muc16418S5$")</f>
        <v>#Muc16418S5$</v>
      </c>
      <c r="AM1257" s="80" t="str">
        <f>IFERROR(__xludf.DUMMYFUNCTION("""COMPUTED_VALUE"""),"KANTOR REGIONAL II JAKARTA 10004")</f>
        <v>KANTOR REGIONAL II JAKARTA 10004</v>
      </c>
      <c r="AN1257" s="80" t="str">
        <f>IFERROR(__xludf.DUMMYFUNCTION("""COMPUTED_VALUE"""),"KC DEPOK 16400")</f>
        <v>KC DEPOK 16400</v>
      </c>
      <c r="AO1257" s="80" t="str">
        <f>IFERROR(__xludf.DUMMYFUNCTION("""COMPUTED_VALUE"""),"2807260033811")</f>
        <v>2807260033811</v>
      </c>
      <c r="AP1257" s="80" t="str">
        <f>IFERROR(__xludf.DUMMYFUNCTION("""COMPUTED_VALUE"""),"2807260033811")</f>
        <v>2807260033811</v>
      </c>
      <c r="AQ1257" s="83" t="str">
        <f>IFERROR(__xludf.DUMMYFUNCTION("""COMPUTED_VALUE"""),"702285859500")</f>
        <v>702285859500</v>
      </c>
      <c r="AR1257" s="80" t="str">
        <f>IFERROR(__xludf.DUMMYFUNCTION("""COMPUTED_VALUE"""),"CIMB Niaga")</f>
        <v>CIMB Niaga</v>
      </c>
      <c r="AS1257" s="80" t="str">
        <f>IFERROR(__xludf.DUMMYFUNCTION("""COMPUTED_VALUE"""),"DAONI TRIMARTHA")</f>
        <v>DAONI TRIMARTHA</v>
      </c>
      <c r="AT1257" s="80" t="str">
        <f>IFERROR(__xludf.DUMMYFUNCTION("""COMPUTED_VALUE"""),"-6.3869261,106.8516778")</f>
        <v>-6.3869261,106.8516778</v>
      </c>
      <c r="AU1257" s="80" t="str">
        <f>IFERROR(__xludf.DUMMYFUNCTION("""COMPUTED_VALUE"""),"-6.3869261,106.8516778")</f>
        <v>-6.3869261,106.8516778</v>
      </c>
      <c r="AV1257" s="80"/>
      <c r="AW1257" s="80"/>
      <c r="AX1257" s="80"/>
      <c r="AY1257" s="80"/>
      <c r="AZ1257" s="80"/>
      <c r="BA1257" s="80"/>
      <c r="BB1257" s="80"/>
      <c r="BC1257" s="80"/>
      <c r="BD1257" s="80"/>
      <c r="BE1257" s="80"/>
      <c r="BF1257" s="80"/>
      <c r="BG1257" s="80"/>
      <c r="BH1257" s="80"/>
      <c r="BI1257" s="80"/>
      <c r="BJ1257" s="80"/>
      <c r="BK1257" s="80"/>
      <c r="BL1257" s="80"/>
      <c r="BM1257" s="80"/>
      <c r="BN1257" s="80"/>
      <c r="BO1257" s="80"/>
      <c r="BP1257" s="80"/>
      <c r="BQ1257" s="80"/>
      <c r="BR1257" s="80"/>
      <c r="BS1257" s="80"/>
      <c r="BT1257" s="80"/>
      <c r="BU1257" s="80"/>
      <c r="BV1257" s="80"/>
      <c r="BW1257" s="80"/>
      <c r="BX1257" s="80"/>
      <c r="BY1257" s="80"/>
      <c r="BZ1257" s="80"/>
      <c r="CA1257" s="80"/>
      <c r="CB1257" s="80"/>
      <c r="CC1257" s="80"/>
      <c r="CD1257" s="80"/>
      <c r="CE1257" s="80"/>
      <c r="CF1257" s="80"/>
      <c r="CG1257" s="80"/>
      <c r="CH1257" s="80"/>
      <c r="CI1257" s="80"/>
      <c r="CJ1257" s="80"/>
      <c r="CK1257" s="2"/>
    </row>
    <row r="1258" ht="12.75" customHeight="1">
      <c r="A1258" s="85">
        <f>IFERROR(__xludf.DUMMYFUNCTION("""COMPUTED_VALUE"""),1254.0)</f>
        <v>1254</v>
      </c>
      <c r="B1258" s="85"/>
      <c r="C1258" s="85"/>
      <c r="D1258" s="86">
        <f>IFERROR(__xludf.DUMMYFUNCTION("""COMPUTED_VALUE"""),46232.0)</f>
        <v>46232</v>
      </c>
      <c r="E1258" s="88"/>
      <c r="F1258" s="85"/>
      <c r="G1258" s="86">
        <f>IFERROR(__xludf.DUMMYFUNCTION("""COMPUTED_VALUE"""),46267.0)</f>
        <v>46267</v>
      </c>
      <c r="H1258" s="85"/>
      <c r="I1258" s="85"/>
      <c r="J1258" s="85"/>
      <c r="K1258" s="85"/>
      <c r="L1258" s="85">
        <f>IFERROR(__xludf.DUMMYFUNCTION("""COMPUTED_VALUE"""),35.0)</f>
        <v>35</v>
      </c>
      <c r="M1258" s="85"/>
      <c r="N1258" s="85"/>
      <c r="O1258" s="85"/>
      <c r="P1258" s="85" t="str">
        <f>IFERROR(__xludf.DUMMYFUNCTION("""COMPUTED_VALUE"""),"MUCSPA63635PSIND")</f>
        <v>MUCSPA63635PSIND</v>
      </c>
      <c r="Q1258" s="85" t="str">
        <f>IFERROR(__xludf.DUMMYFUNCTION("""COMPUTED_VALUE"""),"MUC DONGPONG")</f>
        <v>MUC DONGPONG</v>
      </c>
      <c r="R1258" s="85" t="str">
        <f>IFERROR(__xludf.DUMMYFUNCTION("""COMPUTED_VALUE"""),"MUC DONGPONG")</f>
        <v>MUC DONGPONG</v>
      </c>
      <c r="S1258" s="85" t="str">
        <f>IFERROR(__xludf.DUMMYFUNCTION("""COMPUTED_VALUE"""),"PANUT")</f>
        <v>PANUT</v>
      </c>
      <c r="T1258" s="85" t="str">
        <f>IFERROR(__xludf.DUMMYFUNCTION("""COMPUTED_VALUE"""),"Sidamukti RT. 001/022 Kel. Sukamaju Kec. Cilodong. Depok")</f>
        <v>Sidamukti RT. 001/022 Kel. Sukamaju Kec. Cilodong. Depok</v>
      </c>
      <c r="U1258" s="85" t="str">
        <f>IFERROR(__xludf.DUMMYFUNCTION("""COMPUTED_VALUE"""),"Jl. H. Dimun Raya No.105A, Sukamaju, Kec. Cilodong, Kota Depok, Jawa Barat 16415")</f>
        <v>Jl. H. Dimun Raya No.105A, Sukamaju, Kec. Cilodong, Kota Depok, Jawa Barat 16415</v>
      </c>
      <c r="V1258" s="85"/>
      <c r="W1258" s="85" t="str">
        <f>IFERROR(__xludf.DUMMYFUNCTION("""COMPUTED_VALUE"""),"Sukamaju")</f>
        <v>Sukamaju</v>
      </c>
      <c r="X1258" s="85" t="str">
        <f>IFERROR(__xludf.DUMMYFUNCTION("""COMPUTED_VALUE"""),"Cilodong")</f>
        <v>Cilodong</v>
      </c>
      <c r="Y1258" s="85" t="str">
        <f>IFERROR(__xludf.DUMMYFUNCTION("""COMPUTED_VALUE"""),"Depok")</f>
        <v>Depok</v>
      </c>
      <c r="Z1258" s="85" t="str">
        <f>IFERROR(__xludf.DUMMYFUNCTION("""COMPUTED_VALUE"""),"Jawa Barat")</f>
        <v>Jawa Barat</v>
      </c>
      <c r="AA1258" s="85" t="str">
        <f>IFERROR(__xludf.DUMMYFUNCTION("""COMPUTED_VALUE"""),"16415")</f>
        <v>16415</v>
      </c>
      <c r="AB1258" s="85" t="str">
        <f>IFERROR(__xludf.DUMMYFUNCTION("""COMPUTED_VALUE"""),"3276051201710001")</f>
        <v>3276051201710001</v>
      </c>
      <c r="AC1258" s="85" t="str">
        <f>IFERROR(__xludf.DUMMYFUNCTION("""COMPUTED_VALUE"""),"24.158.815.1-412.000")</f>
        <v>24.158.815.1-412.000</v>
      </c>
      <c r="AD1258" s="85" t="str">
        <f>IFERROR(__xludf.DUMMYFUNCTION("""COMPUTED_VALUE"""),"CUM - PS - HPR")</f>
        <v>CUM - PS - HPR</v>
      </c>
      <c r="AE1258" s="85" t="str">
        <f>IFERROR(__xludf.DUMMYFUNCTION("""COMPUTED_VALUE"""),"CUM - PS - HPR")</f>
        <v>CUM - PS - HPR</v>
      </c>
      <c r="AF1258" s="85" t="str">
        <f>IFERROR(__xludf.DUMMYFUNCTION("""COMPUTED_VALUE"""),"08129442714")</f>
        <v>08129442714</v>
      </c>
      <c r="AG1258" s="85" t="str">
        <f>IFERROR(__xludf.DUMMYFUNCTION("""COMPUTED_VALUE"""),"08129442714")</f>
        <v>08129442714</v>
      </c>
      <c r="AH1258" s="85" t="str">
        <f>IFERROR(__xludf.DUMMYFUNCTION("""COMPUTED_VALUE"""),"dongpongkarya2@gmail.com")</f>
        <v>dongpongkarya2@gmail.com</v>
      </c>
      <c r="AI1258" s="85" t="str">
        <f>IFERROR(__xludf.DUMMYFUNCTION("""COMPUTED_VALUE"""),"16475S7")</f>
        <v>16475S7</v>
      </c>
      <c r="AJ1258" s="85" t="str">
        <f>IFERROR(__xludf.DUMMYFUNCTION("""COMPUTED_VALUE"""),"6a97bcaf14e637c2550bc735")</f>
        <v>6a97bcaf14e637c2550bc735</v>
      </c>
      <c r="AK1258" s="85" t="str">
        <f>IFERROR(__xludf.DUMMYFUNCTION("""COMPUTED_VALUE"""),"dongpongkarya2@gmail.com")</f>
        <v>dongpongkarya2@gmail.com</v>
      </c>
      <c r="AL1258" s="85" t="str">
        <f>IFERROR(__xludf.DUMMYFUNCTION("""COMPUTED_VALUE"""),"#Muc16475S7$")</f>
        <v>#Muc16475S7$</v>
      </c>
      <c r="AM1258" s="85" t="str">
        <f>IFERROR(__xludf.DUMMYFUNCTION("""COMPUTED_VALUE"""),"KANTOR REGIONAL II JAKARTA 10004")</f>
        <v>KANTOR REGIONAL II JAKARTA 10004</v>
      </c>
      <c r="AN1258" s="85" t="str">
        <f>IFERROR(__xludf.DUMMYFUNCTION("""COMPUTED_VALUE"""),"KC DEPOK 16400")</f>
        <v>KC DEPOK 16400</v>
      </c>
      <c r="AO1258" s="85" t="str">
        <f>IFERROR(__xludf.DUMMYFUNCTION("""COMPUTED_VALUE"""),"2807260063024")</f>
        <v>2807260063024</v>
      </c>
      <c r="AP1258" s="85" t="str">
        <f>IFERROR(__xludf.DUMMYFUNCTION("""COMPUTED_VALUE"""),"2807260063024")</f>
        <v>2807260063024</v>
      </c>
      <c r="AQ1258" s="93" t="str">
        <f>IFERROR(__xludf.DUMMYFUNCTION("""COMPUTED_VALUE"""),"2221 0100 0375 304")</f>
        <v>2221 0100 0375 304</v>
      </c>
      <c r="AR1258" s="85" t="str">
        <f>IFERROR(__xludf.DUMMYFUNCTION("""COMPUTED_VALUE"""),"BRI")</f>
        <v>BRI</v>
      </c>
      <c r="AS1258" s="85" t="str">
        <f>IFERROR(__xludf.DUMMYFUNCTION("""COMPUTED_VALUE"""),"CV Dongpong Karya")</f>
        <v>CV Dongpong Karya</v>
      </c>
      <c r="AT1258" s="85" t="str">
        <f>IFERROR(__xludf.DUMMYFUNCTION("""COMPUTED_VALUE"""),"-6.4207072,106.8476966")</f>
        <v>-6.4207072,106.8476966</v>
      </c>
      <c r="AU1258" s="85" t="str">
        <f>IFERROR(__xludf.DUMMYFUNCTION("""COMPUTED_VALUE"""),"-6.4207072,106.8476966")</f>
        <v>-6.4207072,106.8476966</v>
      </c>
      <c r="AV1258" s="85"/>
      <c r="AW1258" s="85"/>
      <c r="AX1258" s="85"/>
      <c r="AY1258" s="85"/>
      <c r="AZ1258" s="85"/>
      <c r="BA1258" s="85"/>
      <c r="BB1258" s="85"/>
      <c r="BC1258" s="85"/>
      <c r="BD1258" s="85"/>
      <c r="BE1258" s="85"/>
      <c r="BF1258" s="85"/>
      <c r="BG1258" s="85"/>
      <c r="BH1258" s="85"/>
      <c r="BI1258" s="85"/>
      <c r="BJ1258" s="85"/>
      <c r="BK1258" s="85"/>
      <c r="BL1258" s="85"/>
      <c r="BM1258" s="85"/>
      <c r="BN1258" s="85"/>
      <c r="BO1258" s="85"/>
      <c r="BP1258" s="85"/>
      <c r="BQ1258" s="85"/>
      <c r="BR1258" s="85"/>
      <c r="BS1258" s="85"/>
      <c r="BT1258" s="85"/>
      <c r="BU1258" s="85"/>
      <c r="BV1258" s="85"/>
      <c r="BW1258" s="85"/>
      <c r="BX1258" s="85"/>
      <c r="BY1258" s="85"/>
      <c r="BZ1258" s="85"/>
      <c r="CA1258" s="85"/>
      <c r="CB1258" s="85"/>
      <c r="CC1258" s="85"/>
      <c r="CD1258" s="85"/>
      <c r="CE1258" s="85"/>
      <c r="CF1258" s="85"/>
      <c r="CG1258" s="85"/>
      <c r="CH1258" s="85"/>
      <c r="CI1258" s="85"/>
      <c r="CJ1258" s="85"/>
      <c r="CK1258" s="2"/>
    </row>
    <row r="1259" ht="12.75" customHeight="1">
      <c r="A1259" s="80">
        <f>IFERROR(__xludf.DUMMYFUNCTION("""COMPUTED_VALUE"""),1255.0)</f>
        <v>1255</v>
      </c>
      <c r="B1259" s="80"/>
      <c r="C1259" s="80"/>
      <c r="D1259" s="81">
        <f>IFERROR(__xludf.DUMMYFUNCTION("""COMPUTED_VALUE"""),46232.0)</f>
        <v>46232</v>
      </c>
      <c r="E1259" s="82"/>
      <c r="F1259" s="80"/>
      <c r="G1259" s="81">
        <f>IFERROR(__xludf.DUMMYFUNCTION("""COMPUTED_VALUE"""),46262.0)</f>
        <v>46262</v>
      </c>
      <c r="H1259" s="80"/>
      <c r="I1259" s="80"/>
      <c r="J1259" s="80"/>
      <c r="K1259" s="80"/>
      <c r="L1259" s="80">
        <f>IFERROR(__xludf.DUMMYFUNCTION("""COMPUTED_VALUE"""),30.0)</f>
        <v>30</v>
      </c>
      <c r="M1259" s="80"/>
      <c r="N1259" s="80"/>
      <c r="O1259" s="80"/>
      <c r="P1259" s="80" t="str">
        <f>IFERROR(__xludf.DUMMYFUNCTION("""COMPUTED_VALUE"""),"MUCSPA70042PSUMK")</f>
        <v>MUCSPA70042PSUMK</v>
      </c>
      <c r="Q1259" s="80" t="str">
        <f>IFERROR(__xludf.DUMMYFUNCTION("""COMPUTED_VALUE"""),"MUC JC")</f>
        <v>MUC JC</v>
      </c>
      <c r="R1259" s="80" t="str">
        <f>IFERROR(__xludf.DUMMYFUNCTION("""COMPUTED_VALUE"""),"MUC JC")</f>
        <v>MUC JC</v>
      </c>
      <c r="S1259" s="80" t="str">
        <f>IFERROR(__xludf.DUMMYFUNCTION("""COMPUTED_VALUE"""),"JACK KARNADI")</f>
        <v>JACK KARNADI</v>
      </c>
      <c r="T1259" s="80" t="str">
        <f>IFERROR(__xludf.DUMMYFUNCTION("""COMPUTED_VALUE"""),"JL SEMERU NO 11 MEDAN RT 00 RW 00, PUSAT PASAR, MEDAN KOTA, MEDAN")</f>
        <v>JL SEMERU NO 11 MEDAN RT 00 RW 00, PUSAT PASAR, MEDAN KOTA, MEDAN</v>
      </c>
      <c r="U1259" s="80" t="str">
        <f>IFERROR(__xludf.DUMMYFUNCTION("""COMPUTED_VALUE"""),"JL. SEMERU NO.1")</f>
        <v>JL. SEMERU NO.1</v>
      </c>
      <c r="V1259" s="80" t="str">
        <f>IFERROR(__xludf.DUMMYFUNCTION("""COMPUTED_VALUE"""),"RT 00  \ RW 00,")</f>
        <v>RT 00  \ RW 00,</v>
      </c>
      <c r="W1259" s="80" t="str">
        <f>IFERROR(__xludf.DUMMYFUNCTION("""COMPUTED_VALUE"""),"PUSAT PASAR")</f>
        <v>PUSAT PASAR</v>
      </c>
      <c r="X1259" s="80" t="str">
        <f>IFERROR(__xludf.DUMMYFUNCTION("""COMPUTED_VALUE"""),"MEDAN KOTA")</f>
        <v>MEDAN KOTA</v>
      </c>
      <c r="Y1259" s="80" t="str">
        <f>IFERROR(__xludf.DUMMYFUNCTION("""COMPUTED_VALUE"""),"MEDAN")</f>
        <v>MEDAN</v>
      </c>
      <c r="Z1259" s="80" t="str">
        <f>IFERROR(__xludf.DUMMYFUNCTION("""COMPUTED_VALUE"""),"Sumatera Utara")</f>
        <v>Sumatera Utara</v>
      </c>
      <c r="AA1259" s="80" t="str">
        <f>IFERROR(__xludf.DUMMYFUNCTION("""COMPUTED_VALUE"""),"20212")</f>
        <v>20212</v>
      </c>
      <c r="AB1259" s="80" t="str">
        <f>IFERROR(__xludf.DUMMYFUNCTION("""COMPUTED_VALUE"""),"1271011510910003")</f>
        <v>1271011510910003</v>
      </c>
      <c r="AC1259" s="80" t="str">
        <f>IFERROR(__xludf.DUMMYFUNCTION("""COMPUTED_VALUE"""),"12.710.115.1-091.0003")</f>
        <v>12.710.115.1-091.0003</v>
      </c>
      <c r="AD1259" s="80" t="str">
        <f>IFERROR(__xludf.DUMMYFUNCTION("""COMPUTED_VALUE"""),"CUM - UMKMNK - ASEP")</f>
        <v>CUM - UMKMNK - ASEP</v>
      </c>
      <c r="AE1259" s="80" t="str">
        <f>IFERROR(__xludf.DUMMYFUNCTION("""COMPUTED_VALUE"""),"CUM - UMKMNK - ASEP")</f>
        <v>CUM - UMKMNK - ASEP</v>
      </c>
      <c r="AF1259" s="80" t="str">
        <f>IFERROR(__xludf.DUMMYFUNCTION("""COMPUTED_VALUE"""),"08153512377")</f>
        <v>08153512377</v>
      </c>
      <c r="AG1259" s="80" t="str">
        <f>IFERROR(__xludf.DUMMYFUNCTION("""COMPUTED_VALUE"""),"08153512377")</f>
        <v>08153512377</v>
      </c>
      <c r="AH1259" s="80" t="str">
        <f>IFERROR(__xludf.DUMMYFUNCTION("""COMPUTED_VALUE"""),"jackkarnadiho@gmail.com")</f>
        <v>jackkarnadiho@gmail.com</v>
      </c>
      <c r="AI1259" s="80" t="str">
        <f>IFERROR(__xludf.DUMMYFUNCTION("""COMPUTED_VALUE"""),"20212S1")</f>
        <v>20212S1</v>
      </c>
      <c r="AJ1259" s="80" t="str">
        <f>IFERROR(__xludf.DUMMYFUNCTION("""COMPUTED_VALUE"""),"6a8fea1ae067f2491e080888")</f>
        <v>6a8fea1ae067f2491e080888</v>
      </c>
      <c r="AK1259" s="80" t="str">
        <f>IFERROR(__xludf.DUMMYFUNCTION("""COMPUTED_VALUE"""),"jackkarnadiho@gmail.com")</f>
        <v>jackkarnadiho@gmail.com</v>
      </c>
      <c r="AL1259" s="80" t="str">
        <f>IFERROR(__xludf.DUMMYFUNCTION("""COMPUTED_VALUE"""),"#Muc20212S1$")</f>
        <v>#Muc20212S1$</v>
      </c>
      <c r="AM1259" s="80" t="str">
        <f>IFERROR(__xludf.DUMMYFUNCTION("""COMPUTED_VALUE"""),"KANTOR REGIONAL I MEDAN 20004")</f>
        <v>KANTOR REGIONAL I MEDAN 20004</v>
      </c>
      <c r="AN1259" s="80" t="str">
        <f>IFERROR(__xludf.DUMMYFUNCTION("""COMPUTED_VALUE"""),"KCU MEDAN 20000")</f>
        <v>KCU MEDAN 20000</v>
      </c>
      <c r="AO1259" s="80" t="str">
        <f>IFERROR(__xludf.DUMMYFUNCTION("""COMPUTED_VALUE"""),"2008210025149")</f>
        <v>2008210025149</v>
      </c>
      <c r="AP1259" s="80" t="str">
        <f>IFERROR(__xludf.DUMMYFUNCTION("""COMPUTED_VALUE"""),"2008210025149")</f>
        <v>2008210025149</v>
      </c>
      <c r="AQ1259" s="83" t="str">
        <f>IFERROR(__xludf.DUMMYFUNCTION("""COMPUTED_VALUE"""),"2420577691")</f>
        <v>2420577691</v>
      </c>
      <c r="AR1259" s="80" t="str">
        <f>IFERROR(__xludf.DUMMYFUNCTION("""COMPUTED_VALUE"""),"BCA")</f>
        <v>BCA</v>
      </c>
      <c r="AS1259" s="80" t="str">
        <f>IFERROR(__xludf.DUMMYFUNCTION("""COMPUTED_VALUE"""),"JACK KARNADI")</f>
        <v>JACK KARNADI</v>
      </c>
      <c r="AT1259" s="80" t="str">
        <f>IFERROR(__xludf.DUMMYFUNCTION("""COMPUTED_VALUE"""),"3.5864582,98.6874589")</f>
        <v>3.5864582,98.6874589</v>
      </c>
      <c r="AU1259" s="80" t="str">
        <f>IFERROR(__xludf.DUMMYFUNCTION("""COMPUTED_VALUE"""),"3.5864582,98.6874589")</f>
        <v>3.5864582,98.6874589</v>
      </c>
      <c r="AV1259" s="80"/>
      <c r="AW1259" s="80"/>
      <c r="AX1259" s="80"/>
      <c r="AY1259" s="80"/>
      <c r="AZ1259" s="80"/>
      <c r="BA1259" s="80"/>
      <c r="BB1259" s="80"/>
      <c r="BC1259" s="80"/>
      <c r="BD1259" s="80"/>
      <c r="BE1259" s="80"/>
      <c r="BF1259" s="80"/>
      <c r="BG1259" s="80"/>
      <c r="BH1259" s="80"/>
      <c r="BI1259" s="80"/>
      <c r="BJ1259" s="80"/>
      <c r="BK1259" s="80"/>
      <c r="BL1259" s="80"/>
      <c r="BM1259" s="80"/>
      <c r="BN1259" s="80"/>
      <c r="BO1259" s="80"/>
      <c r="BP1259" s="80"/>
      <c r="BQ1259" s="80"/>
      <c r="BR1259" s="80"/>
      <c r="BS1259" s="80"/>
      <c r="BT1259" s="80"/>
      <c r="BU1259" s="80"/>
      <c r="BV1259" s="80"/>
      <c r="BW1259" s="80"/>
      <c r="BX1259" s="80"/>
      <c r="BY1259" s="80"/>
      <c r="BZ1259" s="80"/>
      <c r="CA1259" s="80"/>
      <c r="CB1259" s="80"/>
      <c r="CC1259" s="80"/>
      <c r="CD1259" s="80"/>
      <c r="CE1259" s="80"/>
      <c r="CF1259" s="80"/>
      <c r="CG1259" s="80"/>
      <c r="CH1259" s="80"/>
      <c r="CI1259" s="80"/>
      <c r="CJ1259" s="80"/>
      <c r="CK1259" s="2"/>
    </row>
    <row r="1260" ht="12.75" customHeight="1">
      <c r="A1260" s="85">
        <f>IFERROR(__xludf.DUMMYFUNCTION("""COMPUTED_VALUE"""),1256.0)</f>
        <v>1256</v>
      </c>
      <c r="B1260" s="85"/>
      <c r="C1260" s="85"/>
      <c r="D1260" s="86">
        <f>IFERROR(__xludf.DUMMYFUNCTION("""COMPUTED_VALUE"""),46232.0)</f>
        <v>46232</v>
      </c>
      <c r="E1260" s="88"/>
      <c r="F1260" s="85"/>
      <c r="G1260" s="86">
        <f>IFERROR(__xludf.DUMMYFUNCTION("""COMPUTED_VALUE"""),46268.0)</f>
        <v>46268</v>
      </c>
      <c r="H1260" s="85"/>
      <c r="I1260" s="85"/>
      <c r="J1260" s="85"/>
      <c r="K1260" s="85"/>
      <c r="L1260" s="85">
        <f>IFERROR(__xludf.DUMMYFUNCTION("""COMPUTED_VALUE"""),36.0)</f>
        <v>36</v>
      </c>
      <c r="M1260" s="85"/>
      <c r="N1260" s="85"/>
      <c r="O1260" s="85"/>
      <c r="P1260" s="85" t="str">
        <f>IFERROR(__xludf.DUMMYFUNCTION("""COMPUTED_VALUE"""),"53BSPA17154JBNDS")</f>
        <v>53BSPA17154JBNDS</v>
      </c>
      <c r="Q1260" s="85" t="str">
        <f>IFERROR(__xludf.DUMMYFUNCTION("""COMPUTED_VALUE"""),"MUC Spectrum Dea Mandiri")</f>
        <v>MUC Spectrum Dea Mandiri</v>
      </c>
      <c r="R1260" s="85" t="str">
        <f>IFERROR(__xludf.DUMMYFUNCTION("""COMPUTED_VALUE"""),"MUC Spectrum Dea Mandiri")</f>
        <v>MUC Spectrum Dea Mandiri</v>
      </c>
      <c r="S1260" s="85" t="str">
        <f>IFERROR(__xludf.DUMMYFUNCTION("""COMPUTED_VALUE"""),"MERPHIN PANGGABEAN")</f>
        <v>MERPHIN PANGGABEAN</v>
      </c>
      <c r="T1260" s="85" t="str">
        <f>IFERROR(__xludf.DUMMYFUNCTION("""COMPUTED_VALUE"""),"PONDOK CABE RAYA NO.77 RT 01 RW 12, PONCOK CABE ILIR, PAMULANG, TANGSEL")</f>
        <v>PONDOK CABE RAYA NO.77 RT 01 RW 12, PONCOK CABE ILIR, PAMULANG, TANGSEL</v>
      </c>
      <c r="U1260" s="85" t="str">
        <f>IFERROR(__xludf.DUMMYFUNCTION("""COMPUTED_VALUE"""),"JL. PONDOK CABE RAYA NO. 77 RT 01 RW 12")</f>
        <v>JL. PONDOK CABE RAYA NO. 77 RT 01 RW 12</v>
      </c>
      <c r="V1260" s="85" t="str">
        <f>IFERROR(__xludf.DUMMYFUNCTION("""COMPUTED_VALUE"""),"RT 01  \ RW 12,")</f>
        <v>RT 01  \ RW 12,</v>
      </c>
      <c r="W1260" s="85" t="str">
        <f>IFERROR(__xludf.DUMMYFUNCTION("""COMPUTED_VALUE"""),"PONDOK CABE ILIR")</f>
        <v>PONDOK CABE ILIR</v>
      </c>
      <c r="X1260" s="85" t="str">
        <f>IFERROR(__xludf.DUMMYFUNCTION("""COMPUTED_VALUE"""),"PAMULANG")</f>
        <v>PAMULANG</v>
      </c>
      <c r="Y1260" s="85" t="str">
        <f>IFERROR(__xludf.DUMMYFUNCTION("""COMPUTED_VALUE"""),"TANGSEL")</f>
        <v>TANGSEL</v>
      </c>
      <c r="Z1260" s="85" t="str">
        <f>IFERROR(__xludf.DUMMYFUNCTION("""COMPUTED_VALUE"""),"BANTEN")</f>
        <v>BANTEN</v>
      </c>
      <c r="AA1260" s="85" t="str">
        <f>IFERROR(__xludf.DUMMYFUNCTION("""COMPUTED_VALUE"""),"15418")</f>
        <v>15418</v>
      </c>
      <c r="AB1260" s="85" t="str">
        <f>IFERROR(__xludf.DUMMYFUNCTION("""COMPUTED_VALUE"""),"3674060208620004")</f>
        <v>3674060208620004</v>
      </c>
      <c r="AC1260" s="85" t="str">
        <f>IFERROR(__xludf.DUMMYFUNCTION("""COMPUTED_VALUE"""),"00.192.386.6-641.1000")</f>
        <v>00.192.386.6-641.1000</v>
      </c>
      <c r="AD1260" s="85" t="str">
        <f>IFERROR(__xludf.DUMMYFUNCTION("""COMPUTED_VALUE"""),"CUM - NDS")</f>
        <v>CUM - NDS</v>
      </c>
      <c r="AE1260" s="85" t="str">
        <f>IFERROR(__xludf.DUMMYFUNCTION("""COMPUTED_VALUE"""),"CUM - NDS")</f>
        <v>CUM - NDS</v>
      </c>
      <c r="AF1260" s="85" t="str">
        <f>IFERROR(__xludf.DUMMYFUNCTION("""COMPUTED_VALUE"""),"081288074986")</f>
        <v>081288074986</v>
      </c>
      <c r="AG1260" s="85" t="str">
        <f>IFERROR(__xludf.DUMMYFUNCTION("""COMPUTED_VALUE"""),"081288074986")</f>
        <v>081288074986</v>
      </c>
      <c r="AH1260" s="85" t="str">
        <f>IFERROR(__xludf.DUMMYFUNCTION("""COMPUTED_VALUE"""),"merphinp@yahoo.com")</f>
        <v>merphinp@yahoo.com</v>
      </c>
      <c r="AI1260" s="85" t="str">
        <f>IFERROR(__xludf.DUMMYFUNCTION("""COMPUTED_VALUE"""),"15438S5")</f>
        <v>15438S5</v>
      </c>
      <c r="AJ1260" s="85" t="str">
        <f>IFERROR(__xludf.DUMMYFUNCTION("""COMPUTED_VALUE"""),"6a97d045aff3380a2e0738e6")</f>
        <v>6a97d045aff3380a2e0738e6</v>
      </c>
      <c r="AK1260" s="85" t="str">
        <f>IFERROR(__xludf.DUMMYFUNCTION("""COMPUTED_VALUE"""),"merphinp@yahoo.com")</f>
        <v>merphinp@yahoo.com</v>
      </c>
      <c r="AL1260" s="85" t="str">
        <f>IFERROR(__xludf.DUMMYFUNCTION("""COMPUTED_VALUE"""),"#Muc15438S5*")</f>
        <v>#Muc15438S5*</v>
      </c>
      <c r="AM1260" s="85" t="str">
        <f>IFERROR(__xludf.DUMMYFUNCTION("""COMPUTED_VALUE"""),"KANTOR REGIONAL II JAKARTA 10004")</f>
        <v>KANTOR REGIONAL II JAKARTA 10004</v>
      </c>
      <c r="AN1260" s="85" t="str">
        <f>IFERROR(__xludf.DUMMYFUNCTION("""COMPUTED_VALUE"""),"KC TANGERANGSELATAN 15400")</f>
        <v>KC TANGERANGSELATAN 15400</v>
      </c>
      <c r="AO1260" s="85" t="str">
        <f>IFERROR(__xludf.DUMMYFUNCTION("""COMPUTED_VALUE"""),"9120307731251")</f>
        <v>9120307731251</v>
      </c>
      <c r="AP1260" s="85" t="str">
        <f>IFERROR(__xludf.DUMMYFUNCTION("""COMPUTED_VALUE"""),"9120307731251")</f>
        <v>9120307731251</v>
      </c>
      <c r="AQ1260" s="93" t="str">
        <f>IFERROR(__xludf.DUMMYFUNCTION("""COMPUTED_VALUE"""),"052401015726000")</f>
        <v>052401015726000</v>
      </c>
      <c r="AR1260" s="85" t="str">
        <f>IFERROR(__xludf.DUMMYFUNCTION("""COMPUTED_VALUE"""),"BRI")</f>
        <v>BRI</v>
      </c>
      <c r="AS1260" s="85" t="str">
        <f>IFERROR(__xludf.DUMMYFUNCTION("""COMPUTED_VALUE"""),"MERPHIN PANGGABEAN")</f>
        <v>MERPHIN PANGGABEAN</v>
      </c>
      <c r="AT1260" s="85" t="str">
        <f>IFERROR(__xludf.DUMMYFUNCTION("""COMPUTED_VALUE"""),"-6.3373107,106.7648308")</f>
        <v>-6.3373107,106.7648308</v>
      </c>
      <c r="AU1260" s="85" t="str">
        <f>IFERROR(__xludf.DUMMYFUNCTION("""COMPUTED_VALUE"""),"-6.3373107,106.7648308")</f>
        <v>-6.3373107,106.7648308</v>
      </c>
      <c r="AV1260" s="85"/>
      <c r="AW1260" s="85"/>
      <c r="AX1260" s="85"/>
      <c r="AY1260" s="85"/>
      <c r="AZ1260" s="85"/>
      <c r="BA1260" s="85"/>
      <c r="BB1260" s="85"/>
      <c r="BC1260" s="85"/>
      <c r="BD1260" s="85"/>
      <c r="BE1260" s="85"/>
      <c r="BF1260" s="85"/>
      <c r="BG1260" s="85"/>
      <c r="BH1260" s="85"/>
      <c r="BI1260" s="85"/>
      <c r="BJ1260" s="85"/>
      <c r="BK1260" s="85"/>
      <c r="BL1260" s="85"/>
      <c r="BM1260" s="85"/>
      <c r="BN1260" s="85"/>
      <c r="BO1260" s="85"/>
      <c r="BP1260" s="85"/>
      <c r="BQ1260" s="85"/>
      <c r="BR1260" s="85"/>
      <c r="BS1260" s="85"/>
      <c r="BT1260" s="85"/>
      <c r="BU1260" s="85"/>
      <c r="BV1260" s="85"/>
      <c r="BW1260" s="85"/>
      <c r="BX1260" s="85"/>
      <c r="BY1260" s="85"/>
      <c r="BZ1260" s="85"/>
      <c r="CA1260" s="85"/>
      <c r="CB1260" s="85"/>
      <c r="CC1260" s="85"/>
      <c r="CD1260" s="85"/>
      <c r="CE1260" s="85"/>
      <c r="CF1260" s="85"/>
      <c r="CG1260" s="85"/>
      <c r="CH1260" s="85"/>
      <c r="CI1260" s="85"/>
      <c r="CJ1260" s="85"/>
      <c r="CK1260" s="2"/>
    </row>
    <row r="1261" ht="12.75" customHeight="1">
      <c r="A1261" s="80">
        <f>IFERROR(__xludf.DUMMYFUNCTION("""COMPUTED_VALUE"""),1257.0)</f>
        <v>1257</v>
      </c>
      <c r="B1261" s="80"/>
      <c r="C1261" s="80"/>
      <c r="D1261" s="81">
        <f>IFERROR(__xludf.DUMMYFUNCTION("""COMPUTED_VALUE"""),46232.0)</f>
        <v>46232</v>
      </c>
      <c r="E1261" s="82"/>
      <c r="F1261" s="80"/>
      <c r="G1261" s="81">
        <f>IFERROR(__xludf.DUMMYFUNCTION("""COMPUTED_VALUE"""),46267.0)</f>
        <v>46267</v>
      </c>
      <c r="H1261" s="80"/>
      <c r="I1261" s="80"/>
      <c r="J1261" s="80"/>
      <c r="K1261" s="80"/>
      <c r="L1261" s="80">
        <f>IFERROR(__xludf.DUMMYFUNCTION("""COMPUTED_VALUE"""),35.0)</f>
        <v>35</v>
      </c>
      <c r="M1261" s="80"/>
      <c r="N1261" s="80"/>
      <c r="O1261" s="80"/>
      <c r="P1261" s="80" t="str">
        <f>IFERROR(__xludf.DUMMYFUNCTION("""COMPUTED_VALUE"""),"44BSPA45373NTBDR")</f>
        <v>44BSPA45373NTBDR</v>
      </c>
      <c r="Q1261" s="80" t="str">
        <f>IFERROR(__xludf.DUMMYFUNCTION("""COMPUTED_VALUE"""),"MUC RISAFA CELL")</f>
        <v>MUC RISAFA CELL</v>
      </c>
      <c r="R1261" s="80" t="str">
        <f>IFERROR(__xludf.DUMMYFUNCTION("""COMPUTED_VALUE"""),"MUC RISAFA CELL")</f>
        <v>MUC RISAFA CELL</v>
      </c>
      <c r="S1261" s="80" t="str">
        <f>IFERROR(__xludf.DUMMYFUNCTION("""COMPUTED_VALUE"""),"MOHAMAD ROSID")</f>
        <v>MOHAMAD ROSID</v>
      </c>
      <c r="T1261" s="80" t="str">
        <f>IFERROR(__xludf.DUMMYFUNCTION("""COMPUTED_VALUE"""),"PERUM CIBINONG CITY BLOK AD NO.05 RT 04 RW 18, SUKAHATI, CIBINONG, KAB.BOGOR")</f>
        <v>PERUM CIBINONG CITY BLOK AD NO.05 RT 04 RW 18, SUKAHATI, CIBINONG, KAB.BOGOR</v>
      </c>
      <c r="U1261" s="80" t="str">
        <f>IFERROR(__xludf.DUMMYFUNCTION("""COMPUTED_VALUE"""),"PERUM CIBINONG CITY BLOK AD NO.05 RT 04 RW 18")</f>
        <v>PERUM CIBINONG CITY BLOK AD NO.05 RT 04 RW 18</v>
      </c>
      <c r="V1261" s="80" t="str">
        <f>IFERROR(__xludf.DUMMYFUNCTION("""COMPUTED_VALUE"""),"RT 04  \ RW 18,")</f>
        <v>RT 04  \ RW 18,</v>
      </c>
      <c r="W1261" s="80" t="str">
        <f>IFERROR(__xludf.DUMMYFUNCTION("""COMPUTED_VALUE"""),"SUKAHATI")</f>
        <v>SUKAHATI</v>
      </c>
      <c r="X1261" s="80" t="str">
        <f>IFERROR(__xludf.DUMMYFUNCTION("""COMPUTED_VALUE"""),"CIBINONG")</f>
        <v>CIBINONG</v>
      </c>
      <c r="Y1261" s="80" t="str">
        <f>IFERROR(__xludf.DUMMYFUNCTION("""COMPUTED_VALUE"""),"KAB.BOGOR")</f>
        <v>KAB.BOGOR</v>
      </c>
      <c r="Z1261" s="80" t="str">
        <f>IFERROR(__xludf.DUMMYFUNCTION("""COMPUTED_VALUE"""),"JAWA BARAT")</f>
        <v>JAWA BARAT</v>
      </c>
      <c r="AA1261" s="80" t="str">
        <f>IFERROR(__xludf.DUMMYFUNCTION("""COMPUTED_VALUE"""),"16913")</f>
        <v>16913</v>
      </c>
      <c r="AB1261" s="80" t="str">
        <f>IFERROR(__xludf.DUMMYFUNCTION("""COMPUTED_VALUE"""),"3201130504740002")</f>
        <v>3201130504740002</v>
      </c>
      <c r="AC1261" s="80" t="str">
        <f>IFERROR(__xludf.DUMMYFUNCTION("""COMPUTED_VALUE"""),"07.545.473.6-003.000")</f>
        <v>07.545.473.6-003.000</v>
      </c>
      <c r="AD1261" s="80" t="str">
        <f>IFERROR(__xludf.DUMMYFUNCTION("""COMPUTED_VALUE"""),"CUM BSB - DRIEN")</f>
        <v>CUM BSB - DRIEN</v>
      </c>
      <c r="AE1261" s="80" t="str">
        <f>IFERROR(__xludf.DUMMYFUNCTION("""COMPUTED_VALUE"""),"CUM BSB - DRIEN")</f>
        <v>CUM BSB - DRIEN</v>
      </c>
      <c r="AF1261" s="80" t="str">
        <f>IFERROR(__xludf.DUMMYFUNCTION("""COMPUTED_VALUE"""),"081298631451")</f>
        <v>081298631451</v>
      </c>
      <c r="AG1261" s="80" t="str">
        <f>IFERROR(__xludf.DUMMYFUNCTION("""COMPUTED_VALUE"""),"081298631451")</f>
        <v>081298631451</v>
      </c>
      <c r="AH1261" s="80" t="str">
        <f>IFERROR(__xludf.DUMMYFUNCTION("""COMPUTED_VALUE"""),"rosidmohamad08@gmail.com")</f>
        <v>rosidmohamad08@gmail.com</v>
      </c>
      <c r="AI1261" s="80" t="str">
        <f>IFERROR(__xludf.DUMMYFUNCTION("""COMPUTED_VALUE"""),"16913S8")</f>
        <v>16913S8</v>
      </c>
      <c r="AJ1261" s="80" t="str">
        <f>IFERROR(__xludf.DUMMYFUNCTION("""COMPUTED_VALUE"""),"6a96a8c0d820772c170020e5")</f>
        <v>6a96a8c0d820772c170020e5</v>
      </c>
      <c r="AK1261" s="80" t="str">
        <f>IFERROR(__xludf.DUMMYFUNCTION("""COMPUTED_VALUE"""),"rosidmohamad08@gmail.com")</f>
        <v>rosidmohamad08@gmail.com</v>
      </c>
      <c r="AL1261" s="80" t="str">
        <f>IFERROR(__xludf.DUMMYFUNCTION("""COMPUTED_VALUE"""),"#Muc16913S8*")</f>
        <v>#Muc16913S8*</v>
      </c>
      <c r="AM1261" s="80" t="str">
        <f>IFERROR(__xludf.DUMMYFUNCTION("""COMPUTED_VALUE"""),"KANTOR REGIONAL II JAKARTA 10004")</f>
        <v>KANTOR REGIONAL II JAKARTA 10004</v>
      </c>
      <c r="AN1261" s="80" t="str">
        <f>IFERROR(__xludf.DUMMYFUNCTION("""COMPUTED_VALUE"""),"KC CIBINONG 16900")</f>
        <v>KC CIBINONG 16900</v>
      </c>
      <c r="AO1261" s="80" t="str">
        <f>IFERROR(__xludf.DUMMYFUNCTION("""COMPUTED_VALUE"""),"0310230046815")</f>
        <v>0310230046815</v>
      </c>
      <c r="AP1261" s="80" t="str">
        <f>IFERROR(__xludf.DUMMYFUNCTION("""COMPUTED_VALUE"""),"0310230046815")</f>
        <v>0310230046815</v>
      </c>
      <c r="AQ1261" s="83" t="str">
        <f>IFERROR(__xludf.DUMMYFUNCTION("""COMPUTED_VALUE"""),"1671310999")</f>
        <v>1671310999</v>
      </c>
      <c r="AR1261" s="80" t="str">
        <f>IFERROR(__xludf.DUMMYFUNCTION("""COMPUTED_VALUE"""),"BCA")</f>
        <v>BCA</v>
      </c>
      <c r="AS1261" s="80" t="str">
        <f>IFERROR(__xludf.DUMMYFUNCTION("""COMPUTED_VALUE"""),"MOHAMAD ROSID")</f>
        <v>MOHAMAD ROSID</v>
      </c>
      <c r="AT1261" s="80" t="str">
        <f>IFERROR(__xludf.DUMMYFUNCTION("""COMPUTED_VALUE"""),"-6.4937486,106.8138593")</f>
        <v>-6.4937486,106.8138593</v>
      </c>
      <c r="AU1261" s="80" t="str">
        <f>IFERROR(__xludf.DUMMYFUNCTION("""COMPUTED_VALUE"""),"-6.4937486,106.8138593")</f>
        <v>-6.4937486,106.8138593</v>
      </c>
      <c r="AV1261" s="80"/>
      <c r="AW1261" s="80"/>
      <c r="AX1261" s="80"/>
      <c r="AY1261" s="80"/>
      <c r="AZ1261" s="80"/>
      <c r="BA1261" s="80"/>
      <c r="BB1261" s="80"/>
      <c r="BC1261" s="80"/>
      <c r="BD1261" s="80"/>
      <c r="BE1261" s="80"/>
      <c r="BF1261" s="80"/>
      <c r="BG1261" s="80"/>
      <c r="BH1261" s="80"/>
      <c r="BI1261" s="80"/>
      <c r="BJ1261" s="80"/>
      <c r="BK1261" s="80"/>
      <c r="BL1261" s="80"/>
      <c r="BM1261" s="80"/>
      <c r="BN1261" s="80"/>
      <c r="BO1261" s="80"/>
      <c r="BP1261" s="80"/>
      <c r="BQ1261" s="80"/>
      <c r="BR1261" s="80"/>
      <c r="BS1261" s="80"/>
      <c r="BT1261" s="80"/>
      <c r="BU1261" s="80"/>
      <c r="BV1261" s="80"/>
      <c r="BW1261" s="80"/>
      <c r="BX1261" s="80"/>
      <c r="BY1261" s="80"/>
      <c r="BZ1261" s="80"/>
      <c r="CA1261" s="80"/>
      <c r="CB1261" s="80"/>
      <c r="CC1261" s="80"/>
      <c r="CD1261" s="80"/>
      <c r="CE1261" s="80"/>
      <c r="CF1261" s="80"/>
      <c r="CG1261" s="80"/>
      <c r="CH1261" s="80"/>
      <c r="CI1261" s="80"/>
      <c r="CJ1261" s="80"/>
      <c r="CK1261" s="2"/>
    </row>
    <row r="1262" ht="12.75" customHeight="1">
      <c r="A1262" s="85">
        <f>IFERROR(__xludf.DUMMYFUNCTION("""COMPUTED_VALUE"""),1258.0)</f>
        <v>1258</v>
      </c>
      <c r="B1262" s="85"/>
      <c r="C1262" s="85"/>
      <c r="D1262" s="86">
        <f>IFERROR(__xludf.DUMMYFUNCTION("""COMPUTED_VALUE"""),46232.0)</f>
        <v>46232</v>
      </c>
      <c r="E1262" s="88"/>
      <c r="F1262" s="85"/>
      <c r="G1262" s="86">
        <f>IFERROR(__xludf.DUMMYFUNCTION("""COMPUTED_VALUE"""),46299.0)</f>
        <v>46299</v>
      </c>
      <c r="H1262" s="85"/>
      <c r="I1262" s="85"/>
      <c r="J1262" s="85"/>
      <c r="K1262" s="85"/>
      <c r="L1262" s="85">
        <f>IFERROR(__xludf.DUMMYFUNCTION("""COMPUTED_VALUE"""),67.0)</f>
        <v>67</v>
      </c>
      <c r="M1262" s="85"/>
      <c r="N1262" s="85"/>
      <c r="O1262" s="85"/>
      <c r="P1262" s="85" t="str">
        <f>IFERROR(__xludf.DUMMYFUNCTION("""COMPUTED_VALUE"""),"MUCSPA63613PSIND")</f>
        <v>MUCSPA63613PSIND</v>
      </c>
      <c r="Q1262" s="85" t="str">
        <f>IFERROR(__xludf.DUMMYFUNCTION("""COMPUTED_VALUE"""),"MUC EDU LOGISTIK")</f>
        <v>MUC EDU LOGISTIK</v>
      </c>
      <c r="R1262" s="85" t="str">
        <f>IFERROR(__xludf.DUMMYFUNCTION("""COMPUTED_VALUE"""),"MUC EDU LOGISTIK")</f>
        <v>MUC EDU LOGISTIK</v>
      </c>
      <c r="S1262" s="85" t="str">
        <f>IFERROR(__xludf.DUMMYFUNCTION("""COMPUTED_VALUE"""),"KHAIRUL JANWAR")</f>
        <v>KHAIRUL JANWAR</v>
      </c>
      <c r="T1262" s="85" t="str">
        <f>IFERROR(__xludf.DUMMYFUNCTION("""COMPUTED_VALUE"""),"Kp. Kebantenan RT. 004/009 Kel. Jatiasih Kec. Jatiasih. Bekasi")</f>
        <v>Kp. Kebantenan RT. 004/009 Kel. Jatiasih Kec. Jatiasih. Bekasi</v>
      </c>
      <c r="U1262" s="85" t="str">
        <f>IFERROR(__xludf.DUMMYFUNCTION("""COMPUTED_VALUE"""),"Jl. Ciater Raya No.21, Rw. Mekar Jaya, Kec. Serpong, Kota Tangerang Selatan, Banten 15530")</f>
        <v>Jl. Ciater Raya No.21, Rw. Mekar Jaya, Kec. Serpong, Kota Tangerang Selatan, Banten 15530</v>
      </c>
      <c r="V1262" s="85"/>
      <c r="W1262" s="85" t="str">
        <f>IFERROR(__xludf.DUMMYFUNCTION("""COMPUTED_VALUE"""),"Rawa Mekar Jaya")</f>
        <v>Rawa Mekar Jaya</v>
      </c>
      <c r="X1262" s="85" t="str">
        <f>IFERROR(__xludf.DUMMYFUNCTION("""COMPUTED_VALUE"""),"Serpong")</f>
        <v>Serpong</v>
      </c>
      <c r="Y1262" s="85" t="str">
        <f>IFERROR(__xludf.DUMMYFUNCTION("""COMPUTED_VALUE"""),"Tangerang Selatan")</f>
        <v>Tangerang Selatan</v>
      </c>
      <c r="Z1262" s="85" t="str">
        <f>IFERROR(__xludf.DUMMYFUNCTION("""COMPUTED_VALUE"""),"Banten")</f>
        <v>Banten</v>
      </c>
      <c r="AA1262" s="85" t="str">
        <f>IFERROR(__xludf.DUMMYFUNCTION("""COMPUTED_VALUE"""),"15530")</f>
        <v>15530</v>
      </c>
      <c r="AB1262" s="85" t="str">
        <f>IFERROR(__xludf.DUMMYFUNCTION("""COMPUTED_VALUE"""),"3275091801900002")</f>
        <v>3275091801900002</v>
      </c>
      <c r="AC1262" s="85" t="str">
        <f>IFERROR(__xludf.DUMMYFUNCTION("""COMPUTED_VALUE"""),"20.103.673.8-403.000")</f>
        <v>20.103.673.8-403.000</v>
      </c>
      <c r="AD1262" s="85" t="str">
        <f>IFERROR(__xludf.DUMMYFUNCTION("""COMPUTED_VALUE"""),"CUM - PS - HSI")</f>
        <v>CUM - PS - HSI</v>
      </c>
      <c r="AE1262" s="85" t="str">
        <f>IFERROR(__xludf.DUMMYFUNCTION("""COMPUTED_VALUE"""),"CUM - PS - HSI")</f>
        <v>CUM - PS - HSI</v>
      </c>
      <c r="AF1262" s="85" t="str">
        <f>IFERROR(__xludf.DUMMYFUNCTION("""COMPUTED_VALUE"""),"082129111165")</f>
        <v>082129111165</v>
      </c>
      <c r="AG1262" s="85" t="str">
        <f>IFERROR(__xludf.DUMMYFUNCTION("""COMPUTED_VALUE"""),"082129111165")</f>
        <v>082129111165</v>
      </c>
      <c r="AH1262" s="85" t="str">
        <f>IFERROR(__xludf.DUMMYFUNCTION("""COMPUTED_VALUE"""),"cs@edulogistik.com")</f>
        <v>cs@edulogistik.com</v>
      </c>
      <c r="AI1262" s="85" t="str">
        <f>IFERROR(__xludf.DUMMYFUNCTION("""COMPUTED_VALUE"""),"15318S8")</f>
        <v>15318S8</v>
      </c>
      <c r="AJ1262" s="85" t="str">
        <f>IFERROR(__xludf.DUMMYFUNCTION("""COMPUTED_VALUE"""),"6a96587efbee7f3a0c09d386")</f>
        <v>6a96587efbee7f3a0c09d386</v>
      </c>
      <c r="AK1262" s="85" t="str">
        <f>IFERROR(__xludf.DUMMYFUNCTION("""COMPUTED_VALUE"""),"cs@edulogistik.com")</f>
        <v>cs@edulogistik.com</v>
      </c>
      <c r="AL1262" s="85" t="str">
        <f>IFERROR(__xludf.DUMMYFUNCTION("""COMPUTED_VALUE"""),"#Muc15318S8$")</f>
        <v>#Muc15318S8$</v>
      </c>
      <c r="AM1262" s="85" t="str">
        <f>IFERROR(__xludf.DUMMYFUNCTION("""COMPUTED_VALUE"""),"KANTOR REGIONAL II JAKARTA 10004")</f>
        <v>KANTOR REGIONAL II JAKARTA 10004</v>
      </c>
      <c r="AN1262" s="85" t="str">
        <f>IFERROR(__xludf.DUMMYFUNCTION("""COMPUTED_VALUE"""),"KC TANGERANGSELATAN 15400")</f>
        <v>KC TANGERANGSELATAN 15400</v>
      </c>
      <c r="AO1262" s="85" t="str">
        <f>IFERROR(__xludf.DUMMYFUNCTION("""COMPUTED_VALUE"""),"2707260044272")</f>
        <v>2707260044272</v>
      </c>
      <c r="AP1262" s="85" t="str">
        <f>IFERROR(__xludf.DUMMYFUNCTION("""COMPUTED_VALUE"""),"2707260044272")</f>
        <v>2707260044272</v>
      </c>
      <c r="AQ1262" s="93" t="str">
        <f>IFERROR(__xludf.DUMMYFUNCTION("""COMPUTED_VALUE"""),"4820488020")</f>
        <v>4820488020</v>
      </c>
      <c r="AR1262" s="85" t="str">
        <f>IFERROR(__xludf.DUMMYFUNCTION("""COMPUTED_VALUE"""),"BCA")</f>
        <v>BCA</v>
      </c>
      <c r="AS1262" s="85" t="str">
        <f>IFERROR(__xludf.DUMMYFUNCTION("""COMPUTED_VALUE"""),"PT Edu Trans Logistik")</f>
        <v>PT Edu Trans Logistik</v>
      </c>
      <c r="AT1262" s="85" t="str">
        <f>IFERROR(__xludf.DUMMYFUNCTION("""COMPUTED_VALUE"""),"-6.3136312,106.693185")</f>
        <v>-6.3136312,106.693185</v>
      </c>
      <c r="AU1262" s="85" t="str">
        <f>IFERROR(__xludf.DUMMYFUNCTION("""COMPUTED_VALUE"""),"-6.3136312,106.693185")</f>
        <v>-6.3136312,106.693185</v>
      </c>
      <c r="AV1262" s="85"/>
      <c r="AW1262" s="85"/>
      <c r="AX1262" s="85"/>
      <c r="AY1262" s="85"/>
      <c r="AZ1262" s="85"/>
      <c r="BA1262" s="85"/>
      <c r="BB1262" s="85"/>
      <c r="BC1262" s="85"/>
      <c r="BD1262" s="85"/>
      <c r="BE1262" s="85"/>
      <c r="BF1262" s="85"/>
      <c r="BG1262" s="85"/>
      <c r="BH1262" s="85"/>
      <c r="BI1262" s="85"/>
      <c r="BJ1262" s="85"/>
      <c r="BK1262" s="85"/>
      <c r="BL1262" s="85"/>
      <c r="BM1262" s="85"/>
      <c r="BN1262" s="85"/>
      <c r="BO1262" s="85"/>
      <c r="BP1262" s="85"/>
      <c r="BQ1262" s="85"/>
      <c r="BR1262" s="85"/>
      <c r="BS1262" s="85"/>
      <c r="BT1262" s="85"/>
      <c r="BU1262" s="85"/>
      <c r="BV1262" s="85"/>
      <c r="BW1262" s="85"/>
      <c r="BX1262" s="85"/>
      <c r="BY1262" s="85"/>
      <c r="BZ1262" s="85"/>
      <c r="CA1262" s="85"/>
      <c r="CB1262" s="85"/>
      <c r="CC1262" s="85"/>
      <c r="CD1262" s="85"/>
      <c r="CE1262" s="85"/>
      <c r="CF1262" s="85"/>
      <c r="CG1262" s="85"/>
      <c r="CH1262" s="85"/>
      <c r="CI1262" s="85"/>
      <c r="CJ1262" s="85"/>
      <c r="CK1262" s="2"/>
    </row>
    <row r="1263" ht="12.75" customHeight="1">
      <c r="A1263" s="80">
        <f>IFERROR(__xludf.DUMMYFUNCTION("""COMPUTED_VALUE"""),1259.0)</f>
        <v>1259</v>
      </c>
      <c r="B1263" s="80"/>
      <c r="C1263" s="80"/>
      <c r="D1263" s="81">
        <f>IFERROR(__xludf.DUMMYFUNCTION("""COMPUTED_VALUE"""),46232.0)</f>
        <v>46232</v>
      </c>
      <c r="E1263" s="82"/>
      <c r="F1263" s="80"/>
      <c r="G1263" s="81">
        <f>IFERROR(__xludf.DUMMYFUNCTION("""COMPUTED_VALUE"""),46267.0)</f>
        <v>46267</v>
      </c>
      <c r="H1263" s="80"/>
      <c r="I1263" s="80"/>
      <c r="J1263" s="80"/>
      <c r="K1263" s="80"/>
      <c r="L1263" s="80">
        <f>IFERROR(__xludf.DUMMYFUNCTION("""COMPUTED_VALUE"""),35.0)</f>
        <v>35</v>
      </c>
      <c r="M1263" s="80"/>
      <c r="N1263" s="80"/>
      <c r="O1263" s="80"/>
      <c r="P1263" s="80" t="str">
        <f>IFERROR(__xludf.DUMMYFUNCTION("""COMPUTED_VALUE"""),"MUCSPA63638PSIND")</f>
        <v>MUCSPA63638PSIND</v>
      </c>
      <c r="Q1263" s="80" t="str">
        <f>IFERROR(__xludf.DUMMYFUNCTION("""COMPUTED_VALUE"""),"MUC BINTANG LIMA SHOP")</f>
        <v>MUC BINTANG LIMA SHOP</v>
      </c>
      <c r="R1263" s="80" t="str">
        <f>IFERROR(__xludf.DUMMYFUNCTION("""COMPUTED_VALUE"""),"MUC BINTANG LIMA SHOP")</f>
        <v>MUC BINTANG LIMA SHOP</v>
      </c>
      <c r="S1263" s="80" t="str">
        <f>IFERROR(__xludf.DUMMYFUNCTION("""COMPUTED_VALUE"""),"MIFTAHUL JANNAH")</f>
        <v>MIFTAHUL JANNAH</v>
      </c>
      <c r="T1263" s="80" t="str">
        <f>IFERROR(__xludf.DUMMYFUNCTION("""COMPUTED_VALUE"""),"Jalan Catalina VII, Blok H No.10, Paku Jaya Serpong Utara TANGSEL")</f>
        <v>Jalan Catalina VII, Blok H No.10, Paku Jaya Serpong Utara TANGSEL</v>
      </c>
      <c r="U1263" s="80" t="str">
        <f>IFERROR(__xludf.DUMMYFUNCTION("""COMPUTED_VALUE"""),"Jalan Pendidikan No. 25A")</f>
        <v>Jalan Pendidikan No. 25A</v>
      </c>
      <c r="V1263" s="80"/>
      <c r="W1263" s="80" t="str">
        <f>IFERROR(__xludf.DUMMYFUNCTION("""COMPUTED_VALUE"""),"Jurangmangu Barat")</f>
        <v>Jurangmangu Barat</v>
      </c>
      <c r="X1263" s="80" t="str">
        <f>IFERROR(__xludf.DUMMYFUNCTION("""COMPUTED_VALUE"""),"Pondok Aren")</f>
        <v>Pondok Aren</v>
      </c>
      <c r="Y1263" s="80" t="str">
        <f>IFERROR(__xludf.DUMMYFUNCTION("""COMPUTED_VALUE"""),"Tangerang Selatan")</f>
        <v>Tangerang Selatan</v>
      </c>
      <c r="Z1263" s="80" t="str">
        <f>IFERROR(__xludf.DUMMYFUNCTION("""COMPUTED_VALUE"""),"Banten")</f>
        <v>Banten</v>
      </c>
      <c r="AA1263" s="80" t="str">
        <f>IFERROR(__xludf.DUMMYFUNCTION("""COMPUTED_VALUE"""),"15233")</f>
        <v>15233</v>
      </c>
      <c r="AB1263" s="80" t="str">
        <f>IFERROR(__xludf.DUMMYFUNCTION("""COMPUTED_VALUE"""),"1106106505970004")</f>
        <v>1106106505970004</v>
      </c>
      <c r="AC1263" s="80" t="str">
        <f>IFERROR(__xludf.DUMMYFUNCTION("""COMPUTED_VALUE"""),"01.372.644.3-013.000")</f>
        <v>01.372.644.3-013.000</v>
      </c>
      <c r="AD1263" s="80" t="str">
        <f>IFERROR(__xludf.DUMMYFUNCTION("""COMPUTED_VALUE"""),"CUM - PS - DWIH")</f>
        <v>CUM - PS - DWIH</v>
      </c>
      <c r="AE1263" s="80" t="str">
        <f>IFERROR(__xludf.DUMMYFUNCTION("""COMPUTED_VALUE"""),"CUM - PS - DWIH")</f>
        <v>CUM - PS - DWIH</v>
      </c>
      <c r="AF1263" s="80" t="str">
        <f>IFERROR(__xludf.DUMMYFUNCTION("""COMPUTED_VALUE"""),"081770822993")</f>
        <v>081770822993</v>
      </c>
      <c r="AG1263" s="80" t="str">
        <f>IFERROR(__xludf.DUMMYFUNCTION("""COMPUTED_VALUE"""),"081770822993")</f>
        <v>081770822993</v>
      </c>
      <c r="AH1263" s="80" t="str">
        <f>IFERROR(__xludf.DUMMYFUNCTION("""COMPUTED_VALUE"""),"admin@smkyadika5.sch.id")</f>
        <v>admin@smkyadika5.sch.id</v>
      </c>
      <c r="AI1263" s="80" t="str">
        <f>IFERROR(__xludf.DUMMYFUNCTION("""COMPUTED_VALUE"""),"15423S7")</f>
        <v>15423S7</v>
      </c>
      <c r="AJ1263" s="80" t="str">
        <f>IFERROR(__xludf.DUMMYFUNCTION("""COMPUTED_VALUE"""),"6a9660889da6ac9192041250")</f>
        <v>6a9660889da6ac9192041250</v>
      </c>
      <c r="AK1263" s="80" t="str">
        <f>IFERROR(__xludf.DUMMYFUNCTION("""COMPUTED_VALUE"""),"admin@smkyadika5.sch.id")</f>
        <v>admin@smkyadika5.sch.id</v>
      </c>
      <c r="AL1263" s="80" t="str">
        <f>IFERROR(__xludf.DUMMYFUNCTION("""COMPUTED_VALUE"""),"#Muc15423S7$")</f>
        <v>#Muc15423S7$</v>
      </c>
      <c r="AM1263" s="80" t="str">
        <f>IFERROR(__xludf.DUMMYFUNCTION("""COMPUTED_VALUE"""),"KANTOR REGIONAL II JAKARTA 10004")</f>
        <v>KANTOR REGIONAL II JAKARTA 10004</v>
      </c>
      <c r="AN1263" s="80" t="str">
        <f>IFERROR(__xludf.DUMMYFUNCTION("""COMPUTED_VALUE"""),"KC TANGERANGSELATAN 15400")</f>
        <v>KC TANGERANGSELATAN 15400</v>
      </c>
      <c r="AO1263" s="80" t="str">
        <f>IFERROR(__xludf.DUMMYFUNCTION("""COMPUTED_VALUE"""),"2907260044375")</f>
        <v>2907260044375</v>
      </c>
      <c r="AP1263" s="80" t="str">
        <f>IFERROR(__xludf.DUMMYFUNCTION("""COMPUTED_VALUE"""),"2907260044375")</f>
        <v>2907260044375</v>
      </c>
      <c r="AQ1263" s="83" t="str">
        <f>IFERROR(__xludf.DUMMYFUNCTION("""COMPUTED_VALUE"""),"0196084677")</f>
        <v>0196084677</v>
      </c>
      <c r="AR1263" s="80" t="str">
        <f>IFERROR(__xludf.DUMMYFUNCTION("""COMPUTED_VALUE"""),"Giro Pos")</f>
        <v>Giro Pos</v>
      </c>
      <c r="AS1263" s="80" t="str">
        <f>IFERROR(__xludf.DUMMYFUNCTION("""COMPUTED_VALUE"""),"MIFTAHUL JANNAH")</f>
        <v>MIFTAHUL JANNAH</v>
      </c>
      <c r="AT1263" s="80" t="str">
        <f>IFERROR(__xludf.DUMMYFUNCTION("""COMPUTED_VALUE"""),"-6.263772,106.721233")</f>
        <v>-6.263772,106.721233</v>
      </c>
      <c r="AU1263" s="80" t="str">
        <f>IFERROR(__xludf.DUMMYFUNCTION("""COMPUTED_VALUE"""),"-6.263772,106.721233")</f>
        <v>-6.263772,106.721233</v>
      </c>
      <c r="AV1263" s="80"/>
      <c r="AW1263" s="80"/>
      <c r="AX1263" s="80"/>
      <c r="AY1263" s="80"/>
      <c r="AZ1263" s="80"/>
      <c r="BA1263" s="80"/>
      <c r="BB1263" s="80"/>
      <c r="BC1263" s="80"/>
      <c r="BD1263" s="80"/>
      <c r="BE1263" s="80"/>
      <c r="BF1263" s="80"/>
      <c r="BG1263" s="80"/>
      <c r="BH1263" s="80"/>
      <c r="BI1263" s="80"/>
      <c r="BJ1263" s="80"/>
      <c r="BK1263" s="80"/>
      <c r="BL1263" s="80"/>
      <c r="BM1263" s="80"/>
      <c r="BN1263" s="80"/>
      <c r="BO1263" s="80"/>
      <c r="BP1263" s="80"/>
      <c r="BQ1263" s="80"/>
      <c r="BR1263" s="80"/>
      <c r="BS1263" s="80"/>
      <c r="BT1263" s="80"/>
      <c r="BU1263" s="80"/>
      <c r="BV1263" s="80"/>
      <c r="BW1263" s="80"/>
      <c r="BX1263" s="80"/>
      <c r="BY1263" s="80"/>
      <c r="BZ1263" s="80"/>
      <c r="CA1263" s="80"/>
      <c r="CB1263" s="80"/>
      <c r="CC1263" s="80"/>
      <c r="CD1263" s="80"/>
      <c r="CE1263" s="80"/>
      <c r="CF1263" s="80"/>
      <c r="CG1263" s="80"/>
      <c r="CH1263" s="80"/>
      <c r="CI1263" s="80"/>
      <c r="CJ1263" s="80"/>
      <c r="CK1263" s="2"/>
    </row>
    <row r="1264" ht="12.75" customHeight="1">
      <c r="A1264" s="85">
        <f>IFERROR(__xludf.DUMMYFUNCTION("""COMPUTED_VALUE"""),1260.0)</f>
        <v>1260</v>
      </c>
      <c r="B1264" s="85"/>
      <c r="C1264" s="85"/>
      <c r="D1264" s="86">
        <f>IFERROR(__xludf.DUMMYFUNCTION("""COMPUTED_VALUE"""),46232.0)</f>
        <v>46232</v>
      </c>
      <c r="E1264" s="88"/>
      <c r="F1264" s="85"/>
      <c r="G1264" s="86">
        <f>IFERROR(__xludf.DUMMYFUNCTION("""COMPUTED_VALUE"""),46280.0)</f>
        <v>46280</v>
      </c>
      <c r="H1264" s="85"/>
      <c r="I1264" s="85"/>
      <c r="J1264" s="85"/>
      <c r="K1264" s="85"/>
      <c r="L1264" s="85">
        <f>IFERROR(__xludf.DUMMYFUNCTION("""COMPUTED_VALUE"""),48.0)</f>
        <v>48</v>
      </c>
      <c r="M1264" s="85"/>
      <c r="N1264" s="85"/>
      <c r="O1264" s="85"/>
      <c r="P1264" s="85" t="str">
        <f>IFERROR(__xludf.DUMMYFUNCTION("""COMPUTED_VALUE"""),"MUCSPA70044PSUMK")</f>
        <v>MUCSPA70044PSUMK</v>
      </c>
      <c r="Q1264" s="85" t="str">
        <f>IFERROR(__xludf.DUMMYFUNCTION("""COMPUTED_VALUE"""),"MUC SOFIE BELAMINA")</f>
        <v>MUC SOFIE BELAMINA</v>
      </c>
      <c r="R1264" s="85" t="str">
        <f>IFERROR(__xludf.DUMMYFUNCTION("""COMPUTED_VALUE"""),"MUC SOFIE BELAMINA")</f>
        <v>MUC SOFIE BELAMINA</v>
      </c>
      <c r="S1264" s="85" t="str">
        <f>IFERROR(__xludf.DUMMYFUNCTION("""COMPUTED_VALUE"""),"SHOFIA AQILAH")</f>
        <v>SHOFIA AQILAH</v>
      </c>
      <c r="T1264" s="85" t="str">
        <f>IFERROR(__xludf.DUMMYFUNCTION("""COMPUTED_VALUE"""),"KRANJI RT 05 RW 04, KRANJI, PACIRAN, KAB.LAMONGAN")</f>
        <v>KRANJI RT 05 RW 04, KRANJI, PACIRAN, KAB.LAMONGAN</v>
      </c>
      <c r="U1264" s="85" t="str">
        <f>IFERROR(__xludf.DUMMYFUNCTION("""COMPUTED_VALUE"""),"JL. KH. MUSTHOFA NO.22 RT 05 RW 04")</f>
        <v>JL. KH. MUSTHOFA NO.22 RT 05 RW 04</v>
      </c>
      <c r="V1264" s="85" t="str">
        <f>IFERROR(__xludf.DUMMYFUNCTION("""COMPUTED_VALUE"""),"RT 05  \ RW 04,")</f>
        <v>RT 05  \ RW 04,</v>
      </c>
      <c r="W1264" s="85" t="str">
        <f>IFERROR(__xludf.DUMMYFUNCTION("""COMPUTED_VALUE"""),"KRANJI")</f>
        <v>KRANJI</v>
      </c>
      <c r="X1264" s="85" t="str">
        <f>IFERROR(__xludf.DUMMYFUNCTION("""COMPUTED_VALUE"""),"PACIRAN")</f>
        <v>PACIRAN</v>
      </c>
      <c r="Y1264" s="85" t="str">
        <f>IFERROR(__xludf.DUMMYFUNCTION("""COMPUTED_VALUE"""),"KAB.LAMONGAN")</f>
        <v>KAB.LAMONGAN</v>
      </c>
      <c r="Z1264" s="85" t="str">
        <f>IFERROR(__xludf.DUMMYFUNCTION("""COMPUTED_VALUE"""),"JAWA TIMUR")</f>
        <v>JAWA TIMUR</v>
      </c>
      <c r="AA1264" s="85" t="str">
        <f>IFERROR(__xludf.DUMMYFUNCTION("""COMPUTED_VALUE"""),"62264")</f>
        <v>62264</v>
      </c>
      <c r="AB1264" s="85" t="str">
        <f>IFERROR(__xludf.DUMMYFUNCTION("""COMPUTED_VALUE"""),"3524146103780002")</f>
        <v>3524146103780002</v>
      </c>
      <c r="AC1264" s="85" t="str">
        <f>IFERROR(__xludf.DUMMYFUNCTION("""COMPUTED_VALUE"""),"60.510.418.1-645.000")</f>
        <v>60.510.418.1-645.000</v>
      </c>
      <c r="AD1264" s="85" t="str">
        <f>IFERROR(__xludf.DUMMYFUNCTION("""COMPUTED_VALUE"""),"CUM - UMKMNK - ASEP")</f>
        <v>CUM - UMKMNK - ASEP</v>
      </c>
      <c r="AE1264" s="85" t="str">
        <f>IFERROR(__xludf.DUMMYFUNCTION("""COMPUTED_VALUE"""),"CUM - UMKMNK - ASEP")</f>
        <v>CUM - UMKMNK - ASEP</v>
      </c>
      <c r="AF1264" s="85" t="str">
        <f>IFERROR(__xludf.DUMMYFUNCTION("""COMPUTED_VALUE"""),"081290535904")</f>
        <v>081290535904</v>
      </c>
      <c r="AG1264" s="85" t="str">
        <f>IFERROR(__xludf.DUMMYFUNCTION("""COMPUTED_VALUE"""),"081290535904")</f>
        <v>081290535904</v>
      </c>
      <c r="AH1264" s="85" t="str">
        <f>IFERROR(__xludf.DUMMYFUNCTION("""COMPUTED_VALUE"""),"shofiaberlianlaut@gmail.com")</f>
        <v>shofiaberlianlaut@gmail.com</v>
      </c>
      <c r="AI1264" s="85" t="str">
        <f>IFERROR(__xludf.DUMMYFUNCTION("""COMPUTED_VALUE"""),"62264S2 ")</f>
        <v>62264S2 </v>
      </c>
      <c r="AJ1264" s="85" t="str">
        <f>IFERROR(__xludf.DUMMYFUNCTION("""COMPUTED_VALUE"""),"6a9cebd3e6fed10bab038732 ")</f>
        <v>6a9cebd3e6fed10bab038732 </v>
      </c>
      <c r="AK1264" s="85" t="str">
        <f>IFERROR(__xludf.DUMMYFUNCTION("""COMPUTED_VALUE"""),"shofiaberlianlaut@gmail.com")</f>
        <v>shofiaberlianlaut@gmail.com</v>
      </c>
      <c r="AL1264" s="85" t="str">
        <f>IFERROR(__xludf.DUMMYFUNCTION("""COMPUTED_VALUE"""),"#Muc62264S2$")</f>
        <v>#Muc62264S2$</v>
      </c>
      <c r="AM1264" s="85" t="str">
        <f>IFERROR(__xludf.DUMMYFUNCTION("""COMPUTED_VALUE"""),"KANTOR REGIONAL V SURABAYA 60004")</f>
        <v>KANTOR REGIONAL V SURABAYA 60004</v>
      </c>
      <c r="AN1264" s="85" t="str">
        <f>IFERROR(__xludf.DUMMYFUNCTION("""COMPUTED_VALUE"""),"KC LAMONGAN 62200")</f>
        <v>KC LAMONGAN 62200</v>
      </c>
      <c r="AO1264" s="85" t="str">
        <f>IFERROR(__xludf.DUMMYFUNCTION("""COMPUTED_VALUE"""),"0511210006314")</f>
        <v>0511210006314</v>
      </c>
      <c r="AP1264" s="85" t="str">
        <f>IFERROR(__xludf.DUMMYFUNCTION("""COMPUTED_VALUE"""),"0511210006314")</f>
        <v>0511210006314</v>
      </c>
      <c r="AQ1264" s="93" t="str">
        <f>IFERROR(__xludf.DUMMYFUNCTION("""COMPUTED_VALUE"""),"028603001")</f>
        <v>028603001</v>
      </c>
      <c r="AR1264" s="85" t="str">
        <f>IFERROR(__xludf.DUMMYFUNCTION("""COMPUTED_VALUE"""),"BANK JATIM")</f>
        <v>BANK JATIM</v>
      </c>
      <c r="AS1264" s="85" t="str">
        <f>IFERROR(__xludf.DUMMYFUNCTION("""COMPUTED_VALUE"""),"SHOFIA AQILAH")</f>
        <v>SHOFIA AQILAH</v>
      </c>
      <c r="AT1264" s="85" t="str">
        <f>IFERROR(__xludf.DUMMYFUNCTION("""COMPUTED_VALUE"""),"-6.8768427,112.3807264")</f>
        <v>-6.8768427,112.3807264</v>
      </c>
      <c r="AU1264" s="85" t="str">
        <f>IFERROR(__xludf.DUMMYFUNCTION("""COMPUTED_VALUE"""),"-6.8768427,112.3807264")</f>
        <v>-6.8768427,112.3807264</v>
      </c>
      <c r="AV1264" s="85"/>
      <c r="AW1264" s="85"/>
      <c r="AX1264" s="85"/>
      <c r="AY1264" s="85"/>
      <c r="AZ1264" s="85"/>
      <c r="BA1264" s="85"/>
      <c r="BB1264" s="85"/>
      <c r="BC1264" s="85"/>
      <c r="BD1264" s="85"/>
      <c r="BE1264" s="85"/>
      <c r="BF1264" s="85"/>
      <c r="BG1264" s="85"/>
      <c r="BH1264" s="85"/>
      <c r="BI1264" s="85"/>
      <c r="BJ1264" s="85"/>
      <c r="BK1264" s="85"/>
      <c r="BL1264" s="85"/>
      <c r="BM1264" s="85"/>
      <c r="BN1264" s="85"/>
      <c r="BO1264" s="85"/>
      <c r="BP1264" s="85"/>
      <c r="BQ1264" s="85"/>
      <c r="BR1264" s="85"/>
      <c r="BS1264" s="85"/>
      <c r="BT1264" s="85"/>
      <c r="BU1264" s="85"/>
      <c r="BV1264" s="85"/>
      <c r="BW1264" s="85"/>
      <c r="BX1264" s="85"/>
      <c r="BY1264" s="85"/>
      <c r="BZ1264" s="85"/>
      <c r="CA1264" s="85"/>
      <c r="CB1264" s="85"/>
      <c r="CC1264" s="85"/>
      <c r="CD1264" s="85"/>
      <c r="CE1264" s="85"/>
      <c r="CF1264" s="85"/>
      <c r="CG1264" s="85"/>
      <c r="CH1264" s="85"/>
      <c r="CI1264" s="85"/>
      <c r="CJ1264" s="85"/>
      <c r="CK1264" s="2"/>
    </row>
    <row r="1265" ht="12.75" customHeight="1">
      <c r="A1265" s="80">
        <f>IFERROR(__xludf.DUMMYFUNCTION("""COMPUTED_VALUE"""),1261.0)</f>
        <v>1261</v>
      </c>
      <c r="B1265" s="80"/>
      <c r="C1265" s="80"/>
      <c r="D1265" s="81">
        <f>IFERROR(__xludf.DUMMYFUNCTION("""COMPUTED_VALUE"""),46232.0)</f>
        <v>46232</v>
      </c>
      <c r="E1265" s="82"/>
      <c r="F1265" s="80"/>
      <c r="G1265" s="81"/>
      <c r="H1265" s="80"/>
      <c r="I1265" s="80"/>
      <c r="J1265" s="80"/>
      <c r="K1265" s="80"/>
      <c r="L1265" s="80"/>
      <c r="M1265" s="80"/>
      <c r="N1265" s="80"/>
      <c r="O1265" s="80"/>
      <c r="P1265" s="80" t="str">
        <f>IFERROR(__xludf.DUMMYFUNCTION("""COMPUTED_VALUE"""),"44BSPA45366NTBDR")</f>
        <v>44BSPA45366NTBDR</v>
      </c>
      <c r="Q1265" s="80" t="str">
        <f>IFERROR(__xludf.DUMMYFUNCTION("""COMPUTED_VALUE"""),"MUC KIOS RESKY")</f>
        <v>MUC KIOS RESKY</v>
      </c>
      <c r="R1265" s="80" t="str">
        <f>IFERROR(__xludf.DUMMYFUNCTION("""COMPUTED_VALUE"""),"MUC KIOS RESKY")</f>
        <v>MUC KIOS RESKY</v>
      </c>
      <c r="S1265" s="80" t="str">
        <f>IFERROR(__xludf.DUMMYFUNCTION("""COMPUTED_VALUE"""),"IMRAN")</f>
        <v>IMRAN</v>
      </c>
      <c r="T1265" s="80" t="str">
        <f>IFERROR(__xludf.DUMMYFUNCTION("""COMPUTED_VALUE"""),"LINGK. IV EPE RT 00 RW 00, WUNDULAKO, WUNDULAKO, KAB.KOLAKA")</f>
        <v>LINGK. IV EPE RT 00 RW 00, WUNDULAKO, WUNDULAKO, KAB.KOLAKA</v>
      </c>
      <c r="U1265" s="80" t="str">
        <f>IFERROR(__xludf.DUMMYFUNCTION("""COMPUTED_VALUE"""),"JALAN POROS KOLAKA POMALAA LINGK IV EPE NO.18 RT 00 RW 00")</f>
        <v>JALAN POROS KOLAKA POMALAA LINGK IV EPE NO.18 RT 00 RW 00</v>
      </c>
      <c r="V1265" s="80" t="str">
        <f>IFERROR(__xludf.DUMMYFUNCTION("""COMPUTED_VALUE"""),"RT 00  \ RW 00,")</f>
        <v>RT 00  \ RW 00,</v>
      </c>
      <c r="W1265" s="80" t="str">
        <f>IFERROR(__xludf.DUMMYFUNCTION("""COMPUTED_VALUE"""),"WUNDULAKO")</f>
        <v>WUNDULAKO</v>
      </c>
      <c r="X1265" s="80" t="str">
        <f>IFERROR(__xludf.DUMMYFUNCTION("""COMPUTED_VALUE"""),"WUNDULAKO")</f>
        <v>WUNDULAKO</v>
      </c>
      <c r="Y1265" s="80" t="str">
        <f>IFERROR(__xludf.DUMMYFUNCTION("""COMPUTED_VALUE"""),"KAB.KOLAKA")</f>
        <v>KAB.KOLAKA</v>
      </c>
      <c r="Z1265" s="80" t="str">
        <f>IFERROR(__xludf.DUMMYFUNCTION("""COMPUTED_VALUE"""),"SULAWESI TENGGARA")</f>
        <v>SULAWESI TENGGARA</v>
      </c>
      <c r="AA1265" s="80" t="str">
        <f>IFERROR(__xludf.DUMMYFUNCTION("""COMPUTED_VALUE"""),"93561")</f>
        <v>93561</v>
      </c>
      <c r="AB1265" s="80" t="str">
        <f>IFERROR(__xludf.DUMMYFUNCTION("""COMPUTED_VALUE"""),"7308220105780002")</f>
        <v>7308220105780002</v>
      </c>
      <c r="AC1265" s="80" t="str">
        <f>IFERROR(__xludf.DUMMYFUNCTION("""COMPUTED_VALUE"""),"78.084.729.9-808.000")</f>
        <v>78.084.729.9-808.000</v>
      </c>
      <c r="AD1265" s="80" t="str">
        <f>IFERROR(__xludf.DUMMYFUNCTION("""COMPUTED_VALUE"""),"44CUMBSBDRIEN - CUM BSB - DRIEN")</f>
        <v>44CUMBSBDRIEN - CUM BSB - DRIEN</v>
      </c>
      <c r="AE1265" s="80" t="str">
        <f>IFERROR(__xludf.DUMMYFUNCTION("""COMPUTED_VALUE"""),"44CUMBSBDRIEN - CUM BSB - DRIEN")</f>
        <v>44CUMBSBDRIEN - CUM BSB - DRIEN</v>
      </c>
      <c r="AF1265" s="80" t="str">
        <f>IFERROR(__xludf.DUMMYFUNCTION("""COMPUTED_VALUE"""),"085251802178")</f>
        <v>085251802178</v>
      </c>
      <c r="AG1265" s="80" t="str">
        <f>IFERROR(__xludf.DUMMYFUNCTION("""COMPUTED_VALUE"""),"085251802178")</f>
        <v>085251802178</v>
      </c>
      <c r="AH1265" s="80" t="str">
        <f>IFERROR(__xludf.DUMMYFUNCTION("""COMPUTED_VALUE"""),"imrankolaka78@gmail.com")</f>
        <v>imrankolaka78@gmail.com</v>
      </c>
      <c r="AI1265" s="80"/>
      <c r="AJ1265" s="80"/>
      <c r="AK1265" s="80"/>
      <c r="AL1265" s="80"/>
      <c r="AM1265" s="80" t="str">
        <f>IFERROR(__xludf.DUMMYFUNCTION("""COMPUTED_VALUE"""),"KANTOR REGIONAL VI MAKASAR 90004")</f>
        <v>KANTOR REGIONAL VI MAKASAR 90004</v>
      </c>
      <c r="AN1265" s="80" t="str">
        <f>IFERROR(__xludf.DUMMYFUNCTION("""COMPUTED_VALUE"""),"KCU KENDARI 93000")</f>
        <v>KCU KENDARI 93000</v>
      </c>
      <c r="AO1265" s="80" t="str">
        <f>IFERROR(__xludf.DUMMYFUNCTION("""COMPUTED_VALUE"""),"2407260037616")</f>
        <v>2407260037616</v>
      </c>
      <c r="AP1265" s="80" t="str">
        <f>IFERROR(__xludf.DUMMYFUNCTION("""COMPUTED_VALUE"""),"2407260037616")</f>
        <v>2407260037616</v>
      </c>
      <c r="AQ1265" s="83" t="str">
        <f>IFERROR(__xludf.DUMMYFUNCTION("""COMPUTED_VALUE"""),"1610013906016")</f>
        <v>1610013906016</v>
      </c>
      <c r="AR1265" s="80" t="str">
        <f>IFERROR(__xludf.DUMMYFUNCTION("""COMPUTED_VALUE"""),"MANDIRI")</f>
        <v>MANDIRI</v>
      </c>
      <c r="AS1265" s="80" t="str">
        <f>IFERROR(__xludf.DUMMYFUNCTION("""COMPUTED_VALUE"""),"IMRAN")</f>
        <v>IMRAN</v>
      </c>
      <c r="AT1265" s="80" t="str">
        <f>IFERROR(__xludf.DUMMYFUNCTION("""COMPUTED_VALUE"""),"-4.1256356,121.6719094")</f>
        <v>-4.1256356,121.6719094</v>
      </c>
      <c r="AU1265" s="80" t="str">
        <f>IFERROR(__xludf.DUMMYFUNCTION("""COMPUTED_VALUE"""),"-4.1256356,121.6719094")</f>
        <v>-4.1256356,121.6719094</v>
      </c>
      <c r="AV1265" s="80"/>
      <c r="AW1265" s="80"/>
      <c r="AX1265" s="80"/>
      <c r="AY1265" s="80"/>
      <c r="AZ1265" s="80"/>
      <c r="BA1265" s="80"/>
      <c r="BB1265" s="80"/>
      <c r="BC1265" s="80"/>
      <c r="BD1265" s="80"/>
      <c r="BE1265" s="80"/>
      <c r="BF1265" s="80"/>
      <c r="BG1265" s="80"/>
      <c r="BH1265" s="80"/>
      <c r="BI1265" s="80"/>
      <c r="BJ1265" s="80"/>
      <c r="BK1265" s="80"/>
      <c r="BL1265" s="80"/>
      <c r="BM1265" s="80"/>
      <c r="BN1265" s="80"/>
      <c r="BO1265" s="80"/>
      <c r="BP1265" s="80"/>
      <c r="BQ1265" s="80"/>
      <c r="BR1265" s="80"/>
      <c r="BS1265" s="80"/>
      <c r="BT1265" s="80"/>
      <c r="BU1265" s="80"/>
      <c r="BV1265" s="80"/>
      <c r="BW1265" s="80"/>
      <c r="BX1265" s="80"/>
      <c r="BY1265" s="80"/>
      <c r="BZ1265" s="80"/>
      <c r="CA1265" s="80"/>
      <c r="CB1265" s="80"/>
      <c r="CC1265" s="80"/>
      <c r="CD1265" s="80"/>
      <c r="CE1265" s="80"/>
      <c r="CF1265" s="80"/>
      <c r="CG1265" s="80"/>
      <c r="CH1265" s="80"/>
      <c r="CI1265" s="80"/>
      <c r="CJ1265" s="80"/>
      <c r="CK1265" s="2"/>
    </row>
    <row r="1266" ht="12.75" customHeight="1">
      <c r="A1266" s="85">
        <f>IFERROR(__xludf.DUMMYFUNCTION("""COMPUTED_VALUE"""),1262.0)</f>
        <v>1262</v>
      </c>
      <c r="B1266" s="85"/>
      <c r="C1266" s="85"/>
      <c r="D1266" s="86">
        <f>IFERROR(__xludf.DUMMYFUNCTION("""COMPUTED_VALUE"""),46232.0)</f>
        <v>46232</v>
      </c>
      <c r="E1266" s="88"/>
      <c r="F1266" s="85"/>
      <c r="G1266" s="86">
        <f>IFERROR(__xludf.DUMMYFUNCTION("""COMPUTED_VALUE"""),46258.0)</f>
        <v>46258</v>
      </c>
      <c r="H1266" s="85"/>
      <c r="I1266" s="85"/>
      <c r="J1266" s="85"/>
      <c r="K1266" s="85"/>
      <c r="L1266" s="85">
        <f>IFERROR(__xludf.DUMMYFUNCTION("""COMPUTED_VALUE"""),26.0)</f>
        <v>26</v>
      </c>
      <c r="M1266" s="85"/>
      <c r="N1266" s="85"/>
      <c r="O1266" s="85"/>
      <c r="P1266" s="85" t="str">
        <f>IFERROR(__xludf.DUMMYFUNCTION("""COMPUTED_VALUE"""),"44BSPA45374NTBDR")</f>
        <v>44BSPA45374NTBDR</v>
      </c>
      <c r="Q1266" s="85" t="str">
        <f>IFERROR(__xludf.DUMMYFUNCTION("""COMPUTED_VALUE"""),"MUC MR DAENG")</f>
        <v>MUC MR DAENG</v>
      </c>
      <c r="R1266" s="85" t="str">
        <f>IFERROR(__xludf.DUMMYFUNCTION("""COMPUTED_VALUE"""),"MUC MR DAENG")</f>
        <v>MUC MR DAENG</v>
      </c>
      <c r="S1266" s="85" t="str">
        <f>IFERROR(__xludf.DUMMYFUNCTION("""COMPUTED_VALUE"""),"MANSUR")</f>
        <v>MANSUR</v>
      </c>
      <c r="T1266" s="85" t="str">
        <f>IFERROR(__xludf.DUMMYFUNCTION("""COMPUTED_VALUE"""),"Dusun Teamate")</f>
        <v>Dusun Teamate</v>
      </c>
      <c r="U1266" s="85" t="str">
        <f>IFERROR(__xludf.DUMMYFUNCTION("""COMPUTED_VALUE"""),"Jl. Sawo No 2 Kompleks Pabrik Kertas Gowa")</f>
        <v>Jl. Sawo No 2 Kompleks Pabrik Kertas Gowa</v>
      </c>
      <c r="V1266" s="85"/>
      <c r="W1266" s="85" t="str">
        <f>IFERROR(__xludf.DUMMYFUNCTION("""COMPUTED_VALUE"""),"Romang Lompoa")</f>
        <v>Romang Lompoa</v>
      </c>
      <c r="X1266" s="85" t="str">
        <f>IFERROR(__xludf.DUMMYFUNCTION("""COMPUTED_VALUE"""),"Bontomarannu")</f>
        <v>Bontomarannu</v>
      </c>
      <c r="Y1266" s="85" t="str">
        <f>IFERROR(__xludf.DUMMYFUNCTION("""COMPUTED_VALUE"""),"Gowa")</f>
        <v>Gowa</v>
      </c>
      <c r="Z1266" s="85" t="str">
        <f>IFERROR(__xludf.DUMMYFUNCTION("""COMPUTED_VALUE"""),"Sulawesi Selatan")</f>
        <v>Sulawesi Selatan</v>
      </c>
      <c r="AA1266" s="85" t="str">
        <f>IFERROR(__xludf.DUMMYFUNCTION("""COMPUTED_VALUE"""),"92118")</f>
        <v>92118</v>
      </c>
      <c r="AB1266" s="85" t="str">
        <f>IFERROR(__xludf.DUMMYFUNCTION("""COMPUTED_VALUE"""),"7371092406870012")</f>
        <v>7371092406870012</v>
      </c>
      <c r="AC1266" s="85" t="str">
        <f>IFERROR(__xludf.DUMMYFUNCTION("""COMPUTED_VALUE"""),"75.871.335.8-805.000")</f>
        <v>75.871.335.8-805.000</v>
      </c>
      <c r="AD1266" s="85" t="str">
        <f>IFERROR(__xludf.DUMMYFUNCTION("""COMPUTED_VALUE"""),"44CUMBSBDRIEN - CUM BSB - DRIEN")</f>
        <v>44CUMBSBDRIEN - CUM BSB - DRIEN</v>
      </c>
      <c r="AE1266" s="85" t="str">
        <f>IFERROR(__xludf.DUMMYFUNCTION("""COMPUTED_VALUE"""),"44CUMBSBDRIEN - CUM BSB - DRIEN")</f>
        <v>44CUMBSBDRIEN - CUM BSB - DRIEN</v>
      </c>
      <c r="AF1266" s="85" t="str">
        <f>IFERROR(__xludf.DUMMYFUNCTION("""COMPUTED_VALUE"""),"082347053515")</f>
        <v>082347053515</v>
      </c>
      <c r="AG1266" s="85" t="str">
        <f>IFERROR(__xludf.DUMMYFUNCTION("""COMPUTED_VALUE"""),"082347053515")</f>
        <v>082347053515</v>
      </c>
      <c r="AH1266" s="85" t="str">
        <f>IFERROR(__xludf.DUMMYFUNCTION("""COMPUTED_VALUE"""),"mansur.sm07@gmail.com")</f>
        <v>mansur.sm07@gmail.com</v>
      </c>
      <c r="AI1266" s="85" t="str">
        <f>IFERROR(__xludf.DUMMYFUNCTION("""COMPUTED_VALUE"""),"92171S1")</f>
        <v>92171S1</v>
      </c>
      <c r="AJ1266" s="85" t="str">
        <f>IFERROR(__xludf.DUMMYFUNCTION("""COMPUTED_VALUE"""),"6a8af5b725c0a9e7ca096cc6")</f>
        <v>6a8af5b725c0a9e7ca096cc6</v>
      </c>
      <c r="AK1266" s="85" t="str">
        <f>IFERROR(__xludf.DUMMYFUNCTION("""COMPUTED_VALUE"""),"mansur.sm07@gmail.com")</f>
        <v>mansur.sm07@gmail.com</v>
      </c>
      <c r="AL1266" s="85" t="str">
        <f>IFERROR(__xludf.DUMMYFUNCTION("""COMPUTED_VALUE"""),"#Muc92171S1$")</f>
        <v>#Muc92171S1$</v>
      </c>
      <c r="AM1266" s="85" t="str">
        <f>IFERROR(__xludf.DUMMYFUNCTION("""COMPUTED_VALUE"""),"KANTOR REGIONAL VI MAKASAR 90004")</f>
        <v>KANTOR REGIONAL VI MAKASAR 90004</v>
      </c>
      <c r="AN1266" s="85" t="str">
        <f>IFERROR(__xludf.DUMMYFUNCTION("""COMPUTED_VALUE"""),"KCU MAKASSAR 90000")</f>
        <v>KCU MAKASSAR 90000</v>
      </c>
      <c r="AO1266" s="85" t="str">
        <f>IFERROR(__xludf.DUMMYFUNCTION("""COMPUTED_VALUE"""),"2807260024989")</f>
        <v>2807260024989</v>
      </c>
      <c r="AP1266" s="85" t="str">
        <f>IFERROR(__xludf.DUMMYFUNCTION("""COMPUTED_VALUE"""),"2807260024989")</f>
        <v>2807260024989</v>
      </c>
      <c r="AQ1266" s="93" t="str">
        <f>IFERROR(__xludf.DUMMYFUNCTION("""COMPUTED_VALUE"""),"7891926182")</f>
        <v>7891926182</v>
      </c>
      <c r="AR1266" s="85" t="str">
        <f>IFERROR(__xludf.DUMMYFUNCTION("""COMPUTED_VALUE"""),"BCA")</f>
        <v>BCA</v>
      </c>
      <c r="AS1266" s="85" t="str">
        <f>IFERROR(__xludf.DUMMYFUNCTION("""COMPUTED_VALUE"""),"MANSUR")</f>
        <v>MANSUR</v>
      </c>
      <c r="AT1266" s="85" t="str">
        <f>IFERROR(__xludf.DUMMYFUNCTION("""COMPUTED_VALUE"""),"-5.2262459,119.5037135")</f>
        <v>-5.2262459,119.5037135</v>
      </c>
      <c r="AU1266" s="85" t="str">
        <f>IFERROR(__xludf.DUMMYFUNCTION("""COMPUTED_VALUE"""),"-5.2262459,119.5037135")</f>
        <v>-5.2262459,119.5037135</v>
      </c>
      <c r="AV1266" s="85"/>
      <c r="AW1266" s="85"/>
      <c r="AX1266" s="85"/>
      <c r="AY1266" s="85"/>
      <c r="AZ1266" s="85"/>
      <c r="BA1266" s="85"/>
      <c r="BB1266" s="85"/>
      <c r="BC1266" s="85"/>
      <c r="BD1266" s="85"/>
      <c r="BE1266" s="85"/>
      <c r="BF1266" s="85"/>
      <c r="BG1266" s="85"/>
      <c r="BH1266" s="85"/>
      <c r="BI1266" s="85"/>
      <c r="BJ1266" s="85"/>
      <c r="BK1266" s="85"/>
      <c r="BL1266" s="85"/>
      <c r="BM1266" s="85"/>
      <c r="BN1266" s="85"/>
      <c r="BO1266" s="85"/>
      <c r="BP1266" s="85"/>
      <c r="BQ1266" s="85"/>
      <c r="BR1266" s="85"/>
      <c r="BS1266" s="85"/>
      <c r="BT1266" s="85"/>
      <c r="BU1266" s="85"/>
      <c r="BV1266" s="85"/>
      <c r="BW1266" s="85"/>
      <c r="BX1266" s="85"/>
      <c r="BY1266" s="85"/>
      <c r="BZ1266" s="85"/>
      <c r="CA1266" s="85"/>
      <c r="CB1266" s="85"/>
      <c r="CC1266" s="85"/>
      <c r="CD1266" s="85"/>
      <c r="CE1266" s="85"/>
      <c r="CF1266" s="85"/>
      <c r="CG1266" s="85"/>
      <c r="CH1266" s="85"/>
      <c r="CI1266" s="85"/>
      <c r="CJ1266" s="85"/>
      <c r="CK1266" s="2"/>
    </row>
    <row r="1267" ht="12.75" customHeight="1">
      <c r="A1267" s="80">
        <f>IFERROR(__xludf.DUMMYFUNCTION("""COMPUTED_VALUE"""),1263.0)</f>
        <v>1263</v>
      </c>
      <c r="B1267" s="80"/>
      <c r="C1267" s="80"/>
      <c r="D1267" s="81">
        <f>IFERROR(__xludf.DUMMYFUNCTION("""COMPUTED_VALUE"""),46232.0)</f>
        <v>46232</v>
      </c>
      <c r="E1267" s="82"/>
      <c r="F1267" s="80"/>
      <c r="G1267" s="81"/>
      <c r="H1267" s="80"/>
      <c r="I1267" s="80"/>
      <c r="J1267" s="80"/>
      <c r="K1267" s="80"/>
      <c r="L1267" s="80"/>
      <c r="M1267" s="80"/>
      <c r="N1267" s="80"/>
      <c r="O1267" s="80"/>
      <c r="P1267" s="80" t="str">
        <f>IFERROR(__xludf.DUMMYFUNCTION("""COMPUTED_VALUE"""),"MUCSPA70041PSUMK")</f>
        <v>MUCSPA70041PSUMK</v>
      </c>
      <c r="Q1267" s="80" t="str">
        <f>IFERROR(__xludf.DUMMYFUNCTION("""COMPUTED_VALUE"""),"MUC KNPC")</f>
        <v>MUC KNPC</v>
      </c>
      <c r="R1267" s="80" t="str">
        <f>IFERROR(__xludf.DUMMYFUNCTION("""COMPUTED_VALUE"""),"MUC KNPC")</f>
        <v>MUC KNPC</v>
      </c>
      <c r="S1267" s="80" t="str">
        <f>IFERROR(__xludf.DUMMYFUNCTION("""COMPUTED_VALUE"""),"AGUSTINUS KASTANYA")</f>
        <v>AGUSTINUS KASTANYA</v>
      </c>
      <c r="T1267" s="80" t="str">
        <f>IFERROR(__xludf.DUMMYFUNCTION("""COMPUTED_VALUE"""),"Rumah Tiga RT 001 RW 005, Rumah Tiga, Teluk Ambon")</f>
        <v>Rumah Tiga RT 001 RW 005, Rumah Tiga, Teluk Ambon</v>
      </c>
      <c r="U1267" s="80" t="str">
        <f>IFERROR(__xludf.DUMMYFUNCTION("""COMPUTED_VALUE"""),"Jl. Pisang Warangan No. 15 Perumahan Dosen Unpatti")</f>
        <v>Jl. Pisang Warangan No. 15 Perumahan Dosen Unpatti</v>
      </c>
      <c r="V1267" s="80" t="str">
        <f>IFERROR(__xludf.DUMMYFUNCTION("""COMPUTED_VALUE"""),"RT 001 \ RW 005")</f>
        <v>RT 001 \ RW 005</v>
      </c>
      <c r="W1267" s="80" t="str">
        <f>IFERROR(__xludf.DUMMYFUNCTION("""COMPUTED_VALUE"""),"Rumah Tiga")</f>
        <v>Rumah Tiga</v>
      </c>
      <c r="X1267" s="80" t="str">
        <f>IFERROR(__xludf.DUMMYFUNCTION("""COMPUTED_VALUE"""),"Teluk Ambon")</f>
        <v>Teluk Ambon</v>
      </c>
      <c r="Y1267" s="80" t="str">
        <f>IFERROR(__xludf.DUMMYFUNCTION("""COMPUTED_VALUE"""),"Ambon")</f>
        <v>Ambon</v>
      </c>
      <c r="Z1267" s="80" t="str">
        <f>IFERROR(__xludf.DUMMYFUNCTION("""COMPUTED_VALUE"""),"Maluku")</f>
        <v>Maluku</v>
      </c>
      <c r="AA1267" s="80" t="str">
        <f>IFERROR(__xludf.DUMMYFUNCTION("""COMPUTED_VALUE"""),"97234")</f>
        <v>97234</v>
      </c>
      <c r="AB1267" s="80" t="str">
        <f>IFERROR(__xludf.DUMMYFUNCTION("""COMPUTED_VALUE"""),"8171041908550001")</f>
        <v>8171041908550001</v>
      </c>
      <c r="AC1267" s="80" t="str">
        <f>IFERROR(__xludf.DUMMYFUNCTION("""COMPUTED_VALUE"""),"78.645.584.0-941.000")</f>
        <v>78.645.584.0-941.000</v>
      </c>
      <c r="AD1267" s="80" t="str">
        <f>IFERROR(__xludf.DUMMYFUNCTION("""COMPUTED_VALUE"""),"CUM - UMKMNK - ASEP")</f>
        <v>CUM - UMKMNK - ASEP</v>
      </c>
      <c r="AE1267" s="80" t="str">
        <f>IFERROR(__xludf.DUMMYFUNCTION("""COMPUTED_VALUE"""),"CUM - UMKMNK - ASEP")</f>
        <v>CUM - UMKMNK - ASEP</v>
      </c>
      <c r="AF1267" s="80" t="str">
        <f>IFERROR(__xludf.DUMMYFUNCTION("""COMPUTED_VALUE"""),"081337235425")</f>
        <v>081337235425</v>
      </c>
      <c r="AG1267" s="80" t="str">
        <f>IFERROR(__xludf.DUMMYFUNCTION("""COMPUTED_VALUE"""),"081337235425")</f>
        <v>081337235425</v>
      </c>
      <c r="AH1267" s="80" t="str">
        <f>IFERROR(__xludf.DUMMYFUNCTION("""COMPUTED_VALUE"""),"aguskastanya@yahoo.com")</f>
        <v>aguskastanya@yahoo.com</v>
      </c>
      <c r="AI1267" s="80"/>
      <c r="AJ1267" s="80"/>
      <c r="AK1267" s="80"/>
      <c r="AL1267" s="80"/>
      <c r="AM1267" s="80" t="str">
        <f>IFERROR(__xludf.DUMMYFUNCTION("""COMPUTED_VALUE"""),"KANTOR REGIONAL VI MAKASAR 90004")</f>
        <v>KANTOR REGIONAL VI MAKASAR 90004</v>
      </c>
      <c r="AN1267" s="80" t="str">
        <f>IFERROR(__xludf.DUMMYFUNCTION("""COMPUTED_VALUE"""),"KCU AMBON 97000")</f>
        <v>KCU AMBON 97000</v>
      </c>
      <c r="AO1267" s="80" t="str">
        <f>IFERROR(__xludf.DUMMYFUNCTION("""COMPUTED_VALUE"""),"2707260068956")</f>
        <v>2707260068956</v>
      </c>
      <c r="AP1267" s="80" t="str">
        <f>IFERROR(__xludf.DUMMYFUNCTION("""COMPUTED_VALUE"""),"2707260068956")</f>
        <v>2707260068956</v>
      </c>
      <c r="AQ1267" s="83" t="str">
        <f>IFERROR(__xludf.DUMMYFUNCTION("""COMPUTED_VALUE"""),"1860000570867")</f>
        <v>1860000570867</v>
      </c>
      <c r="AR1267" s="80" t="str">
        <f>IFERROR(__xludf.DUMMYFUNCTION("""COMPUTED_VALUE"""),"Bank Mandiri")</f>
        <v>Bank Mandiri</v>
      </c>
      <c r="AS1267" s="80" t="str">
        <f>IFERROR(__xludf.DUMMYFUNCTION("""COMPUTED_VALUE"""),"AGUSTINUS KASTANYA")</f>
        <v>AGUSTINUS KASTANYA</v>
      </c>
      <c r="AT1267" s="80" t="str">
        <f>IFERROR(__xludf.DUMMYFUNCTION("""COMPUTED_VALUE"""),"-3.6595587,128.1943544")</f>
        <v>-3.6595587,128.1943544</v>
      </c>
      <c r="AU1267" s="80" t="str">
        <f>IFERROR(__xludf.DUMMYFUNCTION("""COMPUTED_VALUE"""),"-3.6595587,128.1943544")</f>
        <v>-3.6595587,128.1943544</v>
      </c>
      <c r="AV1267" s="80"/>
      <c r="AW1267" s="80"/>
      <c r="AX1267" s="80"/>
      <c r="AY1267" s="80"/>
      <c r="AZ1267" s="80"/>
      <c r="BA1267" s="80"/>
      <c r="BB1267" s="80"/>
      <c r="BC1267" s="80"/>
      <c r="BD1267" s="80"/>
      <c r="BE1267" s="80"/>
      <c r="BF1267" s="80"/>
      <c r="BG1267" s="80"/>
      <c r="BH1267" s="80"/>
      <c r="BI1267" s="80"/>
      <c r="BJ1267" s="80"/>
      <c r="BK1267" s="80"/>
      <c r="BL1267" s="80"/>
      <c r="BM1267" s="80"/>
      <c r="BN1267" s="80"/>
      <c r="BO1267" s="80"/>
      <c r="BP1267" s="80"/>
      <c r="BQ1267" s="80"/>
      <c r="BR1267" s="80"/>
      <c r="BS1267" s="80"/>
      <c r="BT1267" s="80"/>
      <c r="BU1267" s="80"/>
      <c r="BV1267" s="80"/>
      <c r="BW1267" s="80"/>
      <c r="BX1267" s="80"/>
      <c r="BY1267" s="80"/>
      <c r="BZ1267" s="80"/>
      <c r="CA1267" s="80"/>
      <c r="CB1267" s="80"/>
      <c r="CC1267" s="80"/>
      <c r="CD1267" s="80"/>
      <c r="CE1267" s="80"/>
      <c r="CF1267" s="80"/>
      <c r="CG1267" s="80"/>
      <c r="CH1267" s="80"/>
      <c r="CI1267" s="80"/>
      <c r="CJ1267" s="80"/>
      <c r="CK1267" s="2"/>
    </row>
    <row r="1268" ht="12.75" customHeight="1">
      <c r="A1268" s="85">
        <f>IFERROR(__xludf.DUMMYFUNCTION("""COMPUTED_VALUE"""),1264.0)</f>
        <v>1264</v>
      </c>
      <c r="B1268" s="85"/>
      <c r="C1268" s="85"/>
      <c r="D1268" s="86">
        <f>IFERROR(__xludf.DUMMYFUNCTION("""COMPUTED_VALUE"""),46232.0)</f>
        <v>46232</v>
      </c>
      <c r="E1268" s="88"/>
      <c r="F1268" s="85"/>
      <c r="G1268" s="86">
        <f>IFERROR(__xludf.DUMMYFUNCTION("""COMPUTED_VALUE"""),46267.0)</f>
        <v>46267</v>
      </c>
      <c r="H1268" s="85"/>
      <c r="I1268" s="85"/>
      <c r="J1268" s="85"/>
      <c r="K1268" s="85"/>
      <c r="L1268" s="85">
        <f>IFERROR(__xludf.DUMMYFUNCTION("""COMPUTED_VALUE"""),35.0)</f>
        <v>35</v>
      </c>
      <c r="M1268" s="85"/>
      <c r="N1268" s="85"/>
      <c r="O1268" s="85"/>
      <c r="P1268" s="85" t="str">
        <f>IFERROR(__xludf.DUMMYFUNCTION("""COMPUTED_VALUE"""),"52BSPA07860JTAMT")</f>
        <v>52BSPA07860JTAMT</v>
      </c>
      <c r="Q1268" s="85" t="str">
        <f>IFERROR(__xludf.DUMMYFUNCTION("""COMPUTED_VALUE"""),"MUC PRATOMO")</f>
        <v>MUC PRATOMO</v>
      </c>
      <c r="R1268" s="85" t="str">
        <f>IFERROR(__xludf.DUMMYFUNCTION("""COMPUTED_VALUE"""),"MUC PRATOMO")</f>
        <v>MUC PRATOMO</v>
      </c>
      <c r="S1268" s="85" t="str">
        <f>IFERROR(__xludf.DUMMYFUNCTION("""COMPUTED_VALUE"""),"KRISMA NURADIKA")</f>
        <v>KRISMA NURADIKA</v>
      </c>
      <c r="T1268" s="85" t="str">
        <f>IFERROR(__xludf.DUMMYFUNCTION("""COMPUTED_VALUE"""),"JL PRATOMO GG II PATI DS WINONG 009/003 KEC PATI KAB PATI JATENG")</f>
        <v>JL PRATOMO GG II PATI DS WINONG 009/003 KEC PATI KAB PATI JATENG</v>
      </c>
      <c r="U1268" s="85" t="str">
        <f>IFERROR(__xludf.DUMMYFUNCTION("""COMPUTED_VALUE"""),"JL PRATOMO GG II PATI DS WINONG 009/003 KEC PATI KAB PATI JATENG")</f>
        <v>JL PRATOMO GG II PATI DS WINONG 009/003 KEC PATI KAB PATI JATENG</v>
      </c>
      <c r="V1268" s="85"/>
      <c r="W1268" s="85" t="str">
        <f>IFERROR(__xludf.DUMMYFUNCTION("""COMPUTED_VALUE"""),"Winong")</f>
        <v>Winong</v>
      </c>
      <c r="X1268" s="85" t="str">
        <f>IFERROR(__xludf.DUMMYFUNCTION("""COMPUTED_VALUE"""),"Pati")</f>
        <v>Pati</v>
      </c>
      <c r="Y1268" s="85" t="str">
        <f>IFERROR(__xludf.DUMMYFUNCTION("""COMPUTED_VALUE"""),"Kab. Pati")</f>
        <v>Kab. Pati</v>
      </c>
      <c r="Z1268" s="85" t="str">
        <f>IFERROR(__xludf.DUMMYFUNCTION("""COMPUTED_VALUE"""),"Jawa Tengah")</f>
        <v>Jawa Tengah</v>
      </c>
      <c r="AA1268" s="85" t="str">
        <f>IFERROR(__xludf.DUMMYFUNCTION("""COMPUTED_VALUE"""),"59163")</f>
        <v>59163</v>
      </c>
      <c r="AB1268" s="85" t="str">
        <f>IFERROR(__xludf.DUMMYFUNCTION("""COMPUTED_VALUE"""),"3318106105960004")</f>
        <v>3318106105960004</v>
      </c>
      <c r="AC1268" s="85" t="str">
        <f>IFERROR(__xludf.DUMMYFUNCTION("""COMPUTED_VALUE"""),"91.508.244.0-507.000")</f>
        <v>91.508.244.0-507.000</v>
      </c>
      <c r="AD1268" s="85" t="str">
        <f>IFERROR(__xludf.DUMMYFUNCTION("""COMPUTED_VALUE"""),"CUM - AMT")</f>
        <v>CUM - AMT</v>
      </c>
      <c r="AE1268" s="85" t="str">
        <f>IFERROR(__xludf.DUMMYFUNCTION("""COMPUTED_VALUE"""),"CUM - AMT")</f>
        <v>CUM - AMT</v>
      </c>
      <c r="AF1268" s="85" t="str">
        <f>IFERROR(__xludf.DUMMYFUNCTION("""COMPUTED_VALUE"""),"087776290509")</f>
        <v>087776290509</v>
      </c>
      <c r="AG1268" s="85" t="str">
        <f>IFERROR(__xludf.DUMMYFUNCTION("""COMPUTED_VALUE"""),"087776290509")</f>
        <v>087776290509</v>
      </c>
      <c r="AH1268" s="85" t="str">
        <f>IFERROR(__xludf.DUMMYFUNCTION("""COMPUTED_VALUE"""),"krismanuradika96@gmail.com")</f>
        <v>krismanuradika96@gmail.com</v>
      </c>
      <c r="AI1268" s="85" t="str">
        <f>IFERROR(__xludf.DUMMYFUNCTION("""COMPUTED_VALUE"""),"59112S3")</f>
        <v>59112S3</v>
      </c>
      <c r="AJ1268" s="85" t="str">
        <f>IFERROR(__xludf.DUMMYFUNCTION("""COMPUTED_VALUE"""),"6a96a61380ae1ab35d06de45")</f>
        <v>6a96a61380ae1ab35d06de45</v>
      </c>
      <c r="AK1268" s="85" t="str">
        <f>IFERROR(__xludf.DUMMYFUNCTION("""COMPUTED_VALUE"""),"krismanuradika96@gmail.com")</f>
        <v>krismanuradika96@gmail.com</v>
      </c>
      <c r="AL1268" s="85" t="str">
        <f>IFERROR(__xludf.DUMMYFUNCTION("""COMPUTED_VALUE"""),"#Muc59112S3$")</f>
        <v>#Muc59112S3$</v>
      </c>
      <c r="AM1268" s="85" t="str">
        <f>IFERROR(__xludf.DUMMYFUNCTION("""COMPUTED_VALUE"""),"KANTOR REGIONAL IV SEMARANG 50004")</f>
        <v>KANTOR REGIONAL IV SEMARANG 50004</v>
      </c>
      <c r="AN1268" s="85" t="str">
        <f>IFERROR(__xludf.DUMMYFUNCTION("""COMPUTED_VALUE"""),"KC PATI 59100")</f>
        <v>KC PATI 59100</v>
      </c>
      <c r="AO1268" s="85" t="str">
        <f>IFERROR(__xludf.DUMMYFUNCTION("""COMPUTED_VALUE"""),"2707260050932")</f>
        <v>2707260050932</v>
      </c>
      <c r="AP1268" s="85" t="str">
        <f>IFERROR(__xludf.DUMMYFUNCTION("""COMPUTED_VALUE"""),"2707260050932")</f>
        <v>2707260050932</v>
      </c>
      <c r="AQ1268" s="93" t="str">
        <f>IFERROR(__xludf.DUMMYFUNCTION("""COMPUTED_VALUE"""),"0980460908")</f>
        <v>0980460908</v>
      </c>
      <c r="AR1268" s="85" t="str">
        <f>IFERROR(__xludf.DUMMYFUNCTION("""COMPUTED_VALUE"""),"BCA")</f>
        <v>BCA</v>
      </c>
      <c r="AS1268" s="85" t="str">
        <f>IFERROR(__xludf.DUMMYFUNCTION("""COMPUTED_VALUE"""),"KRISMA NURADIKA")</f>
        <v>KRISMA NURADIKA</v>
      </c>
      <c r="AT1268" s="85" t="str">
        <f>IFERROR(__xludf.DUMMYFUNCTION("""COMPUTED_VALUE"""),"-6.7397114,111.0226425")</f>
        <v>-6.7397114,111.0226425</v>
      </c>
      <c r="AU1268" s="85" t="str">
        <f>IFERROR(__xludf.DUMMYFUNCTION("""COMPUTED_VALUE"""),"-6.7397114,111.0226425")</f>
        <v>-6.7397114,111.0226425</v>
      </c>
      <c r="AV1268" s="85"/>
      <c r="AW1268" s="85"/>
      <c r="AX1268" s="85"/>
      <c r="AY1268" s="85"/>
      <c r="AZ1268" s="85"/>
      <c r="BA1268" s="85"/>
      <c r="BB1268" s="85"/>
      <c r="BC1268" s="85"/>
      <c r="BD1268" s="85"/>
      <c r="BE1268" s="85"/>
      <c r="BF1268" s="85"/>
      <c r="BG1268" s="85"/>
      <c r="BH1268" s="85"/>
      <c r="BI1268" s="85"/>
      <c r="BJ1268" s="85"/>
      <c r="BK1268" s="85"/>
      <c r="BL1268" s="85"/>
      <c r="BM1268" s="85"/>
      <c r="BN1268" s="85"/>
      <c r="BO1268" s="85"/>
      <c r="BP1268" s="85"/>
      <c r="BQ1268" s="85"/>
      <c r="BR1268" s="85"/>
      <c r="BS1268" s="85"/>
      <c r="BT1268" s="85"/>
      <c r="BU1268" s="85"/>
      <c r="BV1268" s="85"/>
      <c r="BW1268" s="85"/>
      <c r="BX1268" s="85"/>
      <c r="BY1268" s="85"/>
      <c r="BZ1268" s="85"/>
      <c r="CA1268" s="85"/>
      <c r="CB1268" s="85"/>
      <c r="CC1268" s="85"/>
      <c r="CD1268" s="85"/>
      <c r="CE1268" s="85"/>
      <c r="CF1268" s="85"/>
      <c r="CG1268" s="85"/>
      <c r="CH1268" s="85"/>
      <c r="CI1268" s="85"/>
      <c r="CJ1268" s="85"/>
      <c r="CK1268" s="2"/>
    </row>
    <row r="1269" ht="12.75" customHeight="1">
      <c r="A1269" s="80">
        <f>IFERROR(__xludf.DUMMYFUNCTION("""COMPUTED_VALUE"""),1265.0)</f>
        <v>1265</v>
      </c>
      <c r="B1269" s="80"/>
      <c r="C1269" s="80"/>
      <c r="D1269" s="81">
        <f>IFERROR(__xludf.DUMMYFUNCTION("""COMPUTED_VALUE"""),46232.0)</f>
        <v>46232</v>
      </c>
      <c r="E1269" s="82"/>
      <c r="F1269" s="80"/>
      <c r="G1269" s="81">
        <f>IFERROR(__xludf.DUMMYFUNCTION("""COMPUTED_VALUE"""),46267.0)</f>
        <v>46267</v>
      </c>
      <c r="H1269" s="80"/>
      <c r="I1269" s="80"/>
      <c r="J1269" s="80"/>
      <c r="K1269" s="80"/>
      <c r="L1269" s="80">
        <f>IFERROR(__xludf.DUMMYFUNCTION("""COMPUTED_VALUE"""),35.0)</f>
        <v>35</v>
      </c>
      <c r="M1269" s="80"/>
      <c r="N1269" s="80"/>
      <c r="O1269" s="80"/>
      <c r="P1269" s="80" t="str">
        <f>IFERROR(__xludf.DUMMYFUNCTION("""COMPUTED_VALUE"""),"MUCSPA63636PSIND")</f>
        <v>MUCSPA63636PSIND</v>
      </c>
      <c r="Q1269" s="80" t="str">
        <f>IFERROR(__xludf.DUMMYFUNCTION("""COMPUTED_VALUE"""),"MUC MAJALAYA")</f>
        <v>MUC MAJALAYA</v>
      </c>
      <c r="R1269" s="80" t="str">
        <f>IFERROR(__xludf.DUMMYFUNCTION("""COMPUTED_VALUE"""),"MUC MAJALAYA")</f>
        <v>MUC MAJALAYA</v>
      </c>
      <c r="S1269" s="80" t="str">
        <f>IFERROR(__xludf.DUMMYFUNCTION("""COMPUTED_VALUE"""),"TAUFIK ISMAIL PERMANA")</f>
        <v>TAUFIK ISMAIL PERMANA</v>
      </c>
      <c r="T1269" s="80" t="str">
        <f>IFERROR(__xludf.DUMMYFUNCTION("""COMPUTED_VALUE"""),"KP.Girimekar RT 001 RW 010 Jelekong, Baleendah, Kab.Bandung")</f>
        <v>KP.Girimekar RT 001 RW 010 Jelekong, Baleendah, Kab.Bandung</v>
      </c>
      <c r="U1269" s="80" t="str">
        <f>IFERROR(__xludf.DUMMYFUNCTION("""COMPUTED_VALUE"""),"Jl.Rancajigang No.45 RT 02 RW 06 Padamulya Kec.Majalaya")</f>
        <v>Jl.Rancajigang No.45 RT 02 RW 06 Padamulya Kec.Majalaya</v>
      </c>
      <c r="V1269" s="80" t="str">
        <f>IFERROR(__xludf.DUMMYFUNCTION("""COMPUTED_VALUE"""),"RT 001 \ RW 010")</f>
        <v>RT 001 \ RW 010</v>
      </c>
      <c r="W1269" s="80" t="str">
        <f>IFERROR(__xludf.DUMMYFUNCTION("""COMPUTED_VALUE"""),"Padamulya")</f>
        <v>Padamulya</v>
      </c>
      <c r="X1269" s="80" t="str">
        <f>IFERROR(__xludf.DUMMYFUNCTION("""COMPUTED_VALUE"""),"Majalaya")</f>
        <v>Majalaya</v>
      </c>
      <c r="Y1269" s="80" t="str">
        <f>IFERROR(__xludf.DUMMYFUNCTION("""COMPUTED_VALUE"""),"Kab.Bandung")</f>
        <v>Kab.Bandung</v>
      </c>
      <c r="Z1269" s="80" t="str">
        <f>IFERROR(__xludf.DUMMYFUNCTION("""COMPUTED_VALUE"""),"Jawa Barat")</f>
        <v>Jawa Barat</v>
      </c>
      <c r="AA1269" s="80" t="str">
        <f>IFERROR(__xludf.DUMMYFUNCTION("""COMPUTED_VALUE"""),"40382")</f>
        <v>40382</v>
      </c>
      <c r="AB1269" s="80" t="str">
        <f>IFERROR(__xludf.DUMMYFUNCTION("""COMPUTED_VALUE"""),"3273252006930003")</f>
        <v>3273252006930003</v>
      </c>
      <c r="AC1269" s="80" t="str">
        <f>IFERROR(__xludf.DUMMYFUNCTION("""COMPUTED_VALUE"""),"84.663.337.8-429.000")</f>
        <v>84.663.337.8-429.000</v>
      </c>
      <c r="AD1269" s="80" t="str">
        <f>IFERROR(__xludf.DUMMYFUNCTION("""COMPUTED_VALUE"""),"CUM - PS - THI")</f>
        <v>CUM - PS - THI</v>
      </c>
      <c r="AE1269" s="80" t="str">
        <f>IFERROR(__xludf.DUMMYFUNCTION("""COMPUTED_VALUE"""),"CUM - PS - THI")</f>
        <v>CUM - PS - THI</v>
      </c>
      <c r="AF1269" s="80" t="str">
        <f>IFERROR(__xludf.DUMMYFUNCTION("""COMPUTED_VALUE"""),"082127704500")</f>
        <v>082127704500</v>
      </c>
      <c r="AG1269" s="80" t="str">
        <f>IFERROR(__xludf.DUMMYFUNCTION("""COMPUTED_VALUE"""),"082127704500")</f>
        <v>082127704500</v>
      </c>
      <c r="AH1269" s="80" t="str">
        <f>IFERROR(__xludf.DUMMYFUNCTION("""COMPUTED_VALUE"""),"sadwey777@gmail.com")</f>
        <v>sadwey777@gmail.com</v>
      </c>
      <c r="AI1269" s="80" t="str">
        <f>IFERROR(__xludf.DUMMYFUNCTION("""COMPUTED_VALUE"""),"40382S1")</f>
        <v>40382S1</v>
      </c>
      <c r="AJ1269" s="80" t="str">
        <f>IFERROR(__xludf.DUMMYFUNCTION("""COMPUTED_VALUE"""),"6a96aa13c8c1af32840473ad")</f>
        <v>6a96aa13c8c1af32840473ad</v>
      </c>
      <c r="AK1269" s="80" t="str">
        <f>IFERROR(__xludf.DUMMYFUNCTION("""COMPUTED_VALUE"""),"sadwey777@gmail.com")</f>
        <v>sadwey777@gmail.com</v>
      </c>
      <c r="AL1269" s="80" t="str">
        <f>IFERROR(__xludf.DUMMYFUNCTION("""COMPUTED_VALUE"""),"#Muc40382S1$")</f>
        <v>#Muc40382S1$</v>
      </c>
      <c r="AM1269" s="80" t="str">
        <f>IFERROR(__xludf.DUMMYFUNCTION("""COMPUTED_VALUE"""),"KANTOR REGIONAL III BANDUNG 40004")</f>
        <v>KANTOR REGIONAL III BANDUNG 40004</v>
      </c>
      <c r="AN1269" s="80" t="str">
        <f>IFERROR(__xludf.DUMMYFUNCTION("""COMPUTED_VALUE"""),"KC UJUNGBERUNG 40100")</f>
        <v>KC UJUNGBERUNG 40100</v>
      </c>
      <c r="AO1269" s="80" t="str">
        <f>IFERROR(__xludf.DUMMYFUNCTION("""COMPUTED_VALUE"""),"2807260077325")</f>
        <v>2807260077325</v>
      </c>
      <c r="AP1269" s="80" t="str">
        <f>IFERROR(__xludf.DUMMYFUNCTION("""COMPUTED_VALUE"""),"2807260077325")</f>
        <v>2807260077325</v>
      </c>
      <c r="AQ1269" s="83" t="str">
        <f>IFERROR(__xludf.DUMMYFUNCTION("""COMPUTED_VALUE"""),"0442676145")</f>
        <v>0442676145</v>
      </c>
      <c r="AR1269" s="80" t="str">
        <f>IFERROR(__xludf.DUMMYFUNCTION("""COMPUTED_VALUE"""),"BNI")</f>
        <v>BNI</v>
      </c>
      <c r="AS1269" s="80" t="str">
        <f>IFERROR(__xludf.DUMMYFUNCTION("""COMPUTED_VALUE"""),"TAUFIK ISMAIL PERMANA")</f>
        <v>TAUFIK ISMAIL PERMANA</v>
      </c>
      <c r="AT1269" s="80" t="str">
        <f>IFERROR(__xludf.DUMMYFUNCTION("""COMPUTED_VALUE"""),"-7.0553529,107.7507855")</f>
        <v>-7.0553529,107.7507855</v>
      </c>
      <c r="AU1269" s="80" t="str">
        <f>IFERROR(__xludf.DUMMYFUNCTION("""COMPUTED_VALUE"""),"-7.0553529,107.7507855")</f>
        <v>-7.0553529,107.7507855</v>
      </c>
      <c r="AV1269" s="80"/>
      <c r="AW1269" s="80"/>
      <c r="AX1269" s="80"/>
      <c r="AY1269" s="80"/>
      <c r="AZ1269" s="80"/>
      <c r="BA1269" s="80"/>
      <c r="BB1269" s="80"/>
      <c r="BC1269" s="80"/>
      <c r="BD1269" s="80"/>
      <c r="BE1269" s="80"/>
      <c r="BF1269" s="80"/>
      <c r="BG1269" s="80"/>
      <c r="BH1269" s="80"/>
      <c r="BI1269" s="80"/>
      <c r="BJ1269" s="80"/>
      <c r="BK1269" s="80"/>
      <c r="BL1269" s="80"/>
      <c r="BM1269" s="80"/>
      <c r="BN1269" s="80"/>
      <c r="BO1269" s="80"/>
      <c r="BP1269" s="80"/>
      <c r="BQ1269" s="80"/>
      <c r="BR1269" s="80"/>
      <c r="BS1269" s="80"/>
      <c r="BT1269" s="80"/>
      <c r="BU1269" s="80"/>
      <c r="BV1269" s="80"/>
      <c r="BW1269" s="80"/>
      <c r="BX1269" s="80"/>
      <c r="BY1269" s="80"/>
      <c r="BZ1269" s="80"/>
      <c r="CA1269" s="80"/>
      <c r="CB1269" s="80"/>
      <c r="CC1269" s="80"/>
      <c r="CD1269" s="80"/>
      <c r="CE1269" s="80"/>
      <c r="CF1269" s="80"/>
      <c r="CG1269" s="80"/>
      <c r="CH1269" s="80"/>
      <c r="CI1269" s="80"/>
      <c r="CJ1269" s="80"/>
      <c r="CK1269" s="2"/>
    </row>
    <row r="1270" ht="12.75" customHeight="1">
      <c r="A1270" s="85">
        <f>IFERROR(__xludf.DUMMYFUNCTION("""COMPUTED_VALUE"""),1266.0)</f>
        <v>1266</v>
      </c>
      <c r="B1270" s="85"/>
      <c r="C1270" s="85"/>
      <c r="D1270" s="86">
        <f>IFERROR(__xludf.DUMMYFUNCTION("""COMPUTED_VALUE"""),46232.0)</f>
        <v>46232</v>
      </c>
      <c r="E1270" s="88"/>
      <c r="F1270" s="85"/>
      <c r="G1270" s="86"/>
      <c r="H1270" s="85"/>
      <c r="I1270" s="85"/>
      <c r="J1270" s="85"/>
      <c r="K1270" s="85"/>
      <c r="L1270" s="85"/>
      <c r="M1270" s="85"/>
      <c r="N1270" s="85"/>
      <c r="O1270" s="85"/>
      <c r="P1270" s="85" t="str">
        <f>IFERROR(__xludf.DUMMYFUNCTION("""COMPUTED_VALUE"""),"MUCSPA63602PSIND")</f>
        <v>MUCSPA63602PSIND</v>
      </c>
      <c r="Q1270" s="85" t="str">
        <f>IFERROR(__xludf.DUMMYFUNCTION("""COMPUTED_VALUE"""),"MUC TOKO SARI")</f>
        <v>MUC TOKO SARI</v>
      </c>
      <c r="R1270" s="85" t="str">
        <f>IFERROR(__xludf.DUMMYFUNCTION("""COMPUTED_VALUE"""),"MUC TOKO SARI")</f>
        <v>MUC TOKO SARI</v>
      </c>
      <c r="S1270" s="85" t="str">
        <f>IFERROR(__xludf.DUMMYFUNCTION("""COMPUTED_VALUE"""),"DAROJAT")</f>
        <v>DAROJAT</v>
      </c>
      <c r="T1270" s="85" t="str">
        <f>IFERROR(__xludf.DUMMYFUNCTION("""COMPUTED_VALUE"""),"KP. LANGKOB 001/004 BAROS JAYA CINANGKA KAB.SERANG")</f>
        <v>KP. LANGKOB 001/004 BAROS JAYA CINANGKA KAB.SERANG</v>
      </c>
      <c r="U1270" s="85" t="str">
        <f>IFERROR(__xludf.DUMMYFUNCTION("""COMPUTED_VALUE"""),"JL. SILET KM 4 KP.CIPANCUR DESA BAROS JAYA")</f>
        <v>JL. SILET KM 4 KP.CIPANCUR DESA BAROS JAYA</v>
      </c>
      <c r="V1270" s="85"/>
      <c r="W1270" s="85" t="str">
        <f>IFERROR(__xludf.DUMMYFUNCTION("""COMPUTED_VALUE"""),"Kubang Baros")</f>
        <v>Kubang Baros</v>
      </c>
      <c r="X1270" s="85" t="str">
        <f>IFERROR(__xludf.DUMMYFUNCTION("""COMPUTED_VALUE"""),"Cinangka")</f>
        <v>Cinangka</v>
      </c>
      <c r="Y1270" s="85" t="str">
        <f>IFERROR(__xludf.DUMMYFUNCTION("""COMPUTED_VALUE"""),"Kab.Serang")</f>
        <v>Kab.Serang</v>
      </c>
      <c r="Z1270" s="85" t="str">
        <f>IFERROR(__xludf.DUMMYFUNCTION("""COMPUTED_VALUE"""),"Banten")</f>
        <v>Banten</v>
      </c>
      <c r="AA1270" s="85" t="str">
        <f>IFERROR(__xludf.DUMMYFUNCTION("""COMPUTED_VALUE"""),"42167")</f>
        <v>42167</v>
      </c>
      <c r="AB1270" s="85" t="str">
        <f>IFERROR(__xludf.DUMMYFUNCTION("""COMPUTED_VALUE"""),"3604312505900003")</f>
        <v>3604312505900003</v>
      </c>
      <c r="AC1270" s="85" t="str">
        <f>IFERROR(__xludf.DUMMYFUNCTION("""COMPUTED_VALUE"""),"41.037.199.1-454.000")</f>
        <v>41.037.199.1-454.000</v>
      </c>
      <c r="AD1270" s="85" t="str">
        <f>IFERROR(__xludf.DUMMYFUNCTION("""COMPUTED_VALUE"""),"CUM - PS - NONKORGEN")</f>
        <v>CUM - PS - NONKORGEN</v>
      </c>
      <c r="AE1270" s="85" t="str">
        <f>IFERROR(__xludf.DUMMYFUNCTION("""COMPUTED_VALUE"""),"PAK ICHCSAN")</f>
        <v>PAK ICHCSAN</v>
      </c>
      <c r="AF1270" s="85" t="str">
        <f>IFERROR(__xludf.DUMMYFUNCTION("""COMPUTED_VALUE"""),"0819345555572")</f>
        <v>0819345555572</v>
      </c>
      <c r="AG1270" s="85" t="str">
        <f>IFERROR(__xludf.DUMMYFUNCTION("""COMPUTED_VALUE"""),"0819345555572")</f>
        <v>0819345555572</v>
      </c>
      <c r="AH1270" s="85" t="str">
        <f>IFERROR(__xludf.DUMMYFUNCTION("""COMPUTED_VALUE"""),"c2pahmad@gmail.com")</f>
        <v>c2pahmad@gmail.com</v>
      </c>
      <c r="AI1270" s="85"/>
      <c r="AJ1270" s="85"/>
      <c r="AK1270" s="85"/>
      <c r="AL1270" s="85"/>
      <c r="AM1270" s="85" t="str">
        <f>IFERROR(__xludf.DUMMYFUNCTION("""COMPUTED_VALUE"""),"KANTOR REGIONAL II JAKARTA 10004")</f>
        <v>KANTOR REGIONAL II JAKARTA 10004</v>
      </c>
      <c r="AN1270" s="85" t="str">
        <f>IFERROR(__xludf.DUMMYFUNCTION("""COMPUTED_VALUE"""),"KC CILEGON 42400")</f>
        <v>KC CILEGON 42400</v>
      </c>
      <c r="AO1270" s="85" t="str">
        <f>IFERROR(__xludf.DUMMYFUNCTION("""COMPUTED_VALUE"""),"2907260059541")</f>
        <v>2907260059541</v>
      </c>
      <c r="AP1270" s="85" t="str">
        <f>IFERROR(__xludf.DUMMYFUNCTION("""COMPUTED_VALUE"""),"2907260059541")</f>
        <v>2907260059541</v>
      </c>
      <c r="AQ1270" s="93" t="str">
        <f>IFERROR(__xludf.DUMMYFUNCTION("""COMPUTED_VALUE"""),"347001028695538")</f>
        <v>347001028695538</v>
      </c>
      <c r="AR1270" s="85" t="str">
        <f>IFERROR(__xludf.DUMMYFUNCTION("""COMPUTED_VALUE"""),"BRI")</f>
        <v>BRI</v>
      </c>
      <c r="AS1270" s="85" t="str">
        <f>IFERROR(__xludf.DUMMYFUNCTION("""COMPUTED_VALUE"""),"CECEP AHMAD HILMANUDIN")</f>
        <v>CECEP AHMAD HILMANUDIN</v>
      </c>
      <c r="AT1270" s="85" t="str">
        <f>IFERROR(__xludf.DUMMYFUNCTION("""COMPUTED_VALUE"""),"-61,475,229")</f>
        <v>-61,475,229</v>
      </c>
      <c r="AU1270" s="85" t="str">
        <f>IFERROR(__xludf.DUMMYFUNCTION("""COMPUTED_VALUE"""),"1,058,885,757")</f>
        <v>1,058,885,757</v>
      </c>
      <c r="AV1270" s="85"/>
      <c r="AW1270" s="85"/>
      <c r="AX1270" s="85"/>
      <c r="AY1270" s="85"/>
      <c r="AZ1270" s="85"/>
      <c r="BA1270" s="85"/>
      <c r="BB1270" s="85"/>
      <c r="BC1270" s="85"/>
      <c r="BD1270" s="85"/>
      <c r="BE1270" s="85"/>
      <c r="BF1270" s="85"/>
      <c r="BG1270" s="85"/>
      <c r="BH1270" s="85"/>
      <c r="BI1270" s="85"/>
      <c r="BJ1270" s="85"/>
      <c r="BK1270" s="85"/>
      <c r="BL1270" s="85"/>
      <c r="BM1270" s="85"/>
      <c r="BN1270" s="85"/>
      <c r="BO1270" s="85"/>
      <c r="BP1270" s="85"/>
      <c r="BQ1270" s="85"/>
      <c r="BR1270" s="85"/>
      <c r="BS1270" s="85"/>
      <c r="BT1270" s="85"/>
      <c r="BU1270" s="85"/>
      <c r="BV1270" s="85"/>
      <c r="BW1270" s="85"/>
      <c r="BX1270" s="85"/>
      <c r="BY1270" s="85"/>
      <c r="BZ1270" s="85"/>
      <c r="CA1270" s="85"/>
      <c r="CB1270" s="85"/>
      <c r="CC1270" s="85"/>
      <c r="CD1270" s="85"/>
      <c r="CE1270" s="85"/>
      <c r="CF1270" s="85"/>
      <c r="CG1270" s="85"/>
      <c r="CH1270" s="85"/>
      <c r="CI1270" s="85"/>
      <c r="CJ1270" s="85"/>
      <c r="CK1270" s="2"/>
    </row>
    <row r="1271" ht="12.75" customHeight="1">
      <c r="A1271" s="80">
        <f>IFERROR(__xludf.DUMMYFUNCTION("""COMPUTED_VALUE"""),1267.0)</f>
        <v>1267</v>
      </c>
      <c r="B1271" s="80"/>
      <c r="C1271" s="80"/>
      <c r="D1271" s="81">
        <f>IFERROR(__xludf.DUMMYFUNCTION("""COMPUTED_VALUE"""),46233.0)</f>
        <v>46233</v>
      </c>
      <c r="E1271" s="82"/>
      <c r="F1271" s="80"/>
      <c r="G1271" s="81"/>
      <c r="H1271" s="80"/>
      <c r="I1271" s="80"/>
      <c r="J1271" s="80"/>
      <c r="K1271" s="80"/>
      <c r="L1271" s="80"/>
      <c r="M1271" s="80"/>
      <c r="N1271" s="80"/>
      <c r="O1271" s="80"/>
      <c r="P1271" s="80" t="str">
        <f>IFERROR(__xludf.DUMMYFUNCTION("""COMPUTED_VALUE"""),"MUCSPA70040PSUMK")</f>
        <v>MUCSPA70040PSUMK</v>
      </c>
      <c r="Q1271" s="80" t="str">
        <f>IFERROR(__xludf.DUMMYFUNCTION("""COMPUTED_VALUE"""),"MUC GARUDA")</f>
        <v>MUC GARUDA</v>
      </c>
      <c r="R1271" s="80" t="str">
        <f>IFERROR(__xludf.DUMMYFUNCTION("""COMPUTED_VALUE"""),"MUC GARUDA")</f>
        <v>MUC GARUDA</v>
      </c>
      <c r="S1271" s="80" t="str">
        <f>IFERROR(__xludf.DUMMYFUNCTION("""COMPUTED_VALUE"""),"NELI")</f>
        <v>NELI</v>
      </c>
      <c r="T1271" s="80" t="str">
        <f>IFERROR(__xludf.DUMMYFUNCTION("""COMPUTED_VALUE"""),"KP SUKACAI RT 03 RW 01, SUKACAI, BAROS, KAB.SERANG")</f>
        <v>KP SUKACAI RT 03 RW 01, SUKACAI, BAROS, KAB.SERANG</v>
      </c>
      <c r="U1271" s="80" t="str">
        <f>IFERROR(__xludf.DUMMYFUNCTION("""COMPUTED_VALUE"""),"JL. TIBAN IMPIAN RUKO HAFINDO SQUARE BLOK D NO.09")</f>
        <v>JL. TIBAN IMPIAN RUKO HAFINDO SQUARE BLOK D NO.09</v>
      </c>
      <c r="V1271" s="80" t="str">
        <f>IFERROR(__xludf.DUMMYFUNCTION("""COMPUTED_VALUE"""),"RT 03  \ RW 01,")</f>
        <v>RT 03  \ RW 01,</v>
      </c>
      <c r="W1271" s="80" t="str">
        <f>IFERROR(__xludf.DUMMYFUNCTION("""COMPUTED_VALUE"""),"SUNGAI HARAPAN")</f>
        <v>SUNGAI HARAPAN</v>
      </c>
      <c r="X1271" s="80" t="str">
        <f>IFERROR(__xludf.DUMMYFUNCTION("""COMPUTED_VALUE"""),"SEKUPANG")</f>
        <v>SEKUPANG</v>
      </c>
      <c r="Y1271" s="80" t="str">
        <f>IFERROR(__xludf.DUMMYFUNCTION("""COMPUTED_VALUE"""),"BATAM")</f>
        <v>BATAM</v>
      </c>
      <c r="Z1271" s="80" t="str">
        <f>IFERROR(__xludf.DUMMYFUNCTION("""COMPUTED_VALUE"""),"KEP.RIAU")</f>
        <v>KEP.RIAU</v>
      </c>
      <c r="AA1271" s="80" t="str">
        <f>IFERROR(__xludf.DUMMYFUNCTION("""COMPUTED_VALUE"""),"29448")</f>
        <v>29448</v>
      </c>
      <c r="AB1271" s="80" t="str">
        <f>IFERROR(__xludf.DUMMYFUNCTION("""COMPUTED_VALUE"""),"3604224201840001")</f>
        <v>3604224201840001</v>
      </c>
      <c r="AC1271" s="80" t="str">
        <f>IFERROR(__xludf.DUMMYFUNCTION("""COMPUTED_VALUE"""),"36.042.242.0-184.0001")</f>
        <v>36.042.242.0-184.0001</v>
      </c>
      <c r="AD1271" s="80" t="str">
        <f>IFERROR(__xludf.DUMMYFUNCTION("""COMPUTED_VALUE"""),"CUM - UMKMNK - ASEP")</f>
        <v>CUM - UMKMNK - ASEP</v>
      </c>
      <c r="AE1271" s="80" t="str">
        <f>IFERROR(__xludf.DUMMYFUNCTION("""COMPUTED_VALUE"""),"CUM - UMKMNK - ASEP")</f>
        <v>CUM - UMKMNK - ASEP</v>
      </c>
      <c r="AF1271" s="80" t="str">
        <f>IFERROR(__xludf.DUMMYFUNCTION("""COMPUTED_VALUE"""),"081381898427")</f>
        <v>081381898427</v>
      </c>
      <c r="AG1271" s="80" t="str">
        <f>IFERROR(__xludf.DUMMYFUNCTION("""COMPUTED_VALUE"""),"081381898427")</f>
        <v>081381898427</v>
      </c>
      <c r="AH1271" s="80" t="str">
        <f>IFERROR(__xludf.DUMMYFUNCTION("""COMPUTED_VALUE"""),"garudamerahputih750@gmail.com")</f>
        <v>garudamerahputih750@gmail.com</v>
      </c>
      <c r="AI1271" s="80"/>
      <c r="AJ1271" s="80"/>
      <c r="AK1271" s="80"/>
      <c r="AL1271" s="80"/>
      <c r="AM1271" s="80" t="str">
        <f>IFERROR(__xludf.DUMMYFUNCTION("""COMPUTED_VALUE"""),"KANTOR REGIONAL I MEDAN 20004")</f>
        <v>KANTOR REGIONAL I MEDAN 20004</v>
      </c>
      <c r="AN1271" s="80" t="str">
        <f>IFERROR(__xludf.DUMMYFUNCTION("""COMPUTED_VALUE"""),"KCU BATAM 29400")</f>
        <v>KCU BATAM 29400</v>
      </c>
      <c r="AO1271" s="80" t="str">
        <f>IFERROR(__xludf.DUMMYFUNCTION("""COMPUTED_VALUE"""),"2507260040352")</f>
        <v>2507260040352</v>
      </c>
      <c r="AP1271" s="80" t="str">
        <f>IFERROR(__xludf.DUMMYFUNCTION("""COMPUTED_VALUE"""),"2507260040352")</f>
        <v>2507260040352</v>
      </c>
      <c r="AQ1271" s="83" t="str">
        <f>IFERROR(__xludf.DUMMYFUNCTION("""COMPUTED_VALUE"""),"2453564541")</f>
        <v>2453564541</v>
      </c>
      <c r="AR1271" s="80" t="str">
        <f>IFERROR(__xludf.DUMMYFUNCTION("""COMPUTED_VALUE"""),"BCA")</f>
        <v>BCA</v>
      </c>
      <c r="AS1271" s="80" t="str">
        <f>IFERROR(__xludf.DUMMYFUNCTION("""COMPUTED_VALUE"""),"NELI")</f>
        <v>NELI</v>
      </c>
      <c r="AT1271" s="80" t="str">
        <f>IFERROR(__xludf.DUMMYFUNCTION("""COMPUTED_VALUE"""),"1.10975,103.9575278")</f>
        <v>1.10975,103.9575278</v>
      </c>
      <c r="AU1271" s="80" t="str">
        <f>IFERROR(__xludf.DUMMYFUNCTION("""COMPUTED_VALUE"""),"1.10975,103.9575278")</f>
        <v>1.10975,103.9575278</v>
      </c>
      <c r="AV1271" s="80"/>
      <c r="AW1271" s="80"/>
      <c r="AX1271" s="80"/>
      <c r="AY1271" s="80"/>
      <c r="AZ1271" s="80"/>
      <c r="BA1271" s="80"/>
      <c r="BB1271" s="80"/>
      <c r="BC1271" s="80"/>
      <c r="BD1271" s="80"/>
      <c r="BE1271" s="80"/>
      <c r="BF1271" s="80"/>
      <c r="BG1271" s="80"/>
      <c r="BH1271" s="80"/>
      <c r="BI1271" s="80"/>
      <c r="BJ1271" s="80"/>
      <c r="BK1271" s="80"/>
      <c r="BL1271" s="80"/>
      <c r="BM1271" s="80"/>
      <c r="BN1271" s="80"/>
      <c r="BO1271" s="80"/>
      <c r="BP1271" s="80"/>
      <c r="BQ1271" s="80"/>
      <c r="BR1271" s="80"/>
      <c r="BS1271" s="80"/>
      <c r="BT1271" s="80"/>
      <c r="BU1271" s="80"/>
      <c r="BV1271" s="80"/>
      <c r="BW1271" s="80"/>
      <c r="BX1271" s="80"/>
      <c r="BY1271" s="80"/>
      <c r="BZ1271" s="80"/>
      <c r="CA1271" s="80"/>
      <c r="CB1271" s="80"/>
      <c r="CC1271" s="80"/>
      <c r="CD1271" s="80"/>
      <c r="CE1271" s="80"/>
      <c r="CF1271" s="80"/>
      <c r="CG1271" s="80"/>
      <c r="CH1271" s="80"/>
      <c r="CI1271" s="80"/>
      <c r="CJ1271" s="80"/>
      <c r="CK1271" s="2"/>
    </row>
    <row r="1272" ht="12.75" customHeight="1">
      <c r="A1272" s="85">
        <f>IFERROR(__xludf.DUMMYFUNCTION("""COMPUTED_VALUE"""),1268.0)</f>
        <v>1268</v>
      </c>
      <c r="B1272" s="85"/>
      <c r="C1272" s="85"/>
      <c r="D1272" s="86">
        <f>IFERROR(__xludf.DUMMYFUNCTION("""COMPUTED_VALUE"""),46233.0)</f>
        <v>46233</v>
      </c>
      <c r="E1272" s="88"/>
      <c r="F1272" s="85"/>
      <c r="G1272" s="86"/>
      <c r="H1272" s="85"/>
      <c r="I1272" s="85"/>
      <c r="J1272" s="85"/>
      <c r="K1272" s="85"/>
      <c r="L1272" s="85"/>
      <c r="M1272" s="85"/>
      <c r="N1272" s="85"/>
      <c r="O1272" s="85"/>
      <c r="P1272" s="85" t="str">
        <f>IFERROR(__xludf.DUMMYFUNCTION("""COMPUTED_VALUE"""),"MUCSPA70047PSUMK")</f>
        <v>MUCSPA70047PSUMK</v>
      </c>
      <c r="Q1272" s="85" t="str">
        <f>IFERROR(__xludf.DUMMYFUNCTION("""COMPUTED_VALUE"""),"MUC HERY SYAHYAR")</f>
        <v>MUC HERY SYAHYAR</v>
      </c>
      <c r="R1272" s="85" t="str">
        <f>IFERROR(__xludf.DUMMYFUNCTION("""COMPUTED_VALUE"""),"MUC HERY SYAHYAR")</f>
        <v>MUC HERY SYAHYAR</v>
      </c>
      <c r="S1272" s="85" t="str">
        <f>IFERROR(__xludf.DUMMYFUNCTION("""COMPUTED_VALUE"""),"HERY SYAHYAR")</f>
        <v>HERY SYAHYAR</v>
      </c>
      <c r="T1272" s="85" t="str">
        <f>IFERROR(__xludf.DUMMYFUNCTION("""COMPUTED_VALUE"""),"TEBAT GUNUNG RT 04 RW 02, LUBUK BUNTAK, DEMPO SELATAN, PAGAR ALAM")</f>
        <v>TEBAT GUNUNG RT 04 RW 02, LUBUK BUNTAK, DEMPO SELATAN, PAGAR ALAM</v>
      </c>
      <c r="U1272" s="85" t="str">
        <f>IFERROR(__xludf.DUMMYFUNCTION("""COMPUTED_VALUE"""),"JL. LINTAS PAGAR ALAM LAHAT TEBAT GUNUNG RT 04 RW 02")</f>
        <v>JL. LINTAS PAGAR ALAM LAHAT TEBAT GUNUNG RT 04 RW 02</v>
      </c>
      <c r="V1272" s="85" t="str">
        <f>IFERROR(__xludf.DUMMYFUNCTION("""COMPUTED_VALUE"""),"RT 04  \ RW 02,")</f>
        <v>RT 04  \ RW 02,</v>
      </c>
      <c r="W1272" s="85" t="str">
        <f>IFERROR(__xludf.DUMMYFUNCTION("""COMPUTED_VALUE"""),"LUBUK BUNTAK")</f>
        <v>LUBUK BUNTAK</v>
      </c>
      <c r="X1272" s="85" t="str">
        <f>IFERROR(__xludf.DUMMYFUNCTION("""COMPUTED_VALUE"""),"DEMPO SELATAN")</f>
        <v>DEMPO SELATAN</v>
      </c>
      <c r="Y1272" s="85" t="str">
        <f>IFERROR(__xludf.DUMMYFUNCTION("""COMPUTED_VALUE"""),"PAGAR ALAM")</f>
        <v>PAGAR ALAM</v>
      </c>
      <c r="Z1272" s="85" t="str">
        <f>IFERROR(__xludf.DUMMYFUNCTION("""COMPUTED_VALUE"""),"Sumatera Selatan")</f>
        <v>Sumatera Selatan</v>
      </c>
      <c r="AA1272" s="85" t="str">
        <f>IFERROR(__xludf.DUMMYFUNCTION("""COMPUTED_VALUE"""),"31521")</f>
        <v>31521</v>
      </c>
      <c r="AB1272" s="85" t="str">
        <f>IFERROR(__xludf.DUMMYFUNCTION("""COMPUTED_VALUE"""),"1672022310920001")</f>
        <v>1672022310920001</v>
      </c>
      <c r="AC1272" s="85" t="str">
        <f>IFERROR(__xludf.DUMMYFUNCTION("""COMPUTED_VALUE"""),"16.720.223.1-092.0001")</f>
        <v>16.720.223.1-092.0001</v>
      </c>
      <c r="AD1272" s="85" t="str">
        <f>IFERROR(__xludf.DUMMYFUNCTION("""COMPUTED_VALUE"""),"CUM - UMKMNK - ASEP")</f>
        <v>CUM - UMKMNK - ASEP</v>
      </c>
      <c r="AE1272" s="85" t="str">
        <f>IFERROR(__xludf.DUMMYFUNCTION("""COMPUTED_VALUE"""),"CUM - UMKMNK - ASEP")</f>
        <v>CUM - UMKMNK - ASEP</v>
      </c>
      <c r="AF1272" s="85" t="str">
        <f>IFERROR(__xludf.DUMMYFUNCTION("""COMPUTED_VALUE"""),"082279803889")</f>
        <v>082279803889</v>
      </c>
      <c r="AG1272" s="85" t="str">
        <f>IFERROR(__xludf.DUMMYFUNCTION("""COMPUTED_VALUE"""),"082279803889")</f>
        <v>082279803889</v>
      </c>
      <c r="AH1272" s="85" t="str">
        <f>IFERROR(__xludf.DUMMYFUNCTION("""COMPUTED_VALUE"""),"herrysyahyart23@gmail.com")</f>
        <v>herrysyahyart23@gmail.com</v>
      </c>
      <c r="AI1272" s="85"/>
      <c r="AJ1272" s="85"/>
      <c r="AK1272" s="85"/>
      <c r="AL1272" s="85"/>
      <c r="AM1272" s="85" t="str">
        <f>IFERROR(__xludf.DUMMYFUNCTION("""COMPUTED_VALUE"""),"KANTOR REGIONAL I MEDAN 20004")</f>
        <v>KANTOR REGIONAL I MEDAN 20004</v>
      </c>
      <c r="AN1272" s="85" t="str">
        <f>IFERROR(__xludf.DUMMYFUNCTION("""COMPUTED_VALUE"""),"KC LAHAT 31400")</f>
        <v>KC LAHAT 31400</v>
      </c>
      <c r="AO1272" s="85" t="str">
        <f>IFERROR(__xludf.DUMMYFUNCTION("""COMPUTED_VALUE"""),"1102260050506")</f>
        <v>1102260050506</v>
      </c>
      <c r="AP1272" s="85" t="str">
        <f>IFERROR(__xludf.DUMMYFUNCTION("""COMPUTED_VALUE"""),"1102260050506")</f>
        <v>1102260050506</v>
      </c>
      <c r="AQ1272" s="93" t="str">
        <f>IFERROR(__xludf.DUMMYFUNCTION("""COMPUTED_VALUE"""),"573601023666534")</f>
        <v>573601023666534</v>
      </c>
      <c r="AR1272" s="85" t="str">
        <f>IFERROR(__xludf.DUMMYFUNCTION("""COMPUTED_VALUE"""),"BRI")</f>
        <v>BRI</v>
      </c>
      <c r="AS1272" s="85" t="str">
        <f>IFERROR(__xludf.DUMMYFUNCTION("""COMPUTED_VALUE"""),"HERY SYAHYAR")</f>
        <v>HERY SYAHYAR</v>
      </c>
      <c r="AT1272" s="85" t="str">
        <f>IFERROR(__xludf.DUMMYFUNCTION("""COMPUTED_VALUE"""),"-4.0843134,103.3469456")</f>
        <v>-4.0843134,103.3469456</v>
      </c>
      <c r="AU1272" s="85" t="str">
        <f>IFERROR(__xludf.DUMMYFUNCTION("""COMPUTED_VALUE"""),"-4.0843134,103.3469456")</f>
        <v>-4.0843134,103.3469456</v>
      </c>
      <c r="AV1272" s="85"/>
      <c r="AW1272" s="85"/>
      <c r="AX1272" s="85"/>
      <c r="AY1272" s="85"/>
      <c r="AZ1272" s="85"/>
      <c r="BA1272" s="85"/>
      <c r="BB1272" s="85"/>
      <c r="BC1272" s="85"/>
      <c r="BD1272" s="85"/>
      <c r="BE1272" s="85"/>
      <c r="BF1272" s="85"/>
      <c r="BG1272" s="85"/>
      <c r="BH1272" s="85"/>
      <c r="BI1272" s="85"/>
      <c r="BJ1272" s="85"/>
      <c r="BK1272" s="85"/>
      <c r="BL1272" s="85"/>
      <c r="BM1272" s="85"/>
      <c r="BN1272" s="85"/>
      <c r="BO1272" s="85"/>
      <c r="BP1272" s="85"/>
      <c r="BQ1272" s="85"/>
      <c r="BR1272" s="85"/>
      <c r="BS1272" s="85"/>
      <c r="BT1272" s="85"/>
      <c r="BU1272" s="85"/>
      <c r="BV1272" s="85"/>
      <c r="BW1272" s="85"/>
      <c r="BX1272" s="85"/>
      <c r="BY1272" s="85"/>
      <c r="BZ1272" s="85"/>
      <c r="CA1272" s="85"/>
      <c r="CB1272" s="85"/>
      <c r="CC1272" s="85"/>
      <c r="CD1272" s="85"/>
      <c r="CE1272" s="85"/>
      <c r="CF1272" s="85"/>
      <c r="CG1272" s="85"/>
      <c r="CH1272" s="85"/>
      <c r="CI1272" s="85"/>
      <c r="CJ1272" s="85"/>
      <c r="CK1272" s="2"/>
    </row>
    <row r="1273" ht="12.75" customHeight="1">
      <c r="A1273" s="80">
        <f>IFERROR(__xludf.DUMMYFUNCTION("""COMPUTED_VALUE"""),1269.0)</f>
        <v>1269</v>
      </c>
      <c r="B1273" s="80"/>
      <c r="C1273" s="80"/>
      <c r="D1273" s="81">
        <f>IFERROR(__xludf.DUMMYFUNCTION("""COMPUTED_VALUE"""),46233.0)</f>
        <v>46233</v>
      </c>
      <c r="E1273" s="82"/>
      <c r="F1273" s="80"/>
      <c r="G1273" s="81">
        <f>IFERROR(__xludf.DUMMYFUNCTION("""COMPUTED_VALUE"""),46248.0)</f>
        <v>46248</v>
      </c>
      <c r="H1273" s="80"/>
      <c r="I1273" s="80"/>
      <c r="J1273" s="80"/>
      <c r="K1273" s="80"/>
      <c r="L1273" s="80">
        <f>IFERROR(__xludf.DUMMYFUNCTION("""COMPUTED_VALUE"""),15.0)</f>
        <v>15</v>
      </c>
      <c r="M1273" s="80"/>
      <c r="N1273" s="80"/>
      <c r="O1273" s="80"/>
      <c r="P1273" s="80" t="str">
        <f>IFERROR(__xludf.DUMMYFUNCTION("""COMPUTED_VALUE"""),"MUCSPA63637PSIND")</f>
        <v>MUCSPA63637PSIND</v>
      </c>
      <c r="Q1273" s="80" t="str">
        <f>IFERROR(__xludf.DUMMYFUNCTION("""COMPUTED_VALUE"""),"MUC NURANI CAFE")</f>
        <v>MUC NURANI CAFE</v>
      </c>
      <c r="R1273" s="80" t="str">
        <f>IFERROR(__xludf.DUMMYFUNCTION("""COMPUTED_VALUE"""),"MUC NURANI CAFE")</f>
        <v>MUC NURANI CAFE</v>
      </c>
      <c r="S1273" s="80" t="str">
        <f>IFERROR(__xludf.DUMMYFUNCTION("""COMPUTED_VALUE"""),"H.SELAMET ZUANA HERMAWAN")</f>
        <v>H.SELAMET ZUANA HERMAWAN</v>
      </c>
      <c r="T1273" s="80" t="str">
        <f>IFERROR(__xludf.DUMMYFUNCTION("""COMPUTED_VALUE"""),"LINK PAMINDANGAN RT 002 RW 003 UNYUR SERANG KOTA SERANG BANTEN")</f>
        <v>LINK PAMINDANGAN RT 002 RW 003 UNYUR SERANG KOTA SERANG BANTEN</v>
      </c>
      <c r="U1273" s="80" t="str">
        <f>IFERROR(__xludf.DUMMYFUNCTION("""COMPUTED_VALUE"""),"JL RAYA CILEGON RUKO BUKIT KAWI PERMAI NO 7")</f>
        <v>JL RAYA CILEGON RUKO BUKIT KAWI PERMAI NO 7</v>
      </c>
      <c r="V1273" s="80" t="str">
        <f>IFERROR(__xludf.DUMMYFUNCTION("""COMPUTED_VALUE"""),"RT 002 \ RW 003")</f>
        <v>RT 002 \ RW 003</v>
      </c>
      <c r="W1273" s="80" t="str">
        <f>IFERROR(__xludf.DUMMYFUNCTION("""COMPUTED_VALUE"""),"Kramatwatu")</f>
        <v>Kramatwatu</v>
      </c>
      <c r="X1273" s="80" t="str">
        <f>IFERROR(__xludf.DUMMYFUNCTION("""COMPUTED_VALUE"""),"Kramatwatu")</f>
        <v>Kramatwatu</v>
      </c>
      <c r="Y1273" s="80" t="str">
        <f>IFERROR(__xludf.DUMMYFUNCTION("""COMPUTED_VALUE"""),"Kab. Serang")</f>
        <v>Kab. Serang</v>
      </c>
      <c r="Z1273" s="80" t="str">
        <f>IFERROR(__xludf.DUMMYFUNCTION("""COMPUTED_VALUE"""),"Banten")</f>
        <v>Banten</v>
      </c>
      <c r="AA1273" s="80" t="str">
        <f>IFERROR(__xludf.DUMMYFUNCTION("""COMPUTED_VALUE"""),"42161")</f>
        <v>42161</v>
      </c>
      <c r="AB1273" s="80" t="str">
        <f>IFERROR(__xludf.DUMMYFUNCTION("""COMPUTED_VALUE"""),"3604012804740048")</f>
        <v>3604012804740048</v>
      </c>
      <c r="AC1273" s="80" t="str">
        <f>IFERROR(__xludf.DUMMYFUNCTION("""COMPUTED_VALUE"""),"25.943.920.6-401.000")</f>
        <v>25.943.920.6-401.000</v>
      </c>
      <c r="AD1273" s="80" t="str">
        <f>IFERROR(__xludf.DUMMYFUNCTION("""COMPUTED_VALUE"""),"CUM - PS - NONKORGEN")</f>
        <v>CUM - PS - NONKORGEN</v>
      </c>
      <c r="AE1273" s="80" t="str">
        <f>IFERROR(__xludf.DUMMYFUNCTION("""COMPUTED_VALUE"""),"BU NELA KCU SERANG")</f>
        <v>BU NELA KCU SERANG</v>
      </c>
      <c r="AF1273" s="80" t="str">
        <f>IFERROR(__xludf.DUMMYFUNCTION("""COMPUTED_VALUE"""),"08128481321")</f>
        <v>08128481321</v>
      </c>
      <c r="AG1273" s="80" t="str">
        <f>IFERROR(__xludf.DUMMYFUNCTION("""COMPUTED_VALUE"""),"08128481321")</f>
        <v>08128481321</v>
      </c>
      <c r="AH1273" s="80" t="str">
        <f>IFERROR(__xludf.DUMMYFUNCTION("""COMPUTED_VALUE"""),"ratueninur@gmail.com")</f>
        <v>ratueninur@gmail.com</v>
      </c>
      <c r="AI1273" s="80" t="str">
        <f>IFERROR(__xludf.DUMMYFUNCTION("""COMPUTED_VALUE"""),"42161S4")</f>
        <v>42161S4</v>
      </c>
      <c r="AJ1273" s="80" t="str">
        <f>IFERROR(__xludf.DUMMYFUNCTION("""COMPUTED_VALUE"""),"6a7d52179a1e90eb770ce3b3")</f>
        <v>6a7d52179a1e90eb770ce3b3</v>
      </c>
      <c r="AK1273" s="80" t="str">
        <f>IFERROR(__xludf.DUMMYFUNCTION("""COMPUTED_VALUE"""),"ratueninur@gmail.com")</f>
        <v>ratueninur@gmail.com</v>
      </c>
      <c r="AL1273" s="80" t="str">
        <f>IFERROR(__xludf.DUMMYFUNCTION("""COMPUTED_VALUE"""),"#Muc42161S4$")</f>
        <v>#Muc42161S4$</v>
      </c>
      <c r="AM1273" s="80" t="str">
        <f>IFERROR(__xludf.DUMMYFUNCTION("""COMPUTED_VALUE"""),"KANTOR REGIONAL II JAKARTA 10004")</f>
        <v>KANTOR REGIONAL II JAKARTA 10004</v>
      </c>
      <c r="AN1273" s="80" t="str">
        <f>IFERROR(__xludf.DUMMYFUNCTION("""COMPUTED_VALUE"""),"KCU SERANG 42100")</f>
        <v>KCU SERANG 42100</v>
      </c>
      <c r="AO1273" s="80" t="str">
        <f>IFERROR(__xludf.DUMMYFUNCTION("""COMPUTED_VALUE"""),"2907260016846")</f>
        <v>2907260016846</v>
      </c>
      <c r="AP1273" s="80" t="str">
        <f>IFERROR(__xludf.DUMMYFUNCTION("""COMPUTED_VALUE"""),"2907260016846")</f>
        <v>2907260016846</v>
      </c>
      <c r="AQ1273" s="83" t="str">
        <f>IFERROR(__xludf.DUMMYFUNCTION("""COMPUTED_VALUE"""),"1630015921144")</f>
        <v>1630015921144</v>
      </c>
      <c r="AR1273" s="80" t="str">
        <f>IFERROR(__xludf.DUMMYFUNCTION("""COMPUTED_VALUE"""),"Bank Mandiri")</f>
        <v>Bank Mandiri</v>
      </c>
      <c r="AS1273" s="80" t="str">
        <f>IFERROR(__xludf.DUMMYFUNCTION("""COMPUTED_VALUE"""),"Ratu Eni Nuraini")</f>
        <v>Ratu Eni Nuraini</v>
      </c>
      <c r="AT1273" s="80" t="str">
        <f>IFERROR(__xludf.DUMMYFUNCTION("""COMPUTED_VALUE"""),"-6.0607223,106.1131351")</f>
        <v>-6.0607223,106.1131351</v>
      </c>
      <c r="AU1273" s="80" t="str">
        <f>IFERROR(__xludf.DUMMYFUNCTION("""COMPUTED_VALUE"""),"-6.0607223,106.1131351")</f>
        <v>-6.0607223,106.1131351</v>
      </c>
      <c r="AV1273" s="80"/>
      <c r="AW1273" s="80"/>
      <c r="AX1273" s="80"/>
      <c r="AY1273" s="80"/>
      <c r="AZ1273" s="80"/>
      <c r="BA1273" s="80"/>
      <c r="BB1273" s="80"/>
      <c r="BC1273" s="80"/>
      <c r="BD1273" s="80"/>
      <c r="BE1273" s="80"/>
      <c r="BF1273" s="80"/>
      <c r="BG1273" s="80"/>
      <c r="BH1273" s="80"/>
      <c r="BI1273" s="80"/>
      <c r="BJ1273" s="80"/>
      <c r="BK1273" s="80"/>
      <c r="BL1273" s="80"/>
      <c r="BM1273" s="80"/>
      <c r="BN1273" s="80"/>
      <c r="BO1273" s="80"/>
      <c r="BP1273" s="80"/>
      <c r="BQ1273" s="80"/>
      <c r="BR1273" s="80"/>
      <c r="BS1273" s="80"/>
      <c r="BT1273" s="80"/>
      <c r="BU1273" s="80"/>
      <c r="BV1273" s="80"/>
      <c r="BW1273" s="80"/>
      <c r="BX1273" s="80"/>
      <c r="BY1273" s="80"/>
      <c r="BZ1273" s="80"/>
      <c r="CA1273" s="80"/>
      <c r="CB1273" s="80"/>
      <c r="CC1273" s="80"/>
      <c r="CD1273" s="80"/>
      <c r="CE1273" s="80"/>
      <c r="CF1273" s="80"/>
      <c r="CG1273" s="80"/>
      <c r="CH1273" s="80"/>
      <c r="CI1273" s="80"/>
      <c r="CJ1273" s="80"/>
      <c r="CK1273" s="2"/>
    </row>
    <row r="1274" ht="12.75" customHeight="1">
      <c r="A1274" s="85">
        <f>IFERROR(__xludf.DUMMYFUNCTION("""COMPUTED_VALUE"""),1270.0)</f>
        <v>1270</v>
      </c>
      <c r="B1274" s="85"/>
      <c r="C1274" s="85"/>
      <c r="D1274" s="86">
        <f>IFERROR(__xludf.DUMMYFUNCTION("""COMPUTED_VALUE"""),46233.0)</f>
        <v>46233</v>
      </c>
      <c r="E1274" s="88"/>
      <c r="F1274" s="85"/>
      <c r="G1274" s="86">
        <f>IFERROR(__xludf.DUMMYFUNCTION("""COMPUTED_VALUE"""),46267.0)</f>
        <v>46267</v>
      </c>
      <c r="H1274" s="85"/>
      <c r="I1274" s="85"/>
      <c r="J1274" s="85"/>
      <c r="K1274" s="85"/>
      <c r="L1274" s="85">
        <f>IFERROR(__xludf.DUMMYFUNCTION("""COMPUTED_VALUE"""),34.0)</f>
        <v>34</v>
      </c>
      <c r="M1274" s="85"/>
      <c r="N1274" s="85"/>
      <c r="O1274" s="85"/>
      <c r="P1274" s="85" t="str">
        <f>IFERROR(__xludf.DUMMYFUNCTION("""COMPUTED_VALUE"""),"MUCSPA63640PSIND")</f>
        <v>MUCSPA63640PSIND</v>
      </c>
      <c r="Q1274" s="85" t="str">
        <f>IFERROR(__xludf.DUMMYFUNCTION("""COMPUTED_VALUE"""),"MUC JTE")</f>
        <v>MUC JTE</v>
      </c>
      <c r="R1274" s="85" t="str">
        <f>IFERROR(__xludf.DUMMYFUNCTION("""COMPUTED_VALUE"""),"MUC JTE")</f>
        <v>MUC JTE</v>
      </c>
      <c r="S1274" s="85" t="str">
        <f>IFERROR(__xludf.DUMMYFUNCTION("""COMPUTED_VALUE"""),"ARIYANTO")</f>
        <v>ARIYANTO</v>
      </c>
      <c r="T1274" s="85" t="str">
        <f>IFERROR(__xludf.DUMMYFUNCTION("""COMPUTED_VALUE"""),"Jl. Haji Ung No. 7 Rt. 014/003 Kel. Utan Panjang Kec. Kemayoran. Jakarta Pusat")</f>
        <v>Jl. Haji Ung No. 7 Rt. 014/003 Kel. Utan Panjang Kec. Kemayoran. Jakarta Pusat</v>
      </c>
      <c r="U1274" s="85" t="str">
        <f>IFERROR(__xludf.DUMMYFUNCTION("""COMPUTED_VALUE"""),"Jl. Raden Saleh No.6B, Sukmajaya, Kec. Sukmajaya, Kota Depok, Jawa Barat 16411")</f>
        <v>Jl. Raden Saleh No.6B, Sukmajaya, Kec. Sukmajaya, Kota Depok, Jawa Barat 16411</v>
      </c>
      <c r="V1274" s="85"/>
      <c r="W1274" s="85" t="str">
        <f>IFERROR(__xludf.DUMMYFUNCTION("""COMPUTED_VALUE"""),"Sukmajaya")</f>
        <v>Sukmajaya</v>
      </c>
      <c r="X1274" s="85" t="str">
        <f>IFERROR(__xludf.DUMMYFUNCTION("""COMPUTED_VALUE"""),"Sukmajaya")</f>
        <v>Sukmajaya</v>
      </c>
      <c r="Y1274" s="85" t="str">
        <f>IFERROR(__xludf.DUMMYFUNCTION("""COMPUTED_VALUE"""),"Depok")</f>
        <v>Depok</v>
      </c>
      <c r="Z1274" s="85" t="str">
        <f>IFERROR(__xludf.DUMMYFUNCTION("""COMPUTED_VALUE"""),"Jawa Barat")</f>
        <v>Jawa Barat</v>
      </c>
      <c r="AA1274" s="85" t="str">
        <f>IFERROR(__xludf.DUMMYFUNCTION("""COMPUTED_VALUE"""),"16411")</f>
        <v>16411</v>
      </c>
      <c r="AB1274" s="85" t="str">
        <f>IFERROR(__xludf.DUMMYFUNCTION("""COMPUTED_VALUE"""),"3171031808800013")</f>
        <v>3171031808800013</v>
      </c>
      <c r="AC1274" s="85" t="str">
        <f>IFERROR(__xludf.DUMMYFUNCTION("""COMPUTED_VALUE"""),"44.509.760.3-027.000")</f>
        <v>44.509.760.3-027.000</v>
      </c>
      <c r="AD1274" s="85" t="str">
        <f>IFERROR(__xludf.DUMMYFUNCTION("""COMPUTED_VALUE"""),"CUM - PS - HPR")</f>
        <v>CUM - PS - HPR</v>
      </c>
      <c r="AE1274" s="85" t="str">
        <f>IFERROR(__xludf.DUMMYFUNCTION("""COMPUTED_VALUE"""),"CUM - PS - HPR")</f>
        <v>CUM - PS - HPR</v>
      </c>
      <c r="AF1274" s="85" t="str">
        <f>IFERROR(__xludf.DUMMYFUNCTION("""COMPUTED_VALUE"""),"08111814351")</f>
        <v>08111814351</v>
      </c>
      <c r="AG1274" s="85" t="str">
        <f>IFERROR(__xludf.DUMMYFUNCTION("""COMPUTED_VALUE"""),"08111814351")</f>
        <v>08111814351</v>
      </c>
      <c r="AH1274" s="85" t="str">
        <f>IFERROR(__xludf.DUMMYFUNCTION("""COMPUTED_VALUE"""),"info@jte.co.id")</f>
        <v>info@jte.co.id</v>
      </c>
      <c r="AI1274" s="85" t="str">
        <f>IFERROR(__xludf.DUMMYFUNCTION("""COMPUTED_VALUE"""),"16412SC")</f>
        <v>16412SC</v>
      </c>
      <c r="AJ1274" s="85" t="str">
        <f>IFERROR(__xludf.DUMMYFUNCTION("""COMPUTED_VALUE"""),"6a97bdccd1fe1f64120dcc26")</f>
        <v>6a97bdccd1fe1f64120dcc26</v>
      </c>
      <c r="AK1274" s="85" t="str">
        <f>IFERROR(__xludf.DUMMYFUNCTION("""COMPUTED_VALUE"""),"info@jte.co.id")</f>
        <v>info@jte.co.id</v>
      </c>
      <c r="AL1274" s="85" t="str">
        <f>IFERROR(__xludf.DUMMYFUNCTION("""COMPUTED_VALUE"""),"#Muc16412SC$")</f>
        <v>#Muc16412SC$</v>
      </c>
      <c r="AM1274" s="85" t="str">
        <f>IFERROR(__xludf.DUMMYFUNCTION("""COMPUTED_VALUE"""),"KANTOR REGIONAL II JAKARTA 10004")</f>
        <v>KANTOR REGIONAL II JAKARTA 10004</v>
      </c>
      <c r="AN1274" s="85" t="str">
        <f>IFERROR(__xludf.DUMMYFUNCTION("""COMPUTED_VALUE"""),"KC DEPOK 16400")</f>
        <v>KC DEPOK 16400</v>
      </c>
      <c r="AO1274" s="85" t="str">
        <f>IFERROR(__xludf.DUMMYFUNCTION("""COMPUTED_VALUE"""),"2907260086506")</f>
        <v>2907260086506</v>
      </c>
      <c r="AP1274" s="85" t="str">
        <f>IFERROR(__xludf.DUMMYFUNCTION("""COMPUTED_VALUE"""),"2907260086506")</f>
        <v>2907260086506</v>
      </c>
      <c r="AQ1274" s="93" t="str">
        <f>IFERROR(__xludf.DUMMYFUNCTION("""COMPUTED_VALUE"""),"0100128271")</f>
        <v>0100128271</v>
      </c>
      <c r="AR1274" s="85" t="str">
        <f>IFERROR(__xludf.DUMMYFUNCTION("""COMPUTED_VALUE"""),"Pospay")</f>
        <v>Pospay</v>
      </c>
      <c r="AS1274" s="85" t="str">
        <f>IFERROR(__xludf.DUMMYFUNCTION("""COMPUTED_VALUE"""),"LAELATUSADIYAH NINGTIAS")</f>
        <v>LAELATUSADIYAH NINGTIAS</v>
      </c>
      <c r="AT1274" s="85" t="str">
        <f>IFERROR(__xludf.DUMMYFUNCTION("""COMPUTED_VALUE"""),"-6.4131902,106.8416951")</f>
        <v>-6.4131902,106.8416951</v>
      </c>
      <c r="AU1274" s="85" t="str">
        <f>IFERROR(__xludf.DUMMYFUNCTION("""COMPUTED_VALUE"""),"-6.4131902,106.8416951")</f>
        <v>-6.4131902,106.8416951</v>
      </c>
      <c r="AV1274" s="85"/>
      <c r="AW1274" s="85"/>
      <c r="AX1274" s="85"/>
      <c r="AY1274" s="85"/>
      <c r="AZ1274" s="85"/>
      <c r="BA1274" s="85"/>
      <c r="BB1274" s="85"/>
      <c r="BC1274" s="85"/>
      <c r="BD1274" s="85"/>
      <c r="BE1274" s="85"/>
      <c r="BF1274" s="85"/>
      <c r="BG1274" s="85"/>
      <c r="BH1274" s="85"/>
      <c r="BI1274" s="85"/>
      <c r="BJ1274" s="85"/>
      <c r="BK1274" s="85"/>
      <c r="BL1274" s="85"/>
      <c r="BM1274" s="85"/>
      <c r="BN1274" s="85"/>
      <c r="BO1274" s="85"/>
      <c r="BP1274" s="85"/>
      <c r="BQ1274" s="85"/>
      <c r="BR1274" s="85"/>
      <c r="BS1274" s="85"/>
      <c r="BT1274" s="85"/>
      <c r="BU1274" s="85"/>
      <c r="BV1274" s="85"/>
      <c r="BW1274" s="85"/>
      <c r="BX1274" s="85"/>
      <c r="BY1274" s="85"/>
      <c r="BZ1274" s="85"/>
      <c r="CA1274" s="85"/>
      <c r="CB1274" s="85"/>
      <c r="CC1274" s="85"/>
      <c r="CD1274" s="85"/>
      <c r="CE1274" s="85"/>
      <c r="CF1274" s="85"/>
      <c r="CG1274" s="85"/>
      <c r="CH1274" s="85"/>
      <c r="CI1274" s="85"/>
      <c r="CJ1274" s="85"/>
      <c r="CK1274" s="2"/>
    </row>
    <row r="1275" ht="12.75" customHeight="1">
      <c r="A1275" s="80">
        <f>IFERROR(__xludf.DUMMYFUNCTION("""COMPUTED_VALUE"""),1271.0)</f>
        <v>1271</v>
      </c>
      <c r="B1275" s="80"/>
      <c r="C1275" s="80"/>
      <c r="D1275" s="81">
        <f>IFERROR(__xludf.DUMMYFUNCTION("""COMPUTED_VALUE"""),46233.0)</f>
        <v>46233</v>
      </c>
      <c r="E1275" s="82"/>
      <c r="F1275" s="80"/>
      <c r="G1275" s="81"/>
      <c r="H1275" s="80"/>
      <c r="I1275" s="80"/>
      <c r="J1275" s="80"/>
      <c r="K1275" s="80"/>
      <c r="L1275" s="80"/>
      <c r="M1275" s="80"/>
      <c r="N1275" s="80"/>
      <c r="O1275" s="80"/>
      <c r="P1275" s="80" t="str">
        <f>IFERROR(__xludf.DUMMYFUNCTION("""COMPUTED_VALUE"""),"MUCSPA63639PSIND")</f>
        <v>MUCSPA63639PSIND</v>
      </c>
      <c r="Q1275" s="80" t="str">
        <f>IFERROR(__xludf.DUMMYFUNCTION("""COMPUTED_VALUE"""),"MUC BERKAH")</f>
        <v>MUC BERKAH</v>
      </c>
      <c r="R1275" s="80" t="str">
        <f>IFERROR(__xludf.DUMMYFUNCTION("""COMPUTED_VALUE"""),"MUC BERKAH")</f>
        <v>MUC BERKAH</v>
      </c>
      <c r="S1275" s="80" t="str">
        <f>IFERROR(__xludf.DUMMYFUNCTION("""COMPUTED_VALUE"""),"REALITA")</f>
        <v>REALITA</v>
      </c>
      <c r="T1275" s="80" t="str">
        <f>IFERROR(__xludf.DUMMYFUNCTION("""COMPUTED_VALUE"""),"JL. MAWAR 04 PERUMAHAN GRIYA PERMATA INDAH GPI TANJUNG BUHU RT 003/009 TANJUNG ENIM LAWANG KIDUL KAB.MUARA ENIM")</f>
        <v>JL. MAWAR 04 PERUMAHAN GRIYA PERMATA INDAH GPI TANJUNG BUHU RT 003/009 TANJUNG ENIM LAWANG KIDUL KAB.MUARA ENIM</v>
      </c>
      <c r="U1275" s="80" t="str">
        <f>IFERROR(__xludf.DUMMYFUNCTION("""COMPUTED_VALUE"""),"JL.MAWAR 04 PERUMAHAN GRIYA PERMATA INDAH GPI TANJUNG BUHUK RT 003/009")</f>
        <v>JL.MAWAR 04 PERUMAHAN GRIYA PERMATA INDAH GPI TANJUNG BUHUK RT 003/009</v>
      </c>
      <c r="V1275" s="80"/>
      <c r="W1275" s="80" t="str">
        <f>IFERROR(__xludf.DUMMYFUNCTION("""COMPUTED_VALUE"""),"Tanjung Enim")</f>
        <v>Tanjung Enim</v>
      </c>
      <c r="X1275" s="80" t="str">
        <f>IFERROR(__xludf.DUMMYFUNCTION("""COMPUTED_VALUE"""),"Lawang Kidul")</f>
        <v>Lawang Kidul</v>
      </c>
      <c r="Y1275" s="80" t="str">
        <f>IFERROR(__xludf.DUMMYFUNCTION("""COMPUTED_VALUE"""),"Muara Enim")</f>
        <v>Muara Enim</v>
      </c>
      <c r="Z1275" s="80" t="str">
        <f>IFERROR(__xludf.DUMMYFUNCTION("""COMPUTED_VALUE"""),"SUMATERA SELATAN")</f>
        <v>SUMATERA SELATAN</v>
      </c>
      <c r="AA1275" s="80" t="str">
        <f>IFERROR(__xludf.DUMMYFUNCTION("""COMPUTED_VALUE"""),"31711")</f>
        <v>31711</v>
      </c>
      <c r="AB1275" s="80" t="str">
        <f>IFERROR(__xludf.DUMMYFUNCTION("""COMPUTED_VALUE"""),"1671076806900004")</f>
        <v>1671076806900004</v>
      </c>
      <c r="AC1275" s="80" t="str">
        <f>IFERROR(__xludf.DUMMYFUNCTION("""COMPUTED_VALUE"""),"80.663.120.6-307.000")</f>
        <v>80.663.120.6-307.000</v>
      </c>
      <c r="AD1275" s="80" t="str">
        <f>IFERROR(__xludf.DUMMYFUNCTION("""COMPUTED_VALUE"""),"CUM - PS - NONKORGEN")</f>
        <v>CUM - PS - NONKORGEN</v>
      </c>
      <c r="AE1275" s="80" t="str">
        <f>IFERROR(__xludf.DUMMYFUNCTION("""COMPUTED_VALUE"""),"pak tomi KC Muara Enim")</f>
        <v>pak tomi KC Muara Enim</v>
      </c>
      <c r="AF1275" s="80" t="str">
        <f>IFERROR(__xludf.DUMMYFUNCTION("""COMPUTED_VALUE"""),"081272195520")</f>
        <v>081272195520</v>
      </c>
      <c r="AG1275" s="80" t="str">
        <f>IFERROR(__xludf.DUMMYFUNCTION("""COMPUTED_VALUE"""),"081272195520")</f>
        <v>081272195520</v>
      </c>
      <c r="AH1275" s="80" t="str">
        <f>IFERROR(__xludf.DUMMYFUNCTION("""COMPUTED_VALUE"""),"realitaalita02@gmail.com")</f>
        <v>realitaalita02@gmail.com</v>
      </c>
      <c r="AI1275" s="80"/>
      <c r="AJ1275" s="80"/>
      <c r="AK1275" s="80"/>
      <c r="AL1275" s="80"/>
      <c r="AM1275" s="80" t="str">
        <f>IFERROR(__xludf.DUMMYFUNCTION("""COMPUTED_VALUE"""),"KANTOR REGIONAL I MEDAN 20004")</f>
        <v>KANTOR REGIONAL I MEDAN 20004</v>
      </c>
      <c r="AN1275" s="80" t="str">
        <f>IFERROR(__xludf.DUMMYFUNCTION("""COMPUTED_VALUE"""),"KC MUARAENIM 31300")</f>
        <v>KC MUARAENIM 31300</v>
      </c>
      <c r="AO1275" s="80" t="str">
        <f>IFERROR(__xludf.DUMMYFUNCTION("""COMPUTED_VALUE"""),"1711220150399")</f>
        <v>1711220150399</v>
      </c>
      <c r="AP1275" s="80" t="str">
        <f>IFERROR(__xludf.DUMMYFUNCTION("""COMPUTED_VALUE"""),"1711220150399")</f>
        <v>1711220150399</v>
      </c>
      <c r="AQ1275" s="83" t="str">
        <f>IFERROR(__xludf.DUMMYFUNCTION("""COMPUTED_VALUE"""),"7208800657")</f>
        <v>7208800657</v>
      </c>
      <c r="AR1275" s="80" t="str">
        <f>IFERROR(__xludf.DUMMYFUNCTION("""COMPUTED_VALUE"""),"BSI")</f>
        <v>BSI</v>
      </c>
      <c r="AS1275" s="80" t="str">
        <f>IFERROR(__xludf.DUMMYFUNCTION("""COMPUTED_VALUE"""),"ALITA")</f>
        <v>ALITA</v>
      </c>
      <c r="AT1275" s="80" t="str">
        <f>IFERROR(__xludf.DUMMYFUNCTION("""COMPUTED_VALUE"""),"-3.7558249,103.803659")</f>
        <v>-3.7558249,103.803659</v>
      </c>
      <c r="AU1275" s="80" t="str">
        <f>IFERROR(__xludf.DUMMYFUNCTION("""COMPUTED_VALUE"""),"-3.7558249,103.803659")</f>
        <v>-3.7558249,103.803659</v>
      </c>
      <c r="AV1275" s="80"/>
      <c r="AW1275" s="80"/>
      <c r="AX1275" s="80"/>
      <c r="AY1275" s="80"/>
      <c r="AZ1275" s="80"/>
      <c r="BA1275" s="80"/>
      <c r="BB1275" s="80"/>
      <c r="BC1275" s="80"/>
      <c r="BD1275" s="80"/>
      <c r="BE1275" s="80"/>
      <c r="BF1275" s="80"/>
      <c r="BG1275" s="80"/>
      <c r="BH1275" s="80"/>
      <c r="BI1275" s="80"/>
      <c r="BJ1275" s="80"/>
      <c r="BK1275" s="80"/>
      <c r="BL1275" s="80"/>
      <c r="BM1275" s="80"/>
      <c r="BN1275" s="80"/>
      <c r="BO1275" s="80"/>
      <c r="BP1275" s="80"/>
      <c r="BQ1275" s="80"/>
      <c r="BR1275" s="80"/>
      <c r="BS1275" s="80"/>
      <c r="BT1275" s="80"/>
      <c r="BU1275" s="80"/>
      <c r="BV1275" s="80"/>
      <c r="BW1275" s="80"/>
      <c r="BX1275" s="80"/>
      <c r="BY1275" s="80"/>
      <c r="BZ1275" s="80"/>
      <c r="CA1275" s="80"/>
      <c r="CB1275" s="80"/>
      <c r="CC1275" s="80"/>
      <c r="CD1275" s="80"/>
      <c r="CE1275" s="80"/>
      <c r="CF1275" s="80"/>
      <c r="CG1275" s="80"/>
      <c r="CH1275" s="80"/>
      <c r="CI1275" s="80"/>
      <c r="CJ1275" s="80"/>
      <c r="CK1275" s="2"/>
    </row>
    <row r="1276" ht="12.75" customHeight="1">
      <c r="A1276" s="85">
        <f>IFERROR(__xludf.DUMMYFUNCTION("""COMPUTED_VALUE"""),1272.0)</f>
        <v>1272</v>
      </c>
      <c r="B1276" s="85"/>
      <c r="C1276" s="85"/>
      <c r="D1276" s="86">
        <f>IFERROR(__xludf.DUMMYFUNCTION("""COMPUTED_VALUE"""),46233.0)</f>
        <v>46233</v>
      </c>
      <c r="E1276" s="88"/>
      <c r="F1276" s="85"/>
      <c r="G1276" s="86"/>
      <c r="H1276" s="85"/>
      <c r="I1276" s="85"/>
      <c r="J1276" s="85"/>
      <c r="K1276" s="85"/>
      <c r="L1276" s="85"/>
      <c r="M1276" s="85"/>
      <c r="N1276" s="85"/>
      <c r="O1276" s="85"/>
      <c r="P1276" s="85" t="str">
        <f>IFERROR(__xludf.DUMMYFUNCTION("""COMPUTED_VALUE"""),"52BSPA07131JTAMD")</f>
        <v>52BSPA07131JTAMD</v>
      </c>
      <c r="Q1276" s="85" t="str">
        <f>IFERROR(__xludf.DUMMYFUNCTION("""COMPUTED_VALUE"""),"MUC ABY ELEKTRIK")</f>
        <v>MUC ABY ELEKTRIK</v>
      </c>
      <c r="R1276" s="85" t="str">
        <f>IFERROR(__xludf.DUMMYFUNCTION("""COMPUTED_VALUE"""),"MUC ABY ELEKTRIK")</f>
        <v>MUC ABY ELEKTRIK</v>
      </c>
      <c r="S1276" s="85" t="str">
        <f>IFERROR(__xludf.DUMMYFUNCTION("""COMPUTED_VALUE"""),"HARYONO")</f>
        <v>HARYONO</v>
      </c>
      <c r="T1276" s="85" t="str">
        <f>IFERROR(__xludf.DUMMYFUNCTION("""COMPUTED_VALUE"""),"TUWUHAN RT 03 RW 05, PASUNGAN, CEPER, KAB.KLATEN")</f>
        <v>TUWUHAN RT 03 RW 05, PASUNGAN, CEPER, KAB.KLATEN</v>
      </c>
      <c r="U1276" s="85" t="str">
        <f>IFERROR(__xludf.DUMMYFUNCTION("""COMPUTED_VALUE"""),"JL. COKRO DELANGGU WANGEN II RT 02 RW 05")</f>
        <v>JL. COKRO DELANGGU WANGEN II RT 02 RW 05</v>
      </c>
      <c r="V1276" s="85" t="str">
        <f>IFERROR(__xludf.DUMMYFUNCTION("""COMPUTED_VALUE"""),"RT 03  \ RW 05,")</f>
        <v>RT 03  \ RW 05,</v>
      </c>
      <c r="W1276" s="85" t="str">
        <f>IFERROR(__xludf.DUMMYFUNCTION("""COMPUTED_VALUE"""),"WANGEN")</f>
        <v>WANGEN</v>
      </c>
      <c r="X1276" s="85" t="str">
        <f>IFERROR(__xludf.DUMMYFUNCTION("""COMPUTED_VALUE"""),"POLANHARJO")</f>
        <v>POLANHARJO</v>
      </c>
      <c r="Y1276" s="85" t="str">
        <f>IFERROR(__xludf.DUMMYFUNCTION("""COMPUTED_VALUE"""),"KAB.KLATEN")</f>
        <v>KAB.KLATEN</v>
      </c>
      <c r="Z1276" s="85" t="str">
        <f>IFERROR(__xludf.DUMMYFUNCTION("""COMPUTED_VALUE"""),"JAWA TENGAH")</f>
        <v>JAWA TENGAH</v>
      </c>
      <c r="AA1276" s="85" t="str">
        <f>IFERROR(__xludf.DUMMYFUNCTION("""COMPUTED_VALUE"""),"57474")</f>
        <v>57474</v>
      </c>
      <c r="AB1276" s="85" t="str">
        <f>IFERROR(__xludf.DUMMYFUNCTION("""COMPUTED_VALUE"""),"3310112209770002")</f>
        <v>3310112209770002</v>
      </c>
      <c r="AC1276" s="85" t="str">
        <f>IFERROR(__xludf.DUMMYFUNCTION("""COMPUTED_VALUE"""),"83.116.131.0-525.000")</f>
        <v>83.116.131.0-525.000</v>
      </c>
      <c r="AD1276" s="85" t="str">
        <f>IFERROR(__xludf.DUMMYFUNCTION("""COMPUTED_VALUE"""),"CUM - AMI")</f>
        <v>CUM - AMI</v>
      </c>
      <c r="AE1276" s="85" t="str">
        <f>IFERROR(__xludf.DUMMYFUNCTION("""COMPUTED_VALUE"""),"CUM - AMI")</f>
        <v>CUM - AMI</v>
      </c>
      <c r="AF1276" s="85" t="str">
        <f>IFERROR(__xludf.DUMMYFUNCTION("""COMPUTED_VALUE"""),"081578333377")</f>
        <v>081578333377</v>
      </c>
      <c r="AG1276" s="85" t="str">
        <f>IFERROR(__xludf.DUMMYFUNCTION("""COMPUTED_VALUE"""),"081578333377")</f>
        <v>081578333377</v>
      </c>
      <c r="AH1276" s="85" t="str">
        <f>IFERROR(__xludf.DUMMYFUNCTION("""COMPUTED_VALUE"""),"wildaelektrik@gmail.com")</f>
        <v>wildaelektrik@gmail.com</v>
      </c>
      <c r="AI1276" s="85"/>
      <c r="AJ1276" s="85"/>
      <c r="AK1276" s="85"/>
      <c r="AL1276" s="85"/>
      <c r="AM1276" s="85" t="str">
        <f>IFERROR(__xludf.DUMMYFUNCTION("""COMPUTED_VALUE"""),"KANTOR REGIONAL IV SEMARANG 50004")</f>
        <v>KANTOR REGIONAL IV SEMARANG 50004</v>
      </c>
      <c r="AN1276" s="85" t="str">
        <f>IFERROR(__xludf.DUMMYFUNCTION("""COMPUTED_VALUE"""),"KC KLATEN 57400")</f>
        <v>KC KLATEN 57400</v>
      </c>
      <c r="AO1276" s="85" t="str">
        <f>IFERROR(__xludf.DUMMYFUNCTION("""COMPUTED_VALUE"""),"3007260209636")</f>
        <v>3007260209636</v>
      </c>
      <c r="AP1276" s="85" t="str">
        <f>IFERROR(__xludf.DUMMYFUNCTION("""COMPUTED_VALUE"""),"3007260209636")</f>
        <v>3007260209636</v>
      </c>
      <c r="AQ1276" s="93" t="str">
        <f>IFERROR(__xludf.DUMMYFUNCTION("""COMPUTED_VALUE"""),"061201008765536")</f>
        <v>061201008765536</v>
      </c>
      <c r="AR1276" s="85" t="str">
        <f>IFERROR(__xludf.DUMMYFUNCTION("""COMPUTED_VALUE"""),"BRI")</f>
        <v>BRI</v>
      </c>
      <c r="AS1276" s="85" t="str">
        <f>IFERROR(__xludf.DUMMYFUNCTION("""COMPUTED_VALUE"""),"HARYONO")</f>
        <v>HARYONO</v>
      </c>
      <c r="AT1276" s="85" t="str">
        <f>IFERROR(__xludf.DUMMYFUNCTION("""COMPUTED_VALUE"""),"-7.6057638,110.6606907")</f>
        <v>-7.6057638,110.6606907</v>
      </c>
      <c r="AU1276" s="85" t="str">
        <f>IFERROR(__xludf.DUMMYFUNCTION("""COMPUTED_VALUE"""),"-7.6057638,110.6606907")</f>
        <v>-7.6057638,110.6606907</v>
      </c>
      <c r="AV1276" s="85"/>
      <c r="AW1276" s="85"/>
      <c r="AX1276" s="85"/>
      <c r="AY1276" s="85"/>
      <c r="AZ1276" s="85"/>
      <c r="BA1276" s="85"/>
      <c r="BB1276" s="85"/>
      <c r="BC1276" s="85"/>
      <c r="BD1276" s="85"/>
      <c r="BE1276" s="85"/>
      <c r="BF1276" s="85"/>
      <c r="BG1276" s="85"/>
      <c r="BH1276" s="85"/>
      <c r="BI1276" s="85"/>
      <c r="BJ1276" s="85"/>
      <c r="BK1276" s="85"/>
      <c r="BL1276" s="85"/>
      <c r="BM1276" s="85"/>
      <c r="BN1276" s="85"/>
      <c r="BO1276" s="85"/>
      <c r="BP1276" s="85"/>
      <c r="BQ1276" s="85"/>
      <c r="BR1276" s="85"/>
      <c r="BS1276" s="85"/>
      <c r="BT1276" s="85"/>
      <c r="BU1276" s="85"/>
      <c r="BV1276" s="85"/>
      <c r="BW1276" s="85"/>
      <c r="BX1276" s="85"/>
      <c r="BY1276" s="85"/>
      <c r="BZ1276" s="85"/>
      <c r="CA1276" s="85"/>
      <c r="CB1276" s="85"/>
      <c r="CC1276" s="85"/>
      <c r="CD1276" s="85"/>
      <c r="CE1276" s="85"/>
      <c r="CF1276" s="85"/>
      <c r="CG1276" s="85"/>
      <c r="CH1276" s="85"/>
      <c r="CI1276" s="85"/>
      <c r="CJ1276" s="85"/>
      <c r="CK1276" s="2"/>
    </row>
    <row r="1277" ht="12.75" customHeight="1">
      <c r="A1277" s="80">
        <f>IFERROR(__xludf.DUMMYFUNCTION("""COMPUTED_VALUE"""),1273.0)</f>
        <v>1273</v>
      </c>
      <c r="B1277" s="80"/>
      <c r="C1277" s="80"/>
      <c r="D1277" s="81">
        <f>IFERROR(__xludf.DUMMYFUNCTION("""COMPUTED_VALUE"""),46233.0)</f>
        <v>46233</v>
      </c>
      <c r="E1277" s="82"/>
      <c r="F1277" s="80"/>
      <c r="G1277" s="81">
        <f>IFERROR(__xludf.DUMMYFUNCTION("""COMPUTED_VALUE"""),46272.0)</f>
        <v>46272</v>
      </c>
      <c r="H1277" s="80"/>
      <c r="I1277" s="80"/>
      <c r="J1277" s="80"/>
      <c r="K1277" s="80"/>
      <c r="L1277" s="80">
        <f>IFERROR(__xludf.DUMMYFUNCTION("""COMPUTED_VALUE"""),39.0)</f>
        <v>39</v>
      </c>
      <c r="M1277" s="80"/>
      <c r="N1277" s="80"/>
      <c r="O1277" s="80"/>
      <c r="P1277" s="80" t="str">
        <f>IFERROR(__xludf.DUMMYFUNCTION("""COMPUTED_VALUE"""),"MUCSPA63641PSIND")</f>
        <v>MUCSPA63641PSIND</v>
      </c>
      <c r="Q1277" s="80" t="str">
        <f>IFERROR(__xludf.DUMMYFUNCTION("""COMPUTED_VALUE"""),"MUC PORIS INDAH")</f>
        <v>MUC PORIS INDAH</v>
      </c>
      <c r="R1277" s="80" t="str">
        <f>IFERROR(__xludf.DUMMYFUNCTION("""COMPUTED_VALUE"""),"MUC PORIS INDAH")</f>
        <v>MUC PORIS INDAH</v>
      </c>
      <c r="S1277" s="80" t="str">
        <f>IFERROR(__xludf.DUMMYFUNCTION("""COMPUTED_VALUE"""),"LIANY IPNU KENCANA")</f>
        <v>LIANY IPNU KENCANA</v>
      </c>
      <c r="T1277" s="80" t="str">
        <f>IFERROR(__xludf.DUMMYFUNCTION("""COMPUTED_VALUE"""),"JL. PERUMAHAN GRAND PORIS BLOK AB 3 NO. 27 RT 07 RW 09, CIPONDOH, CIPONDOH, TANGERANG")</f>
        <v>JL. PERUMAHAN GRAND PORIS BLOK AB 3 NO. 27 RT 07 RW 09, CIPONDOH, CIPONDOH, TANGERANG</v>
      </c>
      <c r="U1277" s="80" t="str">
        <f>IFERROR(__xludf.DUMMYFUNCTION("""COMPUTED_VALUE"""),"JL. PORIS INDAH BLOK D NO.546 RT.01 RW.07")</f>
        <v>JL. PORIS INDAH BLOK D NO.546 RT.01 RW.07</v>
      </c>
      <c r="V1277" s="80" t="str">
        <f>IFERROR(__xludf.DUMMYFUNCTION("""COMPUTED_VALUE"""),"RT 07  \ RW 09,")</f>
        <v>RT 07  \ RW 09,</v>
      </c>
      <c r="W1277" s="80" t="str">
        <f>IFERROR(__xludf.DUMMYFUNCTION("""COMPUTED_VALUE"""),"CIPONDOH INDAH")</f>
        <v>CIPONDOH INDAH</v>
      </c>
      <c r="X1277" s="80" t="str">
        <f>IFERROR(__xludf.DUMMYFUNCTION("""COMPUTED_VALUE"""),"CIPONDOH")</f>
        <v>CIPONDOH</v>
      </c>
      <c r="Y1277" s="80" t="str">
        <f>IFERROR(__xludf.DUMMYFUNCTION("""COMPUTED_VALUE"""),"TANGERANG")</f>
        <v>TANGERANG</v>
      </c>
      <c r="Z1277" s="80" t="str">
        <f>IFERROR(__xludf.DUMMYFUNCTION("""COMPUTED_VALUE"""),"BANTEN")</f>
        <v>BANTEN</v>
      </c>
      <c r="AA1277" s="80" t="str">
        <f>IFERROR(__xludf.DUMMYFUNCTION("""COMPUTED_VALUE"""),"15148")</f>
        <v>15148</v>
      </c>
      <c r="AB1277" s="80" t="str">
        <f>IFERROR(__xludf.DUMMYFUNCTION("""COMPUTED_VALUE"""),"3172054508880004")</f>
        <v>3172054508880004</v>
      </c>
      <c r="AC1277" s="80" t="str">
        <f>IFERROR(__xludf.DUMMYFUNCTION("""COMPUTED_VALUE"""),"79.382.645.4-044.000")</f>
        <v>79.382.645.4-044.000</v>
      </c>
      <c r="AD1277" s="80" t="str">
        <f>IFERROR(__xludf.DUMMYFUNCTION("""COMPUTED_VALUE"""),"CUM - PS - DWIH")</f>
        <v>CUM - PS - DWIH</v>
      </c>
      <c r="AE1277" s="80" t="str">
        <f>IFERROR(__xludf.DUMMYFUNCTION("""COMPUTED_VALUE"""),"CUM - PS - DWIH")</f>
        <v>CUM - PS - DWIH</v>
      </c>
      <c r="AF1277" s="80" t="str">
        <f>IFERROR(__xludf.DUMMYFUNCTION("""COMPUTED_VALUE"""),"08561449119")</f>
        <v>08561449119</v>
      </c>
      <c r="AG1277" s="80" t="str">
        <f>IFERROR(__xludf.DUMMYFUNCTION("""COMPUTED_VALUE"""),"08561449119")</f>
        <v>08561449119</v>
      </c>
      <c r="AH1277" s="80" t="str">
        <f>IFERROR(__xludf.DUMMYFUNCTION("""COMPUTED_VALUE"""),"kencana.lian@yahoo.com")</f>
        <v>kencana.lian@yahoo.com</v>
      </c>
      <c r="AI1277" s="80" t="str">
        <f>IFERROR(__xludf.DUMMYFUNCTION("""COMPUTED_VALUE"""),"15148S7")</f>
        <v>15148S7</v>
      </c>
      <c r="AJ1277" s="80" t="str">
        <f>IFERROR(__xludf.DUMMYFUNCTION("""COMPUTED_VALUE"""),"6a9aa0366b3eac6c2f0ebe98")</f>
        <v>6a9aa0366b3eac6c2f0ebe98</v>
      </c>
      <c r="AK1277" s="80" t="str">
        <f>IFERROR(__xludf.DUMMYFUNCTION("""COMPUTED_VALUE"""),"kencana.lian@yahoo.com")</f>
        <v>kencana.lian@yahoo.com</v>
      </c>
      <c r="AL1277" s="80" t="str">
        <f>IFERROR(__xludf.DUMMYFUNCTION("""COMPUTED_VALUE"""),"#Muc15148S7$")</f>
        <v>#Muc15148S7$</v>
      </c>
      <c r="AM1277" s="80" t="str">
        <f>IFERROR(__xludf.DUMMYFUNCTION("""COMPUTED_VALUE"""),"KANTOR REGIONAL II JAKARTA 10004")</f>
        <v>KANTOR REGIONAL II JAKARTA 10004</v>
      </c>
      <c r="AN1277" s="80" t="str">
        <f>IFERROR(__xludf.DUMMYFUNCTION("""COMPUTED_VALUE"""),"KCU TANGERANG 15000")</f>
        <v>KCU TANGERANG 15000</v>
      </c>
      <c r="AO1277" s="80" t="str">
        <f>IFERROR(__xludf.DUMMYFUNCTION("""COMPUTED_VALUE"""),"1311230030345")</f>
        <v>1311230030345</v>
      </c>
      <c r="AP1277" s="80" t="str">
        <f>IFERROR(__xludf.DUMMYFUNCTION("""COMPUTED_VALUE"""),"1311230030345")</f>
        <v>1311230030345</v>
      </c>
      <c r="AQ1277" s="83" t="str">
        <f>IFERROR(__xludf.DUMMYFUNCTION("""COMPUTED_VALUE"""),"5285533888")</f>
        <v>5285533888</v>
      </c>
      <c r="AR1277" s="80" t="str">
        <f>IFERROR(__xludf.DUMMYFUNCTION("""COMPUTED_VALUE"""),"BCA")</f>
        <v>BCA</v>
      </c>
      <c r="AS1277" s="80" t="str">
        <f>IFERROR(__xludf.DUMMYFUNCTION("""COMPUTED_VALUE"""),"LIANY IPNU KENCANA")</f>
        <v>LIANY IPNU KENCANA</v>
      </c>
      <c r="AT1277" s="80" t="str">
        <f>IFERROR(__xludf.DUMMYFUNCTION("""COMPUTED_VALUE"""),"-6.17799,106.6878124")</f>
        <v>-6.17799,106.6878124</v>
      </c>
      <c r="AU1277" s="80" t="str">
        <f>IFERROR(__xludf.DUMMYFUNCTION("""COMPUTED_VALUE"""),"-6.17799,106.6878124")</f>
        <v>-6.17799,106.6878124</v>
      </c>
      <c r="AV1277" s="80"/>
      <c r="AW1277" s="80"/>
      <c r="AX1277" s="80"/>
      <c r="AY1277" s="80"/>
      <c r="AZ1277" s="80"/>
      <c r="BA1277" s="80"/>
      <c r="BB1277" s="80"/>
      <c r="BC1277" s="80"/>
      <c r="BD1277" s="80"/>
      <c r="BE1277" s="80"/>
      <c r="BF1277" s="80"/>
      <c r="BG1277" s="80"/>
      <c r="BH1277" s="80"/>
      <c r="BI1277" s="80"/>
      <c r="BJ1277" s="80"/>
      <c r="BK1277" s="80"/>
      <c r="BL1277" s="80"/>
      <c r="BM1277" s="80"/>
      <c r="BN1277" s="80"/>
      <c r="BO1277" s="80"/>
      <c r="BP1277" s="80"/>
      <c r="BQ1277" s="80"/>
      <c r="BR1277" s="80"/>
      <c r="BS1277" s="80"/>
      <c r="BT1277" s="80"/>
      <c r="BU1277" s="80"/>
      <c r="BV1277" s="80"/>
      <c r="BW1277" s="80"/>
      <c r="BX1277" s="80"/>
      <c r="BY1277" s="80"/>
      <c r="BZ1277" s="80"/>
      <c r="CA1277" s="80"/>
      <c r="CB1277" s="80"/>
      <c r="CC1277" s="80"/>
      <c r="CD1277" s="80"/>
      <c r="CE1277" s="80"/>
      <c r="CF1277" s="80"/>
      <c r="CG1277" s="80"/>
      <c r="CH1277" s="80"/>
      <c r="CI1277" s="80"/>
      <c r="CJ1277" s="80"/>
      <c r="CK1277" s="2"/>
    </row>
    <row r="1278" ht="12.75" customHeight="1">
      <c r="A1278" s="85">
        <f>IFERROR(__xludf.DUMMYFUNCTION("""COMPUTED_VALUE"""),1274.0)</f>
        <v>1274</v>
      </c>
      <c r="B1278" s="85"/>
      <c r="C1278" s="85"/>
      <c r="D1278" s="86">
        <f>IFERROR(__xludf.DUMMYFUNCTION("""COMPUTED_VALUE"""),46233.0)</f>
        <v>46233</v>
      </c>
      <c r="E1278" s="88"/>
      <c r="F1278" s="85"/>
      <c r="G1278" s="86">
        <f>IFERROR(__xludf.DUMMYFUNCTION("""COMPUTED_VALUE"""),46267.0)</f>
        <v>46267</v>
      </c>
      <c r="H1278" s="85"/>
      <c r="I1278" s="85"/>
      <c r="J1278" s="85"/>
      <c r="K1278" s="85"/>
      <c r="L1278" s="85">
        <f>IFERROR(__xludf.DUMMYFUNCTION("""COMPUTED_VALUE"""),34.0)</f>
        <v>34</v>
      </c>
      <c r="M1278" s="85"/>
      <c r="N1278" s="85"/>
      <c r="O1278" s="85"/>
      <c r="P1278" s="85" t="str">
        <f>IFERROR(__xludf.DUMMYFUNCTION("""COMPUTED_VALUE"""),"MUCSPA70045PSUMK")</f>
        <v>MUCSPA70045PSUMK</v>
      </c>
      <c r="Q1278" s="85" t="str">
        <f>IFERROR(__xludf.DUMMYFUNCTION("""COMPUTED_VALUE"""),"MUC SALSA EXPRESS")</f>
        <v>MUC SALSA EXPRESS</v>
      </c>
      <c r="R1278" s="85" t="str">
        <f>IFERROR(__xludf.DUMMYFUNCTION("""COMPUTED_VALUE"""),"MUC SALSA EXPRESS")</f>
        <v>MUC SALSA EXPRESS</v>
      </c>
      <c r="S1278" s="85" t="str">
        <f>IFERROR(__xludf.DUMMYFUNCTION("""COMPUTED_VALUE"""),"PRASETYO")</f>
        <v>PRASETYO</v>
      </c>
      <c r="T1278" s="85" t="str">
        <f>IFERROR(__xludf.DUMMYFUNCTION("""COMPUTED_VALUE"""),"DUSUN II KP.SUKASARI RT 02 RW 04, KUTAMEKAR, CIAMPEL, KAB.KARAWANG")</f>
        <v>DUSUN II KP.SUKASARI RT 02 RW 04, KUTAMEKAR, CIAMPEL, KAB.KARAWANG</v>
      </c>
      <c r="U1278" s="85" t="str">
        <f>IFERROR(__xludf.DUMMYFUNCTION("""COMPUTED_VALUE"""),"JL. SEBRANG CIMAHI CIDAMPA RT 10 RW 04")</f>
        <v>JL. SEBRANG CIMAHI CIDAMPA RT 10 RW 04</v>
      </c>
      <c r="V1278" s="85" t="str">
        <f>IFERROR(__xludf.DUMMYFUNCTION("""COMPUTED_VALUE"""),"RT 02  \ RW 04,")</f>
        <v>RT 02  \ RW 04,</v>
      </c>
      <c r="W1278" s="85" t="str">
        <f>IFERROR(__xludf.DUMMYFUNCTION("""COMPUTED_VALUE"""),"KUTANEGARA")</f>
        <v>KUTANEGARA</v>
      </c>
      <c r="X1278" s="85" t="str">
        <f>IFERROR(__xludf.DUMMYFUNCTION("""COMPUTED_VALUE"""),"CIAMPEL")</f>
        <v>CIAMPEL</v>
      </c>
      <c r="Y1278" s="85" t="str">
        <f>IFERROR(__xludf.DUMMYFUNCTION("""COMPUTED_VALUE"""),"KAB.KARAWANG")</f>
        <v>KAB.KARAWANG</v>
      </c>
      <c r="Z1278" s="85" t="str">
        <f>IFERROR(__xludf.DUMMYFUNCTION("""COMPUTED_VALUE"""),"JAWA BARAT")</f>
        <v>JAWA BARAT</v>
      </c>
      <c r="AA1278" s="85" t="str">
        <f>IFERROR(__xludf.DUMMYFUNCTION("""COMPUTED_VALUE"""),"41363")</f>
        <v>41363</v>
      </c>
      <c r="AB1278" s="85" t="str">
        <f>IFERROR(__xludf.DUMMYFUNCTION("""COMPUTED_VALUE"""),"3215041909720002")</f>
        <v>3215041909720002</v>
      </c>
      <c r="AC1278" s="85" t="str">
        <f>IFERROR(__xludf.DUMMYFUNCTION("""COMPUTED_VALUE"""),"32.150.419.0-972.0002")</f>
        <v>32.150.419.0-972.0002</v>
      </c>
      <c r="AD1278" s="85" t="str">
        <f>IFERROR(__xludf.DUMMYFUNCTION("""COMPUTED_VALUE"""),"CUM - UMKMNK - ASEP")</f>
        <v>CUM - UMKMNK - ASEP</v>
      </c>
      <c r="AE1278" s="85" t="str">
        <f>IFERROR(__xludf.DUMMYFUNCTION("""COMPUTED_VALUE"""),"CUM - UMKMNK - ASEP")</f>
        <v>CUM - UMKMNK - ASEP</v>
      </c>
      <c r="AF1278" s="85" t="str">
        <f>IFERROR(__xludf.DUMMYFUNCTION("""COMPUTED_VALUE"""),"085719387295")</f>
        <v>085719387295</v>
      </c>
      <c r="AG1278" s="85" t="str">
        <f>IFERROR(__xludf.DUMMYFUNCTION("""COMPUTED_VALUE"""),"085719387295")</f>
        <v>085719387295</v>
      </c>
      <c r="AH1278" s="85" t="str">
        <f>IFERROR(__xludf.DUMMYFUNCTION("""COMPUTED_VALUE"""),"prasetyo3365@gmail.com")</f>
        <v>prasetyo3365@gmail.com</v>
      </c>
      <c r="AI1278" s="85" t="str">
        <f>IFERROR(__xludf.DUMMYFUNCTION("""COMPUTED_VALUE"""),"41363S2")</f>
        <v>41363S2</v>
      </c>
      <c r="AJ1278" s="85" t="str">
        <f>IFERROR(__xludf.DUMMYFUNCTION("""COMPUTED_VALUE"""),"6a9661c253cac90922090ba4")</f>
        <v>6a9661c253cac90922090ba4</v>
      </c>
      <c r="AK1278" s="85" t="str">
        <f>IFERROR(__xludf.DUMMYFUNCTION("""COMPUTED_VALUE"""),"prasetyo3365@gmail.com")</f>
        <v>prasetyo3365@gmail.com</v>
      </c>
      <c r="AL1278" s="85" t="str">
        <f>IFERROR(__xludf.DUMMYFUNCTION("""COMPUTED_VALUE"""),"#Muc41363S2$")</f>
        <v>#Muc41363S2$</v>
      </c>
      <c r="AM1278" s="85" t="str">
        <f>IFERROR(__xludf.DUMMYFUNCTION("""COMPUTED_VALUE"""),"KANTOR REGIONAL III BANDUNG 40004")</f>
        <v>KANTOR REGIONAL III BANDUNG 40004</v>
      </c>
      <c r="AN1278" s="85" t="str">
        <f>IFERROR(__xludf.DUMMYFUNCTION("""COMPUTED_VALUE"""),"KCU KARAWANG 41300")</f>
        <v>KCU KARAWANG 41300</v>
      </c>
      <c r="AO1278" s="85" t="str">
        <f>IFERROR(__xludf.DUMMYFUNCTION("""COMPUTED_VALUE"""),"1607230060103")</f>
        <v>1607230060103</v>
      </c>
      <c r="AP1278" s="85" t="str">
        <f>IFERROR(__xludf.DUMMYFUNCTION("""COMPUTED_VALUE"""),"1607230060103")</f>
        <v>1607230060103</v>
      </c>
      <c r="AQ1278" s="93" t="str">
        <f>IFERROR(__xludf.DUMMYFUNCTION("""COMPUTED_VALUE"""),"191889096505")</f>
        <v>191889096505</v>
      </c>
      <c r="AR1278" s="85" t="str">
        <f>IFERROR(__xludf.DUMMYFUNCTION("""COMPUTED_VALUE"""),"Seabank")</f>
        <v>Seabank</v>
      </c>
      <c r="AS1278" s="85" t="str">
        <f>IFERROR(__xludf.DUMMYFUNCTION("""COMPUTED_VALUE"""),"PRASETYO")</f>
        <v>PRASETYO</v>
      </c>
      <c r="AT1278" s="85" t="str">
        <f>IFERROR(__xludf.DUMMYFUNCTION("""COMPUTED_VALUE"""),"-6.4022035,107.3415112")</f>
        <v>-6.4022035,107.3415112</v>
      </c>
      <c r="AU1278" s="85" t="str">
        <f>IFERROR(__xludf.DUMMYFUNCTION("""COMPUTED_VALUE"""),"-6.4022035,107.3415112")</f>
        <v>-6.4022035,107.3415112</v>
      </c>
      <c r="AV1278" s="85"/>
      <c r="AW1278" s="85"/>
      <c r="AX1278" s="85"/>
      <c r="AY1278" s="85"/>
      <c r="AZ1278" s="85"/>
      <c r="BA1278" s="85"/>
      <c r="BB1278" s="85"/>
      <c r="BC1278" s="85"/>
      <c r="BD1278" s="85"/>
      <c r="BE1278" s="85"/>
      <c r="BF1278" s="85"/>
      <c r="BG1278" s="85"/>
      <c r="BH1278" s="85"/>
      <c r="BI1278" s="85"/>
      <c r="BJ1278" s="85"/>
      <c r="BK1278" s="85"/>
      <c r="BL1278" s="85"/>
      <c r="BM1278" s="85"/>
      <c r="BN1278" s="85"/>
      <c r="BO1278" s="85"/>
      <c r="BP1278" s="85"/>
      <c r="BQ1278" s="85"/>
      <c r="BR1278" s="85"/>
      <c r="BS1278" s="85"/>
      <c r="BT1278" s="85"/>
      <c r="BU1278" s="85"/>
      <c r="BV1278" s="85"/>
      <c r="BW1278" s="85"/>
      <c r="BX1278" s="85"/>
      <c r="BY1278" s="85"/>
      <c r="BZ1278" s="85"/>
      <c r="CA1278" s="85"/>
      <c r="CB1278" s="85"/>
      <c r="CC1278" s="85"/>
      <c r="CD1278" s="85"/>
      <c r="CE1278" s="85"/>
      <c r="CF1278" s="85"/>
      <c r="CG1278" s="85"/>
      <c r="CH1278" s="85"/>
      <c r="CI1278" s="85"/>
      <c r="CJ1278" s="85"/>
      <c r="CK1278" s="2"/>
    </row>
    <row r="1279" ht="12.75" customHeight="1">
      <c r="A1279" s="80">
        <f>IFERROR(__xludf.DUMMYFUNCTION("""COMPUTED_VALUE"""),1275.0)</f>
        <v>1275</v>
      </c>
      <c r="B1279" s="80"/>
      <c r="C1279" s="80"/>
      <c r="D1279" s="81">
        <f>IFERROR(__xludf.DUMMYFUNCTION("""COMPUTED_VALUE"""),46233.0)</f>
        <v>46233</v>
      </c>
      <c r="E1279" s="82"/>
      <c r="F1279" s="80"/>
      <c r="G1279" s="81">
        <f>IFERROR(__xludf.DUMMYFUNCTION("""COMPUTED_VALUE"""),46253.0)</f>
        <v>46253</v>
      </c>
      <c r="H1279" s="80"/>
      <c r="I1279" s="80"/>
      <c r="J1279" s="80"/>
      <c r="K1279" s="80"/>
      <c r="L1279" s="80">
        <f>IFERROR(__xludf.DUMMYFUNCTION("""COMPUTED_VALUE"""),20.0)</f>
        <v>20</v>
      </c>
      <c r="M1279" s="80"/>
      <c r="N1279" s="80"/>
      <c r="O1279" s="80"/>
      <c r="P1279" s="80" t="str">
        <f>IFERROR(__xludf.DUMMYFUNCTION("""COMPUTED_VALUE"""),"53BSPA17159JBNNK")</f>
        <v>53BSPA17159JBNNK</v>
      </c>
      <c r="Q1279" s="80" t="str">
        <f>IFERROR(__xludf.DUMMYFUNCTION("""COMPUTED_VALUE"""),"MUC NAGROG KEMANG")</f>
        <v>MUC NAGROG KEMANG</v>
      </c>
      <c r="R1279" s="80" t="str">
        <f>IFERROR(__xludf.DUMMYFUNCTION("""COMPUTED_VALUE"""),"MUC NAGROG KEMANG")</f>
        <v>MUC NAGROG KEMANG</v>
      </c>
      <c r="S1279" s="80" t="str">
        <f>IFERROR(__xludf.DUMMYFUNCTION("""COMPUTED_VALUE"""),"ERVIAN ANANDHI")</f>
        <v>ERVIAN ANANDHI</v>
      </c>
      <c r="T1279" s="80" t="str">
        <f>IFERROR(__xludf.DUMMYFUNCTION("""COMPUTED_VALUE"""),"GUGUS GRIYA GANESHA F-8/29, TEGAL, KEMANG, KAB.BOGOR")</f>
        <v>GUGUS GRIYA GANESHA F-8/29, TEGAL, KEMANG, KAB.BOGOR</v>
      </c>
      <c r="U1279" s="80" t="str">
        <f>IFERROR(__xludf.DUMMYFUNCTION("""COMPUTED_VALUE"""),"Jl. Jampang Karkhil Kp.Nagrog Ds.Tegal, Kec.Kemang, Kab.Bogor, Jawa Barat")</f>
        <v>Jl. Jampang Karkhil Kp.Nagrog Ds.Tegal, Kec.Kemang, Kab.Bogor, Jawa Barat</v>
      </c>
      <c r="V1279" s="80"/>
      <c r="W1279" s="80" t="str">
        <f>IFERROR(__xludf.DUMMYFUNCTION("""COMPUTED_VALUE"""),"Tegal")</f>
        <v>Tegal</v>
      </c>
      <c r="X1279" s="80" t="str">
        <f>IFERROR(__xludf.DUMMYFUNCTION("""COMPUTED_VALUE"""),"Kemang")</f>
        <v>Kemang</v>
      </c>
      <c r="Y1279" s="80" t="str">
        <f>IFERROR(__xludf.DUMMYFUNCTION("""COMPUTED_VALUE"""),"Kab.Bogor")</f>
        <v>Kab.Bogor</v>
      </c>
      <c r="Z1279" s="80" t="str">
        <f>IFERROR(__xludf.DUMMYFUNCTION("""COMPUTED_VALUE"""),"Jawa Barat")</f>
        <v>Jawa Barat</v>
      </c>
      <c r="AA1279" s="80" t="str">
        <f>IFERROR(__xludf.DUMMYFUNCTION("""COMPUTED_VALUE"""),"16310")</f>
        <v>16310</v>
      </c>
      <c r="AB1279" s="80" t="str">
        <f>IFERROR(__xludf.DUMMYFUNCTION("""COMPUTED_VALUE"""),"3201122105730006")</f>
        <v>3201122105730006</v>
      </c>
      <c r="AC1279" s="80" t="str">
        <f>IFERROR(__xludf.DUMMYFUNCTION("""COMPUTED_VALUE"""),"25.387.882.1-403.000")</f>
        <v>25.387.882.1-403.000</v>
      </c>
      <c r="AD1279" s="80" t="str">
        <f>IFERROR(__xludf.DUMMYFUNCTION("""COMPUTED_VALUE"""),"CUM - NANIKA")</f>
        <v>CUM - NANIKA</v>
      </c>
      <c r="AE1279" s="80" t="str">
        <f>IFERROR(__xludf.DUMMYFUNCTION("""COMPUTED_VALUE"""),"CUM - NANIKA")</f>
        <v>CUM - NANIKA</v>
      </c>
      <c r="AF1279" s="80" t="str">
        <f>IFERROR(__xludf.DUMMYFUNCTION("""COMPUTED_VALUE"""),"081381881142")</f>
        <v>081381881142</v>
      </c>
      <c r="AG1279" s="80" t="str">
        <f>IFERROR(__xludf.DUMMYFUNCTION("""COMPUTED_VALUE"""),"081381881142")</f>
        <v>081381881142</v>
      </c>
      <c r="AH1279" s="80" t="str">
        <f>IFERROR(__xludf.DUMMYFUNCTION("""COMPUTED_VALUE"""),"ervian.anandhi@gmail.com")</f>
        <v>ervian.anandhi@gmail.com</v>
      </c>
      <c r="AI1279" s="80" t="str">
        <f>IFERROR(__xludf.DUMMYFUNCTION("""COMPUTED_VALUE"""),"16315S3")</f>
        <v>16315S3</v>
      </c>
      <c r="AJ1279" s="80" t="str">
        <f>IFERROR(__xludf.DUMMYFUNCTION("""COMPUTED_VALUE"""),"6a851b5c6f90443e3008978c")</f>
        <v>6a851b5c6f90443e3008978c</v>
      </c>
      <c r="AK1279" s="80" t="str">
        <f>IFERROR(__xludf.DUMMYFUNCTION("""COMPUTED_VALUE"""),"ervian.anandhi@gmail.com")</f>
        <v>ervian.anandhi@gmail.com</v>
      </c>
      <c r="AL1279" s="80" t="str">
        <f>IFERROR(__xludf.DUMMYFUNCTION("""COMPUTED_VALUE"""),"#Muc16315S3$")</f>
        <v>#Muc16315S3$</v>
      </c>
      <c r="AM1279" s="80" t="str">
        <f>IFERROR(__xludf.DUMMYFUNCTION("""COMPUTED_VALUE"""),"KANTOR REGIONAL II JAKARTA 10004")</f>
        <v>KANTOR REGIONAL II JAKARTA 10004</v>
      </c>
      <c r="AN1279" s="80" t="str">
        <f>IFERROR(__xludf.DUMMYFUNCTION("""COMPUTED_VALUE"""),"KCU BOGOR 16000")</f>
        <v>KCU BOGOR 16000</v>
      </c>
      <c r="AO1279" s="80" t="str">
        <f>IFERROR(__xludf.DUMMYFUNCTION("""COMPUTED_VALUE"""),"3007260166495")</f>
        <v>3007260166495</v>
      </c>
      <c r="AP1279" s="80" t="str">
        <f>IFERROR(__xludf.DUMMYFUNCTION("""COMPUTED_VALUE"""),"3007260166495")</f>
        <v>3007260166495</v>
      </c>
      <c r="AQ1279" s="83" t="str">
        <f>IFERROR(__xludf.DUMMYFUNCTION("""COMPUTED_VALUE"""),"2700191242")</f>
        <v>2700191242</v>
      </c>
      <c r="AR1279" s="80" t="str">
        <f>IFERROR(__xludf.DUMMYFUNCTION("""COMPUTED_VALUE"""),"BCA")</f>
        <v>BCA</v>
      </c>
      <c r="AS1279" s="80" t="str">
        <f>IFERROR(__xludf.DUMMYFUNCTION("""COMPUTED_VALUE"""),"ERVIAN ANANDHI")</f>
        <v>ERVIAN ANANDHI</v>
      </c>
      <c r="AT1279" s="80" t="str">
        <f>IFERROR(__xludf.DUMMYFUNCTION("""COMPUTED_VALUE"""),"-6.4853675,106.6946503")</f>
        <v>-6.4853675,106.6946503</v>
      </c>
      <c r="AU1279" s="80" t="str">
        <f>IFERROR(__xludf.DUMMYFUNCTION("""COMPUTED_VALUE"""),"-6.4853675,106.6946503")</f>
        <v>-6.4853675,106.6946503</v>
      </c>
      <c r="AV1279" s="80"/>
      <c r="AW1279" s="80"/>
      <c r="AX1279" s="80"/>
      <c r="AY1279" s="80"/>
      <c r="AZ1279" s="80"/>
      <c r="BA1279" s="80"/>
      <c r="BB1279" s="80"/>
      <c r="BC1279" s="80"/>
      <c r="BD1279" s="80"/>
      <c r="BE1279" s="80"/>
      <c r="BF1279" s="80"/>
      <c r="BG1279" s="80"/>
      <c r="BH1279" s="80"/>
      <c r="BI1279" s="80"/>
      <c r="BJ1279" s="80"/>
      <c r="BK1279" s="80"/>
      <c r="BL1279" s="80"/>
      <c r="BM1279" s="80"/>
      <c r="BN1279" s="80"/>
      <c r="BO1279" s="80"/>
      <c r="BP1279" s="80"/>
      <c r="BQ1279" s="80"/>
      <c r="BR1279" s="80"/>
      <c r="BS1279" s="80"/>
      <c r="BT1279" s="80"/>
      <c r="BU1279" s="80"/>
      <c r="BV1279" s="80"/>
      <c r="BW1279" s="80"/>
      <c r="BX1279" s="80"/>
      <c r="BY1279" s="80"/>
      <c r="BZ1279" s="80"/>
      <c r="CA1279" s="80"/>
      <c r="CB1279" s="80"/>
      <c r="CC1279" s="80"/>
      <c r="CD1279" s="80"/>
      <c r="CE1279" s="80"/>
      <c r="CF1279" s="80"/>
      <c r="CG1279" s="80"/>
      <c r="CH1279" s="80"/>
      <c r="CI1279" s="80"/>
      <c r="CJ1279" s="80"/>
      <c r="CK1279" s="2"/>
    </row>
    <row r="1280" ht="12.75" customHeight="1">
      <c r="A1280" s="85">
        <f>IFERROR(__xludf.DUMMYFUNCTION("""COMPUTED_VALUE"""),1276.0)</f>
        <v>1276</v>
      </c>
      <c r="B1280" s="85"/>
      <c r="C1280" s="85"/>
      <c r="D1280" s="86">
        <f>IFERROR(__xludf.DUMMYFUNCTION("""COMPUTED_VALUE"""),46234.0)</f>
        <v>46234</v>
      </c>
      <c r="E1280" s="88"/>
      <c r="F1280" s="85"/>
      <c r="G1280" s="86">
        <f>IFERROR(__xludf.DUMMYFUNCTION("""COMPUTED_VALUE"""),46252.0)</f>
        <v>46252</v>
      </c>
      <c r="H1280" s="85"/>
      <c r="I1280" s="85"/>
      <c r="J1280" s="85"/>
      <c r="K1280" s="85"/>
      <c r="L1280" s="85">
        <f>IFERROR(__xludf.DUMMYFUNCTION("""COMPUTED_VALUE"""),18.0)</f>
        <v>18</v>
      </c>
      <c r="M1280" s="85"/>
      <c r="N1280" s="85"/>
      <c r="O1280" s="85"/>
      <c r="P1280" s="85" t="str">
        <f>IFERROR(__xludf.DUMMYFUNCTION("""COMPUTED_VALUE"""),"53BSPA17178JBNDS")</f>
        <v>53BSPA17178JBNDS</v>
      </c>
      <c r="Q1280" s="85" t="str">
        <f>IFERROR(__xludf.DUMMYFUNCTION("""COMPUTED_VALUE"""),"MUC RAWALUMBU")</f>
        <v>MUC RAWALUMBU</v>
      </c>
      <c r="R1280" s="85" t="str">
        <f>IFERROR(__xludf.DUMMYFUNCTION("""COMPUTED_VALUE"""),"MUC RAWALUMBU")</f>
        <v>MUC RAWALUMBU</v>
      </c>
      <c r="S1280" s="85" t="str">
        <f>IFERROR(__xludf.DUMMYFUNCTION("""COMPUTED_VALUE"""),"Leonick Antonius William Mamahit")</f>
        <v>Leonick Antonius William Mamahit</v>
      </c>
      <c r="T1280" s="85" t="str">
        <f>IFERROR(__xludf.DUMMYFUNCTION("""COMPUTED_VALUE"""),"JL. TEBET TIMUR III B NO.11 RT 04 RW 11, TEBET TIMUR, TEBET, JAKSEL")</f>
        <v>JL. TEBET TIMUR III B NO.11 RT 04 RW 11, TEBET TIMUR, TEBET, JAKSEL</v>
      </c>
      <c r="U1280" s="85" t="str">
        <f>IFERROR(__xludf.DUMMYFUNCTION("""COMPUTED_VALUE"""),"JL. DALANG RT 08 RW 06")</f>
        <v>JL. DALANG RT 08 RW 06</v>
      </c>
      <c r="V1280" s="85" t="str">
        <f>IFERROR(__xludf.DUMMYFUNCTION("""COMPUTED_VALUE"""),"RT 04  \ RW 11,")</f>
        <v>RT 04  \ RW 11,</v>
      </c>
      <c r="W1280" s="85" t="str">
        <f>IFERROR(__xludf.DUMMYFUNCTION("""COMPUTED_VALUE"""),"BOJONG RAWALUMBU")</f>
        <v>BOJONG RAWALUMBU</v>
      </c>
      <c r="X1280" s="85" t="str">
        <f>IFERROR(__xludf.DUMMYFUNCTION("""COMPUTED_VALUE"""),"RAWALUMBU")</f>
        <v>RAWALUMBU</v>
      </c>
      <c r="Y1280" s="85" t="str">
        <f>IFERROR(__xludf.DUMMYFUNCTION("""COMPUTED_VALUE"""),"BEKASI")</f>
        <v>BEKASI</v>
      </c>
      <c r="Z1280" s="85" t="str">
        <f>IFERROR(__xludf.DUMMYFUNCTION("""COMPUTED_VALUE"""),"JAWA BARAT")</f>
        <v>JAWA BARAT</v>
      </c>
      <c r="AA1280" s="85" t="str">
        <f>IFERROR(__xludf.DUMMYFUNCTION("""COMPUTED_VALUE"""),"16117")</f>
        <v>16117</v>
      </c>
      <c r="AB1280" s="85" t="str">
        <f>IFERROR(__xludf.DUMMYFUNCTION("""COMPUTED_VALUE"""),"3174011308890002")</f>
        <v>3174011308890002</v>
      </c>
      <c r="AC1280" s="85" t="str">
        <f>IFERROR(__xludf.DUMMYFUNCTION("""COMPUTED_VALUE"""),"46.579.071.5-432.000")</f>
        <v>46.579.071.5-432.000</v>
      </c>
      <c r="AD1280" s="85" t="str">
        <f>IFERROR(__xludf.DUMMYFUNCTION("""COMPUTED_VALUE"""),"CUM - NDS")</f>
        <v>CUM - NDS</v>
      </c>
      <c r="AE1280" s="85" t="str">
        <f>IFERROR(__xludf.DUMMYFUNCTION("""COMPUTED_VALUE"""),"CUM - NDS")</f>
        <v>CUM - NDS</v>
      </c>
      <c r="AF1280" s="85" t="str">
        <f>IFERROR(__xludf.DUMMYFUNCTION("""COMPUTED_VALUE"""),"085133052172")</f>
        <v>085133052172</v>
      </c>
      <c r="AG1280" s="85" t="str">
        <f>IFERROR(__xludf.DUMMYFUNCTION("""COMPUTED_VALUE"""),"085133052172")</f>
        <v>085133052172</v>
      </c>
      <c r="AH1280" s="85" t="str">
        <f>IFERROR(__xludf.DUMMYFUNCTION("""COMPUTED_VALUE"""),"andrepurnomosucianto@gmail.com")</f>
        <v>andrepurnomosucianto@gmail.com</v>
      </c>
      <c r="AI1280" s="85" t="str">
        <f>IFERROR(__xludf.DUMMYFUNCTION("""COMPUTED_VALUE"""),"17176S5")</f>
        <v>17176S5</v>
      </c>
      <c r="AJ1280" s="85" t="str">
        <f>IFERROR(__xludf.DUMMYFUNCTION("""COMPUTED_VALUE"""),"6a800d3a609372d45a0f5ffe")</f>
        <v>6a800d3a609372d45a0f5ffe</v>
      </c>
      <c r="AK1280" s="85" t="str">
        <f>IFERROR(__xludf.DUMMYFUNCTION("""COMPUTED_VALUE"""),"andrepurnomosucianto@gmail.com")</f>
        <v>andrepurnomosucianto@gmail.com</v>
      </c>
      <c r="AL1280" s="85" t="str">
        <f>IFERROR(__xludf.DUMMYFUNCTION("""COMPUTED_VALUE"""),"#Muc17176S5$")</f>
        <v>#Muc17176S5$</v>
      </c>
      <c r="AM1280" s="85" t="str">
        <f>IFERROR(__xludf.DUMMYFUNCTION("""COMPUTED_VALUE"""),"KANTOR REGIONAL II JAKARTA 10004")</f>
        <v>KANTOR REGIONAL II JAKARTA 10004</v>
      </c>
      <c r="AN1280" s="85" t="str">
        <f>IFERROR(__xludf.DUMMYFUNCTION("""COMPUTED_VALUE"""),"KCU BEKASI 17000")</f>
        <v>KCU BEKASI 17000</v>
      </c>
      <c r="AO1280" s="85" t="str">
        <f>IFERROR(__xludf.DUMMYFUNCTION("""COMPUTED_VALUE"""),"1106240087662")</f>
        <v>1106240087662</v>
      </c>
      <c r="AP1280" s="85" t="str">
        <f>IFERROR(__xludf.DUMMYFUNCTION("""COMPUTED_VALUE"""),"1106240087662")</f>
        <v>1106240087662</v>
      </c>
      <c r="AQ1280" s="93" t="str">
        <f>IFERROR(__xludf.DUMMYFUNCTION("""COMPUTED_VALUE"""),"4131901556")</f>
        <v>4131901556</v>
      </c>
      <c r="AR1280" s="85" t="str">
        <f>IFERROR(__xludf.DUMMYFUNCTION("""COMPUTED_VALUE"""),"PERMATA")</f>
        <v>PERMATA</v>
      </c>
      <c r="AS1280" s="85" t="str">
        <f>IFERROR(__xludf.DUMMYFUNCTION("""COMPUTED_VALUE"""),"Leonick Antonius William Mamahit")</f>
        <v>Leonick Antonius William Mamahit</v>
      </c>
      <c r="AT1280" s="85" t="str">
        <f>IFERROR(__xludf.DUMMYFUNCTION("""COMPUTED_VALUE"""),"-6.2807668,106.9976692")</f>
        <v>-6.2807668,106.9976692</v>
      </c>
      <c r="AU1280" s="85" t="str">
        <f>IFERROR(__xludf.DUMMYFUNCTION("""COMPUTED_VALUE"""),"-6.2807668,106.9976692")</f>
        <v>-6.2807668,106.9976692</v>
      </c>
      <c r="AV1280" s="85"/>
      <c r="AW1280" s="85"/>
      <c r="AX1280" s="85"/>
      <c r="AY1280" s="85"/>
      <c r="AZ1280" s="85"/>
      <c r="BA1280" s="85"/>
      <c r="BB1280" s="85"/>
      <c r="BC1280" s="85"/>
      <c r="BD1280" s="85"/>
      <c r="BE1280" s="85"/>
      <c r="BF1280" s="85"/>
      <c r="BG1280" s="85"/>
      <c r="BH1280" s="85"/>
      <c r="BI1280" s="85"/>
      <c r="BJ1280" s="85"/>
      <c r="BK1280" s="85"/>
      <c r="BL1280" s="85"/>
      <c r="BM1280" s="85"/>
      <c r="BN1280" s="85"/>
      <c r="BO1280" s="85"/>
      <c r="BP1280" s="85"/>
      <c r="BQ1280" s="85"/>
      <c r="BR1280" s="85"/>
      <c r="BS1280" s="85"/>
      <c r="BT1280" s="85"/>
      <c r="BU1280" s="85"/>
      <c r="BV1280" s="85"/>
      <c r="BW1280" s="85"/>
      <c r="BX1280" s="85"/>
      <c r="BY1280" s="85"/>
      <c r="BZ1280" s="85"/>
      <c r="CA1280" s="85"/>
      <c r="CB1280" s="85"/>
      <c r="CC1280" s="85"/>
      <c r="CD1280" s="85"/>
      <c r="CE1280" s="85"/>
      <c r="CF1280" s="85"/>
      <c r="CG1280" s="85"/>
      <c r="CH1280" s="85"/>
      <c r="CI1280" s="85"/>
      <c r="CJ1280" s="85"/>
      <c r="CK1280" s="2"/>
    </row>
    <row r="1281" ht="12.75" customHeight="1">
      <c r="A1281" s="80">
        <f>IFERROR(__xludf.DUMMYFUNCTION("""COMPUTED_VALUE"""),1277.0)</f>
        <v>1277</v>
      </c>
      <c r="B1281" s="80"/>
      <c r="C1281" s="80"/>
      <c r="D1281" s="81">
        <f>IFERROR(__xludf.DUMMYFUNCTION("""COMPUTED_VALUE"""),46234.0)</f>
        <v>46234</v>
      </c>
      <c r="E1281" s="82"/>
      <c r="F1281" s="80"/>
      <c r="G1281" s="81"/>
      <c r="H1281" s="80"/>
      <c r="I1281" s="80"/>
      <c r="J1281" s="80"/>
      <c r="K1281" s="80"/>
      <c r="L1281" s="80"/>
      <c r="M1281" s="80"/>
      <c r="N1281" s="80"/>
      <c r="O1281" s="80"/>
      <c r="P1281" s="80" t="str">
        <f>IFERROR(__xludf.DUMMYFUNCTION("""COMPUTED_VALUE"""),"44BSPA45375NTBDR")</f>
        <v>44BSPA45375NTBDR</v>
      </c>
      <c r="Q1281" s="80" t="str">
        <f>IFERROR(__xludf.DUMMYFUNCTION("""COMPUTED_VALUE"""),"MUC KONTER CAK TOLE")</f>
        <v>MUC KONTER CAK TOLE</v>
      </c>
      <c r="R1281" s="80" t="str">
        <f>IFERROR(__xludf.DUMMYFUNCTION("""COMPUTED_VALUE"""),"MUC KONTER CAK TOLE")</f>
        <v>MUC KONTER CAK TOLE</v>
      </c>
      <c r="S1281" s="80" t="str">
        <f>IFERROR(__xludf.DUMMYFUNCTION("""COMPUTED_VALUE"""),"MOHAMMAD DOLAL")</f>
        <v>MOHAMMAD DOLAL</v>
      </c>
      <c r="T1281" s="80" t="str">
        <f>IFERROR(__xludf.DUMMYFUNCTION("""COMPUTED_VALUE"""),"JL KAWI NO 10 RT. 001 RW. 001, JENGGAWAH, JENGGAWAH, KAB. JEMBER, JAWA TIMUR")</f>
        <v>JL KAWI NO 10 RT. 001 RW. 001, JENGGAWAH, JENGGAWAH, KAB. JEMBER, JAWA TIMUR</v>
      </c>
      <c r="U1281" s="80" t="str">
        <f>IFERROR(__xludf.DUMMYFUNCTION("""COMPUTED_VALUE"""),"Jl. Puslit langsepan jenggawah")</f>
        <v>Jl. Puslit langsepan jenggawah</v>
      </c>
      <c r="V1281" s="80" t="str">
        <f>IFERROR(__xludf.DUMMYFUNCTION("""COMPUTED_VALUE"""),"RT. 00 \ RW. 00")</f>
        <v>RT. 00 \ RW. 00</v>
      </c>
      <c r="W1281" s="80" t="str">
        <f>IFERROR(__xludf.DUMMYFUNCTION("""COMPUTED_VALUE"""),"Jenggawah")</f>
        <v>Jenggawah</v>
      </c>
      <c r="X1281" s="80" t="str">
        <f>IFERROR(__xludf.DUMMYFUNCTION("""COMPUTED_VALUE"""),"Jenggawah")</f>
        <v>Jenggawah</v>
      </c>
      <c r="Y1281" s="80" t="str">
        <f>IFERROR(__xludf.DUMMYFUNCTION("""COMPUTED_VALUE"""),"Kab.Jember")</f>
        <v>Kab.Jember</v>
      </c>
      <c r="Z1281" s="80" t="str">
        <f>IFERROR(__xludf.DUMMYFUNCTION("""COMPUTED_VALUE"""),"Jawa Timur")</f>
        <v>Jawa Timur</v>
      </c>
      <c r="AA1281" s="80" t="str">
        <f>IFERROR(__xludf.DUMMYFUNCTION("""COMPUTED_VALUE"""),"68171")</f>
        <v>68171</v>
      </c>
      <c r="AB1281" s="80" t="str">
        <f>IFERROR(__xludf.DUMMYFUNCTION("""COMPUTED_VALUE"""),"3509161101730005")</f>
        <v>3509161101730005</v>
      </c>
      <c r="AC1281" s="80" t="str">
        <f>IFERROR(__xludf.DUMMYFUNCTION("""COMPUTED_VALUE"""),"35.091.611.0-173.0005")</f>
        <v>35.091.611.0-173.0005</v>
      </c>
      <c r="AD1281" s="80" t="str">
        <f>IFERROR(__xludf.DUMMYFUNCTION("""COMPUTED_VALUE"""),"CUM BSB - DRIEN")</f>
        <v>CUM BSB - DRIEN</v>
      </c>
      <c r="AE1281" s="80" t="str">
        <f>IFERROR(__xludf.DUMMYFUNCTION("""COMPUTED_VALUE"""),"CUM BSB - DRIEN")</f>
        <v>CUM BSB - DRIEN</v>
      </c>
      <c r="AF1281" s="80" t="str">
        <f>IFERROR(__xludf.DUMMYFUNCTION("""COMPUTED_VALUE"""),"0881036369777")</f>
        <v>0881036369777</v>
      </c>
      <c r="AG1281" s="80" t="str">
        <f>IFERROR(__xludf.DUMMYFUNCTION("""COMPUTED_VALUE"""),"0881036369777")</f>
        <v>0881036369777</v>
      </c>
      <c r="AH1281" s="80" t="str">
        <f>IFERROR(__xludf.DUMMYFUNCTION("""COMPUTED_VALUE"""),"Mohammaddolal201@gmail.com")</f>
        <v>Mohammaddolal201@gmail.com</v>
      </c>
      <c r="AI1281" s="80"/>
      <c r="AJ1281" s="80"/>
      <c r="AK1281" s="80"/>
      <c r="AL1281" s="80"/>
      <c r="AM1281" s="80" t="str">
        <f>IFERROR(__xludf.DUMMYFUNCTION("""COMPUTED_VALUE"""),"KANTOR REGIONAL V SURABAYA 60004")</f>
        <v>KANTOR REGIONAL V SURABAYA 60004</v>
      </c>
      <c r="AN1281" s="80" t="str">
        <f>IFERROR(__xludf.DUMMYFUNCTION("""COMPUTED_VALUE"""),"KCU JEMBER 68100")</f>
        <v>KCU JEMBER 68100</v>
      </c>
      <c r="AO1281" s="80" t="str">
        <f>IFERROR(__xludf.DUMMYFUNCTION("""COMPUTED_VALUE"""),"2907260100443")</f>
        <v>2907260100443</v>
      </c>
      <c r="AP1281" s="80" t="str">
        <f>IFERROR(__xludf.DUMMYFUNCTION("""COMPUTED_VALUE"""),"2907260100443")</f>
        <v>2907260100443</v>
      </c>
      <c r="AQ1281" s="83" t="str">
        <f>IFERROR(__xludf.DUMMYFUNCTION("""COMPUTED_VALUE"""),"3320997673")</f>
        <v>3320997673</v>
      </c>
      <c r="AR1281" s="80" t="str">
        <f>IFERROR(__xludf.DUMMYFUNCTION("""COMPUTED_VALUE"""),"BCA")</f>
        <v>BCA</v>
      </c>
      <c r="AS1281" s="80" t="str">
        <f>IFERROR(__xludf.DUMMYFUNCTION("""COMPUTED_VALUE"""),"MOHAMMAD DOLAL")</f>
        <v>MOHAMMAD DOLAL</v>
      </c>
      <c r="AT1281" s="80" t="str">
        <f>IFERROR(__xludf.DUMMYFUNCTION("""COMPUTED_VALUE"""),"-8.2639463,113.6501138")</f>
        <v>-8.2639463,113.6501138</v>
      </c>
      <c r="AU1281" s="80" t="str">
        <f>IFERROR(__xludf.DUMMYFUNCTION("""COMPUTED_VALUE"""),"-8.2639463,113.6501138")</f>
        <v>-8.2639463,113.6501138</v>
      </c>
      <c r="AV1281" s="80"/>
      <c r="AW1281" s="80"/>
      <c r="AX1281" s="80"/>
      <c r="AY1281" s="80"/>
      <c r="AZ1281" s="80"/>
      <c r="BA1281" s="80"/>
      <c r="BB1281" s="80"/>
      <c r="BC1281" s="80"/>
      <c r="BD1281" s="80"/>
      <c r="BE1281" s="80"/>
      <c r="BF1281" s="80"/>
      <c r="BG1281" s="80"/>
      <c r="BH1281" s="80"/>
      <c r="BI1281" s="80"/>
      <c r="BJ1281" s="80"/>
      <c r="BK1281" s="80"/>
      <c r="BL1281" s="80"/>
      <c r="BM1281" s="80"/>
      <c r="BN1281" s="80"/>
      <c r="BO1281" s="80"/>
      <c r="BP1281" s="80"/>
      <c r="BQ1281" s="80"/>
      <c r="BR1281" s="80"/>
      <c r="BS1281" s="80"/>
      <c r="BT1281" s="80"/>
      <c r="BU1281" s="80"/>
      <c r="BV1281" s="80"/>
      <c r="BW1281" s="80"/>
      <c r="BX1281" s="80"/>
      <c r="BY1281" s="80"/>
      <c r="BZ1281" s="80"/>
      <c r="CA1281" s="80"/>
      <c r="CB1281" s="80"/>
      <c r="CC1281" s="80"/>
      <c r="CD1281" s="80"/>
      <c r="CE1281" s="80"/>
      <c r="CF1281" s="80"/>
      <c r="CG1281" s="80"/>
      <c r="CH1281" s="80"/>
      <c r="CI1281" s="80"/>
      <c r="CJ1281" s="80"/>
      <c r="CK1281" s="2"/>
    </row>
    <row r="1282" ht="12.75" customHeight="1">
      <c r="A1282" s="85">
        <f>IFERROR(__xludf.DUMMYFUNCTION("""COMPUTED_VALUE"""),1278.0)</f>
        <v>1278</v>
      </c>
      <c r="B1282" s="85"/>
      <c r="C1282" s="85"/>
      <c r="D1282" s="86">
        <f>IFERROR(__xludf.DUMMYFUNCTION("""COMPUTED_VALUE"""),46234.0)</f>
        <v>46234</v>
      </c>
      <c r="E1282" s="88"/>
      <c r="F1282" s="85"/>
      <c r="G1282" s="86">
        <f>IFERROR(__xludf.DUMMYFUNCTION("""COMPUTED_VALUE"""),46280.0)</f>
        <v>46280</v>
      </c>
      <c r="H1282" s="85"/>
      <c r="I1282" s="85"/>
      <c r="J1282" s="85"/>
      <c r="K1282" s="85"/>
      <c r="L1282" s="85">
        <f>IFERROR(__xludf.DUMMYFUNCTION("""COMPUTED_VALUE"""),46.0)</f>
        <v>46</v>
      </c>
      <c r="M1282" s="85"/>
      <c r="N1282" s="85"/>
      <c r="O1282" s="85"/>
      <c r="P1282" s="85" t="str">
        <f>IFERROR(__xludf.DUMMYFUNCTION("""COMPUTED_VALUE"""),"MUCSPA63642PSIND")</f>
        <v>MUCSPA63642PSIND</v>
      </c>
      <c r="Q1282" s="85" t="str">
        <f>IFERROR(__xludf.DUMMYFUNCTION("""COMPUTED_VALUE"""),"MUC QIDANKA ID")</f>
        <v>MUC QIDANKA ID</v>
      </c>
      <c r="R1282" s="85" t="str">
        <f>IFERROR(__xludf.DUMMYFUNCTION("""COMPUTED_VALUE"""),"MUC QIDANKA ID")</f>
        <v>MUC QIDANKA ID</v>
      </c>
      <c r="S1282" s="85" t="str">
        <f>IFERROR(__xludf.DUMMYFUNCTION("""COMPUTED_VALUE"""),"DIAS PERGIAWAN")</f>
        <v>DIAS PERGIAWAN</v>
      </c>
      <c r="T1282" s="85" t="str">
        <f>IFERROR(__xludf.DUMMYFUNCTION("""COMPUTED_VALUE"""),"PERUM TELAGA MURNI BLOK D.12/01")</f>
        <v>PERUM TELAGA MURNI BLOK D.12/01</v>
      </c>
      <c r="U1282" s="85" t="str">
        <f>IFERROR(__xludf.DUMMYFUNCTION("""COMPUTED_VALUE"""),"PERUM TELAGA MURNI BLOK D.12")</f>
        <v>PERUM TELAGA MURNI BLOK D.12</v>
      </c>
      <c r="V1282" s="85"/>
      <c r="W1282" s="85" t="str">
        <f>IFERROR(__xludf.DUMMYFUNCTION("""COMPUTED_VALUE"""),"Telaga Murni")</f>
        <v>Telaga Murni</v>
      </c>
      <c r="X1282" s="85" t="str">
        <f>IFERROR(__xludf.DUMMYFUNCTION("""COMPUTED_VALUE"""),"Cikarang Barat")</f>
        <v>Cikarang Barat</v>
      </c>
      <c r="Y1282" s="85" t="str">
        <f>IFERROR(__xludf.DUMMYFUNCTION("""COMPUTED_VALUE"""),"Kab.Bekasi")</f>
        <v>Kab.Bekasi</v>
      </c>
      <c r="Z1282" s="85" t="str">
        <f>IFERROR(__xludf.DUMMYFUNCTION("""COMPUTED_VALUE"""),"Jawa Barat")</f>
        <v>Jawa Barat</v>
      </c>
      <c r="AA1282" s="85" t="str">
        <f>IFERROR(__xludf.DUMMYFUNCTION("""COMPUTED_VALUE"""),"17530")</f>
        <v>17530</v>
      </c>
      <c r="AB1282" s="85" t="str">
        <f>IFERROR(__xludf.DUMMYFUNCTION("""COMPUTED_VALUE"""),"3216082205930003")</f>
        <v>3216082205930003</v>
      </c>
      <c r="AC1282" s="85" t="str">
        <f>IFERROR(__xludf.DUMMYFUNCTION("""COMPUTED_VALUE"""),"75.231.510.1-413.000")</f>
        <v>75.231.510.1-413.000</v>
      </c>
      <c r="AD1282" s="85" t="str">
        <f>IFERROR(__xludf.DUMMYFUNCTION("""COMPUTED_VALUE"""),"CUM - PS - NONKORGEN")</f>
        <v>CUM - PS - NONKORGEN</v>
      </c>
      <c r="AE1282" s="85" t="str">
        <f>IFERROR(__xludf.DUMMYFUNCTION("""COMPUTED_VALUE"""),"Pak Gunawan KC Cikarang")</f>
        <v>Pak Gunawan KC Cikarang</v>
      </c>
      <c r="AF1282" s="85" t="str">
        <f>IFERROR(__xludf.DUMMYFUNCTION("""COMPUTED_VALUE"""),"085772169248")</f>
        <v>085772169248</v>
      </c>
      <c r="AG1282" s="85" t="str">
        <f>IFERROR(__xludf.DUMMYFUNCTION("""COMPUTED_VALUE"""),"085772169248")</f>
        <v>085772169248</v>
      </c>
      <c r="AH1282" s="85" t="str">
        <f>IFERROR(__xludf.DUMMYFUNCTION("""COMPUTED_VALUE"""),"diaspergiawan@gamail.com")</f>
        <v>diaspergiawan@gamail.com</v>
      </c>
      <c r="AI1282" s="85" t="str">
        <f>IFERROR(__xludf.DUMMYFUNCTION("""COMPUTED_VALUE"""),"17849SA ")</f>
        <v>17849SA </v>
      </c>
      <c r="AJ1282" s="85" t="str">
        <f>IFERROR(__xludf.DUMMYFUNCTION("""COMPUTED_VALUE"""),"6aa91127dea99b2bd9083b54 ")</f>
        <v>6aa91127dea99b2bd9083b54 </v>
      </c>
      <c r="AK1282" s="85" t="str">
        <f>IFERROR(__xludf.DUMMYFUNCTION("""COMPUTED_VALUE"""),"diaspergiawan@gamail.com")</f>
        <v>diaspergiawan@gamail.com</v>
      </c>
      <c r="AL1282" s="85" t="str">
        <f>IFERROR(__xludf.DUMMYFUNCTION("""COMPUTED_VALUE"""),"#Muc17849SA$")</f>
        <v>#Muc17849SA$</v>
      </c>
      <c r="AM1282" s="85" t="str">
        <f>IFERROR(__xludf.DUMMYFUNCTION("""COMPUTED_VALUE"""),"KANTOR REGIONAL II JAKARTA 10004")</f>
        <v>KANTOR REGIONAL II JAKARTA 10004</v>
      </c>
      <c r="AN1282" s="85" t="str">
        <f>IFERROR(__xludf.DUMMYFUNCTION("""COMPUTED_VALUE"""),"KC CIKARANG 17500")</f>
        <v>KC CIKARANG 17500</v>
      </c>
      <c r="AO1282" s="85" t="str">
        <f>IFERROR(__xludf.DUMMYFUNCTION("""COMPUTED_VALUE"""),"3007260196735")</f>
        <v>3007260196735</v>
      </c>
      <c r="AP1282" s="85" t="str">
        <f>IFERROR(__xludf.DUMMYFUNCTION("""COMPUTED_VALUE"""),"3007260196735")</f>
        <v>3007260196735</v>
      </c>
      <c r="AQ1282" s="93" t="str">
        <f>IFERROR(__xludf.DUMMYFUNCTION("""COMPUTED_VALUE"""),"1560026040750")</f>
        <v>1560026040750</v>
      </c>
      <c r="AR1282" s="85" t="str">
        <f>IFERROR(__xludf.DUMMYFUNCTION("""COMPUTED_VALUE"""),"Mandiri")</f>
        <v>Mandiri</v>
      </c>
      <c r="AS1282" s="85" t="str">
        <f>IFERROR(__xludf.DUMMYFUNCTION("""COMPUTED_VALUE"""),"DIAS PERGIAWAN")</f>
        <v>DIAS PERGIAWAN</v>
      </c>
      <c r="AT1282" s="85" t="str">
        <f>IFERROR(__xludf.DUMMYFUNCTION("""COMPUTED_VALUE"""),"-6.2604147,107.1131759")</f>
        <v>-6.2604147,107.1131759</v>
      </c>
      <c r="AU1282" s="85" t="str">
        <f>IFERROR(__xludf.DUMMYFUNCTION("""COMPUTED_VALUE"""),"-6.2604147,107.1131759")</f>
        <v>-6.2604147,107.1131759</v>
      </c>
      <c r="AV1282" s="85"/>
      <c r="AW1282" s="85"/>
      <c r="AX1282" s="85"/>
      <c r="AY1282" s="85"/>
      <c r="AZ1282" s="85"/>
      <c r="BA1282" s="85"/>
      <c r="BB1282" s="85"/>
      <c r="BC1282" s="85"/>
      <c r="BD1282" s="85"/>
      <c r="BE1282" s="85"/>
      <c r="BF1282" s="85"/>
      <c r="BG1282" s="85"/>
      <c r="BH1282" s="85"/>
      <c r="BI1282" s="85"/>
      <c r="BJ1282" s="85"/>
      <c r="BK1282" s="85"/>
      <c r="BL1282" s="85"/>
      <c r="BM1282" s="85"/>
      <c r="BN1282" s="85"/>
      <c r="BO1282" s="85"/>
      <c r="BP1282" s="85"/>
      <c r="BQ1282" s="85"/>
      <c r="BR1282" s="85"/>
      <c r="BS1282" s="85"/>
      <c r="BT1282" s="85"/>
      <c r="BU1282" s="85"/>
      <c r="BV1282" s="85"/>
      <c r="BW1282" s="85"/>
      <c r="BX1282" s="85"/>
      <c r="BY1282" s="85"/>
      <c r="BZ1282" s="85"/>
      <c r="CA1282" s="85"/>
      <c r="CB1282" s="85"/>
      <c r="CC1282" s="85"/>
      <c r="CD1282" s="85"/>
      <c r="CE1282" s="85"/>
      <c r="CF1282" s="85"/>
      <c r="CG1282" s="85"/>
      <c r="CH1282" s="85"/>
      <c r="CI1282" s="85"/>
      <c r="CJ1282" s="85"/>
      <c r="CK1282" s="2"/>
    </row>
    <row r="1283" ht="12.75" customHeight="1">
      <c r="A1283" s="80">
        <f>IFERROR(__xludf.DUMMYFUNCTION("""COMPUTED_VALUE"""),1279.0)</f>
        <v>1279</v>
      </c>
      <c r="B1283" s="80"/>
      <c r="C1283" s="80"/>
      <c r="D1283" s="81">
        <f>IFERROR(__xludf.DUMMYFUNCTION("""COMPUTED_VALUE"""),46234.0)</f>
        <v>46234</v>
      </c>
      <c r="E1283" s="82"/>
      <c r="F1283" s="80"/>
      <c r="G1283" s="81">
        <f>IFERROR(__xludf.DUMMYFUNCTION("""COMPUTED_VALUE"""),46268.0)</f>
        <v>46268</v>
      </c>
      <c r="H1283" s="80"/>
      <c r="I1283" s="80"/>
      <c r="J1283" s="80"/>
      <c r="K1283" s="80"/>
      <c r="L1283" s="80">
        <f>IFERROR(__xludf.DUMMYFUNCTION("""COMPUTED_VALUE"""),34.0)</f>
        <v>34</v>
      </c>
      <c r="M1283" s="80"/>
      <c r="N1283" s="80"/>
      <c r="O1283" s="80"/>
      <c r="P1283" s="80" t="str">
        <f>IFERROR(__xludf.DUMMYFUNCTION("""COMPUTED_VALUE"""),"53BSPA17180JBNDS")</f>
        <v>53BSPA17180JBNDS</v>
      </c>
      <c r="Q1283" s="80" t="str">
        <f>IFERROR(__xludf.DUMMYFUNCTION("""COMPUTED_VALUE"""),"MUC RMM EKSPRES")</f>
        <v>MUC RMM EKSPRES</v>
      </c>
      <c r="R1283" s="80" t="str">
        <f>IFERROR(__xludf.DUMMYFUNCTION("""COMPUTED_VALUE"""),"MUC RMM EKSPRES")</f>
        <v>MUC RMM EKSPRES</v>
      </c>
      <c r="S1283" s="80" t="str">
        <f>IFERROR(__xludf.DUMMYFUNCTION("""COMPUTED_VALUE"""),"YUDI MUSTOFA SUWARDI")</f>
        <v>YUDI MUSTOFA SUWARDI</v>
      </c>
      <c r="T1283" s="80" t="str">
        <f>IFERROR(__xludf.DUMMYFUNCTION("""COMPUTED_VALUE"""),"KOMP DDN II BLOK D-4 RT 01 RW 05, PONDOK LABU, CILANDAK, JAKSEL")</f>
        <v>KOMP DDN II BLOK D-4 RT 01 RW 05, PONDOK LABU, CILANDAK, JAKSEL</v>
      </c>
      <c r="U1283" s="80" t="str">
        <f>IFERROR(__xludf.DUMMYFUNCTION("""COMPUTED_VALUE"""),"KOMP REGENCY MELATI MAS BLOK E5 NO.33")</f>
        <v>KOMP REGENCY MELATI MAS BLOK E5 NO.33</v>
      </c>
      <c r="V1283" s="80" t="str">
        <f>IFERROR(__xludf.DUMMYFUNCTION("""COMPUTED_VALUE"""),"RT 01  \ RW 05,")</f>
        <v>RT 01  \ RW 05,</v>
      </c>
      <c r="W1283" s="80" t="str">
        <f>IFERROR(__xludf.DUMMYFUNCTION("""COMPUTED_VALUE"""),"JELUPANG")</f>
        <v>JELUPANG</v>
      </c>
      <c r="X1283" s="80" t="str">
        <f>IFERROR(__xludf.DUMMYFUNCTION("""COMPUTED_VALUE"""),"SERPONG UTARA")</f>
        <v>SERPONG UTARA</v>
      </c>
      <c r="Y1283" s="80" t="str">
        <f>IFERROR(__xludf.DUMMYFUNCTION("""COMPUTED_VALUE"""),"TANGSEL")</f>
        <v>TANGSEL</v>
      </c>
      <c r="Z1283" s="80" t="str">
        <f>IFERROR(__xludf.DUMMYFUNCTION("""COMPUTED_VALUE"""),"BANTEN")</f>
        <v>BANTEN</v>
      </c>
      <c r="AA1283" s="80" t="str">
        <f>IFERROR(__xludf.DUMMYFUNCTION("""COMPUTED_VALUE"""),"15323")</f>
        <v>15323</v>
      </c>
      <c r="AB1283" s="80" t="str">
        <f>IFERROR(__xludf.DUMMYFUNCTION("""COMPUTED_VALUE"""),"3174062606640001")</f>
        <v>3174062606640001</v>
      </c>
      <c r="AC1283" s="80" t="str">
        <f>IFERROR(__xludf.DUMMYFUNCTION("""COMPUTED_VALUE"""),"29.759.109.1-016.000")</f>
        <v>29.759.109.1-016.000</v>
      </c>
      <c r="AD1283" s="80" t="str">
        <f>IFERROR(__xludf.DUMMYFUNCTION("""COMPUTED_VALUE"""),"CUM - NDS")</f>
        <v>CUM - NDS</v>
      </c>
      <c r="AE1283" s="80" t="str">
        <f>IFERROR(__xludf.DUMMYFUNCTION("""COMPUTED_VALUE"""),"CUM - NDS")</f>
        <v>CUM - NDS</v>
      </c>
      <c r="AF1283" s="80" t="str">
        <f>IFERROR(__xludf.DUMMYFUNCTION("""COMPUTED_VALUE"""),"083831783232")</f>
        <v>083831783232</v>
      </c>
      <c r="AG1283" s="80" t="str">
        <f>IFERROR(__xludf.DUMMYFUNCTION("""COMPUTED_VALUE"""),"083831783232")</f>
        <v>083831783232</v>
      </c>
      <c r="AH1283" s="80" t="str">
        <f>IFERROR(__xludf.DUMMYFUNCTION("""COMPUTED_VALUE"""),"yudi1suwardi@gmail.com")</f>
        <v>yudi1suwardi@gmail.com</v>
      </c>
      <c r="AI1283" s="80" t="str">
        <f>IFERROR(__xludf.DUMMYFUNCTION("""COMPUTED_VALUE"""),"15332S4")</f>
        <v>15332S4</v>
      </c>
      <c r="AJ1283" s="80" t="str">
        <f>IFERROR(__xludf.DUMMYFUNCTION("""COMPUTED_VALUE"""),"6a97d6076f3074034109d46d")</f>
        <v>6a97d6076f3074034109d46d</v>
      </c>
      <c r="AK1283" s="80" t="str">
        <f>IFERROR(__xludf.DUMMYFUNCTION("""COMPUTED_VALUE"""),"yudi1suwardi@gmail.com")</f>
        <v>yudi1suwardi@gmail.com</v>
      </c>
      <c r="AL1283" s="80" t="str">
        <f>IFERROR(__xludf.DUMMYFUNCTION("""COMPUTED_VALUE"""),"#Muc15332S4*")</f>
        <v>#Muc15332S4*</v>
      </c>
      <c r="AM1283" s="80" t="str">
        <f>IFERROR(__xludf.DUMMYFUNCTION("""COMPUTED_VALUE"""),"KANTOR REGIONAL II JAKARTA 10004")</f>
        <v>KANTOR REGIONAL II JAKARTA 10004</v>
      </c>
      <c r="AN1283" s="80" t="str">
        <f>IFERROR(__xludf.DUMMYFUNCTION("""COMPUTED_VALUE"""),"KC TANGERANGSELATAN 15400")</f>
        <v>KC TANGERANGSELATAN 15400</v>
      </c>
      <c r="AO1283" s="80" t="str">
        <f>IFERROR(__xludf.DUMMYFUNCTION("""COMPUTED_VALUE"""),"3107260064561")</f>
        <v>3107260064561</v>
      </c>
      <c r="AP1283" s="80" t="str">
        <f>IFERROR(__xludf.DUMMYFUNCTION("""COMPUTED_VALUE"""),"3107260064561")</f>
        <v>3107260064561</v>
      </c>
      <c r="AQ1283" s="83" t="str">
        <f>IFERROR(__xludf.DUMMYFUNCTION("""COMPUTED_VALUE"""),"1270005004351")</f>
        <v>1270005004351</v>
      </c>
      <c r="AR1283" s="80" t="str">
        <f>IFERROR(__xludf.DUMMYFUNCTION("""COMPUTED_VALUE"""),"MANDIRI")</f>
        <v>MANDIRI</v>
      </c>
      <c r="AS1283" s="80" t="str">
        <f>IFERROR(__xludf.DUMMYFUNCTION("""COMPUTED_VALUE"""),"YUDI MUSTOFA SUWARDI")</f>
        <v>YUDI MUSTOFA SUWARDI</v>
      </c>
      <c r="AT1283" s="80" t="str">
        <f>IFERROR(__xludf.DUMMYFUNCTION("""COMPUTED_VALUE"""),"-6.2656038,106.671079")</f>
        <v>-6.2656038,106.671079</v>
      </c>
      <c r="AU1283" s="80" t="str">
        <f>IFERROR(__xludf.DUMMYFUNCTION("""COMPUTED_VALUE"""),"-6.2656038,106.671079")</f>
        <v>-6.2656038,106.671079</v>
      </c>
      <c r="AV1283" s="80"/>
      <c r="AW1283" s="80"/>
      <c r="AX1283" s="80"/>
      <c r="AY1283" s="80"/>
      <c r="AZ1283" s="80"/>
      <c r="BA1283" s="80"/>
      <c r="BB1283" s="80"/>
      <c r="BC1283" s="80"/>
      <c r="BD1283" s="80"/>
      <c r="BE1283" s="80"/>
      <c r="BF1283" s="80"/>
      <c r="BG1283" s="80"/>
      <c r="BH1283" s="80"/>
      <c r="BI1283" s="80"/>
      <c r="BJ1283" s="80"/>
      <c r="BK1283" s="80"/>
      <c r="BL1283" s="80"/>
      <c r="BM1283" s="80"/>
      <c r="BN1283" s="80"/>
      <c r="BO1283" s="80"/>
      <c r="BP1283" s="80"/>
      <c r="BQ1283" s="80"/>
      <c r="BR1283" s="80"/>
      <c r="BS1283" s="80"/>
      <c r="BT1283" s="80"/>
      <c r="BU1283" s="80"/>
      <c r="BV1283" s="80"/>
      <c r="BW1283" s="80"/>
      <c r="BX1283" s="80"/>
      <c r="BY1283" s="80"/>
      <c r="BZ1283" s="80"/>
      <c r="CA1283" s="80"/>
      <c r="CB1283" s="80"/>
      <c r="CC1283" s="80"/>
      <c r="CD1283" s="80"/>
      <c r="CE1283" s="80"/>
      <c r="CF1283" s="80"/>
      <c r="CG1283" s="80"/>
      <c r="CH1283" s="80"/>
      <c r="CI1283" s="80"/>
      <c r="CJ1283" s="80"/>
      <c r="CK1283" s="2"/>
    </row>
    <row r="1284" ht="12.75" customHeight="1">
      <c r="A1284" s="85">
        <f>IFERROR(__xludf.DUMMYFUNCTION("""COMPUTED_VALUE"""),1280.0)</f>
        <v>1280</v>
      </c>
      <c r="B1284" s="85"/>
      <c r="C1284" s="85"/>
      <c r="D1284" s="86">
        <f>IFERROR(__xludf.DUMMYFUNCTION("""COMPUTED_VALUE"""),46237.0)</f>
        <v>46237</v>
      </c>
      <c r="E1284" s="88"/>
      <c r="F1284" s="85"/>
      <c r="G1284" s="86"/>
      <c r="H1284" s="85"/>
      <c r="I1284" s="85"/>
      <c r="J1284" s="85"/>
      <c r="K1284" s="85"/>
      <c r="L1284" s="85"/>
      <c r="M1284" s="85"/>
      <c r="N1284" s="85"/>
      <c r="O1284" s="85"/>
      <c r="P1284" s="85" t="str">
        <f>IFERROR(__xludf.DUMMYFUNCTION("""COMPUTED_VALUE"""),"MUCSPA70046PSUMK")</f>
        <v>MUCSPA70046PSUMK</v>
      </c>
      <c r="Q1284" s="85" t="str">
        <f>IFERROR(__xludf.DUMMYFUNCTION("""COMPUTED_VALUE"""),"MUC BENZ ENAK")</f>
        <v>MUC BENZ ENAK</v>
      </c>
      <c r="R1284" s="85" t="str">
        <f>IFERROR(__xludf.DUMMYFUNCTION("""COMPUTED_VALUE"""),"MUC BENZ ENAK")</f>
        <v>MUC BENZ ENAK</v>
      </c>
      <c r="S1284" s="85" t="str">
        <f>IFERROR(__xludf.DUMMYFUNCTION("""COMPUTED_VALUE"""),"MUKIYAR")</f>
        <v>MUKIYAR</v>
      </c>
      <c r="T1284" s="85" t="str">
        <f>IFERROR(__xludf.DUMMYFUNCTION("""COMPUTED_VALUE"""),"Jl.Guntaran RT 04 RW 09 Ds.Gedogwetan Kec.Turen Kab.Malang")</f>
        <v>Jl.Guntaran RT 04 RW 09 Ds.Gedogwetan Kec.Turen Kab.Malang</v>
      </c>
      <c r="U1284" s="85" t="str">
        <f>IFERROR(__xludf.DUMMYFUNCTION("""COMPUTED_VALUE"""),"Jl.Guntaran RT 04 RW 09 Ds.Gedogwetan Kec.Turen Kab.Malang")</f>
        <v>Jl.Guntaran RT 04 RW 09 Ds.Gedogwetan Kec.Turen Kab.Malang</v>
      </c>
      <c r="V1284" s="85" t="str">
        <f>IFERROR(__xludf.DUMMYFUNCTION("""COMPUTED_VALUE"""),"RT 04  \ RW 09")</f>
        <v>RT 04  \ RW 09</v>
      </c>
      <c r="W1284" s="85" t="str">
        <f>IFERROR(__xludf.DUMMYFUNCTION("""COMPUTED_VALUE"""),"Gedogwetan")</f>
        <v>Gedogwetan</v>
      </c>
      <c r="X1284" s="85" t="str">
        <f>IFERROR(__xludf.DUMMYFUNCTION("""COMPUTED_VALUE"""),"Turen")</f>
        <v>Turen</v>
      </c>
      <c r="Y1284" s="85" t="str">
        <f>IFERROR(__xludf.DUMMYFUNCTION("""COMPUTED_VALUE"""),"Kab.Malang")</f>
        <v>Kab.Malang</v>
      </c>
      <c r="Z1284" s="85" t="str">
        <f>IFERROR(__xludf.DUMMYFUNCTION("""COMPUTED_VALUE"""),"Jawa Timur")</f>
        <v>Jawa Timur</v>
      </c>
      <c r="AA1284" s="85" t="str">
        <f>IFERROR(__xludf.DUMMYFUNCTION("""COMPUTED_VALUE"""),"65175")</f>
        <v>65175</v>
      </c>
      <c r="AB1284" s="85" t="str">
        <f>IFERROR(__xludf.DUMMYFUNCTION("""COMPUTED_VALUE"""),"3507091206710003")</f>
        <v>3507091206710003</v>
      </c>
      <c r="AC1284" s="85" t="str">
        <f>IFERROR(__xludf.DUMMYFUNCTION("""COMPUTED_VALUE"""),"24.455.016.6-654.000")</f>
        <v>24.455.016.6-654.000</v>
      </c>
      <c r="AD1284" s="85" t="str">
        <f>IFERROR(__xludf.DUMMYFUNCTION("""COMPUTED_VALUE"""),"CUM - UMKMNK - ASEP")</f>
        <v>CUM - UMKMNK - ASEP</v>
      </c>
      <c r="AE1284" s="85" t="str">
        <f>IFERROR(__xludf.DUMMYFUNCTION("""COMPUTED_VALUE"""),"CUM - UMKMNK - ASEP")</f>
        <v>CUM - UMKMNK - ASEP</v>
      </c>
      <c r="AF1284" s="85" t="str">
        <f>IFERROR(__xludf.DUMMYFUNCTION("""COMPUTED_VALUE"""),"082131468405")</f>
        <v>082131468405</v>
      </c>
      <c r="AG1284" s="85" t="str">
        <f>IFERROR(__xludf.DUMMYFUNCTION("""COMPUTED_VALUE"""),"082131468405")</f>
        <v>082131468405</v>
      </c>
      <c r="AH1284" s="85" t="str">
        <f>IFERROR(__xludf.DUMMYFUNCTION("""COMPUTED_VALUE"""),"bennenak@gmail.com")</f>
        <v>bennenak@gmail.com</v>
      </c>
      <c r="AI1284" s="85"/>
      <c r="AJ1284" s="85"/>
      <c r="AK1284" s="85"/>
      <c r="AL1284" s="85"/>
      <c r="AM1284" s="85" t="str">
        <f>IFERROR(__xludf.DUMMYFUNCTION("""COMPUTED_VALUE"""),"KANTOR REGIONAL V SURABAYA 60004")</f>
        <v>KANTOR REGIONAL V SURABAYA 60004</v>
      </c>
      <c r="AN1284" s="85" t="str">
        <f>IFERROR(__xludf.DUMMYFUNCTION("""COMPUTED_VALUE"""),"KCU MALANG 65100")</f>
        <v>KCU MALANG 65100</v>
      </c>
      <c r="AO1284" s="85" t="str">
        <f>IFERROR(__xludf.DUMMYFUNCTION("""COMPUTED_VALUE"""),"3007260181084")</f>
        <v>3007260181084</v>
      </c>
      <c r="AP1284" s="85" t="str">
        <f>IFERROR(__xludf.DUMMYFUNCTION("""COMPUTED_VALUE"""),"3007260181084")</f>
        <v>3007260181084</v>
      </c>
      <c r="AQ1284" s="93" t="str">
        <f>IFERROR(__xludf.DUMMYFUNCTION("""COMPUTED_VALUE"""),"766901007674530")</f>
        <v>766901007674530</v>
      </c>
      <c r="AR1284" s="85" t="str">
        <f>IFERROR(__xludf.DUMMYFUNCTION("""COMPUTED_VALUE"""),"BRI")</f>
        <v>BRI</v>
      </c>
      <c r="AS1284" s="85" t="str">
        <f>IFERROR(__xludf.DUMMYFUNCTION("""COMPUTED_VALUE"""),"MUKIYAR")</f>
        <v>MUKIYAR</v>
      </c>
      <c r="AT1284" s="85" t="str">
        <f>IFERROR(__xludf.DUMMYFUNCTION("""COMPUTED_VALUE"""),"-8.20222,112.696288")</f>
        <v>-8.20222,112.696288</v>
      </c>
      <c r="AU1284" s="85" t="str">
        <f>IFERROR(__xludf.DUMMYFUNCTION("""COMPUTED_VALUE"""),"-8.20222,112.696288")</f>
        <v>-8.20222,112.696288</v>
      </c>
      <c r="AV1284" s="85"/>
      <c r="AW1284" s="85"/>
      <c r="AX1284" s="85"/>
      <c r="AY1284" s="85"/>
      <c r="AZ1284" s="85"/>
      <c r="BA1284" s="85"/>
      <c r="BB1284" s="85"/>
      <c r="BC1284" s="85"/>
      <c r="BD1284" s="85"/>
      <c r="BE1284" s="85"/>
      <c r="BF1284" s="85"/>
      <c r="BG1284" s="85"/>
      <c r="BH1284" s="85"/>
      <c r="BI1284" s="85"/>
      <c r="BJ1284" s="85"/>
      <c r="BK1284" s="85"/>
      <c r="BL1284" s="85"/>
      <c r="BM1284" s="85"/>
      <c r="BN1284" s="85"/>
      <c r="BO1284" s="85"/>
      <c r="BP1284" s="85"/>
      <c r="BQ1284" s="85"/>
      <c r="BR1284" s="85"/>
      <c r="BS1284" s="85"/>
      <c r="BT1284" s="85"/>
      <c r="BU1284" s="85"/>
      <c r="BV1284" s="85"/>
      <c r="BW1284" s="85"/>
      <c r="BX1284" s="85"/>
      <c r="BY1284" s="85"/>
      <c r="BZ1284" s="85"/>
      <c r="CA1284" s="85"/>
      <c r="CB1284" s="85"/>
      <c r="CC1284" s="85"/>
      <c r="CD1284" s="85"/>
      <c r="CE1284" s="85"/>
      <c r="CF1284" s="85"/>
      <c r="CG1284" s="85"/>
      <c r="CH1284" s="85"/>
      <c r="CI1284" s="85"/>
      <c r="CJ1284" s="85"/>
      <c r="CK1284" s="2"/>
    </row>
    <row r="1285" ht="12.75" customHeight="1">
      <c r="A1285" s="80">
        <f>IFERROR(__xludf.DUMMYFUNCTION("""COMPUTED_VALUE"""),1281.0)</f>
        <v>1281</v>
      </c>
      <c r="B1285" s="80"/>
      <c r="C1285" s="80"/>
      <c r="D1285" s="81">
        <f>IFERROR(__xludf.DUMMYFUNCTION("""COMPUTED_VALUE"""),46238.0)</f>
        <v>46238</v>
      </c>
      <c r="E1285" s="82"/>
      <c r="F1285" s="80"/>
      <c r="G1285" s="81"/>
      <c r="H1285" s="80"/>
      <c r="I1285" s="80"/>
      <c r="J1285" s="80"/>
      <c r="K1285" s="80"/>
      <c r="L1285" s="80"/>
      <c r="M1285" s="80"/>
      <c r="N1285" s="80"/>
      <c r="O1285" s="80"/>
      <c r="P1285" s="80" t="str">
        <f>IFERROR(__xludf.DUMMYFUNCTION("""COMPUTED_VALUE"""),"53BSPA17190JBEEN")</f>
        <v>53BSPA17190JBEEN</v>
      </c>
      <c r="Q1285" s="80" t="str">
        <f>IFERROR(__xludf.DUMMYFUNCTION("""COMPUTED_VALUE"""),"MUC CIBANTENG")</f>
        <v>MUC CIBANTENG</v>
      </c>
      <c r="R1285" s="80" t="str">
        <f>IFERROR(__xludf.DUMMYFUNCTION("""COMPUTED_VALUE"""),"MUC CIBANTENG")</f>
        <v>MUC CIBANTENG</v>
      </c>
      <c r="S1285" s="80" t="str">
        <f>IFERROR(__xludf.DUMMYFUNCTION("""COMPUTED_VALUE"""),"ARIF ANSHARI RASWEN")</f>
        <v>ARIF ANSHARI RASWEN</v>
      </c>
      <c r="T1285" s="80" t="str">
        <f>IFERROR(__xludf.DUMMYFUNCTION("""COMPUTED_VALUE"""),"TAMAN DRAMAGA PERMAI 7 JL. RASAMALA BLOK M1 NO.56")</f>
        <v>TAMAN DRAMAGA PERMAI 7 JL. RASAMALA BLOK M1 NO.56</v>
      </c>
      <c r="U1285" s="80" t="str">
        <f>IFERROR(__xludf.DUMMYFUNCTION("""COMPUTED_VALUE"""),"Jl. Raya Cibanteng No.29, Cibanteng, Kec. Ciampea, Kabupaten Bogor, Jawa Barat")</f>
        <v>Jl. Raya Cibanteng No.29, Cibanteng, Kec. Ciampea, Kabupaten Bogor, Jawa Barat</v>
      </c>
      <c r="V1285" s="80"/>
      <c r="W1285" s="80" t="str">
        <f>IFERROR(__xludf.DUMMYFUNCTION("""COMPUTED_VALUE"""),"Cibanteng")</f>
        <v>Cibanteng</v>
      </c>
      <c r="X1285" s="80" t="str">
        <f>IFERROR(__xludf.DUMMYFUNCTION("""COMPUTED_VALUE"""),"Ciampea")</f>
        <v>Ciampea</v>
      </c>
      <c r="Y1285" s="80" t="str">
        <f>IFERROR(__xludf.DUMMYFUNCTION("""COMPUTED_VALUE"""),"Bogor")</f>
        <v>Bogor</v>
      </c>
      <c r="Z1285" s="80" t="str">
        <f>IFERROR(__xludf.DUMMYFUNCTION("""COMPUTED_VALUE"""),"Jawa Barat")</f>
        <v>Jawa Barat</v>
      </c>
      <c r="AA1285" s="80" t="str">
        <f>IFERROR(__xludf.DUMMYFUNCTION("""COMPUTED_VALUE"""),"16620")</f>
        <v>16620</v>
      </c>
      <c r="AB1285" s="80" t="str">
        <f>IFERROR(__xludf.DUMMYFUNCTION("""COMPUTED_VALUE"""),"1471080503950062")</f>
        <v>1471080503950062</v>
      </c>
      <c r="AC1285" s="80" t="str">
        <f>IFERROR(__xludf.DUMMYFUNCTION("""COMPUTED_VALUE"""),"83.451.428.3-216.000")</f>
        <v>83.451.428.3-216.000</v>
      </c>
      <c r="AD1285" s="80" t="str">
        <f>IFERROR(__xludf.DUMMYFUNCTION("""COMPUTED_VALUE"""),"CUM - EEN")</f>
        <v>CUM - EEN</v>
      </c>
      <c r="AE1285" s="80" t="str">
        <f>IFERROR(__xludf.DUMMYFUNCTION("""COMPUTED_VALUE"""),"CUM - EEN")</f>
        <v>CUM - EEN</v>
      </c>
      <c r="AF1285" s="80" t="str">
        <f>IFERROR(__xludf.DUMMYFUNCTION("""COMPUTED_VALUE"""),"082392161480")</f>
        <v>082392161480</v>
      </c>
      <c r="AG1285" s="80" t="str">
        <f>IFERROR(__xludf.DUMMYFUNCTION("""COMPUTED_VALUE"""),"082392161480")</f>
        <v>082392161480</v>
      </c>
      <c r="AH1285" s="80" t="str">
        <f>IFERROR(__xludf.DUMMYFUNCTION("""COMPUTED_VALUE"""),"anshari95@gmail.com")</f>
        <v>anshari95@gmail.com</v>
      </c>
      <c r="AI1285" s="80"/>
      <c r="AJ1285" s="80"/>
      <c r="AK1285" s="80"/>
      <c r="AL1285" s="80"/>
      <c r="AM1285" s="80" t="str">
        <f>IFERROR(__xludf.DUMMYFUNCTION("""COMPUTED_VALUE"""),"KANTOR REGIONAL II JAKARTA 10004")</f>
        <v>KANTOR REGIONAL II JAKARTA 10004</v>
      </c>
      <c r="AN1285" s="80" t="str">
        <f>IFERROR(__xludf.DUMMYFUNCTION("""COMPUTED_VALUE"""),"KCU BOGOR 16000")</f>
        <v>KCU BOGOR 16000</v>
      </c>
      <c r="AO1285" s="80" t="str">
        <f>IFERROR(__xludf.DUMMYFUNCTION("""COMPUTED_VALUE"""),"0308260085336")</f>
        <v>0308260085336</v>
      </c>
      <c r="AP1285" s="80" t="str">
        <f>IFERROR(__xludf.DUMMYFUNCTION("""COMPUTED_VALUE"""),"0308260085336")</f>
        <v>0308260085336</v>
      </c>
      <c r="AQ1285" s="83" t="str">
        <f>IFERROR(__xludf.DUMMYFUNCTION("""COMPUTED_VALUE"""),"0661639571")</f>
        <v>0661639571</v>
      </c>
      <c r="AR1285" s="80" t="str">
        <f>IFERROR(__xludf.DUMMYFUNCTION("""COMPUTED_VALUE"""),"BCA")</f>
        <v>BCA</v>
      </c>
      <c r="AS1285" s="80" t="str">
        <f>IFERROR(__xludf.DUMMYFUNCTION("""COMPUTED_VALUE"""),"ARIF ANSHARI RASWEN")</f>
        <v>ARIF ANSHARI RASWEN</v>
      </c>
      <c r="AT1285" s="80" t="str">
        <f>IFERROR(__xludf.DUMMYFUNCTION("""COMPUTED_VALUE"""),"-6.5628397,106.7196151")</f>
        <v>-6.5628397,106.7196151</v>
      </c>
      <c r="AU1285" s="80" t="str">
        <f>IFERROR(__xludf.DUMMYFUNCTION("""COMPUTED_VALUE"""),"-6.5628397,106.7196151")</f>
        <v>-6.5628397,106.7196151</v>
      </c>
      <c r="AV1285" s="80"/>
      <c r="AW1285" s="80"/>
      <c r="AX1285" s="80"/>
      <c r="AY1285" s="80"/>
      <c r="AZ1285" s="80"/>
      <c r="BA1285" s="80"/>
      <c r="BB1285" s="80"/>
      <c r="BC1285" s="80"/>
      <c r="BD1285" s="80"/>
      <c r="BE1285" s="80"/>
      <c r="BF1285" s="80"/>
      <c r="BG1285" s="80"/>
      <c r="BH1285" s="80"/>
      <c r="BI1285" s="80"/>
      <c r="BJ1285" s="80"/>
      <c r="BK1285" s="80"/>
      <c r="BL1285" s="80"/>
      <c r="BM1285" s="80"/>
      <c r="BN1285" s="80"/>
      <c r="BO1285" s="80"/>
      <c r="BP1285" s="80"/>
      <c r="BQ1285" s="80"/>
      <c r="BR1285" s="80"/>
      <c r="BS1285" s="80"/>
      <c r="BT1285" s="80"/>
      <c r="BU1285" s="80"/>
      <c r="BV1285" s="80"/>
      <c r="BW1285" s="80"/>
      <c r="BX1285" s="80"/>
      <c r="BY1285" s="80"/>
      <c r="BZ1285" s="80"/>
      <c r="CA1285" s="80"/>
      <c r="CB1285" s="80"/>
      <c r="CC1285" s="80"/>
      <c r="CD1285" s="80"/>
      <c r="CE1285" s="80"/>
      <c r="CF1285" s="80"/>
      <c r="CG1285" s="80"/>
      <c r="CH1285" s="80"/>
      <c r="CI1285" s="80"/>
      <c r="CJ1285" s="80"/>
      <c r="CK1285" s="2"/>
    </row>
    <row r="1286" ht="12.75" customHeight="1">
      <c r="A1286" s="85">
        <f>IFERROR(__xludf.DUMMYFUNCTION("""COMPUTED_VALUE"""),1282.0)</f>
        <v>1282</v>
      </c>
      <c r="B1286" s="85"/>
      <c r="C1286" s="85"/>
      <c r="D1286" s="86">
        <f>IFERROR(__xludf.DUMMYFUNCTION("""COMPUTED_VALUE"""),46238.0)</f>
        <v>46238</v>
      </c>
      <c r="E1286" s="88"/>
      <c r="F1286" s="85"/>
      <c r="G1286" s="86">
        <f>IFERROR(__xludf.DUMMYFUNCTION("""COMPUTED_VALUE"""),46262.0)</f>
        <v>46262</v>
      </c>
      <c r="H1286" s="85"/>
      <c r="I1286" s="85"/>
      <c r="J1286" s="85"/>
      <c r="K1286" s="85"/>
      <c r="L1286" s="85">
        <f>IFERROR(__xludf.DUMMYFUNCTION("""COMPUTED_VALUE"""),24.0)</f>
        <v>24</v>
      </c>
      <c r="M1286" s="85"/>
      <c r="N1286" s="85"/>
      <c r="O1286" s="85"/>
      <c r="P1286" s="85" t="str">
        <f>IFERROR(__xludf.DUMMYFUNCTION("""COMPUTED_VALUE"""),"MUCSPA70071PSLDI")</f>
        <v>MUCSPA70071PSLDI</v>
      </c>
      <c r="Q1286" s="85" t="str">
        <f>IFERROR(__xludf.DUMMYFUNCTION("""COMPUTED_VALUE"""),"MUC TOSILAJARA MONOZUKURI")</f>
        <v>MUC TOSILAJARA MONOZUKURI</v>
      </c>
      <c r="R1286" s="85" t="str">
        <f>IFERROR(__xludf.DUMMYFUNCTION("""COMPUTED_VALUE"""),"MUC TOSILAJARA MONOZUKURI")</f>
        <v>MUC TOSILAJARA MONOZUKURI</v>
      </c>
      <c r="S1286" s="85" t="str">
        <f>IFERROR(__xludf.DUMMYFUNCTION("""COMPUTED_VALUE"""),"IR. MUH. BASRI BORAHIMA, MM")</f>
        <v>IR. MUH. BASRI BORAHIMA, MM</v>
      </c>
      <c r="T1286" s="85" t="str">
        <f>IFERROR(__xludf.DUMMYFUNCTION("""COMPUTED_VALUE"""),"JL. PATUHA UTARA V BLOK 20 NO. 8 RT005 RW015 KEL. KAYURINGINJAYA, KEC. BEKASI SELATAN, KOTA BEKASI, JAWA BARAT 17144")</f>
        <v>JL. PATUHA UTARA V BLOK 20 NO. 8 RT005 RW015 KEL. KAYURINGINJAYA, KEC. BEKASI SELATAN, KOTA BEKASI, JAWA BARAT 17144</v>
      </c>
      <c r="U1286" s="85" t="str">
        <f>IFERROR(__xludf.DUMMYFUNCTION("""COMPUTED_VALUE"""),"JL. PATUHA UTARA V BLOK 20 NO. 8 RT005 RW015")</f>
        <v>JL. PATUHA UTARA V BLOK 20 NO. 8 RT005 RW015</v>
      </c>
      <c r="V1286" s="85" t="str">
        <f>IFERROR(__xludf.DUMMYFUNCTION("""COMPUTED_VALUE"""),"RT005  \ RW015")</f>
        <v>RT005  \ RW015</v>
      </c>
      <c r="W1286" s="85" t="str">
        <f>IFERROR(__xludf.DUMMYFUNCTION("""COMPUTED_VALUE"""),"Kayuringinjaya")</f>
        <v>Kayuringinjaya</v>
      </c>
      <c r="X1286" s="85" t="str">
        <f>IFERROR(__xludf.DUMMYFUNCTION("""COMPUTED_VALUE"""),"Bekasi Selatan")</f>
        <v>Bekasi Selatan</v>
      </c>
      <c r="Y1286" s="85" t="str">
        <f>IFERROR(__xludf.DUMMYFUNCTION("""COMPUTED_VALUE"""),"Kota Bekasi")</f>
        <v>Kota Bekasi</v>
      </c>
      <c r="Z1286" s="85" t="str">
        <f>IFERROR(__xludf.DUMMYFUNCTION("""COMPUTED_VALUE"""),"Jawa Barat")</f>
        <v>Jawa Barat</v>
      </c>
      <c r="AA1286" s="85" t="str">
        <f>IFERROR(__xludf.DUMMYFUNCTION("""COMPUTED_VALUE"""),"17144")</f>
        <v>17144</v>
      </c>
      <c r="AB1286" s="85" t="str">
        <f>IFERROR(__xludf.DUMMYFUNCTION("""COMPUTED_VALUE"""),"3275042106660011")</f>
        <v>3275042106660011</v>
      </c>
      <c r="AC1286" s="85" t="str">
        <f>IFERROR(__xludf.DUMMYFUNCTION("""COMPUTED_VALUE"""),"49.871.921.0-432.000")</f>
        <v>49.871.921.0-432.000</v>
      </c>
      <c r="AD1286" s="85" t="str">
        <f>IFERROR(__xludf.DUMMYFUNCTION("""COMPUTED_VALUE"""),"CUM - LDI - KOPUBGBS")</f>
        <v>CUM - LDI - KOPUBGBS</v>
      </c>
      <c r="AE1286" s="85" t="str">
        <f>IFERROR(__xludf.DUMMYFUNCTION("""COMPUTED_VALUE"""),"CUM - LDI - KOPUBGBS")</f>
        <v>CUM - LDI - KOPUBGBS</v>
      </c>
      <c r="AF1286" s="85" t="str">
        <f>IFERROR(__xludf.DUMMYFUNCTION("""COMPUTED_VALUE"""),"08121077969")</f>
        <v>08121077969</v>
      </c>
      <c r="AG1286" s="85" t="str">
        <f>IFERROR(__xludf.DUMMYFUNCTION("""COMPUTED_VALUE"""),"08121077969")</f>
        <v>08121077969</v>
      </c>
      <c r="AH1286" s="85" t="str">
        <f>IFERROR(__xludf.DUMMYFUNCTION("""COMPUTED_VALUE"""),"basriborahima@gmail.com")</f>
        <v>basriborahima@gmail.com</v>
      </c>
      <c r="AI1286" s="85" t="str">
        <f>IFERROR(__xludf.DUMMYFUNCTION("""COMPUTED_VALUE"""),"17144S3")</f>
        <v>17144S3</v>
      </c>
      <c r="AJ1286" s="85" t="str">
        <f>IFERROR(__xludf.DUMMYFUNCTION("""COMPUTED_VALUE"""),"6a7d67f9b72fb1885406e2b1")</f>
        <v>6a7d67f9b72fb1885406e2b1</v>
      </c>
      <c r="AK1286" s="85" t="str">
        <f>IFERROR(__xludf.DUMMYFUNCTION("""COMPUTED_VALUE"""),"basriborahima@gmail.com")</f>
        <v>basriborahima@gmail.com</v>
      </c>
      <c r="AL1286" s="85" t="str">
        <f>IFERROR(__xludf.DUMMYFUNCTION("""COMPUTED_VALUE"""),"#Muc17144S3$")</f>
        <v>#Muc17144S3$</v>
      </c>
      <c r="AM1286" s="85" t="str">
        <f>IFERROR(__xludf.DUMMYFUNCTION("""COMPUTED_VALUE"""),"KANTOR REGIONAL II JAKARTA 10004")</f>
        <v>KANTOR REGIONAL II JAKARTA 10004</v>
      </c>
      <c r="AN1286" s="85" t="str">
        <f>IFERROR(__xludf.DUMMYFUNCTION("""COMPUTED_VALUE"""),"KCU BEKASI 17000")</f>
        <v>KCU BEKASI 17000</v>
      </c>
      <c r="AO1286" s="85" t="str">
        <f>IFERROR(__xludf.DUMMYFUNCTION("""COMPUTED_VALUE"""),"0408260064922")</f>
        <v>0408260064922</v>
      </c>
      <c r="AP1286" s="85" t="str">
        <f>IFERROR(__xludf.DUMMYFUNCTION("""COMPUTED_VALUE"""),"0408260064922")</f>
        <v>0408260064922</v>
      </c>
      <c r="AQ1286" s="93" t="str">
        <f>IFERROR(__xludf.DUMMYFUNCTION("""COMPUTED_VALUE"""),"7390234877")</f>
        <v>7390234877</v>
      </c>
      <c r="AR1286" s="85" t="str">
        <f>IFERROR(__xludf.DUMMYFUNCTION("""COMPUTED_VALUE"""),"BCA")</f>
        <v>BCA</v>
      </c>
      <c r="AS1286" s="85" t="str">
        <f>IFERROR(__xludf.DUMMYFUNCTION("""COMPUTED_VALUE"""),"IR. MUH. BASRI BORAHIMA")</f>
        <v>IR. MUH. BASRI BORAHIMA</v>
      </c>
      <c r="AT1286" s="85" t="str">
        <f>IFERROR(__xludf.DUMMYFUNCTION("""COMPUTED_VALUE"""),"-6.2346361,106.9872165")</f>
        <v>-6.2346361,106.9872165</v>
      </c>
      <c r="AU1286" s="85" t="str">
        <f>IFERROR(__xludf.DUMMYFUNCTION("""COMPUTED_VALUE"""),"-6.2346361,106.9872165")</f>
        <v>-6.2346361,106.9872165</v>
      </c>
      <c r="AV1286" s="85"/>
      <c r="AW1286" s="85"/>
      <c r="AX1286" s="85"/>
      <c r="AY1286" s="85"/>
      <c r="AZ1286" s="85"/>
      <c r="BA1286" s="85"/>
      <c r="BB1286" s="85"/>
      <c r="BC1286" s="85"/>
      <c r="BD1286" s="85"/>
      <c r="BE1286" s="85"/>
      <c r="BF1286" s="85"/>
      <c r="BG1286" s="85"/>
      <c r="BH1286" s="85"/>
      <c r="BI1286" s="85"/>
      <c r="BJ1286" s="85"/>
      <c r="BK1286" s="85"/>
      <c r="BL1286" s="85"/>
      <c r="BM1286" s="85"/>
      <c r="BN1286" s="85"/>
      <c r="BO1286" s="85"/>
      <c r="BP1286" s="85"/>
      <c r="BQ1286" s="85"/>
      <c r="BR1286" s="85"/>
      <c r="BS1286" s="85"/>
      <c r="BT1286" s="85"/>
      <c r="BU1286" s="85"/>
      <c r="BV1286" s="85"/>
      <c r="BW1286" s="85"/>
      <c r="BX1286" s="85"/>
      <c r="BY1286" s="85"/>
      <c r="BZ1286" s="85"/>
      <c r="CA1286" s="85"/>
      <c r="CB1286" s="85"/>
      <c r="CC1286" s="85"/>
      <c r="CD1286" s="85"/>
      <c r="CE1286" s="85"/>
      <c r="CF1286" s="85"/>
      <c r="CG1286" s="85"/>
      <c r="CH1286" s="85"/>
      <c r="CI1286" s="85"/>
      <c r="CJ1286" s="85"/>
      <c r="CK1286" s="2"/>
    </row>
    <row r="1287" ht="12.75" customHeight="1">
      <c r="A1287" s="80">
        <f>IFERROR(__xludf.DUMMYFUNCTION("""COMPUTED_VALUE"""),1283.0)</f>
        <v>1283</v>
      </c>
      <c r="B1287" s="80"/>
      <c r="C1287" s="80"/>
      <c r="D1287" s="81">
        <f>IFERROR(__xludf.DUMMYFUNCTION("""COMPUTED_VALUE"""),46238.0)</f>
        <v>46238</v>
      </c>
      <c r="E1287" s="82"/>
      <c r="F1287" s="80"/>
      <c r="G1287" s="81">
        <f>IFERROR(__xludf.DUMMYFUNCTION("""COMPUTED_VALUE"""),46258.0)</f>
        <v>46258</v>
      </c>
      <c r="H1287" s="80"/>
      <c r="I1287" s="80"/>
      <c r="J1287" s="80"/>
      <c r="K1287" s="80"/>
      <c r="L1287" s="80">
        <f>IFERROR(__xludf.DUMMYFUNCTION("""COMPUTED_VALUE"""),20.0)</f>
        <v>20</v>
      </c>
      <c r="M1287" s="80"/>
      <c r="N1287" s="80"/>
      <c r="O1287" s="80"/>
      <c r="P1287" s="80" t="str">
        <f>IFERROR(__xludf.DUMMYFUNCTION("""COMPUTED_VALUE"""),"MUCSPA63643PSIND")</f>
        <v>MUCSPA63643PSIND</v>
      </c>
      <c r="Q1287" s="80" t="str">
        <f>IFERROR(__xludf.DUMMYFUNCTION("""COMPUTED_VALUE"""),"MUC GIS Taman Palem")</f>
        <v>MUC GIS Taman Palem</v>
      </c>
      <c r="R1287" s="80" t="str">
        <f>IFERROR(__xludf.DUMMYFUNCTION("""COMPUTED_VALUE"""),"MUC GIS Taman Palem")</f>
        <v>MUC GIS Taman Palem</v>
      </c>
      <c r="S1287" s="80" t="str">
        <f>IFERROR(__xludf.DUMMYFUNCTION("""COMPUTED_VALUE"""),"ANDIKA BAMBANG PRANOWO, SE")</f>
        <v>ANDIKA BAMBANG PRANOWO, SE</v>
      </c>
      <c r="T1287" s="80" t="str">
        <f>IFERROR(__xludf.DUMMYFUNCTION("""COMPUTED_VALUE"""),"Bukit Indah Blok D8/9 Rt. 003/006 Kel. Serua Kec. Ciputat. Tangerang Selatan")</f>
        <v>Bukit Indah Blok D8/9 Rt. 003/006 Kel. Serua Kec. Ciputat. Tangerang Selatan</v>
      </c>
      <c r="U1287" s="80" t="str">
        <f>IFERROR(__xludf.DUMMYFUNCTION("""COMPUTED_VALUE"""),"Jl. Taman Palem Lestari K, RT.7/RW.8, Cengkareng Bar., Cengkareng, Jakarta Barat, DKI Jakarta")</f>
        <v>Jl. Taman Palem Lestari K, RT.7/RW.8, Cengkareng Bar., Cengkareng, Jakarta Barat, DKI Jakarta</v>
      </c>
      <c r="V1287" s="80"/>
      <c r="W1287" s="80" t="str">
        <f>IFERROR(__xludf.DUMMYFUNCTION("""COMPUTED_VALUE"""),"Cengkareng Barat")</f>
        <v>Cengkareng Barat</v>
      </c>
      <c r="X1287" s="80" t="str">
        <f>IFERROR(__xludf.DUMMYFUNCTION("""COMPUTED_VALUE"""),"Cengkareng")</f>
        <v>Cengkareng</v>
      </c>
      <c r="Y1287" s="80" t="str">
        <f>IFERROR(__xludf.DUMMYFUNCTION("""COMPUTED_VALUE"""),"Jakarta Barat")</f>
        <v>Jakarta Barat</v>
      </c>
      <c r="Z1287" s="80" t="str">
        <f>IFERROR(__xludf.DUMMYFUNCTION("""COMPUTED_VALUE"""),"Dki Jakarta")</f>
        <v>Dki Jakarta</v>
      </c>
      <c r="AA1287" s="80" t="str">
        <f>IFERROR(__xludf.DUMMYFUNCTION("""COMPUTED_VALUE"""),"11730")</f>
        <v>11730</v>
      </c>
      <c r="AB1287" s="80" t="str">
        <f>IFERROR(__xludf.DUMMYFUNCTION("""COMPUTED_VALUE"""),"3674041702830009")</f>
        <v>3674041702830009</v>
      </c>
      <c r="AC1287" s="80" t="str">
        <f>IFERROR(__xludf.DUMMYFUNCTION("""COMPUTED_VALUE"""),"59.401.480.5-451.000")</f>
        <v>59.401.480.5-451.000</v>
      </c>
      <c r="AD1287" s="80" t="str">
        <f>IFERROR(__xludf.DUMMYFUNCTION("""COMPUTED_VALUE"""),"CUM - PS - ARKT")</f>
        <v>CUM - PS - ARKT</v>
      </c>
      <c r="AE1287" s="80" t="str">
        <f>IFERROR(__xludf.DUMMYFUNCTION("""COMPUTED_VALUE"""),"CUM - PS - ARKT")</f>
        <v>CUM - PS - ARKT</v>
      </c>
      <c r="AF1287" s="80" t="str">
        <f>IFERROR(__xludf.DUMMYFUNCTION("""COMPUTED_VALUE"""),"08128058817")</f>
        <v>08128058817</v>
      </c>
      <c r="AG1287" s="80" t="str">
        <f>IFERROR(__xludf.DUMMYFUNCTION("""COMPUTED_VALUE"""),"08128058817")</f>
        <v>08128058817</v>
      </c>
      <c r="AH1287" s="80" t="str">
        <f>IFERROR(__xludf.DUMMYFUNCTION("""COMPUTED_VALUE"""),"dhica_83@yahoo.com")</f>
        <v>dhica_83@yahoo.com</v>
      </c>
      <c r="AI1287" s="80" t="str">
        <f>IFERROR(__xludf.DUMMYFUNCTION("""COMPUTED_VALUE"""),"11730SF")</f>
        <v>11730SF</v>
      </c>
      <c r="AJ1287" s="80" t="str">
        <f>IFERROR(__xludf.DUMMYFUNCTION("""COMPUTED_VALUE"""),"6a8839b76649fa18320588f4")</f>
        <v>6a8839b76649fa18320588f4</v>
      </c>
      <c r="AK1287" s="80" t="str">
        <f>IFERROR(__xludf.DUMMYFUNCTION("""COMPUTED_VALUE"""),"dhica_83@yahoo.com")</f>
        <v>dhica_83@yahoo.com</v>
      </c>
      <c r="AL1287" s="80" t="str">
        <f>IFERROR(__xludf.DUMMYFUNCTION("""COMPUTED_VALUE"""),"#Muc11730SF$")</f>
        <v>#Muc11730SF$</v>
      </c>
      <c r="AM1287" s="80" t="str">
        <f>IFERROR(__xludf.DUMMYFUNCTION("""COMPUTED_VALUE"""),"KANTOR REGIONAL II JAKARTA 10004")</f>
        <v>KANTOR REGIONAL II JAKARTA 10004</v>
      </c>
      <c r="AN1287" s="80" t="str">
        <f>IFERROR(__xludf.DUMMYFUNCTION("""COMPUTED_VALUE"""),"KCU JAKARTAOCEANIA 11000")</f>
        <v>KCU JAKARTAOCEANIA 11000</v>
      </c>
      <c r="AO1287" s="80" t="str">
        <f>IFERROR(__xludf.DUMMYFUNCTION("""COMPUTED_VALUE"""),"0408260023046")</f>
        <v>0408260023046</v>
      </c>
      <c r="AP1287" s="80" t="str">
        <f>IFERROR(__xludf.DUMMYFUNCTION("""COMPUTED_VALUE"""),"0408260023046")</f>
        <v>0408260023046</v>
      </c>
      <c r="AQ1287" s="83" t="str">
        <f>IFERROR(__xludf.DUMMYFUNCTION("""COMPUTED_VALUE"""),"4970599105")</f>
        <v>4970599105</v>
      </c>
      <c r="AR1287" s="80" t="str">
        <f>IFERROR(__xludf.DUMMYFUNCTION("""COMPUTED_VALUE"""),"BCA")</f>
        <v>BCA</v>
      </c>
      <c r="AS1287" s="80" t="str">
        <f>IFERROR(__xludf.DUMMYFUNCTION("""COMPUTED_VALUE"""),"ANDIKA BAMBANG PRANOWO")</f>
        <v>ANDIKA BAMBANG PRANOWO</v>
      </c>
      <c r="AT1287" s="80" t="str">
        <f>IFERROR(__xludf.DUMMYFUNCTION("""COMPUTED_VALUE"""),"-6.1369429,106.7261143")</f>
        <v>-6.1369429,106.7261143</v>
      </c>
      <c r="AU1287" s="80" t="str">
        <f>IFERROR(__xludf.DUMMYFUNCTION("""COMPUTED_VALUE"""),"-6.1369429,106.7261143")</f>
        <v>-6.1369429,106.7261143</v>
      </c>
      <c r="AV1287" s="80"/>
      <c r="AW1287" s="80"/>
      <c r="AX1287" s="80"/>
      <c r="AY1287" s="80"/>
      <c r="AZ1287" s="80"/>
      <c r="BA1287" s="80"/>
      <c r="BB1287" s="80"/>
      <c r="BC1287" s="80"/>
      <c r="BD1287" s="80"/>
      <c r="BE1287" s="80"/>
      <c r="BF1287" s="80"/>
      <c r="BG1287" s="80"/>
      <c r="BH1287" s="80"/>
      <c r="BI1287" s="80"/>
      <c r="BJ1287" s="80"/>
      <c r="BK1287" s="80"/>
      <c r="BL1287" s="80"/>
      <c r="BM1287" s="80"/>
      <c r="BN1287" s="80"/>
      <c r="BO1287" s="80"/>
      <c r="BP1287" s="80"/>
      <c r="BQ1287" s="80"/>
      <c r="BR1287" s="80"/>
      <c r="BS1287" s="80"/>
      <c r="BT1287" s="80"/>
      <c r="BU1287" s="80"/>
      <c r="BV1287" s="80"/>
      <c r="BW1287" s="80"/>
      <c r="BX1287" s="80"/>
      <c r="BY1287" s="80"/>
      <c r="BZ1287" s="80"/>
      <c r="CA1287" s="80"/>
      <c r="CB1287" s="80"/>
      <c r="CC1287" s="80"/>
      <c r="CD1287" s="80"/>
      <c r="CE1287" s="80"/>
      <c r="CF1287" s="80"/>
      <c r="CG1287" s="80"/>
      <c r="CH1287" s="80"/>
      <c r="CI1287" s="80"/>
      <c r="CJ1287" s="80"/>
      <c r="CK1287" s="2"/>
    </row>
    <row r="1288" ht="12.75" customHeight="1">
      <c r="A1288" s="85">
        <f>IFERROR(__xludf.DUMMYFUNCTION("""COMPUTED_VALUE"""),1284.0)</f>
        <v>1284</v>
      </c>
      <c r="B1288" s="85"/>
      <c r="C1288" s="85"/>
      <c r="D1288" s="86">
        <f>IFERROR(__xludf.DUMMYFUNCTION("""COMPUTED_VALUE"""),46239.0)</f>
        <v>46239</v>
      </c>
      <c r="E1288" s="88"/>
      <c r="F1288" s="85"/>
      <c r="G1288" s="86">
        <f>IFERROR(__xludf.DUMMYFUNCTION("""COMPUTED_VALUE"""),46269.0)</f>
        <v>46269</v>
      </c>
      <c r="H1288" s="85"/>
      <c r="I1288" s="85"/>
      <c r="J1288" s="85"/>
      <c r="K1288" s="85"/>
      <c r="L1288" s="85">
        <f>IFERROR(__xludf.DUMMYFUNCTION("""COMPUTED_VALUE"""),30.0)</f>
        <v>30</v>
      </c>
      <c r="M1288" s="85"/>
      <c r="N1288" s="85"/>
      <c r="O1288" s="85"/>
      <c r="P1288" s="85" t="str">
        <f>IFERROR(__xludf.DUMMYFUNCTION("""COMPUTED_VALUE"""),"53BSPA17179JBNDS")</f>
        <v>53BSPA17179JBNDS</v>
      </c>
      <c r="Q1288" s="85" t="str">
        <f>IFERROR(__xludf.DUMMYFUNCTION("""COMPUTED_VALUE"""),"MUC BKI081A")</f>
        <v>MUC BKI081A</v>
      </c>
      <c r="R1288" s="85" t="str">
        <f>IFERROR(__xludf.DUMMYFUNCTION("""COMPUTED_VALUE"""),"MUC BKI081A")</f>
        <v>MUC BKI081A</v>
      </c>
      <c r="S1288" s="85" t="str">
        <f>IFERROR(__xludf.DUMMYFUNCTION("""COMPUTED_VALUE"""),"NOVA IMAWATI")</f>
        <v>NOVA IMAWATI</v>
      </c>
      <c r="T1288" s="85" t="str">
        <f>IFERROR(__xludf.DUMMYFUNCTION("""COMPUTED_VALUE"""),"PESONA JATIMULYA BLOK E/8, JATIMULYA TAMBUN SELATAN")</f>
        <v>PESONA JATIMULYA BLOK E/8, JATIMULYA TAMBUN SELATAN</v>
      </c>
      <c r="U1288" s="85" t="str">
        <f>IFERROR(__xludf.DUMMYFUNCTION("""COMPUTED_VALUE"""),"Jl. Kp. Bulu, Setiamekar, Kec. Tambun Sel., Kab. Bekasi, Jawa Barat")</f>
        <v>Jl. Kp. Bulu, Setiamekar, Kec. Tambun Sel., Kab. Bekasi, Jawa Barat</v>
      </c>
      <c r="V1288" s="85"/>
      <c r="W1288" s="85" t="str">
        <f>IFERROR(__xludf.DUMMYFUNCTION("""COMPUTED_VALUE"""),"Setiamekar")</f>
        <v>Setiamekar</v>
      </c>
      <c r="X1288" s="85" t="str">
        <f>IFERROR(__xludf.DUMMYFUNCTION("""COMPUTED_VALUE"""),"Tambun Selatan")</f>
        <v>Tambun Selatan</v>
      </c>
      <c r="Y1288" s="85" t="str">
        <f>IFERROR(__xludf.DUMMYFUNCTION("""COMPUTED_VALUE"""),"Kab.Bekasi")</f>
        <v>Kab.Bekasi</v>
      </c>
      <c r="Z1288" s="85" t="str">
        <f>IFERROR(__xludf.DUMMYFUNCTION("""COMPUTED_VALUE"""),"Jawa Barat")</f>
        <v>Jawa Barat</v>
      </c>
      <c r="AA1288" s="85" t="str">
        <f>IFERROR(__xludf.DUMMYFUNCTION("""COMPUTED_VALUE"""),"17510")</f>
        <v>17510</v>
      </c>
      <c r="AB1288" s="85" t="str">
        <f>IFERROR(__xludf.DUMMYFUNCTION("""COMPUTED_VALUE"""),"3216064212800007")</f>
        <v>3216064212800007</v>
      </c>
      <c r="AC1288" s="85" t="str">
        <f>IFERROR(__xludf.DUMMYFUNCTION("""COMPUTED_VALUE"""),"32.160.642.1-280.0007")</f>
        <v>32.160.642.1-280.0007</v>
      </c>
      <c r="AD1288" s="85" t="str">
        <f>IFERROR(__xludf.DUMMYFUNCTION("""COMPUTED_VALUE"""),"CUM - NDS")</f>
        <v>CUM - NDS</v>
      </c>
      <c r="AE1288" s="85" t="str">
        <f>IFERROR(__xludf.DUMMYFUNCTION("""COMPUTED_VALUE"""),"CUM - NDS")</f>
        <v>CUM - NDS</v>
      </c>
      <c r="AF1288" s="85" t="str">
        <f>IFERROR(__xludf.DUMMYFUNCTION("""COMPUTED_VALUE"""),"08111191949")</f>
        <v>08111191949</v>
      </c>
      <c r="AG1288" s="85" t="str">
        <f>IFERROR(__xludf.DUMMYFUNCTION("""COMPUTED_VALUE"""),"08111191949")</f>
        <v>08111191949</v>
      </c>
      <c r="AH1288" s="85" t="str">
        <f>IFERROR(__xludf.DUMMYFUNCTION("""COMPUTED_VALUE"""),"imawatinova@gmail.com")</f>
        <v>imawatinova@gmail.com</v>
      </c>
      <c r="AI1288" s="85" t="str">
        <f>IFERROR(__xludf.DUMMYFUNCTION("""COMPUTED_VALUE"""),"17519S5")</f>
        <v>17519S5</v>
      </c>
      <c r="AJ1288" s="85" t="str">
        <f>IFERROR(__xludf.DUMMYFUNCTION("""COMPUTED_VALUE"""),"6a9a89f157ba0a911a085985")</f>
        <v>6a9a89f157ba0a911a085985</v>
      </c>
      <c r="AK1288" s="85" t="str">
        <f>IFERROR(__xludf.DUMMYFUNCTION("""COMPUTED_VALUE"""),"imawatinova@gmail.com")</f>
        <v>imawatinova@gmail.com</v>
      </c>
      <c r="AL1288" s="85" t="str">
        <f>IFERROR(__xludf.DUMMYFUNCTION("""COMPUTED_VALUE"""),"#Muc17519S5$")</f>
        <v>#Muc17519S5$</v>
      </c>
      <c r="AM1288" s="85" t="str">
        <f>IFERROR(__xludf.DUMMYFUNCTION("""COMPUTED_VALUE"""),"KANTOR REGIONAL II JAKARTA 10004")</f>
        <v>KANTOR REGIONAL II JAKARTA 10004</v>
      </c>
      <c r="AN1288" s="85" t="str">
        <f>IFERROR(__xludf.DUMMYFUNCTION("""COMPUTED_VALUE"""),"KC CIKARANG 17500")</f>
        <v>KC CIKARANG 17500</v>
      </c>
      <c r="AO1288" s="85" t="str">
        <f>IFERROR(__xludf.DUMMYFUNCTION("""COMPUTED_VALUE"""),"3107260019906")</f>
        <v>3107260019906</v>
      </c>
      <c r="AP1288" s="85" t="str">
        <f>IFERROR(__xludf.DUMMYFUNCTION("""COMPUTED_VALUE"""),"3107260019906")</f>
        <v>3107260019906</v>
      </c>
      <c r="AQ1288" s="93" t="str">
        <f>IFERROR(__xludf.DUMMYFUNCTION("""COMPUTED_VALUE"""),"8415037224")</f>
        <v>8415037224</v>
      </c>
      <c r="AR1288" s="85" t="str">
        <f>IFERROR(__xludf.DUMMYFUNCTION("""COMPUTED_VALUE"""),"BCA")</f>
        <v>BCA</v>
      </c>
      <c r="AS1288" s="85" t="str">
        <f>IFERROR(__xludf.DUMMYFUNCTION("""COMPUTED_VALUE"""),"NOVA IMAWATI")</f>
        <v>NOVA IMAWATI</v>
      </c>
      <c r="AT1288" s="85" t="str">
        <f>IFERROR(__xludf.DUMMYFUNCTION("""COMPUTED_VALUE"""),"-6.2546054,107.0482713")</f>
        <v>-6.2546054,107.0482713</v>
      </c>
      <c r="AU1288" s="85" t="str">
        <f>IFERROR(__xludf.DUMMYFUNCTION("""COMPUTED_VALUE"""),"-6.2546054,107.0482713")</f>
        <v>-6.2546054,107.0482713</v>
      </c>
      <c r="AV1288" s="85"/>
      <c r="AW1288" s="85"/>
      <c r="AX1288" s="85"/>
      <c r="AY1288" s="85"/>
      <c r="AZ1288" s="85"/>
      <c r="BA1288" s="85"/>
      <c r="BB1288" s="85"/>
      <c r="BC1288" s="85"/>
      <c r="BD1288" s="85"/>
      <c r="BE1288" s="85"/>
      <c r="BF1288" s="85"/>
      <c r="BG1288" s="85"/>
      <c r="BH1288" s="85"/>
      <c r="BI1288" s="85"/>
      <c r="BJ1288" s="85"/>
      <c r="BK1288" s="85"/>
      <c r="BL1288" s="85"/>
      <c r="BM1288" s="85"/>
      <c r="BN1288" s="85"/>
      <c r="BO1288" s="85"/>
      <c r="BP1288" s="85"/>
      <c r="BQ1288" s="85"/>
      <c r="BR1288" s="85"/>
      <c r="BS1288" s="85"/>
      <c r="BT1288" s="85"/>
      <c r="BU1288" s="85"/>
      <c r="BV1288" s="85"/>
      <c r="BW1288" s="85"/>
      <c r="BX1288" s="85"/>
      <c r="BY1288" s="85"/>
      <c r="BZ1288" s="85"/>
      <c r="CA1288" s="85"/>
      <c r="CB1288" s="85"/>
      <c r="CC1288" s="85"/>
      <c r="CD1288" s="85"/>
      <c r="CE1288" s="85"/>
      <c r="CF1288" s="85"/>
      <c r="CG1288" s="85"/>
      <c r="CH1288" s="85"/>
      <c r="CI1288" s="85"/>
      <c r="CJ1288" s="85"/>
      <c r="CK1288" s="2"/>
    </row>
    <row r="1289" ht="12.75" customHeight="1">
      <c r="A1289" s="80">
        <f>IFERROR(__xludf.DUMMYFUNCTION("""COMPUTED_VALUE"""),1285.0)</f>
        <v>1285</v>
      </c>
      <c r="B1289" s="80"/>
      <c r="C1289" s="80"/>
      <c r="D1289" s="81">
        <f>IFERROR(__xludf.DUMMYFUNCTION("""COMPUTED_VALUE"""),46239.0)</f>
        <v>46239</v>
      </c>
      <c r="E1289" s="82"/>
      <c r="F1289" s="80"/>
      <c r="G1289" s="81">
        <f>IFERROR(__xludf.DUMMYFUNCTION("""COMPUTED_VALUE"""),46275.0)</f>
        <v>46275</v>
      </c>
      <c r="H1289" s="80"/>
      <c r="I1289" s="80"/>
      <c r="J1289" s="80"/>
      <c r="K1289" s="80"/>
      <c r="L1289" s="80">
        <f>IFERROR(__xludf.DUMMYFUNCTION("""COMPUTED_VALUE"""),36.0)</f>
        <v>36</v>
      </c>
      <c r="M1289" s="80"/>
      <c r="N1289" s="80"/>
      <c r="O1289" s="80"/>
      <c r="P1289" s="80" t="str">
        <f>IFERROR(__xludf.DUMMYFUNCTION("""COMPUTED_VALUE"""),"MUCSPA70072PSLDI")</f>
        <v>MUCSPA70072PSLDI</v>
      </c>
      <c r="Q1289" s="80" t="str">
        <f>IFERROR(__xludf.DUMMYFUNCTION("""COMPUTED_VALUE"""),"MUC Toko Lancar Barokah")</f>
        <v>MUC Toko Lancar Barokah</v>
      </c>
      <c r="R1289" s="80" t="str">
        <f>IFERROR(__xludf.DUMMYFUNCTION("""COMPUTED_VALUE"""),"MUC Toko Lancar Barokah")</f>
        <v>MUC Toko Lancar Barokah</v>
      </c>
      <c r="S1289" s="80" t="str">
        <f>IFERROR(__xludf.DUMMYFUNCTION("""COMPUTED_VALUE"""),"H.SUGENG SETYONO ST")</f>
        <v>H.SUGENG SETYONO ST</v>
      </c>
      <c r="T1289" s="80" t="str">
        <f>IFERROR(__xludf.DUMMYFUNCTION("""COMPUTED_VALUE"""),"KP. Sukamantri RT 004/RW 02 Kel Sukaraya.Kec Karang bahagia")</f>
        <v>KP. Sukamantri RT 004/RW 02 Kel Sukaraya.Kec Karang bahagia</v>
      </c>
      <c r="U1289" s="80" t="str">
        <f>IFERROR(__xludf.DUMMYFUNCTION("""COMPUTED_VALUE"""),"KP. Sukamantri RT 004/RW 02. DS. Sukaraya.kec Karang bahagia")</f>
        <v>KP. Sukamantri RT 004/RW 02. DS. Sukaraya.kec Karang bahagia</v>
      </c>
      <c r="V1289" s="80" t="str">
        <f>IFERROR(__xludf.DUMMYFUNCTION("""COMPUTED_VALUE"""),"RT 004 \ RW 02")</f>
        <v>RT 004 \ RW 02</v>
      </c>
      <c r="W1289" s="80" t="str">
        <f>IFERROR(__xludf.DUMMYFUNCTION("""COMPUTED_VALUE"""),"Sukaraya")</f>
        <v>Sukaraya</v>
      </c>
      <c r="X1289" s="80" t="str">
        <f>IFERROR(__xludf.DUMMYFUNCTION("""COMPUTED_VALUE"""),"Karang Bahagia")</f>
        <v>Karang Bahagia</v>
      </c>
      <c r="Y1289" s="80" t="str">
        <f>IFERROR(__xludf.DUMMYFUNCTION("""COMPUTED_VALUE"""),"Kab. Bekasi")</f>
        <v>Kab. Bekasi</v>
      </c>
      <c r="Z1289" s="80" t="str">
        <f>IFERROR(__xludf.DUMMYFUNCTION("""COMPUTED_VALUE"""),"Jawa Barat")</f>
        <v>Jawa Barat</v>
      </c>
      <c r="AA1289" s="80" t="str">
        <f>IFERROR(__xludf.DUMMYFUNCTION("""COMPUTED_VALUE"""),"17535")</f>
        <v>17535</v>
      </c>
      <c r="AB1289" s="80" t="str">
        <f>IFERROR(__xludf.DUMMYFUNCTION("""COMPUTED_VALUE"""),"3216103005660002")</f>
        <v>3216103005660002</v>
      </c>
      <c r="AC1289" s="80" t="str">
        <f>IFERROR(__xludf.DUMMYFUNCTION("""COMPUTED_VALUE"""),"57.883.339.4-414.000")</f>
        <v>57.883.339.4-414.000</v>
      </c>
      <c r="AD1289" s="80" t="str">
        <f>IFERROR(__xludf.DUMMYFUNCTION("""COMPUTED_VALUE"""),"CUM - LDI - KOPUBGBS")</f>
        <v>CUM - LDI - KOPUBGBS</v>
      </c>
      <c r="AE1289" s="80" t="str">
        <f>IFERROR(__xludf.DUMMYFUNCTION("""COMPUTED_VALUE"""),"CUM - LDI - KOPUBGBS")</f>
        <v>CUM - LDI - KOPUBGBS</v>
      </c>
      <c r="AF1289" s="80" t="str">
        <f>IFERROR(__xludf.DUMMYFUNCTION("""COMPUTED_VALUE"""),"08129569823")</f>
        <v>08129569823</v>
      </c>
      <c r="AG1289" s="80" t="str">
        <f>IFERROR(__xludf.DUMMYFUNCTION("""COMPUTED_VALUE"""),"08129569823")</f>
        <v>08129569823</v>
      </c>
      <c r="AH1289" s="80" t="str">
        <f>IFERROR(__xludf.DUMMYFUNCTION("""COMPUTED_VALUE"""),"sugengsetyono433@gmail.com")</f>
        <v>sugengsetyono433@gmail.com</v>
      </c>
      <c r="AI1289" s="80" t="str">
        <f>IFERROR(__xludf.DUMMYFUNCTION("""COMPUTED_VALUE"""),"17536S2 ")</f>
        <v>17536S2 </v>
      </c>
      <c r="AJ1289" s="80" t="str">
        <f>IFERROR(__xludf.DUMMYFUNCTION("""COMPUTED_VALUE"""),"6a9e85ddede3f9bb81039036 ")</f>
        <v>6a9e85ddede3f9bb81039036 </v>
      </c>
      <c r="AK1289" s="80" t="str">
        <f>IFERROR(__xludf.DUMMYFUNCTION("""COMPUTED_VALUE"""),"sugengsetyono433@gmail.com")</f>
        <v>sugengsetyono433@gmail.com</v>
      </c>
      <c r="AL1289" s="80" t="str">
        <f>IFERROR(__xludf.DUMMYFUNCTION("""COMPUTED_VALUE"""),"#Muc17536S2$")</f>
        <v>#Muc17536S2$</v>
      </c>
      <c r="AM1289" s="80" t="str">
        <f>IFERROR(__xludf.DUMMYFUNCTION("""COMPUTED_VALUE"""),"KANTOR REGIONAL II JAKARTA 10004")</f>
        <v>KANTOR REGIONAL II JAKARTA 10004</v>
      </c>
      <c r="AN1289" s="80" t="str">
        <f>IFERROR(__xludf.DUMMYFUNCTION("""COMPUTED_VALUE"""),"KC CIKARANG 17500")</f>
        <v>KC CIKARANG 17500</v>
      </c>
      <c r="AO1289" s="80" t="str">
        <f>IFERROR(__xludf.DUMMYFUNCTION("""COMPUTED_VALUE"""),"0408260032733")</f>
        <v>0408260032733</v>
      </c>
      <c r="AP1289" s="80" t="str">
        <f>IFERROR(__xludf.DUMMYFUNCTION("""COMPUTED_VALUE"""),"0408260032733")</f>
        <v>0408260032733</v>
      </c>
      <c r="AQ1289" s="83" t="str">
        <f>IFERROR(__xludf.DUMMYFUNCTION("""COMPUTED_VALUE"""),"3430998543")</f>
        <v>3430998543</v>
      </c>
      <c r="AR1289" s="80" t="str">
        <f>IFERROR(__xludf.DUMMYFUNCTION("""COMPUTED_VALUE"""),"BCA")</f>
        <v>BCA</v>
      </c>
      <c r="AS1289" s="80" t="str">
        <f>IFERROR(__xludf.DUMMYFUNCTION("""COMPUTED_VALUE"""),"SUGENG SETYONO")</f>
        <v>SUGENG SETYONO</v>
      </c>
      <c r="AT1289" s="80" t="str">
        <f>IFERROR(__xludf.DUMMYFUNCTION("""COMPUTED_VALUE"""),"-6.2393404,107.1618224")</f>
        <v>-6.2393404,107.1618224</v>
      </c>
      <c r="AU1289" s="80" t="str">
        <f>IFERROR(__xludf.DUMMYFUNCTION("""COMPUTED_VALUE"""),"-6.2393404,107.1618224")</f>
        <v>-6.2393404,107.1618224</v>
      </c>
      <c r="AV1289" s="80"/>
      <c r="AW1289" s="80"/>
      <c r="AX1289" s="80"/>
      <c r="AY1289" s="80"/>
      <c r="AZ1289" s="80"/>
      <c r="BA1289" s="80"/>
      <c r="BB1289" s="80"/>
      <c r="BC1289" s="80"/>
      <c r="BD1289" s="80"/>
      <c r="BE1289" s="80"/>
      <c r="BF1289" s="80"/>
      <c r="BG1289" s="80"/>
      <c r="BH1289" s="80"/>
      <c r="BI1289" s="80"/>
      <c r="BJ1289" s="80"/>
      <c r="BK1289" s="80"/>
      <c r="BL1289" s="80"/>
      <c r="BM1289" s="80"/>
      <c r="BN1289" s="80"/>
      <c r="BO1289" s="80"/>
      <c r="BP1289" s="80"/>
      <c r="BQ1289" s="80"/>
      <c r="BR1289" s="80"/>
      <c r="BS1289" s="80"/>
      <c r="BT1289" s="80"/>
      <c r="BU1289" s="80"/>
      <c r="BV1289" s="80"/>
      <c r="BW1289" s="80"/>
      <c r="BX1289" s="80"/>
      <c r="BY1289" s="80"/>
      <c r="BZ1289" s="80"/>
      <c r="CA1289" s="80"/>
      <c r="CB1289" s="80"/>
      <c r="CC1289" s="80"/>
      <c r="CD1289" s="80"/>
      <c r="CE1289" s="80"/>
      <c r="CF1289" s="80"/>
      <c r="CG1289" s="80"/>
      <c r="CH1289" s="80"/>
      <c r="CI1289" s="80"/>
      <c r="CJ1289" s="80"/>
      <c r="CK1289" s="2"/>
    </row>
    <row r="1290" ht="12.75" customHeight="1">
      <c r="A1290" s="85">
        <f>IFERROR(__xludf.DUMMYFUNCTION("""COMPUTED_VALUE"""),1286.0)</f>
        <v>1286</v>
      </c>
      <c r="B1290" s="85"/>
      <c r="C1290" s="85"/>
      <c r="D1290" s="86">
        <f>IFERROR(__xludf.DUMMYFUNCTION("""COMPUTED_VALUE"""),46239.0)</f>
        <v>46239</v>
      </c>
      <c r="E1290" s="88"/>
      <c r="F1290" s="85"/>
      <c r="G1290" s="86">
        <f>IFERROR(__xludf.DUMMYFUNCTION("""COMPUTED_VALUE"""),46280.0)</f>
        <v>46280</v>
      </c>
      <c r="H1290" s="85"/>
      <c r="I1290" s="85"/>
      <c r="J1290" s="85"/>
      <c r="K1290" s="85"/>
      <c r="L1290" s="85">
        <f>IFERROR(__xludf.DUMMYFUNCTION("""COMPUTED_VALUE"""),41.0)</f>
        <v>41</v>
      </c>
      <c r="M1290" s="85"/>
      <c r="N1290" s="85"/>
      <c r="O1290" s="85"/>
      <c r="P1290" s="85" t="str">
        <f>IFERROR(__xludf.DUMMYFUNCTION("""COMPUTED_VALUE"""),"MUCSPA70073PSLDI")</f>
        <v>MUCSPA70073PSLDI</v>
      </c>
      <c r="Q1290" s="85" t="str">
        <f>IFERROR(__xludf.DUMMYFUNCTION("""COMPUTED_VALUE"""),"MUC SUMBER MULYA")</f>
        <v>MUC SUMBER MULYA</v>
      </c>
      <c r="R1290" s="85" t="str">
        <f>IFERROR(__xludf.DUMMYFUNCTION("""COMPUTED_VALUE"""),"MUC SUMBER MULYA")</f>
        <v>MUC SUMBER MULYA</v>
      </c>
      <c r="S1290" s="85" t="str">
        <f>IFERROR(__xludf.DUMMYFUNCTION("""COMPUTED_VALUE"""),"SLAMET MULYONO")</f>
        <v>SLAMET MULYONO</v>
      </c>
      <c r="T1290" s="85" t="str">
        <f>IFERROR(__xludf.DUMMYFUNCTION("""COMPUTED_VALUE"""),"PERUM GRAND CIKARANG CITY SAKURA BLOK D2 NO. 26")</f>
        <v>PERUM GRAND CIKARANG CITY SAKURA BLOK D2 NO. 26</v>
      </c>
      <c r="U1290" s="85" t="str">
        <f>IFERROR(__xludf.DUMMYFUNCTION("""COMPUTED_VALUE"""),"Perumahan GCC Cluster Sakura Jl. Antasena 7 Blok D2 No.26, Karangraharja Kab.Bekasi")</f>
        <v>Perumahan GCC Cluster Sakura Jl. Antasena 7 Blok D2 No.26, Karangraharja Kab.Bekasi</v>
      </c>
      <c r="V1290" s="85"/>
      <c r="W1290" s="85" t="str">
        <f>IFERROR(__xludf.DUMMYFUNCTION("""COMPUTED_VALUE"""),"Karangraharja")</f>
        <v>Karangraharja</v>
      </c>
      <c r="X1290" s="85" t="str">
        <f>IFERROR(__xludf.DUMMYFUNCTION("""COMPUTED_VALUE"""),"Cikarang Utara")</f>
        <v>Cikarang Utara</v>
      </c>
      <c r="Y1290" s="85" t="str">
        <f>IFERROR(__xludf.DUMMYFUNCTION("""COMPUTED_VALUE"""),"Kab.Bekasi")</f>
        <v>Kab.Bekasi</v>
      </c>
      <c r="Z1290" s="85" t="str">
        <f>IFERROR(__xludf.DUMMYFUNCTION("""COMPUTED_VALUE"""),"Jawa Barat")</f>
        <v>Jawa Barat</v>
      </c>
      <c r="AA1290" s="85" t="str">
        <f>IFERROR(__xludf.DUMMYFUNCTION("""COMPUTED_VALUE"""),"17534")</f>
        <v>17534</v>
      </c>
      <c r="AB1290" s="85" t="str">
        <f>IFERROR(__xludf.DUMMYFUNCTION("""COMPUTED_VALUE"""),"3310071312890002")</f>
        <v>3310071312890002</v>
      </c>
      <c r="AC1290" s="85" t="str">
        <f>IFERROR(__xludf.DUMMYFUNCTION("""COMPUTED_VALUE"""),"33.100.713.1-289.0002")</f>
        <v>33.100.713.1-289.0002</v>
      </c>
      <c r="AD1290" s="85" t="str">
        <f>IFERROR(__xludf.DUMMYFUNCTION("""COMPUTED_VALUE"""),"CUM - LDI - KOPUBGBS")</f>
        <v>CUM - LDI - KOPUBGBS</v>
      </c>
      <c r="AE1290" s="85" t="str">
        <f>IFERROR(__xludf.DUMMYFUNCTION("""COMPUTED_VALUE"""),"CUM - LDI - KOPUBGBS")</f>
        <v>CUM - LDI - KOPUBGBS</v>
      </c>
      <c r="AF1290" s="85" t="str">
        <f>IFERROR(__xludf.DUMMYFUNCTION("""COMPUTED_VALUE"""),"081284348445")</f>
        <v>081284348445</v>
      </c>
      <c r="AG1290" s="85" t="str">
        <f>IFERROR(__xludf.DUMMYFUNCTION("""COMPUTED_VALUE"""),"081284348445")</f>
        <v>081284348445</v>
      </c>
      <c r="AH1290" s="85" t="str">
        <f>IFERROR(__xludf.DUMMYFUNCTION("""COMPUTED_VALUE"""),"reporterkampung4@gmail.com")</f>
        <v>reporterkampung4@gmail.com</v>
      </c>
      <c r="AI1290" s="85" t="str">
        <f>IFERROR(__xludf.DUMMYFUNCTION("""COMPUTED_VALUE"""),"17839S3 ")</f>
        <v>17839S3 </v>
      </c>
      <c r="AJ1290" s="85" t="str">
        <f>IFERROR(__xludf.DUMMYFUNCTION("""COMPUTED_VALUE"""),"6a9e652560494e7ba70a777b ")</f>
        <v>6a9e652560494e7ba70a777b </v>
      </c>
      <c r="AK1290" s="85" t="str">
        <f>IFERROR(__xludf.DUMMYFUNCTION("""COMPUTED_VALUE"""),"reporterkampung4@gmail.com")</f>
        <v>reporterkampung4@gmail.com</v>
      </c>
      <c r="AL1290" s="85" t="str">
        <f>IFERROR(__xludf.DUMMYFUNCTION("""COMPUTED_VALUE"""),"#Muc17839S3$")</f>
        <v>#Muc17839S3$</v>
      </c>
      <c r="AM1290" s="85" t="str">
        <f>IFERROR(__xludf.DUMMYFUNCTION("""COMPUTED_VALUE"""),"KANTOR REGIONAL II JAKARTA 10004")</f>
        <v>KANTOR REGIONAL II JAKARTA 10004</v>
      </c>
      <c r="AN1290" s="85" t="str">
        <f>IFERROR(__xludf.DUMMYFUNCTION("""COMPUTED_VALUE"""),"KC CIKARANG 17500")</f>
        <v>KC CIKARANG 17500</v>
      </c>
      <c r="AO1290" s="85" t="str">
        <f>IFERROR(__xludf.DUMMYFUNCTION("""COMPUTED_VALUE"""),"0408260048788")</f>
        <v>0408260048788</v>
      </c>
      <c r="AP1290" s="85" t="str">
        <f>IFERROR(__xludf.DUMMYFUNCTION("""COMPUTED_VALUE"""),"0408260048788")</f>
        <v>0408260048788</v>
      </c>
      <c r="AQ1290" s="93" t="str">
        <f>IFERROR(__xludf.DUMMYFUNCTION("""COMPUTED_VALUE"""),"7299365462")</f>
        <v>7299365462</v>
      </c>
      <c r="AR1290" s="85" t="str">
        <f>IFERROR(__xludf.DUMMYFUNCTION("""COMPUTED_VALUE"""),"BSI")</f>
        <v>BSI</v>
      </c>
      <c r="AS1290" s="85" t="str">
        <f>IFERROR(__xludf.DUMMYFUNCTION("""COMPUTED_VALUE"""),"SLAMET MULYONO")</f>
        <v>SLAMET MULYONO</v>
      </c>
      <c r="AT1290" s="85" t="str">
        <f>IFERROR(__xludf.DUMMYFUNCTION("""COMPUTED_VALUE"""),"-6.2514775,107.1779318")</f>
        <v>-6.2514775,107.1779318</v>
      </c>
      <c r="AU1290" s="85" t="str">
        <f>IFERROR(__xludf.DUMMYFUNCTION("""COMPUTED_VALUE"""),"-6.2514775,107.1779318")</f>
        <v>-6.2514775,107.1779318</v>
      </c>
      <c r="AV1290" s="85"/>
      <c r="AW1290" s="85"/>
      <c r="AX1290" s="85"/>
      <c r="AY1290" s="85"/>
      <c r="AZ1290" s="85"/>
      <c r="BA1290" s="85"/>
      <c r="BB1290" s="85"/>
      <c r="BC1290" s="85"/>
      <c r="BD1290" s="85"/>
      <c r="BE1290" s="85"/>
      <c r="BF1290" s="85"/>
      <c r="BG1290" s="85"/>
      <c r="BH1290" s="85"/>
      <c r="BI1290" s="85"/>
      <c r="BJ1290" s="85"/>
      <c r="BK1290" s="85"/>
      <c r="BL1290" s="85"/>
      <c r="BM1290" s="85"/>
      <c r="BN1290" s="85"/>
      <c r="BO1290" s="85"/>
      <c r="BP1290" s="85"/>
      <c r="BQ1290" s="85"/>
      <c r="BR1290" s="85"/>
      <c r="BS1290" s="85"/>
      <c r="BT1290" s="85"/>
      <c r="BU1290" s="85"/>
      <c r="BV1290" s="85"/>
      <c r="BW1290" s="85"/>
      <c r="BX1290" s="85"/>
      <c r="BY1290" s="85"/>
      <c r="BZ1290" s="85"/>
      <c r="CA1290" s="85"/>
      <c r="CB1290" s="85"/>
      <c r="CC1290" s="85"/>
      <c r="CD1290" s="85"/>
      <c r="CE1290" s="85"/>
      <c r="CF1290" s="85"/>
      <c r="CG1290" s="85"/>
      <c r="CH1290" s="85"/>
      <c r="CI1290" s="85"/>
      <c r="CJ1290" s="85"/>
      <c r="CK1290" s="2"/>
    </row>
    <row r="1291" ht="12.75" customHeight="1">
      <c r="A1291" s="80">
        <f>IFERROR(__xludf.DUMMYFUNCTION("""COMPUTED_VALUE"""),1287.0)</f>
        <v>1287</v>
      </c>
      <c r="B1291" s="80"/>
      <c r="C1291" s="80"/>
      <c r="D1291" s="81">
        <f>IFERROR(__xludf.DUMMYFUNCTION("""COMPUTED_VALUE"""),46239.0)</f>
        <v>46239</v>
      </c>
      <c r="E1291" s="82"/>
      <c r="F1291" s="80"/>
      <c r="G1291" s="81"/>
      <c r="H1291" s="80"/>
      <c r="I1291" s="80"/>
      <c r="J1291" s="80"/>
      <c r="K1291" s="80"/>
      <c r="L1291" s="80"/>
      <c r="M1291" s="80"/>
      <c r="N1291" s="80"/>
      <c r="O1291" s="80"/>
      <c r="P1291" s="80" t="str">
        <f>IFERROR(__xludf.DUMMYFUNCTION("""COMPUTED_VALUE"""),"MUCSPA70074PSLDI")</f>
        <v>MUCSPA70074PSLDI</v>
      </c>
      <c r="Q1291" s="80" t="str">
        <f>IFERROR(__xludf.DUMMYFUNCTION("""COMPUTED_VALUE"""),"MUC Perintis Usaha Makmur")</f>
        <v>MUC Perintis Usaha Makmur</v>
      </c>
      <c r="R1291" s="80" t="str">
        <f>IFERROR(__xludf.DUMMYFUNCTION("""COMPUTED_VALUE"""),"MUC Perintis Usaha Makmur")</f>
        <v>MUC Perintis Usaha Makmur</v>
      </c>
      <c r="S1291" s="80" t="str">
        <f>IFERROR(__xludf.DUMMYFUNCTION("""COMPUTED_VALUE"""),"DWI ARI SAPUTRA")</f>
        <v>DWI ARI SAPUTRA</v>
      </c>
      <c r="T1291" s="80" t="str">
        <f>IFERROR(__xludf.DUMMYFUNCTION("""COMPUTED_VALUE"""),"KP. CIJENGKOL RT 01 RW 03, MEKARJAYA, CIHAMPELAS, KAB.BANDUNG BARAT")</f>
        <v>KP. CIJENGKOL RT 01 RW 03, MEKARJAYA, CIHAMPELAS, KAB.BANDUNG BARAT</v>
      </c>
      <c r="U1291" s="80" t="str">
        <f>IFERROR(__xludf.DUMMYFUNCTION("""COMPUTED_VALUE"""),"JL. RAYA PEMBANGUNAN KP. CIJENGKOL RT 01 RW 03 NO.47")</f>
        <v>JL. RAYA PEMBANGUNAN KP. CIJENGKOL RT 01 RW 03 NO.47</v>
      </c>
      <c r="V1291" s="80" t="str">
        <f>IFERROR(__xludf.DUMMYFUNCTION("""COMPUTED_VALUE"""),"RT 01  \ RW 03,")</f>
        <v>RT 01  \ RW 03,</v>
      </c>
      <c r="W1291" s="80" t="str">
        <f>IFERROR(__xludf.DUMMYFUNCTION("""COMPUTED_VALUE"""),"MEKARJAYA")</f>
        <v>MEKARJAYA</v>
      </c>
      <c r="X1291" s="80" t="str">
        <f>IFERROR(__xludf.DUMMYFUNCTION("""COMPUTED_VALUE"""),"CIHAMPELAS")</f>
        <v>CIHAMPELAS</v>
      </c>
      <c r="Y1291" s="80" t="str">
        <f>IFERROR(__xludf.DUMMYFUNCTION("""COMPUTED_VALUE"""),"KAB.BANDUNG BARAT")</f>
        <v>KAB.BANDUNG BARAT</v>
      </c>
      <c r="Z1291" s="80" t="str">
        <f>IFERROR(__xludf.DUMMYFUNCTION("""COMPUTED_VALUE"""),"JAWA BARAT")</f>
        <v>JAWA BARAT</v>
      </c>
      <c r="AA1291" s="80" t="str">
        <f>IFERROR(__xludf.DUMMYFUNCTION("""COMPUTED_VALUE"""),"40562")</f>
        <v>40562</v>
      </c>
      <c r="AB1291" s="80" t="str">
        <f>IFERROR(__xludf.DUMMYFUNCTION("""COMPUTED_VALUE"""),"3273030111810001")</f>
        <v>3273030111810001</v>
      </c>
      <c r="AC1291" s="80" t="str">
        <f>IFERROR(__xludf.DUMMYFUNCTION("""COMPUTED_VALUE"""),"55.684.806.7-422.000")</f>
        <v>55.684.806.7-422.000</v>
      </c>
      <c r="AD1291" s="80" t="str">
        <f>IFERROR(__xludf.DUMMYFUNCTION("""COMPUTED_VALUE"""),"CUM - LDI - KOPUBGBS")</f>
        <v>CUM - LDI - KOPUBGBS</v>
      </c>
      <c r="AE1291" s="80" t="str">
        <f>IFERROR(__xludf.DUMMYFUNCTION("""COMPUTED_VALUE"""),"CUM - LDI - KOPUBGBS")</f>
        <v>CUM - LDI - KOPUBGBS</v>
      </c>
      <c r="AF1291" s="80" t="str">
        <f>IFERROR(__xludf.DUMMYFUNCTION("""COMPUTED_VALUE"""),"081221889588")</f>
        <v>081221889588</v>
      </c>
      <c r="AG1291" s="80" t="str">
        <f>IFERROR(__xludf.DUMMYFUNCTION("""COMPUTED_VALUE"""),"081221889588")</f>
        <v>081221889588</v>
      </c>
      <c r="AH1291" s="80" t="str">
        <f>IFERROR(__xludf.DUMMYFUNCTION("""COMPUTED_VALUE"""),"Cahyabatin08@gmail.com")</f>
        <v>Cahyabatin08@gmail.com</v>
      </c>
      <c r="AI1291" s="80"/>
      <c r="AJ1291" s="80"/>
      <c r="AK1291" s="80"/>
      <c r="AL1291" s="80"/>
      <c r="AM1291" s="80" t="str">
        <f>IFERROR(__xludf.DUMMYFUNCTION("""COMPUTED_VALUE"""),"KANTOR REGIONAL III BANDUNG 40004")</f>
        <v>KANTOR REGIONAL III BANDUNG 40004</v>
      </c>
      <c r="AN1291" s="80" t="str">
        <f>IFERROR(__xludf.DUMMYFUNCTION("""COMPUTED_VALUE"""),"KC CIMAHI 40500")</f>
        <v>KC CIMAHI 40500</v>
      </c>
      <c r="AO1291" s="80" t="str">
        <f>IFERROR(__xludf.DUMMYFUNCTION("""COMPUTED_VALUE"""),"1304220061905")</f>
        <v>1304220061905</v>
      </c>
      <c r="AP1291" s="80" t="str">
        <f>IFERROR(__xludf.DUMMYFUNCTION("""COMPUTED_VALUE"""),"1304220061905")</f>
        <v>1304220061905</v>
      </c>
      <c r="AQ1291" s="83" t="str">
        <f>IFERROR(__xludf.DUMMYFUNCTION("""COMPUTED_VALUE"""),"1390135382")</f>
        <v>1390135382</v>
      </c>
      <c r="AR1291" s="80" t="str">
        <f>IFERROR(__xludf.DUMMYFUNCTION("""COMPUTED_VALUE"""),"BCA")</f>
        <v>BCA</v>
      </c>
      <c r="AS1291" s="80" t="str">
        <f>IFERROR(__xludf.DUMMYFUNCTION("""COMPUTED_VALUE"""),"DWI ARISAPUTRA")</f>
        <v>DWI ARISAPUTRA</v>
      </c>
      <c r="AT1291" s="80" t="str">
        <f>IFERROR(__xludf.DUMMYFUNCTION("""COMPUTED_VALUE"""),"-6.9067059,107.4346504")</f>
        <v>-6.9067059,107.4346504</v>
      </c>
      <c r="AU1291" s="80" t="str">
        <f>IFERROR(__xludf.DUMMYFUNCTION("""COMPUTED_VALUE"""),"-6.9067059,107.4346504")</f>
        <v>-6.9067059,107.4346504</v>
      </c>
      <c r="AV1291" s="80"/>
      <c r="AW1291" s="80"/>
      <c r="AX1291" s="80"/>
      <c r="AY1291" s="80"/>
      <c r="AZ1291" s="80"/>
      <c r="BA1291" s="80"/>
      <c r="BB1291" s="80"/>
      <c r="BC1291" s="80"/>
      <c r="BD1291" s="80"/>
      <c r="BE1291" s="80"/>
      <c r="BF1291" s="80"/>
      <c r="BG1291" s="80"/>
      <c r="BH1291" s="80"/>
      <c r="BI1291" s="80"/>
      <c r="BJ1291" s="80"/>
      <c r="BK1291" s="80"/>
      <c r="BL1291" s="80"/>
      <c r="BM1291" s="80"/>
      <c r="BN1291" s="80"/>
      <c r="BO1291" s="80"/>
      <c r="BP1291" s="80"/>
      <c r="BQ1291" s="80"/>
      <c r="BR1291" s="80"/>
      <c r="BS1291" s="80"/>
      <c r="BT1291" s="80"/>
      <c r="BU1291" s="80"/>
      <c r="BV1291" s="80"/>
      <c r="BW1291" s="80"/>
      <c r="BX1291" s="80"/>
      <c r="BY1291" s="80"/>
      <c r="BZ1291" s="80"/>
      <c r="CA1291" s="80"/>
      <c r="CB1291" s="80"/>
      <c r="CC1291" s="80"/>
      <c r="CD1291" s="80"/>
      <c r="CE1291" s="80"/>
      <c r="CF1291" s="80"/>
      <c r="CG1291" s="80"/>
      <c r="CH1291" s="80"/>
      <c r="CI1291" s="80"/>
      <c r="CJ1291" s="80"/>
      <c r="CK1291" s="2"/>
    </row>
    <row r="1292" ht="12.75" customHeight="1">
      <c r="A1292" s="85">
        <f>IFERROR(__xludf.DUMMYFUNCTION("""COMPUTED_VALUE"""),1288.0)</f>
        <v>1288</v>
      </c>
      <c r="B1292" s="85"/>
      <c r="C1292" s="85"/>
      <c r="D1292" s="86">
        <f>IFERROR(__xludf.DUMMYFUNCTION("""COMPUTED_VALUE"""),46239.0)</f>
        <v>46239</v>
      </c>
      <c r="E1292" s="88"/>
      <c r="F1292" s="85"/>
      <c r="G1292" s="86">
        <f>IFERROR(__xludf.DUMMYFUNCTION("""COMPUTED_VALUE"""),46280.0)</f>
        <v>46280</v>
      </c>
      <c r="H1292" s="85"/>
      <c r="I1292" s="85"/>
      <c r="J1292" s="85"/>
      <c r="K1292" s="85"/>
      <c r="L1292" s="85">
        <f>IFERROR(__xludf.DUMMYFUNCTION("""COMPUTED_VALUE"""),41.0)</f>
        <v>41</v>
      </c>
      <c r="M1292" s="85"/>
      <c r="N1292" s="85"/>
      <c r="O1292" s="85"/>
      <c r="P1292" s="85" t="str">
        <f>IFERROR(__xludf.DUMMYFUNCTION("""COMPUTED_VALUE"""),"MUCSPA70075PSLDI")</f>
        <v>MUCSPA70075PSLDI</v>
      </c>
      <c r="Q1292" s="85" t="str">
        <f>IFERROR(__xludf.DUMMYFUNCTION("""COMPUTED_VALUE"""),"MUC GARASI")</f>
        <v>MUC GARASI</v>
      </c>
      <c r="R1292" s="85" t="str">
        <f>IFERROR(__xludf.DUMMYFUNCTION("""COMPUTED_VALUE"""),"MUC GARASI")</f>
        <v>MUC GARASI</v>
      </c>
      <c r="S1292" s="85" t="str">
        <f>IFERROR(__xludf.DUMMYFUNCTION("""COMPUTED_VALUE"""),"ANIS WAGIYO")</f>
        <v>ANIS WAGIYO</v>
      </c>
      <c r="T1292" s="85" t="str">
        <f>IFERROR(__xludf.DUMMYFUNCTION("""COMPUTED_VALUE"""),"JL. AMIR MAHMUD GG. KARYA BAKTI VI NO.1, CIGUGUR TENGAH CIMAHI TENGAH, CIMAHI")</f>
        <v>JL. AMIR MAHMUD GG. KARYA BAKTI VI NO.1, CIGUGUR TENGAH CIMAHI TENGAH, CIMAHI</v>
      </c>
      <c r="U1292" s="85" t="str">
        <f>IFERROR(__xludf.DUMMYFUNCTION("""COMPUTED_VALUE"""),"Jl Rd. Embang Artawijaya No.2 Karangmekar Cimahi Tengah")</f>
        <v>Jl Rd. Embang Artawijaya No.2 Karangmekar Cimahi Tengah</v>
      </c>
      <c r="V1292" s="85"/>
      <c r="W1292" s="85" t="str">
        <f>IFERROR(__xludf.DUMMYFUNCTION("""COMPUTED_VALUE"""),"Karangmekar")</f>
        <v>Karangmekar</v>
      </c>
      <c r="X1292" s="85" t="str">
        <f>IFERROR(__xludf.DUMMYFUNCTION("""COMPUTED_VALUE"""),"Cimahi Tengah")</f>
        <v>Cimahi Tengah</v>
      </c>
      <c r="Y1292" s="85" t="str">
        <f>IFERROR(__xludf.DUMMYFUNCTION("""COMPUTED_VALUE"""),"Kota Cimahi")</f>
        <v>Kota Cimahi</v>
      </c>
      <c r="Z1292" s="85" t="str">
        <f>IFERROR(__xludf.DUMMYFUNCTION("""COMPUTED_VALUE"""),"Jawa Barat")</f>
        <v>Jawa Barat</v>
      </c>
      <c r="AA1292" s="85" t="str">
        <f>IFERROR(__xludf.DUMMYFUNCTION("""COMPUTED_VALUE"""),"40523")</f>
        <v>40523</v>
      </c>
      <c r="AB1292" s="85" t="str">
        <f>IFERROR(__xludf.DUMMYFUNCTION("""COMPUTED_VALUE"""),"3277032106700014")</f>
        <v>3277032106700014</v>
      </c>
      <c r="AC1292" s="85" t="str">
        <f>IFERROR(__xludf.DUMMYFUNCTION("""COMPUTED_VALUE"""),"25.524.730.6-421.000")</f>
        <v>25.524.730.6-421.000</v>
      </c>
      <c r="AD1292" s="85" t="str">
        <f>IFERROR(__xludf.DUMMYFUNCTION("""COMPUTED_VALUE"""),"CUM - LDI - KOPUBGBS")</f>
        <v>CUM - LDI - KOPUBGBS</v>
      </c>
      <c r="AE1292" s="85" t="str">
        <f>IFERROR(__xludf.DUMMYFUNCTION("""COMPUTED_VALUE"""),"CUM - LDI - KOPUBGBS")</f>
        <v>CUM - LDI - KOPUBGBS</v>
      </c>
      <c r="AF1292" s="85" t="str">
        <f>IFERROR(__xludf.DUMMYFUNCTION("""COMPUTED_VALUE"""),"085720253111")</f>
        <v>085720253111</v>
      </c>
      <c r="AG1292" s="85" t="str">
        <f>IFERROR(__xludf.DUMMYFUNCTION("""COMPUTED_VALUE"""),"085720253111")</f>
        <v>085720253111</v>
      </c>
      <c r="AH1292" s="85" t="str">
        <f>IFERROR(__xludf.DUMMYFUNCTION("""COMPUTED_VALUE"""),"anisrefleksi@gmail.com")</f>
        <v>anisrefleksi@gmail.com</v>
      </c>
      <c r="AI1292" s="85" t="str">
        <f>IFERROR(__xludf.DUMMYFUNCTION("""COMPUTED_VALUE"""),"40523S5 ")</f>
        <v>40523S5 </v>
      </c>
      <c r="AJ1292" s="85" t="str">
        <f>IFERROR(__xludf.DUMMYFUNCTION("""COMPUTED_VALUE"""),"6a9e375d484fd439380f4c0e ")</f>
        <v>6a9e375d484fd439380f4c0e </v>
      </c>
      <c r="AK1292" s="85" t="str">
        <f>IFERROR(__xludf.DUMMYFUNCTION("""COMPUTED_VALUE"""),"anisrefleksi@gmail.com")</f>
        <v>anisrefleksi@gmail.com</v>
      </c>
      <c r="AL1292" s="85" t="str">
        <f>IFERROR(__xludf.DUMMYFUNCTION("""COMPUTED_VALUE"""),"#Muc40523S5$")</f>
        <v>#Muc40523S5$</v>
      </c>
      <c r="AM1292" s="85" t="str">
        <f>IFERROR(__xludf.DUMMYFUNCTION("""COMPUTED_VALUE"""),"KANTOR REGIONAL III BANDUNG 40004")</f>
        <v>KANTOR REGIONAL III BANDUNG 40004</v>
      </c>
      <c r="AN1292" s="85" t="str">
        <f>IFERROR(__xludf.DUMMYFUNCTION("""COMPUTED_VALUE"""),"KC CIMAHI 40500")</f>
        <v>KC CIMAHI 40500</v>
      </c>
      <c r="AO1292" s="85" t="str">
        <f>IFERROR(__xludf.DUMMYFUNCTION("""COMPUTED_VALUE"""),"0308260051035")</f>
        <v>0308260051035</v>
      </c>
      <c r="AP1292" s="85" t="str">
        <f>IFERROR(__xludf.DUMMYFUNCTION("""COMPUTED_VALUE"""),"0308260051035")</f>
        <v>0308260051035</v>
      </c>
      <c r="AQ1292" s="93" t="str">
        <f>IFERROR(__xludf.DUMMYFUNCTION("""COMPUTED_VALUE"""),"1390063829")</f>
        <v>1390063829</v>
      </c>
      <c r="AR1292" s="85" t="str">
        <f>IFERROR(__xludf.DUMMYFUNCTION("""COMPUTED_VALUE"""),"BCA")</f>
        <v>BCA</v>
      </c>
      <c r="AS1292" s="85" t="str">
        <f>IFERROR(__xludf.DUMMYFUNCTION("""COMPUTED_VALUE"""),"ANIS WAGIYO")</f>
        <v>ANIS WAGIYO</v>
      </c>
      <c r="AT1292" s="85" t="str">
        <f>IFERROR(__xludf.DUMMYFUNCTION("""COMPUTED_VALUE"""),"-6.8775749,107.5433848")</f>
        <v>-6.8775749,107.5433848</v>
      </c>
      <c r="AU1292" s="85" t="str">
        <f>IFERROR(__xludf.DUMMYFUNCTION("""COMPUTED_VALUE"""),"-6.8775749,107.5433848")</f>
        <v>-6.8775749,107.5433848</v>
      </c>
      <c r="AV1292" s="85"/>
      <c r="AW1292" s="85"/>
      <c r="AX1292" s="85"/>
      <c r="AY1292" s="85"/>
      <c r="AZ1292" s="85"/>
      <c r="BA1292" s="85"/>
      <c r="BB1292" s="85"/>
      <c r="BC1292" s="85"/>
      <c r="BD1292" s="85"/>
      <c r="BE1292" s="85"/>
      <c r="BF1292" s="85"/>
      <c r="BG1292" s="85"/>
      <c r="BH1292" s="85"/>
      <c r="BI1292" s="85"/>
      <c r="BJ1292" s="85"/>
      <c r="BK1292" s="85"/>
      <c r="BL1292" s="85"/>
      <c r="BM1292" s="85"/>
      <c r="BN1292" s="85"/>
      <c r="BO1292" s="85"/>
      <c r="BP1292" s="85"/>
      <c r="BQ1292" s="85"/>
      <c r="BR1292" s="85"/>
      <c r="BS1292" s="85"/>
      <c r="BT1292" s="85"/>
      <c r="BU1292" s="85"/>
      <c r="BV1292" s="85"/>
      <c r="BW1292" s="85"/>
      <c r="BX1292" s="85"/>
      <c r="BY1292" s="85"/>
      <c r="BZ1292" s="85"/>
      <c r="CA1292" s="85"/>
      <c r="CB1292" s="85"/>
      <c r="CC1292" s="85"/>
      <c r="CD1292" s="85"/>
      <c r="CE1292" s="85"/>
      <c r="CF1292" s="85"/>
      <c r="CG1292" s="85"/>
      <c r="CH1292" s="85"/>
      <c r="CI1292" s="85"/>
      <c r="CJ1292" s="85"/>
      <c r="CK1292" s="2"/>
    </row>
    <row r="1293" ht="12.75" customHeight="1">
      <c r="A1293" s="80">
        <f>IFERROR(__xludf.DUMMYFUNCTION("""COMPUTED_VALUE"""),1289.0)</f>
        <v>1289</v>
      </c>
      <c r="B1293" s="80"/>
      <c r="C1293" s="80"/>
      <c r="D1293" s="81">
        <f>IFERROR(__xludf.DUMMYFUNCTION("""COMPUTED_VALUE"""),46239.0)</f>
        <v>46239</v>
      </c>
      <c r="E1293" s="82"/>
      <c r="F1293" s="80"/>
      <c r="G1293" s="81"/>
      <c r="H1293" s="80"/>
      <c r="I1293" s="80"/>
      <c r="J1293" s="80"/>
      <c r="K1293" s="80"/>
      <c r="L1293" s="80"/>
      <c r="M1293" s="80"/>
      <c r="N1293" s="80"/>
      <c r="O1293" s="80"/>
      <c r="P1293" s="80" t="str">
        <f>IFERROR(__xludf.DUMMYFUNCTION("""COMPUTED_VALUE"""),"MUCSPA70076PSLDI")</f>
        <v>MUCSPA70076PSLDI</v>
      </c>
      <c r="Q1293" s="80" t="str">
        <f>IFERROR(__xludf.DUMMYFUNCTION("""COMPUTED_VALUE"""),"MUC IBENK PLASTIK")</f>
        <v>MUC IBENK PLASTIK</v>
      </c>
      <c r="R1293" s="80" t="str">
        <f>IFERROR(__xludf.DUMMYFUNCTION("""COMPUTED_VALUE"""),"MUC IBENK PLASTIK")</f>
        <v>MUC IBENK PLASTIK</v>
      </c>
      <c r="S1293" s="80" t="str">
        <f>IFERROR(__xludf.DUMMYFUNCTION("""COMPUTED_VALUE"""),"DWI HARTONO")</f>
        <v>DWI HARTONO</v>
      </c>
      <c r="T1293" s="80" t="str">
        <f>IFERROR(__xludf.DUMMYFUNCTION("""COMPUTED_VALUE"""),"Jl. Sadarmanah No. 97 Kelurahan Leuwigajah-Cimahi Selatan")</f>
        <v>Jl. Sadarmanah No. 97 Kelurahan Leuwigajah-Cimahi Selatan</v>
      </c>
      <c r="U1293" s="80" t="str">
        <f>IFERROR(__xludf.DUMMYFUNCTION("""COMPUTED_VALUE"""),"Jl. Sadarmanah No. 97 Kelurahan Leuwigajah-Cimahi Selatan")</f>
        <v>Jl. Sadarmanah No. 97 Kelurahan Leuwigajah-Cimahi Selatan</v>
      </c>
      <c r="V1293" s="80"/>
      <c r="W1293" s="80" t="str">
        <f>IFERROR(__xludf.DUMMYFUNCTION("""COMPUTED_VALUE"""),"Leuwigajah")</f>
        <v>Leuwigajah</v>
      </c>
      <c r="X1293" s="80" t="str">
        <f>IFERROR(__xludf.DUMMYFUNCTION("""COMPUTED_VALUE"""),"Cimahi Selatan")</f>
        <v>Cimahi Selatan</v>
      </c>
      <c r="Y1293" s="80" t="str">
        <f>IFERROR(__xludf.DUMMYFUNCTION("""COMPUTED_VALUE"""),"Kota Cimahi")</f>
        <v>Kota Cimahi</v>
      </c>
      <c r="Z1293" s="80" t="str">
        <f>IFERROR(__xludf.DUMMYFUNCTION("""COMPUTED_VALUE"""),"Jawa Barat")</f>
        <v>Jawa Barat</v>
      </c>
      <c r="AA1293" s="80" t="str">
        <f>IFERROR(__xludf.DUMMYFUNCTION("""COMPUTED_VALUE"""),"40532")</f>
        <v>40532</v>
      </c>
      <c r="AB1293" s="80" t="str">
        <f>IFERROR(__xludf.DUMMYFUNCTION("""COMPUTED_VALUE"""),"3277012703690007")</f>
        <v>3277012703690007</v>
      </c>
      <c r="AC1293" s="80" t="str">
        <f>IFERROR(__xludf.DUMMYFUNCTION("""COMPUTED_VALUE"""),"24.664.603.8-421.000")</f>
        <v>24.664.603.8-421.000</v>
      </c>
      <c r="AD1293" s="80" t="str">
        <f>IFERROR(__xludf.DUMMYFUNCTION("""COMPUTED_VALUE"""),"CUM - LDI - KOPUBGBS")</f>
        <v>CUM - LDI - KOPUBGBS</v>
      </c>
      <c r="AE1293" s="80" t="str">
        <f>IFERROR(__xludf.DUMMYFUNCTION("""COMPUTED_VALUE"""),"CUM - LDI - KOPUBGBS")</f>
        <v>CUM - LDI - KOPUBGBS</v>
      </c>
      <c r="AF1293" s="80" t="str">
        <f>IFERROR(__xludf.DUMMYFUNCTION("""COMPUTED_VALUE"""),"081321574264")</f>
        <v>081321574264</v>
      </c>
      <c r="AG1293" s="80" t="str">
        <f>IFERROR(__xludf.DUMMYFUNCTION("""COMPUTED_VALUE"""),"081321574264")</f>
        <v>081321574264</v>
      </c>
      <c r="AH1293" s="80" t="str">
        <f>IFERROR(__xludf.DUMMYFUNCTION("""COMPUTED_VALUE"""),"wirad_69@yahoo.co.id")</f>
        <v>wirad_69@yahoo.co.id</v>
      </c>
      <c r="AI1293" s="80"/>
      <c r="AJ1293" s="80"/>
      <c r="AK1293" s="80"/>
      <c r="AL1293" s="80"/>
      <c r="AM1293" s="80" t="str">
        <f>IFERROR(__xludf.DUMMYFUNCTION("""COMPUTED_VALUE"""),"KANTOR REGIONAL III BANDUNG 40004")</f>
        <v>KANTOR REGIONAL III BANDUNG 40004</v>
      </c>
      <c r="AN1293" s="80" t="str">
        <f>IFERROR(__xludf.DUMMYFUNCTION("""COMPUTED_VALUE"""),"KC CIMAHI 40500")</f>
        <v>KC CIMAHI 40500</v>
      </c>
      <c r="AO1293" s="80" t="str">
        <f>IFERROR(__xludf.DUMMYFUNCTION("""COMPUTED_VALUE"""),"0408260015508")</f>
        <v>0408260015508</v>
      </c>
      <c r="AP1293" s="80" t="str">
        <f>IFERROR(__xludf.DUMMYFUNCTION("""COMPUTED_VALUE"""),"0408260015508")</f>
        <v>0408260015508</v>
      </c>
      <c r="AQ1293" s="83" t="str">
        <f>IFERROR(__xludf.DUMMYFUNCTION("""COMPUTED_VALUE"""),"1300015312245")</f>
        <v>1300015312245</v>
      </c>
      <c r="AR1293" s="80" t="str">
        <f>IFERROR(__xludf.DUMMYFUNCTION("""COMPUTED_VALUE"""),"Mandiri")</f>
        <v>Mandiri</v>
      </c>
      <c r="AS1293" s="80" t="str">
        <f>IFERROR(__xludf.DUMMYFUNCTION("""COMPUTED_VALUE"""),"DWI HARTONO")</f>
        <v>DWI HARTONO</v>
      </c>
      <c r="AT1293" s="80" t="str">
        <f>IFERROR(__xludf.DUMMYFUNCTION("""COMPUTED_VALUE"""),"-6.899951,107.5288403")</f>
        <v>-6.899951,107.5288403</v>
      </c>
      <c r="AU1293" s="80" t="str">
        <f>IFERROR(__xludf.DUMMYFUNCTION("""COMPUTED_VALUE"""),"-6.899951,107.5288403")</f>
        <v>-6.899951,107.5288403</v>
      </c>
      <c r="AV1293" s="80"/>
      <c r="AW1293" s="80"/>
      <c r="AX1293" s="80"/>
      <c r="AY1293" s="80"/>
      <c r="AZ1293" s="80"/>
      <c r="BA1293" s="80"/>
      <c r="BB1293" s="80"/>
      <c r="BC1293" s="80"/>
      <c r="BD1293" s="80"/>
      <c r="BE1293" s="80"/>
      <c r="BF1293" s="80"/>
      <c r="BG1293" s="80"/>
      <c r="BH1293" s="80"/>
      <c r="BI1293" s="80"/>
      <c r="BJ1293" s="80"/>
      <c r="BK1293" s="80"/>
      <c r="BL1293" s="80"/>
      <c r="BM1293" s="80"/>
      <c r="BN1293" s="80"/>
      <c r="BO1293" s="80"/>
      <c r="BP1293" s="80"/>
      <c r="BQ1293" s="80"/>
      <c r="BR1293" s="80"/>
      <c r="BS1293" s="80"/>
      <c r="BT1293" s="80"/>
      <c r="BU1293" s="80"/>
      <c r="BV1293" s="80"/>
      <c r="BW1293" s="80"/>
      <c r="BX1293" s="80"/>
      <c r="BY1293" s="80"/>
      <c r="BZ1293" s="80"/>
      <c r="CA1293" s="80"/>
      <c r="CB1293" s="80"/>
      <c r="CC1293" s="80"/>
      <c r="CD1293" s="80"/>
      <c r="CE1293" s="80"/>
      <c r="CF1293" s="80"/>
      <c r="CG1293" s="80"/>
      <c r="CH1293" s="80"/>
      <c r="CI1293" s="80"/>
      <c r="CJ1293" s="80"/>
      <c r="CK1293" s="2"/>
    </row>
    <row r="1294" ht="12.75" customHeight="1">
      <c r="A1294" s="85">
        <f>IFERROR(__xludf.DUMMYFUNCTION("""COMPUTED_VALUE"""),1290.0)</f>
        <v>1290</v>
      </c>
      <c r="B1294" s="85"/>
      <c r="C1294" s="85"/>
      <c r="D1294" s="86">
        <f>IFERROR(__xludf.DUMMYFUNCTION("""COMPUTED_VALUE"""),46239.0)</f>
        <v>46239</v>
      </c>
      <c r="E1294" s="88"/>
      <c r="F1294" s="85"/>
      <c r="G1294" s="86">
        <f>IFERROR(__xludf.DUMMYFUNCTION("""COMPUTED_VALUE"""),46280.0)</f>
        <v>46280</v>
      </c>
      <c r="H1294" s="85"/>
      <c r="I1294" s="85"/>
      <c r="J1294" s="85"/>
      <c r="K1294" s="85"/>
      <c r="L1294" s="85">
        <f>IFERROR(__xludf.DUMMYFUNCTION("""COMPUTED_VALUE"""),41.0)</f>
        <v>41</v>
      </c>
      <c r="M1294" s="85"/>
      <c r="N1294" s="85"/>
      <c r="O1294" s="85"/>
      <c r="P1294" s="85" t="str">
        <f>IFERROR(__xludf.DUMMYFUNCTION("""COMPUTED_VALUE"""),"MUCSPA70077PSLDI")</f>
        <v>MUCSPA70077PSLDI</v>
      </c>
      <c r="Q1294" s="85" t="str">
        <f>IFERROR(__xludf.DUMMYFUNCTION("""COMPUTED_VALUE"""),"MUC LANTABUR")</f>
        <v>MUC LANTABUR</v>
      </c>
      <c r="R1294" s="85" t="str">
        <f>IFERROR(__xludf.DUMMYFUNCTION("""COMPUTED_VALUE"""),"MUC LANTABUR")</f>
        <v>MUC LANTABUR</v>
      </c>
      <c r="S1294" s="85" t="str">
        <f>IFERROR(__xludf.DUMMYFUNCTION("""COMPUTED_VALUE"""),"SUPARNO")</f>
        <v>SUPARNO</v>
      </c>
      <c r="T1294" s="85" t="str">
        <f>IFERROR(__xludf.DUMMYFUNCTION("""COMPUTED_VALUE"""),"Jl. Cibogo No.43, RT.03/RW.19, Leuwigajah, Kec. Cimahi Sel., Kota Cimahi")</f>
        <v>Jl. Cibogo No.43, RT.03/RW.19, Leuwigajah, Kec. Cimahi Sel., Kota Cimahi</v>
      </c>
      <c r="U1294" s="85" t="str">
        <f>IFERROR(__xludf.DUMMYFUNCTION("""COMPUTED_VALUE"""),"Jl. Cibogo No.43, RT.03/RW.19, Leuwigajah, Kec. Cimahi Sel., Kota Cimahi")</f>
        <v>Jl. Cibogo No.43, RT.03/RW.19, Leuwigajah, Kec. Cimahi Sel., Kota Cimahi</v>
      </c>
      <c r="V1294" s="85" t="str">
        <f>IFERROR(__xludf.DUMMYFUNCTION("""COMPUTED_VALUE"""),"RT.03/ \ RW.19,")</f>
        <v>RT.03/ \ RW.19,</v>
      </c>
      <c r="W1294" s="85" t="str">
        <f>IFERROR(__xludf.DUMMYFUNCTION("""COMPUTED_VALUE"""),"Leuwigajah")</f>
        <v>Leuwigajah</v>
      </c>
      <c r="X1294" s="85" t="str">
        <f>IFERROR(__xludf.DUMMYFUNCTION("""COMPUTED_VALUE"""),"Cimahi Selatan")</f>
        <v>Cimahi Selatan</v>
      </c>
      <c r="Y1294" s="85" t="str">
        <f>IFERROR(__xludf.DUMMYFUNCTION("""COMPUTED_VALUE"""),"Cimahi")</f>
        <v>Cimahi</v>
      </c>
      <c r="Z1294" s="85" t="str">
        <f>IFERROR(__xludf.DUMMYFUNCTION("""COMPUTED_VALUE"""),"Jawa Barat")</f>
        <v>Jawa Barat</v>
      </c>
      <c r="AA1294" s="85" t="str">
        <f>IFERROR(__xludf.DUMMYFUNCTION("""COMPUTED_VALUE"""),"40532")</f>
        <v>40532</v>
      </c>
      <c r="AB1294" s="85" t="str">
        <f>IFERROR(__xludf.DUMMYFUNCTION("""COMPUTED_VALUE"""),"3277011207620012")</f>
        <v>3277011207620012</v>
      </c>
      <c r="AC1294" s="85" t="str">
        <f>IFERROR(__xludf.DUMMYFUNCTION("""COMPUTED_VALUE"""),"78.114.286.4-421.000")</f>
        <v>78.114.286.4-421.000</v>
      </c>
      <c r="AD1294" s="85" t="str">
        <f>IFERROR(__xludf.DUMMYFUNCTION("""COMPUTED_VALUE"""),"CUM - LDI - KOPUBGBS")</f>
        <v>CUM - LDI - KOPUBGBS</v>
      </c>
      <c r="AE1294" s="85" t="str">
        <f>IFERROR(__xludf.DUMMYFUNCTION("""COMPUTED_VALUE"""),"CUM - LDI - KOPUBGBS")</f>
        <v>CUM - LDI - KOPUBGBS</v>
      </c>
      <c r="AF1294" s="85" t="str">
        <f>IFERROR(__xludf.DUMMYFUNCTION("""COMPUTED_VALUE"""),"08122017606")</f>
        <v>08122017606</v>
      </c>
      <c r="AG1294" s="85" t="str">
        <f>IFERROR(__xludf.DUMMYFUNCTION("""COMPUTED_VALUE"""),"08122017606")</f>
        <v>08122017606</v>
      </c>
      <c r="AH1294" s="85" t="str">
        <f>IFERROR(__xludf.DUMMYFUNCTION("""COMPUTED_VALUE"""),"suparno522980@gmail.com")</f>
        <v>suparno522980@gmail.com</v>
      </c>
      <c r="AI1294" s="85" t="str">
        <f>IFERROR(__xludf.DUMMYFUNCTION("""COMPUTED_VALUE"""),"40532S6 ")</f>
        <v>40532S6 </v>
      </c>
      <c r="AJ1294" s="85" t="str">
        <f>IFERROR(__xludf.DUMMYFUNCTION("""COMPUTED_VALUE"""),"6a9e41a2347812c9f2094d4a ")</f>
        <v>6a9e41a2347812c9f2094d4a </v>
      </c>
      <c r="AK1294" s="85" t="str">
        <f>IFERROR(__xludf.DUMMYFUNCTION("""COMPUTED_VALUE"""),"suparno522980@gmail.com")</f>
        <v>suparno522980@gmail.com</v>
      </c>
      <c r="AL1294" s="85" t="str">
        <f>IFERROR(__xludf.DUMMYFUNCTION("""COMPUTED_VALUE"""),"#Muc40532S6$")</f>
        <v>#Muc40532S6$</v>
      </c>
      <c r="AM1294" s="85" t="str">
        <f>IFERROR(__xludf.DUMMYFUNCTION("""COMPUTED_VALUE"""),"KANTOR REGIONAL III BANDUNG 40004")</f>
        <v>KANTOR REGIONAL III BANDUNG 40004</v>
      </c>
      <c r="AN1294" s="85" t="str">
        <f>IFERROR(__xludf.DUMMYFUNCTION("""COMPUTED_VALUE"""),"KC CIMAHI 40500")</f>
        <v>KC CIMAHI 40500</v>
      </c>
      <c r="AO1294" s="85" t="str">
        <f>IFERROR(__xludf.DUMMYFUNCTION("""COMPUTED_VALUE"""),"0408260041226")</f>
        <v>0408260041226</v>
      </c>
      <c r="AP1294" s="85" t="str">
        <f>IFERROR(__xludf.DUMMYFUNCTION("""COMPUTED_VALUE"""),"0408260041226")</f>
        <v>0408260041226</v>
      </c>
      <c r="AQ1294" s="93" t="str">
        <f>IFERROR(__xludf.DUMMYFUNCTION("""COMPUTED_VALUE"""),"1561086503")</f>
        <v>1561086503</v>
      </c>
      <c r="AR1294" s="85" t="str">
        <f>IFERROR(__xludf.DUMMYFUNCTION("""COMPUTED_VALUE"""),"BCA")</f>
        <v>BCA</v>
      </c>
      <c r="AS1294" s="85" t="str">
        <f>IFERROR(__xludf.DUMMYFUNCTION("""COMPUTED_VALUE"""),"SUPARNO")</f>
        <v>SUPARNO</v>
      </c>
      <c r="AT1294" s="85" t="str">
        <f>IFERROR(__xludf.DUMMYFUNCTION("""COMPUTED_VALUE"""),"-6.9067488,107.5257017")</f>
        <v>-6.9067488,107.5257017</v>
      </c>
      <c r="AU1294" s="85" t="str">
        <f>IFERROR(__xludf.DUMMYFUNCTION("""COMPUTED_VALUE"""),"-6.9067488,107.5257017")</f>
        <v>-6.9067488,107.5257017</v>
      </c>
      <c r="AV1294" s="85"/>
      <c r="AW1294" s="85"/>
      <c r="AX1294" s="85"/>
      <c r="AY1294" s="85"/>
      <c r="AZ1294" s="85"/>
      <c r="BA1294" s="85"/>
      <c r="BB1294" s="85"/>
      <c r="BC1294" s="85"/>
      <c r="BD1294" s="85"/>
      <c r="BE1294" s="85"/>
      <c r="BF1294" s="85"/>
      <c r="BG1294" s="85"/>
      <c r="BH1294" s="85"/>
      <c r="BI1294" s="85"/>
      <c r="BJ1294" s="85"/>
      <c r="BK1294" s="85"/>
      <c r="BL1294" s="85"/>
      <c r="BM1294" s="85"/>
      <c r="BN1294" s="85"/>
      <c r="BO1294" s="85"/>
      <c r="BP1294" s="85"/>
      <c r="BQ1294" s="85"/>
      <c r="BR1294" s="85"/>
      <c r="BS1294" s="85"/>
      <c r="BT1294" s="85"/>
      <c r="BU1294" s="85"/>
      <c r="BV1294" s="85"/>
      <c r="BW1294" s="85"/>
      <c r="BX1294" s="85"/>
      <c r="BY1294" s="85"/>
      <c r="BZ1294" s="85"/>
      <c r="CA1294" s="85"/>
      <c r="CB1294" s="85"/>
      <c r="CC1294" s="85"/>
      <c r="CD1294" s="85"/>
      <c r="CE1294" s="85"/>
      <c r="CF1294" s="85"/>
      <c r="CG1294" s="85"/>
      <c r="CH1294" s="85"/>
      <c r="CI1294" s="85"/>
      <c r="CJ1294" s="85"/>
      <c r="CK1294" s="2"/>
    </row>
    <row r="1295" ht="12.75" customHeight="1">
      <c r="A1295" s="80">
        <f>IFERROR(__xludf.DUMMYFUNCTION("""COMPUTED_VALUE"""),1291.0)</f>
        <v>1291</v>
      </c>
      <c r="B1295" s="80"/>
      <c r="C1295" s="80"/>
      <c r="D1295" s="81">
        <f>IFERROR(__xludf.DUMMYFUNCTION("""COMPUTED_VALUE"""),46240.0)</f>
        <v>46240</v>
      </c>
      <c r="E1295" s="82"/>
      <c r="F1295" s="80"/>
      <c r="G1295" s="81">
        <f>IFERROR(__xludf.DUMMYFUNCTION("""COMPUTED_VALUE"""),46267.0)</f>
        <v>46267</v>
      </c>
      <c r="H1295" s="80"/>
      <c r="I1295" s="80"/>
      <c r="J1295" s="80"/>
      <c r="K1295" s="80"/>
      <c r="L1295" s="80">
        <f>IFERROR(__xludf.DUMMYFUNCTION("""COMPUTED_VALUE"""),27.0)</f>
        <v>27</v>
      </c>
      <c r="M1295" s="80"/>
      <c r="N1295" s="80"/>
      <c r="O1295" s="80"/>
      <c r="P1295" s="80" t="str">
        <f>IFERROR(__xludf.DUMMYFUNCTION("""COMPUTED_VALUE"""),"MUCSPA70048PSUMK")</f>
        <v>MUCSPA70048PSUMK</v>
      </c>
      <c r="Q1295" s="80" t="str">
        <f>IFERROR(__xludf.DUMMYFUNCTION("""COMPUTED_VALUE"""),"MUC RAZ")</f>
        <v>MUC RAZ</v>
      </c>
      <c r="R1295" s="80" t="str">
        <f>IFERROR(__xludf.DUMMYFUNCTION("""COMPUTED_VALUE"""),"MUC RAZ")</f>
        <v>MUC RAZ</v>
      </c>
      <c r="S1295" s="80" t="str">
        <f>IFERROR(__xludf.DUMMYFUNCTION("""COMPUTED_VALUE"""),"IMRON SATRIYAWAN")</f>
        <v>IMRON SATRIYAWAN</v>
      </c>
      <c r="T1295" s="80" t="str">
        <f>IFERROR(__xludf.DUMMYFUNCTION("""COMPUTED_VALUE"""),"Jl. Ramin Raya no.202, RT.07 RW.08, Baktijaya, Sukmajaya, Depok, Jawa Barat 16418")</f>
        <v>Jl. Ramin Raya no.202, RT.07 RW.08, Baktijaya, Sukmajaya, Depok, Jawa Barat 16418</v>
      </c>
      <c r="U1295" s="80" t="str">
        <f>IFERROR(__xludf.DUMMYFUNCTION("""COMPUTED_VALUE"""),"Jl. Ramin Raya No.202, RT.07 RW.08")</f>
        <v>Jl. Ramin Raya No.202, RT.07 RW.08</v>
      </c>
      <c r="V1295" s="80" t="str">
        <f>IFERROR(__xludf.DUMMYFUNCTION("""COMPUTED_VALUE"""),"RT.07  \ RW.08,")</f>
        <v>RT.07  \ RW.08,</v>
      </c>
      <c r="W1295" s="80" t="str">
        <f>IFERROR(__xludf.DUMMYFUNCTION("""COMPUTED_VALUE"""),"Baktijaya")</f>
        <v>Baktijaya</v>
      </c>
      <c r="X1295" s="80" t="str">
        <f>IFERROR(__xludf.DUMMYFUNCTION("""COMPUTED_VALUE"""),"Sukmajaya")</f>
        <v>Sukmajaya</v>
      </c>
      <c r="Y1295" s="80" t="str">
        <f>IFERROR(__xludf.DUMMYFUNCTION("""COMPUTED_VALUE"""),"Depok")</f>
        <v>Depok</v>
      </c>
      <c r="Z1295" s="80" t="str">
        <f>IFERROR(__xludf.DUMMYFUNCTION("""COMPUTED_VALUE"""),"Jawa Barat")</f>
        <v>Jawa Barat</v>
      </c>
      <c r="AA1295" s="80" t="str">
        <f>IFERROR(__xludf.DUMMYFUNCTION("""COMPUTED_VALUE"""),"16418")</f>
        <v>16418</v>
      </c>
      <c r="AB1295" s="80" t="str">
        <f>IFERROR(__xludf.DUMMYFUNCTION("""COMPUTED_VALUE"""),"3276050112740020")</f>
        <v>3276050112740020</v>
      </c>
      <c r="AC1295" s="80" t="str">
        <f>IFERROR(__xludf.DUMMYFUNCTION("""COMPUTED_VALUE"""),"59.095.873.2-005.000")</f>
        <v>59.095.873.2-005.000</v>
      </c>
      <c r="AD1295" s="80" t="str">
        <f>IFERROR(__xludf.DUMMYFUNCTION("""COMPUTED_VALUE"""),"CUM - UMKMNK - ASEP")</f>
        <v>CUM - UMKMNK - ASEP</v>
      </c>
      <c r="AE1295" s="80" t="str">
        <f>IFERROR(__xludf.DUMMYFUNCTION("""COMPUTED_VALUE"""),"CUM - UMKMNK - ASEP")</f>
        <v>CUM - UMKMNK - ASEP</v>
      </c>
      <c r="AF1295" s="80" t="str">
        <f>IFERROR(__xludf.DUMMYFUNCTION("""COMPUTED_VALUE"""),"0895358457463")</f>
        <v>0895358457463</v>
      </c>
      <c r="AG1295" s="80" t="str">
        <f>IFERROR(__xludf.DUMMYFUNCTION("""COMPUTED_VALUE"""),"0895358457463")</f>
        <v>0895358457463</v>
      </c>
      <c r="AH1295" s="80" t="str">
        <f>IFERROR(__xludf.DUMMYFUNCTION("""COMPUTED_VALUE"""),"imronsatriyawan@gmail.com")</f>
        <v>imronsatriyawan@gmail.com</v>
      </c>
      <c r="AI1295" s="80" t="str">
        <f>IFERROR(__xludf.DUMMYFUNCTION("""COMPUTED_VALUE"""),"16418S6")</f>
        <v>16418S6</v>
      </c>
      <c r="AJ1295" s="80" t="str">
        <f>IFERROR(__xludf.DUMMYFUNCTION("""COMPUTED_VALUE"""),"6a97bb50fd877b256c05811f")</f>
        <v>6a97bb50fd877b256c05811f</v>
      </c>
      <c r="AK1295" s="80" t="str">
        <f>IFERROR(__xludf.DUMMYFUNCTION("""COMPUTED_VALUE"""),"imronsatriyawan@gmail.com")</f>
        <v>imronsatriyawan@gmail.com</v>
      </c>
      <c r="AL1295" s="80" t="str">
        <f>IFERROR(__xludf.DUMMYFUNCTION("""COMPUTED_VALUE"""),"#Muc16418S6$")</f>
        <v>#Muc16418S6$</v>
      </c>
      <c r="AM1295" s="80" t="str">
        <f>IFERROR(__xludf.DUMMYFUNCTION("""COMPUTED_VALUE"""),"KANTOR REGIONAL II JAKARTA 10004")</f>
        <v>KANTOR REGIONAL II JAKARTA 10004</v>
      </c>
      <c r="AN1295" s="80" t="str">
        <f>IFERROR(__xludf.DUMMYFUNCTION("""COMPUTED_VALUE"""),"KC DEPOK 16400")</f>
        <v>KC DEPOK 16400</v>
      </c>
      <c r="AO1295" s="80" t="str">
        <f>IFERROR(__xludf.DUMMYFUNCTION("""COMPUTED_VALUE"""),"3103220019762")</f>
        <v>3103220019762</v>
      </c>
      <c r="AP1295" s="80" t="str">
        <f>IFERROR(__xludf.DUMMYFUNCTION("""COMPUTED_VALUE"""),"3103220019762")</f>
        <v>3103220019762</v>
      </c>
      <c r="AQ1295" s="83" t="str">
        <f>IFERROR(__xludf.DUMMYFUNCTION("""COMPUTED_VALUE"""),"2377334940")</f>
        <v>2377334940</v>
      </c>
      <c r="AR1295" s="80" t="str">
        <f>IFERROR(__xludf.DUMMYFUNCTION("""COMPUTED_VALUE"""),"BSI")</f>
        <v>BSI</v>
      </c>
      <c r="AS1295" s="80" t="str">
        <f>IFERROR(__xludf.DUMMYFUNCTION("""COMPUTED_VALUE"""),"IMRON SATRIYAWAN")</f>
        <v>IMRON SATRIYAWAN</v>
      </c>
      <c r="AT1295" s="80" t="str">
        <f>IFERROR(__xludf.DUMMYFUNCTION("""COMPUTED_VALUE"""),"-6.3814413,106.8497865")</f>
        <v>-6.3814413,106.8497865</v>
      </c>
      <c r="AU1295" s="80" t="str">
        <f>IFERROR(__xludf.DUMMYFUNCTION("""COMPUTED_VALUE"""),"-6.3814413,106.8497865")</f>
        <v>-6.3814413,106.8497865</v>
      </c>
      <c r="AV1295" s="80"/>
      <c r="AW1295" s="80"/>
      <c r="AX1295" s="80"/>
      <c r="AY1295" s="80"/>
      <c r="AZ1295" s="80"/>
      <c r="BA1295" s="80"/>
      <c r="BB1295" s="80"/>
      <c r="BC1295" s="80"/>
      <c r="BD1295" s="80"/>
      <c r="BE1295" s="80"/>
      <c r="BF1295" s="80"/>
      <c r="BG1295" s="80"/>
      <c r="BH1295" s="80"/>
      <c r="BI1295" s="80"/>
      <c r="BJ1295" s="80"/>
      <c r="BK1295" s="80"/>
      <c r="BL1295" s="80"/>
      <c r="BM1295" s="80"/>
      <c r="BN1295" s="80"/>
      <c r="BO1295" s="80"/>
      <c r="BP1295" s="80"/>
      <c r="BQ1295" s="80"/>
      <c r="BR1295" s="80"/>
      <c r="BS1295" s="80"/>
      <c r="BT1295" s="80"/>
      <c r="BU1295" s="80"/>
      <c r="BV1295" s="80"/>
      <c r="BW1295" s="80"/>
      <c r="BX1295" s="80"/>
      <c r="BY1295" s="80"/>
      <c r="BZ1295" s="80"/>
      <c r="CA1295" s="80"/>
      <c r="CB1295" s="80"/>
      <c r="CC1295" s="80"/>
      <c r="CD1295" s="80"/>
      <c r="CE1295" s="80"/>
      <c r="CF1295" s="80"/>
      <c r="CG1295" s="80"/>
      <c r="CH1295" s="80"/>
      <c r="CI1295" s="80"/>
      <c r="CJ1295" s="80"/>
      <c r="CK1295" s="2"/>
    </row>
    <row r="1296" ht="12.75" customHeight="1">
      <c r="A1296" s="85">
        <f>IFERROR(__xludf.DUMMYFUNCTION("""COMPUTED_VALUE"""),1292.0)</f>
        <v>1292</v>
      </c>
      <c r="B1296" s="85"/>
      <c r="C1296" s="85"/>
      <c r="D1296" s="86">
        <f>IFERROR(__xludf.DUMMYFUNCTION("""COMPUTED_VALUE"""),46240.0)</f>
        <v>46240</v>
      </c>
      <c r="E1296" s="88"/>
      <c r="F1296" s="85"/>
      <c r="G1296" s="86">
        <f>IFERROR(__xludf.DUMMYFUNCTION("""COMPUTED_VALUE"""),46255.0)</f>
        <v>46255</v>
      </c>
      <c r="H1296" s="85"/>
      <c r="I1296" s="85"/>
      <c r="J1296" s="85"/>
      <c r="K1296" s="85"/>
      <c r="L1296" s="85">
        <f>IFERROR(__xludf.DUMMYFUNCTION("""COMPUTED_VALUE"""),15.0)</f>
        <v>15</v>
      </c>
      <c r="M1296" s="85"/>
      <c r="N1296" s="85"/>
      <c r="O1296" s="85"/>
      <c r="P1296" s="85" t="str">
        <f>IFERROR(__xludf.DUMMYFUNCTION("""COMPUTED_VALUE"""),"53BSPA17189JBEEN")</f>
        <v>53BSPA17189JBEEN</v>
      </c>
      <c r="Q1296" s="85" t="str">
        <f>IFERROR(__xludf.DUMMYFUNCTION("""COMPUTED_VALUE"""),"MUC MENCENG GALUR")</f>
        <v>MUC MENCENG GALUR</v>
      </c>
      <c r="R1296" s="85" t="str">
        <f>IFERROR(__xludf.DUMMYFUNCTION("""COMPUTED_VALUE"""),"MUC MENCENG GALUR")</f>
        <v>MUC MENCENG GALUR</v>
      </c>
      <c r="S1296" s="85" t="str">
        <f>IFERROR(__xludf.DUMMYFUNCTION("""COMPUTED_VALUE"""),"LISANTO")</f>
        <v>LISANTO</v>
      </c>
      <c r="T1296" s="85" t="str">
        <f>IFERROR(__xludf.DUMMYFUNCTION("""COMPUTED_VALUE"""),"Jl. Menceng Raya Blok C.4/3 Tegal Alur Kalideres")</f>
        <v>Jl. Menceng Raya Blok C.4/3 Tegal Alur Kalideres</v>
      </c>
      <c r="U1296" s="85" t="str">
        <f>IFERROR(__xludf.DUMMYFUNCTION("""COMPUTED_VALUE"""),"Jl. Menceng Raya Blok C4 No.3 RT.4/RW.7, Tegal Alur, Kec. Kalideres Jakarta Barat")</f>
        <v>Jl. Menceng Raya Blok C4 No.3 RT.4/RW.7, Tegal Alur, Kec. Kalideres Jakarta Barat</v>
      </c>
      <c r="V1296" s="85"/>
      <c r="W1296" s="85" t="str">
        <f>IFERROR(__xludf.DUMMYFUNCTION("""COMPUTED_VALUE"""),"Tegal Alur")</f>
        <v>Tegal Alur</v>
      </c>
      <c r="X1296" s="85" t="str">
        <f>IFERROR(__xludf.DUMMYFUNCTION("""COMPUTED_VALUE"""),"Kalideres")</f>
        <v>Kalideres</v>
      </c>
      <c r="Y1296" s="85" t="str">
        <f>IFERROR(__xludf.DUMMYFUNCTION("""COMPUTED_VALUE"""),"Jakarta Barat")</f>
        <v>Jakarta Barat</v>
      </c>
      <c r="Z1296" s="85" t="str">
        <f>IFERROR(__xludf.DUMMYFUNCTION("""COMPUTED_VALUE"""),"DKI Jakarta")</f>
        <v>DKI Jakarta</v>
      </c>
      <c r="AA1296" s="85" t="str">
        <f>IFERROR(__xludf.DUMMYFUNCTION("""COMPUTED_VALUE"""),"11820")</f>
        <v>11820</v>
      </c>
      <c r="AB1296" s="85" t="str">
        <f>IFERROR(__xludf.DUMMYFUNCTION("""COMPUTED_VALUE"""),"3173062203850001")</f>
        <v>3173062203850001</v>
      </c>
      <c r="AC1296" s="85" t="str">
        <f>IFERROR(__xludf.DUMMYFUNCTION("""COMPUTED_VALUE"""),"58.428.922.7-085.000")</f>
        <v>58.428.922.7-085.000</v>
      </c>
      <c r="AD1296" s="85" t="str">
        <f>IFERROR(__xludf.DUMMYFUNCTION("""COMPUTED_VALUE"""),"CUM - EEN")</f>
        <v>CUM - EEN</v>
      </c>
      <c r="AE1296" s="85" t="str">
        <f>IFERROR(__xludf.DUMMYFUNCTION("""COMPUTED_VALUE"""),"CUM - EEN")</f>
        <v>CUM - EEN</v>
      </c>
      <c r="AF1296" s="85" t="str">
        <f>IFERROR(__xludf.DUMMYFUNCTION("""COMPUTED_VALUE"""),"087877745106")</f>
        <v>087877745106</v>
      </c>
      <c r="AG1296" s="85" t="str">
        <f>IFERROR(__xludf.DUMMYFUNCTION("""COMPUTED_VALUE"""),"087877745106")</f>
        <v>087877745106</v>
      </c>
      <c r="AH1296" s="85" t="str">
        <f>IFERROR(__xludf.DUMMYFUNCTION("""COMPUTED_VALUE"""),"mail_nita@yahoo.com")</f>
        <v>mail_nita@yahoo.com</v>
      </c>
      <c r="AI1296" s="85" t="str">
        <f>IFERROR(__xludf.DUMMYFUNCTION("""COMPUTED_VALUE"""),"11820S6")</f>
        <v>11820S6</v>
      </c>
      <c r="AJ1296" s="85" t="str">
        <f>IFERROR(__xludf.DUMMYFUNCTION("""COMPUTED_VALUE"""),"6a8819b83b10ebfd490e68ea")</f>
        <v>6a8819b83b10ebfd490e68ea</v>
      </c>
      <c r="AK1296" s="85" t="str">
        <f>IFERROR(__xludf.DUMMYFUNCTION("""COMPUTED_VALUE"""),"mail_nita@yahoo.com")</f>
        <v>mail_nita@yahoo.com</v>
      </c>
      <c r="AL1296" s="85" t="str">
        <f>IFERROR(__xludf.DUMMYFUNCTION("""COMPUTED_VALUE"""),"#Muc11820S6$")</f>
        <v>#Muc11820S6$</v>
      </c>
      <c r="AM1296" s="85" t="str">
        <f>IFERROR(__xludf.DUMMYFUNCTION("""COMPUTED_VALUE"""),"KANTOR REGIONAL II JAKARTA 10004")</f>
        <v>KANTOR REGIONAL II JAKARTA 10004</v>
      </c>
      <c r="AN1296" s="85" t="str">
        <f>IFERROR(__xludf.DUMMYFUNCTION("""COMPUTED_VALUE"""),"KCU JAKARTAOCEANIA 11000")</f>
        <v>KCU JAKARTAOCEANIA 11000</v>
      </c>
      <c r="AO1296" s="85" t="str">
        <f>IFERROR(__xludf.DUMMYFUNCTION("""COMPUTED_VALUE"""),"0108260017643")</f>
        <v>0108260017643</v>
      </c>
      <c r="AP1296" s="85" t="str">
        <f>IFERROR(__xludf.DUMMYFUNCTION("""COMPUTED_VALUE"""),"0108260017643")</f>
        <v>0108260017643</v>
      </c>
      <c r="AQ1296" s="93" t="str">
        <f>IFERROR(__xludf.DUMMYFUNCTION("""COMPUTED_VALUE"""),"3861042292")</f>
        <v>3861042292</v>
      </c>
      <c r="AR1296" s="85" t="str">
        <f>IFERROR(__xludf.DUMMYFUNCTION("""COMPUTED_VALUE"""),"BCA")</f>
        <v>BCA</v>
      </c>
      <c r="AS1296" s="85" t="str">
        <f>IFERROR(__xludf.DUMMYFUNCTION("""COMPUTED_VALUE"""),"ANITA SETIYANI HALIM")</f>
        <v>ANITA SETIYANI HALIM</v>
      </c>
      <c r="AT1296" s="85" t="str">
        <f>IFERROR(__xludf.DUMMYFUNCTION("""COMPUTED_VALUE"""),"-6.1247766,106.7190412")</f>
        <v>-6.1247766,106.7190412</v>
      </c>
      <c r="AU1296" s="85" t="str">
        <f>IFERROR(__xludf.DUMMYFUNCTION("""COMPUTED_VALUE"""),"-6.1247766,106.7190412")</f>
        <v>-6.1247766,106.7190412</v>
      </c>
      <c r="AV1296" s="85"/>
      <c r="AW1296" s="85"/>
      <c r="AX1296" s="85"/>
      <c r="AY1296" s="85"/>
      <c r="AZ1296" s="85"/>
      <c r="BA1296" s="85"/>
      <c r="BB1296" s="85"/>
      <c r="BC1296" s="85"/>
      <c r="BD1296" s="85"/>
      <c r="BE1296" s="85"/>
      <c r="BF1296" s="85"/>
      <c r="BG1296" s="85"/>
      <c r="BH1296" s="85"/>
      <c r="BI1296" s="85"/>
      <c r="BJ1296" s="85"/>
      <c r="BK1296" s="85"/>
      <c r="BL1296" s="85"/>
      <c r="BM1296" s="85"/>
      <c r="BN1296" s="85"/>
      <c r="BO1296" s="85"/>
      <c r="BP1296" s="85"/>
      <c r="BQ1296" s="85"/>
      <c r="BR1296" s="85"/>
      <c r="BS1296" s="85"/>
      <c r="BT1296" s="85"/>
      <c r="BU1296" s="85"/>
      <c r="BV1296" s="85"/>
      <c r="BW1296" s="85"/>
      <c r="BX1296" s="85"/>
      <c r="BY1296" s="85"/>
      <c r="BZ1296" s="85"/>
      <c r="CA1296" s="85"/>
      <c r="CB1296" s="85"/>
      <c r="CC1296" s="85"/>
      <c r="CD1296" s="85"/>
      <c r="CE1296" s="85"/>
      <c r="CF1296" s="85"/>
      <c r="CG1296" s="85"/>
      <c r="CH1296" s="85"/>
      <c r="CI1296" s="85"/>
      <c r="CJ1296" s="85"/>
      <c r="CK1296" s="2"/>
    </row>
    <row r="1297" ht="12.75" customHeight="1">
      <c r="A1297" s="80">
        <f>IFERROR(__xludf.DUMMYFUNCTION("""COMPUTED_VALUE"""),1293.0)</f>
        <v>1293</v>
      </c>
      <c r="B1297" s="80"/>
      <c r="C1297" s="80"/>
      <c r="D1297" s="81">
        <f>IFERROR(__xludf.DUMMYFUNCTION("""COMPUTED_VALUE"""),46240.0)</f>
        <v>46240</v>
      </c>
      <c r="E1297" s="82"/>
      <c r="F1297" s="80"/>
      <c r="G1297" s="81">
        <f>IFERROR(__xludf.DUMMYFUNCTION("""COMPUTED_VALUE"""),46280.0)</f>
        <v>46280</v>
      </c>
      <c r="H1297" s="80"/>
      <c r="I1297" s="80"/>
      <c r="J1297" s="80"/>
      <c r="K1297" s="80"/>
      <c r="L1297" s="80">
        <f>IFERROR(__xludf.DUMMYFUNCTION("""COMPUTED_VALUE"""),40.0)</f>
        <v>40</v>
      </c>
      <c r="M1297" s="80"/>
      <c r="N1297" s="80"/>
      <c r="O1297" s="80"/>
      <c r="P1297" s="80" t="str">
        <f>IFERROR(__xludf.DUMMYFUNCTION("""COMPUTED_VALUE"""),"MUCSPA70078PSLDI")</f>
        <v>MUCSPA70078PSLDI</v>
      </c>
      <c r="Q1297" s="80" t="str">
        <f>IFERROR(__xludf.DUMMYFUNCTION("""COMPUTED_VALUE"""),"MUC DMC One Express")</f>
        <v>MUC DMC One Express</v>
      </c>
      <c r="R1297" s="80" t="str">
        <f>IFERROR(__xludf.DUMMYFUNCTION("""COMPUTED_VALUE"""),"MUC DMC One Express")</f>
        <v>MUC DMC One Express</v>
      </c>
      <c r="S1297" s="80" t="str">
        <f>IFERROR(__xludf.DUMMYFUNCTION("""COMPUTED_VALUE"""),"JAJAT SUDRAJAT")</f>
        <v>JAJAT SUDRAJAT</v>
      </c>
      <c r="T1297" s="80" t="str">
        <f>IFERROR(__xludf.DUMMYFUNCTION("""COMPUTED_VALUE"""),"DUSUN KAMENTENG RT 05 RW 06, CIEUNTEUNG, DARMARAJA, KAB.SUMEDANG")</f>
        <v>DUSUN KAMENTENG RT 05 RW 06, CIEUNTEUNG, DARMARAJA, KAB.SUMEDANG</v>
      </c>
      <c r="U1297" s="80" t="str">
        <f>IFERROR(__xludf.DUMMYFUNCTION("""COMPUTED_VALUE"""),"JL. RAYA SUMEDANG WADO KM.26, DUSUN KAMENTENG RT 05 RW 06")</f>
        <v>JL. RAYA SUMEDANG WADO KM.26, DUSUN KAMENTENG RT 05 RW 06</v>
      </c>
      <c r="V1297" s="80" t="str">
        <f>IFERROR(__xludf.DUMMYFUNCTION("""COMPUTED_VALUE"""),"RT 05  \ RW 06,")</f>
        <v>RT 05  \ RW 06,</v>
      </c>
      <c r="W1297" s="80" t="str">
        <f>IFERROR(__xludf.DUMMYFUNCTION("""COMPUTED_VALUE"""),"CIEUNTEUNG")</f>
        <v>CIEUNTEUNG</v>
      </c>
      <c r="X1297" s="80" t="str">
        <f>IFERROR(__xludf.DUMMYFUNCTION("""COMPUTED_VALUE"""),"DARMARAJA")</f>
        <v>DARMARAJA</v>
      </c>
      <c r="Y1297" s="80" t="str">
        <f>IFERROR(__xludf.DUMMYFUNCTION("""COMPUTED_VALUE"""),"KAB.SUMEDANG")</f>
        <v>KAB.SUMEDANG</v>
      </c>
      <c r="Z1297" s="80" t="str">
        <f>IFERROR(__xludf.DUMMYFUNCTION("""COMPUTED_VALUE"""),"Jawa Barat")</f>
        <v>Jawa Barat</v>
      </c>
      <c r="AA1297" s="80" t="str">
        <f>IFERROR(__xludf.DUMMYFUNCTION("""COMPUTED_VALUE"""),"45372")</f>
        <v>45372</v>
      </c>
      <c r="AB1297" s="80" t="str">
        <f>IFERROR(__xludf.DUMMYFUNCTION("""COMPUTED_VALUE"""),"3175011304730008")</f>
        <v>3175011304730008</v>
      </c>
      <c r="AC1297" s="80" t="str">
        <f>IFERROR(__xludf.DUMMYFUNCTION("""COMPUTED_VALUE"""),"36.750.508.8-446.000")</f>
        <v>36.750.508.8-446.000</v>
      </c>
      <c r="AD1297" s="80" t="str">
        <f>IFERROR(__xludf.DUMMYFUNCTION("""COMPUTED_VALUE"""),"CUM - LDI - KOPUBGBS")</f>
        <v>CUM - LDI - KOPUBGBS</v>
      </c>
      <c r="AE1297" s="80" t="str">
        <f>IFERROR(__xludf.DUMMYFUNCTION("""COMPUTED_VALUE"""),"CUM - LDI - KOPUBGBS")</f>
        <v>CUM - LDI - KOPUBGBS</v>
      </c>
      <c r="AF1297" s="80" t="str">
        <f>IFERROR(__xludf.DUMMYFUNCTION("""COMPUTED_VALUE"""),"081222338182")</f>
        <v>081222338182</v>
      </c>
      <c r="AG1297" s="80" t="str">
        <f>IFERROR(__xludf.DUMMYFUNCTION("""COMPUTED_VALUE"""),"081222338182")</f>
        <v>081222338182</v>
      </c>
      <c r="AH1297" s="80" t="str">
        <f>IFERROR(__xludf.DUMMYFUNCTION("""COMPUTED_VALUE"""),"gojajat18@gmail.com")</f>
        <v>gojajat18@gmail.com</v>
      </c>
      <c r="AI1297" s="80" t="str">
        <f>IFERROR(__xludf.DUMMYFUNCTION("""COMPUTED_VALUE"""),"45372S1 ")</f>
        <v>45372S1 </v>
      </c>
      <c r="AJ1297" s="80" t="str">
        <f>IFERROR(__xludf.DUMMYFUNCTION("""COMPUTED_VALUE"""),"6a9e3fe1c272017f2706866d ")</f>
        <v>6a9e3fe1c272017f2706866d </v>
      </c>
      <c r="AK1297" s="80" t="str">
        <f>IFERROR(__xludf.DUMMYFUNCTION("""COMPUTED_VALUE"""),"gojajat18@gmail.com")</f>
        <v>gojajat18@gmail.com</v>
      </c>
      <c r="AL1297" s="80" t="str">
        <f>IFERROR(__xludf.DUMMYFUNCTION("""COMPUTED_VALUE"""),"#Muc45372S1$")</f>
        <v>#Muc45372S1$</v>
      </c>
      <c r="AM1297" s="80" t="str">
        <f>IFERROR(__xludf.DUMMYFUNCTION("""COMPUTED_VALUE"""),"KANTOR REGIONAL III BANDUNG 40004")</f>
        <v>KANTOR REGIONAL III BANDUNG 40004</v>
      </c>
      <c r="AN1297" s="80" t="str">
        <f>IFERROR(__xludf.DUMMYFUNCTION("""COMPUTED_VALUE"""),"KC SUMEDANG 45300")</f>
        <v>KC SUMEDANG 45300</v>
      </c>
      <c r="AO1297" s="80" t="str">
        <f>IFERROR(__xludf.DUMMYFUNCTION("""COMPUTED_VALUE"""),"1502220013426")</f>
        <v>1502220013426</v>
      </c>
      <c r="AP1297" s="80" t="str">
        <f>IFERROR(__xludf.DUMMYFUNCTION("""COMPUTED_VALUE"""),"1502220013426")</f>
        <v>1502220013426</v>
      </c>
      <c r="AQ1297" s="83" t="str">
        <f>IFERROR(__xludf.DUMMYFUNCTION("""COMPUTED_VALUE"""),"1310025413800")</f>
        <v>1310025413800</v>
      </c>
      <c r="AR1297" s="80" t="str">
        <f>IFERROR(__xludf.DUMMYFUNCTION("""COMPUTED_VALUE"""),"MANDIRI")</f>
        <v>MANDIRI</v>
      </c>
      <c r="AS1297" s="80" t="str">
        <f>IFERROR(__xludf.DUMMYFUNCTION("""COMPUTED_VALUE"""),"JAJAT SUDRAJAT")</f>
        <v>JAJAT SUDRAJAT</v>
      </c>
      <c r="AT1297" s="80" t="str">
        <f>IFERROR(__xludf.DUMMYFUNCTION("""COMPUTED_VALUE"""),"-6.9133015,108.0645189")</f>
        <v>-6.9133015,108.0645189</v>
      </c>
      <c r="AU1297" s="80" t="str">
        <f>IFERROR(__xludf.DUMMYFUNCTION("""COMPUTED_VALUE"""),"-6.9133015,108.0645189")</f>
        <v>-6.9133015,108.0645189</v>
      </c>
      <c r="AV1297" s="80"/>
      <c r="AW1297" s="80"/>
      <c r="AX1297" s="80"/>
      <c r="AY1297" s="80"/>
      <c r="AZ1297" s="80"/>
      <c r="BA1297" s="80"/>
      <c r="BB1297" s="80"/>
      <c r="BC1297" s="80"/>
      <c r="BD1297" s="80"/>
      <c r="BE1297" s="80"/>
      <c r="BF1297" s="80"/>
      <c r="BG1297" s="80"/>
      <c r="BH1297" s="80"/>
      <c r="BI1297" s="80"/>
      <c r="BJ1297" s="80"/>
      <c r="BK1297" s="80"/>
      <c r="BL1297" s="80"/>
      <c r="BM1297" s="80"/>
      <c r="BN1297" s="80"/>
      <c r="BO1297" s="80"/>
      <c r="BP1297" s="80"/>
      <c r="BQ1297" s="80"/>
      <c r="BR1297" s="80"/>
      <c r="BS1297" s="80"/>
      <c r="BT1297" s="80"/>
      <c r="BU1297" s="80"/>
      <c r="BV1297" s="80"/>
      <c r="BW1297" s="80"/>
      <c r="BX1297" s="80"/>
      <c r="BY1297" s="80"/>
      <c r="BZ1297" s="80"/>
      <c r="CA1297" s="80"/>
      <c r="CB1297" s="80"/>
      <c r="CC1297" s="80"/>
      <c r="CD1297" s="80"/>
      <c r="CE1297" s="80"/>
      <c r="CF1297" s="80"/>
      <c r="CG1297" s="80"/>
      <c r="CH1297" s="80"/>
      <c r="CI1297" s="80"/>
      <c r="CJ1297" s="80"/>
      <c r="CK1297" s="2"/>
    </row>
    <row r="1298" ht="12.75" customHeight="1">
      <c r="A1298" s="85">
        <f>IFERROR(__xludf.DUMMYFUNCTION("""COMPUTED_VALUE"""),1294.0)</f>
        <v>1294</v>
      </c>
      <c r="B1298" s="85"/>
      <c r="C1298" s="85"/>
      <c r="D1298" s="86">
        <f>IFERROR(__xludf.DUMMYFUNCTION("""COMPUTED_VALUE"""),46240.0)</f>
        <v>46240</v>
      </c>
      <c r="E1298" s="88"/>
      <c r="F1298" s="85"/>
      <c r="G1298" s="86">
        <f>IFERROR(__xludf.DUMMYFUNCTION("""COMPUTED_VALUE"""),46279.0)</f>
        <v>46279</v>
      </c>
      <c r="H1298" s="85"/>
      <c r="I1298" s="85"/>
      <c r="J1298" s="85"/>
      <c r="K1298" s="85"/>
      <c r="L1298" s="85">
        <f>IFERROR(__xludf.DUMMYFUNCTION("""COMPUTED_VALUE"""),39.0)</f>
        <v>39</v>
      </c>
      <c r="M1298" s="85"/>
      <c r="N1298" s="85"/>
      <c r="O1298" s="85"/>
      <c r="P1298" s="85" t="str">
        <f>IFERROR(__xludf.DUMMYFUNCTION("""COMPUTED_VALUE"""),"MUCSPA63644PSIND")</f>
        <v>MUCSPA63644PSIND</v>
      </c>
      <c r="Q1298" s="85" t="str">
        <f>IFERROR(__xludf.DUMMYFUNCTION("""COMPUTED_VALUE"""),"MUC TOKO MIKI")</f>
        <v>MUC TOKO MIKI</v>
      </c>
      <c r="R1298" s="85" t="str">
        <f>IFERROR(__xludf.DUMMYFUNCTION("""COMPUTED_VALUE"""),"MUC TOKO MIKI")</f>
        <v>MUC TOKO MIKI</v>
      </c>
      <c r="S1298" s="85" t="str">
        <f>IFERROR(__xludf.DUMMYFUNCTION("""COMPUTED_VALUE"""),"DZAR ZAIDI")</f>
        <v>DZAR ZAIDI</v>
      </c>
      <c r="T1298" s="85" t="str">
        <f>IFERROR(__xludf.DUMMYFUNCTION("""COMPUTED_VALUE"""),"KOMPLEK GCP 02 BLOK C.4 RT 01 RW 01, SINDUR, CAMBAI, PRABUMULIH")</f>
        <v>KOMPLEK GCP 02 BLOK C.4 RT 01 RW 01, SINDUR, CAMBAI, PRABUMULIH</v>
      </c>
      <c r="U1298" s="85" t="str">
        <f>IFERROR(__xludf.DUMMYFUNCTION("""COMPUTED_VALUE"""),"JL. SINDUR KOMPLEK GCP 02 BLOK C.4 RT 01 RW 01")</f>
        <v>JL. SINDUR KOMPLEK GCP 02 BLOK C.4 RT 01 RW 01</v>
      </c>
      <c r="V1298" s="85" t="str">
        <f>IFERROR(__xludf.DUMMYFUNCTION("""COMPUTED_VALUE"""),"RT 01  \ RW 01,")</f>
        <v>RT 01  \ RW 01,</v>
      </c>
      <c r="W1298" s="85" t="str">
        <f>IFERROR(__xludf.DUMMYFUNCTION("""COMPUTED_VALUE"""),"SINDUR")</f>
        <v>SINDUR</v>
      </c>
      <c r="X1298" s="85" t="str">
        <f>IFERROR(__xludf.DUMMYFUNCTION("""COMPUTED_VALUE"""),"CAMBAI")</f>
        <v>CAMBAI</v>
      </c>
      <c r="Y1298" s="85" t="str">
        <f>IFERROR(__xludf.DUMMYFUNCTION("""COMPUTED_VALUE"""),"PRABUMULIH")</f>
        <v>PRABUMULIH</v>
      </c>
      <c r="Z1298" s="85" t="str">
        <f>IFERROR(__xludf.DUMMYFUNCTION("""COMPUTED_VALUE"""),"Sumatera Selatan")</f>
        <v>Sumatera Selatan</v>
      </c>
      <c r="AA1298" s="85" t="str">
        <f>IFERROR(__xludf.DUMMYFUNCTION("""COMPUTED_VALUE"""),"31144")</f>
        <v>31144</v>
      </c>
      <c r="AB1298" s="85" t="str">
        <f>IFERROR(__xludf.DUMMYFUNCTION("""COMPUTED_VALUE"""),"1271190412870003")</f>
        <v>1271190412870003</v>
      </c>
      <c r="AC1298" s="85" t="str">
        <f>IFERROR(__xludf.DUMMYFUNCTION("""COMPUTED_VALUE"""),"80.611.366.8-313.000")</f>
        <v>80.611.366.8-313.000</v>
      </c>
      <c r="AD1298" s="85" t="str">
        <f>IFERROR(__xludf.DUMMYFUNCTION("""COMPUTED_VALUE"""),"CUM - PS - NONKORGEN")</f>
        <v>CUM - PS - NONKORGEN</v>
      </c>
      <c r="AE1298" s="85" t="str">
        <f>IFERROR(__xludf.DUMMYFUNCTION("""COMPUTED_VALUE"""),"Pak Dede Prabumulih")</f>
        <v>Pak Dede Prabumulih</v>
      </c>
      <c r="AF1298" s="85" t="str">
        <f>IFERROR(__xludf.DUMMYFUNCTION("""COMPUTED_VALUE"""),"082180014145")</f>
        <v>082180014145</v>
      </c>
      <c r="AG1298" s="85" t="str">
        <f>IFERROR(__xludf.DUMMYFUNCTION("""COMPUTED_VALUE"""),"082180014145")</f>
        <v>082180014145</v>
      </c>
      <c r="AH1298" s="85" t="str">
        <f>IFERROR(__xludf.DUMMYFUNCTION("""COMPUTED_VALUE"""),"dzar.zaidi@gmail.com")</f>
        <v>dzar.zaidi@gmail.com</v>
      </c>
      <c r="AI1298" s="85" t="str">
        <f>IFERROR(__xludf.DUMMYFUNCTION("""COMPUTED_VALUE"""),"31142S1 ")</f>
        <v>31142S1 </v>
      </c>
      <c r="AJ1298" s="85" t="str">
        <f>IFERROR(__xludf.DUMMYFUNCTION("""COMPUTED_VALUE"""),"6a9e5861f06fd3b7b60da5bc ")</f>
        <v>6a9e5861f06fd3b7b60da5bc </v>
      </c>
      <c r="AK1298" s="85" t="str">
        <f>IFERROR(__xludf.DUMMYFUNCTION("""COMPUTED_VALUE"""),"dzar.zaidi@gmail.com")</f>
        <v>dzar.zaidi@gmail.com</v>
      </c>
      <c r="AL1298" s="85" t="str">
        <f>IFERROR(__xludf.DUMMYFUNCTION("""COMPUTED_VALUE"""),"#Muc31142S1$")</f>
        <v>#Muc31142S1$</v>
      </c>
      <c r="AM1298" s="85" t="str">
        <f>IFERROR(__xludf.DUMMYFUNCTION("""COMPUTED_VALUE"""),"KANTOR REGIONAL I MEDAN 20004")</f>
        <v>KANTOR REGIONAL I MEDAN 20004</v>
      </c>
      <c r="AN1298" s="85" t="str">
        <f>IFERROR(__xludf.DUMMYFUNCTION("""COMPUTED_VALUE"""),"KC PRABUMULIH 31100")</f>
        <v>KC PRABUMULIH 31100</v>
      </c>
      <c r="AO1298" s="85" t="str">
        <f>IFERROR(__xludf.DUMMYFUNCTION("""COMPUTED_VALUE"""),"0710220022538")</f>
        <v>0710220022538</v>
      </c>
      <c r="AP1298" s="85" t="str">
        <f>IFERROR(__xludf.DUMMYFUNCTION("""COMPUTED_VALUE"""),"0710220022538")</f>
        <v>0710220022538</v>
      </c>
      <c r="AQ1298" s="93" t="str">
        <f>IFERROR(__xludf.DUMMYFUNCTION("""COMPUTED_VALUE"""),"901173461323")</f>
        <v>901173461323</v>
      </c>
      <c r="AR1298" s="85" t="str">
        <f>IFERROR(__xludf.DUMMYFUNCTION("""COMPUTED_VALUE"""),"SEABANK")</f>
        <v>SEABANK</v>
      </c>
      <c r="AS1298" s="85" t="str">
        <f>IFERROR(__xludf.DUMMYFUNCTION("""COMPUTED_VALUE"""),"DZAR ZAIDI")</f>
        <v>DZAR ZAIDI</v>
      </c>
      <c r="AT1298" s="85" t="str">
        <f>IFERROR(__xludf.DUMMYFUNCTION("""COMPUTED_VALUE"""),"-3.3772812,104.2927127")</f>
        <v>-3.3772812,104.2927127</v>
      </c>
      <c r="AU1298" s="85" t="str">
        <f>IFERROR(__xludf.DUMMYFUNCTION("""COMPUTED_VALUE"""),"-3.3772812,104.2927127")</f>
        <v>-3.3772812,104.2927127</v>
      </c>
      <c r="AV1298" s="85"/>
      <c r="AW1298" s="85"/>
      <c r="AX1298" s="85"/>
      <c r="AY1298" s="85"/>
      <c r="AZ1298" s="85"/>
      <c r="BA1298" s="85"/>
      <c r="BB1298" s="85"/>
      <c r="BC1298" s="85"/>
      <c r="BD1298" s="85"/>
      <c r="BE1298" s="85"/>
      <c r="BF1298" s="85"/>
      <c r="BG1298" s="85"/>
      <c r="BH1298" s="85"/>
      <c r="BI1298" s="85"/>
      <c r="BJ1298" s="85"/>
      <c r="BK1298" s="85"/>
      <c r="BL1298" s="85"/>
      <c r="BM1298" s="85"/>
      <c r="BN1298" s="85"/>
      <c r="BO1298" s="85"/>
      <c r="BP1298" s="85"/>
      <c r="BQ1298" s="85"/>
      <c r="BR1298" s="85"/>
      <c r="BS1298" s="85"/>
      <c r="BT1298" s="85"/>
      <c r="BU1298" s="85"/>
      <c r="BV1298" s="85"/>
      <c r="BW1298" s="85"/>
      <c r="BX1298" s="85"/>
      <c r="BY1298" s="85"/>
      <c r="BZ1298" s="85"/>
      <c r="CA1298" s="85"/>
      <c r="CB1298" s="85"/>
      <c r="CC1298" s="85"/>
      <c r="CD1298" s="85"/>
      <c r="CE1298" s="85"/>
      <c r="CF1298" s="85"/>
      <c r="CG1298" s="85"/>
      <c r="CH1298" s="85"/>
      <c r="CI1298" s="85"/>
      <c r="CJ1298" s="85"/>
      <c r="CK1298" s="2"/>
    </row>
    <row r="1299" ht="12.75" customHeight="1">
      <c r="A1299" s="80">
        <f>IFERROR(__xludf.DUMMYFUNCTION("""COMPUTED_VALUE"""),1295.0)</f>
        <v>1295</v>
      </c>
      <c r="B1299" s="80"/>
      <c r="C1299" s="80"/>
      <c r="D1299" s="81">
        <f>IFERROR(__xludf.DUMMYFUNCTION("""COMPUTED_VALUE"""),46240.0)</f>
        <v>46240</v>
      </c>
      <c r="E1299" s="82"/>
      <c r="F1299" s="80"/>
      <c r="G1299" s="81">
        <f>IFERROR(__xludf.DUMMYFUNCTION("""COMPUTED_VALUE"""),46265.0)</f>
        <v>46265</v>
      </c>
      <c r="H1299" s="80"/>
      <c r="I1299" s="80"/>
      <c r="J1299" s="80"/>
      <c r="K1299" s="80"/>
      <c r="L1299" s="80">
        <f>IFERROR(__xludf.DUMMYFUNCTION("""COMPUTED_VALUE"""),25.0)</f>
        <v>25</v>
      </c>
      <c r="M1299" s="80"/>
      <c r="N1299" s="80"/>
      <c r="O1299" s="80"/>
      <c r="P1299" s="80" t="str">
        <f>IFERROR(__xludf.DUMMYFUNCTION("""COMPUTED_VALUE"""),"53BSPA17191JBEEN")</f>
        <v>53BSPA17191JBEEN</v>
      </c>
      <c r="Q1299" s="80" t="str">
        <f>IFERROR(__xludf.DUMMYFUNCTION("""COMPUTED_VALUE"""),"MUC Cipta Karya Sumberjaya")</f>
        <v>MUC Cipta Karya Sumberjaya</v>
      </c>
      <c r="R1299" s="80" t="str">
        <f>IFERROR(__xludf.DUMMYFUNCTION("""COMPUTED_VALUE"""),"MUC Cipta Karya Sumberjaya")</f>
        <v>MUC Cipta Karya Sumberjaya</v>
      </c>
      <c r="S1299" s="80" t="str">
        <f>IFERROR(__xludf.DUMMYFUNCTION("""COMPUTED_VALUE"""),"STEFANY RYAN ADI PRADANA")</f>
        <v>STEFANY RYAN ADI PRADANA</v>
      </c>
      <c r="T1299" s="80" t="str">
        <f>IFERROR(__xludf.DUMMYFUNCTION("""COMPUTED_VALUE"""),"Dusun Gebangsari Rt. 001/003 Tambaksari, kedungreja. Kab. Cilacap")</f>
        <v>Dusun Gebangsari Rt. 001/003 Tambaksari, kedungreja. Kab. Cilacap</v>
      </c>
      <c r="U1299" s="80" t="str">
        <f>IFERROR(__xludf.DUMMYFUNCTION("""COMPUTED_VALUE"""),"Jl. H. Nabrih Amalala Cluster L.2 Sumberjaya, Kec. Tambun Sel., Kab. Bekasi, Jawa Barat")</f>
        <v>Jl. H. Nabrih Amalala Cluster L.2 Sumberjaya, Kec. Tambun Sel., Kab. Bekasi, Jawa Barat</v>
      </c>
      <c r="V1299" s="80"/>
      <c r="W1299" s="80" t="str">
        <f>IFERROR(__xludf.DUMMYFUNCTION("""COMPUTED_VALUE"""),"Sumberjaya")</f>
        <v>Sumberjaya</v>
      </c>
      <c r="X1299" s="80" t="str">
        <f>IFERROR(__xludf.DUMMYFUNCTION("""COMPUTED_VALUE"""),"Tambun Selatan")</f>
        <v>Tambun Selatan</v>
      </c>
      <c r="Y1299" s="80" t="str">
        <f>IFERROR(__xludf.DUMMYFUNCTION("""COMPUTED_VALUE"""),"Kab. Bekasi")</f>
        <v>Kab. Bekasi</v>
      </c>
      <c r="Z1299" s="80" t="str">
        <f>IFERROR(__xludf.DUMMYFUNCTION("""COMPUTED_VALUE"""),"Jawa Barat")</f>
        <v>Jawa Barat</v>
      </c>
      <c r="AA1299" s="80" t="str">
        <f>IFERROR(__xludf.DUMMYFUNCTION("""COMPUTED_VALUE"""),"17510")</f>
        <v>17510</v>
      </c>
      <c r="AB1299" s="80" t="str">
        <f>IFERROR(__xludf.DUMMYFUNCTION("""COMPUTED_VALUE"""),"3301010710910002")</f>
        <v>3301010710910002</v>
      </c>
      <c r="AC1299" s="80" t="str">
        <f>IFERROR(__xludf.DUMMYFUNCTION("""COMPUTED_VALUE"""),"71.793.791.6-522.000")</f>
        <v>71.793.791.6-522.000</v>
      </c>
      <c r="AD1299" s="80" t="str">
        <f>IFERROR(__xludf.DUMMYFUNCTION("""COMPUTED_VALUE"""),"CUM - EEN")</f>
        <v>CUM - EEN</v>
      </c>
      <c r="AE1299" s="80" t="str">
        <f>IFERROR(__xludf.DUMMYFUNCTION("""COMPUTED_VALUE"""),"CUM - EEN")</f>
        <v>CUM - EEN</v>
      </c>
      <c r="AF1299" s="80" t="str">
        <f>IFERROR(__xludf.DUMMYFUNCTION("""COMPUTED_VALUE"""),"085892498414")</f>
        <v>085892498414</v>
      </c>
      <c r="AG1299" s="80" t="str">
        <f>IFERROR(__xludf.DUMMYFUNCTION("""COMPUTED_VALUE"""),"085892498414")</f>
        <v>085892498414</v>
      </c>
      <c r="AH1299" s="80" t="str">
        <f>IFERROR(__xludf.DUMMYFUNCTION("""COMPUTED_VALUE"""),"pradanaryan787@gmail.com")</f>
        <v>pradanaryan787@gmail.com</v>
      </c>
      <c r="AI1299" s="80" t="str">
        <f>IFERROR(__xludf.DUMMYFUNCTION("""COMPUTED_VALUE"""),"17518S5")</f>
        <v>17518S5</v>
      </c>
      <c r="AJ1299" s="80" t="str">
        <f>IFERROR(__xludf.DUMMYFUNCTION("""COMPUTED_VALUE"""),"6a92587b47d156b3590c18cc")</f>
        <v>6a92587b47d156b3590c18cc</v>
      </c>
      <c r="AK1299" s="80" t="str">
        <f>IFERROR(__xludf.DUMMYFUNCTION("""COMPUTED_VALUE"""),"pradanaryan787@gmail.com")</f>
        <v>pradanaryan787@gmail.com</v>
      </c>
      <c r="AL1299" s="80" t="str">
        <f>IFERROR(__xludf.DUMMYFUNCTION("""COMPUTED_VALUE"""),"#Muc17518S5$")</f>
        <v>#Muc17518S5$</v>
      </c>
      <c r="AM1299" s="80" t="str">
        <f>IFERROR(__xludf.DUMMYFUNCTION("""COMPUTED_VALUE"""),"KANTOR REGIONAL II JAKARTA 10004")</f>
        <v>KANTOR REGIONAL II JAKARTA 10004</v>
      </c>
      <c r="AN1299" s="80" t="str">
        <f>IFERROR(__xludf.DUMMYFUNCTION("""COMPUTED_VALUE"""),"KC CIKARANG 17500")</f>
        <v>KC CIKARANG 17500</v>
      </c>
      <c r="AO1299" s="80" t="str">
        <f>IFERROR(__xludf.DUMMYFUNCTION("""COMPUTED_VALUE"""),"0408260093606")</f>
        <v>0408260093606</v>
      </c>
      <c r="AP1299" s="80" t="str">
        <f>IFERROR(__xludf.DUMMYFUNCTION("""COMPUTED_VALUE"""),"0408260093606")</f>
        <v>0408260093606</v>
      </c>
      <c r="AQ1299" s="83" t="str">
        <f>IFERROR(__xludf.DUMMYFUNCTION("""COMPUTED_VALUE"""),"6065005496")</f>
        <v>6065005496</v>
      </c>
      <c r="AR1299" s="80" t="str">
        <f>IFERROR(__xludf.DUMMYFUNCTION("""COMPUTED_VALUE"""),"BCA")</f>
        <v>BCA</v>
      </c>
      <c r="AS1299" s="80" t="str">
        <f>IFERROR(__xludf.DUMMYFUNCTION("""COMPUTED_VALUE"""),"STEFANY RYAN ADI PRADANA")</f>
        <v>STEFANY RYAN ADI PRADANA</v>
      </c>
      <c r="AT1299" s="80" t="str">
        <f>IFERROR(__xludf.DUMMYFUNCTION("""COMPUTED_VALUE"""),"-6.2283291,29.0331803")</f>
        <v>-6.2283291,29.0331803</v>
      </c>
      <c r="AU1299" s="80" t="str">
        <f>IFERROR(__xludf.DUMMYFUNCTION("""COMPUTED_VALUE"""),"-6.2283291,29.0331803")</f>
        <v>-6.2283291,29.0331803</v>
      </c>
      <c r="AV1299" s="80"/>
      <c r="AW1299" s="80"/>
      <c r="AX1299" s="80"/>
      <c r="AY1299" s="80"/>
      <c r="AZ1299" s="80"/>
      <c r="BA1299" s="80"/>
      <c r="BB1299" s="80"/>
      <c r="BC1299" s="80"/>
      <c r="BD1299" s="80"/>
      <c r="BE1299" s="80"/>
      <c r="BF1299" s="80"/>
      <c r="BG1299" s="80"/>
      <c r="BH1299" s="80"/>
      <c r="BI1299" s="80"/>
      <c r="BJ1299" s="80"/>
      <c r="BK1299" s="80"/>
      <c r="BL1299" s="80"/>
      <c r="BM1299" s="80"/>
      <c r="BN1299" s="80"/>
      <c r="BO1299" s="80"/>
      <c r="BP1299" s="80"/>
      <c r="BQ1299" s="80"/>
      <c r="BR1299" s="80"/>
      <c r="BS1299" s="80"/>
      <c r="BT1299" s="80"/>
      <c r="BU1299" s="80"/>
      <c r="BV1299" s="80"/>
      <c r="BW1299" s="80"/>
      <c r="BX1299" s="80"/>
      <c r="BY1299" s="80"/>
      <c r="BZ1299" s="80"/>
      <c r="CA1299" s="80"/>
      <c r="CB1299" s="80"/>
      <c r="CC1299" s="80"/>
      <c r="CD1299" s="80"/>
      <c r="CE1299" s="80"/>
      <c r="CF1299" s="80"/>
      <c r="CG1299" s="80"/>
      <c r="CH1299" s="80"/>
      <c r="CI1299" s="80"/>
      <c r="CJ1299" s="80"/>
      <c r="CK1299" s="2"/>
    </row>
    <row r="1300" ht="12.75" customHeight="1">
      <c r="A1300" s="85">
        <f>IFERROR(__xludf.DUMMYFUNCTION("""COMPUTED_VALUE"""),1296.0)</f>
        <v>1296</v>
      </c>
      <c r="B1300" s="85"/>
      <c r="C1300" s="85"/>
      <c r="D1300" s="86">
        <f>IFERROR(__xludf.DUMMYFUNCTION("""COMPUTED_VALUE"""),46240.0)</f>
        <v>46240</v>
      </c>
      <c r="E1300" s="88"/>
      <c r="F1300" s="85"/>
      <c r="G1300" s="86">
        <f>IFERROR(__xludf.DUMMYFUNCTION("""COMPUTED_VALUE"""),46276.0)</f>
        <v>46276</v>
      </c>
      <c r="H1300" s="85"/>
      <c r="I1300" s="85"/>
      <c r="J1300" s="85"/>
      <c r="K1300" s="85"/>
      <c r="L1300" s="85">
        <f>IFERROR(__xludf.DUMMYFUNCTION("""COMPUTED_VALUE"""),36.0)</f>
        <v>36</v>
      </c>
      <c r="M1300" s="85"/>
      <c r="N1300" s="85"/>
      <c r="O1300" s="85"/>
      <c r="P1300" s="85" t="str">
        <f>IFERROR(__xludf.DUMMYFUNCTION("""COMPUTED_VALUE"""),"53BSPA17181JBNDS")</f>
        <v>53BSPA17181JBNDS</v>
      </c>
      <c r="Q1300" s="85" t="str">
        <f>IFERROR(__xludf.DUMMYFUNCTION("""COMPUTED_VALUE"""),"MUC DEWATA CIMAHPAR BOGOR")</f>
        <v>MUC DEWATA CIMAHPAR BOGOR</v>
      </c>
      <c r="R1300" s="85" t="str">
        <f>IFERROR(__xludf.DUMMYFUNCTION("""COMPUTED_VALUE"""),"MUC DEWATA CIMAHPAR BOGOR")</f>
        <v>MUC DEWATA CIMAHPAR BOGOR</v>
      </c>
      <c r="S1300" s="85" t="str">
        <f>IFERROR(__xludf.DUMMYFUNCTION("""COMPUTED_VALUE"""),"AGUNG BUDIYONO")</f>
        <v>AGUNG BUDIYONO</v>
      </c>
      <c r="T1300" s="85" t="str">
        <f>IFERROR(__xludf.DUMMYFUNCTION("""COMPUTED_VALUE"""),"JL KERINCI V NO.1 RT 003/026 ABADIJAYA SUKMAJAYA DEPOK")</f>
        <v>JL KERINCI V NO.1 RT 003/026 ABADIJAYA SUKMAJAYA DEPOK</v>
      </c>
      <c r="U1300" s="85" t="str">
        <f>IFERROR(__xludf.DUMMYFUNCTION("""COMPUTED_VALUE"""),"Dewata Function Hall Jl Tumenggung Wiradireja")</f>
        <v>Dewata Function Hall Jl Tumenggung Wiradireja</v>
      </c>
      <c r="V1300" s="85"/>
      <c r="W1300" s="85" t="str">
        <f>IFERROR(__xludf.DUMMYFUNCTION("""COMPUTED_VALUE"""),"Cimahpar")</f>
        <v>Cimahpar</v>
      </c>
      <c r="X1300" s="85" t="str">
        <f>IFERROR(__xludf.DUMMYFUNCTION("""COMPUTED_VALUE"""),"Bogor Utara")</f>
        <v>Bogor Utara</v>
      </c>
      <c r="Y1300" s="85" t="str">
        <f>IFERROR(__xludf.DUMMYFUNCTION("""COMPUTED_VALUE"""),"Bogor")</f>
        <v>Bogor</v>
      </c>
      <c r="Z1300" s="85" t="str">
        <f>IFERROR(__xludf.DUMMYFUNCTION("""COMPUTED_VALUE"""),"Jawa Barat")</f>
        <v>Jawa Barat</v>
      </c>
      <c r="AA1300" s="85" t="str">
        <f>IFERROR(__xludf.DUMMYFUNCTION("""COMPUTED_VALUE"""),"16155")</f>
        <v>16155</v>
      </c>
      <c r="AB1300" s="85" t="str">
        <f>IFERROR(__xludf.DUMMYFUNCTION("""COMPUTED_VALUE"""),"3276050903860008")</f>
        <v>3276050903860008</v>
      </c>
      <c r="AC1300" s="85" t="str">
        <f>IFERROR(__xludf.DUMMYFUNCTION("""COMPUTED_VALUE"""),"89.334.177.6-412.000")</f>
        <v>89.334.177.6-412.000</v>
      </c>
      <c r="AD1300" s="85" t="str">
        <f>IFERROR(__xludf.DUMMYFUNCTION("""COMPUTED_VALUE"""),"CUM - NDS")</f>
        <v>CUM - NDS</v>
      </c>
      <c r="AE1300" s="85" t="str">
        <f>IFERROR(__xludf.DUMMYFUNCTION("""COMPUTED_VALUE"""),"CUM - NDS")</f>
        <v>CUM - NDS</v>
      </c>
      <c r="AF1300" s="85" t="str">
        <f>IFERROR(__xludf.DUMMYFUNCTION("""COMPUTED_VALUE"""),"085134399590")</f>
        <v>085134399590</v>
      </c>
      <c r="AG1300" s="85" t="str">
        <f>IFERROR(__xludf.DUMMYFUNCTION("""COMPUTED_VALUE"""),"085134399590")</f>
        <v>085134399590</v>
      </c>
      <c r="AH1300" s="85" t="str">
        <f>IFERROR(__xludf.DUMMYFUNCTION("""COMPUTED_VALUE"""),"trisetaralogistik@gmail.com")</f>
        <v>trisetaralogistik@gmail.com</v>
      </c>
      <c r="AI1300" s="85" t="str">
        <f>IFERROR(__xludf.DUMMYFUNCTION("""COMPUTED_VALUE"""),"16155S4 ")</f>
        <v>16155S4 </v>
      </c>
      <c r="AJ1300" s="85" t="str">
        <f>IFERROR(__xludf.DUMMYFUNCTION("""COMPUTED_VALUE"""),"6aa3c9eb75e64e3995061460 ")</f>
        <v>6aa3c9eb75e64e3995061460 </v>
      </c>
      <c r="AK1300" s="85" t="str">
        <f>IFERROR(__xludf.DUMMYFUNCTION("""COMPUTED_VALUE"""),"trisetaralogistik@gmail.com")</f>
        <v>trisetaralogistik@gmail.com</v>
      </c>
      <c r="AL1300" s="85" t="str">
        <f>IFERROR(__xludf.DUMMYFUNCTION("""COMPUTED_VALUE"""),"#Muc16155S4$")</f>
        <v>#Muc16155S4$</v>
      </c>
      <c r="AM1300" s="85" t="str">
        <f>IFERROR(__xludf.DUMMYFUNCTION("""COMPUTED_VALUE"""),"KANTOR REGIONAL II JAKARTA 10004")</f>
        <v>KANTOR REGIONAL II JAKARTA 10004</v>
      </c>
      <c r="AN1300" s="85" t="str">
        <f>IFERROR(__xludf.DUMMYFUNCTION("""COMPUTED_VALUE"""),"KCU BOGOR 16000")</f>
        <v>KCU BOGOR 16000</v>
      </c>
      <c r="AO1300" s="85" t="str">
        <f>IFERROR(__xludf.DUMMYFUNCTION("""COMPUTED_VALUE"""),"9120412161083")</f>
        <v>9120412161083</v>
      </c>
      <c r="AP1300" s="85" t="str">
        <f>IFERROR(__xludf.DUMMYFUNCTION("""COMPUTED_VALUE"""),"9120412161083")</f>
        <v>9120412161083</v>
      </c>
      <c r="AQ1300" s="93" t="str">
        <f>IFERROR(__xludf.DUMMYFUNCTION("""COMPUTED_VALUE"""),"6610877557")</f>
        <v>6610877557</v>
      </c>
      <c r="AR1300" s="85" t="str">
        <f>IFERROR(__xludf.DUMMYFUNCTION("""COMPUTED_VALUE"""),"BCA")</f>
        <v>BCA</v>
      </c>
      <c r="AS1300" s="85" t="str">
        <f>IFERROR(__xludf.DUMMYFUNCTION("""COMPUTED_VALUE"""),"AGUNG BUDIYONO")</f>
        <v>AGUNG BUDIYONO</v>
      </c>
      <c r="AT1300" s="85" t="str">
        <f>IFERROR(__xludf.DUMMYFUNCTION("""COMPUTED_VALUE"""),"-6.5896663,106.8257754")</f>
        <v>-6.5896663,106.8257754</v>
      </c>
      <c r="AU1300" s="85" t="str">
        <f>IFERROR(__xludf.DUMMYFUNCTION("""COMPUTED_VALUE"""),"-6.5896663,106.8257754")</f>
        <v>-6.5896663,106.8257754</v>
      </c>
      <c r="AV1300" s="85"/>
      <c r="AW1300" s="85"/>
      <c r="AX1300" s="85"/>
      <c r="AY1300" s="85"/>
      <c r="AZ1300" s="85"/>
      <c r="BA1300" s="85"/>
      <c r="BB1300" s="85"/>
      <c r="BC1300" s="85"/>
      <c r="BD1300" s="85"/>
      <c r="BE1300" s="85"/>
      <c r="BF1300" s="85"/>
      <c r="BG1300" s="85"/>
      <c r="BH1300" s="85"/>
      <c r="BI1300" s="85"/>
      <c r="BJ1300" s="85"/>
      <c r="BK1300" s="85"/>
      <c r="BL1300" s="85"/>
      <c r="BM1300" s="85"/>
      <c r="BN1300" s="85"/>
      <c r="BO1300" s="85"/>
      <c r="BP1300" s="85"/>
      <c r="BQ1300" s="85"/>
      <c r="BR1300" s="85"/>
      <c r="BS1300" s="85"/>
      <c r="BT1300" s="85"/>
      <c r="BU1300" s="85"/>
      <c r="BV1300" s="85"/>
      <c r="BW1300" s="85"/>
      <c r="BX1300" s="85"/>
      <c r="BY1300" s="85"/>
      <c r="BZ1300" s="85"/>
      <c r="CA1300" s="85"/>
      <c r="CB1300" s="85"/>
      <c r="CC1300" s="85"/>
      <c r="CD1300" s="85"/>
      <c r="CE1300" s="85"/>
      <c r="CF1300" s="85"/>
      <c r="CG1300" s="85"/>
      <c r="CH1300" s="85"/>
      <c r="CI1300" s="85"/>
      <c r="CJ1300" s="85"/>
      <c r="CK1300" s="2"/>
    </row>
    <row r="1301" ht="12.75" customHeight="1">
      <c r="A1301" s="80">
        <f>IFERROR(__xludf.DUMMYFUNCTION("""COMPUTED_VALUE"""),1297.0)</f>
        <v>1297</v>
      </c>
      <c r="B1301" s="80"/>
      <c r="C1301" s="80"/>
      <c r="D1301" s="81">
        <f>IFERROR(__xludf.DUMMYFUNCTION("""COMPUTED_VALUE"""),46240.0)</f>
        <v>46240</v>
      </c>
      <c r="E1301" s="82"/>
      <c r="F1301" s="80"/>
      <c r="G1301" s="81">
        <f>IFERROR(__xludf.DUMMYFUNCTION("""COMPUTED_VALUE"""),46265.0)</f>
        <v>46265</v>
      </c>
      <c r="H1301" s="80"/>
      <c r="I1301" s="80"/>
      <c r="J1301" s="80"/>
      <c r="K1301" s="80"/>
      <c r="L1301" s="80">
        <f>IFERROR(__xludf.DUMMYFUNCTION("""COMPUTED_VALUE"""),25.0)</f>
        <v>25</v>
      </c>
      <c r="M1301" s="80"/>
      <c r="N1301" s="80"/>
      <c r="O1301" s="80"/>
      <c r="P1301" s="80" t="str">
        <f>IFERROR(__xludf.DUMMYFUNCTION("""COMPUTED_VALUE"""),"MUCSPA70006PSAAK")</f>
        <v>MUCSPA70006PSAAK</v>
      </c>
      <c r="Q1301" s="80" t="str">
        <f>IFERROR(__xludf.DUMMYFUNCTION("""COMPUTED_VALUE"""),"MUC LEUWINANGGUNG")</f>
        <v>MUC LEUWINANGGUNG</v>
      </c>
      <c r="R1301" s="80" t="str">
        <f>IFERROR(__xludf.DUMMYFUNCTION("""COMPUTED_VALUE"""),"MUC LEUWINANGGUNG")</f>
        <v>MUC LEUWINANGGUNG</v>
      </c>
      <c r="S1301" s="80" t="str">
        <f>IFERROR(__xludf.DUMMYFUNCTION("""COMPUTED_VALUE"""),"BRIAN FAHMI ELROZI")</f>
        <v>BRIAN FAHMI ELROZI</v>
      </c>
      <c r="T1301" s="80" t="str">
        <f>IFERROR(__xludf.DUMMYFUNCTION("""COMPUTED_VALUE"""),"TEGAL MULYO RT 003 RW 004 MOJOSONGO JEBRES SURAKARTA JAWA TENGAH")</f>
        <v>TEGAL MULYO RT 003 RW 004 MOJOSONGO JEBRES SURAKARTA JAWA TENGAH</v>
      </c>
      <c r="U1301" s="80" t="str">
        <f>IFERROR(__xludf.DUMMYFUNCTION("""COMPUTED_VALUE"""),"JL. RAYA LEUWINANGGUNG NO.73 RT 01 RW 08 KP PARIGI")</f>
        <v>JL. RAYA LEUWINANGGUNG NO.73 RT 01 RW 08 KP PARIGI</v>
      </c>
      <c r="V1301" s="80" t="str">
        <f>IFERROR(__xludf.DUMMYFUNCTION("""COMPUTED_VALUE"""),"RT 003 \ RW 004")</f>
        <v>RT 003 \ RW 004</v>
      </c>
      <c r="W1301" s="80" t="str">
        <f>IFERROR(__xludf.DUMMYFUNCTION("""COMPUTED_VALUE"""),"Leuwinanggung")</f>
        <v>Leuwinanggung</v>
      </c>
      <c r="X1301" s="80" t="str">
        <f>IFERROR(__xludf.DUMMYFUNCTION("""COMPUTED_VALUE"""),"Tapos")</f>
        <v>Tapos</v>
      </c>
      <c r="Y1301" s="80" t="str">
        <f>IFERROR(__xludf.DUMMYFUNCTION("""COMPUTED_VALUE"""),"Kota Depok")</f>
        <v>Kota Depok</v>
      </c>
      <c r="Z1301" s="80" t="str">
        <f>IFERROR(__xludf.DUMMYFUNCTION("""COMPUTED_VALUE"""),"Jawa Barat")</f>
        <v>Jawa Barat</v>
      </c>
      <c r="AA1301" s="80" t="str">
        <f>IFERROR(__xludf.DUMMYFUNCTION("""COMPUTED_VALUE"""),"16456")</f>
        <v>16456</v>
      </c>
      <c r="AB1301" s="80" t="str">
        <f>IFERROR(__xludf.DUMMYFUNCTION("""COMPUTED_VALUE"""),"3372041310880005")</f>
        <v>3372041310880005</v>
      </c>
      <c r="AC1301" s="80" t="str">
        <f>IFERROR(__xludf.DUMMYFUNCTION("""COMPUTED_VALUE"""),"73.319.207.4-526.000")</f>
        <v>73.319.207.4-526.000</v>
      </c>
      <c r="AD1301" s="80" t="str">
        <f>IFERROR(__xludf.DUMMYFUNCTION("""COMPUTED_VALUE"""),"CUM - LP - ANGGI")</f>
        <v>CUM - LP - ANGGI</v>
      </c>
      <c r="AE1301" s="80" t="str">
        <f>IFERROR(__xludf.DUMMYFUNCTION("""COMPUTED_VALUE"""),"CUM - LP - ANGGI")</f>
        <v>CUM - LP - ANGGI</v>
      </c>
      <c r="AF1301" s="80" t="str">
        <f>IFERROR(__xludf.DUMMYFUNCTION("""COMPUTED_VALUE"""),"081990191892")</f>
        <v>081990191892</v>
      </c>
      <c r="AG1301" s="80" t="str">
        <f>IFERROR(__xludf.DUMMYFUNCTION("""COMPUTED_VALUE"""),"081990191892")</f>
        <v>081990191892</v>
      </c>
      <c r="AH1301" s="80" t="str">
        <f>IFERROR(__xludf.DUMMYFUNCTION("""COMPUTED_VALUE"""),"kurir.idn@gmail.com")</f>
        <v>kurir.idn@gmail.com</v>
      </c>
      <c r="AI1301" s="80" t="str">
        <f>IFERROR(__xludf.DUMMYFUNCTION("""COMPUTED_VALUE"""),"16463S4")</f>
        <v>16463S4</v>
      </c>
      <c r="AJ1301" s="80" t="str">
        <f>IFERROR(__xludf.DUMMYFUNCTION("""COMPUTED_VALUE"""),"6a92584c03df7c5a4f0b0192")</f>
        <v>6a92584c03df7c5a4f0b0192</v>
      </c>
      <c r="AK1301" s="80" t="str">
        <f>IFERROR(__xludf.DUMMYFUNCTION("""COMPUTED_VALUE"""),"kurir.idn@gmail.com")</f>
        <v>kurir.idn@gmail.com</v>
      </c>
      <c r="AL1301" s="80" t="str">
        <f>IFERROR(__xludf.DUMMYFUNCTION("""COMPUTED_VALUE"""),"#Muc16463S4$")</f>
        <v>#Muc16463S4$</v>
      </c>
      <c r="AM1301" s="80" t="str">
        <f>IFERROR(__xludf.DUMMYFUNCTION("""COMPUTED_VALUE"""),"KANTOR REGIONAL II JAKARTA 10004")</f>
        <v>KANTOR REGIONAL II JAKARTA 10004</v>
      </c>
      <c r="AN1301" s="80" t="str">
        <f>IFERROR(__xludf.DUMMYFUNCTION("""COMPUTED_VALUE"""),"KC DEPOK 16400")</f>
        <v>KC DEPOK 16400</v>
      </c>
      <c r="AO1301" s="80" t="str">
        <f>IFERROR(__xludf.DUMMYFUNCTION("""COMPUTED_VALUE"""),"0508260284073")</f>
        <v>0508260284073</v>
      </c>
      <c r="AP1301" s="80" t="str">
        <f>IFERROR(__xludf.DUMMYFUNCTION("""COMPUTED_VALUE"""),"0508260284073")</f>
        <v>0508260284073</v>
      </c>
      <c r="AQ1301" s="83" t="str">
        <f>IFERROR(__xludf.DUMMYFUNCTION("""COMPUTED_VALUE"""),"1670004756416")</f>
        <v>1670004756416</v>
      </c>
      <c r="AR1301" s="80" t="str">
        <f>IFERROR(__xludf.DUMMYFUNCTION("""COMPUTED_VALUE"""),"MANDIRI")</f>
        <v>MANDIRI</v>
      </c>
      <c r="AS1301" s="80" t="str">
        <f>IFERROR(__xludf.DUMMYFUNCTION("""COMPUTED_VALUE"""),"DWI PRIYONO")</f>
        <v>DWI PRIYONO</v>
      </c>
      <c r="AT1301" s="80" t="str">
        <f>IFERROR(__xludf.DUMMYFUNCTION("""COMPUTED_VALUE"""),"-6.4050084,106.9053733")</f>
        <v>-6.4050084,106.9053733</v>
      </c>
      <c r="AU1301" s="80" t="str">
        <f>IFERROR(__xludf.DUMMYFUNCTION("""COMPUTED_VALUE"""),"-6.4050084,106.9053733")</f>
        <v>-6.4050084,106.9053733</v>
      </c>
      <c r="AV1301" s="80"/>
      <c r="AW1301" s="80"/>
      <c r="AX1301" s="80"/>
      <c r="AY1301" s="80"/>
      <c r="AZ1301" s="80"/>
      <c r="BA1301" s="80"/>
      <c r="BB1301" s="80"/>
      <c r="BC1301" s="80"/>
      <c r="BD1301" s="80"/>
      <c r="BE1301" s="80"/>
      <c r="BF1301" s="80"/>
      <c r="BG1301" s="80"/>
      <c r="BH1301" s="80"/>
      <c r="BI1301" s="80"/>
      <c r="BJ1301" s="80"/>
      <c r="BK1301" s="80"/>
      <c r="BL1301" s="80"/>
      <c r="BM1301" s="80"/>
      <c r="BN1301" s="80"/>
      <c r="BO1301" s="80"/>
      <c r="BP1301" s="80"/>
      <c r="BQ1301" s="80"/>
      <c r="BR1301" s="80"/>
      <c r="BS1301" s="80"/>
      <c r="BT1301" s="80"/>
      <c r="BU1301" s="80"/>
      <c r="BV1301" s="80"/>
      <c r="BW1301" s="80"/>
      <c r="BX1301" s="80"/>
      <c r="BY1301" s="80"/>
      <c r="BZ1301" s="80"/>
      <c r="CA1301" s="80"/>
      <c r="CB1301" s="80"/>
      <c r="CC1301" s="80"/>
      <c r="CD1301" s="80"/>
      <c r="CE1301" s="80"/>
      <c r="CF1301" s="80"/>
      <c r="CG1301" s="80"/>
      <c r="CH1301" s="80"/>
      <c r="CI1301" s="80"/>
      <c r="CJ1301" s="80"/>
      <c r="CK1301" s="2"/>
    </row>
    <row r="1302" ht="12.75" customHeight="1">
      <c r="A1302" s="85">
        <f>IFERROR(__xludf.DUMMYFUNCTION("""COMPUTED_VALUE"""),1298.0)</f>
        <v>1298</v>
      </c>
      <c r="B1302" s="85"/>
      <c r="C1302" s="85"/>
      <c r="D1302" s="86">
        <f>IFERROR(__xludf.DUMMYFUNCTION("""COMPUTED_VALUE"""),46240.0)</f>
        <v>46240</v>
      </c>
      <c r="E1302" s="88"/>
      <c r="F1302" s="85"/>
      <c r="G1302" s="86">
        <f>IFERROR(__xludf.DUMMYFUNCTION("""COMPUTED_VALUE"""),46265.0)</f>
        <v>46265</v>
      </c>
      <c r="H1302" s="85"/>
      <c r="I1302" s="85"/>
      <c r="J1302" s="85"/>
      <c r="K1302" s="85"/>
      <c r="L1302" s="85">
        <f>IFERROR(__xludf.DUMMYFUNCTION("""COMPUTED_VALUE"""),25.0)</f>
        <v>25</v>
      </c>
      <c r="M1302" s="85"/>
      <c r="N1302" s="85"/>
      <c r="O1302" s="85"/>
      <c r="P1302" s="85" t="str">
        <f>IFERROR(__xludf.DUMMYFUNCTION("""COMPUTED_VALUE"""),"44BSPA45376NTBDR")</f>
        <v>44BSPA45376NTBDR</v>
      </c>
      <c r="Q1302" s="85" t="str">
        <f>IFERROR(__xludf.DUMMYFUNCTION("""COMPUTED_VALUE"""),"MUC Tanjung Gusta")</f>
        <v>MUC Tanjung Gusta</v>
      </c>
      <c r="R1302" s="85" t="str">
        <f>IFERROR(__xludf.DUMMYFUNCTION("""COMPUTED_VALUE"""),"MUC Tanjung Gusta")</f>
        <v>MUC Tanjung Gusta</v>
      </c>
      <c r="S1302" s="85" t="str">
        <f>IFERROR(__xludf.DUMMYFUNCTION("""COMPUTED_VALUE"""),"BUCHANAN MARBUN")</f>
        <v>BUCHANAN MARBUN</v>
      </c>
      <c r="T1302" s="85" t="str">
        <f>IFERROR(__xludf.DUMMYFUNCTION("""COMPUTED_VALUE"""),"DUSUN IV JLN PEMASYARAKATAN NO.10")</f>
        <v>DUSUN IV JLN PEMASYARAKATAN NO.10</v>
      </c>
      <c r="U1302" s="85" t="str">
        <f>IFERROR(__xludf.DUMMYFUNCTION("""COMPUTED_VALUE"""),"Jl. Lembaga Pemasyarakatan No.10")</f>
        <v>Jl. Lembaga Pemasyarakatan No.10</v>
      </c>
      <c r="V1302" s="85"/>
      <c r="W1302" s="85" t="str">
        <f>IFERROR(__xludf.DUMMYFUNCTION("""COMPUTED_VALUE"""),"Tanjung Gusta")</f>
        <v>Tanjung Gusta</v>
      </c>
      <c r="X1302" s="85" t="str">
        <f>IFERROR(__xludf.DUMMYFUNCTION("""COMPUTED_VALUE"""),"Sunggal")</f>
        <v>Sunggal</v>
      </c>
      <c r="Y1302" s="85" t="str">
        <f>IFERROR(__xludf.DUMMYFUNCTION("""COMPUTED_VALUE"""),"Kab. Deli Serdang")</f>
        <v>Kab. Deli Serdang</v>
      </c>
      <c r="Z1302" s="85" t="str">
        <f>IFERROR(__xludf.DUMMYFUNCTION("""COMPUTED_VALUE"""),"Sumatera Utara")</f>
        <v>Sumatera Utara</v>
      </c>
      <c r="AA1302" s="85" t="str">
        <f>IFERROR(__xludf.DUMMYFUNCTION("""COMPUTED_VALUE"""),"20124")</f>
        <v>20124</v>
      </c>
      <c r="AB1302" s="85" t="str">
        <f>IFERROR(__xludf.DUMMYFUNCTION("""COMPUTED_VALUE"""),"1207231609840008")</f>
        <v>1207231609840008</v>
      </c>
      <c r="AC1302" s="85" t="str">
        <f>IFERROR(__xludf.DUMMYFUNCTION("""COMPUTED_VALUE"""),"36.695.851.0-125.000")</f>
        <v>36.695.851.0-125.000</v>
      </c>
      <c r="AD1302" s="85" t="str">
        <f>IFERROR(__xludf.DUMMYFUNCTION("""COMPUTED_VALUE"""),"44CUMBSBDRIEN - CUM BSB - DRIEN")</f>
        <v>44CUMBSBDRIEN - CUM BSB - DRIEN</v>
      </c>
      <c r="AE1302" s="85" t="str">
        <f>IFERROR(__xludf.DUMMYFUNCTION("""COMPUTED_VALUE"""),"44CUMBSBDRIEN - CUM BSB - DRIEN")</f>
        <v>44CUMBSBDRIEN - CUM BSB - DRIEN</v>
      </c>
      <c r="AF1302" s="85" t="str">
        <f>IFERROR(__xludf.DUMMYFUNCTION("""COMPUTED_VALUE"""),"085373037404")</f>
        <v>085373037404</v>
      </c>
      <c r="AG1302" s="85" t="str">
        <f>IFERROR(__xludf.DUMMYFUNCTION("""COMPUTED_VALUE"""),"085373037404")</f>
        <v>085373037404</v>
      </c>
      <c r="AH1302" s="85" t="str">
        <f>IFERROR(__xludf.DUMMYFUNCTION("""COMPUTED_VALUE"""),"silverbonan@gmail.com")</f>
        <v>silverbonan@gmail.com</v>
      </c>
      <c r="AI1302" s="85" t="str">
        <f>IFERROR(__xludf.DUMMYFUNCTION("""COMPUTED_VALUE"""),"20352S4")</f>
        <v>20352S4</v>
      </c>
      <c r="AJ1302" s="85" t="str">
        <f>IFERROR(__xludf.DUMMYFUNCTION("""COMPUTED_VALUE"""),"6a927ece7c6c21e87e02807b")</f>
        <v>6a927ece7c6c21e87e02807b</v>
      </c>
      <c r="AK1302" s="85" t="str">
        <f>IFERROR(__xludf.DUMMYFUNCTION("""COMPUTED_VALUE"""),"silverbonan@gmail.com")</f>
        <v>silverbonan@gmail.com</v>
      </c>
      <c r="AL1302" s="85" t="str">
        <f>IFERROR(__xludf.DUMMYFUNCTION("""COMPUTED_VALUE"""),"#Muc20352S4$")</f>
        <v>#Muc20352S4$</v>
      </c>
      <c r="AM1302" s="85" t="str">
        <f>IFERROR(__xludf.DUMMYFUNCTION("""COMPUTED_VALUE"""),"KANTOR REGIONAL I MEDAN 20004")</f>
        <v>KANTOR REGIONAL I MEDAN 20004</v>
      </c>
      <c r="AN1302" s="85" t="str">
        <f>IFERROR(__xludf.DUMMYFUNCTION("""COMPUTED_VALUE"""),"KC BINJAI 20700")</f>
        <v>KC BINJAI 20700</v>
      </c>
      <c r="AO1302" s="85" t="str">
        <f>IFERROR(__xludf.DUMMYFUNCTION("""COMPUTED_VALUE"""),"1110230000956")</f>
        <v>1110230000956</v>
      </c>
      <c r="AP1302" s="85" t="str">
        <f>IFERROR(__xludf.DUMMYFUNCTION("""COMPUTED_VALUE"""),"1110230000956")</f>
        <v>1110230000956</v>
      </c>
      <c r="AQ1302" s="93" t="str">
        <f>IFERROR(__xludf.DUMMYFUNCTION("""COMPUTED_VALUE"""),"8075089054")</f>
        <v>8075089054</v>
      </c>
      <c r="AR1302" s="85" t="str">
        <f>IFERROR(__xludf.DUMMYFUNCTION("""COMPUTED_VALUE"""),"BCA")</f>
        <v>BCA</v>
      </c>
      <c r="AS1302" s="85" t="str">
        <f>IFERROR(__xludf.DUMMYFUNCTION("""COMPUTED_VALUE"""),"BUCHANAN MARBUN")</f>
        <v>BUCHANAN MARBUN</v>
      </c>
      <c r="AT1302" s="85" t="str">
        <f>IFERROR(__xludf.DUMMYFUNCTION("""COMPUTED_VALUE"""),"3.6148892,98.6266455")</f>
        <v>3.6148892,98.6266455</v>
      </c>
      <c r="AU1302" s="85" t="str">
        <f>IFERROR(__xludf.DUMMYFUNCTION("""COMPUTED_VALUE"""),"3.6148892,98.6266455")</f>
        <v>3.6148892,98.6266455</v>
      </c>
      <c r="AV1302" s="85"/>
      <c r="AW1302" s="85"/>
      <c r="AX1302" s="85"/>
      <c r="AY1302" s="85"/>
      <c r="AZ1302" s="85"/>
      <c r="BA1302" s="85"/>
      <c r="BB1302" s="85"/>
      <c r="BC1302" s="85"/>
      <c r="BD1302" s="85"/>
      <c r="BE1302" s="85"/>
      <c r="BF1302" s="85"/>
      <c r="BG1302" s="85"/>
      <c r="BH1302" s="85"/>
      <c r="BI1302" s="85"/>
      <c r="BJ1302" s="85"/>
      <c r="BK1302" s="85"/>
      <c r="BL1302" s="85"/>
      <c r="BM1302" s="85"/>
      <c r="BN1302" s="85"/>
      <c r="BO1302" s="85"/>
      <c r="BP1302" s="85"/>
      <c r="BQ1302" s="85"/>
      <c r="BR1302" s="85"/>
      <c r="BS1302" s="85"/>
      <c r="BT1302" s="85"/>
      <c r="BU1302" s="85"/>
      <c r="BV1302" s="85"/>
      <c r="BW1302" s="85"/>
      <c r="BX1302" s="85"/>
      <c r="BY1302" s="85"/>
      <c r="BZ1302" s="85"/>
      <c r="CA1302" s="85"/>
      <c r="CB1302" s="85"/>
      <c r="CC1302" s="85"/>
      <c r="CD1302" s="85"/>
      <c r="CE1302" s="85"/>
      <c r="CF1302" s="85"/>
      <c r="CG1302" s="85"/>
      <c r="CH1302" s="85"/>
      <c r="CI1302" s="85"/>
      <c r="CJ1302" s="85"/>
      <c r="CK1302" s="2"/>
    </row>
    <row r="1303" ht="12.75" customHeight="1">
      <c r="A1303" s="80">
        <f>IFERROR(__xludf.DUMMYFUNCTION("""COMPUTED_VALUE"""),1299.0)</f>
        <v>1299</v>
      </c>
      <c r="B1303" s="80"/>
      <c r="C1303" s="80"/>
      <c r="D1303" s="81">
        <f>IFERROR(__xludf.DUMMYFUNCTION("""COMPUTED_VALUE"""),46240.0)</f>
        <v>46240</v>
      </c>
      <c r="E1303" s="82"/>
      <c r="F1303" s="80"/>
      <c r="G1303" s="81">
        <f>IFERROR(__xludf.DUMMYFUNCTION("""COMPUTED_VALUE"""),46265.0)</f>
        <v>46265</v>
      </c>
      <c r="H1303" s="80"/>
      <c r="I1303" s="80"/>
      <c r="J1303" s="80"/>
      <c r="K1303" s="80"/>
      <c r="L1303" s="80">
        <f>IFERROR(__xludf.DUMMYFUNCTION("""COMPUTED_VALUE"""),25.0)</f>
        <v>25</v>
      </c>
      <c r="M1303" s="80"/>
      <c r="N1303" s="80"/>
      <c r="O1303" s="80"/>
      <c r="P1303" s="80" t="str">
        <f>IFERROR(__xludf.DUMMYFUNCTION("""COMPUTED_VALUE"""),"MUCSPA70081PSLDI")</f>
        <v>MUCSPA70081PSLDI</v>
      </c>
      <c r="Q1303" s="80" t="str">
        <f>IFERROR(__xludf.DUMMYFUNCTION("""COMPUTED_VALUE"""),"MUC OMAR EXPRESS")</f>
        <v>MUC OMAR EXPRESS</v>
      </c>
      <c r="R1303" s="80" t="str">
        <f>IFERROR(__xludf.DUMMYFUNCTION("""COMPUTED_VALUE"""),"MUC OMAR EXPRESS")</f>
        <v>MUC OMAR EXPRESS</v>
      </c>
      <c r="S1303" s="80" t="str">
        <f>IFERROR(__xludf.DUMMYFUNCTION("""COMPUTED_VALUE"""),"RENI KOMARASARI")</f>
        <v>RENI KOMARASARI</v>
      </c>
      <c r="T1303" s="80" t="str">
        <f>IFERROR(__xludf.DUMMYFUNCTION("""COMPUTED_VALUE"""),"Bojong Kacor RT 03/21 No.143 Kel.Cibeunying Kec.Cimenyan Kab.Bandung")</f>
        <v>Bojong Kacor RT 03/21 No.143 Kel.Cibeunying Kec.Cimenyan Kab.Bandung</v>
      </c>
      <c r="U1303" s="80" t="str">
        <f>IFERROR(__xludf.DUMMYFUNCTION("""COMPUTED_VALUE"""),"Bojong Kacor RT 03/21 No.143 Kel.Cibeunying Kec.Cimenyan Kab.Bandung")</f>
        <v>Bojong Kacor RT 03/21 No.143 Kel.Cibeunying Kec.Cimenyan Kab.Bandung</v>
      </c>
      <c r="V1303" s="80"/>
      <c r="W1303" s="80" t="str">
        <f>IFERROR(__xludf.DUMMYFUNCTION("""COMPUTED_VALUE"""),"Cibeunying")</f>
        <v>Cibeunying</v>
      </c>
      <c r="X1303" s="80" t="str">
        <f>IFERROR(__xludf.DUMMYFUNCTION("""COMPUTED_VALUE"""),"Cimenyan")</f>
        <v>Cimenyan</v>
      </c>
      <c r="Y1303" s="80" t="str">
        <f>IFERROR(__xludf.DUMMYFUNCTION("""COMPUTED_VALUE"""),"Bandung")</f>
        <v>Bandung</v>
      </c>
      <c r="Z1303" s="80" t="str">
        <f>IFERROR(__xludf.DUMMYFUNCTION("""COMPUTED_VALUE"""),"Jawa Barat")</f>
        <v>Jawa Barat</v>
      </c>
      <c r="AA1303" s="80" t="str">
        <f>IFERROR(__xludf.DUMMYFUNCTION("""COMPUTED_VALUE"""),"40191")</f>
        <v>40191</v>
      </c>
      <c r="AB1303" s="80" t="str">
        <f>IFERROR(__xludf.DUMMYFUNCTION("""COMPUTED_VALUE"""),"3204064701810010")</f>
        <v>3204064701810010</v>
      </c>
      <c r="AC1303" s="80" t="str">
        <f>IFERROR(__xludf.DUMMYFUNCTION("""COMPUTED_VALUE"""),"32.040.647.0-181.0010")</f>
        <v>32.040.647.0-181.0010</v>
      </c>
      <c r="AD1303" s="80" t="str">
        <f>IFERROR(__xludf.DUMMYFUNCTION("""COMPUTED_VALUE"""),"CUM - LDI - KOPUBGBS")</f>
        <v>CUM - LDI - KOPUBGBS</v>
      </c>
      <c r="AE1303" s="80" t="str">
        <f>IFERROR(__xludf.DUMMYFUNCTION("""COMPUTED_VALUE"""),"CUM - LDI - KOPUBGBS")</f>
        <v>CUM - LDI - KOPUBGBS</v>
      </c>
      <c r="AF1303" s="80" t="str">
        <f>IFERROR(__xludf.DUMMYFUNCTION("""COMPUTED_VALUE"""),"0895376552273")</f>
        <v>0895376552273</v>
      </c>
      <c r="AG1303" s="80" t="str">
        <f>IFERROR(__xludf.DUMMYFUNCTION("""COMPUTED_VALUE"""),"0895376552273")</f>
        <v>0895376552273</v>
      </c>
      <c r="AH1303" s="80" t="str">
        <f>IFERROR(__xludf.DUMMYFUNCTION("""COMPUTED_VALUE"""),"renikomarasari8@gmail.com")</f>
        <v>renikomarasari8@gmail.com</v>
      </c>
      <c r="AI1303" s="80" t="str">
        <f>IFERROR(__xludf.DUMMYFUNCTION("""COMPUTED_VALUE"""),"40399S6")</f>
        <v>40399S6</v>
      </c>
      <c r="AJ1303" s="80" t="str">
        <f>IFERROR(__xludf.DUMMYFUNCTION("""COMPUTED_VALUE"""),"6a928ec59cfa99231f09801b")</f>
        <v>6a928ec59cfa99231f09801b</v>
      </c>
      <c r="AK1303" s="80" t="str">
        <f>IFERROR(__xludf.DUMMYFUNCTION("""COMPUTED_VALUE"""),"renikomarasari8@gmail.com")</f>
        <v>renikomarasari8@gmail.com</v>
      </c>
      <c r="AL1303" s="80" t="str">
        <f>IFERROR(__xludf.DUMMYFUNCTION("""COMPUTED_VALUE"""),"#Muc40399S6$")</f>
        <v>#Muc40399S6$</v>
      </c>
      <c r="AM1303" s="80" t="str">
        <f>IFERROR(__xludf.DUMMYFUNCTION("""COMPUTED_VALUE"""),"KANTOR REGIONAL III BANDUNG 40004")</f>
        <v>KANTOR REGIONAL III BANDUNG 40004</v>
      </c>
      <c r="AN1303" s="80" t="str">
        <f>IFERROR(__xludf.DUMMYFUNCTION("""COMPUTED_VALUE"""),"KCU BANDUNG 40000")</f>
        <v>KCU BANDUNG 40000</v>
      </c>
      <c r="AO1303" s="80" t="str">
        <f>IFERROR(__xludf.DUMMYFUNCTION("""COMPUTED_VALUE"""),"0508260192416")</f>
        <v>0508260192416</v>
      </c>
      <c r="AP1303" s="80" t="str">
        <f>IFERROR(__xludf.DUMMYFUNCTION("""COMPUTED_VALUE"""),"0508260192416")</f>
        <v>0508260192416</v>
      </c>
      <c r="AQ1303" s="83" t="str">
        <f>IFERROR(__xludf.DUMMYFUNCTION("""COMPUTED_VALUE"""),"8320553271")</f>
        <v>8320553271</v>
      </c>
      <c r="AR1303" s="80" t="str">
        <f>IFERROR(__xludf.DUMMYFUNCTION("""COMPUTED_VALUE"""),"BCA")</f>
        <v>BCA</v>
      </c>
      <c r="AS1303" s="80" t="str">
        <f>IFERROR(__xludf.DUMMYFUNCTION("""COMPUTED_VALUE"""),"RENI KOMARASARI")</f>
        <v>RENI KOMARASARI</v>
      </c>
      <c r="AT1303" s="80" t="str">
        <f>IFERROR(__xludf.DUMMYFUNCTION("""COMPUTED_VALUE"""),"-6.8846919,107.6293954")</f>
        <v>-6.8846919,107.6293954</v>
      </c>
      <c r="AU1303" s="80" t="str">
        <f>IFERROR(__xludf.DUMMYFUNCTION("""COMPUTED_VALUE"""),"-6.8846919,107.6293954")</f>
        <v>-6.8846919,107.6293954</v>
      </c>
      <c r="AV1303" s="80"/>
      <c r="AW1303" s="80"/>
      <c r="AX1303" s="80"/>
      <c r="AY1303" s="80"/>
      <c r="AZ1303" s="80"/>
      <c r="BA1303" s="80"/>
      <c r="BB1303" s="80"/>
      <c r="BC1303" s="80"/>
      <c r="BD1303" s="80"/>
      <c r="BE1303" s="80"/>
      <c r="BF1303" s="80"/>
      <c r="BG1303" s="80"/>
      <c r="BH1303" s="80"/>
      <c r="BI1303" s="80"/>
      <c r="BJ1303" s="80"/>
      <c r="BK1303" s="80"/>
      <c r="BL1303" s="80"/>
      <c r="BM1303" s="80"/>
      <c r="BN1303" s="80"/>
      <c r="BO1303" s="80"/>
      <c r="BP1303" s="80"/>
      <c r="BQ1303" s="80"/>
      <c r="BR1303" s="80"/>
      <c r="BS1303" s="80"/>
      <c r="BT1303" s="80"/>
      <c r="BU1303" s="80"/>
      <c r="BV1303" s="80"/>
      <c r="BW1303" s="80"/>
      <c r="BX1303" s="80"/>
      <c r="BY1303" s="80"/>
      <c r="BZ1303" s="80"/>
      <c r="CA1303" s="80"/>
      <c r="CB1303" s="80"/>
      <c r="CC1303" s="80"/>
      <c r="CD1303" s="80"/>
      <c r="CE1303" s="80"/>
      <c r="CF1303" s="80"/>
      <c r="CG1303" s="80"/>
      <c r="CH1303" s="80"/>
      <c r="CI1303" s="80"/>
      <c r="CJ1303" s="80"/>
      <c r="CK1303" s="2"/>
    </row>
    <row r="1304" ht="12.75" customHeight="1">
      <c r="A1304" s="85">
        <f>IFERROR(__xludf.DUMMYFUNCTION("""COMPUTED_VALUE"""),1300.0)</f>
        <v>1300</v>
      </c>
      <c r="B1304" s="85"/>
      <c r="C1304" s="85"/>
      <c r="D1304" s="86">
        <f>IFERROR(__xludf.DUMMYFUNCTION("""COMPUTED_VALUE"""),46240.0)</f>
        <v>46240</v>
      </c>
      <c r="E1304" s="88"/>
      <c r="F1304" s="85"/>
      <c r="G1304" s="86">
        <f>IFERROR(__xludf.DUMMYFUNCTION("""COMPUTED_VALUE"""),46276.0)</f>
        <v>46276</v>
      </c>
      <c r="H1304" s="85"/>
      <c r="I1304" s="85"/>
      <c r="J1304" s="85"/>
      <c r="K1304" s="85"/>
      <c r="L1304" s="85">
        <f>IFERROR(__xludf.DUMMYFUNCTION("""COMPUTED_VALUE"""),36.0)</f>
        <v>36</v>
      </c>
      <c r="M1304" s="85"/>
      <c r="N1304" s="85"/>
      <c r="O1304" s="85"/>
      <c r="P1304" s="85" t="str">
        <f>IFERROR(__xludf.DUMMYFUNCTION("""COMPUTED_VALUE"""),"MUCSPA70082PSLDI")</f>
        <v>MUCSPA70082PSLDI</v>
      </c>
      <c r="Q1304" s="85" t="str">
        <f>IFERROR(__xludf.DUMMYFUNCTION("""COMPUTED_VALUE"""),"MUC KITA")</f>
        <v>MUC KITA</v>
      </c>
      <c r="R1304" s="85" t="str">
        <f>IFERROR(__xludf.DUMMYFUNCTION("""COMPUTED_VALUE"""),"MUC KITA")</f>
        <v>MUC KITA</v>
      </c>
      <c r="S1304" s="85" t="str">
        <f>IFERROR(__xludf.DUMMYFUNCTION("""COMPUTED_VALUE"""),"LISNAWATI")</f>
        <v>LISNAWATI</v>
      </c>
      <c r="T1304" s="85" t="str">
        <f>IFERROR(__xludf.DUMMYFUNCTION("""COMPUTED_VALUE"""),"Jl. Permata Tamansari X no.10 RT 01 RW 11, Cisaranten Kulon")</f>
        <v>Jl. Permata Tamansari X no.10 RT 01 RW 11, Cisaranten Kulon</v>
      </c>
      <c r="U1304" s="85" t="str">
        <f>IFERROR(__xludf.DUMMYFUNCTION("""COMPUTED_VALUE"""),"Jl. Permata Tamansari X no.10 RT 01 RW 11, Cisaranten Kulon")</f>
        <v>Jl. Permata Tamansari X no.10 RT 01 RW 11, Cisaranten Kulon</v>
      </c>
      <c r="V1304" s="85" t="str">
        <f>IFERROR(__xludf.DUMMYFUNCTION("""COMPUTED_VALUE"""),"RT 01  \ RW 11,")</f>
        <v>RT 01  \ RW 11,</v>
      </c>
      <c r="W1304" s="85" t="str">
        <f>IFERROR(__xludf.DUMMYFUNCTION("""COMPUTED_VALUE"""),"Cisaranten Kulon")</f>
        <v>Cisaranten Kulon</v>
      </c>
      <c r="X1304" s="85" t="str">
        <f>IFERROR(__xludf.DUMMYFUNCTION("""COMPUTED_VALUE"""),"Arcamanik")</f>
        <v>Arcamanik</v>
      </c>
      <c r="Y1304" s="85" t="str">
        <f>IFERROR(__xludf.DUMMYFUNCTION("""COMPUTED_VALUE"""),"Kota Bandung")</f>
        <v>Kota Bandung</v>
      </c>
      <c r="Z1304" s="85" t="str">
        <f>IFERROR(__xludf.DUMMYFUNCTION("""COMPUTED_VALUE"""),"Jawa Barat")</f>
        <v>Jawa Barat</v>
      </c>
      <c r="AA1304" s="85" t="str">
        <f>IFERROR(__xludf.DUMMYFUNCTION("""COMPUTED_VALUE"""),"40293")</f>
        <v>40293</v>
      </c>
      <c r="AB1304" s="85" t="str">
        <f>IFERROR(__xludf.DUMMYFUNCTION("""COMPUTED_VALUE"""),"3273024904830001")</f>
        <v>3273024904830001</v>
      </c>
      <c r="AC1304" s="85" t="str">
        <f>IFERROR(__xludf.DUMMYFUNCTION("""COMPUTED_VALUE"""),"77.573.676.2-423.000")</f>
        <v>77.573.676.2-423.000</v>
      </c>
      <c r="AD1304" s="85" t="str">
        <f>IFERROR(__xludf.DUMMYFUNCTION("""COMPUTED_VALUE"""),"CUM - LDI - KOPUBGBS")</f>
        <v>CUM - LDI - KOPUBGBS</v>
      </c>
      <c r="AE1304" s="85" t="str">
        <f>IFERROR(__xludf.DUMMYFUNCTION("""COMPUTED_VALUE"""),"CUM - LDI - KOPUBGBS")</f>
        <v>CUM - LDI - KOPUBGBS</v>
      </c>
      <c r="AF1304" s="85" t="str">
        <f>IFERROR(__xludf.DUMMYFUNCTION("""COMPUTED_VALUE"""),"081322939529")</f>
        <v>081322939529</v>
      </c>
      <c r="AG1304" s="85" t="str">
        <f>IFERROR(__xludf.DUMMYFUNCTION("""COMPUTED_VALUE"""),"081322939529")</f>
        <v>081322939529</v>
      </c>
      <c r="AH1304" s="85" t="str">
        <f>IFERROR(__xludf.DUMMYFUNCTION("""COMPUTED_VALUE"""),"Irwin.kama@gmail.com")</f>
        <v>Irwin.kama@gmail.com</v>
      </c>
      <c r="AI1304" s="85" t="str">
        <f>IFERROR(__xludf.DUMMYFUNCTION("""COMPUTED_VALUE"""),"40293S7 ")</f>
        <v>40293S7 </v>
      </c>
      <c r="AJ1304" s="85" t="str">
        <f>IFERROR(__xludf.DUMMYFUNCTION("""COMPUTED_VALUE"""),"6aa3b58d663df9677b0e6a2a ")</f>
        <v>6aa3b58d663df9677b0e6a2a </v>
      </c>
      <c r="AK1304" s="85" t="str">
        <f>IFERROR(__xludf.DUMMYFUNCTION("""COMPUTED_VALUE"""),"irwin.kama@gmail.com")</f>
        <v>irwin.kama@gmail.com</v>
      </c>
      <c r="AL1304" s="85" t="str">
        <f>IFERROR(__xludf.DUMMYFUNCTION("""COMPUTED_VALUE"""),"#Muc40293S7$")</f>
        <v>#Muc40293S7$</v>
      </c>
      <c r="AM1304" s="85" t="str">
        <f>IFERROR(__xludf.DUMMYFUNCTION("""COMPUTED_VALUE"""),"KANTOR REGIONAL III BANDUNG 40004")</f>
        <v>KANTOR REGIONAL III BANDUNG 40004</v>
      </c>
      <c r="AN1304" s="85" t="str">
        <f>IFERROR(__xludf.DUMMYFUNCTION("""COMPUTED_VALUE"""),"KC UJUNGBERUNG 40100")</f>
        <v>KC UJUNGBERUNG 40100</v>
      </c>
      <c r="AO1304" s="85" t="str">
        <f>IFERROR(__xludf.DUMMYFUNCTION("""COMPUTED_VALUE"""),"0508260200336")</f>
        <v>0508260200336</v>
      </c>
      <c r="AP1304" s="85" t="str">
        <f>IFERROR(__xludf.DUMMYFUNCTION("""COMPUTED_VALUE"""),"0508260200336")</f>
        <v>0508260200336</v>
      </c>
      <c r="AQ1304" s="93" t="str">
        <f>IFERROR(__xludf.DUMMYFUNCTION("""COMPUTED_VALUE"""),"3461087033")</f>
        <v>3461087033</v>
      </c>
      <c r="AR1304" s="85" t="str">
        <f>IFERROR(__xludf.DUMMYFUNCTION("""COMPUTED_VALUE"""),"BCA")</f>
        <v>BCA</v>
      </c>
      <c r="AS1304" s="85" t="str">
        <f>IFERROR(__xludf.DUMMYFUNCTION("""COMPUTED_VALUE"""),"IRWIN")</f>
        <v>IRWIN</v>
      </c>
      <c r="AT1304" s="85" t="str">
        <f>IFERROR(__xludf.DUMMYFUNCTION("""COMPUTED_VALUE"""),"-6.9208697,107.6747893")</f>
        <v>-6.9208697,107.6747893</v>
      </c>
      <c r="AU1304" s="85" t="str">
        <f>IFERROR(__xludf.DUMMYFUNCTION("""COMPUTED_VALUE"""),"-6.9208697,107.6747893")</f>
        <v>-6.9208697,107.6747893</v>
      </c>
      <c r="AV1304" s="85"/>
      <c r="AW1304" s="85"/>
      <c r="AX1304" s="85"/>
      <c r="AY1304" s="85"/>
      <c r="AZ1304" s="85"/>
      <c r="BA1304" s="85"/>
      <c r="BB1304" s="85"/>
      <c r="BC1304" s="85"/>
      <c r="BD1304" s="85"/>
      <c r="BE1304" s="85"/>
      <c r="BF1304" s="85"/>
      <c r="BG1304" s="85"/>
      <c r="BH1304" s="85"/>
      <c r="BI1304" s="85"/>
      <c r="BJ1304" s="85"/>
      <c r="BK1304" s="85"/>
      <c r="BL1304" s="85"/>
      <c r="BM1304" s="85"/>
      <c r="BN1304" s="85"/>
      <c r="BO1304" s="85"/>
      <c r="BP1304" s="85"/>
      <c r="BQ1304" s="85"/>
      <c r="BR1304" s="85"/>
      <c r="BS1304" s="85"/>
      <c r="BT1304" s="85"/>
      <c r="BU1304" s="85"/>
      <c r="BV1304" s="85"/>
      <c r="BW1304" s="85"/>
      <c r="BX1304" s="85"/>
      <c r="BY1304" s="85"/>
      <c r="BZ1304" s="85"/>
      <c r="CA1304" s="85"/>
      <c r="CB1304" s="85"/>
      <c r="CC1304" s="85"/>
      <c r="CD1304" s="85"/>
      <c r="CE1304" s="85"/>
      <c r="CF1304" s="85"/>
      <c r="CG1304" s="85"/>
      <c r="CH1304" s="85"/>
      <c r="CI1304" s="85"/>
      <c r="CJ1304" s="85"/>
      <c r="CK1304" s="2"/>
    </row>
    <row r="1305" ht="12.75" customHeight="1">
      <c r="A1305" s="80">
        <f>IFERROR(__xludf.DUMMYFUNCTION("""COMPUTED_VALUE"""),1301.0)</f>
        <v>1301</v>
      </c>
      <c r="B1305" s="80"/>
      <c r="C1305" s="80"/>
      <c r="D1305" s="81">
        <f>IFERROR(__xludf.DUMMYFUNCTION("""COMPUTED_VALUE"""),46240.0)</f>
        <v>46240</v>
      </c>
      <c r="E1305" s="82"/>
      <c r="F1305" s="80"/>
      <c r="G1305" s="81">
        <f>IFERROR(__xludf.DUMMYFUNCTION("""COMPUTED_VALUE"""),46275.0)</f>
        <v>46275</v>
      </c>
      <c r="H1305" s="80"/>
      <c r="I1305" s="80"/>
      <c r="J1305" s="80"/>
      <c r="K1305" s="80"/>
      <c r="L1305" s="80">
        <f>IFERROR(__xludf.DUMMYFUNCTION("""COMPUTED_VALUE"""),35.0)</f>
        <v>35</v>
      </c>
      <c r="M1305" s="80"/>
      <c r="N1305" s="80"/>
      <c r="O1305" s="80"/>
      <c r="P1305" s="80" t="str">
        <f>IFERROR(__xludf.DUMMYFUNCTION("""COMPUTED_VALUE"""),"53BSPA17192JBEEN")</f>
        <v>53BSPA17192JBEEN</v>
      </c>
      <c r="Q1305" s="80" t="str">
        <f>IFERROR(__xludf.DUMMYFUNCTION("""COMPUTED_VALUE"""),"MUC AN Xpress")</f>
        <v>MUC AN Xpress</v>
      </c>
      <c r="R1305" s="80" t="str">
        <f>IFERROR(__xludf.DUMMYFUNCTION("""COMPUTED_VALUE"""),"MUC AN Xpress")</f>
        <v>MUC AN Xpress</v>
      </c>
      <c r="S1305" s="80" t="str">
        <f>IFERROR(__xludf.DUMMYFUNCTION("""COMPUTED_VALUE"""),"SUTRISNO")</f>
        <v>SUTRISNO</v>
      </c>
      <c r="T1305" s="80" t="str">
        <f>IFERROR(__xludf.DUMMYFUNCTION("""COMPUTED_VALUE"""),"Jl. Persima I/3 Rt. 004/008 Kel. Jembatan Besi, Kec. Tambora. Jakarta Barat")</f>
        <v>Jl. Persima I/3 Rt. 004/008 Kel. Jembatan Besi, Kec. Tambora. Jakarta Barat</v>
      </c>
      <c r="U1305" s="80" t="str">
        <f>IFERROR(__xludf.DUMMYFUNCTION("""COMPUTED_VALUE"""),"Jl. Kali Anyar I No.depan, RT.8/RW.10, Kali Anyar, Kec. Tambora, Kota Jakarta Barat")</f>
        <v>Jl. Kali Anyar I No.depan, RT.8/RW.10, Kali Anyar, Kec. Tambora, Kota Jakarta Barat</v>
      </c>
      <c r="V1305" s="80"/>
      <c r="W1305" s="80" t="str">
        <f>IFERROR(__xludf.DUMMYFUNCTION("""COMPUTED_VALUE"""),"Jembatan Besi")</f>
        <v>Jembatan Besi</v>
      </c>
      <c r="X1305" s="80" t="str">
        <f>IFERROR(__xludf.DUMMYFUNCTION("""COMPUTED_VALUE"""),"Tambora")</f>
        <v>Tambora</v>
      </c>
      <c r="Y1305" s="80" t="str">
        <f>IFERROR(__xludf.DUMMYFUNCTION("""COMPUTED_VALUE"""),"Jakarta Barat")</f>
        <v>Jakarta Barat</v>
      </c>
      <c r="Z1305" s="80" t="str">
        <f>IFERROR(__xludf.DUMMYFUNCTION("""COMPUTED_VALUE"""),"DKI Jakarta")</f>
        <v>DKI Jakarta</v>
      </c>
      <c r="AA1305" s="80" t="str">
        <f>IFERROR(__xludf.DUMMYFUNCTION("""COMPUTED_VALUE"""),"11310")</f>
        <v>11310</v>
      </c>
      <c r="AB1305" s="80" t="str">
        <f>IFERROR(__xludf.DUMMYFUNCTION("""COMPUTED_VALUE"""),"3173041602930005")</f>
        <v>3173041602930005</v>
      </c>
      <c r="AC1305" s="80" t="str">
        <f>IFERROR(__xludf.DUMMYFUNCTION("""COMPUTED_VALUE"""),"41.133.639.9-033.000")</f>
        <v>41.133.639.9-033.000</v>
      </c>
      <c r="AD1305" s="80" t="str">
        <f>IFERROR(__xludf.DUMMYFUNCTION("""COMPUTED_VALUE"""),"CUM - EEN")</f>
        <v>CUM - EEN</v>
      </c>
      <c r="AE1305" s="80" t="str">
        <f>IFERROR(__xludf.DUMMYFUNCTION("""COMPUTED_VALUE"""),"CUM - EEN")</f>
        <v>CUM - EEN</v>
      </c>
      <c r="AF1305" s="80" t="str">
        <f>IFERROR(__xludf.DUMMYFUNCTION("""COMPUTED_VALUE"""),"081221755011")</f>
        <v>081221755011</v>
      </c>
      <c r="AG1305" s="80" t="str">
        <f>IFERROR(__xludf.DUMMYFUNCTION("""COMPUTED_VALUE"""),"081221755011")</f>
        <v>081221755011</v>
      </c>
      <c r="AH1305" s="80" t="str">
        <f>IFERROR(__xludf.DUMMYFUNCTION("""COMPUTED_VALUE"""),"anxpress16@gmail.com")</f>
        <v>anxpress16@gmail.com</v>
      </c>
      <c r="AI1305" s="80" t="str">
        <f>IFERROR(__xludf.DUMMYFUNCTION("""COMPUTED_VALUE"""),"11320S3 ")</f>
        <v>11320S3 </v>
      </c>
      <c r="AJ1305" s="80" t="str">
        <f>IFERROR(__xludf.DUMMYFUNCTION("""COMPUTED_VALUE"""),"6a9e882ee232a834630a8322 ")</f>
        <v>6a9e882ee232a834630a8322 </v>
      </c>
      <c r="AK1305" s="80" t="str">
        <f>IFERROR(__xludf.DUMMYFUNCTION("""COMPUTED_VALUE"""),"anxpress16@gmai.com")</f>
        <v>anxpress16@gmai.com</v>
      </c>
      <c r="AL1305" s="80" t="str">
        <f>IFERROR(__xludf.DUMMYFUNCTION("""COMPUTED_VALUE"""),"#Muc11320S3$")</f>
        <v>#Muc11320S3$</v>
      </c>
      <c r="AM1305" s="80" t="str">
        <f>IFERROR(__xludf.DUMMYFUNCTION("""COMPUTED_VALUE"""),"KANTOR REGIONAL II JAKARTA 10004")</f>
        <v>KANTOR REGIONAL II JAKARTA 10004</v>
      </c>
      <c r="AN1305" s="80" t="str">
        <f>IFERROR(__xludf.DUMMYFUNCTION("""COMPUTED_VALUE"""),"KCU JAKARTAOCEANIA 11000")</f>
        <v>KCU JAKARTAOCEANIA 11000</v>
      </c>
      <c r="AO1305" s="80" t="str">
        <f>IFERROR(__xludf.DUMMYFUNCTION("""COMPUTED_VALUE"""),"1602220064891")</f>
        <v>1602220064891</v>
      </c>
      <c r="AP1305" s="80" t="str">
        <f>IFERROR(__xludf.DUMMYFUNCTION("""COMPUTED_VALUE"""),"1602220064891")</f>
        <v>1602220064891</v>
      </c>
      <c r="AQ1305" s="83" t="str">
        <f>IFERROR(__xludf.DUMMYFUNCTION("""COMPUTED_VALUE"""),"5990195929")</f>
        <v>5990195929</v>
      </c>
      <c r="AR1305" s="80" t="str">
        <f>IFERROR(__xludf.DUMMYFUNCTION("""COMPUTED_VALUE"""),"BCA")</f>
        <v>BCA</v>
      </c>
      <c r="AS1305" s="80" t="str">
        <f>IFERROR(__xludf.DUMMYFUNCTION("""COMPUTED_VALUE"""),"SUTRISNO")</f>
        <v>SUTRISNO</v>
      </c>
      <c r="AT1305" s="80" t="str">
        <f>IFERROR(__xludf.DUMMYFUNCTION("""COMPUTED_VALUE"""),"-6.154954,106.7976647")</f>
        <v>-6.154954,106.7976647</v>
      </c>
      <c r="AU1305" s="80" t="str">
        <f>IFERROR(__xludf.DUMMYFUNCTION("""COMPUTED_VALUE"""),"-6.154954,106.7976647")</f>
        <v>-6.154954,106.7976647</v>
      </c>
      <c r="AV1305" s="80"/>
      <c r="AW1305" s="80"/>
      <c r="AX1305" s="80"/>
      <c r="AY1305" s="80"/>
      <c r="AZ1305" s="80"/>
      <c r="BA1305" s="80"/>
      <c r="BB1305" s="80"/>
      <c r="BC1305" s="80"/>
      <c r="BD1305" s="80"/>
      <c r="BE1305" s="80"/>
      <c r="BF1305" s="80"/>
      <c r="BG1305" s="80"/>
      <c r="BH1305" s="80"/>
      <c r="BI1305" s="80"/>
      <c r="BJ1305" s="80"/>
      <c r="BK1305" s="80"/>
      <c r="BL1305" s="80"/>
      <c r="BM1305" s="80"/>
      <c r="BN1305" s="80"/>
      <c r="BO1305" s="80"/>
      <c r="BP1305" s="80"/>
      <c r="BQ1305" s="80"/>
      <c r="BR1305" s="80"/>
      <c r="BS1305" s="80"/>
      <c r="BT1305" s="80"/>
      <c r="BU1305" s="80"/>
      <c r="BV1305" s="80"/>
      <c r="BW1305" s="80"/>
      <c r="BX1305" s="80"/>
      <c r="BY1305" s="80"/>
      <c r="BZ1305" s="80"/>
      <c r="CA1305" s="80"/>
      <c r="CB1305" s="80"/>
      <c r="CC1305" s="80"/>
      <c r="CD1305" s="80"/>
      <c r="CE1305" s="80"/>
      <c r="CF1305" s="80"/>
      <c r="CG1305" s="80"/>
      <c r="CH1305" s="80"/>
      <c r="CI1305" s="80"/>
      <c r="CJ1305" s="80"/>
      <c r="CK1305" s="2"/>
    </row>
    <row r="1306" ht="12.75" customHeight="1">
      <c r="A1306" s="85">
        <f>IFERROR(__xludf.DUMMYFUNCTION("""COMPUTED_VALUE"""),1302.0)</f>
        <v>1302</v>
      </c>
      <c r="B1306" s="85"/>
      <c r="C1306" s="85"/>
      <c r="D1306" s="86">
        <f>IFERROR(__xludf.DUMMYFUNCTION("""COMPUTED_VALUE"""),46240.0)</f>
        <v>46240</v>
      </c>
      <c r="E1306" s="88"/>
      <c r="F1306" s="85"/>
      <c r="G1306" s="86">
        <f>IFERROR(__xludf.DUMMYFUNCTION("""COMPUTED_VALUE"""),46276.0)</f>
        <v>46276</v>
      </c>
      <c r="H1306" s="85"/>
      <c r="I1306" s="85"/>
      <c r="J1306" s="85"/>
      <c r="K1306" s="85"/>
      <c r="L1306" s="85">
        <f>IFERROR(__xludf.DUMMYFUNCTION("""COMPUTED_VALUE"""),36.0)</f>
        <v>36</v>
      </c>
      <c r="M1306" s="85"/>
      <c r="N1306" s="85"/>
      <c r="O1306" s="85"/>
      <c r="P1306" s="85" t="str">
        <f>IFERROR(__xludf.DUMMYFUNCTION("""COMPUTED_VALUE"""),"MUCSPA70007PSAAK")</f>
        <v>MUCSPA70007PSAAK</v>
      </c>
      <c r="Q1306" s="85" t="str">
        <f>IFERROR(__xludf.DUMMYFUNCTION("""COMPUTED_VALUE"""),"MUC Cihanjuang Square")</f>
        <v>MUC Cihanjuang Square</v>
      </c>
      <c r="R1306" s="85" t="str">
        <f>IFERROR(__xludf.DUMMYFUNCTION("""COMPUTED_VALUE"""),"MUC Cihanjuang Square")</f>
        <v>MUC Cihanjuang Square</v>
      </c>
      <c r="S1306" s="85" t="str">
        <f>IFERROR(__xludf.DUMMYFUNCTION("""COMPUTED_VALUE"""),"LUTHFAN FAHRIZAL GUSHAF PUTRA")</f>
        <v>LUTHFAN FAHRIZAL GUSHAF PUTRA</v>
      </c>
      <c r="T1306" s="85" t="str">
        <f>IFERROR(__xludf.DUMMYFUNCTION("""COMPUTED_VALUE"""),"Jl.Terusan Permana 004/006 Kel.Citeureup Kec.Cimahi Utara")</f>
        <v>Jl.Terusan Permana 004/006 Kel.Citeureup Kec.Cimahi Utara</v>
      </c>
      <c r="U1306" s="85" t="str">
        <f>IFERROR(__xludf.DUMMYFUNCTION("""COMPUTED_VALUE"""),"Ruko Cihanjuang Square No 7, Jl. Cihanjuang, Cihanjuang, Parongpong")</f>
        <v>Ruko Cihanjuang Square No 7, Jl. Cihanjuang, Cihanjuang, Parongpong</v>
      </c>
      <c r="V1306" s="85"/>
      <c r="W1306" s="85" t="str">
        <f>IFERROR(__xludf.DUMMYFUNCTION("""COMPUTED_VALUE"""),"Cihanjuang")</f>
        <v>Cihanjuang</v>
      </c>
      <c r="X1306" s="85" t="str">
        <f>IFERROR(__xludf.DUMMYFUNCTION("""COMPUTED_VALUE"""),"Parongpong")</f>
        <v>Parongpong</v>
      </c>
      <c r="Y1306" s="85" t="str">
        <f>IFERROR(__xludf.DUMMYFUNCTION("""COMPUTED_VALUE"""),"Kab.Bandung Barat")</f>
        <v>Kab.Bandung Barat</v>
      </c>
      <c r="Z1306" s="85" t="str">
        <f>IFERROR(__xludf.DUMMYFUNCTION("""COMPUTED_VALUE"""),"Jawa Barat")</f>
        <v>Jawa Barat</v>
      </c>
      <c r="AA1306" s="85" t="str">
        <f>IFERROR(__xludf.DUMMYFUNCTION("""COMPUTED_VALUE"""),"40559")</f>
        <v>40559</v>
      </c>
      <c r="AB1306" s="85" t="str">
        <f>IFERROR(__xludf.DUMMYFUNCTION("""COMPUTED_VALUE"""),"3277032909900015")</f>
        <v>3277032909900015</v>
      </c>
      <c r="AC1306" s="85" t="str">
        <f>IFERROR(__xludf.DUMMYFUNCTION("""COMPUTED_VALUE"""),"46.662.810.5-421.000")</f>
        <v>46.662.810.5-421.000</v>
      </c>
      <c r="AD1306" s="85" t="str">
        <f>IFERROR(__xludf.DUMMYFUNCTION("""COMPUTED_VALUE"""),"CUM - LP - ANGGI")</f>
        <v>CUM - LP - ANGGI</v>
      </c>
      <c r="AE1306" s="85" t="str">
        <f>IFERROR(__xludf.DUMMYFUNCTION("""COMPUTED_VALUE"""),"CUM - LP - ANGGI")</f>
        <v>CUM - LP - ANGGI</v>
      </c>
      <c r="AF1306" s="85" t="str">
        <f>IFERROR(__xludf.DUMMYFUNCTION("""COMPUTED_VALUE"""),"082128802582")</f>
        <v>082128802582</v>
      </c>
      <c r="AG1306" s="85" t="str">
        <f>IFERROR(__xludf.DUMMYFUNCTION("""COMPUTED_VALUE"""),"082128802582")</f>
        <v>082128802582</v>
      </c>
      <c r="AH1306" s="85" t="str">
        <f>IFERROR(__xludf.DUMMYFUNCTION("""COMPUTED_VALUE"""),"upanxx@gmail.com")</f>
        <v>upanxx@gmail.com</v>
      </c>
      <c r="AI1306" s="85" t="str">
        <f>IFERROR(__xludf.DUMMYFUNCTION("""COMPUTED_VALUE"""),"40759S8 ")</f>
        <v>40759S8 </v>
      </c>
      <c r="AJ1306" s="85" t="str">
        <f>IFERROR(__xludf.DUMMYFUNCTION("""COMPUTED_VALUE"""),"6aa367a786fa84aab80a1379 ")</f>
        <v>6aa367a786fa84aab80a1379 </v>
      </c>
      <c r="AK1306" s="85" t="str">
        <f>IFERROR(__xludf.DUMMYFUNCTION("""COMPUTED_VALUE"""),"upanxx@gmail.com")</f>
        <v>upanxx@gmail.com</v>
      </c>
      <c r="AL1306" s="85" t="str">
        <f>IFERROR(__xludf.DUMMYFUNCTION("""COMPUTED_VALUE"""),"#Muc40759S8$")</f>
        <v>#Muc40759S8$</v>
      </c>
      <c r="AM1306" s="85" t="str">
        <f>IFERROR(__xludf.DUMMYFUNCTION("""COMPUTED_VALUE"""),"KANTOR REGIONAL III BANDUNG 40004")</f>
        <v>KANTOR REGIONAL III BANDUNG 40004</v>
      </c>
      <c r="AN1306" s="85" t="str">
        <f>IFERROR(__xludf.DUMMYFUNCTION("""COMPUTED_VALUE"""),"KC CIMAHI 40500")</f>
        <v>KC CIMAHI 40500</v>
      </c>
      <c r="AO1306" s="85" t="str">
        <f>IFERROR(__xludf.DUMMYFUNCTION("""COMPUTED_VALUE"""),"0608260367482")</f>
        <v>0608260367482</v>
      </c>
      <c r="AP1306" s="85" t="str">
        <f>IFERROR(__xludf.DUMMYFUNCTION("""COMPUTED_VALUE"""),"0608260367482")</f>
        <v>0608260367482</v>
      </c>
      <c r="AQ1306" s="93" t="str">
        <f>IFERROR(__xludf.DUMMYFUNCTION("""COMPUTED_VALUE"""),"1392524414")</f>
        <v>1392524414</v>
      </c>
      <c r="AR1306" s="85" t="str">
        <f>IFERROR(__xludf.DUMMYFUNCTION("""COMPUTED_VALUE"""),"BCA")</f>
        <v>BCA</v>
      </c>
      <c r="AS1306" s="85" t="str">
        <f>IFERROR(__xludf.DUMMYFUNCTION("""COMPUTED_VALUE"""),"LUTHFAN FAHRIZAL GP")</f>
        <v>LUTHFAN FAHRIZAL GP</v>
      </c>
      <c r="AT1306" s="85" t="str">
        <f>IFERROR(__xludf.DUMMYFUNCTION("""COMPUTED_VALUE"""),"-6.859272,107.5661642")</f>
        <v>-6.859272,107.5661642</v>
      </c>
      <c r="AU1306" s="85" t="str">
        <f>IFERROR(__xludf.DUMMYFUNCTION("""COMPUTED_VALUE"""),"-6.859272,107.5661642")</f>
        <v>-6.859272,107.5661642</v>
      </c>
      <c r="AV1306" s="85"/>
      <c r="AW1306" s="85"/>
      <c r="AX1306" s="85"/>
      <c r="AY1306" s="85"/>
      <c r="AZ1306" s="85"/>
      <c r="BA1306" s="85"/>
      <c r="BB1306" s="85"/>
      <c r="BC1306" s="85"/>
      <c r="BD1306" s="85"/>
      <c r="BE1306" s="85"/>
      <c r="BF1306" s="85"/>
      <c r="BG1306" s="85"/>
      <c r="BH1306" s="85"/>
      <c r="BI1306" s="85"/>
      <c r="BJ1306" s="85"/>
      <c r="BK1306" s="85"/>
      <c r="BL1306" s="85"/>
      <c r="BM1306" s="85"/>
      <c r="BN1306" s="85"/>
      <c r="BO1306" s="85"/>
      <c r="BP1306" s="85"/>
      <c r="BQ1306" s="85"/>
      <c r="BR1306" s="85"/>
      <c r="BS1306" s="85"/>
      <c r="BT1306" s="85"/>
      <c r="BU1306" s="85"/>
      <c r="BV1306" s="85"/>
      <c r="BW1306" s="85"/>
      <c r="BX1306" s="85"/>
      <c r="BY1306" s="85"/>
      <c r="BZ1306" s="85"/>
      <c r="CA1306" s="85"/>
      <c r="CB1306" s="85"/>
      <c r="CC1306" s="85"/>
      <c r="CD1306" s="85"/>
      <c r="CE1306" s="85"/>
      <c r="CF1306" s="85"/>
      <c r="CG1306" s="85"/>
      <c r="CH1306" s="85"/>
      <c r="CI1306" s="85"/>
      <c r="CJ1306" s="85"/>
      <c r="CK1306" s="2"/>
    </row>
    <row r="1307" ht="12.75" customHeight="1">
      <c r="A1307" s="80">
        <f>IFERROR(__xludf.DUMMYFUNCTION("""COMPUTED_VALUE"""),1303.0)</f>
        <v>1303</v>
      </c>
      <c r="B1307" s="80"/>
      <c r="C1307" s="80"/>
      <c r="D1307" s="81">
        <f>IFERROR(__xludf.DUMMYFUNCTION("""COMPUTED_VALUE"""),46241.0)</f>
        <v>46241</v>
      </c>
      <c r="E1307" s="82"/>
      <c r="F1307" s="80"/>
      <c r="G1307" s="81">
        <f>IFERROR(__xludf.DUMMYFUNCTION("""COMPUTED_VALUE"""),46252.0)</f>
        <v>46252</v>
      </c>
      <c r="H1307" s="80"/>
      <c r="I1307" s="80"/>
      <c r="J1307" s="80"/>
      <c r="K1307" s="80"/>
      <c r="L1307" s="80">
        <f>IFERROR(__xludf.DUMMYFUNCTION("""COMPUTED_VALUE"""),11.0)</f>
        <v>11</v>
      </c>
      <c r="M1307" s="80"/>
      <c r="N1307" s="80"/>
      <c r="O1307" s="80"/>
      <c r="P1307" s="80" t="str">
        <f>IFERROR(__xludf.DUMMYFUNCTION("""COMPUTED_VALUE"""),"MUCSPA63646PSIND")</f>
        <v>MUCSPA63646PSIND</v>
      </c>
      <c r="Q1307" s="80" t="str">
        <f>IFERROR(__xludf.DUMMYFUNCTION("""COMPUTED_VALUE"""),"MUC KG1 Production")</f>
        <v>MUC KG1 Production</v>
      </c>
      <c r="R1307" s="80" t="str">
        <f>IFERROR(__xludf.DUMMYFUNCTION("""COMPUTED_VALUE"""),"MUC KG1 Production")</f>
        <v>MUC KG1 Production</v>
      </c>
      <c r="S1307" s="80" t="str">
        <f>IFERROR(__xludf.DUMMYFUNCTION("""COMPUTED_VALUE"""),"PRACAHYA WIDI SUJANA")</f>
        <v>PRACAHYA WIDI SUJANA</v>
      </c>
      <c r="T1307" s="80" t="str">
        <f>IFERROR(__xludf.DUMMYFUNCTION("""COMPUTED_VALUE"""),"Villa Mutiara Jaya Blok. N95/31 Rt. 001/014 Wanajaya, Cibitung. Kab. Bekasi")</f>
        <v>Villa Mutiara Jaya Blok. N95/31 Rt. 001/014 Wanajaya, Cibitung. Kab. Bekasi</v>
      </c>
      <c r="U1307" s="80" t="str">
        <f>IFERROR(__xludf.DUMMYFUNCTION("""COMPUTED_VALUE"""),"Komplek Perumahan Jl. Duren Jaya, RT.012/RW.009, Duren Jaya, Bekasi Timur")</f>
        <v>Komplek Perumahan Jl. Duren Jaya, RT.012/RW.009, Duren Jaya, Bekasi Timur</v>
      </c>
      <c r="V1307" s="80"/>
      <c r="W1307" s="80" t="str">
        <f>IFERROR(__xludf.DUMMYFUNCTION("""COMPUTED_VALUE"""),"Durenjaya")</f>
        <v>Durenjaya</v>
      </c>
      <c r="X1307" s="80" t="str">
        <f>IFERROR(__xludf.DUMMYFUNCTION("""COMPUTED_VALUE"""),"Bekasi Timur")</f>
        <v>Bekasi Timur</v>
      </c>
      <c r="Y1307" s="80" t="str">
        <f>IFERROR(__xludf.DUMMYFUNCTION("""COMPUTED_VALUE"""),"Bekasi")</f>
        <v>Bekasi</v>
      </c>
      <c r="Z1307" s="80" t="str">
        <f>IFERROR(__xludf.DUMMYFUNCTION("""COMPUTED_VALUE"""),"Jawa Barat")</f>
        <v>Jawa Barat</v>
      </c>
      <c r="AA1307" s="80" t="str">
        <f>IFERROR(__xludf.DUMMYFUNCTION("""COMPUTED_VALUE"""),"17111")</f>
        <v>17111</v>
      </c>
      <c r="AB1307" s="80" t="str">
        <f>IFERROR(__xludf.DUMMYFUNCTION("""COMPUTED_VALUE"""),"3216071607000007")</f>
        <v>3216071607000007</v>
      </c>
      <c r="AC1307" s="80" t="str">
        <f>IFERROR(__xludf.DUMMYFUNCTION("""COMPUTED_VALUE"""),"86.353.711.4-435.000")</f>
        <v>86.353.711.4-435.000</v>
      </c>
      <c r="AD1307" s="80" t="str">
        <f>IFERROR(__xludf.DUMMYFUNCTION("""COMPUTED_VALUE"""),"CUM - PS - AYS")</f>
        <v>CUM - PS - AYS</v>
      </c>
      <c r="AE1307" s="80" t="str">
        <f>IFERROR(__xludf.DUMMYFUNCTION("""COMPUTED_VALUE"""),"CUM - PS - AYS")</f>
        <v>CUM - PS - AYS</v>
      </c>
      <c r="AF1307" s="80" t="str">
        <f>IFERROR(__xludf.DUMMYFUNCTION("""COMPUTED_VALUE"""),"089637916952")</f>
        <v>089637916952</v>
      </c>
      <c r="AG1307" s="80" t="str">
        <f>IFERROR(__xludf.DUMMYFUNCTION("""COMPUTED_VALUE"""),"089637916952")</f>
        <v>089637916952</v>
      </c>
      <c r="AH1307" s="80" t="str">
        <f>IFERROR(__xludf.DUMMYFUNCTION("""COMPUTED_VALUE"""),"pracahyawidis@gmail.com")</f>
        <v>pracahyawidis@gmail.com</v>
      </c>
      <c r="AI1307" s="80" t="str">
        <f>IFERROR(__xludf.DUMMYFUNCTION("""COMPUTED_VALUE"""),"17111S3")</f>
        <v>17111S3</v>
      </c>
      <c r="AJ1307" s="80" t="str">
        <f>IFERROR(__xludf.DUMMYFUNCTION("""COMPUTED_VALUE"""),"6a80181eb1b2a5594e0cbe08")</f>
        <v>6a80181eb1b2a5594e0cbe08</v>
      </c>
      <c r="AK1307" s="80" t="str">
        <f>IFERROR(__xludf.DUMMYFUNCTION("""COMPUTED_VALUE"""),"pracahyawidis@gmail.com")</f>
        <v>pracahyawidis@gmail.com</v>
      </c>
      <c r="AL1307" s="80" t="str">
        <f>IFERROR(__xludf.DUMMYFUNCTION("""COMPUTED_VALUE"""),"#Muc17111S3$")</f>
        <v>#Muc17111S3$</v>
      </c>
      <c r="AM1307" s="80" t="str">
        <f>IFERROR(__xludf.DUMMYFUNCTION("""COMPUTED_VALUE"""),"KANTOR REGIONAL II JAKARTA 10004")</f>
        <v>KANTOR REGIONAL II JAKARTA 10004</v>
      </c>
      <c r="AN1307" s="80" t="str">
        <f>IFERROR(__xludf.DUMMYFUNCTION("""COMPUTED_VALUE"""),"KCU BEKASI 17000")</f>
        <v>KCU BEKASI 17000</v>
      </c>
      <c r="AO1307" s="80" t="str">
        <f>IFERROR(__xludf.DUMMYFUNCTION("""COMPUTED_VALUE"""),"0508260275387")</f>
        <v>0508260275387</v>
      </c>
      <c r="AP1307" s="80" t="str">
        <f>IFERROR(__xludf.DUMMYFUNCTION("""COMPUTED_VALUE"""),"0508260275387")</f>
        <v>0508260275387</v>
      </c>
      <c r="AQ1307" s="83" t="str">
        <f>IFERROR(__xludf.DUMMYFUNCTION("""COMPUTED_VALUE"""),"1868672605")</f>
        <v>1868672605</v>
      </c>
      <c r="AR1307" s="80" t="str">
        <f>IFERROR(__xludf.DUMMYFUNCTION("""COMPUTED_VALUE"""),"BNI")</f>
        <v>BNI</v>
      </c>
      <c r="AS1307" s="80" t="str">
        <f>IFERROR(__xludf.DUMMYFUNCTION("""COMPUTED_VALUE"""),"PRACAHYA WIDI SUJANA")</f>
        <v>PRACAHYA WIDI SUJANA</v>
      </c>
      <c r="AT1307" s="80" t="str">
        <f>IFERROR(__xludf.DUMMYFUNCTION("""COMPUTED_VALUE"""),"-6.2347365,107.0196908")</f>
        <v>-6.2347365,107.0196908</v>
      </c>
      <c r="AU1307" s="80" t="str">
        <f>IFERROR(__xludf.DUMMYFUNCTION("""COMPUTED_VALUE"""),"-6.2347365,107.0196908")</f>
        <v>-6.2347365,107.0196908</v>
      </c>
      <c r="AV1307" s="80"/>
      <c r="AW1307" s="80"/>
      <c r="AX1307" s="80"/>
      <c r="AY1307" s="80"/>
      <c r="AZ1307" s="80"/>
      <c r="BA1307" s="80"/>
      <c r="BB1307" s="80"/>
      <c r="BC1307" s="80"/>
      <c r="BD1307" s="80"/>
      <c r="BE1307" s="80"/>
      <c r="BF1307" s="80"/>
      <c r="BG1307" s="80"/>
      <c r="BH1307" s="80"/>
      <c r="BI1307" s="80"/>
      <c r="BJ1307" s="80"/>
      <c r="BK1307" s="80"/>
      <c r="BL1307" s="80"/>
      <c r="BM1307" s="80"/>
      <c r="BN1307" s="80"/>
      <c r="BO1307" s="80"/>
      <c r="BP1307" s="80"/>
      <c r="BQ1307" s="80"/>
      <c r="BR1307" s="80"/>
      <c r="BS1307" s="80"/>
      <c r="BT1307" s="80"/>
      <c r="BU1307" s="80"/>
      <c r="BV1307" s="80"/>
      <c r="BW1307" s="80"/>
      <c r="BX1307" s="80"/>
      <c r="BY1307" s="80"/>
      <c r="BZ1307" s="80"/>
      <c r="CA1307" s="80"/>
      <c r="CB1307" s="80"/>
      <c r="CC1307" s="80"/>
      <c r="CD1307" s="80"/>
      <c r="CE1307" s="80"/>
      <c r="CF1307" s="80"/>
      <c r="CG1307" s="80"/>
      <c r="CH1307" s="80"/>
      <c r="CI1307" s="80"/>
      <c r="CJ1307" s="80"/>
      <c r="CK1307" s="2"/>
    </row>
    <row r="1308" ht="12.75" customHeight="1">
      <c r="A1308" s="85">
        <f>IFERROR(__xludf.DUMMYFUNCTION("""COMPUTED_VALUE"""),1304.0)</f>
        <v>1304</v>
      </c>
      <c r="B1308" s="85"/>
      <c r="C1308" s="85"/>
      <c r="D1308" s="86">
        <f>IFERROR(__xludf.DUMMYFUNCTION("""COMPUTED_VALUE"""),46244.0)</f>
        <v>46244</v>
      </c>
      <c r="E1308" s="88"/>
      <c r="F1308" s="85"/>
      <c r="G1308" s="86">
        <f>IFERROR(__xludf.DUMMYFUNCTION("""COMPUTED_VALUE"""),46275.0)</f>
        <v>46275</v>
      </c>
      <c r="H1308" s="85"/>
      <c r="I1308" s="85"/>
      <c r="J1308" s="85"/>
      <c r="K1308" s="85"/>
      <c r="L1308" s="85">
        <f>IFERROR(__xludf.DUMMYFUNCTION("""COMPUTED_VALUE"""),31.0)</f>
        <v>31</v>
      </c>
      <c r="M1308" s="85"/>
      <c r="N1308" s="85"/>
      <c r="O1308" s="85"/>
      <c r="P1308" s="85" t="str">
        <f>IFERROR(__xludf.DUMMYFUNCTION("""COMPUTED_VALUE"""),"MUC70196UMKMBKS1")</f>
        <v>MUC70196UMKMBKS1</v>
      </c>
      <c r="Q1308" s="85" t="str">
        <f>IFERROR(__xludf.DUMMYFUNCTION("""COMPUTED_VALUE"""),"MUC Bunda Fan Fan")</f>
        <v>MUC Bunda Fan Fan</v>
      </c>
      <c r="R1308" s="85" t="str">
        <f>IFERROR(__xludf.DUMMYFUNCTION("""COMPUTED_VALUE"""),"MUC Bunda Fan Fan")</f>
        <v>MUC Bunda Fan Fan</v>
      </c>
      <c r="S1308" s="85" t="str">
        <f>IFERROR(__xludf.DUMMYFUNCTION("""COMPUTED_VALUE"""),"LIEM LIAN ING")</f>
        <v>LIEM LIAN ING</v>
      </c>
      <c r="T1308" s="85" t="str">
        <f>IFERROR(__xludf.DUMMYFUNCTION("""COMPUTED_VALUE"""),"JL.KELAPA HIBRIDA V BLOK.RB-10/6 RT 18 RW 15, PEGANGSAAN DUA, KELAPA GADING, JAKARTA UTARA")</f>
        <v>JL.KELAPA HIBRIDA V BLOK.RB-10/6 RT 18 RW 15, PEGANGSAAN DUA, KELAPA GADING, JAKARTA UTARA</v>
      </c>
      <c r="U1308" s="85" t="str">
        <f>IFERROR(__xludf.DUMMYFUNCTION("""COMPUTED_VALUE"""),"JL. Permata Hijau Permai RT 03 RW 17")</f>
        <v>JL. Permata Hijau Permai RT 03 RW 17</v>
      </c>
      <c r="V1308" s="85" t="str">
        <f>IFERROR(__xludf.DUMMYFUNCTION("""COMPUTED_VALUE"""),"RT 18  \ RW 15,")</f>
        <v>RT 18  \ RW 15,</v>
      </c>
      <c r="W1308" s="85" t="str">
        <f>IFERROR(__xludf.DUMMYFUNCTION("""COMPUTED_VALUE"""),"KALIABANG TENGAH")</f>
        <v>KALIABANG TENGAH</v>
      </c>
      <c r="X1308" s="85" t="str">
        <f>IFERROR(__xludf.DUMMYFUNCTION("""COMPUTED_VALUE"""),"BEKASI UTARA")</f>
        <v>BEKASI UTARA</v>
      </c>
      <c r="Y1308" s="85" t="str">
        <f>IFERROR(__xludf.DUMMYFUNCTION("""COMPUTED_VALUE"""),"BEKASI")</f>
        <v>BEKASI</v>
      </c>
      <c r="Z1308" s="85" t="str">
        <f>IFERROR(__xludf.DUMMYFUNCTION("""COMPUTED_VALUE"""),"JAWA BARAT")</f>
        <v>JAWA BARAT</v>
      </c>
      <c r="AA1308" s="85" t="str">
        <f>IFERROR(__xludf.DUMMYFUNCTION("""COMPUTED_VALUE"""),"17125")</f>
        <v>17125</v>
      </c>
      <c r="AB1308" s="85" t="str">
        <f>IFERROR(__xludf.DUMMYFUNCTION("""COMPUTED_VALUE"""),"3275034102640020")</f>
        <v>3275034102640020</v>
      </c>
      <c r="AC1308" s="85" t="str">
        <f>IFERROR(__xludf.DUMMYFUNCTION("""COMPUTED_VALUE"""),"25.179.782.5-043.000")</f>
        <v>25.179.782.5-043.000</v>
      </c>
      <c r="AD1308" s="85" t="str">
        <f>IFERROR(__xludf.DUMMYFUNCTION("""COMPUTED_VALUE"""),"UMKM BEKASI DDR")</f>
        <v>UMKM BEKASI DDR</v>
      </c>
      <c r="AE1308" s="85" t="str">
        <f>IFERROR(__xludf.DUMMYFUNCTION("""COMPUTED_VALUE"""),"UMKM BEKASI DDR")</f>
        <v>UMKM BEKASI DDR</v>
      </c>
      <c r="AF1308" s="85" t="str">
        <f>IFERROR(__xludf.DUMMYFUNCTION("""COMPUTED_VALUE"""),"085213757057")</f>
        <v>085213757057</v>
      </c>
      <c r="AG1308" s="85" t="str">
        <f>IFERROR(__xludf.DUMMYFUNCTION("""COMPUTED_VALUE"""),"085213757057")</f>
        <v>085213757057</v>
      </c>
      <c r="AH1308" s="85" t="str">
        <f>IFERROR(__xludf.DUMMYFUNCTION("""COMPUTED_VALUE"""),"rachelwarsito64@gmail.com")</f>
        <v>rachelwarsito64@gmail.com</v>
      </c>
      <c r="AI1308" s="85" t="str">
        <f>IFERROR(__xludf.DUMMYFUNCTION("""COMPUTED_VALUE"""),"17125S6 ")</f>
        <v>17125S6 </v>
      </c>
      <c r="AJ1308" s="85" t="str">
        <f>IFERROR(__xludf.DUMMYFUNCTION("""COMPUTED_VALUE"""),"6aa128c835bfc0573000833d ")</f>
        <v>6aa128c835bfc0573000833d </v>
      </c>
      <c r="AK1308" s="85" t="str">
        <f>IFERROR(__xludf.DUMMYFUNCTION("""COMPUTED_VALUE"""),"rachelwarsito64@gmail.com")</f>
        <v>rachelwarsito64@gmail.com</v>
      </c>
      <c r="AL1308" s="85" t="str">
        <f>IFERROR(__xludf.DUMMYFUNCTION("""COMPUTED_VALUE"""),"#Muc17125S6$")</f>
        <v>#Muc17125S6$</v>
      </c>
      <c r="AM1308" s="85" t="str">
        <f>IFERROR(__xludf.DUMMYFUNCTION("""COMPUTED_VALUE"""),"KANTOR REGIONAL II JAKARTA 10004")</f>
        <v>KANTOR REGIONAL II JAKARTA 10004</v>
      </c>
      <c r="AN1308" s="85" t="str">
        <f>IFERROR(__xludf.DUMMYFUNCTION("""COMPUTED_VALUE"""),"KCU BEKASI 17000")</f>
        <v>KCU BEKASI 17000</v>
      </c>
      <c r="AO1308" s="85" t="str">
        <f>IFERROR(__xludf.DUMMYFUNCTION("""COMPUTED_VALUE"""),"0255000941047")</f>
        <v>0255000941047</v>
      </c>
      <c r="AP1308" s="85" t="str">
        <f>IFERROR(__xludf.DUMMYFUNCTION("""COMPUTED_VALUE"""),"0255000941047")</f>
        <v>0255000941047</v>
      </c>
      <c r="AQ1308" s="93" t="str">
        <f>IFERROR(__xludf.DUMMYFUNCTION("""COMPUTED_VALUE"""),"3421057069")</f>
        <v>3421057069</v>
      </c>
      <c r="AR1308" s="85" t="str">
        <f>IFERROR(__xludf.DUMMYFUNCTION("""COMPUTED_VALUE"""),"BCA")</f>
        <v>BCA</v>
      </c>
      <c r="AS1308" s="85" t="str">
        <f>IFERROR(__xludf.DUMMYFUNCTION("""COMPUTED_VALUE"""),"LIEM LIAN ING")</f>
        <v>LIEM LIAN ING</v>
      </c>
      <c r="AT1308" s="85" t="str">
        <f>IFERROR(__xludf.DUMMYFUNCTION("""COMPUTED_VALUE"""),"-6.1976891,107.0027386")</f>
        <v>-6.1976891,107.0027386</v>
      </c>
      <c r="AU1308" s="85" t="str">
        <f>IFERROR(__xludf.DUMMYFUNCTION("""COMPUTED_VALUE"""),"-6.1976891,107.0027386")</f>
        <v>-6.1976891,107.0027386</v>
      </c>
      <c r="AV1308" s="85"/>
      <c r="AW1308" s="85"/>
      <c r="AX1308" s="85"/>
      <c r="AY1308" s="85"/>
      <c r="AZ1308" s="85"/>
      <c r="BA1308" s="85"/>
      <c r="BB1308" s="85"/>
      <c r="BC1308" s="85"/>
      <c r="BD1308" s="85"/>
      <c r="BE1308" s="85"/>
      <c r="BF1308" s="85"/>
      <c r="BG1308" s="85"/>
      <c r="BH1308" s="85"/>
      <c r="BI1308" s="85"/>
      <c r="BJ1308" s="85"/>
      <c r="BK1308" s="85"/>
      <c r="BL1308" s="85"/>
      <c r="BM1308" s="85"/>
      <c r="BN1308" s="85"/>
      <c r="BO1308" s="85"/>
      <c r="BP1308" s="85"/>
      <c r="BQ1308" s="85"/>
      <c r="BR1308" s="85"/>
      <c r="BS1308" s="85"/>
      <c r="BT1308" s="85"/>
      <c r="BU1308" s="85"/>
      <c r="BV1308" s="85"/>
      <c r="BW1308" s="85"/>
      <c r="BX1308" s="85"/>
      <c r="BY1308" s="85"/>
      <c r="BZ1308" s="85"/>
      <c r="CA1308" s="85"/>
      <c r="CB1308" s="85"/>
      <c r="CC1308" s="85"/>
      <c r="CD1308" s="85"/>
      <c r="CE1308" s="85"/>
      <c r="CF1308" s="85"/>
      <c r="CG1308" s="85"/>
      <c r="CH1308" s="85"/>
      <c r="CI1308" s="85"/>
      <c r="CJ1308" s="85"/>
      <c r="CK1308" s="2"/>
    </row>
    <row r="1309" ht="12.75" customHeight="1">
      <c r="A1309" s="80">
        <f>IFERROR(__xludf.DUMMYFUNCTION("""COMPUTED_VALUE"""),1305.0)</f>
        <v>1305</v>
      </c>
      <c r="B1309" s="80"/>
      <c r="C1309" s="80"/>
      <c r="D1309" s="81">
        <f>IFERROR(__xludf.DUMMYFUNCTION("""COMPUTED_VALUE"""),46244.0)</f>
        <v>46244</v>
      </c>
      <c r="E1309" s="82"/>
      <c r="F1309" s="80"/>
      <c r="G1309" s="81">
        <f>IFERROR(__xludf.DUMMYFUNCTION("""COMPUTED_VALUE"""),46265.0)</f>
        <v>46265</v>
      </c>
      <c r="H1309" s="80"/>
      <c r="I1309" s="80"/>
      <c r="J1309" s="80"/>
      <c r="K1309" s="80"/>
      <c r="L1309" s="80">
        <f>IFERROR(__xludf.DUMMYFUNCTION("""COMPUTED_VALUE"""),21.0)</f>
        <v>21</v>
      </c>
      <c r="M1309" s="80"/>
      <c r="N1309" s="80"/>
      <c r="O1309" s="80"/>
      <c r="P1309" s="80" t="str">
        <f>IFERROR(__xludf.DUMMYFUNCTION("""COMPUTED_VALUE"""),"53BSPA17182JBNDS")</f>
        <v>53BSPA17182JBNDS</v>
      </c>
      <c r="Q1309" s="80" t="str">
        <f>IFERROR(__xludf.DUMMYFUNCTION("""COMPUTED_VALUE"""),"MUC AA")</f>
        <v>MUC AA</v>
      </c>
      <c r="R1309" s="80" t="str">
        <f>IFERROR(__xludf.DUMMYFUNCTION("""COMPUTED_VALUE"""),"MUC AA")</f>
        <v>MUC AA</v>
      </c>
      <c r="S1309" s="80" t="str">
        <f>IFERROR(__xludf.DUMMYFUNCTION("""COMPUTED_VALUE"""),"WAHYUDIN")</f>
        <v>WAHYUDIN</v>
      </c>
      <c r="T1309" s="80" t="str">
        <f>IFERROR(__xludf.DUMMYFUNCTION("""COMPUTED_VALUE"""),"CIBEUREUM RT 004 RW 005 MULYAHARJA BOGOR SELATAN, BOGOR JAWA BARAT")</f>
        <v>CIBEUREUM RT 004 RW 005 MULYAHARJA BOGOR SELATAN, BOGOR JAWA BARAT</v>
      </c>
      <c r="U1309" s="80" t="str">
        <f>IFERROR(__xludf.DUMMYFUNCTION("""COMPUTED_VALUE"""),"Jl. Pulo Empang No.14-15, RT.01/RW.06, Paledang, Kec. Bogor Tengah")</f>
        <v>Jl. Pulo Empang No.14-15, RT.01/RW.06, Paledang, Kec. Bogor Tengah</v>
      </c>
      <c r="V1309" s="80" t="str">
        <f>IFERROR(__xludf.DUMMYFUNCTION("""COMPUTED_VALUE"""),"RT 004 \ RW 005")</f>
        <v>RT 004 \ RW 005</v>
      </c>
      <c r="W1309" s="80" t="str">
        <f>IFERROR(__xludf.DUMMYFUNCTION("""COMPUTED_VALUE"""),"Paledang")</f>
        <v>Paledang</v>
      </c>
      <c r="X1309" s="80" t="str">
        <f>IFERROR(__xludf.DUMMYFUNCTION("""COMPUTED_VALUE"""),"Bogor Tengah")</f>
        <v>Bogor Tengah</v>
      </c>
      <c r="Y1309" s="80" t="str">
        <f>IFERROR(__xludf.DUMMYFUNCTION("""COMPUTED_VALUE"""),"Bogor")</f>
        <v>Bogor</v>
      </c>
      <c r="Z1309" s="80" t="str">
        <f>IFERROR(__xludf.DUMMYFUNCTION("""COMPUTED_VALUE"""),"Jawa Barat")</f>
        <v>Jawa Barat</v>
      </c>
      <c r="AA1309" s="80" t="str">
        <f>IFERROR(__xludf.DUMMYFUNCTION("""COMPUTED_VALUE"""),"16122")</f>
        <v>16122</v>
      </c>
      <c r="AB1309" s="80" t="str">
        <f>IFERROR(__xludf.DUMMYFUNCTION("""COMPUTED_VALUE"""),"3271020707780023")</f>
        <v>3271020707780023</v>
      </c>
      <c r="AC1309" s="80" t="str">
        <f>IFERROR(__xludf.DUMMYFUNCTION("""COMPUTED_VALUE"""),"76.742.360.1-404.000")</f>
        <v>76.742.360.1-404.000</v>
      </c>
      <c r="AD1309" s="80" t="str">
        <f>IFERROR(__xludf.DUMMYFUNCTION("""COMPUTED_VALUE"""),"CUM - NDS")</f>
        <v>CUM - NDS</v>
      </c>
      <c r="AE1309" s="80" t="str">
        <f>IFERROR(__xludf.DUMMYFUNCTION("""COMPUTED_VALUE"""),"CUM - NDS")</f>
        <v>CUM - NDS</v>
      </c>
      <c r="AF1309" s="80" t="str">
        <f>IFERROR(__xludf.DUMMYFUNCTION("""COMPUTED_VALUE"""),"0817131210")</f>
        <v>0817131210</v>
      </c>
      <c r="AG1309" s="80" t="str">
        <f>IFERROR(__xludf.DUMMYFUNCTION("""COMPUTED_VALUE"""),"0817131210")</f>
        <v>0817131210</v>
      </c>
      <c r="AH1309" s="80" t="str">
        <f>IFERROR(__xludf.DUMMYFUNCTION("""COMPUTED_VALUE"""),"antonarpian@gmail.com")</f>
        <v>antonarpian@gmail.com</v>
      </c>
      <c r="AI1309" s="80" t="str">
        <f>IFERROR(__xludf.DUMMYFUNCTION("""COMPUTED_VALUE"""),"16122S1")</f>
        <v>16122S1</v>
      </c>
      <c r="AJ1309" s="80" t="str">
        <f>IFERROR(__xludf.DUMMYFUNCTION("""COMPUTED_VALUE"""),"6a928b0fab7269cbce087334")</f>
        <v>6a928b0fab7269cbce087334</v>
      </c>
      <c r="AK1309" s="80" t="str">
        <f>IFERROR(__xludf.DUMMYFUNCTION("""COMPUTED_VALUE"""),"antonarpian@gmail.com")</f>
        <v>antonarpian@gmail.com</v>
      </c>
      <c r="AL1309" s="80" t="str">
        <f>IFERROR(__xludf.DUMMYFUNCTION("""COMPUTED_VALUE"""),"#Muc16122S1*")</f>
        <v>#Muc16122S1*</v>
      </c>
      <c r="AM1309" s="80" t="str">
        <f>IFERROR(__xludf.DUMMYFUNCTION("""COMPUTED_VALUE"""),"KANTOR REGIONAL II JAKARTA 10004")</f>
        <v>KANTOR REGIONAL II JAKARTA 10004</v>
      </c>
      <c r="AN1309" s="80" t="str">
        <f>IFERROR(__xludf.DUMMYFUNCTION("""COMPUTED_VALUE"""),"KCU BOGOR 16000")</f>
        <v>KCU BOGOR 16000</v>
      </c>
      <c r="AO1309" s="80" t="str">
        <f>IFERROR(__xludf.DUMMYFUNCTION("""COMPUTED_VALUE"""),"0608260403954")</f>
        <v>0608260403954</v>
      </c>
      <c r="AP1309" s="80" t="str">
        <f>IFERROR(__xludf.DUMMYFUNCTION("""COMPUTED_VALUE"""),"0608260403954")</f>
        <v>0608260403954</v>
      </c>
      <c r="AQ1309" s="83" t="str">
        <f>IFERROR(__xludf.DUMMYFUNCTION("""COMPUTED_VALUE"""),"001201254825")</f>
        <v>001201254825</v>
      </c>
      <c r="AR1309" s="80" t="str">
        <f>IFERROR(__xludf.DUMMYFUNCTION("""COMPUTED_VALUE"""),"BRI")</f>
        <v>BRI</v>
      </c>
      <c r="AS1309" s="80" t="str">
        <f>IFERROR(__xludf.DUMMYFUNCTION("""COMPUTED_VALUE"""),"ANTON ARPIAN")</f>
        <v>ANTON ARPIAN</v>
      </c>
      <c r="AT1309" s="80" t="str">
        <f>IFERROR(__xludf.DUMMYFUNCTION("""COMPUTED_VALUE"""),"-6.6078549,106.7926624")</f>
        <v>-6.6078549,106.7926624</v>
      </c>
      <c r="AU1309" s="80" t="str">
        <f>IFERROR(__xludf.DUMMYFUNCTION("""COMPUTED_VALUE"""),"-6.6078549,106.7926624")</f>
        <v>-6.6078549,106.7926624</v>
      </c>
      <c r="AV1309" s="80"/>
      <c r="AW1309" s="80"/>
      <c r="AX1309" s="80"/>
      <c r="AY1309" s="80"/>
      <c r="AZ1309" s="80"/>
      <c r="BA1309" s="80"/>
      <c r="BB1309" s="80"/>
      <c r="BC1309" s="80"/>
      <c r="BD1309" s="80"/>
      <c r="BE1309" s="80"/>
      <c r="BF1309" s="80"/>
      <c r="BG1309" s="80"/>
      <c r="BH1309" s="80"/>
      <c r="BI1309" s="80"/>
      <c r="BJ1309" s="80"/>
      <c r="BK1309" s="80"/>
      <c r="BL1309" s="80"/>
      <c r="BM1309" s="80"/>
      <c r="BN1309" s="80"/>
      <c r="BO1309" s="80"/>
      <c r="BP1309" s="80"/>
      <c r="BQ1309" s="80"/>
      <c r="BR1309" s="80"/>
      <c r="BS1309" s="80"/>
      <c r="BT1309" s="80"/>
      <c r="BU1309" s="80"/>
      <c r="BV1309" s="80"/>
      <c r="BW1309" s="80"/>
      <c r="BX1309" s="80"/>
      <c r="BY1309" s="80"/>
      <c r="BZ1309" s="80"/>
      <c r="CA1309" s="80"/>
      <c r="CB1309" s="80"/>
      <c r="CC1309" s="80"/>
      <c r="CD1309" s="80"/>
      <c r="CE1309" s="80"/>
      <c r="CF1309" s="80"/>
      <c r="CG1309" s="80"/>
      <c r="CH1309" s="80"/>
      <c r="CI1309" s="80"/>
      <c r="CJ1309" s="80"/>
      <c r="CK1309" s="2"/>
    </row>
    <row r="1310" ht="12.75" customHeight="1">
      <c r="A1310" s="85">
        <f>IFERROR(__xludf.DUMMYFUNCTION("""COMPUTED_VALUE"""),1306.0)</f>
        <v>1306</v>
      </c>
      <c r="B1310" s="85"/>
      <c r="C1310" s="85"/>
      <c r="D1310" s="86">
        <f>IFERROR(__xludf.DUMMYFUNCTION("""COMPUTED_VALUE"""),46244.0)</f>
        <v>46244</v>
      </c>
      <c r="E1310" s="88"/>
      <c r="F1310" s="85"/>
      <c r="G1310" s="86">
        <f>IFERROR(__xludf.DUMMYFUNCTION("""COMPUTED_VALUE"""),46265.0)</f>
        <v>46265</v>
      </c>
      <c r="H1310" s="85"/>
      <c r="I1310" s="85"/>
      <c r="J1310" s="85"/>
      <c r="K1310" s="85"/>
      <c r="L1310" s="85">
        <f>IFERROR(__xludf.DUMMYFUNCTION("""COMPUTED_VALUE"""),21.0)</f>
        <v>21</v>
      </c>
      <c r="M1310" s="85"/>
      <c r="N1310" s="85"/>
      <c r="O1310" s="85"/>
      <c r="P1310" s="85" t="str">
        <f>IFERROR(__xludf.DUMMYFUNCTION("""COMPUTED_VALUE"""),"53BSPA17193JBEEN")</f>
        <v>53BSPA17193JBEEN</v>
      </c>
      <c r="Q1310" s="85" t="str">
        <f>IFERROR(__xludf.DUMMYFUNCTION("""COMPUTED_VALUE"""),"MUC RAYA NANGGERANG")</f>
        <v>MUC RAYA NANGGERANG</v>
      </c>
      <c r="R1310" s="85" t="str">
        <f>IFERROR(__xludf.DUMMYFUNCTION("""COMPUTED_VALUE"""),"MUC RAYA NANGGERANG")</f>
        <v>MUC RAYA NANGGERANG</v>
      </c>
      <c r="S1310" s="85" t="str">
        <f>IFERROR(__xludf.DUMMYFUNCTION("""COMPUTED_VALUE"""),"PANDI AHMAD")</f>
        <v>PANDI AHMAD</v>
      </c>
      <c r="T1310" s="85" t="str">
        <f>IFERROR(__xludf.DUMMYFUNCTION("""COMPUTED_VALUE"""),"KP. CARINGIN JANGKUNG RT 02 RW 04, CIAMPEA UDIK, CIAMPEA, KAB.BOGOR")</f>
        <v>KP. CARINGIN JANGKUNG RT 02 RW 04, CIAMPEA UDIK, CIAMPEA, KAB.BOGOR</v>
      </c>
      <c r="U1310" s="85" t="str">
        <f>IFERROR(__xludf.DUMMYFUNCTION("""COMPUTED_VALUE"""),"JL. RAYA NANGGERANG NO. 17 RT 01 RW 02")</f>
        <v>JL. RAYA NANGGERANG NO. 17 RT 01 RW 02</v>
      </c>
      <c r="V1310" s="85" t="str">
        <f>IFERROR(__xludf.DUMMYFUNCTION("""COMPUTED_VALUE"""),"RT 02  \ RW 04,")</f>
        <v>RT 02  \ RW 04,</v>
      </c>
      <c r="W1310" s="85" t="str">
        <f>IFERROR(__xludf.DUMMYFUNCTION("""COMPUTED_VALUE"""),"NANGGERANG")</f>
        <v>NANGGERANG</v>
      </c>
      <c r="X1310" s="85" t="str">
        <f>IFERROR(__xludf.DUMMYFUNCTION("""COMPUTED_VALUE"""),"TAJURHALANG")</f>
        <v>TAJURHALANG</v>
      </c>
      <c r="Y1310" s="85" t="str">
        <f>IFERROR(__xludf.DUMMYFUNCTION("""COMPUTED_VALUE"""),"KAB.BOGOR")</f>
        <v>KAB.BOGOR</v>
      </c>
      <c r="Z1310" s="85" t="str">
        <f>IFERROR(__xludf.DUMMYFUNCTION("""COMPUTED_VALUE"""),"JAWA BARAT")</f>
        <v>JAWA BARAT</v>
      </c>
      <c r="AA1310" s="85" t="str">
        <f>IFERROR(__xludf.DUMMYFUNCTION("""COMPUTED_VALUE"""),"16320")</f>
        <v>16320</v>
      </c>
      <c r="AB1310" s="85" t="str">
        <f>IFERROR(__xludf.DUMMYFUNCTION("""COMPUTED_VALUE"""),"3201151211940002")</f>
        <v>3201151211940002</v>
      </c>
      <c r="AC1310" s="85" t="str">
        <f>IFERROR(__xludf.DUMMYFUNCTION("""COMPUTED_VALUE"""),"81.047.910.5-434.000")</f>
        <v>81.047.910.5-434.000</v>
      </c>
      <c r="AD1310" s="85" t="str">
        <f>IFERROR(__xludf.DUMMYFUNCTION("""COMPUTED_VALUE"""),"CUM - EEN")</f>
        <v>CUM - EEN</v>
      </c>
      <c r="AE1310" s="85" t="str">
        <f>IFERROR(__xludf.DUMMYFUNCTION("""COMPUTED_VALUE"""),"CUM - EEN")</f>
        <v>CUM - EEN</v>
      </c>
      <c r="AF1310" s="85" t="str">
        <f>IFERROR(__xludf.DUMMYFUNCTION("""COMPUTED_VALUE"""),"089663542346")</f>
        <v>089663542346</v>
      </c>
      <c r="AG1310" s="85" t="str">
        <f>IFERROR(__xludf.DUMMYFUNCTION("""COMPUTED_VALUE"""),"089663542346")</f>
        <v>089663542346</v>
      </c>
      <c r="AH1310" s="85" t="str">
        <f>IFERROR(__xludf.DUMMYFUNCTION("""COMPUTED_VALUE"""),"pandia1211@gmail.com")</f>
        <v>pandia1211@gmail.com</v>
      </c>
      <c r="AI1310" s="85" t="str">
        <f>IFERROR(__xludf.DUMMYFUNCTION("""COMPUTED_VALUE"""),"16934S2")</f>
        <v>16934S2</v>
      </c>
      <c r="AJ1310" s="85" t="str">
        <f>IFERROR(__xludf.DUMMYFUNCTION("""COMPUTED_VALUE"""),"6a92ab7730e908e0590f9ffc")</f>
        <v>6a92ab7730e908e0590f9ffc</v>
      </c>
      <c r="AK1310" s="85" t="str">
        <f>IFERROR(__xludf.DUMMYFUNCTION("""COMPUTED_VALUE"""),"pandia1211@gmail.com")</f>
        <v>pandia1211@gmail.com</v>
      </c>
      <c r="AL1310" s="85" t="str">
        <f>IFERROR(__xludf.DUMMYFUNCTION("""COMPUTED_VALUE"""),"#Muc16934S2$")</f>
        <v>#Muc16934S2$</v>
      </c>
      <c r="AM1310" s="85" t="str">
        <f>IFERROR(__xludf.DUMMYFUNCTION("""COMPUTED_VALUE"""),"KANTOR REGIONAL II JAKARTA 10004")</f>
        <v>KANTOR REGIONAL II JAKARTA 10004</v>
      </c>
      <c r="AN1310" s="85" t="str">
        <f>IFERROR(__xludf.DUMMYFUNCTION("""COMPUTED_VALUE"""),"KCU BOGOR 16000")</f>
        <v>KCU BOGOR 16000</v>
      </c>
      <c r="AO1310" s="85" t="str">
        <f>IFERROR(__xludf.DUMMYFUNCTION("""COMPUTED_VALUE"""),"0220502881997")</f>
        <v>0220502881997</v>
      </c>
      <c r="AP1310" s="85" t="str">
        <f>IFERROR(__xludf.DUMMYFUNCTION("""COMPUTED_VALUE"""),"0220502881997")</f>
        <v>0220502881997</v>
      </c>
      <c r="AQ1310" s="93" t="str">
        <f>IFERROR(__xludf.DUMMYFUNCTION("""COMPUTED_VALUE"""),"1671542431")</f>
        <v>1671542431</v>
      </c>
      <c r="AR1310" s="85" t="str">
        <f>IFERROR(__xludf.DUMMYFUNCTION("""COMPUTED_VALUE"""),"BCA")</f>
        <v>BCA</v>
      </c>
      <c r="AS1310" s="85" t="str">
        <f>IFERROR(__xludf.DUMMYFUNCTION("""COMPUTED_VALUE"""),"PANDI AHMAD")</f>
        <v>PANDI AHMAD</v>
      </c>
      <c r="AT1310" s="85" t="str">
        <f>IFERROR(__xludf.DUMMYFUNCTION("""COMPUTED_VALUE"""),"-6.4665259,106.7764224")</f>
        <v>-6.4665259,106.7764224</v>
      </c>
      <c r="AU1310" s="85" t="str">
        <f>IFERROR(__xludf.DUMMYFUNCTION("""COMPUTED_VALUE"""),"-6.4665259,106.7764224")</f>
        <v>-6.4665259,106.7764224</v>
      </c>
      <c r="AV1310" s="85"/>
      <c r="AW1310" s="85"/>
      <c r="AX1310" s="85"/>
      <c r="AY1310" s="85"/>
      <c r="AZ1310" s="85"/>
      <c r="BA1310" s="85"/>
      <c r="BB1310" s="85"/>
      <c r="BC1310" s="85"/>
      <c r="BD1310" s="85"/>
      <c r="BE1310" s="85"/>
      <c r="BF1310" s="85"/>
      <c r="BG1310" s="85"/>
      <c r="BH1310" s="85"/>
      <c r="BI1310" s="85"/>
      <c r="BJ1310" s="85"/>
      <c r="BK1310" s="85"/>
      <c r="BL1310" s="85"/>
      <c r="BM1310" s="85"/>
      <c r="BN1310" s="85"/>
      <c r="BO1310" s="85"/>
      <c r="BP1310" s="85"/>
      <c r="BQ1310" s="85"/>
      <c r="BR1310" s="85"/>
      <c r="BS1310" s="85"/>
      <c r="BT1310" s="85"/>
      <c r="BU1310" s="85"/>
      <c r="BV1310" s="85"/>
      <c r="BW1310" s="85"/>
      <c r="BX1310" s="85"/>
      <c r="BY1310" s="85"/>
      <c r="BZ1310" s="85"/>
      <c r="CA1310" s="85"/>
      <c r="CB1310" s="85"/>
      <c r="CC1310" s="85"/>
      <c r="CD1310" s="85"/>
      <c r="CE1310" s="85"/>
      <c r="CF1310" s="85"/>
      <c r="CG1310" s="85"/>
      <c r="CH1310" s="85"/>
      <c r="CI1310" s="85"/>
      <c r="CJ1310" s="85"/>
      <c r="CK1310" s="2"/>
    </row>
    <row r="1311" ht="12.75" customHeight="1">
      <c r="A1311" s="80">
        <f>IFERROR(__xludf.DUMMYFUNCTION("""COMPUTED_VALUE"""),1307.0)</f>
        <v>1307</v>
      </c>
      <c r="B1311" s="80"/>
      <c r="C1311" s="80"/>
      <c r="D1311" s="81">
        <f>IFERROR(__xludf.DUMMYFUNCTION("""COMPUTED_VALUE"""),46244.0)</f>
        <v>46244</v>
      </c>
      <c r="E1311" s="82"/>
      <c r="F1311" s="80"/>
      <c r="G1311" s="81">
        <f>IFERROR(__xludf.DUMMYFUNCTION("""COMPUTED_VALUE"""),46255.0)</f>
        <v>46255</v>
      </c>
      <c r="H1311" s="80"/>
      <c r="I1311" s="80"/>
      <c r="J1311" s="80"/>
      <c r="K1311" s="80"/>
      <c r="L1311" s="80">
        <f>IFERROR(__xludf.DUMMYFUNCTION("""COMPUTED_VALUE"""),11.0)</f>
        <v>11</v>
      </c>
      <c r="M1311" s="80"/>
      <c r="N1311" s="80"/>
      <c r="O1311" s="80"/>
      <c r="P1311" s="80" t="str">
        <f>IFERROR(__xludf.DUMMYFUNCTION("""COMPUTED_VALUE"""),"MUCSPA63645PSIND")</f>
        <v>MUCSPA63645PSIND</v>
      </c>
      <c r="Q1311" s="80" t="str">
        <f>IFERROR(__xludf.DUMMYFUNCTION("""COMPUTED_VALUE"""),"MUC AGP TANARA")</f>
        <v>MUC AGP TANARA</v>
      </c>
      <c r="R1311" s="80" t="str">
        <f>IFERROR(__xludf.DUMMYFUNCTION("""COMPUTED_VALUE"""),"MUC AGP TANARA")</f>
        <v>MUC AGP TANARA</v>
      </c>
      <c r="S1311" s="80" t="str">
        <f>IFERROR(__xludf.DUMMYFUNCTION("""COMPUTED_VALUE"""),"MUSYRIFAH")</f>
        <v>MUSYRIFAH</v>
      </c>
      <c r="T1311" s="80" t="str">
        <f>IFERROR(__xludf.DUMMYFUNCTION("""COMPUTED_VALUE"""),"KP PESISIR RT 02 RW 01, PEDALEMAN, TANARA, KAB.SERANG")</f>
        <v>KP PESISIR RT 02 RW 01, PEDALEMAN, TANARA, KAB.SERANG</v>
      </c>
      <c r="U1311" s="80" t="str">
        <f>IFERROR(__xludf.DUMMYFUNCTION("""COMPUTED_VALUE"""),"KP. KEPAKSAN RT.03 RW.01")</f>
        <v>KP. KEPAKSAN RT.03 RW.01</v>
      </c>
      <c r="V1311" s="80" t="str">
        <f>IFERROR(__xludf.DUMMYFUNCTION("""COMPUTED_VALUE"""),"RT 02  \ RW 01,")</f>
        <v>RT 02  \ RW 01,</v>
      </c>
      <c r="W1311" s="80" t="str">
        <f>IFERROR(__xludf.DUMMYFUNCTION("""COMPUTED_VALUE"""),"PEDALEMAN")</f>
        <v>PEDALEMAN</v>
      </c>
      <c r="X1311" s="80" t="str">
        <f>IFERROR(__xludf.DUMMYFUNCTION("""COMPUTED_VALUE"""),"TANARA")</f>
        <v>TANARA</v>
      </c>
      <c r="Y1311" s="80" t="str">
        <f>IFERROR(__xludf.DUMMYFUNCTION("""COMPUTED_VALUE"""),"KAB.SERANG")</f>
        <v>KAB.SERANG</v>
      </c>
      <c r="Z1311" s="80" t="str">
        <f>IFERROR(__xludf.DUMMYFUNCTION("""COMPUTED_VALUE"""),"BANTEN")</f>
        <v>BANTEN</v>
      </c>
      <c r="AA1311" s="80" t="str">
        <f>IFERROR(__xludf.DUMMYFUNCTION("""COMPUTED_VALUE"""),"42194")</f>
        <v>42194</v>
      </c>
      <c r="AB1311" s="80" t="str">
        <f>IFERROR(__xludf.DUMMYFUNCTION("""COMPUTED_VALUE"""),"3604144212780002")</f>
        <v>3604144212780002</v>
      </c>
      <c r="AC1311" s="80" t="str">
        <f>IFERROR(__xludf.DUMMYFUNCTION("""COMPUTED_VALUE"""),"71.704.450.7-401.000")</f>
        <v>71.704.450.7-401.000</v>
      </c>
      <c r="AD1311" s="80" t="str">
        <f>IFERROR(__xludf.DUMMYFUNCTION("""COMPUTED_VALUE"""),"CUM - PS - NONKORGEN")</f>
        <v>CUM - PS - NONKORGEN</v>
      </c>
      <c r="AE1311" s="80" t="str">
        <f>IFERROR(__xludf.DUMMYFUNCTION("""COMPUTED_VALUE"""),"BU NELA KCU SERANG")</f>
        <v>BU NELA KCU SERANG</v>
      </c>
      <c r="AF1311" s="80" t="str">
        <f>IFERROR(__xludf.DUMMYFUNCTION("""COMPUTED_VALUE"""),"082111195481")</f>
        <v>082111195481</v>
      </c>
      <c r="AG1311" s="80" t="str">
        <f>IFERROR(__xludf.DUMMYFUNCTION("""COMPUTED_VALUE"""),"082111195481")</f>
        <v>082111195481</v>
      </c>
      <c r="AH1311" s="80" t="str">
        <f>IFERROR(__xludf.DUMMYFUNCTION("""COMPUTED_VALUE"""),"neng.ifeh01@gmail.com")</f>
        <v>neng.ifeh01@gmail.com</v>
      </c>
      <c r="AI1311" s="80" t="str">
        <f>IFERROR(__xludf.DUMMYFUNCTION("""COMPUTED_VALUE"""),"42194S1")</f>
        <v>42194S1</v>
      </c>
      <c r="AJ1311" s="80" t="str">
        <f>IFERROR(__xludf.DUMMYFUNCTION("""COMPUTED_VALUE"""),"6a87f2074a4fd166dc0f6f8c")</f>
        <v>6a87f2074a4fd166dc0f6f8c</v>
      </c>
      <c r="AK1311" s="80" t="str">
        <f>IFERROR(__xludf.DUMMYFUNCTION("""COMPUTED_VALUE"""),"neng.ifeh01@gmail.com")</f>
        <v>neng.ifeh01@gmail.com</v>
      </c>
      <c r="AL1311" s="80" t="str">
        <f>IFERROR(__xludf.DUMMYFUNCTION("""COMPUTED_VALUE"""),"#Muc42194S1$")</f>
        <v>#Muc42194S1$</v>
      </c>
      <c r="AM1311" s="80" t="str">
        <f>IFERROR(__xludf.DUMMYFUNCTION("""COMPUTED_VALUE"""),"KANTOR REGIONAL II JAKARTA 10004")</f>
        <v>KANTOR REGIONAL II JAKARTA 10004</v>
      </c>
      <c r="AN1311" s="80" t="str">
        <f>IFERROR(__xludf.DUMMYFUNCTION("""COMPUTED_VALUE"""),"KCU SERANG 42100")</f>
        <v>KCU SERANG 42100</v>
      </c>
      <c r="AO1311" s="80" t="str">
        <f>IFERROR(__xludf.DUMMYFUNCTION("""COMPUTED_VALUE"""),"0508260282405")</f>
        <v>0508260282405</v>
      </c>
      <c r="AP1311" s="80" t="str">
        <f>IFERROR(__xludf.DUMMYFUNCTION("""COMPUTED_VALUE"""),"0508260282405")</f>
        <v>0508260282405</v>
      </c>
      <c r="AQ1311" s="83" t="str">
        <f>IFERROR(__xludf.DUMMYFUNCTION("""COMPUTED_VALUE"""),"5410595674")</f>
        <v>5410595674</v>
      </c>
      <c r="AR1311" s="80" t="str">
        <f>IFERROR(__xludf.DUMMYFUNCTION("""COMPUTED_VALUE"""),"BCA")</f>
        <v>BCA</v>
      </c>
      <c r="AS1311" s="80" t="str">
        <f>IFERROR(__xludf.DUMMYFUNCTION("""COMPUTED_VALUE"""),"MUSYRIFAH")</f>
        <v>MUSYRIFAH</v>
      </c>
      <c r="AT1311" s="80" t="str">
        <f>IFERROR(__xludf.DUMMYFUNCTION("""COMPUTED_VALUE"""),"-6.0285278,106.3776141")</f>
        <v>-6.0285278,106.3776141</v>
      </c>
      <c r="AU1311" s="80" t="str">
        <f>IFERROR(__xludf.DUMMYFUNCTION("""COMPUTED_VALUE"""),"-6.0285278,106.3776141")</f>
        <v>-6.0285278,106.3776141</v>
      </c>
      <c r="AV1311" s="80"/>
      <c r="AW1311" s="80"/>
      <c r="AX1311" s="80"/>
      <c r="AY1311" s="80"/>
      <c r="AZ1311" s="80"/>
      <c r="BA1311" s="80"/>
      <c r="BB1311" s="80"/>
      <c r="BC1311" s="80"/>
      <c r="BD1311" s="80"/>
      <c r="BE1311" s="80"/>
      <c r="BF1311" s="80"/>
      <c r="BG1311" s="80"/>
      <c r="BH1311" s="80"/>
      <c r="BI1311" s="80"/>
      <c r="BJ1311" s="80"/>
      <c r="BK1311" s="80"/>
      <c r="BL1311" s="80"/>
      <c r="BM1311" s="80"/>
      <c r="BN1311" s="80"/>
      <c r="BO1311" s="80"/>
      <c r="BP1311" s="80"/>
      <c r="BQ1311" s="80"/>
      <c r="BR1311" s="80"/>
      <c r="BS1311" s="80"/>
      <c r="BT1311" s="80"/>
      <c r="BU1311" s="80"/>
      <c r="BV1311" s="80"/>
      <c r="BW1311" s="80"/>
      <c r="BX1311" s="80"/>
      <c r="BY1311" s="80"/>
      <c r="BZ1311" s="80"/>
      <c r="CA1311" s="80"/>
      <c r="CB1311" s="80"/>
      <c r="CC1311" s="80"/>
      <c r="CD1311" s="80"/>
      <c r="CE1311" s="80"/>
      <c r="CF1311" s="80"/>
      <c r="CG1311" s="80"/>
      <c r="CH1311" s="80"/>
      <c r="CI1311" s="80"/>
      <c r="CJ1311" s="80"/>
      <c r="CK1311" s="2"/>
    </row>
    <row r="1312" ht="12.75" customHeight="1">
      <c r="A1312" s="85">
        <f>IFERROR(__xludf.DUMMYFUNCTION("""COMPUTED_VALUE"""),1308.0)</f>
        <v>1308</v>
      </c>
      <c r="B1312" s="85"/>
      <c r="C1312" s="85"/>
      <c r="D1312" s="86">
        <f>IFERROR(__xludf.DUMMYFUNCTION("""COMPUTED_VALUE"""),46244.0)</f>
        <v>46244</v>
      </c>
      <c r="E1312" s="88"/>
      <c r="F1312" s="85"/>
      <c r="G1312" s="86">
        <f>IFERROR(__xludf.DUMMYFUNCTION("""COMPUTED_VALUE"""),46255.0)</f>
        <v>46255</v>
      </c>
      <c r="H1312" s="85"/>
      <c r="I1312" s="85"/>
      <c r="J1312" s="85"/>
      <c r="K1312" s="85"/>
      <c r="L1312" s="85">
        <f>IFERROR(__xludf.DUMMYFUNCTION("""COMPUTED_VALUE"""),11.0)</f>
        <v>11</v>
      </c>
      <c r="M1312" s="85"/>
      <c r="N1312" s="85"/>
      <c r="O1312" s="85"/>
      <c r="P1312" s="85" t="str">
        <f>IFERROR(__xludf.DUMMYFUNCTION("""COMPUTED_VALUE"""),"MUCSPA63648PSIND")</f>
        <v>MUCSPA63648PSIND</v>
      </c>
      <c r="Q1312" s="85" t="str">
        <f>IFERROR(__xludf.DUMMYFUNCTION("""COMPUTED_VALUE"""),"MUC BAP 2")</f>
        <v>MUC BAP 2</v>
      </c>
      <c r="R1312" s="85" t="str">
        <f>IFERROR(__xludf.DUMMYFUNCTION("""COMPUTED_VALUE"""),"MUC BAP 2")</f>
        <v>MUC BAP 2</v>
      </c>
      <c r="S1312" s="85" t="str">
        <f>IFERROR(__xludf.DUMMYFUNCTION("""COMPUTED_VALUE"""),"KARTONO")</f>
        <v>KARTONO</v>
      </c>
      <c r="T1312" s="85" t="str">
        <f>IFERROR(__xludf.DUMMYFUNCTION("""COMPUTED_VALUE"""),"PERUM BUMI AGUNG PERMAI 2 BLOK D.18 NO.15 RT 06 RW 14, KALIGANDU, SERANG, SERANG")</f>
        <v>PERUM BUMI AGUNG PERMAI 2 BLOK D.18 NO.15 RT 06 RW 14, KALIGANDU, SERANG, SERANG</v>
      </c>
      <c r="U1312" s="85" t="str">
        <f>IFERROR(__xludf.DUMMYFUNCTION("""COMPUTED_VALUE"""),"JL. PERUM BUMI AGUNG PERMAI 2 BLOK A NO.07 RT 07 RW 14")</f>
        <v>JL. PERUM BUMI AGUNG PERMAI 2 BLOK A NO.07 RT 07 RW 14</v>
      </c>
      <c r="V1312" s="85" t="str">
        <f>IFERROR(__xludf.DUMMYFUNCTION("""COMPUTED_VALUE"""),"RT 06  \ RW 14,")</f>
        <v>RT 06  \ RW 14,</v>
      </c>
      <c r="W1312" s="85" t="str">
        <f>IFERROR(__xludf.DUMMYFUNCTION("""COMPUTED_VALUE"""),"KALIGANDU")</f>
        <v>KALIGANDU</v>
      </c>
      <c r="X1312" s="85" t="str">
        <f>IFERROR(__xludf.DUMMYFUNCTION("""COMPUTED_VALUE"""),"SERANG")</f>
        <v>SERANG</v>
      </c>
      <c r="Y1312" s="85" t="str">
        <f>IFERROR(__xludf.DUMMYFUNCTION("""COMPUTED_VALUE"""),"SERANG")</f>
        <v>SERANG</v>
      </c>
      <c r="Z1312" s="85" t="str">
        <f>IFERROR(__xludf.DUMMYFUNCTION("""COMPUTED_VALUE"""),"BANTEN")</f>
        <v>BANTEN</v>
      </c>
      <c r="AA1312" s="85" t="str">
        <f>IFERROR(__xludf.DUMMYFUNCTION("""COMPUTED_VALUE"""),"42111")</f>
        <v>42111</v>
      </c>
      <c r="AB1312" s="85" t="str">
        <f>IFERROR(__xludf.DUMMYFUNCTION("""COMPUTED_VALUE"""),"3673012410830003")</f>
        <v>3673012410830003</v>
      </c>
      <c r="AC1312" s="85" t="str">
        <f>IFERROR(__xludf.DUMMYFUNCTION("""COMPUTED_VALUE"""),"96.770.956.9-401.000")</f>
        <v>96.770.956.9-401.000</v>
      </c>
      <c r="AD1312" s="85" t="str">
        <f>IFERROR(__xludf.DUMMYFUNCTION("""COMPUTED_VALUE"""),"BU NELA KCU SERANG")</f>
        <v>BU NELA KCU SERANG</v>
      </c>
      <c r="AE1312" s="85" t="str">
        <f>IFERROR(__xludf.DUMMYFUNCTION("""COMPUTED_VALUE"""),"BU NELA KCU SERANG")</f>
        <v>BU NELA KCU SERANG</v>
      </c>
      <c r="AF1312" s="85" t="str">
        <f>IFERROR(__xludf.DUMMYFUNCTION("""COMPUTED_VALUE"""),"089502647289")</f>
        <v>089502647289</v>
      </c>
      <c r="AG1312" s="85" t="str">
        <f>IFERROR(__xludf.DUMMYFUNCTION("""COMPUTED_VALUE"""),"089502647289")</f>
        <v>089502647289</v>
      </c>
      <c r="AH1312" s="85" t="str">
        <f>IFERROR(__xludf.DUMMYFUNCTION("""COMPUTED_VALUE"""),"kartonowijaya18@gmail.com")</f>
        <v>kartonowijaya18@gmail.com</v>
      </c>
      <c r="AI1312" s="85" t="str">
        <f>IFERROR(__xludf.DUMMYFUNCTION("""COMPUTED_VALUE"""),"42111S1")</f>
        <v>42111S1</v>
      </c>
      <c r="AJ1312" s="85" t="str">
        <f>IFERROR(__xludf.DUMMYFUNCTION("""COMPUTED_VALUE"""),"6a87fb8c810f8cf107091bb1")</f>
        <v>6a87fb8c810f8cf107091bb1</v>
      </c>
      <c r="AK1312" s="85" t="str">
        <f>IFERROR(__xludf.DUMMYFUNCTION("""COMPUTED_VALUE"""),"kartonowijaya18@gmail.com")</f>
        <v>kartonowijaya18@gmail.com</v>
      </c>
      <c r="AL1312" s="85" t="str">
        <f>IFERROR(__xludf.DUMMYFUNCTION("""COMPUTED_VALUE"""),"#Muc42111S1$")</f>
        <v>#Muc42111S1$</v>
      </c>
      <c r="AM1312" s="85" t="str">
        <f>IFERROR(__xludf.DUMMYFUNCTION("""COMPUTED_VALUE"""),"KANTOR REGIONAL II JAKARTA 10004")</f>
        <v>KANTOR REGIONAL II JAKARTA 10004</v>
      </c>
      <c r="AN1312" s="85" t="str">
        <f>IFERROR(__xludf.DUMMYFUNCTION("""COMPUTED_VALUE"""),"KCU SERANG 42100")</f>
        <v>KCU SERANG 42100</v>
      </c>
      <c r="AO1312" s="85" t="str">
        <f>IFERROR(__xludf.DUMMYFUNCTION("""COMPUTED_VALUE"""),"0708260049399")</f>
        <v>0708260049399</v>
      </c>
      <c r="AP1312" s="85" t="str">
        <f>IFERROR(__xludf.DUMMYFUNCTION("""COMPUTED_VALUE"""),"0708260049399")</f>
        <v>0708260049399</v>
      </c>
      <c r="AQ1312" s="93" t="str">
        <f>IFERROR(__xludf.DUMMYFUNCTION("""COMPUTED_VALUE"""),"2452399726")</f>
        <v>2452399726</v>
      </c>
      <c r="AR1312" s="85" t="str">
        <f>IFERROR(__xludf.DUMMYFUNCTION("""COMPUTED_VALUE"""),"BCA")</f>
        <v>BCA</v>
      </c>
      <c r="AS1312" s="85" t="str">
        <f>IFERROR(__xludf.DUMMYFUNCTION("""COMPUTED_VALUE"""),"KARTONO")</f>
        <v>KARTONO</v>
      </c>
      <c r="AT1312" s="85" t="str">
        <f>IFERROR(__xludf.DUMMYFUNCTION("""COMPUTED_VALUE"""),"-6.1047479,106.1695323")</f>
        <v>-6.1047479,106.1695323</v>
      </c>
      <c r="AU1312" s="85" t="str">
        <f>IFERROR(__xludf.DUMMYFUNCTION("""COMPUTED_VALUE"""),"-6.1047479,106.1695323")</f>
        <v>-6.1047479,106.1695323</v>
      </c>
      <c r="AV1312" s="85"/>
      <c r="AW1312" s="85"/>
      <c r="AX1312" s="85"/>
      <c r="AY1312" s="85"/>
      <c r="AZ1312" s="85"/>
      <c r="BA1312" s="85"/>
      <c r="BB1312" s="85"/>
      <c r="BC1312" s="85"/>
      <c r="BD1312" s="85"/>
      <c r="BE1312" s="85"/>
      <c r="BF1312" s="85"/>
      <c r="BG1312" s="85"/>
      <c r="BH1312" s="85"/>
      <c r="BI1312" s="85"/>
      <c r="BJ1312" s="85"/>
      <c r="BK1312" s="85"/>
      <c r="BL1312" s="85"/>
      <c r="BM1312" s="85"/>
      <c r="BN1312" s="85"/>
      <c r="BO1312" s="85"/>
      <c r="BP1312" s="85"/>
      <c r="BQ1312" s="85"/>
      <c r="BR1312" s="85"/>
      <c r="BS1312" s="85"/>
      <c r="BT1312" s="85"/>
      <c r="BU1312" s="85"/>
      <c r="BV1312" s="85"/>
      <c r="BW1312" s="85"/>
      <c r="BX1312" s="85"/>
      <c r="BY1312" s="85"/>
      <c r="BZ1312" s="85"/>
      <c r="CA1312" s="85"/>
      <c r="CB1312" s="85"/>
      <c r="CC1312" s="85"/>
      <c r="CD1312" s="85"/>
      <c r="CE1312" s="85"/>
      <c r="CF1312" s="85"/>
      <c r="CG1312" s="85"/>
      <c r="CH1312" s="85"/>
      <c r="CI1312" s="85"/>
      <c r="CJ1312" s="85"/>
      <c r="CK1312" s="2"/>
    </row>
    <row r="1313" ht="12.75" customHeight="1">
      <c r="A1313" s="80">
        <f>IFERROR(__xludf.DUMMYFUNCTION("""COMPUTED_VALUE"""),1309.0)</f>
        <v>1309</v>
      </c>
      <c r="B1313" s="80"/>
      <c r="C1313" s="80"/>
      <c r="D1313" s="81">
        <f>IFERROR(__xludf.DUMMYFUNCTION("""COMPUTED_VALUE"""),46244.0)</f>
        <v>46244</v>
      </c>
      <c r="E1313" s="82"/>
      <c r="F1313" s="80"/>
      <c r="G1313" s="81">
        <f>IFERROR(__xludf.DUMMYFUNCTION("""COMPUTED_VALUE"""),46265.0)</f>
        <v>46265</v>
      </c>
      <c r="H1313" s="80"/>
      <c r="I1313" s="80"/>
      <c r="J1313" s="80"/>
      <c r="K1313" s="80"/>
      <c r="L1313" s="80">
        <f>IFERROR(__xludf.DUMMYFUNCTION("""COMPUTED_VALUE"""),21.0)</f>
        <v>21</v>
      </c>
      <c r="M1313" s="80"/>
      <c r="N1313" s="80"/>
      <c r="O1313" s="80"/>
      <c r="P1313" s="80" t="str">
        <f>IFERROR(__xludf.DUMMYFUNCTION("""COMPUTED_VALUE"""),"MUCSPA70083PSLDI")</f>
        <v>MUCSPA70083PSLDI</v>
      </c>
      <c r="Q1313" s="80" t="str">
        <f>IFERROR(__xludf.DUMMYFUNCTION("""COMPUTED_VALUE"""),"MUC RANCASALAK")</f>
        <v>MUC RANCASALAK</v>
      </c>
      <c r="R1313" s="80" t="str">
        <f>IFERROR(__xludf.DUMMYFUNCTION("""COMPUTED_VALUE"""),"MUC RANCASALAK")</f>
        <v>MUC RANCASALAK</v>
      </c>
      <c r="S1313" s="80" t="str">
        <f>IFERROR(__xludf.DUMMYFUNCTION("""COMPUTED_VALUE"""),"HADI SUARI")</f>
        <v>HADI SUARI</v>
      </c>
      <c r="T1313" s="80" t="str">
        <f>IFERROR(__xludf.DUMMYFUNCTION("""COMPUTED_VALUE"""),"Kp. Rancasalak RT 002/RW004 desa Rancasalak Kadungora-Garut")</f>
        <v>Kp. Rancasalak RT 002/RW004 desa Rancasalak Kadungora-Garut</v>
      </c>
      <c r="U1313" s="80" t="str">
        <f>IFERROR(__xludf.DUMMYFUNCTION("""COMPUTED_VALUE"""),"Kp. Rancasalak RT 002/04, Desa Rancasalak-Kadungora, Kab. Garut")</f>
        <v>Kp. Rancasalak RT 002/04, Desa Rancasalak-Kadungora, Kab. Garut</v>
      </c>
      <c r="V1313" s="80" t="str">
        <f>IFERROR(__xludf.DUMMYFUNCTION("""COMPUTED_VALUE"""),"RT 002 \ RW004")</f>
        <v>RT 002 \ RW004</v>
      </c>
      <c r="W1313" s="80" t="str">
        <f>IFERROR(__xludf.DUMMYFUNCTION("""COMPUTED_VALUE"""),"Rancasalak")</f>
        <v>Rancasalak</v>
      </c>
      <c r="X1313" s="80" t="str">
        <f>IFERROR(__xludf.DUMMYFUNCTION("""COMPUTED_VALUE"""),"Kadungora")</f>
        <v>Kadungora</v>
      </c>
      <c r="Y1313" s="80" t="str">
        <f>IFERROR(__xludf.DUMMYFUNCTION("""COMPUTED_VALUE"""),"Garut")</f>
        <v>Garut</v>
      </c>
      <c r="Z1313" s="80" t="str">
        <f>IFERROR(__xludf.DUMMYFUNCTION("""COMPUTED_VALUE"""),"Jawa Barat")</f>
        <v>Jawa Barat</v>
      </c>
      <c r="AA1313" s="80" t="str">
        <f>IFERROR(__xludf.DUMMYFUNCTION("""COMPUTED_VALUE"""),"44153")</f>
        <v>44153</v>
      </c>
      <c r="AB1313" s="80" t="str">
        <f>IFERROR(__xludf.DUMMYFUNCTION("""COMPUTED_VALUE"""),"3216063009740004")</f>
        <v>3216063009740004</v>
      </c>
      <c r="AC1313" s="80" t="str">
        <f>IFERROR(__xludf.DUMMYFUNCTION("""COMPUTED_VALUE"""),"32.160.630.0-974.0004")</f>
        <v>32.160.630.0-974.0004</v>
      </c>
      <c r="AD1313" s="80" t="str">
        <f>IFERROR(__xludf.DUMMYFUNCTION("""COMPUTED_VALUE"""),"CUM - LDI - KOPUBGBS")</f>
        <v>CUM - LDI - KOPUBGBS</v>
      </c>
      <c r="AE1313" s="80" t="str">
        <f>IFERROR(__xludf.DUMMYFUNCTION("""COMPUTED_VALUE"""),"CUM - LDI - KOPUBGBS")</f>
        <v>CUM - LDI - KOPUBGBS</v>
      </c>
      <c r="AF1313" s="80" t="str">
        <f>IFERROR(__xludf.DUMMYFUNCTION("""COMPUTED_VALUE"""),"087780815781")</f>
        <v>087780815781</v>
      </c>
      <c r="AG1313" s="80" t="str">
        <f>IFERROR(__xludf.DUMMYFUNCTION("""COMPUTED_VALUE"""),"087780815781")</f>
        <v>087780815781</v>
      </c>
      <c r="AH1313" s="80" t="str">
        <f>IFERROR(__xludf.DUMMYFUNCTION("""COMPUTED_VALUE"""),"hadisuari74@gmail.com")</f>
        <v>hadisuari74@gmail.com</v>
      </c>
      <c r="AI1313" s="80" t="str">
        <f>IFERROR(__xludf.DUMMYFUNCTION("""COMPUTED_VALUE"""),"44153S2")</f>
        <v>44153S2</v>
      </c>
      <c r="AJ1313" s="80" t="str">
        <f>IFERROR(__xludf.DUMMYFUNCTION("""COMPUTED_VALUE"""),"6a92a0dc49ebfde75801064e")</f>
        <v>6a92a0dc49ebfde75801064e</v>
      </c>
      <c r="AK1313" s="80" t="str">
        <f>IFERROR(__xludf.DUMMYFUNCTION("""COMPUTED_VALUE"""),"hadisuari74@gmail.com")</f>
        <v>hadisuari74@gmail.com</v>
      </c>
      <c r="AL1313" s="80" t="str">
        <f>IFERROR(__xludf.DUMMYFUNCTION("""COMPUTED_VALUE"""),"#Muc44153S2$")</f>
        <v>#Muc44153S2$</v>
      </c>
      <c r="AM1313" s="80" t="str">
        <f>IFERROR(__xludf.DUMMYFUNCTION("""COMPUTED_VALUE"""),"KANTOR REGIONAL III BANDUNG 40004")</f>
        <v>KANTOR REGIONAL III BANDUNG 40004</v>
      </c>
      <c r="AN1313" s="80" t="str">
        <f>IFERROR(__xludf.DUMMYFUNCTION("""COMPUTED_VALUE"""),"KC GARUT 44100")</f>
        <v>KC GARUT 44100</v>
      </c>
      <c r="AO1313" s="80" t="str">
        <f>IFERROR(__xludf.DUMMYFUNCTION("""COMPUTED_VALUE"""),"0608260429106")</f>
        <v>0608260429106</v>
      </c>
      <c r="AP1313" s="80" t="str">
        <f>IFERROR(__xludf.DUMMYFUNCTION("""COMPUTED_VALUE"""),"0608260429106")</f>
        <v>0608260429106</v>
      </c>
      <c r="AQ1313" s="83" t="str">
        <f>IFERROR(__xludf.DUMMYFUNCTION("""COMPUTED_VALUE"""),"7132407406")</f>
        <v>7132407406</v>
      </c>
      <c r="AR1313" s="80" t="str">
        <f>IFERROR(__xludf.DUMMYFUNCTION("""COMPUTED_VALUE"""),"BSI")</f>
        <v>BSI</v>
      </c>
      <c r="AS1313" s="80" t="str">
        <f>IFERROR(__xludf.DUMMYFUNCTION("""COMPUTED_VALUE"""),"HADI SUARI")</f>
        <v>HADI SUARI</v>
      </c>
      <c r="AT1313" s="80" t="str">
        <f>IFERROR(__xludf.DUMMYFUNCTION("""COMPUTED_VALUE"""),"-7.0880625,107.8703889")</f>
        <v>-7.0880625,107.8703889</v>
      </c>
      <c r="AU1313" s="80" t="str">
        <f>IFERROR(__xludf.DUMMYFUNCTION("""COMPUTED_VALUE"""),"-7.0880625,107.8703889")</f>
        <v>-7.0880625,107.8703889</v>
      </c>
      <c r="AV1313" s="80"/>
      <c r="AW1313" s="80"/>
      <c r="AX1313" s="80"/>
      <c r="AY1313" s="80"/>
      <c r="AZ1313" s="80"/>
      <c r="BA1313" s="80"/>
      <c r="BB1313" s="80"/>
      <c r="BC1313" s="80"/>
      <c r="BD1313" s="80"/>
      <c r="BE1313" s="80"/>
      <c r="BF1313" s="80"/>
      <c r="BG1313" s="80"/>
      <c r="BH1313" s="80"/>
      <c r="BI1313" s="80"/>
      <c r="BJ1313" s="80"/>
      <c r="BK1313" s="80"/>
      <c r="BL1313" s="80"/>
      <c r="BM1313" s="80"/>
      <c r="BN1313" s="80"/>
      <c r="BO1313" s="80"/>
      <c r="BP1313" s="80"/>
      <c r="BQ1313" s="80"/>
      <c r="BR1313" s="80"/>
      <c r="BS1313" s="80"/>
      <c r="BT1313" s="80"/>
      <c r="BU1313" s="80"/>
      <c r="BV1313" s="80"/>
      <c r="BW1313" s="80"/>
      <c r="BX1313" s="80"/>
      <c r="BY1313" s="80"/>
      <c r="BZ1313" s="80"/>
      <c r="CA1313" s="80"/>
      <c r="CB1313" s="80"/>
      <c r="CC1313" s="80"/>
      <c r="CD1313" s="80"/>
      <c r="CE1313" s="80"/>
      <c r="CF1313" s="80"/>
      <c r="CG1313" s="80"/>
      <c r="CH1313" s="80"/>
      <c r="CI1313" s="80"/>
      <c r="CJ1313" s="80"/>
      <c r="CK1313" s="2"/>
    </row>
    <row r="1314" ht="12.75" customHeight="1">
      <c r="A1314" s="85">
        <f>IFERROR(__xludf.DUMMYFUNCTION("""COMPUTED_VALUE"""),1310.0)</f>
        <v>1310</v>
      </c>
      <c r="B1314" s="85"/>
      <c r="C1314" s="85"/>
      <c r="D1314" s="86">
        <f>IFERROR(__xludf.DUMMYFUNCTION("""COMPUTED_VALUE"""),46244.0)</f>
        <v>46244</v>
      </c>
      <c r="E1314" s="88"/>
      <c r="F1314" s="85"/>
      <c r="G1314" s="86">
        <f>IFERROR(__xludf.DUMMYFUNCTION("""COMPUTED_VALUE"""),46265.0)</f>
        <v>46265</v>
      </c>
      <c r="H1314" s="85"/>
      <c r="I1314" s="85"/>
      <c r="J1314" s="85"/>
      <c r="K1314" s="85"/>
      <c r="L1314" s="85">
        <f>IFERROR(__xludf.DUMMYFUNCTION("""COMPUTED_VALUE"""),21.0)</f>
        <v>21</v>
      </c>
      <c r="M1314" s="85"/>
      <c r="N1314" s="85"/>
      <c r="O1314" s="85"/>
      <c r="P1314" s="85" t="str">
        <f>IFERROR(__xludf.DUMMYFUNCTION("""COMPUTED_VALUE"""),"MUCSPA70087PSLDI")</f>
        <v>MUCSPA70087PSLDI</v>
      </c>
      <c r="Q1314" s="85" t="str">
        <f>IFERROR(__xludf.DUMMYFUNCTION("""COMPUTED_VALUE"""),"MUC ULUL AZHMI")</f>
        <v>MUC ULUL AZHMI</v>
      </c>
      <c r="R1314" s="85" t="str">
        <f>IFERROR(__xludf.DUMMYFUNCTION("""COMPUTED_VALUE"""),"MUC ULUL AZHMI")</f>
        <v>MUC ULUL AZHMI</v>
      </c>
      <c r="S1314" s="85" t="str">
        <f>IFERROR(__xludf.DUMMYFUNCTION("""COMPUTED_VALUE"""),"DRS. SUKMAN MUNAWAR A, M. SI")</f>
        <v>DRS. SUKMAN MUNAWAR A, M. SI</v>
      </c>
      <c r="T1314" s="85" t="str">
        <f>IFERROR(__xludf.DUMMYFUNCTION("""COMPUTED_VALUE"""),"Kp. Cikanyere RT 02 RW 05 Desa Mekarmukti Kec.Mekarmukti Kab.Garut")</f>
        <v>Kp. Cikanyere RT 02 RW 05 Desa Mekarmukti Kec.Mekarmukti Kab.Garut</v>
      </c>
      <c r="U1314" s="85" t="str">
        <f>IFERROR(__xludf.DUMMYFUNCTION("""COMPUTED_VALUE"""),"Jl. Raya Cikanyere RT 02 RW 05 Desa Mekarmukti Kec.Mekarmukti Kab.Garut")</f>
        <v>Jl. Raya Cikanyere RT 02 RW 05 Desa Mekarmukti Kec.Mekarmukti Kab.Garut</v>
      </c>
      <c r="V1314" s="85" t="str">
        <f>IFERROR(__xludf.DUMMYFUNCTION("""COMPUTED_VALUE"""),"RT 02  \ RW 05")</f>
        <v>RT 02  \ RW 05</v>
      </c>
      <c r="W1314" s="85" t="str">
        <f>IFERROR(__xludf.DUMMYFUNCTION("""COMPUTED_VALUE"""),"Mekarmukti")</f>
        <v>Mekarmukti</v>
      </c>
      <c r="X1314" s="85" t="str">
        <f>IFERROR(__xludf.DUMMYFUNCTION("""COMPUTED_VALUE"""),"Mekarmukti")</f>
        <v>Mekarmukti</v>
      </c>
      <c r="Y1314" s="85" t="str">
        <f>IFERROR(__xludf.DUMMYFUNCTION("""COMPUTED_VALUE"""),"Kab.Garut")</f>
        <v>Kab.Garut</v>
      </c>
      <c r="Z1314" s="85" t="str">
        <f>IFERROR(__xludf.DUMMYFUNCTION("""COMPUTED_VALUE"""),"Jawa Barat")</f>
        <v>Jawa Barat</v>
      </c>
      <c r="AA1314" s="85" t="str">
        <f>IFERROR(__xludf.DUMMYFUNCTION("""COMPUTED_VALUE"""),"44165")</f>
        <v>44165</v>
      </c>
      <c r="AB1314" s="85" t="str">
        <f>IFERROR(__xludf.DUMMYFUNCTION("""COMPUTED_VALUE"""),"3205320405630001")</f>
        <v>3205320405630001</v>
      </c>
      <c r="AC1314" s="85" t="str">
        <f>IFERROR(__xludf.DUMMYFUNCTION("""COMPUTED_VALUE"""),"89.468.562.7-443.000")</f>
        <v>89.468.562.7-443.000</v>
      </c>
      <c r="AD1314" s="85" t="str">
        <f>IFERROR(__xludf.DUMMYFUNCTION("""COMPUTED_VALUE"""),"CUM - LDI - KOPUBGBS")</f>
        <v>CUM - LDI - KOPUBGBS</v>
      </c>
      <c r="AE1314" s="85" t="str">
        <f>IFERROR(__xludf.DUMMYFUNCTION("""COMPUTED_VALUE"""),"CUM - LDI - KOPUBGBS")</f>
        <v>CUM - LDI - KOPUBGBS</v>
      </c>
      <c r="AF1314" s="85" t="str">
        <f>IFERROR(__xludf.DUMMYFUNCTION("""COMPUTED_VALUE"""),"081323191456")</f>
        <v>081323191456</v>
      </c>
      <c r="AG1314" s="85" t="str">
        <f>IFERROR(__xludf.DUMMYFUNCTION("""COMPUTED_VALUE"""),"081323191456")</f>
        <v>081323191456</v>
      </c>
      <c r="AH1314" s="85" t="str">
        <f>IFERROR(__xludf.DUMMYFUNCTION("""COMPUTED_VALUE"""),"sukmanmunawar8@gmail.com")</f>
        <v>sukmanmunawar8@gmail.com</v>
      </c>
      <c r="AI1314" s="85" t="str">
        <f>IFERROR(__xludf.DUMMYFUNCTION("""COMPUTED_VALUE"""),"44199S1")</f>
        <v>44199S1</v>
      </c>
      <c r="AJ1314" s="85" t="str">
        <f>IFERROR(__xludf.DUMMYFUNCTION("""COMPUTED_VALUE"""),"6a918efb702a0a7b820c5a68")</f>
        <v>6a918efb702a0a7b820c5a68</v>
      </c>
      <c r="AK1314" s="85" t="str">
        <f>IFERROR(__xludf.DUMMYFUNCTION("""COMPUTED_VALUE"""),"sukmanmunawar8@gmail.com")</f>
        <v>sukmanmunawar8@gmail.com</v>
      </c>
      <c r="AL1314" s="85" t="str">
        <f>IFERROR(__xludf.DUMMYFUNCTION("""COMPUTED_VALUE"""),"#Muc44199S1$")</f>
        <v>#Muc44199S1$</v>
      </c>
      <c r="AM1314" s="85" t="str">
        <f>IFERROR(__xludf.DUMMYFUNCTION("""COMPUTED_VALUE"""),"KANTOR REGIONAL III BANDUNG 40004")</f>
        <v>KANTOR REGIONAL III BANDUNG 40004</v>
      </c>
      <c r="AN1314" s="85" t="str">
        <f>IFERROR(__xludf.DUMMYFUNCTION("""COMPUTED_VALUE"""),"KC GARUT 44100")</f>
        <v>KC GARUT 44100</v>
      </c>
      <c r="AO1314" s="85" t="str">
        <f>IFERROR(__xludf.DUMMYFUNCTION("""COMPUTED_VALUE"""),"0408260056019")</f>
        <v>0408260056019</v>
      </c>
      <c r="AP1314" s="85" t="str">
        <f>IFERROR(__xludf.DUMMYFUNCTION("""COMPUTED_VALUE"""),"0408260056019")</f>
        <v>0408260056019</v>
      </c>
      <c r="AQ1314" s="93" t="str">
        <f>IFERROR(__xludf.DUMMYFUNCTION("""COMPUTED_VALUE"""),"901912367778")</f>
        <v>901912367778</v>
      </c>
      <c r="AR1314" s="85" t="str">
        <f>IFERROR(__xludf.DUMMYFUNCTION("""COMPUTED_VALUE"""),"SEABANK")</f>
        <v>SEABANK</v>
      </c>
      <c r="AS1314" s="85" t="str">
        <f>IFERROR(__xludf.DUMMYFUNCTION("""COMPUTED_VALUE"""),"SUKMAN MUNAWAR A")</f>
        <v>SUKMAN MUNAWAR A</v>
      </c>
      <c r="AT1314" s="85" t="str">
        <f>IFERROR(__xludf.DUMMYFUNCTION("""COMPUTED_VALUE"""),"-7.5118625,107.5768281")</f>
        <v>-7.5118625,107.5768281</v>
      </c>
      <c r="AU1314" s="85" t="str">
        <f>IFERROR(__xludf.DUMMYFUNCTION("""COMPUTED_VALUE"""),"-7.5118625,107.5768281")</f>
        <v>-7.5118625,107.5768281</v>
      </c>
      <c r="AV1314" s="85"/>
      <c r="AW1314" s="85"/>
      <c r="AX1314" s="85"/>
      <c r="AY1314" s="85"/>
      <c r="AZ1314" s="85"/>
      <c r="BA1314" s="85"/>
      <c r="BB1314" s="85"/>
      <c r="BC1314" s="85"/>
      <c r="BD1314" s="85"/>
      <c r="BE1314" s="85"/>
      <c r="BF1314" s="85"/>
      <c r="BG1314" s="85"/>
      <c r="BH1314" s="85"/>
      <c r="BI1314" s="85"/>
      <c r="BJ1314" s="85"/>
      <c r="BK1314" s="85"/>
      <c r="BL1314" s="85"/>
      <c r="BM1314" s="85"/>
      <c r="BN1314" s="85"/>
      <c r="BO1314" s="85"/>
      <c r="BP1314" s="85"/>
      <c r="BQ1314" s="85"/>
      <c r="BR1314" s="85"/>
      <c r="BS1314" s="85"/>
      <c r="BT1314" s="85"/>
      <c r="BU1314" s="85"/>
      <c r="BV1314" s="85"/>
      <c r="BW1314" s="85"/>
      <c r="BX1314" s="85"/>
      <c r="BY1314" s="85"/>
      <c r="BZ1314" s="85"/>
      <c r="CA1314" s="85"/>
      <c r="CB1314" s="85"/>
      <c r="CC1314" s="85"/>
      <c r="CD1314" s="85"/>
      <c r="CE1314" s="85"/>
      <c r="CF1314" s="85"/>
      <c r="CG1314" s="85"/>
      <c r="CH1314" s="85"/>
      <c r="CI1314" s="85"/>
      <c r="CJ1314" s="85"/>
      <c r="CK1314" s="2"/>
    </row>
    <row r="1315" ht="12.75" customHeight="1">
      <c r="A1315" s="80">
        <f>IFERROR(__xludf.DUMMYFUNCTION("""COMPUTED_VALUE"""),1311.0)</f>
        <v>1311</v>
      </c>
      <c r="B1315" s="80"/>
      <c r="C1315" s="80"/>
      <c r="D1315" s="81">
        <f>IFERROR(__xludf.DUMMYFUNCTION("""COMPUTED_VALUE"""),46244.0)</f>
        <v>46244</v>
      </c>
      <c r="E1315" s="82"/>
      <c r="F1315" s="80"/>
      <c r="G1315" s="81"/>
      <c r="H1315" s="80"/>
      <c r="I1315" s="80"/>
      <c r="J1315" s="80"/>
      <c r="K1315" s="80"/>
      <c r="L1315" s="80"/>
      <c r="M1315" s="80"/>
      <c r="N1315" s="80"/>
      <c r="O1315" s="80"/>
      <c r="P1315" s="80" t="str">
        <f>IFERROR(__xludf.DUMMYFUNCTION("""COMPUTED_VALUE"""),"MUCSPA70008PSAAK")</f>
        <v>MUCSPA70008PSAAK</v>
      </c>
      <c r="Q1315" s="80" t="str">
        <f>IFERROR(__xludf.DUMMYFUNCTION("""COMPUTED_VALUE"""),"MUC SALAMAH EKSPEDISI")</f>
        <v>MUC SALAMAH EKSPEDISI</v>
      </c>
      <c r="R1315" s="80" t="str">
        <f>IFERROR(__xludf.DUMMYFUNCTION("""COMPUTED_VALUE"""),"MUC SALAMAH EKSPEDISI")</f>
        <v>MUC SALAMAH EKSPEDISI</v>
      </c>
      <c r="S1315" s="80" t="str">
        <f>IFERROR(__xludf.DUMMYFUNCTION("""COMPUTED_VALUE"""),"RIDWAN FARIDUDIN")</f>
        <v>RIDWAN FARIDUDIN</v>
      </c>
      <c r="T1315" s="80" t="str">
        <f>IFERROR(__xludf.DUMMYFUNCTION("""COMPUTED_VALUE"""),"BUMI ASRI CIHANJUANG BLOK E 20 RT 05 RW 03, CIHANJUANG, PARONGPONG, KBB")</f>
        <v>BUMI ASRI CIHANJUANG BLOK E 20 RT 05 RW 03, CIHANJUANG, PARONGPONG, KBB</v>
      </c>
      <c r="U1315" s="80" t="str">
        <f>IFERROR(__xludf.DUMMYFUNCTION("""COMPUTED_VALUE"""),"JL. CIHANJUANG RAYA NO.20")</f>
        <v>JL. CIHANJUANG RAYA NO.20</v>
      </c>
      <c r="V1315" s="80" t="str">
        <f>IFERROR(__xludf.DUMMYFUNCTION("""COMPUTED_VALUE"""),"RT 05  \ RW 03,")</f>
        <v>RT 05  \ RW 03,</v>
      </c>
      <c r="W1315" s="80" t="str">
        <f>IFERROR(__xludf.DUMMYFUNCTION("""COMPUTED_VALUE"""),"Cihanjuang")</f>
        <v>Cihanjuang</v>
      </c>
      <c r="X1315" s="80" t="str">
        <f>IFERROR(__xludf.DUMMYFUNCTION("""COMPUTED_VALUE"""),"Parongpong")</f>
        <v>Parongpong</v>
      </c>
      <c r="Y1315" s="80" t="str">
        <f>IFERROR(__xludf.DUMMYFUNCTION("""COMPUTED_VALUE"""),"Kab.Bandung Barat")</f>
        <v>Kab.Bandung Barat</v>
      </c>
      <c r="Z1315" s="80" t="str">
        <f>IFERROR(__xludf.DUMMYFUNCTION("""COMPUTED_VALUE"""),"Jawa Barat")</f>
        <v>Jawa Barat</v>
      </c>
      <c r="AA1315" s="80" t="str">
        <f>IFERROR(__xludf.DUMMYFUNCTION("""COMPUTED_VALUE"""),"40559")</f>
        <v>40559</v>
      </c>
      <c r="AB1315" s="80" t="str">
        <f>IFERROR(__xludf.DUMMYFUNCTION("""COMPUTED_VALUE"""),"3273202205770005")</f>
        <v>3273202205770005</v>
      </c>
      <c r="AC1315" s="80" t="str">
        <f>IFERROR(__xludf.DUMMYFUNCTION("""COMPUTED_VALUE"""),"54.427.838.5-429.000")</f>
        <v>54.427.838.5-429.000</v>
      </c>
      <c r="AD1315" s="80" t="str">
        <f>IFERROR(__xludf.DUMMYFUNCTION("""COMPUTED_VALUE"""),"CUM - LP - ANGGI")</f>
        <v>CUM - LP - ANGGI</v>
      </c>
      <c r="AE1315" s="80" t="str">
        <f>IFERROR(__xludf.DUMMYFUNCTION("""COMPUTED_VALUE"""),"CUM - LP - ANGGI")</f>
        <v>CUM - LP - ANGGI</v>
      </c>
      <c r="AF1315" s="80" t="str">
        <f>IFERROR(__xludf.DUMMYFUNCTION("""COMPUTED_VALUE"""),"08112071479")</f>
        <v>08112071479</v>
      </c>
      <c r="AG1315" s="80" t="str">
        <f>IFERROR(__xludf.DUMMYFUNCTION("""COMPUTED_VALUE"""),"08112071479")</f>
        <v>08112071479</v>
      </c>
      <c r="AH1315" s="80" t="str">
        <f>IFERROR(__xludf.DUMMYFUNCTION("""COMPUTED_VALUE"""),"graceasih@gmail.com")</f>
        <v>graceasih@gmail.com</v>
      </c>
      <c r="AI1315" s="80"/>
      <c r="AJ1315" s="80"/>
      <c r="AK1315" s="80"/>
      <c r="AL1315" s="80"/>
      <c r="AM1315" s="80" t="str">
        <f>IFERROR(__xludf.DUMMYFUNCTION("""COMPUTED_VALUE"""),"KANTOR REGIONAL III BANDUNG 40004")</f>
        <v>KANTOR REGIONAL III BANDUNG 40004</v>
      </c>
      <c r="AN1315" s="80" t="str">
        <f>IFERROR(__xludf.DUMMYFUNCTION("""COMPUTED_VALUE"""),"KC CIMAHI 40500")</f>
        <v>KC CIMAHI 40500</v>
      </c>
      <c r="AO1315" s="80" t="str">
        <f>IFERROR(__xludf.DUMMYFUNCTION("""COMPUTED_VALUE"""),"0608260404279")</f>
        <v>0608260404279</v>
      </c>
      <c r="AP1315" s="80" t="str">
        <f>IFERROR(__xludf.DUMMYFUNCTION("""COMPUTED_VALUE"""),"0608260404279")</f>
        <v>0608260404279</v>
      </c>
      <c r="AQ1315" s="83" t="str">
        <f>IFERROR(__xludf.DUMMYFUNCTION("""COMPUTED_VALUE"""),"193832200")</f>
        <v>193832200</v>
      </c>
      <c r="AR1315" s="80" t="str">
        <f>IFERROR(__xludf.DUMMYFUNCTION("""COMPUTED_VALUE"""),"BNI")</f>
        <v>BNI</v>
      </c>
      <c r="AS1315" s="80" t="str">
        <f>IFERROR(__xludf.DUMMYFUNCTION("""COMPUTED_VALUE"""),"RIDWAN FARIDUDIN")</f>
        <v>RIDWAN FARIDUDIN</v>
      </c>
      <c r="AT1315" s="80" t="str">
        <f>IFERROR(__xludf.DUMMYFUNCTION("""COMPUTED_VALUE"""),"-6.842969,107.5721676")</f>
        <v>-6.842969,107.5721676</v>
      </c>
      <c r="AU1315" s="80" t="str">
        <f>IFERROR(__xludf.DUMMYFUNCTION("""COMPUTED_VALUE"""),"-6.842969,107.5721676")</f>
        <v>-6.842969,107.5721676</v>
      </c>
      <c r="AV1315" s="80"/>
      <c r="AW1315" s="80"/>
      <c r="AX1315" s="80"/>
      <c r="AY1315" s="80"/>
      <c r="AZ1315" s="80"/>
      <c r="BA1315" s="80"/>
      <c r="BB1315" s="80"/>
      <c r="BC1315" s="80"/>
      <c r="BD1315" s="80"/>
      <c r="BE1315" s="80"/>
      <c r="BF1315" s="80"/>
      <c r="BG1315" s="80"/>
      <c r="BH1315" s="80"/>
      <c r="BI1315" s="80"/>
      <c r="BJ1315" s="80"/>
      <c r="BK1315" s="80"/>
      <c r="BL1315" s="80"/>
      <c r="BM1315" s="80"/>
      <c r="BN1315" s="80"/>
      <c r="BO1315" s="80"/>
      <c r="BP1315" s="80"/>
      <c r="BQ1315" s="80"/>
      <c r="BR1315" s="80"/>
      <c r="BS1315" s="80"/>
      <c r="BT1315" s="80"/>
      <c r="BU1315" s="80"/>
      <c r="BV1315" s="80"/>
      <c r="BW1315" s="80"/>
      <c r="BX1315" s="80"/>
      <c r="BY1315" s="80"/>
      <c r="BZ1315" s="80"/>
      <c r="CA1315" s="80"/>
      <c r="CB1315" s="80"/>
      <c r="CC1315" s="80"/>
      <c r="CD1315" s="80"/>
      <c r="CE1315" s="80"/>
      <c r="CF1315" s="80"/>
      <c r="CG1315" s="80"/>
      <c r="CH1315" s="80"/>
      <c r="CI1315" s="80"/>
      <c r="CJ1315" s="80"/>
      <c r="CK1315" s="2"/>
    </row>
    <row r="1316" ht="12.75" customHeight="1">
      <c r="A1316" s="85">
        <f>IFERROR(__xludf.DUMMYFUNCTION("""COMPUTED_VALUE"""),1312.0)</f>
        <v>1312</v>
      </c>
      <c r="B1316" s="85"/>
      <c r="C1316" s="85"/>
      <c r="D1316" s="86">
        <f>IFERROR(__xludf.DUMMYFUNCTION("""COMPUTED_VALUE"""),46244.0)</f>
        <v>46244</v>
      </c>
      <c r="E1316" s="88"/>
      <c r="F1316" s="85"/>
      <c r="G1316" s="86"/>
      <c r="H1316" s="85"/>
      <c r="I1316" s="85"/>
      <c r="J1316" s="85"/>
      <c r="K1316" s="85"/>
      <c r="L1316" s="85"/>
      <c r="M1316" s="85"/>
      <c r="N1316" s="85"/>
      <c r="O1316" s="85"/>
      <c r="P1316" s="85" t="str">
        <f>IFERROR(__xludf.DUMMYFUNCTION("""COMPUTED_VALUE"""),"MUCSPA70084PSLDI")</f>
        <v>MUCSPA70084PSLDI</v>
      </c>
      <c r="Q1316" s="85" t="str">
        <f>IFERROR(__xludf.DUMMYFUNCTION("""COMPUTED_VALUE"""),"MUC NAFIZARDSTORE")</f>
        <v>MUC NAFIZARDSTORE</v>
      </c>
      <c r="R1316" s="85" t="str">
        <f>IFERROR(__xludf.DUMMYFUNCTION("""COMPUTED_VALUE"""),"MUC NAFIZARDSTORE")</f>
        <v>MUC NAFIZARDSTORE</v>
      </c>
      <c r="S1316" s="85" t="str">
        <f>IFERROR(__xludf.DUMMYFUNCTION("""COMPUTED_VALUE"""),"SITI HABIBAH MUJAENAH")</f>
        <v>SITI HABIBAH MUJAENAH</v>
      </c>
      <c r="T1316" s="85" t="str">
        <f>IFERROR(__xludf.DUMMYFUNCTION("""COMPUTED_VALUE"""),"KP. BABAKAN RT.004 RW. 001 MEKARJAYA, CIHAMPELAS KAB. BANDUNG BARAT JAWA BARAT")</f>
        <v>KP. BABAKAN RT.004 RW. 001 MEKARJAYA, CIHAMPELAS KAB. BANDUNG BARAT JAWA BARAT</v>
      </c>
      <c r="U1316" s="85" t="str">
        <f>IFERROR(__xludf.DUMMYFUNCTION("""COMPUTED_VALUE"""),"KP.BABAKAN RT.004 RW. 001")</f>
        <v>KP.BABAKAN RT.004 RW. 001</v>
      </c>
      <c r="V1316" s="85" t="str">
        <f>IFERROR(__xludf.DUMMYFUNCTION("""COMPUTED_VALUE"""),"RT.004 \ RW. 00")</f>
        <v>RT.004 \ RW. 00</v>
      </c>
      <c r="W1316" s="85" t="str">
        <f>IFERROR(__xludf.DUMMYFUNCTION("""COMPUTED_VALUE"""),"Mekarjaya")</f>
        <v>Mekarjaya</v>
      </c>
      <c r="X1316" s="85" t="str">
        <f>IFERROR(__xludf.DUMMYFUNCTION("""COMPUTED_VALUE"""),"Cihampelas")</f>
        <v>Cihampelas</v>
      </c>
      <c r="Y1316" s="85" t="str">
        <f>IFERROR(__xludf.DUMMYFUNCTION("""COMPUTED_VALUE"""),"Bandung Barat")</f>
        <v>Bandung Barat</v>
      </c>
      <c r="Z1316" s="85" t="str">
        <f>IFERROR(__xludf.DUMMYFUNCTION("""COMPUTED_VALUE"""),"Jawa Barat")</f>
        <v>Jawa Barat</v>
      </c>
      <c r="AA1316" s="85" t="str">
        <f>IFERROR(__xludf.DUMMYFUNCTION("""COMPUTED_VALUE"""),"40676")</f>
        <v>40676</v>
      </c>
      <c r="AB1316" s="85" t="str">
        <f>IFERROR(__xludf.DUMMYFUNCTION("""COMPUTED_VALUE"""),"3217106503840010")</f>
        <v>3217106503840010</v>
      </c>
      <c r="AC1316" s="85" t="str">
        <f>IFERROR(__xludf.DUMMYFUNCTION("""COMPUTED_VALUE"""),"76.982.157.0-421.000")</f>
        <v>76.982.157.0-421.000</v>
      </c>
      <c r="AD1316" s="85" t="str">
        <f>IFERROR(__xludf.DUMMYFUNCTION("""COMPUTED_VALUE"""),"CUM - LDI - KOPUBGBS")</f>
        <v>CUM - LDI - KOPUBGBS</v>
      </c>
      <c r="AE1316" s="85" t="str">
        <f>IFERROR(__xludf.DUMMYFUNCTION("""COMPUTED_VALUE"""),"CUM - LDI - KOPUBGBS")</f>
        <v>CUM - LDI - KOPUBGBS</v>
      </c>
      <c r="AF1316" s="85" t="str">
        <f>IFERROR(__xludf.DUMMYFUNCTION("""COMPUTED_VALUE"""),"087830936217")</f>
        <v>087830936217</v>
      </c>
      <c r="AG1316" s="85" t="str">
        <f>IFERROR(__xludf.DUMMYFUNCTION("""COMPUTED_VALUE"""),"087830936217")</f>
        <v>087830936217</v>
      </c>
      <c r="AH1316" s="85" t="str">
        <f>IFERROR(__xludf.DUMMYFUNCTION("""COMPUTED_VALUE"""),"sh8390241@gmail.com")</f>
        <v>sh8390241@gmail.com</v>
      </c>
      <c r="AI1316" s="85"/>
      <c r="AJ1316" s="85"/>
      <c r="AK1316" s="85"/>
      <c r="AL1316" s="85"/>
      <c r="AM1316" s="85" t="str">
        <f>IFERROR(__xludf.DUMMYFUNCTION("""COMPUTED_VALUE"""),"KANTOR REGIONAL III BANDUNG 40004")</f>
        <v>KANTOR REGIONAL III BANDUNG 40004</v>
      </c>
      <c r="AN1316" s="85" t="str">
        <f>IFERROR(__xludf.DUMMYFUNCTION("""COMPUTED_VALUE"""),"KC CIMAHI 40500")</f>
        <v>KC CIMAHI 40500</v>
      </c>
      <c r="AO1316" s="85" t="str">
        <f>IFERROR(__xludf.DUMMYFUNCTION("""COMPUTED_VALUE"""),"0608260380001")</f>
        <v>0608260380001</v>
      </c>
      <c r="AP1316" s="85" t="str">
        <f>IFERROR(__xludf.DUMMYFUNCTION("""COMPUTED_VALUE"""),"0608260380001")</f>
        <v>0608260380001</v>
      </c>
      <c r="AQ1316" s="93" t="str">
        <f>IFERROR(__xludf.DUMMYFUNCTION("""COMPUTED_VALUE"""),"7227252949")</f>
        <v>7227252949</v>
      </c>
      <c r="AR1316" s="85" t="str">
        <f>IFERROR(__xludf.DUMMYFUNCTION("""COMPUTED_VALUE"""),"BSI")</f>
        <v>BSI</v>
      </c>
      <c r="AS1316" s="85" t="str">
        <f>IFERROR(__xludf.DUMMYFUNCTION("""COMPUTED_VALUE"""),"SITI HABIBAH MUJAENAH")</f>
        <v>SITI HABIBAH MUJAENAH</v>
      </c>
      <c r="AT1316" s="85" t="str">
        <f>IFERROR(__xludf.DUMMYFUNCTION("""COMPUTED_VALUE"""),"-6.9106804,107.430302")</f>
        <v>-6.9106804,107.430302</v>
      </c>
      <c r="AU1316" s="85" t="str">
        <f>IFERROR(__xludf.DUMMYFUNCTION("""COMPUTED_VALUE"""),"-6.9106804,107.430302")</f>
        <v>-6.9106804,107.430302</v>
      </c>
      <c r="AV1316" s="85"/>
      <c r="AW1316" s="85"/>
      <c r="AX1316" s="85"/>
      <c r="AY1316" s="85"/>
      <c r="AZ1316" s="85"/>
      <c r="BA1316" s="85"/>
      <c r="BB1316" s="85"/>
      <c r="BC1316" s="85"/>
      <c r="BD1316" s="85"/>
      <c r="BE1316" s="85"/>
      <c r="BF1316" s="85"/>
      <c r="BG1316" s="85"/>
      <c r="BH1316" s="85"/>
      <c r="BI1316" s="85"/>
      <c r="BJ1316" s="85"/>
      <c r="BK1316" s="85"/>
      <c r="BL1316" s="85"/>
      <c r="BM1316" s="85"/>
      <c r="BN1316" s="85"/>
      <c r="BO1316" s="85"/>
      <c r="BP1316" s="85"/>
      <c r="BQ1316" s="85"/>
      <c r="BR1316" s="85"/>
      <c r="BS1316" s="85"/>
      <c r="BT1316" s="85"/>
      <c r="BU1316" s="85"/>
      <c r="BV1316" s="85"/>
      <c r="BW1316" s="85"/>
      <c r="BX1316" s="85"/>
      <c r="BY1316" s="85"/>
      <c r="BZ1316" s="85"/>
      <c r="CA1316" s="85"/>
      <c r="CB1316" s="85"/>
      <c r="CC1316" s="85"/>
      <c r="CD1316" s="85"/>
      <c r="CE1316" s="85"/>
      <c r="CF1316" s="85"/>
      <c r="CG1316" s="85"/>
      <c r="CH1316" s="85"/>
      <c r="CI1316" s="85"/>
      <c r="CJ1316" s="85"/>
      <c r="CK1316" s="2"/>
    </row>
    <row r="1317" ht="12.75" customHeight="1">
      <c r="A1317" s="80">
        <f>IFERROR(__xludf.DUMMYFUNCTION("""COMPUTED_VALUE"""),1313.0)</f>
        <v>1313</v>
      </c>
      <c r="B1317" s="80"/>
      <c r="C1317" s="80"/>
      <c r="D1317" s="81">
        <f>IFERROR(__xludf.DUMMYFUNCTION("""COMPUTED_VALUE"""),46244.0)</f>
        <v>46244</v>
      </c>
      <c r="E1317" s="82"/>
      <c r="F1317" s="80"/>
      <c r="G1317" s="81">
        <f>IFERROR(__xludf.DUMMYFUNCTION("""COMPUTED_VALUE"""),46279.0)</f>
        <v>46279</v>
      </c>
      <c r="H1317" s="80"/>
      <c r="I1317" s="80"/>
      <c r="J1317" s="80"/>
      <c r="K1317" s="80"/>
      <c r="L1317" s="80">
        <f>IFERROR(__xludf.DUMMYFUNCTION("""COMPUTED_VALUE"""),35.0)</f>
        <v>35</v>
      </c>
      <c r="M1317" s="80"/>
      <c r="N1317" s="80"/>
      <c r="O1317" s="80"/>
      <c r="P1317" s="80" t="str">
        <f>IFERROR(__xludf.DUMMYFUNCTION("""COMPUTED_VALUE"""),"MUCSPA70085PSLDI")</f>
        <v>MUCSPA70085PSLDI</v>
      </c>
      <c r="Q1317" s="80" t="str">
        <f>IFERROR(__xludf.DUMMYFUNCTION("""COMPUTED_VALUE"""),"MUC 29KLJ")</f>
        <v>MUC 29KLJ</v>
      </c>
      <c r="R1317" s="80" t="str">
        <f>IFERROR(__xludf.DUMMYFUNCTION("""COMPUTED_VALUE"""),"MUC 29KLJ")</f>
        <v>MUC 29KLJ</v>
      </c>
      <c r="S1317" s="80" t="str">
        <f>IFERROR(__xludf.DUMMYFUNCTION("""COMPUTED_VALUE"""),"MOHAMMAD RIDHO AKBAR")</f>
        <v>MOHAMMAD RIDHO AKBAR</v>
      </c>
      <c r="T1317" s="80" t="str">
        <f>IFERROR(__xludf.DUMMYFUNCTION("""COMPUTED_VALUE"""),"Blok 7 GG Dukuh No 221 RT 03 RW 12 Melong Cimahi Selatan Kota Cimahi")</f>
        <v>Blok 7 GG Dukuh No 221 RT 03 RW 12 Melong Cimahi Selatan Kota Cimahi</v>
      </c>
      <c r="U1317" s="80" t="str">
        <f>IFERROR(__xludf.DUMMYFUNCTION("""COMPUTED_VALUE"""),"Jl. Cipageran Asri No.77, Cipageran, Kec. Cimahi Utara, Kota Cimahi, Jawa Barat")</f>
        <v>Jl. Cipageran Asri No.77, Cipageran, Kec. Cimahi Utara, Kota Cimahi, Jawa Barat</v>
      </c>
      <c r="V1317" s="80" t="str">
        <f>IFERROR(__xludf.DUMMYFUNCTION("""COMPUTED_VALUE"""),"RT 03  \ RW 12")</f>
        <v>RT 03  \ RW 12</v>
      </c>
      <c r="W1317" s="80" t="str">
        <f>IFERROR(__xludf.DUMMYFUNCTION("""COMPUTED_VALUE"""),"Cipageran")</f>
        <v>Cipageran</v>
      </c>
      <c r="X1317" s="80" t="str">
        <f>IFERROR(__xludf.DUMMYFUNCTION("""COMPUTED_VALUE"""),"Cimahi Utara")</f>
        <v>Cimahi Utara</v>
      </c>
      <c r="Y1317" s="80" t="str">
        <f>IFERROR(__xludf.DUMMYFUNCTION("""COMPUTED_VALUE"""),"Cimahi")</f>
        <v>Cimahi</v>
      </c>
      <c r="Z1317" s="80" t="str">
        <f>IFERROR(__xludf.DUMMYFUNCTION("""COMPUTED_VALUE"""),"Jawa Barat")</f>
        <v>Jawa Barat</v>
      </c>
      <c r="AA1317" s="80" t="str">
        <f>IFERROR(__xludf.DUMMYFUNCTION("""COMPUTED_VALUE"""),"40511")</f>
        <v>40511</v>
      </c>
      <c r="AB1317" s="80" t="str">
        <f>IFERROR(__xludf.DUMMYFUNCTION("""COMPUTED_VALUE"""),"3277012003990018")</f>
        <v>3277012003990018</v>
      </c>
      <c r="AC1317" s="80" t="str">
        <f>IFERROR(__xludf.DUMMYFUNCTION("""COMPUTED_VALUE"""),"84.457.300.6-421.000")</f>
        <v>84.457.300.6-421.000</v>
      </c>
      <c r="AD1317" s="80" t="str">
        <f>IFERROR(__xludf.DUMMYFUNCTION("""COMPUTED_VALUE"""),"CUM - LDI - KOPUBGBS")</f>
        <v>CUM - LDI - KOPUBGBS</v>
      </c>
      <c r="AE1317" s="80" t="str">
        <f>IFERROR(__xludf.DUMMYFUNCTION("""COMPUTED_VALUE"""),"CUM - LDI - KOPUBGBS")</f>
        <v>CUM - LDI - KOPUBGBS</v>
      </c>
      <c r="AF1317" s="80" t="str">
        <f>IFERROR(__xludf.DUMMYFUNCTION("""COMPUTED_VALUE"""),"082132500542")</f>
        <v>082132500542</v>
      </c>
      <c r="AG1317" s="80" t="str">
        <f>IFERROR(__xludf.DUMMYFUNCTION("""COMPUTED_VALUE"""),"082132500542")</f>
        <v>082132500542</v>
      </c>
      <c r="AH1317" s="80" t="str">
        <f>IFERROR(__xludf.DUMMYFUNCTION("""COMPUTED_VALUE"""),"muhamadridho2099@gmail.com")</f>
        <v>muhamadridho2099@gmail.com</v>
      </c>
      <c r="AI1317" s="80" t="str">
        <f>IFERROR(__xludf.DUMMYFUNCTION("""COMPUTED_VALUE"""),"40511S2 ")</f>
        <v>40511S2 </v>
      </c>
      <c r="AJ1317" s="80" t="str">
        <f>IFERROR(__xludf.DUMMYFUNCTION("""COMPUTED_VALUE"""),"6a9e6d97e6a58be04e03acbb ")</f>
        <v>6a9e6d97e6a58be04e03acbb </v>
      </c>
      <c r="AK1317" s="80" t="str">
        <f>IFERROR(__xludf.DUMMYFUNCTION("""COMPUTED_VALUE"""),"muhamadridho2099@gmail.com")</f>
        <v>muhamadridho2099@gmail.com</v>
      </c>
      <c r="AL1317" s="80" t="str">
        <f>IFERROR(__xludf.DUMMYFUNCTION("""COMPUTED_VALUE"""),"#Muc40511S2$")</f>
        <v>#Muc40511S2$</v>
      </c>
      <c r="AM1317" s="80" t="str">
        <f>IFERROR(__xludf.DUMMYFUNCTION("""COMPUTED_VALUE"""),"KANTOR REGIONAL III BANDUNG 40004")</f>
        <v>KANTOR REGIONAL III BANDUNG 40004</v>
      </c>
      <c r="AN1317" s="80" t="str">
        <f>IFERROR(__xludf.DUMMYFUNCTION("""COMPUTED_VALUE"""),"KC CIMAHI 40500")</f>
        <v>KC CIMAHI 40500</v>
      </c>
      <c r="AO1317" s="80" t="str">
        <f>IFERROR(__xludf.DUMMYFUNCTION("""COMPUTED_VALUE"""),"1202250037309")</f>
        <v>1202250037309</v>
      </c>
      <c r="AP1317" s="80" t="str">
        <f>IFERROR(__xludf.DUMMYFUNCTION("""COMPUTED_VALUE"""),"1202250037309")</f>
        <v>1202250037309</v>
      </c>
      <c r="AQ1317" s="83" t="str">
        <f>IFERROR(__xludf.DUMMYFUNCTION("""COMPUTED_VALUE"""),"1035185767")</f>
        <v>1035185767</v>
      </c>
      <c r="AR1317" s="80" t="str">
        <f>IFERROR(__xludf.DUMMYFUNCTION("""COMPUTED_VALUE"""),"BSI")</f>
        <v>BSI</v>
      </c>
      <c r="AS1317" s="80" t="str">
        <f>IFERROR(__xludf.DUMMYFUNCTION("""COMPUTED_VALUE"""),"MOHAMMAD RIDHO AKBAR")</f>
        <v>MOHAMMAD RIDHO AKBAR</v>
      </c>
      <c r="AT1317" s="80" t="str">
        <f>IFERROR(__xludf.DUMMYFUNCTION("""COMPUTED_VALUE"""),"-6.8543327,107.5395592")</f>
        <v>-6.8543327,107.5395592</v>
      </c>
      <c r="AU1317" s="80" t="str">
        <f>IFERROR(__xludf.DUMMYFUNCTION("""COMPUTED_VALUE"""),"-6.8543327,107.5395592")</f>
        <v>-6.8543327,107.5395592</v>
      </c>
      <c r="AV1317" s="80"/>
      <c r="AW1317" s="80"/>
      <c r="AX1317" s="80"/>
      <c r="AY1317" s="80"/>
      <c r="AZ1317" s="80"/>
      <c r="BA1317" s="80"/>
      <c r="BB1317" s="80"/>
      <c r="BC1317" s="80"/>
      <c r="BD1317" s="80"/>
      <c r="BE1317" s="80"/>
      <c r="BF1317" s="80"/>
      <c r="BG1317" s="80"/>
      <c r="BH1317" s="80"/>
      <c r="BI1317" s="80"/>
      <c r="BJ1317" s="80"/>
      <c r="BK1317" s="80"/>
      <c r="BL1317" s="80"/>
      <c r="BM1317" s="80"/>
      <c r="BN1317" s="80"/>
      <c r="BO1317" s="80"/>
      <c r="BP1317" s="80"/>
      <c r="BQ1317" s="80"/>
      <c r="BR1317" s="80"/>
      <c r="BS1317" s="80"/>
      <c r="BT1317" s="80"/>
      <c r="BU1317" s="80"/>
      <c r="BV1317" s="80"/>
      <c r="BW1317" s="80"/>
      <c r="BX1317" s="80"/>
      <c r="BY1317" s="80"/>
      <c r="BZ1317" s="80"/>
      <c r="CA1317" s="80"/>
      <c r="CB1317" s="80"/>
      <c r="CC1317" s="80"/>
      <c r="CD1317" s="80"/>
      <c r="CE1317" s="80"/>
      <c r="CF1317" s="80"/>
      <c r="CG1317" s="80"/>
      <c r="CH1317" s="80"/>
      <c r="CI1317" s="80"/>
      <c r="CJ1317" s="80"/>
      <c r="CK1317" s="2"/>
    </row>
    <row r="1318" ht="12.75" customHeight="1">
      <c r="A1318" s="85">
        <f>IFERROR(__xludf.DUMMYFUNCTION("""COMPUTED_VALUE"""),1314.0)</f>
        <v>1314</v>
      </c>
      <c r="B1318" s="85"/>
      <c r="C1318" s="85"/>
      <c r="D1318" s="86">
        <f>IFERROR(__xludf.DUMMYFUNCTION("""COMPUTED_VALUE"""),46244.0)</f>
        <v>46244</v>
      </c>
      <c r="E1318" s="88"/>
      <c r="F1318" s="85"/>
      <c r="G1318" s="86"/>
      <c r="H1318" s="85"/>
      <c r="I1318" s="85"/>
      <c r="J1318" s="85"/>
      <c r="K1318" s="85"/>
      <c r="L1318" s="85"/>
      <c r="M1318" s="85"/>
      <c r="N1318" s="85"/>
      <c r="O1318" s="85"/>
      <c r="P1318" s="85" t="str">
        <f>IFERROR(__xludf.DUMMYFUNCTION("""COMPUTED_VALUE"""),"MUCSPA70086PSLDI")</f>
        <v>MUCSPA70086PSLDI</v>
      </c>
      <c r="Q1318" s="85" t="str">
        <f>IFERROR(__xludf.DUMMYFUNCTION("""COMPUTED_VALUE"""),"MUC TAMUSHO")</f>
        <v>MUC TAMUSHO</v>
      </c>
      <c r="R1318" s="85" t="str">
        <f>IFERROR(__xludf.DUMMYFUNCTION("""COMPUTED_VALUE"""),"MUC TAMUSHO")</f>
        <v>MUC TAMUSHO</v>
      </c>
      <c r="S1318" s="85" t="str">
        <f>IFERROR(__xludf.DUMMYFUNCTION("""COMPUTED_VALUE"""),"DRS. DEDI PURWOTO, MM")</f>
        <v>DRS. DEDI PURWOTO, MM</v>
      </c>
      <c r="T1318" s="85" t="str">
        <f>IFERROR(__xludf.DUMMYFUNCTION("""COMPUTED_VALUE"""),"JL. RAYA BATUJAJAR BARAT NO. 275 RT 02 RW 04, BATUJAJAR BARAT, BATUJAJAR, KAB.BANDUNG BARAT")</f>
        <v>JL. RAYA BATUJAJAR BARAT NO. 275 RT 02 RW 04, BATUJAJAR BARAT, BATUJAJAR, KAB.BANDUNG BARAT</v>
      </c>
      <c r="U1318" s="85" t="str">
        <f>IFERROR(__xludf.DUMMYFUNCTION("""COMPUTED_VALUE"""),"JL. Raya Batujajar Barat No. 275 RT 02 RW 04")</f>
        <v>JL. Raya Batujajar Barat No. 275 RT 02 RW 04</v>
      </c>
      <c r="V1318" s="85" t="str">
        <f>IFERROR(__xludf.DUMMYFUNCTION("""COMPUTED_VALUE"""),"RT 02  \ RW 04,")</f>
        <v>RT 02  \ RW 04,</v>
      </c>
      <c r="W1318" s="85" t="str">
        <f>IFERROR(__xludf.DUMMYFUNCTION("""COMPUTED_VALUE"""),"BATUJAJAR BARAT")</f>
        <v>BATUJAJAR BARAT</v>
      </c>
      <c r="X1318" s="85" t="str">
        <f>IFERROR(__xludf.DUMMYFUNCTION("""COMPUTED_VALUE"""),"BATUJAJAR")</f>
        <v>BATUJAJAR</v>
      </c>
      <c r="Y1318" s="85" t="str">
        <f>IFERROR(__xludf.DUMMYFUNCTION("""COMPUTED_VALUE"""),"KAB.BANDUNG BARAT")</f>
        <v>KAB.BANDUNG BARAT</v>
      </c>
      <c r="Z1318" s="85" t="str">
        <f>IFERROR(__xludf.DUMMYFUNCTION("""COMPUTED_VALUE"""),"JAWA BARAT")</f>
        <v>JAWA BARAT</v>
      </c>
      <c r="AA1318" s="85" t="str">
        <f>IFERROR(__xludf.DUMMYFUNCTION("""COMPUTED_VALUE"""),"40561")</f>
        <v>40561</v>
      </c>
      <c r="AB1318" s="85" t="str">
        <f>IFERROR(__xludf.DUMMYFUNCTION("""COMPUTED_VALUE"""),"3578051712650004")</f>
        <v>3578051712650004</v>
      </c>
      <c r="AC1318" s="85" t="str">
        <f>IFERROR(__xludf.DUMMYFUNCTION("""COMPUTED_VALUE"""),"34.421.984.5-421.000")</f>
        <v>34.421.984.5-421.000</v>
      </c>
      <c r="AD1318" s="85" t="str">
        <f>IFERROR(__xludf.DUMMYFUNCTION("""COMPUTED_VALUE"""),"CUM - LDI - KOPUBGBS")</f>
        <v>CUM - LDI - KOPUBGBS</v>
      </c>
      <c r="AE1318" s="85" t="str">
        <f>IFERROR(__xludf.DUMMYFUNCTION("""COMPUTED_VALUE"""),"CUM - LDI - KOPUBGBS")</f>
        <v>CUM - LDI - KOPUBGBS</v>
      </c>
      <c r="AF1318" s="85" t="str">
        <f>IFERROR(__xludf.DUMMYFUNCTION("""COMPUTED_VALUE"""),"081224446322")</f>
        <v>081224446322</v>
      </c>
      <c r="AG1318" s="85" t="str">
        <f>IFERROR(__xludf.DUMMYFUNCTION("""COMPUTED_VALUE"""),"081224446322")</f>
        <v>081224446322</v>
      </c>
      <c r="AH1318" s="85" t="str">
        <f>IFERROR(__xludf.DUMMYFUNCTION("""COMPUTED_VALUE"""),"dedipurwoto@gmail.com")</f>
        <v>dedipurwoto@gmail.com</v>
      </c>
      <c r="AI1318" s="85"/>
      <c r="AJ1318" s="85"/>
      <c r="AK1318" s="85"/>
      <c r="AL1318" s="85"/>
      <c r="AM1318" s="85" t="str">
        <f>IFERROR(__xludf.DUMMYFUNCTION("""COMPUTED_VALUE"""),"KANTOR REGIONAL III BANDUNG 40004")</f>
        <v>KANTOR REGIONAL III BANDUNG 40004</v>
      </c>
      <c r="AN1318" s="85" t="str">
        <f>IFERROR(__xludf.DUMMYFUNCTION("""COMPUTED_VALUE"""),"KC CIMAHI 40500")</f>
        <v>KC CIMAHI 40500</v>
      </c>
      <c r="AO1318" s="85" t="str">
        <f>IFERROR(__xludf.DUMMYFUNCTION("""COMPUTED_VALUE"""),"0220308351719")</f>
        <v>0220308351719</v>
      </c>
      <c r="AP1318" s="85" t="str">
        <f>IFERROR(__xludf.DUMMYFUNCTION("""COMPUTED_VALUE"""),"0220308351719")</f>
        <v>0220308351719</v>
      </c>
      <c r="AQ1318" s="93" t="str">
        <f>IFERROR(__xludf.DUMMYFUNCTION("""COMPUTED_VALUE"""),"1390262929")</f>
        <v>1390262929</v>
      </c>
      <c r="AR1318" s="85" t="str">
        <f>IFERROR(__xludf.DUMMYFUNCTION("""COMPUTED_VALUE"""),"BCA")</f>
        <v>BCA</v>
      </c>
      <c r="AS1318" s="85" t="str">
        <f>IFERROR(__xludf.DUMMYFUNCTION("""COMPUTED_VALUE"""),"DEDI PURWOTO")</f>
        <v>DEDI PURWOTO</v>
      </c>
      <c r="AT1318" s="85" t="str">
        <f>IFERROR(__xludf.DUMMYFUNCTION("""COMPUTED_VALUE"""),"-6.9162063,107.4939617")</f>
        <v>-6.9162063,107.4939617</v>
      </c>
      <c r="AU1318" s="85" t="str">
        <f>IFERROR(__xludf.DUMMYFUNCTION("""COMPUTED_VALUE"""),"-6.9162063,107.4939617")</f>
        <v>-6.9162063,107.4939617</v>
      </c>
      <c r="AV1318" s="85"/>
      <c r="AW1318" s="85"/>
      <c r="AX1318" s="85"/>
      <c r="AY1318" s="85"/>
      <c r="AZ1318" s="85"/>
      <c r="BA1318" s="85"/>
      <c r="BB1318" s="85"/>
      <c r="BC1318" s="85"/>
      <c r="BD1318" s="85"/>
      <c r="BE1318" s="85"/>
      <c r="BF1318" s="85"/>
      <c r="BG1318" s="85"/>
      <c r="BH1318" s="85"/>
      <c r="BI1318" s="85"/>
      <c r="BJ1318" s="85"/>
      <c r="BK1318" s="85"/>
      <c r="BL1318" s="85"/>
      <c r="BM1318" s="85"/>
      <c r="BN1318" s="85"/>
      <c r="BO1318" s="85"/>
      <c r="BP1318" s="85"/>
      <c r="BQ1318" s="85"/>
      <c r="BR1318" s="85"/>
      <c r="BS1318" s="85"/>
      <c r="BT1318" s="85"/>
      <c r="BU1318" s="85"/>
      <c r="BV1318" s="85"/>
      <c r="BW1318" s="85"/>
      <c r="BX1318" s="85"/>
      <c r="BY1318" s="85"/>
      <c r="BZ1318" s="85"/>
      <c r="CA1318" s="85"/>
      <c r="CB1318" s="85"/>
      <c r="CC1318" s="85"/>
      <c r="CD1318" s="85"/>
      <c r="CE1318" s="85"/>
      <c r="CF1318" s="85"/>
      <c r="CG1318" s="85"/>
      <c r="CH1318" s="85"/>
      <c r="CI1318" s="85"/>
      <c r="CJ1318" s="85"/>
      <c r="CK1318" s="2"/>
    </row>
    <row r="1319" ht="12.75" customHeight="1">
      <c r="A1319" s="80">
        <f>IFERROR(__xludf.DUMMYFUNCTION("""COMPUTED_VALUE"""),1315.0)</f>
        <v>1315</v>
      </c>
      <c r="B1319" s="80"/>
      <c r="C1319" s="80"/>
      <c r="D1319" s="81">
        <f>IFERROR(__xludf.DUMMYFUNCTION("""COMPUTED_VALUE"""),46244.0)</f>
        <v>46244</v>
      </c>
      <c r="E1319" s="82"/>
      <c r="F1319" s="80"/>
      <c r="G1319" s="81">
        <f>IFERROR(__xludf.DUMMYFUNCTION("""COMPUTED_VALUE"""),46279.0)</f>
        <v>46279</v>
      </c>
      <c r="H1319" s="80"/>
      <c r="I1319" s="80"/>
      <c r="J1319" s="80"/>
      <c r="K1319" s="80"/>
      <c r="L1319" s="80">
        <f>IFERROR(__xludf.DUMMYFUNCTION("""COMPUTED_VALUE"""),35.0)</f>
        <v>35</v>
      </c>
      <c r="M1319" s="80"/>
      <c r="N1319" s="80"/>
      <c r="O1319" s="80"/>
      <c r="P1319" s="80" t="str">
        <f>IFERROR(__xludf.DUMMYFUNCTION("""COMPUTED_VALUE"""),"53BSPA17227JBHDT")</f>
        <v>53BSPA17227JBHDT</v>
      </c>
      <c r="Q1319" s="80" t="str">
        <f>IFERROR(__xludf.DUMMYFUNCTION("""COMPUTED_VALUE"""),"MUC RANCABENTANG")</f>
        <v>MUC RANCABENTANG</v>
      </c>
      <c r="R1319" s="80" t="str">
        <f>IFERROR(__xludf.DUMMYFUNCTION("""COMPUTED_VALUE"""),"MUC RANCABENTANG")</f>
        <v>MUC RANCABENTANG</v>
      </c>
      <c r="S1319" s="80" t="str">
        <f>IFERROR(__xludf.DUMMYFUNCTION("""COMPUTED_VALUE"""),"SARIF HIDAYAT")</f>
        <v>SARIF HIDAYAT</v>
      </c>
      <c r="T1319" s="80" t="str">
        <f>IFERROR(__xludf.DUMMYFUNCTION("""COMPUTED_VALUE"""),"Jl Rancabentang RT 03 RW 13 No 174, Cibeureum, Cimahi Selatan")</f>
        <v>Jl Rancabentang RT 03 RW 13 No 174, Cibeureum, Cimahi Selatan</v>
      </c>
      <c r="U1319" s="80" t="str">
        <f>IFERROR(__xludf.DUMMYFUNCTION("""COMPUTED_VALUE"""),"Jalan Rancabentang RT 03 RW 13 No 174")</f>
        <v>Jalan Rancabentang RT 03 RW 13 No 174</v>
      </c>
      <c r="V1319" s="80" t="str">
        <f>IFERROR(__xludf.DUMMYFUNCTION("""COMPUTED_VALUE"""),"RT 03  \ RW 13")</f>
        <v>RT 03  \ RW 13</v>
      </c>
      <c r="W1319" s="80" t="str">
        <f>IFERROR(__xludf.DUMMYFUNCTION("""COMPUTED_VALUE"""),"Cibeureum")</f>
        <v>Cibeureum</v>
      </c>
      <c r="X1319" s="80" t="str">
        <f>IFERROR(__xludf.DUMMYFUNCTION("""COMPUTED_VALUE"""),"Cimahi Selatan")</f>
        <v>Cimahi Selatan</v>
      </c>
      <c r="Y1319" s="80" t="str">
        <f>IFERROR(__xludf.DUMMYFUNCTION("""COMPUTED_VALUE"""),"Cimahi")</f>
        <v>Cimahi</v>
      </c>
      <c r="Z1319" s="80" t="str">
        <f>IFERROR(__xludf.DUMMYFUNCTION("""COMPUTED_VALUE"""),"Jawa Barat")</f>
        <v>Jawa Barat</v>
      </c>
      <c r="AA1319" s="80" t="str">
        <f>IFERROR(__xludf.DUMMYFUNCTION("""COMPUTED_VALUE"""),"40535")</f>
        <v>40535</v>
      </c>
      <c r="AB1319" s="80" t="str">
        <f>IFERROR(__xludf.DUMMYFUNCTION("""COMPUTED_VALUE"""),"3277011403020004")</f>
        <v>3277011403020004</v>
      </c>
      <c r="AC1319" s="80" t="str">
        <f>IFERROR(__xludf.DUMMYFUNCTION("""COMPUTED_VALUE"""),"32.770.114.0-302.0004")</f>
        <v>32.770.114.0-302.0004</v>
      </c>
      <c r="AD1319" s="80" t="str">
        <f>IFERROR(__xludf.DUMMYFUNCTION("""COMPUTED_VALUE"""),"CUM - HDT")</f>
        <v>CUM - HDT</v>
      </c>
      <c r="AE1319" s="80" t="str">
        <f>IFERROR(__xludf.DUMMYFUNCTION("""COMPUTED_VALUE"""),"CUM - HDT")</f>
        <v>CUM - HDT</v>
      </c>
      <c r="AF1319" s="80" t="str">
        <f>IFERROR(__xludf.DUMMYFUNCTION("""COMPUTED_VALUE"""),"085156087504")</f>
        <v>085156087504</v>
      </c>
      <c r="AG1319" s="80" t="str">
        <f>IFERROR(__xludf.DUMMYFUNCTION("""COMPUTED_VALUE"""),"085156087504")</f>
        <v>085156087504</v>
      </c>
      <c r="AH1319" s="80" t="str">
        <f>IFERROR(__xludf.DUMMYFUNCTION("""COMPUTED_VALUE"""),"sarif.hidayat6767@gmail.com")</f>
        <v>sarif.hidayat6767@gmail.com</v>
      </c>
      <c r="AI1319" s="80" t="str">
        <f>IFERROR(__xludf.DUMMYFUNCTION("""COMPUTED_VALUE"""),"40535S3 ")</f>
        <v>40535S3 </v>
      </c>
      <c r="AJ1319" s="80" t="str">
        <f>IFERROR(__xludf.DUMMYFUNCTION("""COMPUTED_VALUE"""),"6a9e5a888e1a6479ef0e6e53 ")</f>
        <v>6a9e5a888e1a6479ef0e6e53 </v>
      </c>
      <c r="AK1319" s="80" t="str">
        <f>IFERROR(__xludf.DUMMYFUNCTION("""COMPUTED_VALUE"""),"sarif.hidayat6767@gmail.com")</f>
        <v>sarif.hidayat6767@gmail.com</v>
      </c>
      <c r="AL1319" s="80" t="str">
        <f>IFERROR(__xludf.DUMMYFUNCTION("""COMPUTED_VALUE"""),"#Muc40535S3$")</f>
        <v>#Muc40535S3$</v>
      </c>
      <c r="AM1319" s="80" t="str">
        <f>IFERROR(__xludf.DUMMYFUNCTION("""COMPUTED_VALUE"""),"KANTOR REGIONAL III BANDUNG 40004")</f>
        <v>KANTOR REGIONAL III BANDUNG 40004</v>
      </c>
      <c r="AN1319" s="80" t="str">
        <f>IFERROR(__xludf.DUMMYFUNCTION("""COMPUTED_VALUE"""),"KC CIMAHI 40500")</f>
        <v>KC CIMAHI 40500</v>
      </c>
      <c r="AO1319" s="80" t="str">
        <f>IFERROR(__xludf.DUMMYFUNCTION("""COMPUTED_VALUE"""),"0708260043424")</f>
        <v>0708260043424</v>
      </c>
      <c r="AP1319" s="80" t="str">
        <f>IFERROR(__xludf.DUMMYFUNCTION("""COMPUTED_VALUE"""),"0708260043424")</f>
        <v>0708260043424</v>
      </c>
      <c r="AQ1319" s="83" t="str">
        <f>IFERROR(__xludf.DUMMYFUNCTION("""COMPUTED_VALUE"""),"1320032056773")</f>
        <v>1320032056773</v>
      </c>
      <c r="AR1319" s="80" t="str">
        <f>IFERROR(__xludf.DUMMYFUNCTION("""COMPUTED_VALUE"""),"MANDIRI")</f>
        <v>MANDIRI</v>
      </c>
      <c r="AS1319" s="80" t="str">
        <f>IFERROR(__xludf.DUMMYFUNCTION("""COMPUTED_VALUE"""),"SARIF HIDAYAT")</f>
        <v>SARIF HIDAYAT</v>
      </c>
      <c r="AT1319" s="80" t="str">
        <f>IFERROR(__xludf.DUMMYFUNCTION("""COMPUTED_VALUE"""),"-6.9063618,107.5585502")</f>
        <v>-6.9063618,107.5585502</v>
      </c>
      <c r="AU1319" s="80" t="str">
        <f>IFERROR(__xludf.DUMMYFUNCTION("""COMPUTED_VALUE"""),"-6.9063618,107.5585502")</f>
        <v>-6.9063618,107.5585502</v>
      </c>
      <c r="AV1319" s="80"/>
      <c r="AW1319" s="80"/>
      <c r="AX1319" s="80"/>
      <c r="AY1319" s="80"/>
      <c r="AZ1319" s="80"/>
      <c r="BA1319" s="80"/>
      <c r="BB1319" s="80"/>
      <c r="BC1319" s="80"/>
      <c r="BD1319" s="80"/>
      <c r="BE1319" s="80"/>
      <c r="BF1319" s="80"/>
      <c r="BG1319" s="80"/>
      <c r="BH1319" s="80"/>
      <c r="BI1319" s="80"/>
      <c r="BJ1319" s="80"/>
      <c r="BK1319" s="80"/>
      <c r="BL1319" s="80"/>
      <c r="BM1319" s="80"/>
      <c r="BN1319" s="80"/>
      <c r="BO1319" s="80"/>
      <c r="BP1319" s="80"/>
      <c r="BQ1319" s="80"/>
      <c r="BR1319" s="80"/>
      <c r="BS1319" s="80"/>
      <c r="BT1319" s="80"/>
      <c r="BU1319" s="80"/>
      <c r="BV1319" s="80"/>
      <c r="BW1319" s="80"/>
      <c r="BX1319" s="80"/>
      <c r="BY1319" s="80"/>
      <c r="BZ1319" s="80"/>
      <c r="CA1319" s="80"/>
      <c r="CB1319" s="80"/>
      <c r="CC1319" s="80"/>
      <c r="CD1319" s="80"/>
      <c r="CE1319" s="80"/>
      <c r="CF1319" s="80"/>
      <c r="CG1319" s="80"/>
      <c r="CH1319" s="80"/>
      <c r="CI1319" s="80"/>
      <c r="CJ1319" s="80"/>
      <c r="CK1319" s="2"/>
    </row>
    <row r="1320" ht="12.75" customHeight="1">
      <c r="A1320" s="85">
        <f>IFERROR(__xludf.DUMMYFUNCTION("""COMPUTED_VALUE"""),1316.0)</f>
        <v>1316</v>
      </c>
      <c r="B1320" s="85"/>
      <c r="C1320" s="85"/>
      <c r="D1320" s="86">
        <f>IFERROR(__xludf.DUMMYFUNCTION("""COMPUTED_VALUE"""),46244.0)</f>
        <v>46244</v>
      </c>
      <c r="E1320" s="88"/>
      <c r="F1320" s="85"/>
      <c r="G1320" s="86">
        <f>IFERROR(__xludf.DUMMYFUNCTION("""COMPUTED_VALUE"""),46248.0)</f>
        <v>46248</v>
      </c>
      <c r="H1320" s="85"/>
      <c r="I1320" s="85"/>
      <c r="J1320" s="85"/>
      <c r="K1320" s="85"/>
      <c r="L1320" s="85">
        <f>IFERROR(__xludf.DUMMYFUNCTION("""COMPUTED_VALUE"""),4.0)</f>
        <v>4</v>
      </c>
      <c r="M1320" s="85"/>
      <c r="N1320" s="85"/>
      <c r="O1320" s="85"/>
      <c r="P1320" s="85" t="str">
        <f>IFERROR(__xludf.DUMMYFUNCTION("""COMPUTED_VALUE"""),"MUCSPA70079PSLDI")</f>
        <v>MUCSPA70079PSLDI</v>
      </c>
      <c r="Q1320" s="85" t="str">
        <f>IFERROR(__xludf.DUMMYFUNCTION("""COMPUTED_VALUE"""),"MUC JOSRI")</f>
        <v>MUC JOSRI</v>
      </c>
      <c r="R1320" s="85" t="str">
        <f>IFERROR(__xludf.DUMMYFUNCTION("""COMPUTED_VALUE"""),"MUC JOSRI")</f>
        <v>MUC JOSRI</v>
      </c>
      <c r="S1320" s="85" t="str">
        <f>IFERROR(__xludf.DUMMYFUNCTION("""COMPUTED_VALUE"""),"NGAJONO")</f>
        <v>NGAJONO</v>
      </c>
      <c r="T1320" s="85" t="str">
        <f>IFERROR(__xludf.DUMMYFUNCTION("""COMPUTED_VALUE"""),"KP SEPATAN,RT/001,RW/002, SEPANJANG JAYA, RAWALUMBU, KOTA BEKASI")</f>
        <v>KP SEPATAN,RT/001,RW/002, SEPANJANG JAYA, RAWALUMBU, KOTA BEKASI</v>
      </c>
      <c r="U1320" s="85" t="str">
        <f>IFERROR(__xludf.DUMMYFUNCTION("""COMPUTED_VALUE"""),"Jalan Kinan No 173 RT 001 RW 002 Sepanjang Jaya")</f>
        <v>Jalan Kinan No 173 RT 001 RW 002 Sepanjang Jaya</v>
      </c>
      <c r="V1320" s="85" t="str">
        <f>IFERROR(__xludf.DUMMYFUNCTION("""COMPUTED_VALUE"""),"RT/001 \ RW/002")</f>
        <v>RT/001 \ RW/002</v>
      </c>
      <c r="W1320" s="85" t="str">
        <f>IFERROR(__xludf.DUMMYFUNCTION("""COMPUTED_VALUE"""),"Sepanjangjaya")</f>
        <v>Sepanjangjaya</v>
      </c>
      <c r="X1320" s="85" t="str">
        <f>IFERROR(__xludf.DUMMYFUNCTION("""COMPUTED_VALUE"""),"Rawalumbu")</f>
        <v>Rawalumbu</v>
      </c>
      <c r="Y1320" s="85" t="str">
        <f>IFERROR(__xludf.DUMMYFUNCTION("""COMPUTED_VALUE"""),"Bekasi")</f>
        <v>Bekasi</v>
      </c>
      <c r="Z1320" s="85" t="str">
        <f>IFERROR(__xludf.DUMMYFUNCTION("""COMPUTED_VALUE"""),"Jawa Barat")</f>
        <v>Jawa Barat</v>
      </c>
      <c r="AA1320" s="85" t="str">
        <f>IFERROR(__xludf.DUMMYFUNCTION("""COMPUTED_VALUE"""),"17114")</f>
        <v>17114</v>
      </c>
      <c r="AB1320" s="85" t="str">
        <f>IFERROR(__xludf.DUMMYFUNCTION("""COMPUTED_VALUE"""),"3275050503780013")</f>
        <v>3275050503780013</v>
      </c>
      <c r="AC1320" s="85" t="str">
        <f>IFERROR(__xludf.DUMMYFUNCTION("""COMPUTED_VALUE"""),"74.547.602.8-432.000")</f>
        <v>74.547.602.8-432.000</v>
      </c>
      <c r="AD1320" s="85" t="str">
        <f>IFERROR(__xludf.DUMMYFUNCTION("""COMPUTED_VALUE"""),"CUM - LDI - KOPUBGBS")</f>
        <v>CUM - LDI - KOPUBGBS</v>
      </c>
      <c r="AE1320" s="85" t="str">
        <f>IFERROR(__xludf.DUMMYFUNCTION("""COMPUTED_VALUE"""),"CUM - LDI - KOPUBGBS")</f>
        <v>CUM - LDI - KOPUBGBS</v>
      </c>
      <c r="AF1320" s="85" t="str">
        <f>IFERROR(__xludf.DUMMYFUNCTION("""COMPUTED_VALUE"""),"081293262889")</f>
        <v>081293262889</v>
      </c>
      <c r="AG1320" s="85" t="str">
        <f>IFERROR(__xludf.DUMMYFUNCTION("""COMPUTED_VALUE"""),"081293262889")</f>
        <v>081293262889</v>
      </c>
      <c r="AH1320" s="85" t="str">
        <f>IFERROR(__xludf.DUMMYFUNCTION("""COMPUTED_VALUE"""),"ngajonoeto@gmail.com")</f>
        <v>ngajonoeto@gmail.com</v>
      </c>
      <c r="AI1320" s="85" t="str">
        <f>IFERROR(__xludf.DUMMYFUNCTION("""COMPUTED_VALUE"""),"17174S1")</f>
        <v>17174S1</v>
      </c>
      <c r="AJ1320" s="85" t="str">
        <f>IFERROR(__xludf.DUMMYFUNCTION("""COMPUTED_VALUE"""),"6a7d6cf8134bdbf84c05732a")</f>
        <v>6a7d6cf8134bdbf84c05732a</v>
      </c>
      <c r="AK1320" s="85" t="str">
        <f>IFERROR(__xludf.DUMMYFUNCTION("""COMPUTED_VALUE"""),"ngajonoeto@gmail.com")</f>
        <v>ngajonoeto@gmail.com</v>
      </c>
      <c r="AL1320" s="85" t="str">
        <f>IFERROR(__xludf.DUMMYFUNCTION("""COMPUTED_VALUE"""),"#Muc17174S1$")</f>
        <v>#Muc17174S1$</v>
      </c>
      <c r="AM1320" s="85" t="str">
        <f>IFERROR(__xludf.DUMMYFUNCTION("""COMPUTED_VALUE"""),"KANTOR REGIONAL II JAKARTA 10004")</f>
        <v>KANTOR REGIONAL II JAKARTA 10004</v>
      </c>
      <c r="AN1320" s="85" t="str">
        <f>IFERROR(__xludf.DUMMYFUNCTION("""COMPUTED_VALUE"""),"KCU BEKASI 17000")</f>
        <v>KCU BEKASI 17000</v>
      </c>
      <c r="AO1320" s="85" t="str">
        <f>IFERROR(__xludf.DUMMYFUNCTION("""COMPUTED_VALUE"""),"0508260209878")</f>
        <v>0508260209878</v>
      </c>
      <c r="AP1320" s="85" t="str">
        <f>IFERROR(__xludf.DUMMYFUNCTION("""COMPUTED_VALUE"""),"0508260209878")</f>
        <v>0508260209878</v>
      </c>
      <c r="AQ1320" s="93" t="str">
        <f>IFERROR(__xludf.DUMMYFUNCTION("""COMPUTED_VALUE"""),"100230549")</f>
        <v>100230549</v>
      </c>
      <c r="AR1320" s="85" t="str">
        <f>IFERROR(__xludf.DUMMYFUNCTION("""COMPUTED_VALUE"""),"BSI")</f>
        <v>BSI</v>
      </c>
      <c r="AS1320" s="85" t="str">
        <f>IFERROR(__xludf.DUMMYFUNCTION("""COMPUTED_VALUE"""),"NGAJONO")</f>
        <v>NGAJONO</v>
      </c>
      <c r="AT1320" s="85" t="str">
        <f>IFERROR(__xludf.DUMMYFUNCTION("""COMPUTED_VALUE"""),"-6.257757,107.0014076")</f>
        <v>-6.257757,107.0014076</v>
      </c>
      <c r="AU1320" s="85" t="str">
        <f>IFERROR(__xludf.DUMMYFUNCTION("""COMPUTED_VALUE"""),"-6.257757,107.0014076")</f>
        <v>-6.257757,107.0014076</v>
      </c>
      <c r="AV1320" s="85"/>
      <c r="AW1320" s="85"/>
      <c r="AX1320" s="85"/>
      <c r="AY1320" s="85"/>
      <c r="AZ1320" s="85"/>
      <c r="BA1320" s="85"/>
      <c r="BB1320" s="85"/>
      <c r="BC1320" s="85"/>
      <c r="BD1320" s="85"/>
      <c r="BE1320" s="85"/>
      <c r="BF1320" s="85"/>
      <c r="BG1320" s="85"/>
      <c r="BH1320" s="85"/>
      <c r="BI1320" s="85"/>
      <c r="BJ1320" s="85"/>
      <c r="BK1320" s="85"/>
      <c r="BL1320" s="85"/>
      <c r="BM1320" s="85"/>
      <c r="BN1320" s="85"/>
      <c r="BO1320" s="85"/>
      <c r="BP1320" s="85"/>
      <c r="BQ1320" s="85"/>
      <c r="BR1320" s="85"/>
      <c r="BS1320" s="85"/>
      <c r="BT1320" s="85"/>
      <c r="BU1320" s="85"/>
      <c r="BV1320" s="85"/>
      <c r="BW1320" s="85"/>
      <c r="BX1320" s="85"/>
      <c r="BY1320" s="85"/>
      <c r="BZ1320" s="85"/>
      <c r="CA1320" s="85"/>
      <c r="CB1320" s="85"/>
      <c r="CC1320" s="85"/>
      <c r="CD1320" s="85"/>
      <c r="CE1320" s="85"/>
      <c r="CF1320" s="85"/>
      <c r="CG1320" s="85"/>
      <c r="CH1320" s="85"/>
      <c r="CI1320" s="85"/>
      <c r="CJ1320" s="85"/>
      <c r="CK1320" s="2"/>
    </row>
    <row r="1321" ht="12.75" customHeight="1">
      <c r="A1321" s="80">
        <f>IFERROR(__xludf.DUMMYFUNCTION("""COMPUTED_VALUE"""),1317.0)</f>
        <v>1317</v>
      </c>
      <c r="B1321" s="80"/>
      <c r="C1321" s="80"/>
      <c r="D1321" s="81">
        <f>IFERROR(__xludf.DUMMYFUNCTION("""COMPUTED_VALUE"""),46244.0)</f>
        <v>46244</v>
      </c>
      <c r="E1321" s="82"/>
      <c r="F1321" s="80"/>
      <c r="G1321" s="81">
        <f>IFERROR(__xludf.DUMMYFUNCTION("""COMPUTED_VALUE"""),46254.0)</f>
        <v>46254</v>
      </c>
      <c r="H1321" s="80"/>
      <c r="I1321" s="80"/>
      <c r="J1321" s="80"/>
      <c r="K1321" s="80"/>
      <c r="L1321" s="80">
        <f>IFERROR(__xludf.DUMMYFUNCTION("""COMPUTED_VALUE"""),10.0)</f>
        <v>10</v>
      </c>
      <c r="M1321" s="80"/>
      <c r="N1321" s="80"/>
      <c r="O1321" s="80"/>
      <c r="P1321" s="80" t="str">
        <f>IFERROR(__xludf.DUMMYFUNCTION("""COMPUTED_VALUE"""),"MUCSPA63649PSIND")</f>
        <v>MUCSPA63649PSIND</v>
      </c>
      <c r="Q1321" s="80" t="str">
        <f>IFERROR(__xludf.DUMMYFUNCTION("""COMPUTED_VALUE"""),"MUC ZANI")</f>
        <v>MUC ZANI</v>
      </c>
      <c r="R1321" s="80" t="str">
        <f>IFERROR(__xludf.DUMMYFUNCTION("""COMPUTED_VALUE"""),"MUC ZANI")</f>
        <v>MUC ZANI</v>
      </c>
      <c r="S1321" s="80" t="str">
        <f>IFERROR(__xludf.DUMMYFUNCTION("""COMPUTED_VALUE"""),"MUZANI")</f>
        <v>MUZANI</v>
      </c>
      <c r="T1321" s="80" t="str">
        <f>IFERROR(__xludf.DUMMYFUNCTION("""COMPUTED_VALUE"""),"LINGK. UTAMA RT 01 RW 01, PAYA BUJOK SEULEUMAK, LANGSA BARO, LANGSA")</f>
        <v>LINGK. UTAMA RT 01 RW 01, PAYA BUJOK SEULEUMAK, LANGSA BARO, LANGSA</v>
      </c>
      <c r="U1321" s="80" t="str">
        <f>IFERROR(__xludf.DUMMYFUNCTION("""COMPUTED_VALUE"""),"JL. PROF. ALI HASJMY")</f>
        <v>JL. PROF. ALI HASJMY</v>
      </c>
      <c r="V1321" s="80" t="str">
        <f>IFERROR(__xludf.DUMMYFUNCTION("""COMPUTED_VALUE"""),"RT 01  \ RW 01,")</f>
        <v>RT 01  \ RW 01,</v>
      </c>
      <c r="W1321" s="80" t="str">
        <f>IFERROR(__xludf.DUMMYFUNCTION("""COMPUTED_VALUE"""),"TEUNGOH")</f>
        <v>TEUNGOH</v>
      </c>
      <c r="X1321" s="80" t="str">
        <f>IFERROR(__xludf.DUMMYFUNCTION("""COMPUTED_VALUE"""),"LANGSA KOTA")</f>
        <v>LANGSA KOTA</v>
      </c>
      <c r="Y1321" s="80" t="str">
        <f>IFERROR(__xludf.DUMMYFUNCTION("""COMPUTED_VALUE"""),"LANGSA")</f>
        <v>LANGSA</v>
      </c>
      <c r="Z1321" s="80" t="str">
        <f>IFERROR(__xludf.DUMMYFUNCTION("""COMPUTED_VALUE"""),"ACEH")</f>
        <v>ACEH</v>
      </c>
      <c r="AA1321" s="80" t="str">
        <f>IFERROR(__xludf.DUMMYFUNCTION("""COMPUTED_VALUE"""),"24354")</f>
        <v>24354</v>
      </c>
      <c r="AB1321" s="80" t="str">
        <f>IFERROR(__xludf.DUMMYFUNCTION("""COMPUTED_VALUE"""),"1174022502030001")</f>
        <v>1174022502030001</v>
      </c>
      <c r="AC1321" s="80" t="str">
        <f>IFERROR(__xludf.DUMMYFUNCTION("""COMPUTED_VALUE"""),"11.740.225.0-203.0001")</f>
        <v>11.740.225.0-203.0001</v>
      </c>
      <c r="AD1321" s="80" t="str">
        <f>IFERROR(__xludf.DUMMYFUNCTION("""COMPUTED_VALUE"""),"CUM - PS - AFJ")</f>
        <v>CUM - PS - AFJ</v>
      </c>
      <c r="AE1321" s="80" t="str">
        <f>IFERROR(__xludf.DUMMYFUNCTION("""COMPUTED_VALUE"""),"CUM - PS - AFJ")</f>
        <v>CUM - PS - AFJ</v>
      </c>
      <c r="AF1321" s="80" t="str">
        <f>IFERROR(__xludf.DUMMYFUNCTION("""COMPUTED_VALUE"""),"081269023654")</f>
        <v>081269023654</v>
      </c>
      <c r="AG1321" s="80" t="str">
        <f>IFERROR(__xludf.DUMMYFUNCTION("""COMPUTED_VALUE"""),"081269023654")</f>
        <v>081269023654</v>
      </c>
      <c r="AH1321" s="80" t="str">
        <f>IFERROR(__xludf.DUMMYFUNCTION("""COMPUTED_VALUE"""),"muzani1010@gmail.com")</f>
        <v>muzani1010@gmail.com</v>
      </c>
      <c r="AI1321" s="80" t="str">
        <f>IFERROR(__xludf.DUMMYFUNCTION("""COMPUTED_VALUE"""),"24411S1")</f>
        <v>24411S1</v>
      </c>
      <c r="AJ1321" s="80" t="str">
        <f>IFERROR(__xludf.DUMMYFUNCTION("""COMPUTED_VALUE"""),"6a86c286531ad62bf604f5a4")</f>
        <v>6a86c286531ad62bf604f5a4</v>
      </c>
      <c r="AK1321" s="80" t="str">
        <f>IFERROR(__xludf.DUMMYFUNCTION("""COMPUTED_VALUE"""),"muzani1010@gmail.com")</f>
        <v>muzani1010@gmail.com</v>
      </c>
      <c r="AL1321" s="80" t="str">
        <f>IFERROR(__xludf.DUMMYFUNCTION("""COMPUTED_VALUE"""),"#Muc24411S1$")</f>
        <v>#Muc24411S1$</v>
      </c>
      <c r="AM1321" s="80" t="str">
        <f>IFERROR(__xludf.DUMMYFUNCTION("""COMPUTED_VALUE"""),"KANTOR REGIONAL I MEDAN 20004")</f>
        <v>KANTOR REGIONAL I MEDAN 20004</v>
      </c>
      <c r="AN1321" s="80" t="str">
        <f>IFERROR(__xludf.DUMMYFUNCTION("""COMPUTED_VALUE"""),"KC LANGSA 24400")</f>
        <v>KC LANGSA 24400</v>
      </c>
      <c r="AO1321" s="80" t="str">
        <f>IFERROR(__xludf.DUMMYFUNCTION("""COMPUTED_VALUE"""),"0708260081294")</f>
        <v>0708260081294</v>
      </c>
      <c r="AP1321" s="80" t="str">
        <f>IFERROR(__xludf.DUMMYFUNCTION("""COMPUTED_VALUE"""),"0708260081294")</f>
        <v>0708260081294</v>
      </c>
      <c r="AQ1321" s="83" t="str">
        <f>IFERROR(__xludf.DUMMYFUNCTION("""COMPUTED_VALUE"""),"7240803652")</f>
        <v>7240803652</v>
      </c>
      <c r="AR1321" s="80" t="str">
        <f>IFERROR(__xludf.DUMMYFUNCTION("""COMPUTED_VALUE"""),"BSI")</f>
        <v>BSI</v>
      </c>
      <c r="AS1321" s="80" t="str">
        <f>IFERROR(__xludf.DUMMYFUNCTION("""COMPUTED_VALUE"""),"MUZANI")</f>
        <v>MUZANI</v>
      </c>
      <c r="AT1321" s="80" t="str">
        <f>IFERROR(__xludf.DUMMYFUNCTION("""COMPUTED_VALUE"""),"4.4600435,97.9696146")</f>
        <v>4.4600435,97.9696146</v>
      </c>
      <c r="AU1321" s="80" t="str">
        <f>IFERROR(__xludf.DUMMYFUNCTION("""COMPUTED_VALUE"""),"4.4600435,97.9696146")</f>
        <v>4.4600435,97.9696146</v>
      </c>
      <c r="AV1321" s="80"/>
      <c r="AW1321" s="80"/>
      <c r="AX1321" s="80"/>
      <c r="AY1321" s="80"/>
      <c r="AZ1321" s="80"/>
      <c r="BA1321" s="80"/>
      <c r="BB1321" s="80"/>
      <c r="BC1321" s="80"/>
      <c r="BD1321" s="80"/>
      <c r="BE1321" s="80"/>
      <c r="BF1321" s="80"/>
      <c r="BG1321" s="80"/>
      <c r="BH1321" s="80"/>
      <c r="BI1321" s="80"/>
      <c r="BJ1321" s="80"/>
      <c r="BK1321" s="80"/>
      <c r="BL1321" s="80"/>
      <c r="BM1321" s="80"/>
      <c r="BN1321" s="80"/>
      <c r="BO1321" s="80"/>
      <c r="BP1321" s="80"/>
      <c r="BQ1321" s="80"/>
      <c r="BR1321" s="80"/>
      <c r="BS1321" s="80"/>
      <c r="BT1321" s="80"/>
      <c r="BU1321" s="80"/>
      <c r="BV1321" s="80"/>
      <c r="BW1321" s="80"/>
      <c r="BX1321" s="80"/>
      <c r="BY1321" s="80"/>
      <c r="BZ1321" s="80"/>
      <c r="CA1321" s="80"/>
      <c r="CB1321" s="80"/>
      <c r="CC1321" s="80"/>
      <c r="CD1321" s="80"/>
      <c r="CE1321" s="80"/>
      <c r="CF1321" s="80"/>
      <c r="CG1321" s="80"/>
      <c r="CH1321" s="80"/>
      <c r="CI1321" s="80"/>
      <c r="CJ1321" s="80"/>
      <c r="CK1321" s="2"/>
    </row>
    <row r="1322" ht="12.75" customHeight="1">
      <c r="A1322" s="85">
        <f>IFERROR(__xludf.DUMMYFUNCTION("""COMPUTED_VALUE"""),1318.0)</f>
        <v>1318</v>
      </c>
      <c r="B1322" s="85"/>
      <c r="C1322" s="85"/>
      <c r="D1322" s="86">
        <f>IFERROR(__xludf.DUMMYFUNCTION("""COMPUTED_VALUE"""),46244.0)</f>
        <v>46244</v>
      </c>
      <c r="E1322" s="88"/>
      <c r="F1322" s="85"/>
      <c r="G1322" s="86">
        <f>IFERROR(__xludf.DUMMYFUNCTION("""COMPUTED_VALUE"""),46279.0)</f>
        <v>46279</v>
      </c>
      <c r="H1322" s="85"/>
      <c r="I1322" s="85"/>
      <c r="J1322" s="85"/>
      <c r="K1322" s="85"/>
      <c r="L1322" s="85">
        <f>IFERROR(__xludf.DUMMYFUNCTION("""COMPUTED_VALUE"""),35.0)</f>
        <v>35</v>
      </c>
      <c r="M1322" s="85"/>
      <c r="N1322" s="85"/>
      <c r="O1322" s="85"/>
      <c r="P1322" s="85" t="str">
        <f>IFERROR(__xludf.DUMMYFUNCTION("""COMPUTED_VALUE"""),"MUCSPA70080PSLDI")</f>
        <v>MUCSPA70080PSLDI</v>
      </c>
      <c r="Q1322" s="85" t="str">
        <f>IFERROR(__xludf.DUMMYFUNCTION("""COMPUTED_VALUE"""),"MUC UB Barikna Express")</f>
        <v>MUC UB Barikna Express</v>
      </c>
      <c r="R1322" s="85" t="str">
        <f>IFERROR(__xludf.DUMMYFUNCTION("""COMPUTED_VALUE"""),"MUC UB Barikna Express")</f>
        <v>MUC UB Barikna Express</v>
      </c>
      <c r="S1322" s="85" t="str">
        <f>IFERROR(__xludf.DUMMYFUNCTION("""COMPUTED_VALUE"""),"WAHYONO")</f>
        <v>WAHYONO</v>
      </c>
      <c r="T1322" s="85" t="str">
        <f>IFERROR(__xludf.DUMMYFUNCTION("""COMPUTED_VALUE"""),"DUSUN CILALUNG RT 15 RW 08, MEKARJAYA, PURWASARI, KAB.KARAWANG")</f>
        <v>DUSUN CILALUNG RT 15 RW 08, MEKARJAYA, PURWASARI, KAB.KARAWANG</v>
      </c>
      <c r="U1322" s="85" t="str">
        <f>IFERROR(__xludf.DUMMYFUNCTION("""COMPUTED_VALUE"""),"JL. CILALUNG RT 15 RW 08")</f>
        <v>JL. CILALUNG RT 15 RW 08</v>
      </c>
      <c r="V1322" s="85" t="str">
        <f>IFERROR(__xludf.DUMMYFUNCTION("""COMPUTED_VALUE"""),"RT 15  \ RW 08,")</f>
        <v>RT 15  \ RW 08,</v>
      </c>
      <c r="W1322" s="85" t="str">
        <f>IFERROR(__xludf.DUMMYFUNCTION("""COMPUTED_VALUE"""),"MEKARJAYA")</f>
        <v>MEKARJAYA</v>
      </c>
      <c r="X1322" s="85" t="str">
        <f>IFERROR(__xludf.DUMMYFUNCTION("""COMPUTED_VALUE"""),"PURWASARI")</f>
        <v>PURWASARI</v>
      </c>
      <c r="Y1322" s="85" t="str">
        <f>IFERROR(__xludf.DUMMYFUNCTION("""COMPUTED_VALUE"""),"KAB.KARAWANG")</f>
        <v>KAB.KARAWANG</v>
      </c>
      <c r="Z1322" s="85" t="str">
        <f>IFERROR(__xludf.DUMMYFUNCTION("""COMPUTED_VALUE"""),"JAWA BARAT")</f>
        <v>JAWA BARAT</v>
      </c>
      <c r="AA1322" s="85" t="str">
        <f>IFERROR(__xludf.DUMMYFUNCTION("""COMPUTED_VALUE"""),"41373")</f>
        <v>41373</v>
      </c>
      <c r="AB1322" s="85" t="str">
        <f>IFERROR(__xludf.DUMMYFUNCTION("""COMPUTED_VALUE"""),"3215292409710001")</f>
        <v>3215292409710001</v>
      </c>
      <c r="AC1322" s="85" t="str">
        <f>IFERROR(__xludf.DUMMYFUNCTION("""COMPUTED_VALUE"""),"19.581.524.6-408.000")</f>
        <v>19.581.524.6-408.000</v>
      </c>
      <c r="AD1322" s="85" t="str">
        <f>IFERROR(__xludf.DUMMYFUNCTION("""COMPUTED_VALUE"""),"CUM - LDI - KOPUBGBS")</f>
        <v>CUM - LDI - KOPUBGBS</v>
      </c>
      <c r="AE1322" s="85" t="str">
        <f>IFERROR(__xludf.DUMMYFUNCTION("""COMPUTED_VALUE"""),"CUM - LDI - KOPUBGBS")</f>
        <v>CUM - LDI - KOPUBGBS</v>
      </c>
      <c r="AF1322" s="85" t="str">
        <f>IFERROR(__xludf.DUMMYFUNCTION("""COMPUTED_VALUE"""),"082311482044")</f>
        <v>082311482044</v>
      </c>
      <c r="AG1322" s="85" t="str">
        <f>IFERROR(__xludf.DUMMYFUNCTION("""COMPUTED_VALUE"""),"082311482044")</f>
        <v>082311482044</v>
      </c>
      <c r="AH1322" s="85" t="str">
        <f>IFERROR(__xludf.DUMMYFUNCTION("""COMPUTED_VALUE"""),"wahyonoyono240971@gmail.com")</f>
        <v>wahyonoyono240971@gmail.com</v>
      </c>
      <c r="AI1322" s="85" t="str">
        <f>IFERROR(__xludf.DUMMYFUNCTION("""COMPUTED_VALUE"""),"41376S5 ")</f>
        <v>41376S5 </v>
      </c>
      <c r="AJ1322" s="85" t="str">
        <f>IFERROR(__xludf.DUMMYFUNCTION("""COMPUTED_VALUE"""),"6aa3d31ba1f0aa20070ade3e ")</f>
        <v>6aa3d31ba1f0aa20070ade3e </v>
      </c>
      <c r="AK1322" s="85" t="str">
        <f>IFERROR(__xludf.DUMMYFUNCTION("""COMPUTED_VALUE"""),"wahyonoyono240971@gmail.com")</f>
        <v>wahyonoyono240971@gmail.com</v>
      </c>
      <c r="AL1322" s="85" t="str">
        <f>IFERROR(__xludf.DUMMYFUNCTION("""COMPUTED_VALUE"""),"#Muc41376S5$")</f>
        <v>#Muc41376S5$</v>
      </c>
      <c r="AM1322" s="85" t="str">
        <f>IFERROR(__xludf.DUMMYFUNCTION("""COMPUTED_VALUE"""),"KANTOR REGIONAL III BANDUNG 40004")</f>
        <v>KANTOR REGIONAL III BANDUNG 40004</v>
      </c>
      <c r="AN1322" s="85" t="str">
        <f>IFERROR(__xludf.DUMMYFUNCTION("""COMPUTED_VALUE"""),"KCU KARAWANG 41300")</f>
        <v>KCU KARAWANG 41300</v>
      </c>
      <c r="AO1322" s="85" t="str">
        <f>IFERROR(__xludf.DUMMYFUNCTION("""COMPUTED_VALUE"""),"0608260439245")</f>
        <v>0608260439245</v>
      </c>
      <c r="AP1322" s="85" t="str">
        <f>IFERROR(__xludf.DUMMYFUNCTION("""COMPUTED_VALUE"""),"0608260439245")</f>
        <v>0608260439245</v>
      </c>
      <c r="AQ1322" s="93" t="str">
        <f>IFERROR(__xludf.DUMMYFUNCTION("""COMPUTED_VALUE"""),"3780516908")</f>
        <v>3780516908</v>
      </c>
      <c r="AR1322" s="85" t="str">
        <f>IFERROR(__xludf.DUMMYFUNCTION("""COMPUTED_VALUE"""),"BCA")</f>
        <v>BCA</v>
      </c>
      <c r="AS1322" s="85" t="str">
        <f>IFERROR(__xludf.DUMMYFUNCTION("""COMPUTED_VALUE"""),"WAHYONO")</f>
        <v>WAHYONO</v>
      </c>
      <c r="AT1322" s="85" t="str">
        <f>IFERROR(__xludf.DUMMYFUNCTION("""COMPUTED_VALUE"""),"-6.3830186,107.3921723")</f>
        <v>-6.3830186,107.3921723</v>
      </c>
      <c r="AU1322" s="85" t="str">
        <f>IFERROR(__xludf.DUMMYFUNCTION("""COMPUTED_VALUE"""),"-6.3830186,107.3921723")</f>
        <v>-6.3830186,107.3921723</v>
      </c>
      <c r="AV1322" s="85"/>
      <c r="AW1322" s="85"/>
      <c r="AX1322" s="85"/>
      <c r="AY1322" s="85"/>
      <c r="AZ1322" s="85"/>
      <c r="BA1322" s="85"/>
      <c r="BB1322" s="85"/>
      <c r="BC1322" s="85"/>
      <c r="BD1322" s="85"/>
      <c r="BE1322" s="85"/>
      <c r="BF1322" s="85"/>
      <c r="BG1322" s="85"/>
      <c r="BH1322" s="85"/>
      <c r="BI1322" s="85"/>
      <c r="BJ1322" s="85"/>
      <c r="BK1322" s="85"/>
      <c r="BL1322" s="85"/>
      <c r="BM1322" s="85"/>
      <c r="BN1322" s="85"/>
      <c r="BO1322" s="85"/>
      <c r="BP1322" s="85"/>
      <c r="BQ1322" s="85"/>
      <c r="BR1322" s="85"/>
      <c r="BS1322" s="85"/>
      <c r="BT1322" s="85"/>
      <c r="BU1322" s="85"/>
      <c r="BV1322" s="85"/>
      <c r="BW1322" s="85"/>
      <c r="BX1322" s="85"/>
      <c r="BY1322" s="85"/>
      <c r="BZ1322" s="85"/>
      <c r="CA1322" s="85"/>
      <c r="CB1322" s="85"/>
      <c r="CC1322" s="85"/>
      <c r="CD1322" s="85"/>
      <c r="CE1322" s="85"/>
      <c r="CF1322" s="85"/>
      <c r="CG1322" s="85"/>
      <c r="CH1322" s="85"/>
      <c r="CI1322" s="85"/>
      <c r="CJ1322" s="85"/>
      <c r="CK1322" s="2"/>
    </row>
    <row r="1323" ht="12.75" customHeight="1">
      <c r="A1323" s="80">
        <f>IFERROR(__xludf.DUMMYFUNCTION("""COMPUTED_VALUE"""),1319.0)</f>
        <v>1319</v>
      </c>
      <c r="B1323" s="80"/>
      <c r="C1323" s="80"/>
      <c r="D1323" s="81">
        <f>IFERROR(__xludf.DUMMYFUNCTION("""COMPUTED_VALUE"""),46244.0)</f>
        <v>46244</v>
      </c>
      <c r="E1323" s="82"/>
      <c r="F1323" s="80"/>
      <c r="G1323" s="81">
        <f>IFERROR(__xludf.DUMMYFUNCTION("""COMPUTED_VALUE"""),46265.0)</f>
        <v>46265</v>
      </c>
      <c r="H1323" s="80"/>
      <c r="I1323" s="80"/>
      <c r="J1323" s="80"/>
      <c r="K1323" s="80"/>
      <c r="L1323" s="80">
        <f>IFERROR(__xludf.DUMMYFUNCTION("""COMPUTED_VALUE"""),21.0)</f>
        <v>21</v>
      </c>
      <c r="M1323" s="80"/>
      <c r="N1323" s="80"/>
      <c r="O1323" s="80"/>
      <c r="P1323" s="80" t="str">
        <f>IFERROR(__xludf.DUMMYFUNCTION("""COMPUTED_VALUE"""),"MUCSPA70089PSLDI")</f>
        <v>MUCSPA70089PSLDI</v>
      </c>
      <c r="Q1323" s="80" t="str">
        <f>IFERROR(__xludf.DUMMYFUNCTION("""COMPUTED_VALUE"""),"MUC TOYO LEUWIMUNDING")</f>
        <v>MUC TOYO LEUWIMUNDING</v>
      </c>
      <c r="R1323" s="80" t="str">
        <f>IFERROR(__xludf.DUMMYFUNCTION("""COMPUTED_VALUE"""),"MUC TOYO LEUWIMUNDING")</f>
        <v>MUC TOYO LEUWIMUNDING</v>
      </c>
      <c r="S1323" s="80" t="str">
        <f>IFERROR(__xludf.DUMMYFUNCTION("""COMPUTED_VALUE"""),"YOYO ENDANG SUHARTOYO")</f>
        <v>YOYO ENDANG SUHARTOYO</v>
      </c>
      <c r="T1323" s="80" t="str">
        <f>IFERROR(__xludf.DUMMYFUNCTION("""COMPUTED_VALUE"""),"DUSUN BARU RT 01 RW 04, LEUWIMUNDING, LEUWIMUNDING, KAB.MAJALENGKA")</f>
        <v>DUSUN BARU RT 01 RW 04, LEUWIMUNDING, LEUWIMUNDING, KAB.MAJALENGKA</v>
      </c>
      <c r="U1323" s="80" t="str">
        <f>IFERROR(__xludf.DUMMYFUNCTION("""COMPUTED_VALUE"""),"JL. RAYA WERAGATI CIPARI")</f>
        <v>JL. RAYA WERAGATI CIPARI</v>
      </c>
      <c r="V1323" s="80" t="str">
        <f>IFERROR(__xludf.DUMMYFUNCTION("""COMPUTED_VALUE"""),"RT 01  \ RW 04,")</f>
        <v>RT 01  \ RW 04,</v>
      </c>
      <c r="W1323" s="80" t="str">
        <f>IFERROR(__xludf.DUMMYFUNCTION("""COMPUTED_VALUE"""),"WERAGATI")</f>
        <v>WERAGATI</v>
      </c>
      <c r="X1323" s="80" t="str">
        <f>IFERROR(__xludf.DUMMYFUNCTION("""COMPUTED_VALUE"""),"PALASAH")</f>
        <v>PALASAH</v>
      </c>
      <c r="Y1323" s="80" t="str">
        <f>IFERROR(__xludf.DUMMYFUNCTION("""COMPUTED_VALUE"""),"KAB.MAJALENGKA")</f>
        <v>KAB.MAJALENGKA</v>
      </c>
      <c r="Z1323" s="80" t="str">
        <f>IFERROR(__xludf.DUMMYFUNCTION("""COMPUTED_VALUE"""),"JAWA BARAT")</f>
        <v>JAWA BARAT</v>
      </c>
      <c r="AA1323" s="80" t="str">
        <f>IFERROR(__xludf.DUMMYFUNCTION("""COMPUTED_VALUE"""),"45475")</f>
        <v>45475</v>
      </c>
      <c r="AB1323" s="80" t="str">
        <f>IFERROR(__xludf.DUMMYFUNCTION("""COMPUTED_VALUE"""),"3210101202690083")</f>
        <v>3210101202690083</v>
      </c>
      <c r="AC1323" s="80" t="str">
        <f>IFERROR(__xludf.DUMMYFUNCTION("""COMPUTED_VALUE"""),"32.101.012.0-269.0083")</f>
        <v>32.101.012.0-269.0083</v>
      </c>
      <c r="AD1323" s="80" t="str">
        <f>IFERROR(__xludf.DUMMYFUNCTION("""COMPUTED_VALUE"""),"CUM - LDI - KOPUBGBS")</f>
        <v>CUM - LDI - KOPUBGBS</v>
      </c>
      <c r="AE1323" s="80" t="str">
        <f>IFERROR(__xludf.DUMMYFUNCTION("""COMPUTED_VALUE"""),"CUM - LDI - KOPUBGBS")</f>
        <v>CUM - LDI - KOPUBGBS</v>
      </c>
      <c r="AF1323" s="80" t="str">
        <f>IFERROR(__xludf.DUMMYFUNCTION("""COMPUTED_VALUE"""),"085351230369")</f>
        <v>085351230369</v>
      </c>
      <c r="AG1323" s="80" t="str">
        <f>IFERROR(__xludf.DUMMYFUNCTION("""COMPUTED_VALUE"""),"085351230369")</f>
        <v>085351230369</v>
      </c>
      <c r="AH1323" s="80" t="str">
        <f>IFERROR(__xludf.DUMMYFUNCTION("""COMPUTED_VALUE"""),"yoyosuhartoyo100@gmail.com")</f>
        <v>yoyosuhartoyo100@gmail.com</v>
      </c>
      <c r="AI1323" s="80" t="str">
        <f>IFERROR(__xludf.DUMMYFUNCTION("""COMPUTED_VALUE"""),"45475S2")</f>
        <v>45475S2</v>
      </c>
      <c r="AJ1323" s="80" t="str">
        <f>IFERROR(__xludf.DUMMYFUNCTION("""COMPUTED_VALUE"""),"6a92b2dd2a1679410c074e8d")</f>
        <v>6a92b2dd2a1679410c074e8d</v>
      </c>
      <c r="AK1323" s="80" t="str">
        <f>IFERROR(__xludf.DUMMYFUNCTION("""COMPUTED_VALUE"""),"yoyosuhartoyo100@gmail.com")</f>
        <v>yoyosuhartoyo100@gmail.com</v>
      </c>
      <c r="AL1323" s="80" t="str">
        <f>IFERROR(__xludf.DUMMYFUNCTION("""COMPUTED_VALUE"""),"#Muc45475S2$")</f>
        <v>#Muc45475S2$</v>
      </c>
      <c r="AM1323" s="80" t="str">
        <f>IFERROR(__xludf.DUMMYFUNCTION("""COMPUTED_VALUE"""),"KANTOR REGIONAL III BANDUNG 40004")</f>
        <v>KANTOR REGIONAL III BANDUNG 40004</v>
      </c>
      <c r="AN1323" s="80" t="str">
        <f>IFERROR(__xludf.DUMMYFUNCTION("""COMPUTED_VALUE"""),"KC MAJALENGKA 45400")</f>
        <v>KC MAJALENGKA 45400</v>
      </c>
      <c r="AO1323" s="80" t="str">
        <f>IFERROR(__xludf.DUMMYFUNCTION("""COMPUTED_VALUE"""),"0508260291745")</f>
        <v>0508260291745</v>
      </c>
      <c r="AP1323" s="80" t="str">
        <f>IFERROR(__xludf.DUMMYFUNCTION("""COMPUTED_VALUE"""),"0508260291745")</f>
        <v>0508260291745</v>
      </c>
      <c r="AQ1323" s="83" t="str">
        <f>IFERROR(__xludf.DUMMYFUNCTION("""COMPUTED_VALUE"""),"8438843100")</f>
        <v>8438843100</v>
      </c>
      <c r="AR1323" s="80" t="str">
        <f>IFERROR(__xludf.DUMMYFUNCTION("""COMPUTED_VALUE"""),"BSI")</f>
        <v>BSI</v>
      </c>
      <c r="AS1323" s="80" t="str">
        <f>IFERROR(__xludf.DUMMYFUNCTION("""COMPUTED_VALUE"""),"YOYO ENDANG SUHARTOYO")</f>
        <v>YOYO ENDANG SUHARTOYO</v>
      </c>
      <c r="AT1323" s="80" t="str">
        <f>IFERROR(__xludf.DUMMYFUNCTION("""COMPUTED_VALUE"""),"-6.7682715,108.2998443")</f>
        <v>-6.7682715,108.2998443</v>
      </c>
      <c r="AU1323" s="80" t="str">
        <f>IFERROR(__xludf.DUMMYFUNCTION("""COMPUTED_VALUE"""),"-6.7682715,108.2998443")</f>
        <v>-6.7682715,108.2998443</v>
      </c>
      <c r="AV1323" s="80"/>
      <c r="AW1323" s="80"/>
      <c r="AX1323" s="80"/>
      <c r="AY1323" s="80"/>
      <c r="AZ1323" s="80"/>
      <c r="BA1323" s="80"/>
      <c r="BB1323" s="80"/>
      <c r="BC1323" s="80"/>
      <c r="BD1323" s="80"/>
      <c r="BE1323" s="80"/>
      <c r="BF1323" s="80"/>
      <c r="BG1323" s="80"/>
      <c r="BH1323" s="80"/>
      <c r="BI1323" s="80"/>
      <c r="BJ1323" s="80"/>
      <c r="BK1323" s="80"/>
      <c r="BL1323" s="80"/>
      <c r="BM1323" s="80"/>
      <c r="BN1323" s="80"/>
      <c r="BO1323" s="80"/>
      <c r="BP1323" s="80"/>
      <c r="BQ1323" s="80"/>
      <c r="BR1323" s="80"/>
      <c r="BS1323" s="80"/>
      <c r="BT1323" s="80"/>
      <c r="BU1323" s="80"/>
      <c r="BV1323" s="80"/>
      <c r="BW1323" s="80"/>
      <c r="BX1323" s="80"/>
      <c r="BY1323" s="80"/>
      <c r="BZ1323" s="80"/>
      <c r="CA1323" s="80"/>
      <c r="CB1323" s="80"/>
      <c r="CC1323" s="80"/>
      <c r="CD1323" s="80"/>
      <c r="CE1323" s="80"/>
      <c r="CF1323" s="80"/>
      <c r="CG1323" s="80"/>
      <c r="CH1323" s="80"/>
      <c r="CI1323" s="80"/>
      <c r="CJ1323" s="80"/>
      <c r="CK1323" s="2"/>
    </row>
    <row r="1324" ht="12.75" customHeight="1">
      <c r="A1324" s="85">
        <f>IFERROR(__xludf.DUMMYFUNCTION("""COMPUTED_VALUE"""),1320.0)</f>
        <v>1320</v>
      </c>
      <c r="B1324" s="85"/>
      <c r="C1324" s="85"/>
      <c r="D1324" s="86">
        <f>IFERROR(__xludf.DUMMYFUNCTION("""COMPUTED_VALUE"""),46244.0)</f>
        <v>46244</v>
      </c>
      <c r="E1324" s="88"/>
      <c r="F1324" s="85"/>
      <c r="G1324" s="86"/>
      <c r="H1324" s="85"/>
      <c r="I1324" s="85"/>
      <c r="J1324" s="85"/>
      <c r="K1324" s="85"/>
      <c r="L1324" s="85"/>
      <c r="M1324" s="85"/>
      <c r="N1324" s="85"/>
      <c r="O1324" s="85"/>
      <c r="P1324" s="85" t="str">
        <f>IFERROR(__xludf.DUMMYFUNCTION("""COMPUTED_VALUE"""),"MUCSPA63647PSIND")</f>
        <v>MUCSPA63647PSIND</v>
      </c>
      <c r="Q1324" s="85" t="str">
        <f>IFERROR(__xludf.DUMMYFUNCTION("""COMPUTED_VALUE"""),"MUC SELVIAMAN")</f>
        <v>MUC SELVIAMAN</v>
      </c>
      <c r="R1324" s="85" t="str">
        <f>IFERROR(__xludf.DUMMYFUNCTION("""COMPUTED_VALUE"""),"MUC SELVIAMAN")</f>
        <v>MUC SELVIAMAN</v>
      </c>
      <c r="S1324" s="85" t="str">
        <f>IFERROR(__xludf.DUMMYFUNCTION("""COMPUTED_VALUE"""),"SELVIAMAN ZEGA")</f>
        <v>SELVIAMAN ZEGA</v>
      </c>
      <c r="T1324" s="85" t="str">
        <f>IFERROR(__xludf.DUMMYFUNCTION("""COMPUTED_VALUE"""),"Desa Teluk Belukar")</f>
        <v>Desa Teluk Belukar</v>
      </c>
      <c r="U1324" s="85" t="str">
        <f>IFERROR(__xludf.DUMMYFUNCTION("""COMPUTED_VALUE"""),"Teluk Belukar")</f>
        <v>Teluk Belukar</v>
      </c>
      <c r="V1324" s="85"/>
      <c r="W1324" s="85" t="str">
        <f>IFERROR(__xludf.DUMMYFUNCTION("""COMPUTED_VALUE"""),"Teluk Belukar")</f>
        <v>Teluk Belukar</v>
      </c>
      <c r="X1324" s="85" t="str">
        <f>IFERROR(__xludf.DUMMYFUNCTION("""COMPUTED_VALUE"""),"Gunungsitoli Utara")</f>
        <v>Gunungsitoli Utara</v>
      </c>
      <c r="Y1324" s="85" t="str">
        <f>IFERROR(__xludf.DUMMYFUNCTION("""COMPUTED_VALUE"""),"Gunungsitoli")</f>
        <v>Gunungsitoli</v>
      </c>
      <c r="Z1324" s="85" t="str">
        <f>IFERROR(__xludf.DUMMYFUNCTION("""COMPUTED_VALUE"""),"Sumatera Utara")</f>
        <v>Sumatera Utara</v>
      </c>
      <c r="AA1324" s="85" t="str">
        <f>IFERROR(__xludf.DUMMYFUNCTION("""COMPUTED_VALUE"""),"22851")</f>
        <v>22851</v>
      </c>
      <c r="AB1324" s="85" t="str">
        <f>IFERROR(__xludf.DUMMYFUNCTION("""COMPUTED_VALUE"""),"1278031407020001")</f>
        <v>1278031407020001</v>
      </c>
      <c r="AC1324" s="85" t="str">
        <f>IFERROR(__xludf.DUMMYFUNCTION("""COMPUTED_VALUE"""),"12.780.314.0-702.0001")</f>
        <v>12.780.314.0-702.0001</v>
      </c>
      <c r="AD1324" s="85" t="str">
        <f>IFERROR(__xludf.DUMMYFUNCTION("""COMPUTED_VALUE"""),"CUM - PS - NONKORGEN")</f>
        <v>CUM - PS - NONKORGEN</v>
      </c>
      <c r="AE1324" s="85" t="str">
        <f>IFERROR(__xludf.DUMMYFUNCTION("""COMPUTED_VALUE"""),"Pak Rendra Pos KC Gunungsitoli REG1")</f>
        <v>Pak Rendra Pos KC Gunungsitoli REG1</v>
      </c>
      <c r="AF1324" s="85" t="str">
        <f>IFERROR(__xludf.DUMMYFUNCTION("""COMPUTED_VALUE"""),"082275292024")</f>
        <v>082275292024</v>
      </c>
      <c r="AG1324" s="85" t="str">
        <f>IFERROR(__xludf.DUMMYFUNCTION("""COMPUTED_VALUE"""),"082275292024")</f>
        <v>082275292024</v>
      </c>
      <c r="AH1324" s="85" t="str">
        <f>IFERROR(__xludf.DUMMYFUNCTION("""COMPUTED_VALUE"""),"selviamanzega147@gmail.com")</f>
        <v>selviamanzega147@gmail.com</v>
      </c>
      <c r="AI1324" s="85"/>
      <c r="AJ1324" s="85"/>
      <c r="AK1324" s="85"/>
      <c r="AL1324" s="85"/>
      <c r="AM1324" s="85" t="str">
        <f>IFERROR(__xludf.DUMMYFUNCTION("""COMPUTED_VALUE"""),"KANTOR REGIONAL I MEDAN 20004")</f>
        <v>KANTOR REGIONAL I MEDAN 20004</v>
      </c>
      <c r="AN1324" s="85" t="str">
        <f>IFERROR(__xludf.DUMMYFUNCTION("""COMPUTED_VALUE"""),"KC GUNUNGSITOLI 22800")</f>
        <v>KC GUNUNGSITOLI 22800</v>
      </c>
      <c r="AO1324" s="85" t="str">
        <f>IFERROR(__xludf.DUMMYFUNCTION("""COMPUTED_VALUE"""),"0608260421469")</f>
        <v>0608260421469</v>
      </c>
      <c r="AP1324" s="85" t="str">
        <f>IFERROR(__xludf.DUMMYFUNCTION("""COMPUTED_VALUE"""),"0608260421469")</f>
        <v>0608260421469</v>
      </c>
      <c r="AQ1324" s="93" t="str">
        <f>IFERROR(__xludf.DUMMYFUNCTION("""COMPUTED_VALUE"""),"1070024528616")</f>
        <v>1070024528616</v>
      </c>
      <c r="AR1324" s="85" t="str">
        <f>IFERROR(__xludf.DUMMYFUNCTION("""COMPUTED_VALUE"""),"Mandiri")</f>
        <v>Mandiri</v>
      </c>
      <c r="AS1324" s="85" t="str">
        <f>IFERROR(__xludf.DUMMYFUNCTION("""COMPUTED_VALUE"""),"SELVIAMAN ZEGA")</f>
        <v>SELVIAMAN ZEGA</v>
      </c>
      <c r="AT1324" s="85" t="str">
        <f>IFERROR(__xludf.DUMMYFUNCTION("""COMPUTED_VALUE"""),"1.394635,97.512086")</f>
        <v>1.394635,97.512086</v>
      </c>
      <c r="AU1324" s="85" t="str">
        <f>IFERROR(__xludf.DUMMYFUNCTION("""COMPUTED_VALUE"""),"1.394635,97.512086")</f>
        <v>1.394635,97.512086</v>
      </c>
      <c r="AV1324" s="85"/>
      <c r="AW1324" s="85"/>
      <c r="AX1324" s="85"/>
      <c r="AY1324" s="85"/>
      <c r="AZ1324" s="85"/>
      <c r="BA1324" s="85"/>
      <c r="BB1324" s="85"/>
      <c r="BC1324" s="85"/>
      <c r="BD1324" s="85"/>
      <c r="BE1324" s="85"/>
      <c r="BF1324" s="85"/>
      <c r="BG1324" s="85"/>
      <c r="BH1324" s="85"/>
      <c r="BI1324" s="85"/>
      <c r="BJ1324" s="85"/>
      <c r="BK1324" s="85"/>
      <c r="BL1324" s="85"/>
      <c r="BM1324" s="85"/>
      <c r="BN1324" s="85"/>
      <c r="BO1324" s="85"/>
      <c r="BP1324" s="85"/>
      <c r="BQ1324" s="85"/>
      <c r="BR1324" s="85"/>
      <c r="BS1324" s="85"/>
      <c r="BT1324" s="85"/>
      <c r="BU1324" s="85"/>
      <c r="BV1324" s="85"/>
      <c r="BW1324" s="85"/>
      <c r="BX1324" s="85"/>
      <c r="BY1324" s="85"/>
      <c r="BZ1324" s="85"/>
      <c r="CA1324" s="85"/>
      <c r="CB1324" s="85"/>
      <c r="CC1324" s="85"/>
      <c r="CD1324" s="85"/>
      <c r="CE1324" s="85"/>
      <c r="CF1324" s="85"/>
      <c r="CG1324" s="85"/>
      <c r="CH1324" s="85"/>
      <c r="CI1324" s="85"/>
      <c r="CJ1324" s="85"/>
      <c r="CK1324" s="2"/>
    </row>
    <row r="1325" ht="12.75" customHeight="1">
      <c r="A1325" s="80">
        <f>IFERROR(__xludf.DUMMYFUNCTION("""COMPUTED_VALUE"""),1321.0)</f>
        <v>1321</v>
      </c>
      <c r="B1325" s="80"/>
      <c r="C1325" s="80"/>
      <c r="D1325" s="81">
        <f>IFERROR(__xludf.DUMMYFUNCTION("""COMPUTED_VALUE"""),46244.0)</f>
        <v>46244</v>
      </c>
      <c r="E1325" s="82"/>
      <c r="F1325" s="80"/>
      <c r="G1325" s="81">
        <f>IFERROR(__xludf.DUMMYFUNCTION("""COMPUTED_VALUE"""),46265.0)</f>
        <v>46265</v>
      </c>
      <c r="H1325" s="80"/>
      <c r="I1325" s="80"/>
      <c r="J1325" s="80"/>
      <c r="K1325" s="80"/>
      <c r="L1325" s="80">
        <f>IFERROR(__xludf.DUMMYFUNCTION("""COMPUTED_VALUE"""),21.0)</f>
        <v>21</v>
      </c>
      <c r="M1325" s="80"/>
      <c r="N1325" s="80"/>
      <c r="O1325" s="80"/>
      <c r="P1325" s="80" t="str">
        <f>IFERROR(__xludf.DUMMYFUNCTION("""COMPUTED_VALUE"""),"MUCSPA70090PSLDI")</f>
        <v>MUCSPA70090PSLDI</v>
      </c>
      <c r="Q1325" s="80" t="str">
        <f>IFERROR(__xludf.DUMMYFUNCTION("""COMPUTED_VALUE"""),"MUC NARESWARI")</f>
        <v>MUC NARESWARI</v>
      </c>
      <c r="R1325" s="80" t="str">
        <f>IFERROR(__xludf.DUMMYFUNCTION("""COMPUTED_VALUE"""),"MUC NARESWARI")</f>
        <v>MUC NARESWARI</v>
      </c>
      <c r="S1325" s="80" t="str">
        <f>IFERROR(__xludf.DUMMYFUNCTION("""COMPUTED_VALUE"""),"YOGIE TRIANTO ADISUTJIPTO")</f>
        <v>YOGIE TRIANTO ADISUTJIPTO</v>
      </c>
      <c r="T1325" s="80" t="str">
        <f>IFERROR(__xludf.DUMMYFUNCTION("""COMPUTED_VALUE"""),"BUMI INDAH PASUNDAN BLOK E NO.11 RT 05 RW 10, PANYINGKIRAN, INDIHIANG, TASIKMALAYA")</f>
        <v>BUMI INDAH PASUNDAN BLOK E NO.11 RT 05 RW 10, PANYINGKIRAN, INDIHIANG, TASIKMALAYA</v>
      </c>
      <c r="U1325" s="80" t="str">
        <f>IFERROR(__xludf.DUMMYFUNCTION("""COMPUTED_VALUE"""),"BUMI INDAH PASUNDAN BLOK E NO.11 RT 05 RW 10")</f>
        <v>BUMI INDAH PASUNDAN BLOK E NO.11 RT 05 RW 10</v>
      </c>
      <c r="V1325" s="80" t="str">
        <f>IFERROR(__xludf.DUMMYFUNCTION("""COMPUTED_VALUE"""),"RT 05  \ RW 10,")</f>
        <v>RT 05  \ RW 10,</v>
      </c>
      <c r="W1325" s="80" t="str">
        <f>IFERROR(__xludf.DUMMYFUNCTION("""COMPUTED_VALUE"""),"PANYINGKIRAN")</f>
        <v>PANYINGKIRAN</v>
      </c>
      <c r="X1325" s="80" t="str">
        <f>IFERROR(__xludf.DUMMYFUNCTION("""COMPUTED_VALUE"""),"INDIHIANG")</f>
        <v>INDIHIANG</v>
      </c>
      <c r="Y1325" s="80" t="str">
        <f>IFERROR(__xludf.DUMMYFUNCTION("""COMPUTED_VALUE"""),"TASIKMALAYA")</f>
        <v>TASIKMALAYA</v>
      </c>
      <c r="Z1325" s="80" t="str">
        <f>IFERROR(__xludf.DUMMYFUNCTION("""COMPUTED_VALUE"""),"JAWA BARAT")</f>
        <v>JAWA BARAT</v>
      </c>
      <c r="AA1325" s="80" t="str">
        <f>IFERROR(__xludf.DUMMYFUNCTION("""COMPUTED_VALUE"""),"46151")</f>
        <v>46151</v>
      </c>
      <c r="AB1325" s="80" t="str">
        <f>IFERROR(__xludf.DUMMYFUNCTION("""COMPUTED_VALUE"""),"3175083008810009")</f>
        <v>3175083008810009</v>
      </c>
      <c r="AC1325" s="80" t="str">
        <f>IFERROR(__xludf.DUMMYFUNCTION("""COMPUTED_VALUE"""),"54.487.588.3-403.000")</f>
        <v>54.487.588.3-403.000</v>
      </c>
      <c r="AD1325" s="80" t="str">
        <f>IFERROR(__xludf.DUMMYFUNCTION("""COMPUTED_VALUE"""),"CUM - LDI - KOPUBGBS")</f>
        <v>CUM - LDI - KOPUBGBS</v>
      </c>
      <c r="AE1325" s="80" t="str">
        <f>IFERROR(__xludf.DUMMYFUNCTION("""COMPUTED_VALUE"""),"CUM - LDI - KOPUBGBS")</f>
        <v>CUM - LDI - KOPUBGBS</v>
      </c>
      <c r="AF1325" s="80" t="str">
        <f>IFERROR(__xludf.DUMMYFUNCTION("""COMPUTED_VALUE"""),"08179915013")</f>
        <v>08179915013</v>
      </c>
      <c r="AG1325" s="80" t="str">
        <f>IFERROR(__xludf.DUMMYFUNCTION("""COMPUTED_VALUE"""),"08179915013")</f>
        <v>08179915013</v>
      </c>
      <c r="AH1325" s="80" t="str">
        <f>IFERROR(__xludf.DUMMYFUNCTION("""COMPUTED_VALUE"""),"luluk.khoiriyah@gmail.com")</f>
        <v>luluk.khoiriyah@gmail.com</v>
      </c>
      <c r="AI1325" s="80" t="str">
        <f>IFERROR(__xludf.DUMMYFUNCTION("""COMPUTED_VALUE"""),"46136S2")</f>
        <v>46136S2</v>
      </c>
      <c r="AJ1325" s="80" t="str">
        <f>IFERROR(__xludf.DUMMYFUNCTION("""COMPUTED_VALUE"""),"6a92b8b79a5689dd5608a10f")</f>
        <v>6a92b8b79a5689dd5608a10f</v>
      </c>
      <c r="AK1325" s="80" t="str">
        <f>IFERROR(__xludf.DUMMYFUNCTION("""COMPUTED_VALUE"""),"luluk.khoiriyah@gmail.com")</f>
        <v>luluk.khoiriyah@gmail.com</v>
      </c>
      <c r="AL1325" s="80" t="str">
        <f>IFERROR(__xludf.DUMMYFUNCTION("""COMPUTED_VALUE"""),"#Muc46136S2$")</f>
        <v>#Muc46136S2$</v>
      </c>
      <c r="AM1325" s="80" t="str">
        <f>IFERROR(__xludf.DUMMYFUNCTION("""COMPUTED_VALUE"""),"KANTOR REGIONAL III BANDUNG 40004")</f>
        <v>KANTOR REGIONAL III BANDUNG 40004</v>
      </c>
      <c r="AN1325" s="80" t="str">
        <f>IFERROR(__xludf.DUMMYFUNCTION("""COMPUTED_VALUE"""),"KC TASIKMALAYA 46100")</f>
        <v>KC TASIKMALAYA 46100</v>
      </c>
      <c r="AO1325" s="80" t="str">
        <f>IFERROR(__xludf.DUMMYFUNCTION("""COMPUTED_VALUE"""),"0608260354285")</f>
        <v>0608260354285</v>
      </c>
      <c r="AP1325" s="80" t="str">
        <f>IFERROR(__xludf.DUMMYFUNCTION("""COMPUTED_VALUE"""),"0608260354285")</f>
        <v>0608260354285</v>
      </c>
      <c r="AQ1325" s="83" t="str">
        <f>IFERROR(__xludf.DUMMYFUNCTION("""COMPUTED_VALUE"""),"7150445161")</f>
        <v>7150445161</v>
      </c>
      <c r="AR1325" s="80" t="str">
        <f>IFERROR(__xludf.DUMMYFUNCTION("""COMPUTED_VALUE"""),"BSI")</f>
        <v>BSI</v>
      </c>
      <c r="AS1325" s="80" t="str">
        <f>IFERROR(__xludf.DUMMYFUNCTION("""COMPUTED_VALUE"""),"LULUK KHOIRIYAH")</f>
        <v>LULUK KHOIRIYAH</v>
      </c>
      <c r="AT1325" s="80" t="str">
        <f>IFERROR(__xludf.DUMMYFUNCTION("""COMPUTED_VALUE"""),"-7.302492,108.1991976")</f>
        <v>-7.302492,108.1991976</v>
      </c>
      <c r="AU1325" s="80" t="str">
        <f>IFERROR(__xludf.DUMMYFUNCTION("""COMPUTED_VALUE"""),"-7.302492,108.1991976")</f>
        <v>-7.302492,108.1991976</v>
      </c>
      <c r="AV1325" s="80"/>
      <c r="AW1325" s="80"/>
      <c r="AX1325" s="80"/>
      <c r="AY1325" s="80"/>
      <c r="AZ1325" s="80"/>
      <c r="BA1325" s="80"/>
      <c r="BB1325" s="80"/>
      <c r="BC1325" s="80"/>
      <c r="BD1325" s="80"/>
      <c r="BE1325" s="80"/>
      <c r="BF1325" s="80"/>
      <c r="BG1325" s="80"/>
      <c r="BH1325" s="80"/>
      <c r="BI1325" s="80"/>
      <c r="BJ1325" s="80"/>
      <c r="BK1325" s="80"/>
      <c r="BL1325" s="80"/>
      <c r="BM1325" s="80"/>
      <c r="BN1325" s="80"/>
      <c r="BO1325" s="80"/>
      <c r="BP1325" s="80"/>
      <c r="BQ1325" s="80"/>
      <c r="BR1325" s="80"/>
      <c r="BS1325" s="80"/>
      <c r="BT1325" s="80"/>
      <c r="BU1325" s="80"/>
      <c r="BV1325" s="80"/>
      <c r="BW1325" s="80"/>
      <c r="BX1325" s="80"/>
      <c r="BY1325" s="80"/>
      <c r="BZ1325" s="80"/>
      <c r="CA1325" s="80"/>
      <c r="CB1325" s="80"/>
      <c r="CC1325" s="80"/>
      <c r="CD1325" s="80"/>
      <c r="CE1325" s="80"/>
      <c r="CF1325" s="80"/>
      <c r="CG1325" s="80"/>
      <c r="CH1325" s="80"/>
      <c r="CI1325" s="80"/>
      <c r="CJ1325" s="80"/>
      <c r="CK1325" s="2"/>
    </row>
    <row r="1326" ht="12.75" customHeight="1">
      <c r="A1326" s="85">
        <f>IFERROR(__xludf.DUMMYFUNCTION("""COMPUTED_VALUE"""),1322.0)</f>
        <v>1322</v>
      </c>
      <c r="B1326" s="85"/>
      <c r="C1326" s="85"/>
      <c r="D1326" s="86">
        <f>IFERROR(__xludf.DUMMYFUNCTION("""COMPUTED_VALUE"""),46244.0)</f>
        <v>46244</v>
      </c>
      <c r="E1326" s="88"/>
      <c r="F1326" s="85"/>
      <c r="G1326" s="86">
        <f>IFERROR(__xludf.DUMMYFUNCTION("""COMPUTED_VALUE"""),46275.0)</f>
        <v>46275</v>
      </c>
      <c r="H1326" s="85"/>
      <c r="I1326" s="85"/>
      <c r="J1326" s="85"/>
      <c r="K1326" s="85"/>
      <c r="L1326" s="85">
        <f>IFERROR(__xludf.DUMMYFUNCTION("""COMPUTED_VALUE"""),31.0)</f>
        <v>31</v>
      </c>
      <c r="M1326" s="85"/>
      <c r="N1326" s="85"/>
      <c r="O1326" s="85"/>
      <c r="P1326" s="85" t="str">
        <f>IFERROR(__xludf.DUMMYFUNCTION("""COMPUTED_VALUE"""),"MUCSPA70095PSAAK")</f>
        <v>MUCSPA70095PSAAK</v>
      </c>
      <c r="Q1326" s="85" t="str">
        <f>IFERROR(__xludf.DUMMYFUNCTION("""COMPUTED_VALUE"""),"MUC ILHAM JAYA")</f>
        <v>MUC ILHAM JAYA</v>
      </c>
      <c r="R1326" s="85" t="str">
        <f>IFERROR(__xludf.DUMMYFUNCTION("""COMPUTED_VALUE"""),"MUC ILHAM JAYA")</f>
        <v>MUC ILHAM JAYA</v>
      </c>
      <c r="S1326" s="85" t="str">
        <f>IFERROR(__xludf.DUMMYFUNCTION("""COMPUTED_VALUE"""),"KISTI AMINULLOH")</f>
        <v>KISTI AMINULLOH</v>
      </c>
      <c r="T1326" s="85" t="str">
        <f>IFERROR(__xludf.DUMMYFUNCTION("""COMPUTED_VALUE"""),"KP. PAJATEN RT 03 RW 02, TARUMAJAYA, KERTASARI, KAB.BANDUNG")</f>
        <v>KP. PAJATEN RT 03 RW 02, TARUMAJAYA, KERTASARI, KAB.BANDUNG</v>
      </c>
      <c r="U1326" s="85" t="str">
        <f>IFERROR(__xludf.DUMMYFUNCTION("""COMPUTED_VALUE"""),"KP. PAJATEN RT 03 RW 02")</f>
        <v>KP. PAJATEN RT 03 RW 02</v>
      </c>
      <c r="V1326" s="85" t="str">
        <f>IFERROR(__xludf.DUMMYFUNCTION("""COMPUTED_VALUE"""),"RT 03  \ RW 02,")</f>
        <v>RT 03  \ RW 02,</v>
      </c>
      <c r="W1326" s="85" t="str">
        <f>IFERROR(__xludf.DUMMYFUNCTION("""COMPUTED_VALUE"""),"TARUMAJAYA")</f>
        <v>TARUMAJAYA</v>
      </c>
      <c r="X1326" s="85" t="str">
        <f>IFERROR(__xludf.DUMMYFUNCTION("""COMPUTED_VALUE"""),"KERTASARI")</f>
        <v>KERTASARI</v>
      </c>
      <c r="Y1326" s="85" t="str">
        <f>IFERROR(__xludf.DUMMYFUNCTION("""COMPUTED_VALUE"""),"KAB.BANDUNG")</f>
        <v>KAB.BANDUNG</v>
      </c>
      <c r="Z1326" s="85" t="str">
        <f>IFERROR(__xludf.DUMMYFUNCTION("""COMPUTED_VALUE"""),"JAWA BARAT")</f>
        <v>JAWA BARAT</v>
      </c>
      <c r="AA1326" s="85" t="str">
        <f>IFERROR(__xludf.DUMMYFUNCTION("""COMPUTED_VALUE"""),"40386")</f>
        <v>40386</v>
      </c>
      <c r="AB1326" s="85" t="str">
        <f>IFERROR(__xludf.DUMMYFUNCTION("""COMPUTED_VALUE"""),"3204316504950002")</f>
        <v>3204316504950002</v>
      </c>
      <c r="AC1326" s="85" t="str">
        <f>IFERROR(__xludf.DUMMYFUNCTION("""COMPUTED_VALUE"""),"32.043.165.0-495.0002")</f>
        <v>32.043.165.0-495.0002</v>
      </c>
      <c r="AD1326" s="85" t="str">
        <f>IFERROR(__xludf.DUMMYFUNCTION("""COMPUTED_VALUE"""),"CUM - LP - ANGGI")</f>
        <v>CUM - LP - ANGGI</v>
      </c>
      <c r="AE1326" s="85" t="str">
        <f>IFERROR(__xludf.DUMMYFUNCTION("""COMPUTED_VALUE"""),"CUM - LP - ANGGI")</f>
        <v>CUM - LP - ANGGI</v>
      </c>
      <c r="AF1326" s="85" t="str">
        <f>IFERROR(__xludf.DUMMYFUNCTION("""COMPUTED_VALUE"""),"081313053011")</f>
        <v>081313053011</v>
      </c>
      <c r="AG1326" s="85" t="str">
        <f>IFERROR(__xludf.DUMMYFUNCTION("""COMPUTED_VALUE"""),"081313053011")</f>
        <v>081313053011</v>
      </c>
      <c r="AH1326" s="85" t="str">
        <f>IFERROR(__xludf.DUMMYFUNCTION("""COMPUTED_VALUE"""),"kisticepi@gmail.com")</f>
        <v>kisticepi@gmail.com</v>
      </c>
      <c r="AI1326" s="85" t="str">
        <f>IFERROR(__xludf.DUMMYFUNCTION("""COMPUTED_VALUE"""),"40386S2")</f>
        <v>40386S2</v>
      </c>
      <c r="AJ1326" s="85" t="str">
        <f>IFERROR(__xludf.DUMMYFUNCTION("""COMPUTED_VALUE"""),"6aa10547ccbb56048401abe0 ")</f>
        <v>6aa10547ccbb56048401abe0 </v>
      </c>
      <c r="AK1326" s="85" t="str">
        <f>IFERROR(__xludf.DUMMYFUNCTION("""COMPUTED_VALUE"""),"kisticepi@gmail.com")</f>
        <v>kisticepi@gmail.com</v>
      </c>
      <c r="AL1326" s="85" t="str">
        <f>IFERROR(__xludf.DUMMYFUNCTION("""COMPUTED_VALUE"""),"#Muc40386S2$")</f>
        <v>#Muc40386S2$</v>
      </c>
      <c r="AM1326" s="85" t="str">
        <f>IFERROR(__xludf.DUMMYFUNCTION("""COMPUTED_VALUE"""),"KANTOR REGIONAL III BANDUNG 40004")</f>
        <v>KANTOR REGIONAL III BANDUNG 40004</v>
      </c>
      <c r="AN1326" s="85" t="str">
        <f>IFERROR(__xludf.DUMMYFUNCTION("""COMPUTED_VALUE"""),"KC UJUNGBERUNG 40100")</f>
        <v>KC UJUNGBERUNG 40100</v>
      </c>
      <c r="AO1326" s="85" t="str">
        <f>IFERROR(__xludf.DUMMYFUNCTION("""COMPUTED_VALUE"""),"3108220057163")</f>
        <v>3108220057163</v>
      </c>
      <c r="AP1326" s="85" t="str">
        <f>IFERROR(__xludf.DUMMYFUNCTION("""COMPUTED_VALUE"""),"3108220057163")</f>
        <v>3108220057163</v>
      </c>
      <c r="AQ1326" s="93" t="str">
        <f>IFERROR(__xludf.DUMMYFUNCTION("""COMPUTED_VALUE"""),"787701008104539")</f>
        <v>787701008104539</v>
      </c>
      <c r="AR1326" s="85" t="str">
        <f>IFERROR(__xludf.DUMMYFUNCTION("""COMPUTED_VALUE"""),"BRI")</f>
        <v>BRI</v>
      </c>
      <c r="AS1326" s="85" t="str">
        <f>IFERROR(__xludf.DUMMYFUNCTION("""COMPUTED_VALUE"""),"CEPI ILHAM")</f>
        <v>CEPI ILHAM</v>
      </c>
      <c r="AT1326" s="85" t="str">
        <f>IFERROR(__xludf.DUMMYFUNCTION("""COMPUTED_VALUE"""),"-7.2050069,107.6617029")</f>
        <v>-7.2050069,107.6617029</v>
      </c>
      <c r="AU1326" s="85" t="str">
        <f>IFERROR(__xludf.DUMMYFUNCTION("""COMPUTED_VALUE"""),"-7.2050069,107.6617029")</f>
        <v>-7.2050069,107.6617029</v>
      </c>
      <c r="AV1326" s="85"/>
      <c r="AW1326" s="85"/>
      <c r="AX1326" s="85"/>
      <c r="AY1326" s="85"/>
      <c r="AZ1326" s="85"/>
      <c r="BA1326" s="85"/>
      <c r="BB1326" s="85"/>
      <c r="BC1326" s="85"/>
      <c r="BD1326" s="85"/>
      <c r="BE1326" s="85"/>
      <c r="BF1326" s="85"/>
      <c r="BG1326" s="85"/>
      <c r="BH1326" s="85"/>
      <c r="BI1326" s="85"/>
      <c r="BJ1326" s="85"/>
      <c r="BK1326" s="85"/>
      <c r="BL1326" s="85"/>
      <c r="BM1326" s="85"/>
      <c r="BN1326" s="85"/>
      <c r="BO1326" s="85"/>
      <c r="BP1326" s="85"/>
      <c r="BQ1326" s="85"/>
      <c r="BR1326" s="85"/>
      <c r="BS1326" s="85"/>
      <c r="BT1326" s="85"/>
      <c r="BU1326" s="85"/>
      <c r="BV1326" s="85"/>
      <c r="BW1326" s="85"/>
      <c r="BX1326" s="85"/>
      <c r="BY1326" s="85"/>
      <c r="BZ1326" s="85"/>
      <c r="CA1326" s="85"/>
      <c r="CB1326" s="85"/>
      <c r="CC1326" s="85"/>
      <c r="CD1326" s="85"/>
      <c r="CE1326" s="85"/>
      <c r="CF1326" s="85"/>
      <c r="CG1326" s="85"/>
      <c r="CH1326" s="85"/>
      <c r="CI1326" s="85"/>
      <c r="CJ1326" s="85"/>
      <c r="CK1326" s="2"/>
    </row>
    <row r="1327" ht="12.75" customHeight="1">
      <c r="A1327" s="80">
        <f>IFERROR(__xludf.DUMMYFUNCTION("""COMPUTED_VALUE"""),1323.0)</f>
        <v>1323</v>
      </c>
      <c r="B1327" s="80"/>
      <c r="C1327" s="80"/>
      <c r="D1327" s="81">
        <f>IFERROR(__xludf.DUMMYFUNCTION("""COMPUTED_VALUE"""),46244.0)</f>
        <v>46244</v>
      </c>
      <c r="E1327" s="82"/>
      <c r="F1327" s="80"/>
      <c r="G1327" s="81">
        <f>IFERROR(__xludf.DUMMYFUNCTION("""COMPUTED_VALUE"""),46275.0)</f>
        <v>46275</v>
      </c>
      <c r="H1327" s="80"/>
      <c r="I1327" s="80"/>
      <c r="J1327" s="80"/>
      <c r="K1327" s="80"/>
      <c r="L1327" s="80">
        <f>IFERROR(__xludf.DUMMYFUNCTION("""COMPUTED_VALUE"""),31.0)</f>
        <v>31</v>
      </c>
      <c r="M1327" s="80"/>
      <c r="N1327" s="80"/>
      <c r="O1327" s="80"/>
      <c r="P1327" s="80" t="str">
        <f>IFERROR(__xludf.DUMMYFUNCTION("""COMPUTED_VALUE"""),"MUCSPA70088PSLDI")</f>
        <v>MUCSPA70088PSLDI</v>
      </c>
      <c r="Q1327" s="80" t="str">
        <f>IFERROR(__xludf.DUMMYFUNCTION("""COMPUTED_VALUE"""),"MUC MUTIARA BAROKAH 354")</f>
        <v>MUC MUTIARA BAROKAH 354</v>
      </c>
      <c r="R1327" s="80" t="str">
        <f>IFERROR(__xludf.DUMMYFUNCTION("""COMPUTED_VALUE"""),"MUC MUTIARA BAROKAH 354")</f>
        <v>MUC MUTIARA BAROKAH 354</v>
      </c>
      <c r="S1327" s="80" t="str">
        <f>IFERROR(__xludf.DUMMYFUNCTION("""COMPUTED_VALUE"""),"ASEP ZULKARNAEN")</f>
        <v>ASEP ZULKARNAEN</v>
      </c>
      <c r="T1327" s="80" t="str">
        <f>IFERROR(__xludf.DUMMYFUNCTION("""COMPUTED_VALUE"""),"KBSI BLOK. K1 NO. 1 RT. 002 RW. 011 GUNUNGLEUTIK CIPARAY KAB. BANDUNG JAWA BARAT")</f>
        <v>KBSI BLOK. K1 NO. 1 RT. 002 RW. 011 GUNUNGLEUTIK CIPARAY KAB. BANDUNG JAWA BARAT</v>
      </c>
      <c r="U1327" s="80" t="str">
        <f>IFERROR(__xludf.DUMMYFUNCTION("""COMPUTED_VALUE"""),"JL.Raya Pacet No.188 RT 02 RW 20 (samping SMAN 1 CIPARAY)")</f>
        <v>JL.Raya Pacet No.188 RT 02 RW 20 (samping SMAN 1 CIPARAY)</v>
      </c>
      <c r="V1327" s="80" t="str">
        <f>IFERROR(__xludf.DUMMYFUNCTION("""COMPUTED_VALUE"""),"RT. 00 \ RW. 01")</f>
        <v>RT. 00 \ RW. 01</v>
      </c>
      <c r="W1327" s="80" t="str">
        <f>IFERROR(__xludf.DUMMYFUNCTION("""COMPUTED_VALUE"""),"Pakutandang")</f>
        <v>Pakutandang</v>
      </c>
      <c r="X1327" s="80" t="str">
        <f>IFERROR(__xludf.DUMMYFUNCTION("""COMPUTED_VALUE"""),"Ciparay")</f>
        <v>Ciparay</v>
      </c>
      <c r="Y1327" s="80" t="str">
        <f>IFERROR(__xludf.DUMMYFUNCTION("""COMPUTED_VALUE"""),"Kab.Bandung")</f>
        <v>Kab.Bandung</v>
      </c>
      <c r="Z1327" s="80" t="str">
        <f>IFERROR(__xludf.DUMMYFUNCTION("""COMPUTED_VALUE"""),"Jawa Barat")</f>
        <v>Jawa Barat</v>
      </c>
      <c r="AA1327" s="80" t="str">
        <f>IFERROR(__xludf.DUMMYFUNCTION("""COMPUTED_VALUE"""),"40381")</f>
        <v>40381</v>
      </c>
      <c r="AB1327" s="80" t="str">
        <f>IFERROR(__xludf.DUMMYFUNCTION("""COMPUTED_VALUE"""),"3204292909890014")</f>
        <v>3204292909890014</v>
      </c>
      <c r="AC1327" s="80" t="str">
        <f>IFERROR(__xludf.DUMMYFUNCTION("""COMPUTED_VALUE"""),"41.914.034.8-444.000")</f>
        <v>41.914.034.8-444.000</v>
      </c>
      <c r="AD1327" s="80" t="str">
        <f>IFERROR(__xludf.DUMMYFUNCTION("""COMPUTED_VALUE"""),"CUM - LDI - KOPUBGBS")</f>
        <v>CUM - LDI - KOPUBGBS</v>
      </c>
      <c r="AE1327" s="80" t="str">
        <f>IFERROR(__xludf.DUMMYFUNCTION("""COMPUTED_VALUE"""),"CUM - LDI - KOPUBGBS")</f>
        <v>CUM - LDI - KOPUBGBS</v>
      </c>
      <c r="AF1327" s="80" t="str">
        <f>IFERROR(__xludf.DUMMYFUNCTION("""COMPUTED_VALUE"""),"081214701757")</f>
        <v>081214701757</v>
      </c>
      <c r="AG1327" s="80" t="str">
        <f>IFERROR(__xludf.DUMMYFUNCTION("""COMPUTED_VALUE"""),"081214701757")</f>
        <v>081214701757</v>
      </c>
      <c r="AH1327" s="80" t="str">
        <f>IFERROR(__xludf.DUMMYFUNCTION("""COMPUTED_VALUE"""),"mutiarazunnurain123@gmail.com")</f>
        <v>mutiarazunnurain123@gmail.com</v>
      </c>
      <c r="AI1327" s="80" t="str">
        <f>IFERROR(__xludf.DUMMYFUNCTION("""COMPUTED_VALUE"""),"40381S5 ")</f>
        <v>40381S5 </v>
      </c>
      <c r="AJ1327" s="80" t="str">
        <f>IFERROR(__xludf.DUMMYFUNCTION("""COMPUTED_VALUE"""),"6aa2332090c24abe4006e4fd ")</f>
        <v>6aa2332090c24abe4006e4fd </v>
      </c>
      <c r="AK1327" s="80" t="str">
        <f>IFERROR(__xludf.DUMMYFUNCTION("""COMPUTED_VALUE"""),"mutiarazunnurain123@gmail.com")</f>
        <v>mutiarazunnurain123@gmail.com</v>
      </c>
      <c r="AL1327" s="80" t="str">
        <f>IFERROR(__xludf.DUMMYFUNCTION("""COMPUTED_VALUE"""),"#Muc40381S5$")</f>
        <v>#Muc40381S5$</v>
      </c>
      <c r="AM1327" s="80" t="str">
        <f>IFERROR(__xludf.DUMMYFUNCTION("""COMPUTED_VALUE"""),"KANTOR REGIONAL III BANDUNG 40004")</f>
        <v>KANTOR REGIONAL III BANDUNG 40004</v>
      </c>
      <c r="AN1327" s="80" t="str">
        <f>IFERROR(__xludf.DUMMYFUNCTION("""COMPUTED_VALUE"""),"KC UJUNGBERUNG 40100")</f>
        <v>KC UJUNGBERUNG 40100</v>
      </c>
      <c r="AO1327" s="80" t="str">
        <f>IFERROR(__xludf.DUMMYFUNCTION("""COMPUTED_VALUE"""),"1008260046746")</f>
        <v>1008260046746</v>
      </c>
      <c r="AP1327" s="80" t="str">
        <f>IFERROR(__xludf.DUMMYFUNCTION("""COMPUTED_VALUE"""),"1008260046746")</f>
        <v>1008260046746</v>
      </c>
      <c r="AQ1327" s="83" t="str">
        <f>IFERROR(__xludf.DUMMYFUNCTION("""COMPUTED_VALUE"""),"3761349498")</f>
        <v>3761349498</v>
      </c>
      <c r="AR1327" s="80" t="str">
        <f>IFERROR(__xludf.DUMMYFUNCTION("""COMPUTED_VALUE"""),"BCA")</f>
        <v>BCA</v>
      </c>
      <c r="AS1327" s="80" t="str">
        <f>IFERROR(__xludf.DUMMYFUNCTION("""COMPUTED_VALUE"""),"ASEP ZULKARNAEN")</f>
        <v>ASEP ZULKARNAEN</v>
      </c>
      <c r="AT1327" s="80" t="str">
        <f>IFERROR(__xludf.DUMMYFUNCTION("""COMPUTED_VALUE"""),"-7.0540239,107.709555")</f>
        <v>-7.0540239,107.709555</v>
      </c>
      <c r="AU1327" s="80" t="str">
        <f>IFERROR(__xludf.DUMMYFUNCTION("""COMPUTED_VALUE"""),"-7.0540239,107.709555")</f>
        <v>-7.0540239,107.709555</v>
      </c>
      <c r="AV1327" s="80"/>
      <c r="AW1327" s="80"/>
      <c r="AX1327" s="80"/>
      <c r="AY1327" s="80"/>
      <c r="AZ1327" s="80"/>
      <c r="BA1327" s="80"/>
      <c r="BB1327" s="80"/>
      <c r="BC1327" s="80"/>
      <c r="BD1327" s="80"/>
      <c r="BE1327" s="80"/>
      <c r="BF1327" s="80"/>
      <c r="BG1327" s="80"/>
      <c r="BH1327" s="80"/>
      <c r="BI1327" s="80"/>
      <c r="BJ1327" s="80"/>
      <c r="BK1327" s="80"/>
      <c r="BL1327" s="80"/>
      <c r="BM1327" s="80"/>
      <c r="BN1327" s="80"/>
      <c r="BO1327" s="80"/>
      <c r="BP1327" s="80"/>
      <c r="BQ1327" s="80"/>
      <c r="BR1327" s="80"/>
      <c r="BS1327" s="80"/>
      <c r="BT1327" s="80"/>
      <c r="BU1327" s="80"/>
      <c r="BV1327" s="80"/>
      <c r="BW1327" s="80"/>
      <c r="BX1327" s="80"/>
      <c r="BY1327" s="80"/>
      <c r="BZ1327" s="80"/>
      <c r="CA1327" s="80"/>
      <c r="CB1327" s="80"/>
      <c r="CC1327" s="80"/>
      <c r="CD1327" s="80"/>
      <c r="CE1327" s="80"/>
      <c r="CF1327" s="80"/>
      <c r="CG1327" s="80"/>
      <c r="CH1327" s="80"/>
      <c r="CI1327" s="80"/>
      <c r="CJ1327" s="80"/>
      <c r="CK1327" s="2"/>
    </row>
    <row r="1328" ht="12.75" customHeight="1">
      <c r="A1328" s="85">
        <f>IFERROR(__xludf.DUMMYFUNCTION("""COMPUTED_VALUE"""),1324.0)</f>
        <v>1324</v>
      </c>
      <c r="B1328" s="85"/>
      <c r="C1328" s="85"/>
      <c r="D1328" s="86">
        <f>IFERROR(__xludf.DUMMYFUNCTION("""COMPUTED_VALUE"""),46245.0)</f>
        <v>46245</v>
      </c>
      <c r="E1328" s="88"/>
      <c r="F1328" s="85"/>
      <c r="G1328" s="86">
        <f>IFERROR(__xludf.DUMMYFUNCTION("""COMPUTED_VALUE"""),46266.0)</f>
        <v>46266</v>
      </c>
      <c r="H1328" s="85"/>
      <c r="I1328" s="85"/>
      <c r="J1328" s="85"/>
      <c r="K1328" s="85"/>
      <c r="L1328" s="85">
        <f>IFERROR(__xludf.DUMMYFUNCTION("""COMPUTED_VALUE"""),21.0)</f>
        <v>21</v>
      </c>
      <c r="M1328" s="85"/>
      <c r="N1328" s="85"/>
      <c r="O1328" s="85"/>
      <c r="P1328" s="85" t="str">
        <f>IFERROR(__xludf.DUMMYFUNCTION("""COMPUTED_VALUE"""),"MUCSPA70049PSUMK")</f>
        <v>MUCSPA70049PSUMK</v>
      </c>
      <c r="Q1328" s="85" t="str">
        <f>IFERROR(__xludf.DUMMYFUNCTION("""COMPUTED_VALUE"""),"MUC TCI CENTER")</f>
        <v>MUC TCI CENTER</v>
      </c>
      <c r="R1328" s="85" t="str">
        <f>IFERROR(__xludf.DUMMYFUNCTION("""COMPUTED_VALUE"""),"MUC TCI CENTER")</f>
        <v>MUC TCI CENTER</v>
      </c>
      <c r="S1328" s="85" t="str">
        <f>IFERROR(__xludf.DUMMYFUNCTION("""COMPUTED_VALUE"""),"FERDINAND HALOMOAN SIANTURI")</f>
        <v>FERDINAND HALOMOAN SIANTURI</v>
      </c>
      <c r="T1328" s="85" t="str">
        <f>IFERROR(__xludf.DUMMYFUNCTION("""COMPUTED_VALUE"""),"JL. BANDA NO. 15 RT 02 RW 01, CITARUM, BANDUNG WETAN, BANDUNG")</f>
        <v>JL. BANDA NO. 15 RT 02 RW 01, CITARUM, BANDUNG WETAN, BANDUNG</v>
      </c>
      <c r="U1328" s="85" t="str">
        <f>IFERROR(__xludf.DUMMYFUNCTION("""COMPUTED_VALUE"""),"JL. Taman Cibaduyut Indah 2 Blok D2 NO.44")</f>
        <v>JL. Taman Cibaduyut Indah 2 Blok D2 NO.44</v>
      </c>
      <c r="V1328" s="85" t="str">
        <f>IFERROR(__xludf.DUMMYFUNCTION("""COMPUTED_VALUE"""),"RT 02  \ RW 01,")</f>
        <v>RT 02  \ RW 01,</v>
      </c>
      <c r="W1328" s="85" t="str">
        <f>IFERROR(__xludf.DUMMYFUNCTION("""COMPUTED_VALUE"""),"CANGKUANG WETAN")</f>
        <v>CANGKUANG WETAN</v>
      </c>
      <c r="X1328" s="85" t="str">
        <f>IFERROR(__xludf.DUMMYFUNCTION("""COMPUTED_VALUE"""),"DAYEUH KOLOT")</f>
        <v>DAYEUH KOLOT</v>
      </c>
      <c r="Y1328" s="85" t="str">
        <f>IFERROR(__xludf.DUMMYFUNCTION("""COMPUTED_VALUE"""),"KAB.BANDUNG")</f>
        <v>KAB.BANDUNG</v>
      </c>
      <c r="Z1328" s="85" t="str">
        <f>IFERROR(__xludf.DUMMYFUNCTION("""COMPUTED_VALUE"""),"JAWA BARAT")</f>
        <v>JAWA BARAT</v>
      </c>
      <c r="AA1328" s="85" t="str">
        <f>IFERROR(__xludf.DUMMYFUNCTION("""COMPUTED_VALUE"""),"40258")</f>
        <v>40258</v>
      </c>
      <c r="AB1328" s="85" t="str">
        <f>IFERROR(__xludf.DUMMYFUNCTION("""COMPUTED_VALUE"""),"1601140201970007")</f>
        <v>1601140201970007</v>
      </c>
      <c r="AC1328" s="85" t="str">
        <f>IFERROR(__xludf.DUMMYFUNCTION("""COMPUTED_VALUE"""),"39.111.198.6-302.000")</f>
        <v>39.111.198.6-302.000</v>
      </c>
      <c r="AD1328" s="85" t="str">
        <f>IFERROR(__xludf.DUMMYFUNCTION("""COMPUTED_VALUE"""),"CUM - UMKMNK - ASEP")</f>
        <v>CUM - UMKMNK - ASEP</v>
      </c>
      <c r="AE1328" s="85" t="str">
        <f>IFERROR(__xludf.DUMMYFUNCTION("""COMPUTED_VALUE"""),"CUM - UMKMNK - ASEP")</f>
        <v>CUM - UMKMNK - ASEP</v>
      </c>
      <c r="AF1328" s="85" t="str">
        <f>IFERROR(__xludf.DUMMYFUNCTION("""COMPUTED_VALUE"""),"087796294561")</f>
        <v>087796294561</v>
      </c>
      <c r="AG1328" s="85" t="str">
        <f>IFERROR(__xludf.DUMMYFUNCTION("""COMPUTED_VALUE"""),"087796294561")</f>
        <v>087796294561</v>
      </c>
      <c r="AH1328" s="85" t="str">
        <f>IFERROR(__xludf.DUMMYFUNCTION("""COMPUTED_VALUE"""),"ferdinandhalomoansianturi@gmail.com")</f>
        <v>ferdinandhalomoansianturi@gmail.com</v>
      </c>
      <c r="AI1328" s="85" t="str">
        <f>IFERROR(__xludf.DUMMYFUNCTION("""COMPUTED_VALUE"""),"40239S1")</f>
        <v>40239S1</v>
      </c>
      <c r="AJ1328" s="85" t="str">
        <f>IFERROR(__xludf.DUMMYFUNCTION("""COMPUTED_VALUE"""),"6a96587645c01acb8e067ca9")</f>
        <v>6a96587645c01acb8e067ca9</v>
      </c>
      <c r="AK1328" s="85" t="str">
        <f>IFERROR(__xludf.DUMMYFUNCTION("""COMPUTED_VALUE"""),"ferdinandhalomoansianturi@gmail.com")</f>
        <v>ferdinandhalomoansianturi@gmail.com</v>
      </c>
      <c r="AL1328" s="85" t="str">
        <f>IFERROR(__xludf.DUMMYFUNCTION("""COMPUTED_VALUE"""),"#Muc40239S1$")</f>
        <v>#Muc40239S1$</v>
      </c>
      <c r="AM1328" s="85" t="str">
        <f>IFERROR(__xludf.DUMMYFUNCTION("""COMPUTED_VALUE"""),"KANTOR REGIONAL III BANDUNG 40004")</f>
        <v>KANTOR REGIONAL III BANDUNG 40004</v>
      </c>
      <c r="AN1328" s="85" t="str">
        <f>IFERROR(__xludf.DUMMYFUNCTION("""COMPUTED_VALUE"""),"KCU BANDUNG 40000")</f>
        <v>KCU BANDUNG 40000</v>
      </c>
      <c r="AO1328" s="85" t="str">
        <f>IFERROR(__xludf.DUMMYFUNCTION("""COMPUTED_VALUE"""),"0308260060428")</f>
        <v>0308260060428</v>
      </c>
      <c r="AP1328" s="85" t="str">
        <f>IFERROR(__xludf.DUMMYFUNCTION("""COMPUTED_VALUE"""),"0308260060428")</f>
        <v>0308260060428</v>
      </c>
      <c r="AQ1328" s="93" t="str">
        <f>IFERROR(__xludf.DUMMYFUNCTION("""COMPUTED_VALUE"""),"7772356865")</f>
        <v>7772356865</v>
      </c>
      <c r="AR1328" s="85" t="str">
        <f>IFERROR(__xludf.DUMMYFUNCTION("""COMPUTED_VALUE"""),"BCA")</f>
        <v>BCA</v>
      </c>
      <c r="AS1328" s="85" t="str">
        <f>IFERROR(__xludf.DUMMYFUNCTION("""COMPUTED_VALUE"""),"FERDINAND HALOMOAN SIANTURI")</f>
        <v>FERDINAND HALOMOAN SIANTURI</v>
      </c>
      <c r="AT1328" s="85" t="str">
        <f>IFERROR(__xludf.DUMMYFUNCTION("""COMPUTED_VALUE"""),"-6.9683738,107.6046111")</f>
        <v>-6.9683738,107.6046111</v>
      </c>
      <c r="AU1328" s="85" t="str">
        <f>IFERROR(__xludf.DUMMYFUNCTION("""COMPUTED_VALUE"""),"-6.9683738,107.6046111")</f>
        <v>-6.9683738,107.6046111</v>
      </c>
      <c r="AV1328" s="85"/>
      <c r="AW1328" s="85"/>
      <c r="AX1328" s="85"/>
      <c r="AY1328" s="85"/>
      <c r="AZ1328" s="85"/>
      <c r="BA1328" s="85"/>
      <c r="BB1328" s="85"/>
      <c r="BC1328" s="85"/>
      <c r="BD1328" s="85"/>
      <c r="BE1328" s="85"/>
      <c r="BF1328" s="85"/>
      <c r="BG1328" s="85"/>
      <c r="BH1328" s="85"/>
      <c r="BI1328" s="85"/>
      <c r="BJ1328" s="85"/>
      <c r="BK1328" s="85"/>
      <c r="BL1328" s="85"/>
      <c r="BM1328" s="85"/>
      <c r="BN1328" s="85"/>
      <c r="BO1328" s="85"/>
      <c r="BP1328" s="85"/>
      <c r="BQ1328" s="85"/>
      <c r="BR1328" s="85"/>
      <c r="BS1328" s="85"/>
      <c r="BT1328" s="85"/>
      <c r="BU1328" s="85"/>
      <c r="BV1328" s="85"/>
      <c r="BW1328" s="85"/>
      <c r="BX1328" s="85"/>
      <c r="BY1328" s="85"/>
      <c r="BZ1328" s="85"/>
      <c r="CA1328" s="85"/>
      <c r="CB1328" s="85"/>
      <c r="CC1328" s="85"/>
      <c r="CD1328" s="85"/>
      <c r="CE1328" s="85"/>
      <c r="CF1328" s="85"/>
      <c r="CG1328" s="85"/>
      <c r="CH1328" s="85"/>
      <c r="CI1328" s="85"/>
      <c r="CJ1328" s="85"/>
      <c r="CK1328" s="2"/>
    </row>
    <row r="1329" ht="12.75" customHeight="1">
      <c r="A1329" s="80">
        <f>IFERROR(__xludf.DUMMYFUNCTION("""COMPUTED_VALUE"""),1325.0)</f>
        <v>1325</v>
      </c>
      <c r="B1329" s="80"/>
      <c r="C1329" s="80"/>
      <c r="D1329" s="81">
        <f>IFERROR(__xludf.DUMMYFUNCTION("""COMPUTED_VALUE"""),46245.0)</f>
        <v>46245</v>
      </c>
      <c r="E1329" s="82"/>
      <c r="F1329" s="80"/>
      <c r="G1329" s="81">
        <f>IFERROR(__xludf.DUMMYFUNCTION("""COMPUTED_VALUE"""),46275.0)</f>
        <v>46275</v>
      </c>
      <c r="H1329" s="80"/>
      <c r="I1329" s="80"/>
      <c r="J1329" s="80"/>
      <c r="K1329" s="80"/>
      <c r="L1329" s="80">
        <f>IFERROR(__xludf.DUMMYFUNCTION("""COMPUTED_VALUE"""),30.0)</f>
        <v>30</v>
      </c>
      <c r="M1329" s="80"/>
      <c r="N1329" s="80"/>
      <c r="O1329" s="80"/>
      <c r="P1329" s="80" t="str">
        <f>IFERROR(__xludf.DUMMYFUNCTION("""COMPUTED_VALUE"""),"MUCSPA70096PSAAK")</f>
        <v>MUCSPA70096PSAAK</v>
      </c>
      <c r="Q1329" s="80" t="str">
        <f>IFERROR(__xludf.DUMMYFUNCTION("""COMPUTED_VALUE"""),"MUC TERUSAN PASIRKOJA")</f>
        <v>MUC TERUSAN PASIRKOJA</v>
      </c>
      <c r="R1329" s="80" t="str">
        <f>IFERROR(__xludf.DUMMYFUNCTION("""COMPUTED_VALUE"""),"MUC TERUSAN PASIRKOJA")</f>
        <v>MUC TERUSAN PASIRKOJA</v>
      </c>
      <c r="S1329" s="80" t="str">
        <f>IFERROR(__xludf.DUMMYFUNCTION("""COMPUTED_VALUE"""),"MICHAEL")</f>
        <v>MICHAEL</v>
      </c>
      <c r="T1329" s="80" t="str">
        <f>IFERROR(__xludf.DUMMYFUNCTION("""COMPUTED_VALUE"""),"Taman Holis II C.3 No.19 RT 003 RW 014, Cigondewah Kaler, Bandung Kulon")</f>
        <v>Taman Holis II C.3 No.19 RT 003 RW 014, Cigondewah Kaler, Bandung Kulon</v>
      </c>
      <c r="U1329" s="80" t="str">
        <f>IFERROR(__xludf.DUMMYFUNCTION("""COMPUTED_VALUE"""),"Jl Terusan Pasirkoja No.269")</f>
        <v>Jl Terusan Pasirkoja No.269</v>
      </c>
      <c r="V1329" s="80" t="str">
        <f>IFERROR(__xludf.DUMMYFUNCTION("""COMPUTED_VALUE"""),"RT 003 \ RW 014")</f>
        <v>RT 003 \ RW 014</v>
      </c>
      <c r="W1329" s="80" t="str">
        <f>IFERROR(__xludf.DUMMYFUNCTION("""COMPUTED_VALUE"""),"Sukahaji")</f>
        <v>Sukahaji</v>
      </c>
      <c r="X1329" s="80" t="str">
        <f>IFERROR(__xludf.DUMMYFUNCTION("""COMPUTED_VALUE"""),"Babakan Ciparay")</f>
        <v>Babakan Ciparay</v>
      </c>
      <c r="Y1329" s="80" t="str">
        <f>IFERROR(__xludf.DUMMYFUNCTION("""COMPUTED_VALUE"""),"Bandung")</f>
        <v>Bandung</v>
      </c>
      <c r="Z1329" s="80" t="str">
        <f>IFERROR(__xludf.DUMMYFUNCTION("""COMPUTED_VALUE"""),"Jawa Barat")</f>
        <v>Jawa Barat</v>
      </c>
      <c r="AA1329" s="80" t="str">
        <f>IFERROR(__xludf.DUMMYFUNCTION("""COMPUTED_VALUE"""),"40221")</f>
        <v>40221</v>
      </c>
      <c r="AB1329" s="80" t="str">
        <f>IFERROR(__xludf.DUMMYFUNCTION("""COMPUTED_VALUE"""),"3273032707030001")</f>
        <v>3273032707030001</v>
      </c>
      <c r="AC1329" s="80" t="str">
        <f>IFERROR(__xludf.DUMMYFUNCTION("""COMPUTED_VALUE"""),"32.730.327.0-703.0001")</f>
        <v>32.730.327.0-703.0001</v>
      </c>
      <c r="AD1329" s="80" t="str">
        <f>IFERROR(__xludf.DUMMYFUNCTION("""COMPUTED_VALUE"""),"CUM - LP - ANGGI")</f>
        <v>CUM - LP - ANGGI</v>
      </c>
      <c r="AE1329" s="80" t="str">
        <f>IFERROR(__xludf.DUMMYFUNCTION("""COMPUTED_VALUE"""),"CUM - LP - ANGGI")</f>
        <v>CUM - LP - ANGGI</v>
      </c>
      <c r="AF1329" s="80" t="str">
        <f>IFERROR(__xludf.DUMMYFUNCTION("""COMPUTED_VALUE"""),"08131713130")</f>
        <v>08131713130</v>
      </c>
      <c r="AG1329" s="80" t="str">
        <f>IFERROR(__xludf.DUMMYFUNCTION("""COMPUTED_VALUE"""),"08131713130")</f>
        <v>08131713130</v>
      </c>
      <c r="AH1329" s="80" t="str">
        <f>IFERROR(__xludf.DUMMYFUNCTION("""COMPUTED_VALUE"""),"msontana3@gmail.com")</f>
        <v>msontana3@gmail.com</v>
      </c>
      <c r="AI1329" s="80" t="str">
        <f>IFERROR(__xludf.DUMMYFUNCTION("""COMPUTED_VALUE"""),"40221S1 ")</f>
        <v>40221S1 </v>
      </c>
      <c r="AJ1329" s="80" t="str">
        <f>IFERROR(__xludf.DUMMYFUNCTION("""COMPUTED_VALUE"""),"6aa0d43dbb576cfe91098d53 ")</f>
        <v>6aa0d43dbb576cfe91098d53 </v>
      </c>
      <c r="AK1329" s="80" t="str">
        <f>IFERROR(__xludf.DUMMYFUNCTION("""COMPUTED_VALUE"""),"msontana3@gmail.com")</f>
        <v>msontana3@gmail.com</v>
      </c>
      <c r="AL1329" s="80" t="str">
        <f>IFERROR(__xludf.DUMMYFUNCTION("""COMPUTED_VALUE"""),"#Muc40221S1$")</f>
        <v>#Muc40221S1$</v>
      </c>
      <c r="AM1329" s="80" t="str">
        <f>IFERROR(__xludf.DUMMYFUNCTION("""COMPUTED_VALUE"""),"KANTOR REGIONAL III BANDUNG 40004")</f>
        <v>KANTOR REGIONAL III BANDUNG 40004</v>
      </c>
      <c r="AN1329" s="80" t="str">
        <f>IFERROR(__xludf.DUMMYFUNCTION("""COMPUTED_VALUE"""),"KCU BANDUNG 40000")</f>
        <v>KCU BANDUNG 40000</v>
      </c>
      <c r="AO1329" s="80" t="str">
        <f>IFERROR(__xludf.DUMMYFUNCTION("""COMPUTED_VALUE"""),"0708260072283")</f>
        <v>0708260072283</v>
      </c>
      <c r="AP1329" s="80" t="str">
        <f>IFERROR(__xludf.DUMMYFUNCTION("""COMPUTED_VALUE"""),"0708260072283")</f>
        <v>0708260072283</v>
      </c>
      <c r="AQ1329" s="83" t="str">
        <f>IFERROR(__xludf.DUMMYFUNCTION("""COMPUTED_VALUE"""),"3790676474")</f>
        <v>3790676474</v>
      </c>
      <c r="AR1329" s="80" t="str">
        <f>IFERROR(__xludf.DUMMYFUNCTION("""COMPUTED_VALUE"""),"BCA")</f>
        <v>BCA</v>
      </c>
      <c r="AS1329" s="80" t="str">
        <f>IFERROR(__xludf.DUMMYFUNCTION("""COMPUTED_VALUE"""),"MICHAEL")</f>
        <v>MICHAEL</v>
      </c>
      <c r="AT1329" s="80" t="str">
        <f>IFERROR(__xludf.DUMMYFUNCTION("""COMPUTED_VALUE"""),"-6.9280006,107.5845682")</f>
        <v>-6.9280006,107.5845682</v>
      </c>
      <c r="AU1329" s="80" t="str">
        <f>IFERROR(__xludf.DUMMYFUNCTION("""COMPUTED_VALUE"""),"-6.9280006,107.5845682")</f>
        <v>-6.9280006,107.5845682</v>
      </c>
      <c r="AV1329" s="80"/>
      <c r="AW1329" s="80"/>
      <c r="AX1329" s="80"/>
      <c r="AY1329" s="80"/>
      <c r="AZ1329" s="80"/>
      <c r="BA1329" s="80"/>
      <c r="BB1329" s="80"/>
      <c r="BC1329" s="80"/>
      <c r="BD1329" s="80"/>
      <c r="BE1329" s="80"/>
      <c r="BF1329" s="80"/>
      <c r="BG1329" s="80"/>
      <c r="BH1329" s="80"/>
      <c r="BI1329" s="80"/>
      <c r="BJ1329" s="80"/>
      <c r="BK1329" s="80"/>
      <c r="BL1329" s="80"/>
      <c r="BM1329" s="80"/>
      <c r="BN1329" s="80"/>
      <c r="BO1329" s="80"/>
      <c r="BP1329" s="80"/>
      <c r="BQ1329" s="80"/>
      <c r="BR1329" s="80"/>
      <c r="BS1329" s="80"/>
      <c r="BT1329" s="80"/>
      <c r="BU1329" s="80"/>
      <c r="BV1329" s="80"/>
      <c r="BW1329" s="80"/>
      <c r="BX1329" s="80"/>
      <c r="BY1329" s="80"/>
      <c r="BZ1329" s="80"/>
      <c r="CA1329" s="80"/>
      <c r="CB1329" s="80"/>
      <c r="CC1329" s="80"/>
      <c r="CD1329" s="80"/>
      <c r="CE1329" s="80"/>
      <c r="CF1329" s="80"/>
      <c r="CG1329" s="80"/>
      <c r="CH1329" s="80"/>
      <c r="CI1329" s="80"/>
      <c r="CJ1329" s="80"/>
      <c r="CK1329" s="2"/>
    </row>
    <row r="1330" ht="12.75" customHeight="1">
      <c r="A1330" s="85">
        <f>IFERROR(__xludf.DUMMYFUNCTION("""COMPUTED_VALUE"""),1326.0)</f>
        <v>1326</v>
      </c>
      <c r="B1330" s="85"/>
      <c r="C1330" s="85"/>
      <c r="D1330" s="86">
        <f>IFERROR(__xludf.DUMMYFUNCTION("""COMPUTED_VALUE"""),46245.0)</f>
        <v>46245</v>
      </c>
      <c r="E1330" s="88"/>
      <c r="F1330" s="85"/>
      <c r="G1330" s="86"/>
      <c r="H1330" s="85"/>
      <c r="I1330" s="85"/>
      <c r="J1330" s="85"/>
      <c r="K1330" s="85"/>
      <c r="L1330" s="85"/>
      <c r="M1330" s="85"/>
      <c r="N1330" s="85"/>
      <c r="O1330" s="85"/>
      <c r="P1330" s="85" t="str">
        <f>IFERROR(__xludf.DUMMYFUNCTION("""COMPUTED_VALUE"""),"MUCSPA70050PSUMK")</f>
        <v>MUCSPA70050PSUMK</v>
      </c>
      <c r="Q1330" s="85" t="str">
        <f>IFERROR(__xludf.DUMMYFUNCTION("""COMPUTED_VALUE"""),"MUC EWID JAYA EXPRESS")</f>
        <v>MUC EWID JAYA EXPRESS</v>
      </c>
      <c r="R1330" s="85" t="str">
        <f>IFERROR(__xludf.DUMMYFUNCTION("""COMPUTED_VALUE"""),"MUC EWID JAYA EXPRESS")</f>
        <v>MUC EWID JAYA EXPRESS</v>
      </c>
      <c r="S1330" s="85" t="str">
        <f>IFERROR(__xludf.DUMMYFUNCTION("""COMPUTED_VALUE"""),"ELLY WIDYAWATI")</f>
        <v>ELLY WIDYAWATI</v>
      </c>
      <c r="T1330" s="85" t="str">
        <f>IFERROR(__xludf.DUMMYFUNCTION("""COMPUTED_VALUE"""),"DS. BLURU KIDUL RT 002 RW 004 BLURUKIDUL SIDOARJO, KAB.SIDOARJO JATIM")</f>
        <v>DS. BLURU KIDUL RT 002 RW 004 BLURUKIDUL SIDOARJO, KAB.SIDOARJO JATIM</v>
      </c>
      <c r="U1330" s="85" t="str">
        <f>IFERROR(__xludf.DUMMYFUNCTION("""COMPUTED_VALUE"""),"BLURU KIDUL RT 02 RW 04 SIDOARJO JATIM")</f>
        <v>BLURU KIDUL RT 02 RW 04 SIDOARJO JATIM</v>
      </c>
      <c r="V1330" s="85" t="str">
        <f>IFERROR(__xludf.DUMMYFUNCTION("""COMPUTED_VALUE"""),"RT 002 \ RW 004")</f>
        <v>RT 002 \ RW 004</v>
      </c>
      <c r="W1330" s="85" t="str">
        <f>IFERROR(__xludf.DUMMYFUNCTION("""COMPUTED_VALUE"""),"Blurukidul")</f>
        <v>Blurukidul</v>
      </c>
      <c r="X1330" s="85" t="str">
        <f>IFERROR(__xludf.DUMMYFUNCTION("""COMPUTED_VALUE"""),"Sidoarjo")</f>
        <v>Sidoarjo</v>
      </c>
      <c r="Y1330" s="85" t="str">
        <f>IFERROR(__xludf.DUMMYFUNCTION("""COMPUTED_VALUE"""),"Kab.Sidoarjo")</f>
        <v>Kab.Sidoarjo</v>
      </c>
      <c r="Z1330" s="85" t="str">
        <f>IFERROR(__xludf.DUMMYFUNCTION("""COMPUTED_VALUE"""),"Jawa Timur")</f>
        <v>Jawa Timur</v>
      </c>
      <c r="AA1330" s="85" t="str">
        <f>IFERROR(__xludf.DUMMYFUNCTION("""COMPUTED_VALUE"""),"611233")</f>
        <v>611233</v>
      </c>
      <c r="AB1330" s="85" t="str">
        <f>IFERROR(__xludf.DUMMYFUNCTION("""COMPUTED_VALUE"""),"3515084808720002")</f>
        <v>3515084808720002</v>
      </c>
      <c r="AC1330" s="85" t="str">
        <f>IFERROR(__xludf.DUMMYFUNCTION("""COMPUTED_VALUE"""),"35.150.848.0-872.0002")</f>
        <v>35.150.848.0-872.0002</v>
      </c>
      <c r="AD1330" s="85" t="str">
        <f>IFERROR(__xludf.DUMMYFUNCTION("""COMPUTED_VALUE"""),"CUM - UMKMNK - ASEP")</f>
        <v>CUM - UMKMNK - ASEP</v>
      </c>
      <c r="AE1330" s="85" t="str">
        <f>IFERROR(__xludf.DUMMYFUNCTION("""COMPUTED_VALUE"""),"CUM - UMKMNK - ASEP")</f>
        <v>CUM - UMKMNK - ASEP</v>
      </c>
      <c r="AF1330" s="85" t="str">
        <f>IFERROR(__xludf.DUMMYFUNCTION("""COMPUTED_VALUE"""),"08137726638")</f>
        <v>08137726638</v>
      </c>
      <c r="AG1330" s="85" t="str">
        <f>IFERROR(__xludf.DUMMYFUNCTION("""COMPUTED_VALUE"""),"08137726638")</f>
        <v>08137726638</v>
      </c>
      <c r="AH1330" s="85" t="str">
        <f>IFERROR(__xludf.DUMMYFUNCTION("""COMPUTED_VALUE"""),"brontoseno2708@gmail.com")</f>
        <v>brontoseno2708@gmail.com</v>
      </c>
      <c r="AI1330" s="85"/>
      <c r="AJ1330" s="85"/>
      <c r="AK1330" s="85"/>
      <c r="AL1330" s="85"/>
      <c r="AM1330" s="85" t="str">
        <f>IFERROR(__xludf.DUMMYFUNCTION("""COMPUTED_VALUE"""),"KANTOR REGIONAL V SURABAYA 60004")</f>
        <v>KANTOR REGIONAL V SURABAYA 60004</v>
      </c>
      <c r="AN1330" s="85" t="str">
        <f>IFERROR(__xludf.DUMMYFUNCTION("""COMPUTED_VALUE"""),"KC SIDOARJO 61200")</f>
        <v>KC SIDOARJO 61200</v>
      </c>
      <c r="AO1330" s="85" t="str">
        <f>IFERROR(__xludf.DUMMYFUNCTION("""COMPUTED_VALUE"""),"3008210007481")</f>
        <v>3008210007481</v>
      </c>
      <c r="AP1330" s="85" t="str">
        <f>IFERROR(__xludf.DUMMYFUNCTION("""COMPUTED_VALUE"""),"3008210007481")</f>
        <v>3008210007481</v>
      </c>
      <c r="AQ1330" s="93" t="str">
        <f>IFERROR(__xludf.DUMMYFUNCTION("""COMPUTED_VALUE"""),"0181169264")</f>
        <v>0181169264</v>
      </c>
      <c r="AR1330" s="85" t="str">
        <f>IFERROR(__xludf.DUMMYFUNCTION("""COMPUTED_VALUE"""),"BCA")</f>
        <v>BCA</v>
      </c>
      <c r="AS1330" s="85" t="str">
        <f>IFERROR(__xludf.DUMMYFUNCTION("""COMPUTED_VALUE"""),"ELLY WIDYAWATI")</f>
        <v>ELLY WIDYAWATI</v>
      </c>
      <c r="AT1330" s="85" t="str">
        <f>IFERROR(__xludf.DUMMYFUNCTION("""COMPUTED_VALUE"""),"-7.4484124,112.7310918")</f>
        <v>-7.4484124,112.7310918</v>
      </c>
      <c r="AU1330" s="85" t="str">
        <f>IFERROR(__xludf.DUMMYFUNCTION("""COMPUTED_VALUE"""),"-7.4484124,112.7310918")</f>
        <v>-7.4484124,112.7310918</v>
      </c>
      <c r="AV1330" s="85"/>
      <c r="AW1330" s="85"/>
      <c r="AX1330" s="85"/>
      <c r="AY1330" s="85"/>
      <c r="AZ1330" s="85"/>
      <c r="BA1330" s="85"/>
      <c r="BB1330" s="85"/>
      <c r="BC1330" s="85"/>
      <c r="BD1330" s="85"/>
      <c r="BE1330" s="85"/>
      <c r="BF1330" s="85"/>
      <c r="BG1330" s="85"/>
      <c r="BH1330" s="85"/>
      <c r="BI1330" s="85"/>
      <c r="BJ1330" s="85"/>
      <c r="BK1330" s="85"/>
      <c r="BL1330" s="85"/>
      <c r="BM1330" s="85"/>
      <c r="BN1330" s="85"/>
      <c r="BO1330" s="85"/>
      <c r="BP1330" s="85"/>
      <c r="BQ1330" s="85"/>
      <c r="BR1330" s="85"/>
      <c r="BS1330" s="85"/>
      <c r="BT1330" s="85"/>
      <c r="BU1330" s="85"/>
      <c r="BV1330" s="85"/>
      <c r="BW1330" s="85"/>
      <c r="BX1330" s="85"/>
      <c r="BY1330" s="85"/>
      <c r="BZ1330" s="85"/>
      <c r="CA1330" s="85"/>
      <c r="CB1330" s="85"/>
      <c r="CC1330" s="85"/>
      <c r="CD1330" s="85"/>
      <c r="CE1330" s="85"/>
      <c r="CF1330" s="85"/>
      <c r="CG1330" s="85"/>
      <c r="CH1330" s="85"/>
      <c r="CI1330" s="85"/>
      <c r="CJ1330" s="85"/>
      <c r="CK1330" s="2"/>
    </row>
    <row r="1331" ht="12.75" customHeight="1">
      <c r="A1331" s="80">
        <f>IFERROR(__xludf.DUMMYFUNCTION("""COMPUTED_VALUE"""),1327.0)</f>
        <v>1327</v>
      </c>
      <c r="B1331" s="80"/>
      <c r="C1331" s="80"/>
      <c r="D1331" s="81">
        <f>IFERROR(__xludf.DUMMYFUNCTION("""COMPUTED_VALUE"""),46245.0)</f>
        <v>46245</v>
      </c>
      <c r="E1331" s="82"/>
      <c r="F1331" s="80"/>
      <c r="G1331" s="81"/>
      <c r="H1331" s="80"/>
      <c r="I1331" s="80"/>
      <c r="J1331" s="80"/>
      <c r="K1331" s="80"/>
      <c r="L1331" s="80"/>
      <c r="M1331" s="80"/>
      <c r="N1331" s="80"/>
      <c r="O1331" s="80"/>
      <c r="P1331" s="80" t="str">
        <f>IFERROR(__xludf.DUMMYFUNCTION("""COMPUTED_VALUE"""),"MUCSPA70099PSAAK")</f>
        <v>MUCSPA70099PSAAK</v>
      </c>
      <c r="Q1331" s="80" t="str">
        <f>IFERROR(__xludf.DUMMYFUNCTION("""COMPUTED_VALUE"""),"MUC IND ARSANA")</f>
        <v>MUC IND ARSANA</v>
      </c>
      <c r="R1331" s="80" t="str">
        <f>IFERROR(__xludf.DUMMYFUNCTION("""COMPUTED_VALUE"""),"MUC IND ARSANA")</f>
        <v>MUC IND ARSANA</v>
      </c>
      <c r="S1331" s="80" t="str">
        <f>IFERROR(__xludf.DUMMYFUNCTION("""COMPUTED_VALUE"""),"ARIS BUDIANA")</f>
        <v>ARIS BUDIANA</v>
      </c>
      <c r="T1331" s="80" t="str">
        <f>IFERROR(__xludf.DUMMYFUNCTION("""COMPUTED_VALUE"""),"JL KEMUNING V RT 14 RW 06, PEJATEN TIMUR, PASAR MINGGU, JAKSEL")</f>
        <v>JL KEMUNING V RT 14 RW 06, PEJATEN TIMUR, PASAR MINGGU, JAKSEL</v>
      </c>
      <c r="U1331" s="80" t="str">
        <f>IFERROR(__xludf.DUMMYFUNCTION("""COMPUTED_VALUE"""),"JL. PINTU KELUAR PASAR BARAT NO.18 RT.01 RW.06")</f>
        <v>JL. PINTU KELUAR PASAR BARAT NO.18 RT.01 RW.06</v>
      </c>
      <c r="V1331" s="80" t="str">
        <f>IFERROR(__xludf.DUMMYFUNCTION("""COMPUTED_VALUE"""),"RT 14  \ RW 06,")</f>
        <v>RT 14  \ RW 06,</v>
      </c>
      <c r="W1331" s="80" t="str">
        <f>IFERROR(__xludf.DUMMYFUNCTION("""COMPUTED_VALUE"""),"BALI MESTER")</f>
        <v>BALI MESTER</v>
      </c>
      <c r="X1331" s="80" t="str">
        <f>IFERROR(__xludf.DUMMYFUNCTION("""COMPUTED_VALUE"""),"JATINEGARA")</f>
        <v>JATINEGARA</v>
      </c>
      <c r="Y1331" s="80" t="str">
        <f>IFERROR(__xludf.DUMMYFUNCTION("""COMPUTED_VALUE"""),"JAKARTA TIMUR")</f>
        <v>JAKARTA TIMUR</v>
      </c>
      <c r="Z1331" s="80" t="str">
        <f>IFERROR(__xludf.DUMMYFUNCTION("""COMPUTED_VALUE"""),"DKI JAKARTA")</f>
        <v>DKI JAKARTA</v>
      </c>
      <c r="AA1331" s="80" t="str">
        <f>IFERROR(__xludf.DUMMYFUNCTION("""COMPUTED_VALUE"""),"13310")</f>
        <v>13310</v>
      </c>
      <c r="AB1331" s="80" t="str">
        <f>IFERROR(__xludf.DUMMYFUNCTION("""COMPUTED_VALUE"""),"3174040309020009")</f>
        <v>3174040309020009</v>
      </c>
      <c r="AC1331" s="80" t="str">
        <f>IFERROR(__xludf.DUMMYFUNCTION("""COMPUTED_VALUE"""),"65.847.806.0-017.000")</f>
        <v>65.847.806.0-017.000</v>
      </c>
      <c r="AD1331" s="80" t="str">
        <f>IFERROR(__xludf.DUMMYFUNCTION("""COMPUTED_VALUE"""),"CUM - LP - ANGGI")</f>
        <v>CUM - LP - ANGGI</v>
      </c>
      <c r="AE1331" s="80" t="str">
        <f>IFERROR(__xludf.DUMMYFUNCTION("""COMPUTED_VALUE"""),"CUM - LP - ANGGI")</f>
        <v>CUM - LP - ANGGI</v>
      </c>
      <c r="AF1331" s="80" t="str">
        <f>IFERROR(__xludf.DUMMYFUNCTION("""COMPUTED_VALUE"""),"085711345869")</f>
        <v>085711345869</v>
      </c>
      <c r="AG1331" s="80" t="str">
        <f>IFERROR(__xludf.DUMMYFUNCTION("""COMPUTED_VALUE"""),"085711345869")</f>
        <v>085711345869</v>
      </c>
      <c r="AH1331" s="80" t="str">
        <f>IFERROR(__xludf.DUMMYFUNCTION("""COMPUTED_VALUE"""),"boscfx1@gmail.com")</f>
        <v>boscfx1@gmail.com</v>
      </c>
      <c r="AI1331" s="80"/>
      <c r="AJ1331" s="80"/>
      <c r="AK1331" s="80"/>
      <c r="AL1331" s="80"/>
      <c r="AM1331" s="80" t="str">
        <f>IFERROR(__xludf.DUMMYFUNCTION("""COMPUTED_VALUE"""),"KANTOR REGIONAL II JAKARTA 10004")</f>
        <v>KANTOR REGIONAL II JAKARTA 10004</v>
      </c>
      <c r="AN1331" s="80" t="str">
        <f>IFERROR(__xludf.DUMMYFUNCTION("""COMPUTED_VALUE"""),"KCU JAKARTAPREMIER 13000")</f>
        <v>KCU JAKARTAPREMIER 13000</v>
      </c>
      <c r="AO1331" s="80" t="str">
        <f>IFERROR(__xludf.DUMMYFUNCTION("""COMPUTED_VALUE"""),"1706220000972")</f>
        <v>1706220000972</v>
      </c>
      <c r="AP1331" s="80" t="str">
        <f>IFERROR(__xludf.DUMMYFUNCTION("""COMPUTED_VALUE"""),"1706220000972")</f>
        <v>1706220000972</v>
      </c>
      <c r="AQ1331" s="83" t="str">
        <f>IFERROR(__xludf.DUMMYFUNCTION("""COMPUTED_VALUE"""),"901657731910")</f>
        <v>901657731910</v>
      </c>
      <c r="AR1331" s="80" t="str">
        <f>IFERROR(__xludf.DUMMYFUNCTION("""COMPUTED_VALUE"""),"SEABANK")</f>
        <v>SEABANK</v>
      </c>
      <c r="AS1331" s="80" t="str">
        <f>IFERROR(__xludf.DUMMYFUNCTION("""COMPUTED_VALUE"""),"ARIS BUDIANA")</f>
        <v>ARIS BUDIANA</v>
      </c>
      <c r="AT1331" s="80" t="str">
        <f>IFERROR(__xludf.DUMMYFUNCTION("""COMPUTED_VALUE"""),"-6.2160114,106.8639287")</f>
        <v>-6.2160114,106.8639287</v>
      </c>
      <c r="AU1331" s="80" t="str">
        <f>IFERROR(__xludf.DUMMYFUNCTION("""COMPUTED_VALUE"""),"-6.2160114,106.8639287")</f>
        <v>-6.2160114,106.8639287</v>
      </c>
      <c r="AV1331" s="80"/>
      <c r="AW1331" s="80"/>
      <c r="AX1331" s="80"/>
      <c r="AY1331" s="80"/>
      <c r="AZ1331" s="80"/>
      <c r="BA1331" s="80"/>
      <c r="BB1331" s="80"/>
      <c r="BC1331" s="80"/>
      <c r="BD1331" s="80"/>
      <c r="BE1331" s="80"/>
      <c r="BF1331" s="80"/>
      <c r="BG1331" s="80"/>
      <c r="BH1331" s="80"/>
      <c r="BI1331" s="80"/>
      <c r="BJ1331" s="80"/>
      <c r="BK1331" s="80"/>
      <c r="BL1331" s="80"/>
      <c r="BM1331" s="80"/>
      <c r="BN1331" s="80"/>
      <c r="BO1331" s="80"/>
      <c r="BP1331" s="80"/>
      <c r="BQ1331" s="80"/>
      <c r="BR1331" s="80"/>
      <c r="BS1331" s="80"/>
      <c r="BT1331" s="80"/>
      <c r="BU1331" s="80"/>
      <c r="BV1331" s="80"/>
      <c r="BW1331" s="80"/>
      <c r="BX1331" s="80"/>
      <c r="BY1331" s="80"/>
      <c r="BZ1331" s="80"/>
      <c r="CA1331" s="80"/>
      <c r="CB1331" s="80"/>
      <c r="CC1331" s="80"/>
      <c r="CD1331" s="80"/>
      <c r="CE1331" s="80"/>
      <c r="CF1331" s="80"/>
      <c r="CG1331" s="80"/>
      <c r="CH1331" s="80"/>
      <c r="CI1331" s="80"/>
      <c r="CJ1331" s="80"/>
      <c r="CK1331" s="2"/>
    </row>
    <row r="1332" ht="12.75" customHeight="1">
      <c r="A1332" s="85">
        <f>IFERROR(__xludf.DUMMYFUNCTION("""COMPUTED_VALUE"""),1328.0)</f>
        <v>1328</v>
      </c>
      <c r="B1332" s="85"/>
      <c r="C1332" s="85"/>
      <c r="D1332" s="86">
        <f>IFERROR(__xludf.DUMMYFUNCTION("""COMPUTED_VALUE"""),46245.0)</f>
        <v>46245</v>
      </c>
      <c r="E1332" s="88"/>
      <c r="F1332" s="85"/>
      <c r="G1332" s="86"/>
      <c r="H1332" s="85"/>
      <c r="I1332" s="85"/>
      <c r="J1332" s="85"/>
      <c r="K1332" s="85"/>
      <c r="L1332" s="85"/>
      <c r="M1332" s="85"/>
      <c r="N1332" s="85"/>
      <c r="O1332" s="85"/>
      <c r="P1332" s="85" t="str">
        <f>IFERROR(__xludf.DUMMYFUNCTION("""COMPUTED_VALUE"""),"MUCSPA70009PSAAK")</f>
        <v>MUCSPA70009PSAAK</v>
      </c>
      <c r="Q1332" s="85" t="str">
        <f>IFERROR(__xludf.DUMMYFUNCTION("""COMPUTED_VALUE"""),"MUC SEGARA EXPRESS")</f>
        <v>MUC SEGARA EXPRESS</v>
      </c>
      <c r="R1332" s="85" t="str">
        <f>IFERROR(__xludf.DUMMYFUNCTION("""COMPUTED_VALUE"""),"MUC SEGARA EXPRESS")</f>
        <v>MUC SEGARA EXPRESS</v>
      </c>
      <c r="S1332" s="85" t="str">
        <f>IFERROR(__xludf.DUMMYFUNCTION("""COMPUTED_VALUE"""),"EPY MAEMUNAH")</f>
        <v>EPY MAEMUNAH</v>
      </c>
      <c r="T1332" s="85" t="str">
        <f>IFERROR(__xludf.DUMMYFUNCTION("""COMPUTED_VALUE"""),"Jl.Galur Sari RT 001 RT 007 No.17a Utan Kayu Utara, Matraman Jakarta Timur")</f>
        <v>Jl.Galur Sari RT 001 RT 007 No.17a Utan Kayu Utara, Matraman Jakarta Timur</v>
      </c>
      <c r="U1332" s="85" t="str">
        <f>IFERROR(__xludf.DUMMYFUNCTION("""COMPUTED_VALUE"""),"Jl. Bangunan Barat No.37a, RT.5/RW.10, Kayu Putih, Pulo Gadung, Jakarta Timur")</f>
        <v>Jl. Bangunan Barat No.37a, RT.5/RW.10, Kayu Putih, Pulo Gadung, Jakarta Timur</v>
      </c>
      <c r="V1332" s="85"/>
      <c r="W1332" s="85" t="str">
        <f>IFERROR(__xludf.DUMMYFUNCTION("""COMPUTED_VALUE"""),"Kayu Putih")</f>
        <v>Kayu Putih</v>
      </c>
      <c r="X1332" s="85" t="str">
        <f>IFERROR(__xludf.DUMMYFUNCTION("""COMPUTED_VALUE"""),"Pulo Gadung")</f>
        <v>Pulo Gadung</v>
      </c>
      <c r="Y1332" s="85" t="str">
        <f>IFERROR(__xludf.DUMMYFUNCTION("""COMPUTED_VALUE"""),"Jakarta Timur")</f>
        <v>Jakarta Timur</v>
      </c>
      <c r="Z1332" s="85" t="str">
        <f>IFERROR(__xludf.DUMMYFUNCTION("""COMPUTED_VALUE"""),"Dki Jakarta")</f>
        <v>Dki Jakarta</v>
      </c>
      <c r="AA1332" s="85" t="str">
        <f>IFERROR(__xludf.DUMMYFUNCTION("""COMPUTED_VALUE"""),"13210")</f>
        <v>13210</v>
      </c>
      <c r="AB1332" s="85" t="str">
        <f>IFERROR(__xludf.DUMMYFUNCTION("""COMPUTED_VALUE"""),"3175016405770005")</f>
        <v>3175016405770005</v>
      </c>
      <c r="AC1332" s="85" t="str">
        <f>IFERROR(__xludf.DUMMYFUNCTION("""COMPUTED_VALUE"""),"47.822.596.4-039.000")</f>
        <v>47.822.596.4-039.000</v>
      </c>
      <c r="AD1332" s="85" t="str">
        <f>IFERROR(__xludf.DUMMYFUNCTION("""COMPUTED_VALUE"""),"CUM - LP - ANGGI")</f>
        <v>CUM - LP - ANGGI</v>
      </c>
      <c r="AE1332" s="85" t="str">
        <f>IFERROR(__xludf.DUMMYFUNCTION("""COMPUTED_VALUE"""),"CUM - LP - ANGGI")</f>
        <v>CUM - LP - ANGGI</v>
      </c>
      <c r="AF1332" s="85" t="str">
        <f>IFERROR(__xludf.DUMMYFUNCTION("""COMPUTED_VALUE"""),"081290139739")</f>
        <v>081290139739</v>
      </c>
      <c r="AG1332" s="85" t="str">
        <f>IFERROR(__xludf.DUMMYFUNCTION("""COMPUTED_VALUE"""),"081290139739")</f>
        <v>081290139739</v>
      </c>
      <c r="AH1332" s="85" t="str">
        <f>IFERROR(__xludf.DUMMYFUNCTION("""COMPUTED_VALUE"""),"ephymei46@gmail.com")</f>
        <v>ephymei46@gmail.com</v>
      </c>
      <c r="AI1332" s="85"/>
      <c r="AJ1332" s="85"/>
      <c r="AK1332" s="85"/>
      <c r="AL1332" s="85"/>
      <c r="AM1332" s="85" t="str">
        <f>IFERROR(__xludf.DUMMYFUNCTION("""COMPUTED_VALUE"""),"KANTOR REGIONAL II JAKARTA 10004")</f>
        <v>KANTOR REGIONAL II JAKARTA 10004</v>
      </c>
      <c r="AN1332" s="85" t="str">
        <f>IFERROR(__xludf.DUMMYFUNCTION("""COMPUTED_VALUE"""),"KCU JAKARTAPREMIER 13000")</f>
        <v>KCU JAKARTAPREMIER 13000</v>
      </c>
      <c r="AO1332" s="85" t="str">
        <f>IFERROR(__xludf.DUMMYFUNCTION("""COMPUTED_VALUE"""),"0708260038149")</f>
        <v>0708260038149</v>
      </c>
      <c r="AP1332" s="85" t="str">
        <f>IFERROR(__xludf.DUMMYFUNCTION("""COMPUTED_VALUE"""),"0708260038149")</f>
        <v>0708260038149</v>
      </c>
      <c r="AQ1332" s="93" t="str">
        <f>IFERROR(__xludf.DUMMYFUNCTION("""COMPUTED_VALUE"""),"1160005556106")</f>
        <v>1160005556106</v>
      </c>
      <c r="AR1332" s="85" t="str">
        <f>IFERROR(__xludf.DUMMYFUNCTION("""COMPUTED_VALUE"""),"MANDIRI")</f>
        <v>MANDIRI</v>
      </c>
      <c r="AS1332" s="85" t="str">
        <f>IFERROR(__xludf.DUMMYFUNCTION("""COMPUTED_VALUE"""),"EPY MAEMUNAH")</f>
        <v>EPY MAEMUNAH</v>
      </c>
      <c r="AT1332" s="85" t="str">
        <f>IFERROR(__xludf.DUMMYFUNCTION("""COMPUTED_VALUE"""),"-6.1842959,106.8804891")</f>
        <v>-6.1842959,106.8804891</v>
      </c>
      <c r="AU1332" s="85" t="str">
        <f>IFERROR(__xludf.DUMMYFUNCTION("""COMPUTED_VALUE"""),"-6.1842959,106.8804891")</f>
        <v>-6.1842959,106.8804891</v>
      </c>
      <c r="AV1332" s="85"/>
      <c r="AW1332" s="85"/>
      <c r="AX1332" s="85"/>
      <c r="AY1332" s="85"/>
      <c r="AZ1332" s="85"/>
      <c r="BA1332" s="85"/>
      <c r="BB1332" s="85"/>
      <c r="BC1332" s="85"/>
      <c r="BD1332" s="85"/>
      <c r="BE1332" s="85"/>
      <c r="BF1332" s="85"/>
      <c r="BG1332" s="85"/>
      <c r="BH1332" s="85"/>
      <c r="BI1332" s="85"/>
      <c r="BJ1332" s="85"/>
      <c r="BK1332" s="85"/>
      <c r="BL1332" s="85"/>
      <c r="BM1332" s="85"/>
      <c r="BN1332" s="85"/>
      <c r="BO1332" s="85"/>
      <c r="BP1332" s="85"/>
      <c r="BQ1332" s="85"/>
      <c r="BR1332" s="85"/>
      <c r="BS1332" s="85"/>
      <c r="BT1332" s="85"/>
      <c r="BU1332" s="85"/>
      <c r="BV1332" s="85"/>
      <c r="BW1332" s="85"/>
      <c r="BX1332" s="85"/>
      <c r="BY1332" s="85"/>
      <c r="BZ1332" s="85"/>
      <c r="CA1332" s="85"/>
      <c r="CB1332" s="85"/>
      <c r="CC1332" s="85"/>
      <c r="CD1332" s="85"/>
      <c r="CE1332" s="85"/>
      <c r="CF1332" s="85"/>
      <c r="CG1332" s="85"/>
      <c r="CH1332" s="85"/>
      <c r="CI1332" s="85"/>
      <c r="CJ1332" s="85"/>
      <c r="CK1332" s="2"/>
    </row>
    <row r="1333" ht="12.75" customHeight="1">
      <c r="A1333" s="80">
        <f>IFERROR(__xludf.DUMMYFUNCTION("""COMPUTED_VALUE"""),1329.0)</f>
        <v>1329</v>
      </c>
      <c r="B1333" s="80"/>
      <c r="C1333" s="80"/>
      <c r="D1333" s="81">
        <f>IFERROR(__xludf.DUMMYFUNCTION("""COMPUTED_VALUE"""),46245.0)</f>
        <v>46245</v>
      </c>
      <c r="E1333" s="82"/>
      <c r="F1333" s="80"/>
      <c r="G1333" s="81"/>
      <c r="H1333" s="80"/>
      <c r="I1333" s="80"/>
      <c r="J1333" s="80"/>
      <c r="K1333" s="80"/>
      <c r="L1333" s="80"/>
      <c r="M1333" s="80"/>
      <c r="N1333" s="80"/>
      <c r="O1333" s="80"/>
      <c r="P1333" s="80" t="str">
        <f>IFERROR(__xludf.DUMMYFUNCTION("""COMPUTED_VALUE"""),"MUCSPA63652PSIND")</f>
        <v>MUCSPA63652PSIND</v>
      </c>
      <c r="Q1333" s="80" t="str">
        <f>IFERROR(__xludf.DUMMYFUNCTION("""COMPUTED_VALUE"""),"MUC NURFAL")</f>
        <v>MUC NURFAL</v>
      </c>
      <c r="R1333" s="80" t="str">
        <f>IFERROR(__xludf.DUMMYFUNCTION("""COMPUTED_VALUE"""),"MUC NURFAL")</f>
        <v>MUC NURFAL</v>
      </c>
      <c r="S1333" s="80" t="str">
        <f>IFERROR(__xludf.DUMMYFUNCTION("""COMPUTED_VALUE"""),"NUR AIN RITAWATI")</f>
        <v>NUR AIN RITAWATI</v>
      </c>
      <c r="T1333" s="80" t="str">
        <f>IFERROR(__xludf.DUMMYFUNCTION("""COMPUTED_VALUE"""),"KOMPLEK PLN BLOK B NO.27 RT 05 RW 14, KELAPA GADING TIMUR, KELAPA GADING, JAKUT")</f>
        <v>KOMPLEK PLN BLOK B NO.27 RT 05 RW 14, KELAPA GADING TIMUR, KELAPA GADING, JAKUT</v>
      </c>
      <c r="U1333" s="80" t="str">
        <f>IFERROR(__xludf.DUMMYFUNCTION("""COMPUTED_VALUE"""),"KOMPLEK PLN BLOK B NO.27 RT 05 RW 14")</f>
        <v>KOMPLEK PLN BLOK B NO.27 RT 05 RW 14</v>
      </c>
      <c r="V1333" s="80" t="str">
        <f>IFERROR(__xludf.DUMMYFUNCTION("""COMPUTED_VALUE"""),"RT 05  \ RW 14,")</f>
        <v>RT 05  \ RW 14,</v>
      </c>
      <c r="W1333" s="80" t="str">
        <f>IFERROR(__xludf.DUMMYFUNCTION("""COMPUTED_VALUE"""),"KELAPA GADING TIMUR")</f>
        <v>KELAPA GADING TIMUR</v>
      </c>
      <c r="X1333" s="80" t="str">
        <f>IFERROR(__xludf.DUMMYFUNCTION("""COMPUTED_VALUE"""),"KELAPA GADING")</f>
        <v>KELAPA GADING</v>
      </c>
      <c r="Y1333" s="80" t="str">
        <f>IFERROR(__xludf.DUMMYFUNCTION("""COMPUTED_VALUE"""),"JAKARTA UTARA")</f>
        <v>JAKARTA UTARA</v>
      </c>
      <c r="Z1333" s="80" t="str">
        <f>IFERROR(__xludf.DUMMYFUNCTION("""COMPUTED_VALUE"""),"DKI JAKARTA")</f>
        <v>DKI JAKARTA</v>
      </c>
      <c r="AA1333" s="80" t="str">
        <f>IFERROR(__xludf.DUMMYFUNCTION("""COMPUTED_VALUE"""),"14240")</f>
        <v>14240</v>
      </c>
      <c r="AB1333" s="80" t="str">
        <f>IFERROR(__xludf.DUMMYFUNCTION("""COMPUTED_VALUE"""),"3172065208740001")</f>
        <v>3172065208740001</v>
      </c>
      <c r="AC1333" s="80" t="str">
        <f>IFERROR(__xludf.DUMMYFUNCTION("""COMPUTED_VALUE"""),"35.458.444.3-043.000")</f>
        <v>35.458.444.3-043.000</v>
      </c>
      <c r="AD1333" s="80" t="str">
        <f>IFERROR(__xludf.DUMMYFUNCTION("""COMPUTED_VALUE"""),"CUM - PS -ARKT")</f>
        <v>CUM - PS -ARKT</v>
      </c>
      <c r="AE1333" s="80" t="str">
        <f>IFERROR(__xludf.DUMMYFUNCTION("""COMPUTED_VALUE"""),"CUM - PS -ARKT")</f>
        <v>CUM - PS -ARKT</v>
      </c>
      <c r="AF1333" s="80" t="str">
        <f>IFERROR(__xludf.DUMMYFUNCTION("""COMPUTED_VALUE"""),"081280243752")</f>
        <v>081280243752</v>
      </c>
      <c r="AG1333" s="80" t="str">
        <f>IFERROR(__xludf.DUMMYFUNCTION("""COMPUTED_VALUE"""),"081280243752")</f>
        <v>081280243752</v>
      </c>
      <c r="AH1333" s="80" t="str">
        <f>IFERROR(__xludf.DUMMYFUNCTION("""COMPUTED_VALUE"""),"nurainritawati8@gmail.com")</f>
        <v>nurainritawati8@gmail.com</v>
      </c>
      <c r="AI1333" s="80"/>
      <c r="AJ1333" s="80"/>
      <c r="AK1333" s="80"/>
      <c r="AL1333" s="80"/>
      <c r="AM1333" s="80" t="str">
        <f>IFERROR(__xludf.DUMMYFUNCTION("""COMPUTED_VALUE"""),"KANTOR REGIONAL II JAKARTA 10004")</f>
        <v>KANTOR REGIONAL II JAKARTA 10004</v>
      </c>
      <c r="AN1333" s="80" t="str">
        <f>IFERROR(__xludf.DUMMYFUNCTION("""COMPUTED_VALUE"""),"KCU JAKARTAPREMIER 13000")</f>
        <v>KCU JAKARTAPREMIER 13000</v>
      </c>
      <c r="AO1333" s="80" t="str">
        <f>IFERROR(__xludf.DUMMYFUNCTION("""COMPUTED_VALUE"""),"1108260079103")</f>
        <v>1108260079103</v>
      </c>
      <c r="AP1333" s="80" t="str">
        <f>IFERROR(__xludf.DUMMYFUNCTION("""COMPUTED_VALUE"""),"1108260079103")</f>
        <v>1108260079103</v>
      </c>
      <c r="AQ1333" s="83" t="str">
        <f>IFERROR(__xludf.DUMMYFUNCTION("""COMPUTED_VALUE"""),"6380231709")</f>
        <v>6380231709</v>
      </c>
      <c r="AR1333" s="80" t="str">
        <f>IFERROR(__xludf.DUMMYFUNCTION("""COMPUTED_VALUE"""),"BCA")</f>
        <v>BCA</v>
      </c>
      <c r="AS1333" s="80" t="str">
        <f>IFERROR(__xludf.DUMMYFUNCTION("""COMPUTED_VALUE"""),"NUR AIN RITAWATI")</f>
        <v>NUR AIN RITAWATI</v>
      </c>
      <c r="AT1333" s="80" t="str">
        <f>IFERROR(__xludf.DUMMYFUNCTION("""COMPUTED_VALUE"""),"-6.1749858,106.9016929")</f>
        <v>-6.1749858,106.9016929</v>
      </c>
      <c r="AU1333" s="80" t="str">
        <f>IFERROR(__xludf.DUMMYFUNCTION("""COMPUTED_VALUE"""),"-6.1749858,106.9016929")</f>
        <v>-6.1749858,106.9016929</v>
      </c>
      <c r="AV1333" s="80"/>
      <c r="AW1333" s="80"/>
      <c r="AX1333" s="80"/>
      <c r="AY1333" s="80"/>
      <c r="AZ1333" s="80"/>
      <c r="BA1333" s="80"/>
      <c r="BB1333" s="80"/>
      <c r="BC1333" s="80"/>
      <c r="BD1333" s="80"/>
      <c r="BE1333" s="80"/>
      <c r="BF1333" s="80"/>
      <c r="BG1333" s="80"/>
      <c r="BH1333" s="80"/>
      <c r="BI1333" s="80"/>
      <c r="BJ1333" s="80"/>
      <c r="BK1333" s="80"/>
      <c r="BL1333" s="80"/>
      <c r="BM1333" s="80"/>
      <c r="BN1333" s="80"/>
      <c r="BO1333" s="80"/>
      <c r="BP1333" s="80"/>
      <c r="BQ1333" s="80"/>
      <c r="BR1333" s="80"/>
      <c r="BS1333" s="80"/>
      <c r="BT1333" s="80"/>
      <c r="BU1333" s="80"/>
      <c r="BV1333" s="80"/>
      <c r="BW1333" s="80"/>
      <c r="BX1333" s="80"/>
      <c r="BY1333" s="80"/>
      <c r="BZ1333" s="80"/>
      <c r="CA1333" s="80"/>
      <c r="CB1333" s="80"/>
      <c r="CC1333" s="80"/>
      <c r="CD1333" s="80"/>
      <c r="CE1333" s="80"/>
      <c r="CF1333" s="80"/>
      <c r="CG1333" s="80"/>
      <c r="CH1333" s="80"/>
      <c r="CI1333" s="80"/>
      <c r="CJ1333" s="80"/>
      <c r="CK1333" s="2"/>
    </row>
    <row r="1334" ht="12.75" customHeight="1">
      <c r="A1334" s="85">
        <f>IFERROR(__xludf.DUMMYFUNCTION("""COMPUTED_VALUE"""),1330.0)</f>
        <v>1330</v>
      </c>
      <c r="B1334" s="85"/>
      <c r="C1334" s="85"/>
      <c r="D1334" s="86">
        <f>IFERROR(__xludf.DUMMYFUNCTION("""COMPUTED_VALUE"""),46245.0)</f>
        <v>46245</v>
      </c>
      <c r="E1334" s="88"/>
      <c r="F1334" s="85"/>
      <c r="G1334" s="86">
        <f>IFERROR(__xludf.DUMMYFUNCTION("""COMPUTED_VALUE"""),46275.0)</f>
        <v>46275</v>
      </c>
      <c r="H1334" s="85"/>
      <c r="I1334" s="85"/>
      <c r="J1334" s="85"/>
      <c r="K1334" s="85"/>
      <c r="L1334" s="85">
        <f>IFERROR(__xludf.DUMMYFUNCTION("""COMPUTED_VALUE"""),30.0)</f>
        <v>30</v>
      </c>
      <c r="M1334" s="85"/>
      <c r="N1334" s="85"/>
      <c r="O1334" s="85"/>
      <c r="P1334" s="85" t="str">
        <f>IFERROR(__xludf.DUMMYFUNCTION("""COMPUTED_VALUE"""),"MUCSPA70097PSAAK")</f>
        <v>MUCSPA70097PSAAK</v>
      </c>
      <c r="Q1334" s="85" t="str">
        <f>IFERROR(__xludf.DUMMYFUNCTION("""COMPUTED_VALUE"""),"MUC BASURA")</f>
        <v>MUC BASURA</v>
      </c>
      <c r="R1334" s="85" t="str">
        <f>IFERROR(__xludf.DUMMYFUNCTION("""COMPUTED_VALUE"""),"MUC BASURA")</f>
        <v>MUC BASURA</v>
      </c>
      <c r="S1334" s="85" t="str">
        <f>IFERROR(__xludf.DUMMYFUNCTION("""COMPUTED_VALUE"""),"DJOE HENDRY KERTAJAYA")</f>
        <v>DJOE HENDRY KERTAJAYA</v>
      </c>
      <c r="T1334" s="85" t="str">
        <f>IFERROR(__xludf.DUMMYFUNCTION("""COMPUTED_VALUE"""),":JL JATINEGARA BARAT/18")</f>
        <v>:JL JATINEGARA BARAT/18</v>
      </c>
      <c r="U1334" s="85" t="str">
        <f>IFERROR(__xludf.DUMMYFUNCTION("""COMPUTED_VALUE"""),"Jl. Jenderal Basuki Rachmat No.9A, RT.4/RW.6, Cipinang Besar Selatan")</f>
        <v>Jl. Jenderal Basuki Rachmat No.9A, RT.4/RW.6, Cipinang Besar Selatan</v>
      </c>
      <c r="V1334" s="85"/>
      <c r="W1334" s="85" t="str">
        <f>IFERROR(__xludf.DUMMYFUNCTION("""COMPUTED_VALUE"""),"Cipinang Besar Selatan")</f>
        <v>Cipinang Besar Selatan</v>
      </c>
      <c r="X1334" s="85" t="str">
        <f>IFERROR(__xludf.DUMMYFUNCTION("""COMPUTED_VALUE"""),"Jatinegara")</f>
        <v>Jatinegara</v>
      </c>
      <c r="Y1334" s="85" t="str">
        <f>IFERROR(__xludf.DUMMYFUNCTION("""COMPUTED_VALUE"""),"Jakarta Timur")</f>
        <v>Jakarta Timur</v>
      </c>
      <c r="Z1334" s="85" t="str">
        <f>IFERROR(__xludf.DUMMYFUNCTION("""COMPUTED_VALUE"""),"DKI Jakarta")</f>
        <v>DKI Jakarta</v>
      </c>
      <c r="AA1334" s="85" t="str">
        <f>IFERROR(__xludf.DUMMYFUNCTION("""COMPUTED_VALUE"""),"13410")</f>
        <v>13410</v>
      </c>
      <c r="AB1334" s="85" t="str">
        <f>IFERROR(__xludf.DUMMYFUNCTION("""COMPUTED_VALUE"""),"3175032511680003")</f>
        <v>3175032511680003</v>
      </c>
      <c r="AC1334" s="85" t="str">
        <f>IFERROR(__xludf.DUMMYFUNCTION("""COMPUTED_VALUE"""),"95.605.796.2-002.000")</f>
        <v>95.605.796.2-002.000</v>
      </c>
      <c r="AD1334" s="85" t="str">
        <f>IFERROR(__xludf.DUMMYFUNCTION("""COMPUTED_VALUE"""),"CUM - LP - ANGGI")</f>
        <v>CUM - LP - ANGGI</v>
      </c>
      <c r="AE1334" s="85" t="str">
        <f>IFERROR(__xludf.DUMMYFUNCTION("""COMPUTED_VALUE"""),"CUM - LP - ANGGI")</f>
        <v>CUM - LP - ANGGI</v>
      </c>
      <c r="AF1334" s="85" t="str">
        <f>IFERROR(__xludf.DUMMYFUNCTION("""COMPUTED_VALUE"""),"081919668888")</f>
        <v>081919668888</v>
      </c>
      <c r="AG1334" s="85" t="str">
        <f>IFERROR(__xludf.DUMMYFUNCTION("""COMPUTED_VALUE"""),"081919668888")</f>
        <v>081919668888</v>
      </c>
      <c r="AH1334" s="85" t="str">
        <f>IFERROR(__xludf.DUMMYFUNCTION("""COMPUTED_VALUE"""),"djoehendry.sm6820@gmail.com")</f>
        <v>djoehendry.sm6820@gmail.com</v>
      </c>
      <c r="AI1334" s="85" t="str">
        <f>IFERROR(__xludf.DUMMYFUNCTION("""COMPUTED_VALUE"""),"13410S4 ")</f>
        <v>13410S4 </v>
      </c>
      <c r="AJ1334" s="85" t="str">
        <f>IFERROR(__xludf.DUMMYFUNCTION("""COMPUTED_VALUE"""),"6aa220e6ef28cc83df0e2540 ")</f>
        <v>6aa220e6ef28cc83df0e2540 </v>
      </c>
      <c r="AK1334" s="85" t="str">
        <f>IFERROR(__xludf.DUMMYFUNCTION("""COMPUTED_VALUE"""),"djoehendry.sm6820@gmail.com")</f>
        <v>djoehendry.sm6820@gmail.com</v>
      </c>
      <c r="AL1334" s="85" t="str">
        <f>IFERROR(__xludf.DUMMYFUNCTION("""COMPUTED_VALUE"""),"#Muc13410S4$")</f>
        <v>#Muc13410S4$</v>
      </c>
      <c r="AM1334" s="85" t="str">
        <f>IFERROR(__xludf.DUMMYFUNCTION("""COMPUTED_VALUE"""),"KANTOR REGIONAL II JAKARTA 10004")</f>
        <v>KANTOR REGIONAL II JAKARTA 10004</v>
      </c>
      <c r="AN1334" s="85" t="str">
        <f>IFERROR(__xludf.DUMMYFUNCTION("""COMPUTED_VALUE"""),"KCU JAKARTAPREMIER 13000")</f>
        <v>KCU JAKARTAPREMIER 13000</v>
      </c>
      <c r="AO1334" s="85" t="str">
        <f>IFERROR(__xludf.DUMMYFUNCTION("""COMPUTED_VALUE"""),"1008260077091")</f>
        <v>1008260077091</v>
      </c>
      <c r="AP1334" s="85" t="str">
        <f>IFERROR(__xludf.DUMMYFUNCTION("""COMPUTED_VALUE"""),"1008260077091")</f>
        <v>1008260077091</v>
      </c>
      <c r="AQ1334" s="93" t="str">
        <f>IFERROR(__xludf.DUMMYFUNCTION("""COMPUTED_VALUE"""),"4122122828")</f>
        <v>4122122828</v>
      </c>
      <c r="AR1334" s="85" t="str">
        <f>IFERROR(__xludf.DUMMYFUNCTION("""COMPUTED_VALUE"""),"BCA")</f>
        <v>BCA</v>
      </c>
      <c r="AS1334" s="85" t="str">
        <f>IFERROR(__xludf.DUMMYFUNCTION("""COMPUTED_VALUE"""),"DJOE HENDRY KERTAJAYA")</f>
        <v>DJOE HENDRY KERTAJAYA</v>
      </c>
      <c r="AT1334" s="85" t="str">
        <f>IFERROR(__xludf.DUMMYFUNCTION("""COMPUTED_VALUE"""),"-6.2268942,106.8812202")</f>
        <v>-6.2268942,106.8812202</v>
      </c>
      <c r="AU1334" s="85" t="str">
        <f>IFERROR(__xludf.DUMMYFUNCTION("""COMPUTED_VALUE"""),"-6.2268942,106.8812202")</f>
        <v>-6.2268942,106.8812202</v>
      </c>
      <c r="AV1334" s="85"/>
      <c r="AW1334" s="85"/>
      <c r="AX1334" s="85"/>
      <c r="AY1334" s="85"/>
      <c r="AZ1334" s="85"/>
      <c r="BA1334" s="85"/>
      <c r="BB1334" s="85"/>
      <c r="BC1334" s="85"/>
      <c r="BD1334" s="85"/>
      <c r="BE1334" s="85"/>
      <c r="BF1334" s="85"/>
      <c r="BG1334" s="85"/>
      <c r="BH1334" s="85"/>
      <c r="BI1334" s="85"/>
      <c r="BJ1334" s="85"/>
      <c r="BK1334" s="85"/>
      <c r="BL1334" s="85"/>
      <c r="BM1334" s="85"/>
      <c r="BN1334" s="85"/>
      <c r="BO1334" s="85"/>
      <c r="BP1334" s="85"/>
      <c r="BQ1334" s="85"/>
      <c r="BR1334" s="85"/>
      <c r="BS1334" s="85"/>
      <c r="BT1334" s="85"/>
      <c r="BU1334" s="85"/>
      <c r="BV1334" s="85"/>
      <c r="BW1334" s="85"/>
      <c r="BX1334" s="85"/>
      <c r="BY1334" s="85"/>
      <c r="BZ1334" s="85"/>
      <c r="CA1334" s="85"/>
      <c r="CB1334" s="85"/>
      <c r="CC1334" s="85"/>
      <c r="CD1334" s="85"/>
      <c r="CE1334" s="85"/>
      <c r="CF1334" s="85"/>
      <c r="CG1334" s="85"/>
      <c r="CH1334" s="85"/>
      <c r="CI1334" s="85"/>
      <c r="CJ1334" s="85"/>
      <c r="CK1334" s="2"/>
    </row>
    <row r="1335" ht="12.75" customHeight="1">
      <c r="A1335" s="80">
        <f>IFERROR(__xludf.DUMMYFUNCTION("""COMPUTED_VALUE"""),1331.0)</f>
        <v>1331</v>
      </c>
      <c r="B1335" s="80"/>
      <c r="C1335" s="80"/>
      <c r="D1335" s="81">
        <f>IFERROR(__xludf.DUMMYFUNCTION("""COMPUTED_VALUE"""),46245.0)</f>
        <v>46245</v>
      </c>
      <c r="E1335" s="82"/>
      <c r="F1335" s="80"/>
      <c r="G1335" s="81">
        <f>IFERROR(__xludf.DUMMYFUNCTION("""COMPUTED_VALUE"""),46275.0)</f>
        <v>46275</v>
      </c>
      <c r="H1335" s="80"/>
      <c r="I1335" s="80"/>
      <c r="J1335" s="80"/>
      <c r="K1335" s="80"/>
      <c r="L1335" s="80">
        <f>IFERROR(__xludf.DUMMYFUNCTION("""COMPUTED_VALUE"""),30.0)</f>
        <v>30</v>
      </c>
      <c r="M1335" s="80"/>
      <c r="N1335" s="80"/>
      <c r="O1335" s="80"/>
      <c r="P1335" s="80" t="str">
        <f>IFERROR(__xludf.DUMMYFUNCTION("""COMPUTED_VALUE"""),"MUCSPA63651PSIND")</f>
        <v>MUCSPA63651PSIND</v>
      </c>
      <c r="Q1335" s="80" t="str">
        <f>IFERROR(__xludf.DUMMYFUNCTION("""COMPUTED_VALUE"""),"MUC Sindangsari Tangerang")</f>
        <v>MUC Sindangsari Tangerang</v>
      </c>
      <c r="R1335" s="80" t="str">
        <f>IFERROR(__xludf.DUMMYFUNCTION("""COMPUTED_VALUE"""),"MUC Sindangsari Tangerang")</f>
        <v>MUC Sindangsari Tangerang</v>
      </c>
      <c r="S1335" s="80" t="str">
        <f>IFERROR(__xludf.DUMMYFUNCTION("""COMPUTED_VALUE"""),"MUHAMAD NOVAL MUSTAKIM")</f>
        <v>MUHAMAD NOVAL MUSTAKIM</v>
      </c>
      <c r="T1335" s="80" t="str">
        <f>IFERROR(__xludf.DUMMYFUNCTION("""COMPUTED_VALUE"""),"KP.RAJEG ENCLE RT 01 RW 03, RAJEG, RAJEG, KAB.TANGERANG")</f>
        <v>KP.RAJEG ENCLE RT 01 RW 03, RAJEG, RAJEG, KAB.TANGERANG</v>
      </c>
      <c r="U1335" s="80" t="str">
        <f>IFERROR(__xludf.DUMMYFUNCTION("""COMPUTED_VALUE"""),"JL. UTAMA TAMAN WALET BOULEVARD RT.01 RW.11")</f>
        <v>JL. UTAMA TAMAN WALET BOULEVARD RT.01 RW.11</v>
      </c>
      <c r="V1335" s="80" t="str">
        <f>IFERROR(__xludf.DUMMYFUNCTION("""COMPUTED_VALUE"""),"RT 01  \ RW 03,")</f>
        <v>RT 01  \ RW 03,</v>
      </c>
      <c r="W1335" s="80" t="str">
        <f>IFERROR(__xludf.DUMMYFUNCTION("""COMPUTED_VALUE"""),"SINDANG SARI")</f>
        <v>SINDANG SARI</v>
      </c>
      <c r="X1335" s="80" t="str">
        <f>IFERROR(__xludf.DUMMYFUNCTION("""COMPUTED_VALUE"""),"PASAR KEMIS")</f>
        <v>PASAR KEMIS</v>
      </c>
      <c r="Y1335" s="80" t="str">
        <f>IFERROR(__xludf.DUMMYFUNCTION("""COMPUTED_VALUE"""),"KAB.TANGERANG")</f>
        <v>KAB.TANGERANG</v>
      </c>
      <c r="Z1335" s="80" t="str">
        <f>IFERROR(__xludf.DUMMYFUNCTION("""COMPUTED_VALUE"""),"BANTEN")</f>
        <v>BANTEN</v>
      </c>
      <c r="AA1335" s="80" t="str">
        <f>IFERROR(__xludf.DUMMYFUNCTION("""COMPUTED_VALUE"""),"15560")</f>
        <v>15560</v>
      </c>
      <c r="AB1335" s="80" t="str">
        <f>IFERROR(__xludf.DUMMYFUNCTION("""COMPUTED_VALUE"""),"3603122409890007")</f>
        <v>3603122409890007</v>
      </c>
      <c r="AC1335" s="80" t="str">
        <f>IFERROR(__xludf.DUMMYFUNCTION("""COMPUTED_VALUE"""),"71.226.372.2-418.000")</f>
        <v>71.226.372.2-418.000</v>
      </c>
      <c r="AD1335" s="80" t="str">
        <f>IFERROR(__xludf.DUMMYFUNCTION("""COMPUTED_VALUE"""),"CUM - PS - DWIH")</f>
        <v>CUM - PS - DWIH</v>
      </c>
      <c r="AE1335" s="80" t="str">
        <f>IFERROR(__xludf.DUMMYFUNCTION("""COMPUTED_VALUE"""),"CUM - PS - DWIH")</f>
        <v>CUM - PS - DWIH</v>
      </c>
      <c r="AF1335" s="80" t="str">
        <f>IFERROR(__xludf.DUMMYFUNCTION("""COMPUTED_VALUE"""),"089675087911")</f>
        <v>089675087911</v>
      </c>
      <c r="AG1335" s="80" t="str">
        <f>IFERROR(__xludf.DUMMYFUNCTION("""COMPUTED_VALUE"""),"089675087911")</f>
        <v>089675087911</v>
      </c>
      <c r="AH1335" s="80" t="str">
        <f>IFERROR(__xludf.DUMMYFUNCTION("""COMPUTED_VALUE"""),"kmerahputihsindangsari@gmail.com")</f>
        <v>kmerahputihsindangsari@gmail.com</v>
      </c>
      <c r="AI1335" s="80" t="str">
        <f>IFERROR(__xludf.DUMMYFUNCTION("""COMPUTED_VALUE"""),"15562S3 ")</f>
        <v>15562S3 </v>
      </c>
      <c r="AJ1335" s="80" t="str">
        <f>IFERROR(__xludf.DUMMYFUNCTION("""COMPUTED_VALUE"""),"6a9e6b666b29967ac009b406 ")</f>
        <v>6a9e6b666b29967ac009b406 </v>
      </c>
      <c r="AK1335" s="80" t="str">
        <f>IFERROR(__xludf.DUMMYFUNCTION("""COMPUTED_VALUE"""),"kmerahputihsindangsari@gmail.com")</f>
        <v>kmerahputihsindangsari@gmail.com</v>
      </c>
      <c r="AL1335" s="80" t="str">
        <f>IFERROR(__xludf.DUMMYFUNCTION("""COMPUTED_VALUE"""),"#Muc15562S3$")</f>
        <v>#Muc15562S3$</v>
      </c>
      <c r="AM1335" s="80" t="str">
        <f>IFERROR(__xludf.DUMMYFUNCTION("""COMPUTED_VALUE"""),"KANTOR REGIONAL II JAKARTA 10004")</f>
        <v>KANTOR REGIONAL II JAKARTA 10004</v>
      </c>
      <c r="AN1335" s="80" t="str">
        <f>IFERROR(__xludf.DUMMYFUNCTION("""COMPUTED_VALUE"""),"KCU TANGERANG 15000")</f>
        <v>KCU TANGERANG 15000</v>
      </c>
      <c r="AO1335" s="80" t="str">
        <f>IFERROR(__xludf.DUMMYFUNCTION("""COMPUTED_VALUE"""),"1108260030367")</f>
        <v>1108260030367</v>
      </c>
      <c r="AP1335" s="80" t="str">
        <f>IFERROR(__xludf.DUMMYFUNCTION("""COMPUTED_VALUE"""),"1108260030367")</f>
        <v>1108260030367</v>
      </c>
      <c r="AQ1335" s="83" t="str">
        <f>IFERROR(__xludf.DUMMYFUNCTION("""COMPUTED_VALUE"""),"736901022125504")</f>
        <v>736901022125504</v>
      </c>
      <c r="AR1335" s="80" t="str">
        <f>IFERROR(__xludf.DUMMYFUNCTION("""COMPUTED_VALUE"""),"BRI")</f>
        <v>BRI</v>
      </c>
      <c r="AS1335" s="80" t="str">
        <f>IFERROR(__xludf.DUMMYFUNCTION("""COMPUTED_VALUE"""),"MUHAMAD NOVAL MUSTAKIM")</f>
        <v>MUHAMAD NOVAL MUSTAKIM</v>
      </c>
      <c r="AT1335" s="80" t="str">
        <f>IFERROR(__xludf.DUMMYFUNCTION("""COMPUTED_VALUE"""),"-6.1456653,106.5346817")</f>
        <v>-6.1456653,106.5346817</v>
      </c>
      <c r="AU1335" s="80" t="str">
        <f>IFERROR(__xludf.DUMMYFUNCTION("""COMPUTED_VALUE"""),"-6.1456653,106.5346817")</f>
        <v>-6.1456653,106.5346817</v>
      </c>
      <c r="AV1335" s="80"/>
      <c r="AW1335" s="80"/>
      <c r="AX1335" s="80"/>
      <c r="AY1335" s="80"/>
      <c r="AZ1335" s="80"/>
      <c r="BA1335" s="80"/>
      <c r="BB1335" s="80"/>
      <c r="BC1335" s="80"/>
      <c r="BD1335" s="80"/>
      <c r="BE1335" s="80"/>
      <c r="BF1335" s="80"/>
      <c r="BG1335" s="80"/>
      <c r="BH1335" s="80"/>
      <c r="BI1335" s="80"/>
      <c r="BJ1335" s="80"/>
      <c r="BK1335" s="80"/>
      <c r="BL1335" s="80"/>
      <c r="BM1335" s="80"/>
      <c r="BN1335" s="80"/>
      <c r="BO1335" s="80"/>
      <c r="BP1335" s="80"/>
      <c r="BQ1335" s="80"/>
      <c r="BR1335" s="80"/>
      <c r="BS1335" s="80"/>
      <c r="BT1335" s="80"/>
      <c r="BU1335" s="80"/>
      <c r="BV1335" s="80"/>
      <c r="BW1335" s="80"/>
      <c r="BX1335" s="80"/>
      <c r="BY1335" s="80"/>
      <c r="BZ1335" s="80"/>
      <c r="CA1335" s="80"/>
      <c r="CB1335" s="80"/>
      <c r="CC1335" s="80"/>
      <c r="CD1335" s="80"/>
      <c r="CE1335" s="80"/>
      <c r="CF1335" s="80"/>
      <c r="CG1335" s="80"/>
      <c r="CH1335" s="80"/>
      <c r="CI1335" s="80"/>
      <c r="CJ1335" s="80"/>
      <c r="CK1335" s="2"/>
    </row>
    <row r="1336" ht="12.75" customHeight="1">
      <c r="A1336" s="85">
        <f>IFERROR(__xludf.DUMMYFUNCTION("""COMPUTED_VALUE"""),1332.0)</f>
        <v>1332</v>
      </c>
      <c r="B1336" s="85"/>
      <c r="C1336" s="85"/>
      <c r="D1336" s="86">
        <f>IFERROR(__xludf.DUMMYFUNCTION("""COMPUTED_VALUE"""),46245.0)</f>
        <v>46245</v>
      </c>
      <c r="E1336" s="88"/>
      <c r="F1336" s="85"/>
      <c r="G1336" s="86">
        <f>IFERROR(__xludf.DUMMYFUNCTION("""COMPUTED_VALUE"""),46275.0)</f>
        <v>46275</v>
      </c>
      <c r="H1336" s="85"/>
      <c r="I1336" s="85"/>
      <c r="J1336" s="85"/>
      <c r="K1336" s="85"/>
      <c r="L1336" s="85">
        <f>IFERROR(__xludf.DUMMYFUNCTION("""COMPUTED_VALUE"""),30.0)</f>
        <v>30</v>
      </c>
      <c r="M1336" s="85"/>
      <c r="N1336" s="85"/>
      <c r="O1336" s="85"/>
      <c r="P1336" s="85" t="str">
        <f>IFERROR(__xludf.DUMMYFUNCTION("""COMPUTED_VALUE"""),"53BSPA17183JBNDS")</f>
        <v>53BSPA17183JBNDS</v>
      </c>
      <c r="Q1336" s="85" t="str">
        <f>IFERROR(__xludf.DUMMYFUNCTION("""COMPUTED_VALUE"""),"MUC EDU LOGISTIK KALIDERES")</f>
        <v>MUC EDU LOGISTIK KALIDERES</v>
      </c>
      <c r="R1336" s="85" t="str">
        <f>IFERROR(__xludf.DUMMYFUNCTION("""COMPUTED_VALUE"""),"MUC EDU LOGISTIK KALIDERES")</f>
        <v>MUC EDU LOGISTIK KALIDERES</v>
      </c>
      <c r="S1336" s="85" t="str">
        <f>IFERROR(__xludf.DUMMYFUNCTION("""COMPUTED_VALUE"""),"CHAIRUL FIRDAUS")</f>
        <v>CHAIRUL FIRDAUS</v>
      </c>
      <c r="T1336" s="85" t="str">
        <f>IFERROR(__xludf.DUMMYFUNCTION("""COMPUTED_VALUE"""),"JL. BATU AMPAR I NO.134 RT 013 RW 002 BATU AMPAR KRAMATJATI JAKARTA TIMUR")</f>
        <v>JL. BATU AMPAR I NO.134 RT 013 RW 002 BATU AMPAR KRAMATJATI JAKARTA TIMUR</v>
      </c>
      <c r="U1336" s="85" t="str">
        <f>IFERROR(__xludf.DUMMYFUNCTION("""COMPUTED_VALUE"""),"Pasar Kalideres Jl. Peta Selatan No.151-152")</f>
        <v>Pasar Kalideres Jl. Peta Selatan No.151-152</v>
      </c>
      <c r="V1336" s="85" t="str">
        <f>IFERROR(__xludf.DUMMYFUNCTION("""COMPUTED_VALUE"""),"RT 013 \ RW 002")</f>
        <v>RT 013 \ RW 002</v>
      </c>
      <c r="W1336" s="85" t="str">
        <f>IFERROR(__xludf.DUMMYFUNCTION("""COMPUTED_VALUE"""),"Kalideres")</f>
        <v>Kalideres</v>
      </c>
      <c r="X1336" s="85" t="str">
        <f>IFERROR(__xludf.DUMMYFUNCTION("""COMPUTED_VALUE"""),"Kalideres")</f>
        <v>Kalideres</v>
      </c>
      <c r="Y1336" s="85" t="str">
        <f>IFERROR(__xludf.DUMMYFUNCTION("""COMPUTED_VALUE"""),"Jakarta Barat")</f>
        <v>Jakarta Barat</v>
      </c>
      <c r="Z1336" s="85" t="str">
        <f>IFERROR(__xludf.DUMMYFUNCTION("""COMPUTED_VALUE"""),"DKI Jakarta")</f>
        <v>DKI Jakarta</v>
      </c>
      <c r="AA1336" s="85" t="str">
        <f>IFERROR(__xludf.DUMMYFUNCTION("""COMPUTED_VALUE"""),"11840")</f>
        <v>11840</v>
      </c>
      <c r="AB1336" s="85" t="str">
        <f>IFERROR(__xludf.DUMMYFUNCTION("""COMPUTED_VALUE"""),"3175042906890007")</f>
        <v>3175042906890007</v>
      </c>
      <c r="AC1336" s="85" t="str">
        <f>IFERROR(__xludf.DUMMYFUNCTION("""COMPUTED_VALUE"""),"03.728.709.1-085.000")</f>
        <v>03.728.709.1-085.000</v>
      </c>
      <c r="AD1336" s="85" t="str">
        <f>IFERROR(__xludf.DUMMYFUNCTION("""COMPUTED_VALUE"""),"CUM - NDS")</f>
        <v>CUM - NDS</v>
      </c>
      <c r="AE1336" s="85" t="str">
        <f>IFERROR(__xludf.DUMMYFUNCTION("""COMPUTED_VALUE"""),"CUM - NDS")</f>
        <v>CUM - NDS</v>
      </c>
      <c r="AF1336" s="85" t="str">
        <f>IFERROR(__xludf.DUMMYFUNCTION("""COMPUTED_VALUE"""),"088293583589")</f>
        <v>088293583589</v>
      </c>
      <c r="AG1336" s="85" t="str">
        <f>IFERROR(__xludf.DUMMYFUNCTION("""COMPUTED_VALUE"""),"088293583589")</f>
        <v>088293583589</v>
      </c>
      <c r="AH1336" s="85" t="str">
        <f>IFERROR(__xludf.DUMMYFUNCTION("""COMPUTED_VALUE"""),"edukalideres010624@gmail.com")</f>
        <v>edukalideres010624@gmail.com</v>
      </c>
      <c r="AI1336" s="85" t="str">
        <f>IFERROR(__xludf.DUMMYFUNCTION("""COMPUTED_VALUE"""),"11840S7 ")</f>
        <v>11840S7 </v>
      </c>
      <c r="AJ1336" s="85" t="str">
        <f>IFERROR(__xludf.DUMMYFUNCTION("""COMPUTED_VALUE"""),"6aa22b2b7ae02ec8c50e64b4 ")</f>
        <v>6aa22b2b7ae02ec8c50e64b4 </v>
      </c>
      <c r="AK1336" s="85" t="str">
        <f>IFERROR(__xludf.DUMMYFUNCTION("""COMPUTED_VALUE"""),"edukalideres010624@gmail.com")</f>
        <v>edukalideres010624@gmail.com</v>
      </c>
      <c r="AL1336" s="85" t="str">
        <f>IFERROR(__xludf.DUMMYFUNCTION("""COMPUTED_VALUE"""),"#Muc11840S7$")</f>
        <v>#Muc11840S7$</v>
      </c>
      <c r="AM1336" s="85" t="str">
        <f>IFERROR(__xludf.DUMMYFUNCTION("""COMPUTED_VALUE"""),"KANTOR REGIONAL II JAKARTA 10004")</f>
        <v>KANTOR REGIONAL II JAKARTA 10004</v>
      </c>
      <c r="AN1336" s="85" t="str">
        <f>IFERROR(__xludf.DUMMYFUNCTION("""COMPUTED_VALUE"""),"KCU JAKARTAOCEANIA 11000")</f>
        <v>KCU JAKARTAOCEANIA 11000</v>
      </c>
      <c r="AO1336" s="85" t="str">
        <f>IFERROR(__xludf.DUMMYFUNCTION("""COMPUTED_VALUE"""),"1008260052247")</f>
        <v>1008260052247</v>
      </c>
      <c r="AP1336" s="85" t="str">
        <f>IFERROR(__xludf.DUMMYFUNCTION("""COMPUTED_VALUE"""),"1008260052247")</f>
        <v>1008260052247</v>
      </c>
      <c r="AQ1336" s="93" t="str">
        <f>IFERROR(__xludf.DUMMYFUNCTION("""COMPUTED_VALUE"""),"5390548941")</f>
        <v>5390548941</v>
      </c>
      <c r="AR1336" s="85" t="str">
        <f>IFERROR(__xludf.DUMMYFUNCTION("""COMPUTED_VALUE"""),"BCA")</f>
        <v>BCA</v>
      </c>
      <c r="AS1336" s="85" t="str">
        <f>IFERROR(__xludf.DUMMYFUNCTION("""COMPUTED_VALUE"""),"CHAIRUL FIRDAUS")</f>
        <v>CHAIRUL FIRDAUS</v>
      </c>
      <c r="AT1336" s="85" t="str">
        <f>IFERROR(__xludf.DUMMYFUNCTION("""COMPUTED_VALUE"""),"-6.1525202,106.7038205")</f>
        <v>-6.1525202,106.7038205</v>
      </c>
      <c r="AU1336" s="85" t="str">
        <f>IFERROR(__xludf.DUMMYFUNCTION("""COMPUTED_VALUE"""),"-6.1525202,106.7038205")</f>
        <v>-6.1525202,106.7038205</v>
      </c>
      <c r="AV1336" s="85"/>
      <c r="AW1336" s="85"/>
      <c r="AX1336" s="85"/>
      <c r="AY1336" s="85"/>
      <c r="AZ1336" s="85"/>
      <c r="BA1336" s="85"/>
      <c r="BB1336" s="85"/>
      <c r="BC1336" s="85"/>
      <c r="BD1336" s="85"/>
      <c r="BE1336" s="85"/>
      <c r="BF1336" s="85"/>
      <c r="BG1336" s="85"/>
      <c r="BH1336" s="85"/>
      <c r="BI1336" s="85"/>
      <c r="BJ1336" s="85"/>
      <c r="BK1336" s="85"/>
      <c r="BL1336" s="85"/>
      <c r="BM1336" s="85"/>
      <c r="BN1336" s="85"/>
      <c r="BO1336" s="85"/>
      <c r="BP1336" s="85"/>
      <c r="BQ1336" s="85"/>
      <c r="BR1336" s="85"/>
      <c r="BS1336" s="85"/>
      <c r="BT1336" s="85"/>
      <c r="BU1336" s="85"/>
      <c r="BV1336" s="85"/>
      <c r="BW1336" s="85"/>
      <c r="BX1336" s="85"/>
      <c r="BY1336" s="85"/>
      <c r="BZ1336" s="85"/>
      <c r="CA1336" s="85"/>
      <c r="CB1336" s="85"/>
      <c r="CC1336" s="85"/>
      <c r="CD1336" s="85"/>
      <c r="CE1336" s="85"/>
      <c r="CF1336" s="85"/>
      <c r="CG1336" s="85"/>
      <c r="CH1336" s="85"/>
      <c r="CI1336" s="85"/>
      <c r="CJ1336" s="85"/>
      <c r="CK1336" s="2"/>
    </row>
    <row r="1337" ht="12.75" customHeight="1">
      <c r="A1337" s="80">
        <f>IFERROR(__xludf.DUMMYFUNCTION("""COMPUTED_VALUE"""),1333.0)</f>
        <v>1333</v>
      </c>
      <c r="B1337" s="80"/>
      <c r="C1337" s="80"/>
      <c r="D1337" s="81">
        <f>IFERROR(__xludf.DUMMYFUNCTION("""COMPUTED_VALUE"""),46245.0)</f>
        <v>46245</v>
      </c>
      <c r="E1337" s="82"/>
      <c r="F1337" s="80"/>
      <c r="G1337" s="81">
        <f>IFERROR(__xludf.DUMMYFUNCTION("""COMPUTED_VALUE"""),46281.0)</f>
        <v>46281</v>
      </c>
      <c r="H1337" s="80"/>
      <c r="I1337" s="80"/>
      <c r="J1337" s="80"/>
      <c r="K1337" s="80"/>
      <c r="L1337" s="80">
        <f>IFERROR(__xludf.DUMMYFUNCTION("""COMPUTED_VALUE"""),36.0)</f>
        <v>36</v>
      </c>
      <c r="M1337" s="80"/>
      <c r="N1337" s="80"/>
      <c r="O1337" s="80"/>
      <c r="P1337" s="80" t="str">
        <f>IFERROR(__xludf.DUMMYFUNCTION("""COMPUTED_VALUE"""),"MUCSPA70010PSAAK")</f>
        <v>MUCSPA70010PSAAK</v>
      </c>
      <c r="Q1337" s="80" t="str">
        <f>IFERROR(__xludf.DUMMYFUNCTION("""COMPUTED_VALUE"""),"MUC CILEGON BOJONEGARA")</f>
        <v>MUC CILEGON BOJONEGARA</v>
      </c>
      <c r="R1337" s="80" t="str">
        <f>IFERROR(__xludf.DUMMYFUNCTION("""COMPUTED_VALUE"""),"MUC CILEGON BOJONEGARA")</f>
        <v>MUC CILEGON BOJONEGARA</v>
      </c>
      <c r="S1337" s="80" t="str">
        <f>IFERROR(__xludf.DUMMYFUNCTION("""COMPUTED_VALUE"""),"WATENO")</f>
        <v>WATENO</v>
      </c>
      <c r="T1337" s="80" t="str">
        <f>IFERROR(__xludf.DUMMYFUNCTION("""COMPUTED_VALUE"""),"Perum Wahana PD Gede Blok C2 No.2 RT 013 RW 007 Jatiranggon Jatisampurna Bekasi")</f>
        <v>Perum Wahana PD Gede Blok C2 No.2 RT 013 RW 007 Jatiranggon Jatisampurna Bekasi</v>
      </c>
      <c r="U1337" s="80" t="str">
        <f>IFERROR(__xludf.DUMMYFUNCTION("""COMPUTED_VALUE"""),"Jl. Bojonegara Link Pecek RT 02 RW 03, Gedong Dalem Jombang, Cilegon Banten")</f>
        <v>Jl. Bojonegara Link Pecek RT 02 RW 03, Gedong Dalem Jombang, Cilegon Banten</v>
      </c>
      <c r="V1337" s="80" t="str">
        <f>IFERROR(__xludf.DUMMYFUNCTION("""COMPUTED_VALUE"""),"RT 013 \ RW 007")</f>
        <v>RT 013 \ RW 007</v>
      </c>
      <c r="W1337" s="80" t="str">
        <f>IFERROR(__xludf.DUMMYFUNCTION("""COMPUTED_VALUE"""),"Gedong Dalem")</f>
        <v>Gedong Dalem</v>
      </c>
      <c r="X1337" s="80" t="str">
        <f>IFERROR(__xludf.DUMMYFUNCTION("""COMPUTED_VALUE"""),"Jombang")</f>
        <v>Jombang</v>
      </c>
      <c r="Y1337" s="80" t="str">
        <f>IFERROR(__xludf.DUMMYFUNCTION("""COMPUTED_VALUE"""),"Cilegon")</f>
        <v>Cilegon</v>
      </c>
      <c r="Z1337" s="80" t="str">
        <f>IFERROR(__xludf.DUMMYFUNCTION("""COMPUTED_VALUE"""),"Banten")</f>
        <v>Banten</v>
      </c>
      <c r="AA1337" s="80" t="str">
        <f>IFERROR(__xludf.DUMMYFUNCTION("""COMPUTED_VALUE"""),"42413")</f>
        <v>42413</v>
      </c>
      <c r="AB1337" s="80" t="str">
        <f>IFERROR(__xludf.DUMMYFUNCTION("""COMPUTED_VALUE"""),"3275100705690011")</f>
        <v>3275100705690011</v>
      </c>
      <c r="AC1337" s="80" t="str">
        <f>IFERROR(__xludf.DUMMYFUNCTION("""COMPUTED_VALUE"""),"32.751.007.0-569.0011")</f>
        <v>32.751.007.0-569.0011</v>
      </c>
      <c r="AD1337" s="80" t="str">
        <f>IFERROR(__xludf.DUMMYFUNCTION("""COMPUTED_VALUE"""),"CUM - LP - ANGGI")</f>
        <v>CUM - LP - ANGGI</v>
      </c>
      <c r="AE1337" s="80" t="str">
        <f>IFERROR(__xludf.DUMMYFUNCTION("""COMPUTED_VALUE"""),"CUM - LP - ANGGI")</f>
        <v>CUM - LP - ANGGI</v>
      </c>
      <c r="AF1337" s="80" t="str">
        <f>IFERROR(__xludf.DUMMYFUNCTION("""COMPUTED_VALUE"""),"081313180569")</f>
        <v>081313180569</v>
      </c>
      <c r="AG1337" s="80" t="str">
        <f>IFERROR(__xludf.DUMMYFUNCTION("""COMPUTED_VALUE"""),"081313180569")</f>
        <v>081313180569</v>
      </c>
      <c r="AH1337" s="80" t="str">
        <f>IFERROR(__xludf.DUMMYFUNCTION("""COMPUTED_VALUE"""),"watenoteno@gmail.com")</f>
        <v>watenoteno@gmail.com</v>
      </c>
      <c r="AI1337" s="80" t="str">
        <f>IFERROR(__xludf.DUMMYFUNCTION("""COMPUTED_VALUE"""),"42413S1 ")</f>
        <v>42413S1 </v>
      </c>
      <c r="AJ1337" s="80" t="str">
        <f>IFERROR(__xludf.DUMMYFUNCTION("""COMPUTED_VALUE"""),"6aa9194216c186d4a00510fa ")</f>
        <v>6aa9194216c186d4a00510fa </v>
      </c>
      <c r="AK1337" s="80" t="str">
        <f>IFERROR(__xludf.DUMMYFUNCTION("""COMPUTED_VALUE"""),"watenoteno@gmail.com")</f>
        <v>watenoteno@gmail.com</v>
      </c>
      <c r="AL1337" s="80" t="str">
        <f>IFERROR(__xludf.DUMMYFUNCTION("""COMPUTED_VALUE"""),"#Muc42413S1$")</f>
        <v>#Muc42413S1$</v>
      </c>
      <c r="AM1337" s="80" t="str">
        <f>IFERROR(__xludf.DUMMYFUNCTION("""COMPUTED_VALUE"""),"KANTOR REGIONAL II JAKARTA 10004")</f>
        <v>KANTOR REGIONAL II JAKARTA 10004</v>
      </c>
      <c r="AN1337" s="80" t="str">
        <f>IFERROR(__xludf.DUMMYFUNCTION("""COMPUTED_VALUE"""),"KC CILEGON 42400")</f>
        <v>KC CILEGON 42400</v>
      </c>
      <c r="AO1337" s="80" t="str">
        <f>IFERROR(__xludf.DUMMYFUNCTION("""COMPUTED_VALUE"""),"0708260052705")</f>
        <v>0708260052705</v>
      </c>
      <c r="AP1337" s="80" t="str">
        <f>IFERROR(__xludf.DUMMYFUNCTION("""COMPUTED_VALUE"""),"0708260052705")</f>
        <v>0708260052705</v>
      </c>
      <c r="AQ1337" s="83" t="str">
        <f>IFERROR(__xludf.DUMMYFUNCTION("""COMPUTED_VALUE"""),"1630000107857")</f>
        <v>1630000107857</v>
      </c>
      <c r="AR1337" s="80" t="str">
        <f>IFERROR(__xludf.DUMMYFUNCTION("""COMPUTED_VALUE"""),"MANDIRI")</f>
        <v>MANDIRI</v>
      </c>
      <c r="AS1337" s="80" t="str">
        <f>IFERROR(__xludf.DUMMYFUNCTION("""COMPUTED_VALUE"""),"WATENO")</f>
        <v>WATENO</v>
      </c>
      <c r="AT1337" s="80" t="str">
        <f>IFERROR(__xludf.DUMMYFUNCTION("""COMPUTED_VALUE"""),"-5.9972895,106.0706489")</f>
        <v>-5.9972895,106.0706489</v>
      </c>
      <c r="AU1337" s="80" t="str">
        <f>IFERROR(__xludf.DUMMYFUNCTION("""COMPUTED_VALUE"""),"-5.9972895,106.0706489")</f>
        <v>-5.9972895,106.0706489</v>
      </c>
      <c r="AV1337" s="80"/>
      <c r="AW1337" s="80"/>
      <c r="AX1337" s="80"/>
      <c r="AY1337" s="80"/>
      <c r="AZ1337" s="80"/>
      <c r="BA1337" s="80"/>
      <c r="BB1337" s="80"/>
      <c r="BC1337" s="80"/>
      <c r="BD1337" s="80"/>
      <c r="BE1337" s="80"/>
      <c r="BF1337" s="80"/>
      <c r="BG1337" s="80"/>
      <c r="BH1337" s="80"/>
      <c r="BI1337" s="80"/>
      <c r="BJ1337" s="80"/>
      <c r="BK1337" s="80"/>
      <c r="BL1337" s="80"/>
      <c r="BM1337" s="80"/>
      <c r="BN1337" s="80"/>
      <c r="BO1337" s="80"/>
      <c r="BP1337" s="80"/>
      <c r="BQ1337" s="80"/>
      <c r="BR1337" s="80"/>
      <c r="BS1337" s="80"/>
      <c r="BT1337" s="80"/>
      <c r="BU1337" s="80"/>
      <c r="BV1337" s="80"/>
      <c r="BW1337" s="80"/>
      <c r="BX1337" s="80"/>
      <c r="BY1337" s="80"/>
      <c r="BZ1337" s="80"/>
      <c r="CA1337" s="80"/>
      <c r="CB1337" s="80"/>
      <c r="CC1337" s="80"/>
      <c r="CD1337" s="80"/>
      <c r="CE1337" s="80"/>
      <c r="CF1337" s="80"/>
      <c r="CG1337" s="80"/>
      <c r="CH1337" s="80"/>
      <c r="CI1337" s="80"/>
      <c r="CJ1337" s="80"/>
      <c r="CK1337" s="2"/>
    </row>
    <row r="1338" ht="12.75" customHeight="1">
      <c r="A1338" s="85">
        <f>IFERROR(__xludf.DUMMYFUNCTION("""COMPUTED_VALUE"""),1334.0)</f>
        <v>1334</v>
      </c>
      <c r="B1338" s="85"/>
      <c r="C1338" s="85"/>
      <c r="D1338" s="86">
        <f>IFERROR(__xludf.DUMMYFUNCTION("""COMPUTED_VALUE"""),46246.0)</f>
        <v>46246</v>
      </c>
      <c r="E1338" s="88"/>
      <c r="F1338" s="85"/>
      <c r="G1338" s="86">
        <f>IFERROR(__xludf.DUMMYFUNCTION("""COMPUTED_VALUE"""),46252.0)</f>
        <v>46252</v>
      </c>
      <c r="H1338" s="85"/>
      <c r="I1338" s="85"/>
      <c r="J1338" s="85"/>
      <c r="K1338" s="85"/>
      <c r="L1338" s="85">
        <f>IFERROR(__xludf.DUMMYFUNCTION("""COMPUTED_VALUE"""),6.0)</f>
        <v>6</v>
      </c>
      <c r="M1338" s="85"/>
      <c r="N1338" s="85"/>
      <c r="O1338" s="85"/>
      <c r="P1338" s="85" t="str">
        <f>IFERROR(__xludf.DUMMYFUNCTION("""COMPUTED_VALUE"""),"MUCSPA63650PSIND")</f>
        <v>MUCSPA63650PSIND</v>
      </c>
      <c r="Q1338" s="85" t="str">
        <f>IFERROR(__xludf.DUMMYFUNCTION("""COMPUTED_VALUE"""),"MUC NUSANTARA BEKASI")</f>
        <v>MUC NUSANTARA BEKASI</v>
      </c>
      <c r="R1338" s="85" t="str">
        <f>IFERROR(__xludf.DUMMYFUNCTION("""COMPUTED_VALUE"""),"MUC NUSANTARA BEKASI")</f>
        <v>MUC NUSANTARA BEKASI</v>
      </c>
      <c r="S1338" s="85" t="str">
        <f>IFERROR(__xludf.DUMMYFUNCTION("""COMPUTED_VALUE"""),"ISMA KARTIKA")</f>
        <v>ISMA KARTIKA</v>
      </c>
      <c r="T1338" s="85" t="str">
        <f>IFERROR(__xludf.DUMMYFUNCTION("""COMPUTED_VALUE"""),"Jl. Tebet Utara III E No.18 RT.007/002 Tebet Timur Tebet, Jakarta Selatan")</f>
        <v>Jl. Tebet Utara III E No.18 RT.007/002 Tebet Timur Tebet, Jakarta Selatan</v>
      </c>
      <c r="U1338" s="85" t="str">
        <f>IFERROR(__xludf.DUMMYFUNCTION("""COMPUTED_VALUE"""),"Jl. Rawa Bebek No.5, RT.006/RW.012, Kota Baru, Kec. Bekasi Barat")</f>
        <v>Jl. Rawa Bebek No.5, RT.006/RW.012, Kota Baru, Kec. Bekasi Barat</v>
      </c>
      <c r="V1338" s="85"/>
      <c r="W1338" s="85" t="str">
        <f>IFERROR(__xludf.DUMMYFUNCTION("""COMPUTED_VALUE"""),"Kotabaru")</f>
        <v>Kotabaru</v>
      </c>
      <c r="X1338" s="85" t="str">
        <f>IFERROR(__xludf.DUMMYFUNCTION("""COMPUTED_VALUE"""),"Bekasi Barat")</f>
        <v>Bekasi Barat</v>
      </c>
      <c r="Y1338" s="85" t="str">
        <f>IFERROR(__xludf.DUMMYFUNCTION("""COMPUTED_VALUE"""),"Bekasi")</f>
        <v>Bekasi</v>
      </c>
      <c r="Z1338" s="85" t="str">
        <f>IFERROR(__xludf.DUMMYFUNCTION("""COMPUTED_VALUE"""),"Jawa Barat")</f>
        <v>Jawa Barat</v>
      </c>
      <c r="AA1338" s="85" t="str">
        <f>IFERROR(__xludf.DUMMYFUNCTION("""COMPUTED_VALUE"""),"17133")</f>
        <v>17133</v>
      </c>
      <c r="AB1338" s="85" t="str">
        <f>IFERROR(__xludf.DUMMYFUNCTION("""COMPUTED_VALUE"""),"3275025306600017")</f>
        <v>3275025306600017</v>
      </c>
      <c r="AC1338" s="85" t="str">
        <f>IFERROR(__xludf.DUMMYFUNCTION("""COMPUTED_VALUE"""),"47.439.103.4-015.000")</f>
        <v>47.439.103.4-015.000</v>
      </c>
      <c r="AD1338" s="85" t="str">
        <f>IFERROR(__xludf.DUMMYFUNCTION("""COMPUTED_VALUE"""),"CUM - PS - AYS")</f>
        <v>CUM - PS - AYS</v>
      </c>
      <c r="AE1338" s="85" t="str">
        <f>IFERROR(__xludf.DUMMYFUNCTION("""COMPUTED_VALUE"""),"CUM - PS - AYS")</f>
        <v>CUM - PS - AYS</v>
      </c>
      <c r="AF1338" s="85" t="str">
        <f>IFERROR(__xludf.DUMMYFUNCTION("""COMPUTED_VALUE"""),"08111893647")</f>
        <v>08111893647</v>
      </c>
      <c r="AG1338" s="85" t="str">
        <f>IFERROR(__xludf.DUMMYFUNCTION("""COMPUTED_VALUE"""),"08111893647")</f>
        <v>08111893647</v>
      </c>
      <c r="AH1338" s="85" t="str">
        <f>IFERROR(__xludf.DUMMYFUNCTION("""COMPUTED_VALUE"""),"ismakartika@yahoo.com")</f>
        <v>ismakartika@yahoo.com</v>
      </c>
      <c r="AI1338" s="85" t="str">
        <f>IFERROR(__xludf.DUMMYFUNCTION("""COMPUTED_VALUE"""),"17139S4")</f>
        <v>17139S4</v>
      </c>
      <c r="AJ1338" s="85" t="str">
        <f>IFERROR(__xludf.DUMMYFUNCTION("""COMPUTED_VALUE"""),"6a840b242d1708a4d303160e")</f>
        <v>6a840b242d1708a4d303160e</v>
      </c>
      <c r="AK1338" s="85" t="str">
        <f>IFERROR(__xludf.DUMMYFUNCTION("""COMPUTED_VALUE"""),"ismakartika@yahoo.com")</f>
        <v>ismakartika@yahoo.com</v>
      </c>
      <c r="AL1338" s="85" t="str">
        <f>IFERROR(__xludf.DUMMYFUNCTION("""COMPUTED_VALUE"""),"#Muc17139S4$")</f>
        <v>#Muc17139S4$</v>
      </c>
      <c r="AM1338" s="85" t="str">
        <f>IFERROR(__xludf.DUMMYFUNCTION("""COMPUTED_VALUE"""),"KANTOR REGIONAL II JAKARTA 10004")</f>
        <v>KANTOR REGIONAL II JAKARTA 10004</v>
      </c>
      <c r="AN1338" s="85" t="str">
        <f>IFERROR(__xludf.DUMMYFUNCTION("""COMPUTED_VALUE"""),"KCU BEKASI 17000")</f>
        <v>KCU BEKASI 17000</v>
      </c>
      <c r="AO1338" s="85" t="str">
        <f>IFERROR(__xludf.DUMMYFUNCTION("""COMPUTED_VALUE"""),"1008260087452")</f>
        <v>1008260087452</v>
      </c>
      <c r="AP1338" s="85" t="str">
        <f>IFERROR(__xludf.DUMMYFUNCTION("""COMPUTED_VALUE"""),"1008260087452")</f>
        <v>1008260087452</v>
      </c>
      <c r="AQ1338" s="93" t="str">
        <f>IFERROR(__xludf.DUMMYFUNCTION("""COMPUTED_VALUE"""),"6630405023")</f>
        <v>6630405023</v>
      </c>
      <c r="AR1338" s="85" t="str">
        <f>IFERROR(__xludf.DUMMYFUNCTION("""COMPUTED_VALUE"""),"BCA")</f>
        <v>BCA</v>
      </c>
      <c r="AS1338" s="85" t="str">
        <f>IFERROR(__xludf.DUMMYFUNCTION("""COMPUTED_VALUE"""),"ISMA KARTIKA")</f>
        <v>ISMA KARTIKA</v>
      </c>
      <c r="AT1338" s="85" t="str">
        <f>IFERROR(__xludf.DUMMYFUNCTION("""COMPUTED_VALUE"""),"-6.2178,106.9625181")</f>
        <v>-6.2178,106.9625181</v>
      </c>
      <c r="AU1338" s="85" t="str">
        <f>IFERROR(__xludf.DUMMYFUNCTION("""COMPUTED_VALUE"""),"-6.2178,106.9625181")</f>
        <v>-6.2178,106.9625181</v>
      </c>
      <c r="AV1338" s="85"/>
      <c r="AW1338" s="85"/>
      <c r="AX1338" s="85"/>
      <c r="AY1338" s="85"/>
      <c r="AZ1338" s="85"/>
      <c r="BA1338" s="85"/>
      <c r="BB1338" s="85"/>
      <c r="BC1338" s="85"/>
      <c r="BD1338" s="85"/>
      <c r="BE1338" s="85"/>
      <c r="BF1338" s="85"/>
      <c r="BG1338" s="85"/>
      <c r="BH1338" s="85"/>
      <c r="BI1338" s="85"/>
      <c r="BJ1338" s="85"/>
      <c r="BK1338" s="85"/>
      <c r="BL1338" s="85"/>
      <c r="BM1338" s="85"/>
      <c r="BN1338" s="85"/>
      <c r="BO1338" s="85"/>
      <c r="BP1338" s="85"/>
      <c r="BQ1338" s="85"/>
      <c r="BR1338" s="85"/>
      <c r="BS1338" s="85"/>
      <c r="BT1338" s="85"/>
      <c r="BU1338" s="85"/>
      <c r="BV1338" s="85"/>
      <c r="BW1338" s="85"/>
      <c r="BX1338" s="85"/>
      <c r="BY1338" s="85"/>
      <c r="BZ1338" s="85"/>
      <c r="CA1338" s="85"/>
      <c r="CB1338" s="85"/>
      <c r="CC1338" s="85"/>
      <c r="CD1338" s="85"/>
      <c r="CE1338" s="85"/>
      <c r="CF1338" s="85"/>
      <c r="CG1338" s="85"/>
      <c r="CH1338" s="85"/>
      <c r="CI1338" s="85"/>
      <c r="CJ1338" s="85"/>
      <c r="CK1338" s="2"/>
    </row>
    <row r="1339" ht="12.75" customHeight="1">
      <c r="A1339" s="80">
        <f>IFERROR(__xludf.DUMMYFUNCTION("""COMPUTED_VALUE"""),1335.0)</f>
        <v>1335</v>
      </c>
      <c r="B1339" s="80"/>
      <c r="C1339" s="80"/>
      <c r="D1339" s="81">
        <f>IFERROR(__xludf.DUMMYFUNCTION("""COMPUTED_VALUE"""),46246.0)</f>
        <v>46246</v>
      </c>
      <c r="E1339" s="82"/>
      <c r="F1339" s="80"/>
      <c r="G1339" s="81">
        <f>IFERROR(__xludf.DUMMYFUNCTION("""COMPUTED_VALUE"""),46252.0)</f>
        <v>46252</v>
      </c>
      <c r="H1339" s="80"/>
      <c r="I1339" s="80"/>
      <c r="J1339" s="80"/>
      <c r="K1339" s="80"/>
      <c r="L1339" s="80">
        <f>IFERROR(__xludf.DUMMYFUNCTION("""COMPUTED_VALUE"""),6.0)</f>
        <v>6</v>
      </c>
      <c r="M1339" s="80"/>
      <c r="N1339" s="80"/>
      <c r="O1339" s="80"/>
      <c r="P1339" s="80" t="str">
        <f>IFERROR(__xludf.DUMMYFUNCTION("""COMPUTED_VALUE"""),"MUCSPA70052PSUMK")</f>
        <v>MUCSPA70052PSUMK</v>
      </c>
      <c r="Q1339" s="80" t="str">
        <f>IFERROR(__xludf.DUMMYFUNCTION("""COMPUTED_VALUE"""),"MUC LAYYANA")</f>
        <v>MUC LAYYANA</v>
      </c>
      <c r="R1339" s="80" t="str">
        <f>IFERROR(__xludf.DUMMYFUNCTION("""COMPUTED_VALUE"""),"MUC LAYYANA")</f>
        <v>MUC LAYYANA</v>
      </c>
      <c r="S1339" s="80" t="str">
        <f>IFERROR(__xludf.DUMMYFUNCTION("""COMPUTED_VALUE"""),"BUDI SANTOSA DANUSAPUTRO")</f>
        <v>BUDI SANTOSA DANUSAPUTRO</v>
      </c>
      <c r="T1339" s="80" t="str">
        <f>IFERROR(__xludf.DUMMYFUNCTION("""COMPUTED_VALUE"""),"APR CEMPAKA MAS E2/23/02 RT.006/008 SUMUR BATU KEMAYORAN JAKARTA PUSAT")</f>
        <v>APR CEMPAKA MAS E2/23/02 RT.006/008 SUMUR BATU KEMAYORAN JAKARTA PUSAT</v>
      </c>
      <c r="U1339" s="80" t="str">
        <f>IFERROR(__xludf.DUMMYFUNCTION("""COMPUTED_VALUE"""),"Jl. Harapan Indah Raya IB No.15, RT.008/RW.017")</f>
        <v>Jl. Harapan Indah Raya IB No.15, RT.008/RW.017</v>
      </c>
      <c r="V1339" s="80"/>
      <c r="W1339" s="80" t="str">
        <f>IFERROR(__xludf.DUMMYFUNCTION("""COMPUTED_VALUE"""),"Pejuang")</f>
        <v>Pejuang</v>
      </c>
      <c r="X1339" s="80" t="str">
        <f>IFERROR(__xludf.DUMMYFUNCTION("""COMPUTED_VALUE"""),"Medan Satria")</f>
        <v>Medan Satria</v>
      </c>
      <c r="Y1339" s="80" t="str">
        <f>IFERROR(__xludf.DUMMYFUNCTION("""COMPUTED_VALUE"""),"Bekasi")</f>
        <v>Bekasi</v>
      </c>
      <c r="Z1339" s="80" t="str">
        <f>IFERROR(__xludf.DUMMYFUNCTION("""COMPUTED_VALUE"""),"Jawa Barat")</f>
        <v>Jawa Barat</v>
      </c>
      <c r="AA1339" s="80" t="str">
        <f>IFERROR(__xludf.DUMMYFUNCTION("""COMPUTED_VALUE"""),"17131")</f>
        <v>17131</v>
      </c>
      <c r="AB1339" s="80" t="str">
        <f>IFERROR(__xludf.DUMMYFUNCTION("""COMPUTED_VALUE"""),"3171032005600002")</f>
        <v>3171032005600002</v>
      </c>
      <c r="AC1339" s="80" t="str">
        <f>IFERROR(__xludf.DUMMYFUNCTION("""COMPUTED_VALUE"""),"47.962.181.5-027.000")</f>
        <v>47.962.181.5-027.000</v>
      </c>
      <c r="AD1339" s="80" t="str">
        <f>IFERROR(__xludf.DUMMYFUNCTION("""COMPUTED_VALUE"""),"CUM - UMKMNK - ASEP")</f>
        <v>CUM - UMKMNK - ASEP</v>
      </c>
      <c r="AE1339" s="80" t="str">
        <f>IFERROR(__xludf.DUMMYFUNCTION("""COMPUTED_VALUE"""),"CUM - UMKMNK - ASEP")</f>
        <v>CUM - UMKMNK - ASEP</v>
      </c>
      <c r="AF1339" s="80" t="str">
        <f>IFERROR(__xludf.DUMMYFUNCTION("""COMPUTED_VALUE"""),"0818665678")</f>
        <v>0818665678</v>
      </c>
      <c r="AG1339" s="80" t="str">
        <f>IFERROR(__xludf.DUMMYFUNCTION("""COMPUTED_VALUE"""),"0818665678")</f>
        <v>0818665678</v>
      </c>
      <c r="AH1339" s="80" t="str">
        <f>IFERROR(__xludf.DUMMYFUNCTION("""COMPUTED_VALUE"""),"yulianaliu017@gmail.com")</f>
        <v>yulianaliu017@gmail.com</v>
      </c>
      <c r="AI1339" s="80" t="str">
        <f>IFERROR(__xludf.DUMMYFUNCTION("""COMPUTED_VALUE"""),"17181S6")</f>
        <v>17181S6</v>
      </c>
      <c r="AJ1339" s="80" t="str">
        <f>IFERROR(__xludf.DUMMYFUNCTION("""COMPUTED_VALUE"""),"6a83d74da2b4daa29c0d2f19")</f>
        <v>6a83d74da2b4daa29c0d2f19</v>
      </c>
      <c r="AK1339" s="80" t="str">
        <f>IFERROR(__xludf.DUMMYFUNCTION("""COMPUTED_VALUE"""),"yulianaliu017@gmail.com")</f>
        <v>yulianaliu017@gmail.com</v>
      </c>
      <c r="AL1339" s="80" t="str">
        <f>IFERROR(__xludf.DUMMYFUNCTION("""COMPUTED_VALUE"""),"#Muc17181S6$")</f>
        <v>#Muc17181S6$</v>
      </c>
      <c r="AM1339" s="80" t="str">
        <f>IFERROR(__xludf.DUMMYFUNCTION("""COMPUTED_VALUE"""),"KANTOR REGIONAL II JAKARTA 10004")</f>
        <v>KANTOR REGIONAL II JAKARTA 10004</v>
      </c>
      <c r="AN1339" s="80" t="str">
        <f>IFERROR(__xludf.DUMMYFUNCTION("""COMPUTED_VALUE"""),"KCU BEKASI 17000")</f>
        <v>KCU BEKASI 17000</v>
      </c>
      <c r="AO1339" s="80" t="str">
        <f>IFERROR(__xludf.DUMMYFUNCTION("""COMPUTED_VALUE"""),"1108260069802")</f>
        <v>1108260069802</v>
      </c>
      <c r="AP1339" s="80" t="str">
        <f>IFERROR(__xludf.DUMMYFUNCTION("""COMPUTED_VALUE"""),"1108260069802")</f>
        <v>1108260069802</v>
      </c>
      <c r="AQ1339" s="83" t="str">
        <f>IFERROR(__xludf.DUMMYFUNCTION("""COMPUTED_VALUE"""),"0948819760")</f>
        <v>0948819760</v>
      </c>
      <c r="AR1339" s="80" t="str">
        <f>IFERROR(__xludf.DUMMYFUNCTION("""COMPUTED_VALUE"""),"BCA")</f>
        <v>BCA</v>
      </c>
      <c r="AS1339" s="80" t="str">
        <f>IFERROR(__xludf.DUMMYFUNCTION("""COMPUTED_VALUE"""),"PT. SELERA OLAHAN NUSANTARA")</f>
        <v>PT. SELERA OLAHAN NUSANTARA</v>
      </c>
      <c r="AT1339" s="80" t="str">
        <f>IFERROR(__xludf.DUMMYFUNCTION("""COMPUTED_VALUE"""),"-6.1796367,106.9812586")</f>
        <v>-6.1796367,106.9812586</v>
      </c>
      <c r="AU1339" s="80" t="str">
        <f>IFERROR(__xludf.DUMMYFUNCTION("""COMPUTED_VALUE"""),"-6.1796367,106.9812586")</f>
        <v>-6.1796367,106.9812586</v>
      </c>
      <c r="AV1339" s="80"/>
      <c r="AW1339" s="80"/>
      <c r="AX1339" s="80"/>
      <c r="AY1339" s="80"/>
      <c r="AZ1339" s="80"/>
      <c r="BA1339" s="80"/>
      <c r="BB1339" s="80"/>
      <c r="BC1339" s="80"/>
      <c r="BD1339" s="80"/>
      <c r="BE1339" s="80"/>
      <c r="BF1339" s="80"/>
      <c r="BG1339" s="80"/>
      <c r="BH1339" s="80"/>
      <c r="BI1339" s="80"/>
      <c r="BJ1339" s="80"/>
      <c r="BK1339" s="80"/>
      <c r="BL1339" s="80"/>
      <c r="BM1339" s="80"/>
      <c r="BN1339" s="80"/>
      <c r="BO1339" s="80"/>
      <c r="BP1339" s="80"/>
      <c r="BQ1339" s="80"/>
      <c r="BR1339" s="80"/>
      <c r="BS1339" s="80"/>
      <c r="BT1339" s="80"/>
      <c r="BU1339" s="80"/>
      <c r="BV1339" s="80"/>
      <c r="BW1339" s="80"/>
      <c r="BX1339" s="80"/>
      <c r="BY1339" s="80"/>
      <c r="BZ1339" s="80"/>
      <c r="CA1339" s="80"/>
      <c r="CB1339" s="80"/>
      <c r="CC1339" s="80"/>
      <c r="CD1339" s="80"/>
      <c r="CE1339" s="80"/>
      <c r="CF1339" s="80"/>
      <c r="CG1339" s="80"/>
      <c r="CH1339" s="80"/>
      <c r="CI1339" s="80"/>
      <c r="CJ1339" s="80"/>
      <c r="CK1339" s="2"/>
    </row>
    <row r="1340" ht="12.75" customHeight="1">
      <c r="A1340" s="85">
        <f>IFERROR(__xludf.DUMMYFUNCTION("""COMPUTED_VALUE"""),1336.0)</f>
        <v>1336</v>
      </c>
      <c r="B1340" s="85"/>
      <c r="C1340" s="85"/>
      <c r="D1340" s="86">
        <f>IFERROR(__xludf.DUMMYFUNCTION("""COMPUTED_VALUE"""),46246.0)</f>
        <v>46246</v>
      </c>
      <c r="E1340" s="88"/>
      <c r="F1340" s="85"/>
      <c r="G1340" s="86"/>
      <c r="H1340" s="85"/>
      <c r="I1340" s="85"/>
      <c r="J1340" s="85"/>
      <c r="K1340" s="85"/>
      <c r="L1340" s="85"/>
      <c r="M1340" s="85"/>
      <c r="N1340" s="85"/>
      <c r="O1340" s="85"/>
      <c r="P1340" s="85" t="str">
        <f>IFERROR(__xludf.DUMMYFUNCTION("""COMPUTED_VALUE"""),"52BSPA07672JTAMD")</f>
        <v>52BSPA07672JTAMD</v>
      </c>
      <c r="Q1340" s="85" t="str">
        <f>IFERROR(__xludf.DUMMYFUNCTION("""COMPUTED_VALUE"""),"MUC RIZKY BAROKAH STORE")</f>
        <v>MUC RIZKY BAROKAH STORE</v>
      </c>
      <c r="R1340" s="85" t="str">
        <f>IFERROR(__xludf.DUMMYFUNCTION("""COMPUTED_VALUE"""),"MUC RIZKY BAROKAH STORE")</f>
        <v>MUC RIZKY BAROKAH STORE</v>
      </c>
      <c r="S1340" s="85" t="str">
        <f>IFERROR(__xludf.DUMMYFUNCTION("""COMPUTED_VALUE"""),"DESY RAHMAWATI")</f>
        <v>DESY RAHMAWATI</v>
      </c>
      <c r="T1340" s="85" t="str">
        <f>IFERROR(__xludf.DUMMYFUNCTION("""COMPUTED_VALUE"""),"DK.PRIGIWETAN RT 003 RW 002 JOGOSETRAN KALIKOTES KAB. KLATEN")</f>
        <v>DK.PRIGIWETAN RT 003 RW 002 JOGOSETRAN KALIKOTES KAB. KLATEN</v>
      </c>
      <c r="U1340" s="85" t="str">
        <f>IFERROR(__xludf.DUMMYFUNCTION("""COMPUTED_VALUE"""),"Jl. Wahidin Sudiro Husodo No.23, Semangkak, Klaten Tengah")</f>
        <v>Jl. Wahidin Sudiro Husodo No.23, Semangkak, Klaten Tengah</v>
      </c>
      <c r="V1340" s="85" t="str">
        <f>IFERROR(__xludf.DUMMYFUNCTION("""COMPUTED_VALUE"""),"RT 003 \ RW 002")</f>
        <v>RT 003 \ RW 002</v>
      </c>
      <c r="W1340" s="85" t="str">
        <f>IFERROR(__xludf.DUMMYFUNCTION("""COMPUTED_VALUE"""),"Semangkak")</f>
        <v>Semangkak</v>
      </c>
      <c r="X1340" s="85" t="str">
        <f>IFERROR(__xludf.DUMMYFUNCTION("""COMPUTED_VALUE"""),"Klaten Tengah")</f>
        <v>Klaten Tengah</v>
      </c>
      <c r="Y1340" s="85" t="str">
        <f>IFERROR(__xludf.DUMMYFUNCTION("""COMPUTED_VALUE"""),"Kab. Klaten")</f>
        <v>Kab. Klaten</v>
      </c>
      <c r="Z1340" s="85" t="str">
        <f>IFERROR(__xludf.DUMMYFUNCTION("""COMPUTED_VALUE"""),"Jawa Tengah")</f>
        <v>Jawa Tengah</v>
      </c>
      <c r="AA1340" s="85" t="str">
        <f>IFERROR(__xludf.DUMMYFUNCTION("""COMPUTED_VALUE"""),"57424")</f>
        <v>57424</v>
      </c>
      <c r="AB1340" s="85" t="str">
        <f>IFERROR(__xludf.DUMMYFUNCTION("""COMPUTED_VALUE"""),"3404147112930002")</f>
        <v>3404147112930002</v>
      </c>
      <c r="AC1340" s="85" t="str">
        <f>IFERROR(__xludf.DUMMYFUNCTION("""COMPUTED_VALUE"""),"74.837.000.4-542.000")</f>
        <v>74.837.000.4-542.000</v>
      </c>
      <c r="AD1340" s="85" t="str">
        <f>IFERROR(__xludf.DUMMYFUNCTION("""COMPUTED_VALUE"""),"CUM - AMI")</f>
        <v>CUM - AMI</v>
      </c>
      <c r="AE1340" s="85" t="str">
        <f>IFERROR(__xludf.DUMMYFUNCTION("""COMPUTED_VALUE"""),"CUM - AMI")</f>
        <v>CUM - AMI</v>
      </c>
      <c r="AF1340" s="85" t="str">
        <f>IFERROR(__xludf.DUMMYFUNCTION("""COMPUTED_VALUE"""),"087875020929")</f>
        <v>087875020929</v>
      </c>
      <c r="AG1340" s="85" t="str">
        <f>IFERROR(__xludf.DUMMYFUNCTION("""COMPUTED_VALUE"""),"087875020929")</f>
        <v>087875020929</v>
      </c>
      <c r="AH1340" s="85" t="str">
        <f>IFERROR(__xludf.DUMMYFUNCTION("""COMPUTED_VALUE"""),"rahmawati.dsy93@gmail.com")</f>
        <v>rahmawati.dsy93@gmail.com</v>
      </c>
      <c r="AI1340" s="85"/>
      <c r="AJ1340" s="85"/>
      <c r="AK1340" s="85"/>
      <c r="AL1340" s="85"/>
      <c r="AM1340" s="85" t="str">
        <f>IFERROR(__xludf.DUMMYFUNCTION("""COMPUTED_VALUE"""),"KANTOR REGIONAL IV SEMARANG 50004")</f>
        <v>KANTOR REGIONAL IV SEMARANG 50004</v>
      </c>
      <c r="AN1340" s="85" t="str">
        <f>IFERROR(__xludf.DUMMYFUNCTION("""COMPUTED_VALUE"""),"KC KLATEN 57400")</f>
        <v>KC KLATEN 57400</v>
      </c>
      <c r="AO1340" s="85" t="str">
        <f>IFERROR(__xludf.DUMMYFUNCTION("""COMPUTED_VALUE"""),"2803230013976")</f>
        <v>2803230013976</v>
      </c>
      <c r="AP1340" s="85" t="str">
        <f>IFERROR(__xludf.DUMMYFUNCTION("""COMPUTED_VALUE"""),"2803230013976")</f>
        <v>2803230013976</v>
      </c>
      <c r="AQ1340" s="93" t="str">
        <f>IFERROR(__xludf.DUMMYFUNCTION("""COMPUTED_VALUE"""),"673501026110535")</f>
        <v>673501026110535</v>
      </c>
      <c r="AR1340" s="85" t="str">
        <f>IFERROR(__xludf.DUMMYFUNCTION("""COMPUTED_VALUE"""),"BRI")</f>
        <v>BRI</v>
      </c>
      <c r="AS1340" s="85" t="str">
        <f>IFERROR(__xludf.DUMMYFUNCTION("""COMPUTED_VALUE"""),"DESY RAHMAWATI")</f>
        <v>DESY RAHMAWATI</v>
      </c>
      <c r="AT1340" s="85" t="str">
        <f>IFERROR(__xludf.DUMMYFUNCTION("""COMPUTED_VALUE"""),"-7.6966735,110.6046651")</f>
        <v>-7.6966735,110.6046651</v>
      </c>
      <c r="AU1340" s="85" t="str">
        <f>IFERROR(__xludf.DUMMYFUNCTION("""COMPUTED_VALUE"""),"-7.6966735,110.6046651")</f>
        <v>-7.6966735,110.6046651</v>
      </c>
      <c r="AV1340" s="85"/>
      <c r="AW1340" s="85"/>
      <c r="AX1340" s="85"/>
      <c r="AY1340" s="85"/>
      <c r="AZ1340" s="85"/>
      <c r="BA1340" s="85"/>
      <c r="BB1340" s="85"/>
      <c r="BC1340" s="85"/>
      <c r="BD1340" s="85"/>
      <c r="BE1340" s="85"/>
      <c r="BF1340" s="85"/>
      <c r="BG1340" s="85"/>
      <c r="BH1340" s="85"/>
      <c r="BI1340" s="85"/>
      <c r="BJ1340" s="85"/>
      <c r="BK1340" s="85"/>
      <c r="BL1340" s="85"/>
      <c r="BM1340" s="85"/>
      <c r="BN1340" s="85"/>
      <c r="BO1340" s="85"/>
      <c r="BP1340" s="85"/>
      <c r="BQ1340" s="85"/>
      <c r="BR1340" s="85"/>
      <c r="BS1340" s="85"/>
      <c r="BT1340" s="85"/>
      <c r="BU1340" s="85"/>
      <c r="BV1340" s="85"/>
      <c r="BW1340" s="85"/>
      <c r="BX1340" s="85"/>
      <c r="BY1340" s="85"/>
      <c r="BZ1340" s="85"/>
      <c r="CA1340" s="85"/>
      <c r="CB1340" s="85"/>
      <c r="CC1340" s="85"/>
      <c r="CD1340" s="85"/>
      <c r="CE1340" s="85"/>
      <c r="CF1340" s="85"/>
      <c r="CG1340" s="85"/>
      <c r="CH1340" s="85"/>
      <c r="CI1340" s="85"/>
      <c r="CJ1340" s="85"/>
      <c r="CK1340" s="2"/>
    </row>
    <row r="1341" ht="12.75" customHeight="1">
      <c r="A1341" s="80">
        <f>IFERROR(__xludf.DUMMYFUNCTION("""COMPUTED_VALUE"""),1337.0)</f>
        <v>1337</v>
      </c>
      <c r="B1341" s="80"/>
      <c r="C1341" s="80"/>
      <c r="D1341" s="81">
        <f>IFERROR(__xludf.DUMMYFUNCTION("""COMPUTED_VALUE"""),46246.0)</f>
        <v>46246</v>
      </c>
      <c r="E1341" s="82"/>
      <c r="F1341" s="80"/>
      <c r="G1341" s="81">
        <f>IFERROR(__xludf.DUMMYFUNCTION("""COMPUTED_VALUE"""),46260.0)</f>
        <v>46260</v>
      </c>
      <c r="H1341" s="80"/>
      <c r="I1341" s="80"/>
      <c r="J1341" s="80"/>
      <c r="K1341" s="80"/>
      <c r="L1341" s="80">
        <f>IFERROR(__xludf.DUMMYFUNCTION("""COMPUTED_VALUE"""),14.0)</f>
        <v>14</v>
      </c>
      <c r="M1341" s="80"/>
      <c r="N1341" s="80"/>
      <c r="O1341" s="80"/>
      <c r="P1341" s="80" t="str">
        <f>IFERROR(__xludf.DUMMYFUNCTION("""COMPUTED_VALUE"""),"MUCSPA70098PSAAK")</f>
        <v>MUCSPA70098PSAAK</v>
      </c>
      <c r="Q1341" s="80" t="str">
        <f>IFERROR(__xludf.DUMMYFUNCTION("""COMPUTED_VALUE"""),"MUC PANATAYUDA GURO 1")</f>
        <v>MUC PANATAYUDA GURO 1</v>
      </c>
      <c r="R1341" s="80" t="str">
        <f>IFERROR(__xludf.DUMMYFUNCTION("""COMPUTED_VALUE"""),"MUC PANATAYUDA GURO 1")</f>
        <v>MUC PANATAYUDA GURO 1</v>
      </c>
      <c r="S1341" s="80" t="str">
        <f>IFERROR(__xludf.DUMMYFUNCTION("""COMPUTED_VALUE"""),"SYAEFULLAH MUJAHIDIN")</f>
        <v>SYAEFULLAH MUJAHIDIN</v>
      </c>
      <c r="T1341" s="80" t="str">
        <f>IFERROR(__xludf.DUMMYFUNCTION("""COMPUTED_VALUE"""),"JL. PANATAYUDHA II NO. 13 RT 02 RW 11, NAGASARI, KARAWANG BARAT, KAB.KARAWANG")</f>
        <v>JL. PANATAYUDHA II NO. 13 RT 02 RW 11, NAGASARI, KARAWANG BARAT, KAB.KARAWANG</v>
      </c>
      <c r="U1341" s="80" t="str">
        <f>IFERROR(__xludf.DUMMYFUNCTION("""COMPUTED_VALUE"""),"JL. PANATAYUDHA I NO.13 RT.0O RW.01")</f>
        <v>JL. PANATAYUDHA I NO.13 RT.0O RW.01</v>
      </c>
      <c r="V1341" s="80" t="str">
        <f>IFERROR(__xludf.DUMMYFUNCTION("""COMPUTED_VALUE"""),"RT 02  \ RW 11,")</f>
        <v>RT 02  \ RW 11,</v>
      </c>
      <c r="W1341" s="80" t="str">
        <f>IFERROR(__xludf.DUMMYFUNCTION("""COMPUTED_VALUE"""),"NAGASARI")</f>
        <v>NAGASARI</v>
      </c>
      <c r="X1341" s="80" t="str">
        <f>IFERROR(__xludf.DUMMYFUNCTION("""COMPUTED_VALUE"""),"KARAWANG BARAT")</f>
        <v>KARAWANG BARAT</v>
      </c>
      <c r="Y1341" s="80" t="str">
        <f>IFERROR(__xludf.DUMMYFUNCTION("""COMPUTED_VALUE"""),"KAB.KARAWANG")</f>
        <v>KAB.KARAWANG</v>
      </c>
      <c r="Z1341" s="80" t="str">
        <f>IFERROR(__xludf.DUMMYFUNCTION("""COMPUTED_VALUE"""),"JAWA BARAT")</f>
        <v>JAWA BARAT</v>
      </c>
      <c r="AA1341" s="80" t="str">
        <f>IFERROR(__xludf.DUMMYFUNCTION("""COMPUTED_VALUE"""),"41312")</f>
        <v>41312</v>
      </c>
      <c r="AB1341" s="80" t="str">
        <f>IFERROR(__xludf.DUMMYFUNCTION("""COMPUTED_VALUE"""),"3215011011690003")</f>
        <v>3215011011690003</v>
      </c>
      <c r="AC1341" s="80" t="str">
        <f>IFERROR(__xludf.DUMMYFUNCTION("""COMPUTED_VALUE"""),"74.639.007.9-408.000")</f>
        <v>74.639.007.9-408.000</v>
      </c>
      <c r="AD1341" s="80" t="str">
        <f>IFERROR(__xludf.DUMMYFUNCTION("""COMPUTED_VALUE"""),"CUM - LP - ANGGI")</f>
        <v>CUM - LP - ANGGI</v>
      </c>
      <c r="AE1341" s="80" t="str">
        <f>IFERROR(__xludf.DUMMYFUNCTION("""COMPUTED_VALUE"""),"CUM - LP - ANGGI")</f>
        <v>CUM - LP - ANGGI</v>
      </c>
      <c r="AF1341" s="80" t="str">
        <f>IFERROR(__xludf.DUMMYFUNCTION("""COMPUTED_VALUE"""),"0811129326")</f>
        <v>0811129326</v>
      </c>
      <c r="AG1341" s="80" t="str">
        <f>IFERROR(__xludf.DUMMYFUNCTION("""COMPUTED_VALUE"""),"0811129326")</f>
        <v>0811129326</v>
      </c>
      <c r="AH1341" s="80" t="str">
        <f>IFERROR(__xludf.DUMMYFUNCTION("""COMPUTED_VALUE"""),"syaefullah.m@gmail.com")</f>
        <v>syaefullah.m@gmail.com</v>
      </c>
      <c r="AI1341" s="80" t="str">
        <f>IFERROR(__xludf.DUMMYFUNCTION("""COMPUTED_VALUE"""),"41312S1")</f>
        <v>41312S1</v>
      </c>
      <c r="AJ1341" s="80" t="str">
        <f>IFERROR(__xludf.DUMMYFUNCTION("""COMPUTED_VALUE"""),"6a8e90c20285a14944089667")</f>
        <v>6a8e90c20285a14944089667</v>
      </c>
      <c r="AK1341" s="80" t="str">
        <f>IFERROR(__xludf.DUMMYFUNCTION("""COMPUTED_VALUE"""),"syaefullah.m@gmail.com")</f>
        <v>syaefullah.m@gmail.com</v>
      </c>
      <c r="AL1341" s="80" t="str">
        <f>IFERROR(__xludf.DUMMYFUNCTION("""COMPUTED_VALUE"""),"#Muc41312S1$")</f>
        <v>#Muc41312S1$</v>
      </c>
      <c r="AM1341" s="80" t="str">
        <f>IFERROR(__xludf.DUMMYFUNCTION("""COMPUTED_VALUE"""),"KANTOR REGIONAL III BANDUNG 40004")</f>
        <v>KANTOR REGIONAL III BANDUNG 40004</v>
      </c>
      <c r="AN1341" s="80" t="str">
        <f>IFERROR(__xludf.DUMMYFUNCTION("""COMPUTED_VALUE"""),"KCU KARAWANG 41300")</f>
        <v>KCU KARAWANG 41300</v>
      </c>
      <c r="AO1341" s="80" t="str">
        <f>IFERROR(__xludf.DUMMYFUNCTION("""COMPUTED_VALUE"""),"1008260096957")</f>
        <v>1008260096957</v>
      </c>
      <c r="AP1341" s="80" t="str">
        <f>IFERROR(__xludf.DUMMYFUNCTION("""COMPUTED_VALUE"""),"1008260096957")</f>
        <v>1008260096957</v>
      </c>
      <c r="AQ1341" s="83" t="str">
        <f>IFERROR(__xludf.DUMMYFUNCTION("""COMPUTED_VALUE"""),"7278782411")</f>
        <v>7278782411</v>
      </c>
      <c r="AR1341" s="80" t="str">
        <f>IFERROR(__xludf.DUMMYFUNCTION("""COMPUTED_VALUE"""),"BSI")</f>
        <v>BSI</v>
      </c>
      <c r="AS1341" s="80" t="str">
        <f>IFERROR(__xludf.DUMMYFUNCTION("""COMPUTED_VALUE"""),"SYAEFULLAH MUJAHIDIN")</f>
        <v>SYAEFULLAH MUJAHIDIN</v>
      </c>
      <c r="AT1341" s="80" t="str">
        <f>IFERROR(__xludf.DUMMYFUNCTION("""COMPUTED_VALUE"""),"-6.305643,107.303441")</f>
        <v>-6.305643,107.303441</v>
      </c>
      <c r="AU1341" s="80" t="str">
        <f>IFERROR(__xludf.DUMMYFUNCTION("""COMPUTED_VALUE"""),"-6.305643,107.303441")</f>
        <v>-6.305643,107.303441</v>
      </c>
      <c r="AV1341" s="80"/>
      <c r="AW1341" s="80"/>
      <c r="AX1341" s="80"/>
      <c r="AY1341" s="80"/>
      <c r="AZ1341" s="80"/>
      <c r="BA1341" s="80"/>
      <c r="BB1341" s="80"/>
      <c r="BC1341" s="80"/>
      <c r="BD1341" s="80"/>
      <c r="BE1341" s="80"/>
      <c r="BF1341" s="80"/>
      <c r="BG1341" s="80"/>
      <c r="BH1341" s="80"/>
      <c r="BI1341" s="80"/>
      <c r="BJ1341" s="80"/>
      <c r="BK1341" s="80"/>
      <c r="BL1341" s="80"/>
      <c r="BM1341" s="80"/>
      <c r="BN1341" s="80"/>
      <c r="BO1341" s="80"/>
      <c r="BP1341" s="80"/>
      <c r="BQ1341" s="80"/>
      <c r="BR1341" s="80"/>
      <c r="BS1341" s="80"/>
      <c r="BT1341" s="80"/>
      <c r="BU1341" s="80"/>
      <c r="BV1341" s="80"/>
      <c r="BW1341" s="80"/>
      <c r="BX1341" s="80"/>
      <c r="BY1341" s="80"/>
      <c r="BZ1341" s="80"/>
      <c r="CA1341" s="80"/>
      <c r="CB1341" s="80"/>
      <c r="CC1341" s="80"/>
      <c r="CD1341" s="80"/>
      <c r="CE1341" s="80"/>
      <c r="CF1341" s="80"/>
      <c r="CG1341" s="80"/>
      <c r="CH1341" s="80"/>
      <c r="CI1341" s="80"/>
      <c r="CJ1341" s="80"/>
      <c r="CK1341" s="2"/>
    </row>
    <row r="1342" ht="12.75" customHeight="1">
      <c r="A1342" s="85">
        <f>IFERROR(__xludf.DUMMYFUNCTION("""COMPUTED_VALUE"""),1338.0)</f>
        <v>1338</v>
      </c>
      <c r="B1342" s="85"/>
      <c r="C1342" s="85"/>
      <c r="D1342" s="86">
        <f>IFERROR(__xludf.DUMMYFUNCTION("""COMPUTED_VALUE"""),46246.0)</f>
        <v>46246</v>
      </c>
      <c r="E1342" s="88"/>
      <c r="F1342" s="85"/>
      <c r="G1342" s="86">
        <f>IFERROR(__xludf.DUMMYFUNCTION("""COMPUTED_VALUE"""),46253.0)</f>
        <v>46253</v>
      </c>
      <c r="H1342" s="85"/>
      <c r="I1342" s="85"/>
      <c r="J1342" s="85"/>
      <c r="K1342" s="85"/>
      <c r="L1342" s="85">
        <f>IFERROR(__xludf.DUMMYFUNCTION("""COMPUTED_VALUE"""),7.0)</f>
        <v>7</v>
      </c>
      <c r="M1342" s="85"/>
      <c r="N1342" s="85"/>
      <c r="O1342" s="85"/>
      <c r="P1342" s="85" t="str">
        <f>IFERROR(__xludf.DUMMYFUNCTION("""COMPUTED_VALUE"""),"MUCSPA63278PSIND")</f>
        <v>MUCSPA63278PSIND</v>
      </c>
      <c r="Q1342" s="85" t="str">
        <f>IFERROR(__xludf.DUMMYFUNCTION("""COMPUTED_VALUE"""),"MUC ABIDZAR CELL")</f>
        <v>MUC ABIDZAR CELL</v>
      </c>
      <c r="R1342" s="85" t="str">
        <f>IFERROR(__xludf.DUMMYFUNCTION("""COMPUTED_VALUE"""),"MUC ABIDZAR CELL")</f>
        <v>MUC ABIDZAR CELL</v>
      </c>
      <c r="S1342" s="85" t="str">
        <f>IFERROR(__xludf.DUMMYFUNCTION("""COMPUTED_VALUE"""),"RUDIYANA")</f>
        <v>RUDIYANA</v>
      </c>
      <c r="T1342" s="85" t="str">
        <f>IFERROR(__xludf.DUMMYFUNCTION("""COMPUTED_VALUE"""),"KP. CADAS GANTUNG RT 2 RW 6")</f>
        <v>KP. CADAS GANTUNG RT 2 RW 6</v>
      </c>
      <c r="U1342" s="85" t="str">
        <f>IFERROR(__xludf.DUMMYFUNCTION("""COMPUTED_VALUE"""),"JL. BABAKAN SAPUTRA SABELAH")</f>
        <v>JL. BABAKAN SAPUTRA SABELAH</v>
      </c>
      <c r="V1342" s="85" t="str">
        <f>IFERROR(__xludf.DUMMYFUNCTION("""COMPUTED_VALUE"""),"RT 2 R \ RW 6")</f>
        <v>RT 2 R \ RW 6</v>
      </c>
      <c r="W1342" s="85" t="str">
        <f>IFERROR(__xludf.DUMMYFUNCTION("""COMPUTED_VALUE"""),"CIBODAS")</f>
        <v>CIBODAS</v>
      </c>
      <c r="X1342" s="85" t="str">
        <f>IFERROR(__xludf.DUMMYFUNCTION("""COMPUTED_VALUE"""),"PACET")</f>
        <v>PACET</v>
      </c>
      <c r="Y1342" s="85" t="str">
        <f>IFERROR(__xludf.DUMMYFUNCTION("""COMPUTED_VALUE"""),"KAB. CIANJUR")</f>
        <v>KAB. CIANJUR</v>
      </c>
      <c r="Z1342" s="85" t="str">
        <f>IFERROR(__xludf.DUMMYFUNCTION("""COMPUTED_VALUE"""),"JAWA BARAT")</f>
        <v>JAWA BARAT</v>
      </c>
      <c r="AA1342" s="85" t="str">
        <f>IFERROR(__xludf.DUMMYFUNCTION("""COMPUTED_VALUE"""),"43253")</f>
        <v>43253</v>
      </c>
      <c r="AB1342" s="85" t="str">
        <f>IFERROR(__xludf.DUMMYFUNCTION("""COMPUTED_VALUE"""),"3203102202960002")</f>
        <v>3203102202960002</v>
      </c>
      <c r="AC1342" s="85" t="str">
        <f>IFERROR(__xludf.DUMMYFUNCTION("""COMPUTED_VALUE"""),"20.075.555.1-406.000")</f>
        <v>20.075.555.1-406.000</v>
      </c>
      <c r="AD1342" s="85" t="str">
        <f>IFERROR(__xludf.DUMMYFUNCTION("""COMPUTED_VALUE"""),"PAK RIAN HEKSA")</f>
        <v>PAK RIAN HEKSA</v>
      </c>
      <c r="AE1342" s="85" t="str">
        <f>IFERROR(__xludf.DUMMYFUNCTION("""COMPUTED_VALUE"""),"PAK RIAN HEKSA")</f>
        <v>PAK RIAN HEKSA</v>
      </c>
      <c r="AF1342" s="85" t="str">
        <f>IFERROR(__xludf.DUMMYFUNCTION("""COMPUTED_VALUE"""),"081394568985")</f>
        <v>081394568985</v>
      </c>
      <c r="AG1342" s="85" t="str">
        <f>IFERROR(__xludf.DUMMYFUNCTION("""COMPUTED_VALUE"""),"081394568985")</f>
        <v>081394568985</v>
      </c>
      <c r="AH1342" s="85" t="str">
        <f>IFERROR(__xludf.DUMMYFUNCTION("""COMPUTED_VALUE"""),"rudiyana220296@gmail.com")</f>
        <v>rudiyana220296@gmail.com</v>
      </c>
      <c r="AI1342" s="85" t="str">
        <f>IFERROR(__xludf.DUMMYFUNCTION("""COMPUTED_VALUE"""),"43253S8")</f>
        <v>43253S8</v>
      </c>
      <c r="AJ1342" s="85" t="str">
        <f>IFERROR(__xludf.DUMMYFUNCTION("""COMPUTED_VALUE"""),"6a857cd1702d25ed8e0f01ec")</f>
        <v>6a857cd1702d25ed8e0f01ec</v>
      </c>
      <c r="AK1342" s="85" t="str">
        <f>IFERROR(__xludf.DUMMYFUNCTION("""COMPUTED_VALUE"""),"rudiyana220296@gmail.com")</f>
        <v>rudiyana220296@gmail.com</v>
      </c>
      <c r="AL1342" s="85" t="str">
        <f>IFERROR(__xludf.DUMMYFUNCTION("""COMPUTED_VALUE"""),"#Muc43253S8$")</f>
        <v>#Muc43253S8$</v>
      </c>
      <c r="AM1342" s="85" t="str">
        <f>IFERROR(__xludf.DUMMYFUNCTION("""COMPUTED_VALUE"""),"KANTOR REGIONAL III BANDUNG 40004")</f>
        <v>KANTOR REGIONAL III BANDUNG 40004</v>
      </c>
      <c r="AN1342" s="85" t="str">
        <f>IFERROR(__xludf.DUMMYFUNCTION("""COMPUTED_VALUE"""),"KC CIANJUR 43200")</f>
        <v>KC CIANJUR 43200</v>
      </c>
      <c r="AO1342" s="85" t="str">
        <f>IFERROR(__xludf.DUMMYFUNCTION("""COMPUTED_VALUE"""),"0110250078315")</f>
        <v>0110250078315</v>
      </c>
      <c r="AP1342" s="85" t="str">
        <f>IFERROR(__xludf.DUMMYFUNCTION("""COMPUTED_VALUE"""),"01102500783150001")</f>
        <v>01102500783150001</v>
      </c>
      <c r="AQ1342" s="93" t="str">
        <f>IFERROR(__xludf.DUMMYFUNCTION("""COMPUTED_VALUE"""),"0167869544")</f>
        <v>0167869544</v>
      </c>
      <c r="AR1342" s="85" t="str">
        <f>IFERROR(__xludf.DUMMYFUNCTION("""COMPUTED_VALUE"""),"POSPAY")</f>
        <v>POSPAY</v>
      </c>
      <c r="AS1342" s="85" t="str">
        <f>IFERROR(__xludf.DUMMYFUNCTION("""COMPUTED_VALUE"""),"RUDIYANA")</f>
        <v>RUDIYANA</v>
      </c>
      <c r="AT1342" s="85" t="str">
        <f>IFERROR(__xludf.DUMMYFUNCTION("""COMPUTED_VALUE"""),"-67,322,109")</f>
        <v>-67,322,109</v>
      </c>
      <c r="AU1342" s="85" t="str">
        <f>IFERROR(__xludf.DUMMYFUNCTION("""COMPUTED_VALUE"""),"1,067,636,118")</f>
        <v>1,067,636,118</v>
      </c>
      <c r="AV1342" s="85"/>
      <c r="AW1342" s="85"/>
      <c r="AX1342" s="85"/>
      <c r="AY1342" s="85"/>
      <c r="AZ1342" s="85"/>
      <c r="BA1342" s="85"/>
      <c r="BB1342" s="85"/>
      <c r="BC1342" s="85"/>
      <c r="BD1342" s="85"/>
      <c r="BE1342" s="85"/>
      <c r="BF1342" s="85"/>
      <c r="BG1342" s="85"/>
      <c r="BH1342" s="85"/>
      <c r="BI1342" s="85"/>
      <c r="BJ1342" s="85"/>
      <c r="BK1342" s="85"/>
      <c r="BL1342" s="85"/>
      <c r="BM1342" s="85"/>
      <c r="BN1342" s="85"/>
      <c r="BO1342" s="85"/>
      <c r="BP1342" s="85"/>
      <c r="BQ1342" s="85"/>
      <c r="BR1342" s="85"/>
      <c r="BS1342" s="85"/>
      <c r="BT1342" s="85"/>
      <c r="BU1342" s="85"/>
      <c r="BV1342" s="85"/>
      <c r="BW1342" s="85"/>
      <c r="BX1342" s="85"/>
      <c r="BY1342" s="85"/>
      <c r="BZ1342" s="85"/>
      <c r="CA1342" s="85"/>
      <c r="CB1342" s="85"/>
      <c r="CC1342" s="85"/>
      <c r="CD1342" s="85"/>
      <c r="CE1342" s="85"/>
      <c r="CF1342" s="85"/>
      <c r="CG1342" s="85"/>
      <c r="CH1342" s="85"/>
      <c r="CI1342" s="85"/>
      <c r="CJ1342" s="85"/>
      <c r="CK1342" s="2"/>
    </row>
    <row r="1343" ht="12.75" customHeight="1">
      <c r="A1343" s="80">
        <f>IFERROR(__xludf.DUMMYFUNCTION("""COMPUTED_VALUE"""),1339.0)</f>
        <v>1339</v>
      </c>
      <c r="B1343" s="80"/>
      <c r="C1343" s="80"/>
      <c r="D1343" s="81">
        <f>IFERROR(__xludf.DUMMYFUNCTION("""COMPUTED_VALUE"""),46246.0)</f>
        <v>46246</v>
      </c>
      <c r="E1343" s="82"/>
      <c r="F1343" s="80"/>
      <c r="G1343" s="81"/>
      <c r="H1343" s="80"/>
      <c r="I1343" s="80"/>
      <c r="J1343" s="80"/>
      <c r="K1343" s="80"/>
      <c r="L1343" s="80"/>
      <c r="M1343" s="80"/>
      <c r="N1343" s="80"/>
      <c r="O1343" s="80"/>
      <c r="P1343" s="80" t="str">
        <f>IFERROR(__xludf.DUMMYFUNCTION("""COMPUTED_VALUE"""),"MUCSPA70102PSAAK")</f>
        <v>MUCSPA70102PSAAK</v>
      </c>
      <c r="Q1343" s="80" t="str">
        <f>IFERROR(__xludf.DUMMYFUNCTION("""COMPUTED_VALUE"""),"MUC RAYA MANDALA")</f>
        <v>MUC RAYA MANDALA</v>
      </c>
      <c r="R1343" s="80" t="str">
        <f>IFERROR(__xludf.DUMMYFUNCTION("""COMPUTED_VALUE"""),"MUC RAYA MANDALA")</f>
        <v>MUC RAYA MANDALA</v>
      </c>
      <c r="S1343" s="80" t="str">
        <f>IFERROR(__xludf.DUMMYFUNCTION("""COMPUTED_VALUE"""),"AVIB JULI DWI ANDRIYANTO")</f>
        <v>AVIB JULI DWI ANDRIYANTO</v>
      </c>
      <c r="T1343" s="80" t="str">
        <f>IFERROR(__xludf.DUMMYFUNCTION("""COMPUTED_VALUE"""),"DSN MUNGSAPADA RT 00 RW 00, PADEMAWU BARAT, PADEMAWU, KAB.PAMEKASAN")</f>
        <v>DSN MUNGSAPADA RT 00 RW 00, PADEMAWU BARAT, PADEMAWU, KAB.PAMEKASAN</v>
      </c>
      <c r="U1343" s="80" t="str">
        <f>IFERROR(__xludf.DUMMYFUNCTION("""COMPUTED_VALUE"""),"JL. MANDALA TIMUR SMAN 1, MUSPADA")</f>
        <v>JL. MANDALA TIMUR SMAN 1, MUSPADA</v>
      </c>
      <c r="V1343" s="80" t="str">
        <f>IFERROR(__xludf.DUMMYFUNCTION("""COMPUTED_VALUE"""),"RT 00  \ RW 00,")</f>
        <v>RT 00  \ RW 00,</v>
      </c>
      <c r="W1343" s="80" t="str">
        <f>IFERROR(__xludf.DUMMYFUNCTION("""COMPUTED_VALUE"""),"PADEMAWU BARAT")</f>
        <v>PADEMAWU BARAT</v>
      </c>
      <c r="X1343" s="80" t="str">
        <f>IFERROR(__xludf.DUMMYFUNCTION("""COMPUTED_VALUE"""),"PADEMAWU")</f>
        <v>PADEMAWU</v>
      </c>
      <c r="Y1343" s="80" t="str">
        <f>IFERROR(__xludf.DUMMYFUNCTION("""COMPUTED_VALUE"""),"KAB.PAMEKASAN")</f>
        <v>KAB.PAMEKASAN</v>
      </c>
      <c r="Z1343" s="80" t="str">
        <f>IFERROR(__xludf.DUMMYFUNCTION("""COMPUTED_VALUE"""),"JAWA TIMUR")</f>
        <v>JAWA TIMUR</v>
      </c>
      <c r="AA1343" s="80" t="str">
        <f>IFERROR(__xludf.DUMMYFUNCTION("""COMPUTED_VALUE"""),"69323")</f>
        <v>69323</v>
      </c>
      <c r="AB1343" s="80" t="str">
        <f>IFERROR(__xludf.DUMMYFUNCTION("""COMPUTED_VALUE"""),"3528021607950003")</f>
        <v>3528021607950003</v>
      </c>
      <c r="AC1343" s="80" t="str">
        <f>IFERROR(__xludf.DUMMYFUNCTION("""COMPUTED_VALUE"""),"94.835.363.6-608.000")</f>
        <v>94.835.363.6-608.000</v>
      </c>
      <c r="AD1343" s="80" t="str">
        <f>IFERROR(__xludf.DUMMYFUNCTION("""COMPUTED_VALUE"""),"CUM - LP - ANGGI")</f>
        <v>CUM - LP - ANGGI</v>
      </c>
      <c r="AE1343" s="80" t="str">
        <f>IFERROR(__xludf.DUMMYFUNCTION("""COMPUTED_VALUE"""),"CUM - LP - ANGGI")</f>
        <v>CUM - LP - ANGGI</v>
      </c>
      <c r="AF1343" s="80" t="str">
        <f>IFERROR(__xludf.DUMMYFUNCTION("""COMPUTED_VALUE"""),"087750464522")</f>
        <v>087750464522</v>
      </c>
      <c r="AG1343" s="80" t="str">
        <f>IFERROR(__xludf.DUMMYFUNCTION("""COMPUTED_VALUE"""),"087750464522")</f>
        <v>087750464522</v>
      </c>
      <c r="AH1343" s="80" t="str">
        <f>IFERROR(__xludf.DUMMYFUNCTION("""COMPUTED_VALUE"""),"avib.juli505@gmail.com")</f>
        <v>avib.juli505@gmail.com</v>
      </c>
      <c r="AI1343" s="80"/>
      <c r="AJ1343" s="80"/>
      <c r="AK1343" s="80"/>
      <c r="AL1343" s="80"/>
      <c r="AM1343" s="80" t="str">
        <f>IFERROR(__xludf.DUMMYFUNCTION("""COMPUTED_VALUE"""),"KANTOR REGIONAL V SURABAYA 60004")</f>
        <v>KANTOR REGIONAL V SURABAYA 60004</v>
      </c>
      <c r="AN1343" s="80" t="str">
        <f>IFERROR(__xludf.DUMMYFUNCTION("""COMPUTED_VALUE"""),"KC PAMEKASAN 69300")</f>
        <v>KC PAMEKASAN 69300</v>
      </c>
      <c r="AO1343" s="80" t="str">
        <f>IFERROR(__xludf.DUMMYFUNCTION("""COMPUTED_VALUE"""),"1239000501918")</f>
        <v>1239000501918</v>
      </c>
      <c r="AP1343" s="80" t="str">
        <f>IFERROR(__xludf.DUMMYFUNCTION("""COMPUTED_VALUE"""),"1239000501918")</f>
        <v>1239000501918</v>
      </c>
      <c r="AQ1343" s="83" t="str">
        <f>IFERROR(__xludf.DUMMYFUNCTION("""COMPUTED_VALUE"""),"647001035607535")</f>
        <v>647001035607535</v>
      </c>
      <c r="AR1343" s="80" t="str">
        <f>IFERROR(__xludf.DUMMYFUNCTION("""COMPUTED_VALUE"""),"BRI")</f>
        <v>BRI</v>
      </c>
      <c r="AS1343" s="80" t="str">
        <f>IFERROR(__xludf.DUMMYFUNCTION("""COMPUTED_VALUE"""),"AVIB JULI DWI ANDRIYANTO")</f>
        <v>AVIB JULI DWI ANDRIYANTO</v>
      </c>
      <c r="AT1343" s="80" t="str">
        <f>IFERROR(__xludf.DUMMYFUNCTION("""COMPUTED_VALUE"""),"-7.1890276,113.5226512")</f>
        <v>-7.1890276,113.5226512</v>
      </c>
      <c r="AU1343" s="80" t="str">
        <f>IFERROR(__xludf.DUMMYFUNCTION("""COMPUTED_VALUE"""),"-7.1890276,113.5226512")</f>
        <v>-7.1890276,113.5226512</v>
      </c>
      <c r="AV1343" s="80"/>
      <c r="AW1343" s="80"/>
      <c r="AX1343" s="80"/>
      <c r="AY1343" s="80"/>
      <c r="AZ1343" s="80"/>
      <c r="BA1343" s="80"/>
      <c r="BB1343" s="80"/>
      <c r="BC1343" s="80"/>
      <c r="BD1343" s="80"/>
      <c r="BE1343" s="80"/>
      <c r="BF1343" s="80"/>
      <c r="BG1343" s="80"/>
      <c r="BH1343" s="80"/>
      <c r="BI1343" s="80"/>
      <c r="BJ1343" s="80"/>
      <c r="BK1343" s="80"/>
      <c r="BL1343" s="80"/>
      <c r="BM1343" s="80"/>
      <c r="BN1343" s="80"/>
      <c r="BO1343" s="80"/>
      <c r="BP1343" s="80"/>
      <c r="BQ1343" s="80"/>
      <c r="BR1343" s="80"/>
      <c r="BS1343" s="80"/>
      <c r="BT1343" s="80"/>
      <c r="BU1343" s="80"/>
      <c r="BV1343" s="80"/>
      <c r="BW1343" s="80"/>
      <c r="BX1343" s="80"/>
      <c r="BY1343" s="80"/>
      <c r="BZ1343" s="80"/>
      <c r="CA1343" s="80"/>
      <c r="CB1343" s="80"/>
      <c r="CC1343" s="80"/>
      <c r="CD1343" s="80"/>
      <c r="CE1343" s="80"/>
      <c r="CF1343" s="80"/>
      <c r="CG1343" s="80"/>
      <c r="CH1343" s="80"/>
      <c r="CI1343" s="80"/>
      <c r="CJ1343" s="80"/>
      <c r="CK1343" s="2"/>
    </row>
    <row r="1344" ht="12.75" customHeight="1">
      <c r="A1344" s="85">
        <f>IFERROR(__xludf.DUMMYFUNCTION("""COMPUTED_VALUE"""),1340.0)</f>
        <v>1340</v>
      </c>
      <c r="B1344" s="85"/>
      <c r="C1344" s="85"/>
      <c r="D1344" s="86">
        <f>IFERROR(__xludf.DUMMYFUNCTION("""COMPUTED_VALUE"""),46246.0)</f>
        <v>46246</v>
      </c>
      <c r="E1344" s="88"/>
      <c r="F1344" s="85"/>
      <c r="G1344" s="86">
        <f>IFERROR(__xludf.DUMMYFUNCTION("""COMPUTED_VALUE"""),46275.0)</f>
        <v>46275</v>
      </c>
      <c r="H1344" s="85"/>
      <c r="I1344" s="85"/>
      <c r="J1344" s="85"/>
      <c r="K1344" s="85"/>
      <c r="L1344" s="85">
        <f>IFERROR(__xludf.DUMMYFUNCTION("""COMPUTED_VALUE"""),29.0)</f>
        <v>29</v>
      </c>
      <c r="M1344" s="85"/>
      <c r="N1344" s="85"/>
      <c r="O1344" s="85"/>
      <c r="P1344" s="85" t="str">
        <f>IFERROR(__xludf.DUMMYFUNCTION("""COMPUTED_VALUE"""),"MUCSPA70101PSAAK")</f>
        <v>MUCSPA70101PSAAK</v>
      </c>
      <c r="Q1344" s="85" t="str">
        <f>IFERROR(__xludf.DUMMYFUNCTION("""COMPUTED_VALUE"""),"MUC CIBABAT BERKAH EXPRESS")</f>
        <v>MUC CIBABAT BERKAH EXPRESS</v>
      </c>
      <c r="R1344" s="85" t="str">
        <f>IFERROR(__xludf.DUMMYFUNCTION("""COMPUTED_VALUE"""),"MUC CIBABAT BERKAH EXPRESS")</f>
        <v>MUC CIBABAT BERKAH EXPRESS</v>
      </c>
      <c r="S1344" s="85" t="str">
        <f>IFERROR(__xludf.DUMMYFUNCTION("""COMPUTED_VALUE"""),"NANI SRI HANIAH")</f>
        <v>NANI SRI HANIAH</v>
      </c>
      <c r="T1344" s="85" t="str">
        <f>IFERROR(__xludf.DUMMYFUNCTION("""COMPUTED_VALUE"""),"Jl Sentral No 38 RT 04 RW 05 Cibabat Cimahi Utara")</f>
        <v>Jl Sentral No 38 RT 04 RW 05 Cibabat Cimahi Utara</v>
      </c>
      <c r="U1344" s="85" t="str">
        <f>IFERROR(__xludf.DUMMYFUNCTION("""COMPUTED_VALUE"""),"Jl Sentral No 38 RT 04 RW 05 Cibabat Cimahi Utara")</f>
        <v>Jl Sentral No 38 RT 04 RW 05 Cibabat Cimahi Utara</v>
      </c>
      <c r="V1344" s="85" t="str">
        <f>IFERROR(__xludf.DUMMYFUNCTION("""COMPUTED_VALUE"""),"RT 04  \ RW 05")</f>
        <v>RT 04  \ RW 05</v>
      </c>
      <c r="W1344" s="85" t="str">
        <f>IFERROR(__xludf.DUMMYFUNCTION("""COMPUTED_VALUE"""),"Cibabat")</f>
        <v>Cibabat</v>
      </c>
      <c r="X1344" s="85" t="str">
        <f>IFERROR(__xludf.DUMMYFUNCTION("""COMPUTED_VALUE"""),"Cimahi Utara")</f>
        <v>Cimahi Utara</v>
      </c>
      <c r="Y1344" s="85" t="str">
        <f>IFERROR(__xludf.DUMMYFUNCTION("""COMPUTED_VALUE"""),"Cimahi")</f>
        <v>Cimahi</v>
      </c>
      <c r="Z1344" s="85" t="str">
        <f>IFERROR(__xludf.DUMMYFUNCTION("""COMPUTED_VALUE"""),"Jawa Barat")</f>
        <v>Jawa Barat</v>
      </c>
      <c r="AA1344" s="85" t="str">
        <f>IFERROR(__xludf.DUMMYFUNCTION("""COMPUTED_VALUE"""),"40513")</f>
        <v>40513</v>
      </c>
      <c r="AB1344" s="85" t="str">
        <f>IFERROR(__xludf.DUMMYFUNCTION("""COMPUTED_VALUE"""),"3277035011560013")</f>
        <v>3277035011560013</v>
      </c>
      <c r="AC1344" s="85" t="str">
        <f>IFERROR(__xludf.DUMMYFUNCTION("""COMPUTED_VALUE"""),"91.925.256.9-421.000")</f>
        <v>91.925.256.9-421.000</v>
      </c>
      <c r="AD1344" s="85" t="str">
        <f>IFERROR(__xludf.DUMMYFUNCTION("""COMPUTED_VALUE"""),"CUM - LP - ANGGI")</f>
        <v>CUM - LP - ANGGI</v>
      </c>
      <c r="AE1344" s="85" t="str">
        <f>IFERROR(__xludf.DUMMYFUNCTION("""COMPUTED_VALUE"""),"CUM - LP - ANGGI")</f>
        <v>CUM - LP - ANGGI</v>
      </c>
      <c r="AF1344" s="85" t="str">
        <f>IFERROR(__xludf.DUMMYFUNCTION("""COMPUTED_VALUE"""),"08211503238")</f>
        <v>08211503238</v>
      </c>
      <c r="AG1344" s="85" t="str">
        <f>IFERROR(__xludf.DUMMYFUNCTION("""COMPUTED_VALUE"""),"08211503238")</f>
        <v>08211503238</v>
      </c>
      <c r="AH1344" s="85" t="str">
        <f>IFERROR(__xludf.DUMMYFUNCTION("""COMPUTED_VALUE"""),"nanisrihaniah@gmail.com")</f>
        <v>nanisrihaniah@gmail.com</v>
      </c>
      <c r="AI1344" s="85" t="str">
        <f>IFERROR(__xludf.DUMMYFUNCTION("""COMPUTED_VALUE"""),"40513S4 ")</f>
        <v>40513S4 </v>
      </c>
      <c r="AJ1344" s="85" t="str">
        <f>IFERROR(__xludf.DUMMYFUNCTION("""COMPUTED_VALUE"""),"6aa250f27b7bd337d006d2d5 ")</f>
        <v>6aa250f27b7bd337d006d2d5 </v>
      </c>
      <c r="AK1344" s="85" t="str">
        <f>IFERROR(__xludf.DUMMYFUNCTION("""COMPUTED_VALUE"""),"nanisrihaniah@gmail.com")</f>
        <v>nanisrihaniah@gmail.com</v>
      </c>
      <c r="AL1344" s="85" t="str">
        <f>IFERROR(__xludf.DUMMYFUNCTION("""COMPUTED_VALUE"""),"#Muc40513S4$")</f>
        <v>#Muc40513S4$</v>
      </c>
      <c r="AM1344" s="85" t="str">
        <f>IFERROR(__xludf.DUMMYFUNCTION("""COMPUTED_VALUE"""),"KANTOR REGIONAL III BANDUNG 40004")</f>
        <v>KANTOR REGIONAL III BANDUNG 40004</v>
      </c>
      <c r="AN1344" s="85" t="str">
        <f>IFERROR(__xludf.DUMMYFUNCTION("""COMPUTED_VALUE"""),"KC CIMAHI 40500")</f>
        <v>KC CIMAHI 40500</v>
      </c>
      <c r="AO1344" s="85" t="str">
        <f>IFERROR(__xludf.DUMMYFUNCTION("""COMPUTED_VALUE"""),"1108260014819")</f>
        <v>1108260014819</v>
      </c>
      <c r="AP1344" s="85" t="str">
        <f>IFERROR(__xludf.DUMMYFUNCTION("""COMPUTED_VALUE"""),"1108260014819")</f>
        <v>1108260014819</v>
      </c>
      <c r="AQ1344" s="93" t="str">
        <f>IFERROR(__xludf.DUMMYFUNCTION("""COMPUTED_VALUE"""),"1382631181")</f>
        <v>1382631181</v>
      </c>
      <c r="AR1344" s="85" t="str">
        <f>IFERROR(__xludf.DUMMYFUNCTION("""COMPUTED_VALUE"""),"BCA")</f>
        <v>BCA</v>
      </c>
      <c r="AS1344" s="85" t="str">
        <f>IFERROR(__xludf.DUMMYFUNCTION("""COMPUTED_VALUE"""),"NANI SRI HANIAH")</f>
        <v>NANI SRI HANIAH</v>
      </c>
      <c r="AT1344" s="85" t="str">
        <f>IFERROR(__xludf.DUMMYFUNCTION("""COMPUTED_VALUE"""),"-6.8804805,107.5542395")</f>
        <v>-6.8804805,107.5542395</v>
      </c>
      <c r="AU1344" s="85" t="str">
        <f>IFERROR(__xludf.DUMMYFUNCTION("""COMPUTED_VALUE"""),"-6.8804805,107.5542395")</f>
        <v>-6.8804805,107.5542395</v>
      </c>
      <c r="AV1344" s="85"/>
      <c r="AW1344" s="85"/>
      <c r="AX1344" s="85"/>
      <c r="AY1344" s="85"/>
      <c r="AZ1344" s="85"/>
      <c r="BA1344" s="85"/>
      <c r="BB1344" s="85"/>
      <c r="BC1344" s="85"/>
      <c r="BD1344" s="85"/>
      <c r="BE1344" s="85"/>
      <c r="BF1344" s="85"/>
      <c r="BG1344" s="85"/>
      <c r="BH1344" s="85"/>
      <c r="BI1344" s="85"/>
      <c r="BJ1344" s="85"/>
      <c r="BK1344" s="85"/>
      <c r="BL1344" s="85"/>
      <c r="BM1344" s="85"/>
      <c r="BN1344" s="85"/>
      <c r="BO1344" s="85"/>
      <c r="BP1344" s="85"/>
      <c r="BQ1344" s="85"/>
      <c r="BR1344" s="85"/>
      <c r="BS1344" s="85"/>
      <c r="BT1344" s="85"/>
      <c r="BU1344" s="85"/>
      <c r="BV1344" s="85"/>
      <c r="BW1344" s="85"/>
      <c r="BX1344" s="85"/>
      <c r="BY1344" s="85"/>
      <c r="BZ1344" s="85"/>
      <c r="CA1344" s="85"/>
      <c r="CB1344" s="85"/>
      <c r="CC1344" s="85"/>
      <c r="CD1344" s="85"/>
      <c r="CE1344" s="85"/>
      <c r="CF1344" s="85"/>
      <c r="CG1344" s="85"/>
      <c r="CH1344" s="85"/>
      <c r="CI1344" s="85"/>
      <c r="CJ1344" s="85"/>
      <c r="CK1344" s="2"/>
    </row>
    <row r="1345" ht="12.75" customHeight="1">
      <c r="A1345" s="80">
        <f>IFERROR(__xludf.DUMMYFUNCTION("""COMPUTED_VALUE"""),1341.0)</f>
        <v>1341</v>
      </c>
      <c r="B1345" s="80"/>
      <c r="C1345" s="80"/>
      <c r="D1345" s="81">
        <f>IFERROR(__xludf.DUMMYFUNCTION("""COMPUTED_VALUE"""),46247.0)</f>
        <v>46247</v>
      </c>
      <c r="E1345" s="82"/>
      <c r="F1345" s="80"/>
      <c r="G1345" s="81">
        <f>IFERROR(__xludf.DUMMYFUNCTION("""COMPUTED_VALUE"""),46254.0)</f>
        <v>46254</v>
      </c>
      <c r="H1345" s="80"/>
      <c r="I1345" s="80"/>
      <c r="J1345" s="80"/>
      <c r="K1345" s="80"/>
      <c r="L1345" s="80">
        <f>IFERROR(__xludf.DUMMYFUNCTION("""COMPUTED_VALUE"""),7.0)</f>
        <v>7</v>
      </c>
      <c r="M1345" s="80"/>
      <c r="N1345" s="80"/>
      <c r="O1345" s="80"/>
      <c r="P1345" s="80" t="str">
        <f>IFERROR(__xludf.DUMMYFUNCTION("""COMPUTED_VALUE"""),"MUCSPA63653PSIND")</f>
        <v>MUCSPA63653PSIND</v>
      </c>
      <c r="Q1345" s="80" t="str">
        <f>IFERROR(__xludf.DUMMYFUNCTION("""COMPUTED_VALUE"""),"MUC JET MAJAPAHIT")</f>
        <v>MUC JET MAJAPAHIT</v>
      </c>
      <c r="R1345" s="80" t="str">
        <f>IFERROR(__xludf.DUMMYFUNCTION("""COMPUTED_VALUE"""),"MUC JET MAJAPAHIT")</f>
        <v>MUC JET MAJAPAHIT</v>
      </c>
      <c r="S1345" s="80" t="str">
        <f>IFERROR(__xludf.DUMMYFUNCTION("""COMPUTED_VALUE"""),"HENDRIK TASEK")</f>
        <v>HENDRIK TASEK</v>
      </c>
      <c r="T1345" s="80" t="str">
        <f>IFERROR(__xludf.DUMMYFUNCTION("""COMPUTED_VALUE"""),"JL ABDULLAH II NO.6 KRUKUT TAMAN SARI JAKARTA BARAT")</f>
        <v>JL ABDULLAH II NO.6 KRUKUT TAMAN SARI JAKARTA BARAT</v>
      </c>
      <c r="U1345" s="80" t="str">
        <f>IFERROR(__xludf.DUMMYFUNCTION("""COMPUTED_VALUE"""),"JL MAJAPAHIT NO.18 PETOJO SELATAN")</f>
        <v>JL MAJAPAHIT NO.18 PETOJO SELATAN</v>
      </c>
      <c r="V1345" s="80"/>
      <c r="W1345" s="80" t="str">
        <f>IFERROR(__xludf.DUMMYFUNCTION("""COMPUTED_VALUE"""),"Petojo Selatan")</f>
        <v>Petojo Selatan</v>
      </c>
      <c r="X1345" s="80" t="str">
        <f>IFERROR(__xludf.DUMMYFUNCTION("""COMPUTED_VALUE"""),"Gambir")</f>
        <v>Gambir</v>
      </c>
      <c r="Y1345" s="80" t="str">
        <f>IFERROR(__xludf.DUMMYFUNCTION("""COMPUTED_VALUE"""),"Jakarta Pusat")</f>
        <v>Jakarta Pusat</v>
      </c>
      <c r="Z1345" s="80" t="str">
        <f>IFERROR(__xludf.DUMMYFUNCTION("""COMPUTED_VALUE"""),"DKI Jakarta")</f>
        <v>DKI Jakarta</v>
      </c>
      <c r="AA1345" s="80" t="str">
        <f>IFERROR(__xludf.DUMMYFUNCTION("""COMPUTED_VALUE"""),"10160")</f>
        <v>10160</v>
      </c>
      <c r="AB1345" s="80" t="str">
        <f>IFERROR(__xludf.DUMMYFUNCTION("""COMPUTED_VALUE"""),"3173031708660007")</f>
        <v>3173031708660007</v>
      </c>
      <c r="AC1345" s="80" t="str">
        <f>IFERROR(__xludf.DUMMYFUNCTION("""COMPUTED_VALUE"""),"09.670.216.2-037.000")</f>
        <v>09.670.216.2-037.000</v>
      </c>
      <c r="AD1345" s="80" t="str">
        <f>IFERROR(__xludf.DUMMYFUNCTION("""COMPUTED_VALUE"""),"CUM - PS - NONKORGEN")</f>
        <v>CUM - PS - NONKORGEN</v>
      </c>
      <c r="AE1345" s="80" t="str">
        <f>IFERROR(__xludf.DUMMYFUNCTION("""COMPUTED_VALUE"""),"Pak Wanto KCU Centrum")</f>
        <v>Pak Wanto KCU Centrum</v>
      </c>
      <c r="AF1345" s="80" t="str">
        <f>IFERROR(__xludf.DUMMYFUNCTION("""COMPUTED_VALUE"""),"0818738018")</f>
        <v>0818738018</v>
      </c>
      <c r="AG1345" s="80" t="str">
        <f>IFERROR(__xludf.DUMMYFUNCTION("""COMPUTED_VALUE"""),"0818738018")</f>
        <v>0818738018</v>
      </c>
      <c r="AH1345" s="80" t="str">
        <f>IFERROR(__xludf.DUMMYFUNCTION("""COMPUTED_VALUE"""),"finance@indonesia-jet.com")</f>
        <v>finance@indonesia-jet.com</v>
      </c>
      <c r="AI1345" s="80" t="str">
        <f>IFERROR(__xludf.DUMMYFUNCTION("""COMPUTED_VALUE"""),"10160S2")</f>
        <v>10160S2</v>
      </c>
      <c r="AJ1345" s="80" t="str">
        <f>IFERROR(__xludf.DUMMYFUNCTION("""COMPUTED_VALUE"""),"6a85d73a45ded1a206076943")</f>
        <v>6a85d73a45ded1a206076943</v>
      </c>
      <c r="AK1345" s="80" t="str">
        <f>IFERROR(__xludf.DUMMYFUNCTION("""COMPUTED_VALUE"""),"finance@indonesiajet.com")</f>
        <v>finance@indonesiajet.com</v>
      </c>
      <c r="AL1345" s="80" t="str">
        <f>IFERROR(__xludf.DUMMYFUNCTION("""COMPUTED_VALUE"""),"#Muc10160S2$")</f>
        <v>#Muc10160S2$</v>
      </c>
      <c r="AM1345" s="80" t="str">
        <f>IFERROR(__xludf.DUMMYFUNCTION("""COMPUTED_VALUE"""),"KANTOR REGIONAL II JAKARTA 10004")</f>
        <v>KANTOR REGIONAL II JAKARTA 10004</v>
      </c>
      <c r="AN1345" s="80" t="str">
        <f>IFERROR(__xludf.DUMMYFUNCTION("""COMPUTED_VALUE"""),"KCU JAKARTACENTRUM 10000")</f>
        <v>KCU JAKARTACENTRUM 10000</v>
      </c>
      <c r="AO1345" s="80" t="str">
        <f>IFERROR(__xludf.DUMMYFUNCTION("""COMPUTED_VALUE"""),"1208260076812")</f>
        <v>1208260076812</v>
      </c>
      <c r="AP1345" s="80" t="str">
        <f>IFERROR(__xludf.DUMMYFUNCTION("""COMPUTED_VALUE"""),"1208260076812")</f>
        <v>1208260076812</v>
      </c>
      <c r="AQ1345" s="83" t="str">
        <f>IFERROR(__xludf.DUMMYFUNCTION("""COMPUTED_VALUE"""),"0981700006")</f>
        <v>0981700006</v>
      </c>
      <c r="AR1345" s="80" t="str">
        <f>IFERROR(__xludf.DUMMYFUNCTION("""COMPUTED_VALUE"""),"BNI")</f>
        <v>BNI</v>
      </c>
      <c r="AS1345" s="80" t="str">
        <f>IFERROR(__xludf.DUMMYFUNCTION("""COMPUTED_VALUE"""),"HENDRIK TASEK")</f>
        <v>HENDRIK TASEK</v>
      </c>
      <c r="AT1345" s="80" t="str">
        <f>IFERROR(__xludf.DUMMYFUNCTION("""COMPUTED_VALUE"""),"-6.1694653,106.8205532")</f>
        <v>-6.1694653,106.8205532</v>
      </c>
      <c r="AU1345" s="80" t="str">
        <f>IFERROR(__xludf.DUMMYFUNCTION("""COMPUTED_VALUE"""),"-6.1694653,106.8205532")</f>
        <v>-6.1694653,106.8205532</v>
      </c>
      <c r="AV1345" s="80"/>
      <c r="AW1345" s="80"/>
      <c r="AX1345" s="80"/>
      <c r="AY1345" s="80"/>
      <c r="AZ1345" s="80"/>
      <c r="BA1345" s="80"/>
      <c r="BB1345" s="80"/>
      <c r="BC1345" s="80"/>
      <c r="BD1345" s="80"/>
      <c r="BE1345" s="80"/>
      <c r="BF1345" s="80"/>
      <c r="BG1345" s="80"/>
      <c r="BH1345" s="80"/>
      <c r="BI1345" s="80"/>
      <c r="BJ1345" s="80"/>
      <c r="BK1345" s="80"/>
      <c r="BL1345" s="80"/>
      <c r="BM1345" s="80"/>
      <c r="BN1345" s="80"/>
      <c r="BO1345" s="80"/>
      <c r="BP1345" s="80"/>
      <c r="BQ1345" s="80"/>
      <c r="BR1345" s="80"/>
      <c r="BS1345" s="80"/>
      <c r="BT1345" s="80"/>
      <c r="BU1345" s="80"/>
      <c r="BV1345" s="80"/>
      <c r="BW1345" s="80"/>
      <c r="BX1345" s="80"/>
      <c r="BY1345" s="80"/>
      <c r="BZ1345" s="80"/>
      <c r="CA1345" s="80"/>
      <c r="CB1345" s="80"/>
      <c r="CC1345" s="80"/>
      <c r="CD1345" s="80"/>
      <c r="CE1345" s="80"/>
      <c r="CF1345" s="80"/>
      <c r="CG1345" s="80"/>
      <c r="CH1345" s="80"/>
      <c r="CI1345" s="80"/>
      <c r="CJ1345" s="80"/>
      <c r="CK1345" s="2"/>
    </row>
    <row r="1346" ht="12.75" customHeight="1">
      <c r="A1346" s="85">
        <f>IFERROR(__xludf.DUMMYFUNCTION("""COMPUTED_VALUE"""),1342.0)</f>
        <v>1342</v>
      </c>
      <c r="B1346" s="85"/>
      <c r="C1346" s="85"/>
      <c r="D1346" s="86">
        <f>IFERROR(__xludf.DUMMYFUNCTION("""COMPUTED_VALUE"""),46247.0)</f>
        <v>46247</v>
      </c>
      <c r="E1346" s="88"/>
      <c r="F1346" s="85"/>
      <c r="G1346" s="86">
        <f>IFERROR(__xludf.DUMMYFUNCTION("""COMPUTED_VALUE"""),46265.0)</f>
        <v>46265</v>
      </c>
      <c r="H1346" s="85"/>
      <c r="I1346" s="85"/>
      <c r="J1346" s="85"/>
      <c r="K1346" s="85"/>
      <c r="L1346" s="85">
        <f>IFERROR(__xludf.DUMMYFUNCTION("""COMPUTED_VALUE"""),18.0)</f>
        <v>18</v>
      </c>
      <c r="M1346" s="85"/>
      <c r="N1346" s="85"/>
      <c r="O1346" s="85"/>
      <c r="P1346" s="85" t="str">
        <f>IFERROR(__xludf.DUMMYFUNCTION("""COMPUTED_VALUE"""),"MUCSPA70093PSLDI")</f>
        <v>MUCSPA70093PSLDI</v>
      </c>
      <c r="Q1346" s="85" t="str">
        <f>IFERROR(__xludf.DUMMYFUNCTION("""COMPUTED_VALUE"""),"MUC OFAH MANDIRI")</f>
        <v>MUC OFAH MANDIRI</v>
      </c>
      <c r="R1346" s="85" t="str">
        <f>IFERROR(__xludf.DUMMYFUNCTION("""COMPUTED_VALUE"""),"MUC OFAH MANDIRI")</f>
        <v>MUC OFAH MANDIRI</v>
      </c>
      <c r="S1346" s="85" t="str">
        <f>IFERROR(__xludf.DUMMYFUNCTION("""COMPUTED_VALUE"""),"FIQA FADIAH LAGULIGA")</f>
        <v>FIQA FADIAH LAGULIGA</v>
      </c>
      <c r="T1346" s="85" t="str">
        <f>IFERROR(__xludf.DUMMYFUNCTION("""COMPUTED_VALUE"""),"JL.MASJID NO.63A JATIKRAMAT RT 002 RW 005 JATIKRAMAT JATIASIH BEKASI")</f>
        <v>JL.MASJID NO.63A JATIKRAMAT RT 002 RW 005 JATIKRAMAT JATIASIH BEKASI</v>
      </c>
      <c r="U1346" s="85" t="str">
        <f>IFERROR(__xludf.DUMMYFUNCTION("""COMPUTED_VALUE"""),"Jl. Pulau Jawa Raya RT 03 RW 13")</f>
        <v>Jl. Pulau Jawa Raya RT 03 RW 13</v>
      </c>
      <c r="V1346" s="85" t="str">
        <f>IFERROR(__xludf.DUMMYFUNCTION("""COMPUTED_VALUE"""),"RT 002 \ RW 005")</f>
        <v>RT 002 \ RW 005</v>
      </c>
      <c r="W1346" s="85" t="str">
        <f>IFERROR(__xludf.DUMMYFUNCTION("""COMPUTED_VALUE"""),"Arenjaya")</f>
        <v>Arenjaya</v>
      </c>
      <c r="X1346" s="85" t="str">
        <f>IFERROR(__xludf.DUMMYFUNCTION("""COMPUTED_VALUE"""),"Bekasi Timur")</f>
        <v>Bekasi Timur</v>
      </c>
      <c r="Y1346" s="85" t="str">
        <f>IFERROR(__xludf.DUMMYFUNCTION("""COMPUTED_VALUE"""),"Bekasi")</f>
        <v>Bekasi</v>
      </c>
      <c r="Z1346" s="85" t="str">
        <f>IFERROR(__xludf.DUMMYFUNCTION("""COMPUTED_VALUE"""),"Jawa Barat")</f>
        <v>Jawa Barat</v>
      </c>
      <c r="AA1346" s="85" t="str">
        <f>IFERROR(__xludf.DUMMYFUNCTION("""COMPUTED_VALUE"""),"17111")</f>
        <v>17111</v>
      </c>
      <c r="AB1346" s="85" t="str">
        <f>IFERROR(__xludf.DUMMYFUNCTION("""COMPUTED_VALUE"""),"7371036904000001")</f>
        <v>7371036904000001</v>
      </c>
      <c r="AC1346" s="85" t="str">
        <f>IFERROR(__xludf.DUMMYFUNCTION("""COMPUTED_VALUE"""),"92.317.078.1-447.000")</f>
        <v>92.317.078.1-447.000</v>
      </c>
      <c r="AD1346" s="85" t="str">
        <f>IFERROR(__xludf.DUMMYFUNCTION("""COMPUTED_VALUE"""),"CUM - LDI - KOPUBGBS")</f>
        <v>CUM - LDI - KOPUBGBS</v>
      </c>
      <c r="AE1346" s="85" t="str">
        <f>IFERROR(__xludf.DUMMYFUNCTION("""COMPUTED_VALUE"""),"CUM - LDI - KOPUBGBS")</f>
        <v>CUM - LDI - KOPUBGBS</v>
      </c>
      <c r="AF1346" s="85" t="str">
        <f>IFERROR(__xludf.DUMMYFUNCTION("""COMPUTED_VALUE"""),"081315389394")</f>
        <v>081315389394</v>
      </c>
      <c r="AG1346" s="85" t="str">
        <f>IFERROR(__xludf.DUMMYFUNCTION("""COMPUTED_VALUE"""),"081315389394")</f>
        <v>081315389394</v>
      </c>
      <c r="AH1346" s="85" t="str">
        <f>IFERROR(__xludf.DUMMYFUNCTION("""COMPUTED_VALUE"""),"ozif5161@gmail.com")</f>
        <v>ozif5161@gmail.com</v>
      </c>
      <c r="AI1346" s="85" t="str">
        <f>IFERROR(__xludf.DUMMYFUNCTION("""COMPUTED_VALUE"""),"17118S3")</f>
        <v>17118S3</v>
      </c>
      <c r="AJ1346" s="85" t="str">
        <f>IFERROR(__xludf.DUMMYFUNCTION("""COMPUTED_VALUE"""),"6a925946ed90b1306705bcff")</f>
        <v>6a925946ed90b1306705bcff</v>
      </c>
      <c r="AK1346" s="85" t="str">
        <f>IFERROR(__xludf.DUMMYFUNCTION("""COMPUTED_VALUE"""),"ozif5161@gmail.com")</f>
        <v>ozif5161@gmail.com</v>
      </c>
      <c r="AL1346" s="85" t="str">
        <f>IFERROR(__xludf.DUMMYFUNCTION("""COMPUTED_VALUE"""),"#Muc17118S3$")</f>
        <v>#Muc17118S3$</v>
      </c>
      <c r="AM1346" s="85" t="str">
        <f>IFERROR(__xludf.DUMMYFUNCTION("""COMPUTED_VALUE"""),"KANTOR REGIONAL II JAKARTA 10004")</f>
        <v>KANTOR REGIONAL II JAKARTA 10004</v>
      </c>
      <c r="AN1346" s="85" t="str">
        <f>IFERROR(__xludf.DUMMYFUNCTION("""COMPUTED_VALUE"""),"KCU BEKASI 17000")</f>
        <v>KCU BEKASI 17000</v>
      </c>
      <c r="AO1346" s="85" t="str">
        <f>IFERROR(__xludf.DUMMYFUNCTION("""COMPUTED_VALUE"""),"1308260020807")</f>
        <v>1308260020807</v>
      </c>
      <c r="AP1346" s="85" t="str">
        <f>IFERROR(__xludf.DUMMYFUNCTION("""COMPUTED_VALUE"""),"1308260020807")</f>
        <v>1308260020807</v>
      </c>
      <c r="AQ1346" s="93" t="str">
        <f>IFERROR(__xludf.DUMMYFUNCTION("""COMPUTED_VALUE"""),"7390245640")</f>
        <v>7390245640</v>
      </c>
      <c r="AR1346" s="85" t="str">
        <f>IFERROR(__xludf.DUMMYFUNCTION("""COMPUTED_VALUE"""),"BCA")</f>
        <v>BCA</v>
      </c>
      <c r="AS1346" s="85" t="str">
        <f>IFERROR(__xludf.DUMMYFUNCTION("""COMPUTED_VALUE"""),"OZI FAHRUJI")</f>
        <v>OZI FAHRUJI</v>
      </c>
      <c r="AT1346" s="85" t="str">
        <f>IFERROR(__xludf.DUMMYFUNCTION("""COMPUTED_VALUE"""),"-6.2497351,107.0269602")</f>
        <v>-6.2497351,107.0269602</v>
      </c>
      <c r="AU1346" s="85" t="str">
        <f>IFERROR(__xludf.DUMMYFUNCTION("""COMPUTED_VALUE"""),"-6.2497351,107.0269602")</f>
        <v>-6.2497351,107.0269602</v>
      </c>
      <c r="AV1346" s="85"/>
      <c r="AW1346" s="85"/>
      <c r="AX1346" s="85"/>
      <c r="AY1346" s="85"/>
      <c r="AZ1346" s="85"/>
      <c r="BA1346" s="85"/>
      <c r="BB1346" s="85"/>
      <c r="BC1346" s="85"/>
      <c r="BD1346" s="85"/>
      <c r="BE1346" s="85"/>
      <c r="BF1346" s="85"/>
      <c r="BG1346" s="85"/>
      <c r="BH1346" s="85"/>
      <c r="BI1346" s="85"/>
      <c r="BJ1346" s="85"/>
      <c r="BK1346" s="85"/>
      <c r="BL1346" s="85"/>
      <c r="BM1346" s="85"/>
      <c r="BN1346" s="85"/>
      <c r="BO1346" s="85"/>
      <c r="BP1346" s="85"/>
      <c r="BQ1346" s="85"/>
      <c r="BR1346" s="85"/>
      <c r="BS1346" s="85"/>
      <c r="BT1346" s="85"/>
      <c r="BU1346" s="85"/>
      <c r="BV1346" s="85"/>
      <c r="BW1346" s="85"/>
      <c r="BX1346" s="85"/>
      <c r="BY1346" s="85"/>
      <c r="BZ1346" s="85"/>
      <c r="CA1346" s="85"/>
      <c r="CB1346" s="85"/>
      <c r="CC1346" s="85"/>
      <c r="CD1346" s="85"/>
      <c r="CE1346" s="85"/>
      <c r="CF1346" s="85"/>
      <c r="CG1346" s="85"/>
      <c r="CH1346" s="85"/>
      <c r="CI1346" s="85"/>
      <c r="CJ1346" s="85"/>
      <c r="CK1346" s="2"/>
    </row>
    <row r="1347" ht="12.75" customHeight="1">
      <c r="A1347" s="80">
        <f>IFERROR(__xludf.DUMMYFUNCTION("""COMPUTED_VALUE"""),1343.0)</f>
        <v>1343</v>
      </c>
      <c r="B1347" s="80"/>
      <c r="C1347" s="80"/>
      <c r="D1347" s="81">
        <f>IFERROR(__xludf.DUMMYFUNCTION("""COMPUTED_VALUE"""),46247.0)</f>
        <v>46247</v>
      </c>
      <c r="E1347" s="82"/>
      <c r="F1347" s="80"/>
      <c r="G1347" s="81">
        <f>IFERROR(__xludf.DUMMYFUNCTION("""COMPUTED_VALUE"""),46279.0)</f>
        <v>46279</v>
      </c>
      <c r="H1347" s="80"/>
      <c r="I1347" s="80"/>
      <c r="J1347" s="80"/>
      <c r="K1347" s="80"/>
      <c r="L1347" s="80">
        <f>IFERROR(__xludf.DUMMYFUNCTION("""COMPUTED_VALUE"""),32.0)</f>
        <v>32</v>
      </c>
      <c r="M1347" s="80"/>
      <c r="N1347" s="80"/>
      <c r="O1347" s="80"/>
      <c r="P1347" s="80" t="str">
        <f>IFERROR(__xludf.DUMMYFUNCTION("""COMPUTED_VALUE"""),"MUCSPA63657PSIND")</f>
        <v>MUCSPA63657PSIND</v>
      </c>
      <c r="Q1347" s="80" t="str">
        <f>IFERROR(__xludf.DUMMYFUNCTION("""COMPUTED_VALUE"""),"MUC SRC SHANDY")</f>
        <v>MUC SRC SHANDY</v>
      </c>
      <c r="R1347" s="80" t="str">
        <f>IFERROR(__xludf.DUMMYFUNCTION("""COMPUTED_VALUE"""),"MUC SRC SHANDY")</f>
        <v>MUC SRC SHANDY</v>
      </c>
      <c r="S1347" s="80" t="str">
        <f>IFERROR(__xludf.DUMMYFUNCTION("""COMPUTED_VALUE"""),"SAHRUL EFENDI HASIBUAN")</f>
        <v>SAHRUL EFENDI HASIBUAN</v>
      </c>
      <c r="T1347" s="80" t="str">
        <f>IFERROR(__xludf.DUMMYFUNCTION("""COMPUTED_VALUE"""),"KP.JOGJOGAN RT.004/001 JOGJOGAN CISARUA KAB.BOGOR JABAR")</f>
        <v>KP.JOGJOGAN RT.004/001 JOGJOGAN CISARUA KAB.BOGOR JABAR</v>
      </c>
      <c r="U1347" s="80" t="str">
        <f>IFERROR(__xludf.DUMMYFUNCTION("""COMPUTED_VALUE"""),"KP.JOGJOGAN RT.004/001 JOGJOGAN CISARUA KAB.BOGOR JABAR")</f>
        <v>KP.JOGJOGAN RT.004/001 JOGJOGAN CISARUA KAB.BOGOR JABAR</v>
      </c>
      <c r="V1347" s="80"/>
      <c r="W1347" s="80" t="str">
        <f>IFERROR(__xludf.DUMMYFUNCTION("""COMPUTED_VALUE"""),"Jogjogan")</f>
        <v>Jogjogan</v>
      </c>
      <c r="X1347" s="80" t="str">
        <f>IFERROR(__xludf.DUMMYFUNCTION("""COMPUTED_VALUE"""),"Cisarua")</f>
        <v>Cisarua</v>
      </c>
      <c r="Y1347" s="80" t="str">
        <f>IFERROR(__xludf.DUMMYFUNCTION("""COMPUTED_VALUE"""),"Kab. Bogor")</f>
        <v>Kab. Bogor</v>
      </c>
      <c r="Z1347" s="80" t="str">
        <f>IFERROR(__xludf.DUMMYFUNCTION("""COMPUTED_VALUE"""),"Jawa Barat")</f>
        <v>Jawa Barat</v>
      </c>
      <c r="AA1347" s="80" t="str">
        <f>IFERROR(__xludf.DUMMYFUNCTION("""COMPUTED_VALUE"""),"16756")</f>
        <v>16756</v>
      </c>
      <c r="AB1347" s="80" t="str">
        <f>IFERROR(__xludf.DUMMYFUNCTION("""COMPUTED_VALUE"""),"3201251205660007")</f>
        <v>3201251205660007</v>
      </c>
      <c r="AC1347" s="80" t="str">
        <f>IFERROR(__xludf.DUMMYFUNCTION("""COMPUTED_VALUE"""),"25.358.380.1-434.000")</f>
        <v>25.358.380.1-434.000</v>
      </c>
      <c r="AD1347" s="80" t="str">
        <f>IFERROR(__xludf.DUMMYFUNCTION("""COMPUTED_VALUE"""),"CUM - PS - ASEPN")</f>
        <v>CUM - PS - ASEPN</v>
      </c>
      <c r="AE1347" s="80" t="str">
        <f>IFERROR(__xludf.DUMMYFUNCTION("""COMPUTED_VALUE"""),"CUM - PS - ASEPN")</f>
        <v>CUM - PS - ASEPN</v>
      </c>
      <c r="AF1347" s="80" t="str">
        <f>IFERROR(__xludf.DUMMYFUNCTION("""COMPUTED_VALUE"""),"085777524978")</f>
        <v>085777524978</v>
      </c>
      <c r="AG1347" s="80" t="str">
        <f>IFERROR(__xludf.DUMMYFUNCTION("""COMPUTED_VALUE"""),"085777524978")</f>
        <v>085777524978</v>
      </c>
      <c r="AH1347" s="80" t="str">
        <f>IFERROR(__xludf.DUMMYFUNCTION("""COMPUTED_VALUE"""),"sahrul.hasibuan@gmai.com")</f>
        <v>sahrul.hasibuan@gmai.com</v>
      </c>
      <c r="AI1347" s="80" t="str">
        <f>IFERROR(__xludf.DUMMYFUNCTION("""COMPUTED_VALUE"""),"16756S1 ")</f>
        <v>16756S1 </v>
      </c>
      <c r="AJ1347" s="80" t="str">
        <f>IFERROR(__xludf.DUMMYFUNCTION("""COMPUTED_VALUE"""),"6aa41d519af870b6b708c6a2 ")</f>
        <v>6aa41d519af870b6b708c6a2 </v>
      </c>
      <c r="AK1347" s="80" t="str">
        <f>IFERROR(__xludf.DUMMYFUNCTION("""COMPUTED_VALUE"""),"sahrul.hasibuan@gmai.com")</f>
        <v>sahrul.hasibuan@gmai.com</v>
      </c>
      <c r="AL1347" s="80" t="str">
        <f>IFERROR(__xludf.DUMMYFUNCTION("""COMPUTED_VALUE"""),"#Muc16756S1$")</f>
        <v>#Muc16756S1$</v>
      </c>
      <c r="AM1347" s="80" t="str">
        <f>IFERROR(__xludf.DUMMYFUNCTION("""COMPUTED_VALUE"""),"KANTOR REGIONAL II JAKARTA 10004")</f>
        <v>KANTOR REGIONAL II JAKARTA 10004</v>
      </c>
      <c r="AN1347" s="80" t="str">
        <f>IFERROR(__xludf.DUMMYFUNCTION("""COMPUTED_VALUE"""),"KCU BOGOR 16000")</f>
        <v>KCU BOGOR 16000</v>
      </c>
      <c r="AO1347" s="80" t="str">
        <f>IFERROR(__xludf.DUMMYFUNCTION("""COMPUTED_VALUE"""),"1108260082942")</f>
        <v>1108260082942</v>
      </c>
      <c r="AP1347" s="80" t="str">
        <f>IFERROR(__xludf.DUMMYFUNCTION("""COMPUTED_VALUE"""),"1108260082942")</f>
        <v>1108260082942</v>
      </c>
      <c r="AQ1347" s="83" t="str">
        <f>IFERROR(__xludf.DUMMYFUNCTION("""COMPUTED_VALUE"""),"1812746970")</f>
        <v>1812746970</v>
      </c>
      <c r="AR1347" s="80" t="str">
        <f>IFERROR(__xludf.DUMMYFUNCTION("""COMPUTED_VALUE"""),"BNI")</f>
        <v>BNI</v>
      </c>
      <c r="AS1347" s="80" t="str">
        <f>IFERROR(__xludf.DUMMYFUNCTION("""COMPUTED_VALUE"""),"SAHRUL EFENDI HASIBUAN")</f>
        <v>SAHRUL EFENDI HASIBUAN</v>
      </c>
      <c r="AT1347" s="80" t="str">
        <f>IFERROR(__xludf.DUMMYFUNCTION("""COMPUTED_VALUE"""),"-6.6657639,106.9343523")</f>
        <v>-6.6657639,106.9343523</v>
      </c>
      <c r="AU1347" s="80" t="str">
        <f>IFERROR(__xludf.DUMMYFUNCTION("""COMPUTED_VALUE"""),"-6.6657639,106.9343523")</f>
        <v>-6.6657639,106.9343523</v>
      </c>
      <c r="AV1347" s="80"/>
      <c r="AW1347" s="80"/>
      <c r="AX1347" s="80"/>
      <c r="AY1347" s="80"/>
      <c r="AZ1347" s="80"/>
      <c r="BA1347" s="80"/>
      <c r="BB1347" s="80"/>
      <c r="BC1347" s="80"/>
      <c r="BD1347" s="80"/>
      <c r="BE1347" s="80"/>
      <c r="BF1347" s="80"/>
      <c r="BG1347" s="80"/>
      <c r="BH1347" s="80"/>
      <c r="BI1347" s="80"/>
      <c r="BJ1347" s="80"/>
      <c r="BK1347" s="80"/>
      <c r="BL1347" s="80"/>
      <c r="BM1347" s="80"/>
      <c r="BN1347" s="80"/>
      <c r="BO1347" s="80"/>
      <c r="BP1347" s="80"/>
      <c r="BQ1347" s="80"/>
      <c r="BR1347" s="80"/>
      <c r="BS1347" s="80"/>
      <c r="BT1347" s="80"/>
      <c r="BU1347" s="80"/>
      <c r="BV1347" s="80"/>
      <c r="BW1347" s="80"/>
      <c r="BX1347" s="80"/>
      <c r="BY1347" s="80"/>
      <c r="BZ1347" s="80"/>
      <c r="CA1347" s="80"/>
      <c r="CB1347" s="80"/>
      <c r="CC1347" s="80"/>
      <c r="CD1347" s="80"/>
      <c r="CE1347" s="80"/>
      <c r="CF1347" s="80"/>
      <c r="CG1347" s="80"/>
      <c r="CH1347" s="80"/>
      <c r="CI1347" s="80"/>
      <c r="CJ1347" s="80"/>
      <c r="CK1347" s="2"/>
    </row>
    <row r="1348" ht="12.75" customHeight="1">
      <c r="A1348" s="85">
        <f>IFERROR(__xludf.DUMMYFUNCTION("""COMPUTED_VALUE"""),1344.0)</f>
        <v>1344</v>
      </c>
      <c r="B1348" s="85"/>
      <c r="C1348" s="85"/>
      <c r="D1348" s="86">
        <f>IFERROR(__xludf.DUMMYFUNCTION("""COMPUTED_VALUE"""),46247.0)</f>
        <v>46247</v>
      </c>
      <c r="E1348" s="88"/>
      <c r="F1348" s="85"/>
      <c r="G1348" s="86">
        <f>IFERROR(__xludf.DUMMYFUNCTION("""COMPUTED_VALUE"""),46279.0)</f>
        <v>46279</v>
      </c>
      <c r="H1348" s="85"/>
      <c r="I1348" s="85"/>
      <c r="J1348" s="85"/>
      <c r="K1348" s="85"/>
      <c r="L1348" s="85">
        <f>IFERROR(__xludf.DUMMYFUNCTION("""COMPUTED_VALUE"""),32.0)</f>
        <v>32</v>
      </c>
      <c r="M1348" s="85"/>
      <c r="N1348" s="85"/>
      <c r="O1348" s="85"/>
      <c r="P1348" s="85" t="str">
        <f>IFERROR(__xludf.DUMMYFUNCTION("""COMPUTED_VALUE"""),"MUC70148UMKMTSK1")</f>
        <v>MUC70148UMKMTSK1</v>
      </c>
      <c r="Q1348" s="85" t="str">
        <f>IFERROR(__xludf.DUMMYFUNCTION("""COMPUTED_VALUE"""),"MUC KOSADA")</f>
        <v>MUC KOSADA</v>
      </c>
      <c r="R1348" s="85" t="str">
        <f>IFERROR(__xludf.DUMMYFUNCTION("""COMPUTED_VALUE"""),"MUC KOSADA")</f>
        <v>MUC KOSADA</v>
      </c>
      <c r="S1348" s="85" t="str">
        <f>IFERROR(__xludf.DUMMYFUNCTION("""COMPUTED_VALUE"""),"HARIS SAEFUL HIDAYAT")</f>
        <v>HARIS SAEFUL HIDAYAT</v>
      </c>
      <c r="T1348" s="85" t="str">
        <f>IFERROR(__xludf.DUMMYFUNCTION("""COMPUTED_VALUE"""),"JL SILIWANGI CICURUG RT 03 RW 05, CIKALANG, TAWANG, TASIKMALAYA")</f>
        <v>JL SILIWANGI CICURUG RT 03 RW 05, CIKALANG, TAWANG, TASIKMALAYA</v>
      </c>
      <c r="U1348" s="85" t="str">
        <f>IFERROR(__xludf.DUMMYFUNCTION("""COMPUTED_VALUE"""),"Jl. Siliwangi Cicurug RT 03 RW 05")</f>
        <v>Jl. Siliwangi Cicurug RT 03 RW 05</v>
      </c>
      <c r="V1348" s="85" t="str">
        <f>IFERROR(__xludf.DUMMYFUNCTION("""COMPUTED_VALUE"""),"RT 03  \ RW 05,")</f>
        <v>RT 03  \ RW 05,</v>
      </c>
      <c r="W1348" s="85" t="str">
        <f>IFERROR(__xludf.DUMMYFUNCTION("""COMPUTED_VALUE"""),"Cikalang")</f>
        <v>Cikalang</v>
      </c>
      <c r="X1348" s="85" t="str">
        <f>IFERROR(__xludf.DUMMYFUNCTION("""COMPUTED_VALUE"""),"Tawang")</f>
        <v>Tawang</v>
      </c>
      <c r="Y1348" s="85" t="str">
        <f>IFERROR(__xludf.DUMMYFUNCTION("""COMPUTED_VALUE"""),"Tasikmalaya")</f>
        <v>Tasikmalaya</v>
      </c>
      <c r="Z1348" s="85" t="str">
        <f>IFERROR(__xludf.DUMMYFUNCTION("""COMPUTED_VALUE"""),"Jawa Barat")</f>
        <v>Jawa Barat</v>
      </c>
      <c r="AA1348" s="85" t="str">
        <f>IFERROR(__xludf.DUMMYFUNCTION("""COMPUTED_VALUE"""),"46114")</f>
        <v>46114</v>
      </c>
      <c r="AB1348" s="85" t="str">
        <f>IFERROR(__xludf.DUMMYFUNCTION("""COMPUTED_VALUE"""),"3278090907950003")</f>
        <v>3278090907950003</v>
      </c>
      <c r="AC1348" s="85" t="str">
        <f>IFERROR(__xludf.DUMMYFUNCTION("""COMPUTED_VALUE"""),"40.004.920.1-425.000")</f>
        <v>40.004.920.1-425.000</v>
      </c>
      <c r="AD1348" s="85" t="str">
        <f>IFERROR(__xludf.DUMMYFUNCTION("""COMPUTED_VALUE"""),"UMKM TASIK")</f>
        <v>UMKM TASIK</v>
      </c>
      <c r="AE1348" s="85" t="str">
        <f>IFERROR(__xludf.DUMMYFUNCTION("""COMPUTED_VALUE"""),"UMKM TASIK")</f>
        <v>UMKM TASIK</v>
      </c>
      <c r="AF1348" s="85" t="str">
        <f>IFERROR(__xludf.DUMMYFUNCTION("""COMPUTED_VALUE"""),"085222296728")</f>
        <v>085222296728</v>
      </c>
      <c r="AG1348" s="85" t="str">
        <f>IFERROR(__xludf.DUMMYFUNCTION("""COMPUTED_VALUE"""),"085222296728")</f>
        <v>085222296728</v>
      </c>
      <c r="AH1348" s="85" t="str">
        <f>IFERROR(__xludf.DUMMYFUNCTION("""COMPUTED_VALUE"""),"harissaepul0@gmail.com")</f>
        <v>harissaepul0@gmail.com</v>
      </c>
      <c r="AI1348" s="85" t="str">
        <f>IFERROR(__xludf.DUMMYFUNCTION("""COMPUTED_VALUE"""),"46114S1 ")</f>
        <v>46114S1 </v>
      </c>
      <c r="AJ1348" s="85" t="str">
        <f>IFERROR(__xludf.DUMMYFUNCTION("""COMPUTED_VALUE"""),"6aa27aaf95e222af1c09c2dc ")</f>
        <v>6aa27aaf95e222af1c09c2dc </v>
      </c>
      <c r="AK1348" s="85" t="str">
        <f>IFERROR(__xludf.DUMMYFUNCTION("""COMPUTED_VALUE"""),"harissaepul0@gmail.com")</f>
        <v>harissaepul0@gmail.com</v>
      </c>
      <c r="AL1348" s="85" t="str">
        <f>IFERROR(__xludf.DUMMYFUNCTION("""COMPUTED_VALUE"""),"#Muc46114S1$")</f>
        <v>#Muc46114S1$</v>
      </c>
      <c r="AM1348" s="85" t="str">
        <f>IFERROR(__xludf.DUMMYFUNCTION("""COMPUTED_VALUE"""),"KANTOR REGIONAL III BANDUNG 40004")</f>
        <v>KANTOR REGIONAL III BANDUNG 40004</v>
      </c>
      <c r="AN1348" s="85" t="str">
        <f>IFERROR(__xludf.DUMMYFUNCTION("""COMPUTED_VALUE"""),"KC TASIKMALAYA 46100")</f>
        <v>KC TASIKMALAYA 46100</v>
      </c>
      <c r="AO1348" s="85" t="str">
        <f>IFERROR(__xludf.DUMMYFUNCTION("""COMPUTED_VALUE"""),"0409250040473")</f>
        <v>0409250040473</v>
      </c>
      <c r="AP1348" s="85" t="str">
        <f>IFERROR(__xludf.DUMMYFUNCTION("""COMPUTED_VALUE"""),"0409250040473")</f>
        <v>0409250040473</v>
      </c>
      <c r="AQ1348" s="93" t="str">
        <f>IFERROR(__xludf.DUMMYFUNCTION("""COMPUTED_VALUE"""),"1042919191")</f>
        <v>1042919191</v>
      </c>
      <c r="AR1348" s="85" t="str">
        <f>IFERROR(__xludf.DUMMYFUNCTION("""COMPUTED_VALUE"""),"BSI")</f>
        <v>BSI</v>
      </c>
      <c r="AS1348" s="85" t="str">
        <f>IFERROR(__xludf.DUMMYFUNCTION("""COMPUTED_VALUE"""),"HARIS SAEPUL HIDAYAT")</f>
        <v>HARIS SAEPUL HIDAYAT</v>
      </c>
      <c r="AT1348" s="85" t="str">
        <f>IFERROR(__xludf.DUMMYFUNCTION("""COMPUTED_VALUE"""),"-7.335138,108.2317864")</f>
        <v>-7.335138,108.2317864</v>
      </c>
      <c r="AU1348" s="85" t="str">
        <f>IFERROR(__xludf.DUMMYFUNCTION("""COMPUTED_VALUE"""),"-7.335138,108.2317864")</f>
        <v>-7.335138,108.2317864</v>
      </c>
      <c r="AV1348" s="85"/>
      <c r="AW1348" s="85"/>
      <c r="AX1348" s="85"/>
      <c r="AY1348" s="85"/>
      <c r="AZ1348" s="85"/>
      <c r="BA1348" s="85"/>
      <c r="BB1348" s="85"/>
      <c r="BC1348" s="85"/>
      <c r="BD1348" s="85"/>
      <c r="BE1348" s="85"/>
      <c r="BF1348" s="85"/>
      <c r="BG1348" s="85"/>
      <c r="BH1348" s="85"/>
      <c r="BI1348" s="85"/>
      <c r="BJ1348" s="85"/>
      <c r="BK1348" s="85"/>
      <c r="BL1348" s="85"/>
      <c r="BM1348" s="85"/>
      <c r="BN1348" s="85"/>
      <c r="BO1348" s="85"/>
      <c r="BP1348" s="85"/>
      <c r="BQ1348" s="85"/>
      <c r="BR1348" s="85"/>
      <c r="BS1348" s="85"/>
      <c r="BT1348" s="85"/>
      <c r="BU1348" s="85"/>
      <c r="BV1348" s="85"/>
      <c r="BW1348" s="85"/>
      <c r="BX1348" s="85"/>
      <c r="BY1348" s="85"/>
      <c r="BZ1348" s="85"/>
      <c r="CA1348" s="85"/>
      <c r="CB1348" s="85"/>
      <c r="CC1348" s="85"/>
      <c r="CD1348" s="85"/>
      <c r="CE1348" s="85"/>
      <c r="CF1348" s="85"/>
      <c r="CG1348" s="85"/>
      <c r="CH1348" s="85"/>
      <c r="CI1348" s="85"/>
      <c r="CJ1348" s="85"/>
      <c r="CK1348" s="2"/>
    </row>
    <row r="1349" ht="12.75" customHeight="1">
      <c r="A1349" s="80">
        <f>IFERROR(__xludf.DUMMYFUNCTION("""COMPUTED_VALUE"""),1345.0)</f>
        <v>1345</v>
      </c>
      <c r="B1349" s="80"/>
      <c r="C1349" s="80"/>
      <c r="D1349" s="81">
        <f>IFERROR(__xludf.DUMMYFUNCTION("""COMPUTED_VALUE"""),46247.0)</f>
        <v>46247</v>
      </c>
      <c r="E1349" s="82"/>
      <c r="F1349" s="80"/>
      <c r="G1349" s="81">
        <f>IFERROR(__xludf.DUMMYFUNCTION("""COMPUTED_VALUE"""),46275.0)</f>
        <v>46275</v>
      </c>
      <c r="H1349" s="80"/>
      <c r="I1349" s="80"/>
      <c r="J1349" s="80"/>
      <c r="K1349" s="80"/>
      <c r="L1349" s="80">
        <f>IFERROR(__xludf.DUMMYFUNCTION("""COMPUTED_VALUE"""),28.0)</f>
        <v>28</v>
      </c>
      <c r="M1349" s="80"/>
      <c r="N1349" s="80"/>
      <c r="O1349" s="80"/>
      <c r="P1349" s="80" t="str">
        <f>IFERROR(__xludf.DUMMYFUNCTION("""COMPUTED_VALUE"""),"MUC70150UMKMTSK1")</f>
        <v>MUC70150UMKMTSK1</v>
      </c>
      <c r="Q1349" s="80" t="str">
        <f>IFERROR(__xludf.DUMMYFUNCTION("""COMPUTED_VALUE"""),"MUC WARUNG YUNI")</f>
        <v>MUC WARUNG YUNI</v>
      </c>
      <c r="R1349" s="80" t="str">
        <f>IFERROR(__xludf.DUMMYFUNCTION("""COMPUTED_VALUE"""),"MUC WARUNG YUNI")</f>
        <v>MUC WARUNG YUNI</v>
      </c>
      <c r="S1349" s="80" t="str">
        <f>IFERROR(__xludf.DUMMYFUNCTION("""COMPUTED_VALUE"""),"YAYAH SATARIYAH")</f>
        <v>YAYAH SATARIYAH</v>
      </c>
      <c r="T1349" s="80" t="str">
        <f>IFERROR(__xludf.DUMMYFUNCTION("""COMPUTED_VALUE"""),"KP TARINGGUL RT 04 RW 03, CISARUNI, PADAKEMBANG, KAB.TASIKMALAYA")</f>
        <v>KP TARINGGUL RT 04 RW 03, CISARUNI, PADAKEMBANG, KAB.TASIKMALAYA</v>
      </c>
      <c r="U1349" s="80" t="str">
        <f>IFERROR(__xludf.DUMMYFUNCTION("""COMPUTED_VALUE"""),"JL. CISARUNI RT 04 RW 03")</f>
        <v>JL. CISARUNI RT 04 RW 03</v>
      </c>
      <c r="V1349" s="80" t="str">
        <f>IFERROR(__xludf.DUMMYFUNCTION("""COMPUTED_VALUE"""),"RT 04  \ RW 03,")</f>
        <v>RT 04  \ RW 03,</v>
      </c>
      <c r="W1349" s="80" t="str">
        <f>IFERROR(__xludf.DUMMYFUNCTION("""COMPUTED_VALUE"""),"CISARUNI")</f>
        <v>CISARUNI</v>
      </c>
      <c r="X1349" s="80" t="str">
        <f>IFERROR(__xludf.DUMMYFUNCTION("""COMPUTED_VALUE"""),"PADAKEMBANG")</f>
        <v>PADAKEMBANG</v>
      </c>
      <c r="Y1349" s="80" t="str">
        <f>IFERROR(__xludf.DUMMYFUNCTION("""COMPUTED_VALUE"""),"KAB.TASIKMALAYA")</f>
        <v>KAB.TASIKMALAYA</v>
      </c>
      <c r="Z1349" s="80" t="str">
        <f>IFERROR(__xludf.DUMMYFUNCTION("""COMPUTED_VALUE"""),"JAWA BARAT")</f>
        <v>JAWA BARAT</v>
      </c>
      <c r="AA1349" s="80" t="str">
        <f>IFERROR(__xludf.DUMMYFUNCTION("""COMPUTED_VALUE"""),"46466")</f>
        <v>46466</v>
      </c>
      <c r="AB1349" s="80" t="str">
        <f>IFERROR(__xludf.DUMMYFUNCTION("""COMPUTED_VALUE"""),"3206297006720001")</f>
        <v>3206297006720001</v>
      </c>
      <c r="AC1349" s="80" t="str">
        <f>IFERROR(__xludf.DUMMYFUNCTION("""COMPUTED_VALUE"""),"92.585.400.2-425.000")</f>
        <v>92.585.400.2-425.000</v>
      </c>
      <c r="AD1349" s="80" t="str">
        <f>IFERROR(__xludf.DUMMYFUNCTION("""COMPUTED_VALUE"""),"UMKM TASIK")</f>
        <v>UMKM TASIK</v>
      </c>
      <c r="AE1349" s="80" t="str">
        <f>IFERROR(__xludf.DUMMYFUNCTION("""COMPUTED_VALUE"""),"UMKM TASIK")</f>
        <v>UMKM TASIK</v>
      </c>
      <c r="AF1349" s="80" t="str">
        <f>IFERROR(__xludf.DUMMYFUNCTION("""COMPUTED_VALUE"""),"085223328053")</f>
        <v>085223328053</v>
      </c>
      <c r="AG1349" s="80" t="str">
        <f>IFERROR(__xludf.DUMMYFUNCTION("""COMPUTED_VALUE"""),"085223328053")</f>
        <v>085223328053</v>
      </c>
      <c r="AH1349" s="80" t="str">
        <f>IFERROR(__xludf.DUMMYFUNCTION("""COMPUTED_VALUE"""),"yayahsatariyah@gmail.com")</f>
        <v>yayahsatariyah@gmail.com</v>
      </c>
      <c r="AI1349" s="80" t="str">
        <f>IFERROR(__xludf.DUMMYFUNCTION("""COMPUTED_VALUE"""),"46466S1 ")</f>
        <v>46466S1 </v>
      </c>
      <c r="AJ1349" s="80" t="str">
        <f>IFERROR(__xludf.DUMMYFUNCTION("""COMPUTED_VALUE"""),"6aa27d2d230bcd10eb0c5223 ")</f>
        <v>6aa27d2d230bcd10eb0c5223 </v>
      </c>
      <c r="AK1349" s="80" t="str">
        <f>IFERROR(__xludf.DUMMYFUNCTION("""COMPUTED_VALUE"""),"yayahsatariyah@gmail.com")</f>
        <v>yayahsatariyah@gmail.com</v>
      </c>
      <c r="AL1349" s="80" t="str">
        <f>IFERROR(__xludf.DUMMYFUNCTION("""COMPUTED_VALUE"""),"#Muc46466S1$")</f>
        <v>#Muc46466S1$</v>
      </c>
      <c r="AM1349" s="80" t="str">
        <f>IFERROR(__xludf.DUMMYFUNCTION("""COMPUTED_VALUE"""),"KANTOR REGIONAL III BANDUNG 40004")</f>
        <v>KANTOR REGIONAL III BANDUNG 40004</v>
      </c>
      <c r="AN1349" s="80" t="str">
        <f>IFERROR(__xludf.DUMMYFUNCTION("""COMPUTED_VALUE"""),"KC TASIKMALAYA 46100")</f>
        <v>KC TASIKMALAYA 46100</v>
      </c>
      <c r="AO1349" s="80" t="str">
        <f>IFERROR(__xludf.DUMMYFUNCTION("""COMPUTED_VALUE"""),"1214002412666")</f>
        <v>1214002412666</v>
      </c>
      <c r="AP1349" s="80" t="str">
        <f>IFERROR(__xludf.DUMMYFUNCTION("""COMPUTED_VALUE"""),"1214002412666")</f>
        <v>1214002412666</v>
      </c>
      <c r="AQ1349" s="83" t="str">
        <f>IFERROR(__xludf.DUMMYFUNCTION("""COMPUTED_VALUE"""),"436201010016532")</f>
        <v>436201010016532</v>
      </c>
      <c r="AR1349" s="80" t="str">
        <f>IFERROR(__xludf.DUMMYFUNCTION("""COMPUTED_VALUE"""),"BRI")</f>
        <v>BRI</v>
      </c>
      <c r="AS1349" s="80" t="str">
        <f>IFERROR(__xludf.DUMMYFUNCTION("""COMPUTED_VALUE"""),"YAYAH SATARIYAH")</f>
        <v>YAYAH SATARIYAH</v>
      </c>
      <c r="AT1349" s="80" t="str">
        <f>IFERROR(__xludf.DUMMYFUNCTION("""COMPUTED_VALUE"""),"-7.3116389,108.1168889")</f>
        <v>-7.3116389,108.1168889</v>
      </c>
      <c r="AU1349" s="80" t="str">
        <f>IFERROR(__xludf.DUMMYFUNCTION("""COMPUTED_VALUE"""),"-7.3116389,108.1168889")</f>
        <v>-7.3116389,108.1168889</v>
      </c>
      <c r="AV1349" s="80"/>
      <c r="AW1349" s="80"/>
      <c r="AX1349" s="80"/>
      <c r="AY1349" s="80"/>
      <c r="AZ1349" s="80"/>
      <c r="BA1349" s="80"/>
      <c r="BB1349" s="80"/>
      <c r="BC1349" s="80"/>
      <c r="BD1349" s="80"/>
      <c r="BE1349" s="80"/>
      <c r="BF1349" s="80"/>
      <c r="BG1349" s="80"/>
      <c r="BH1349" s="80"/>
      <c r="BI1349" s="80"/>
      <c r="BJ1349" s="80"/>
      <c r="BK1349" s="80"/>
      <c r="BL1349" s="80"/>
      <c r="BM1349" s="80"/>
      <c r="BN1349" s="80"/>
      <c r="BO1349" s="80"/>
      <c r="BP1349" s="80"/>
      <c r="BQ1349" s="80"/>
      <c r="BR1349" s="80"/>
      <c r="BS1349" s="80"/>
      <c r="BT1349" s="80"/>
      <c r="BU1349" s="80"/>
      <c r="BV1349" s="80"/>
      <c r="BW1349" s="80"/>
      <c r="BX1349" s="80"/>
      <c r="BY1349" s="80"/>
      <c r="BZ1349" s="80"/>
      <c r="CA1349" s="80"/>
      <c r="CB1349" s="80"/>
      <c r="CC1349" s="80"/>
      <c r="CD1349" s="80"/>
      <c r="CE1349" s="80"/>
      <c r="CF1349" s="80"/>
      <c r="CG1349" s="80"/>
      <c r="CH1349" s="80"/>
      <c r="CI1349" s="80"/>
      <c r="CJ1349" s="80"/>
      <c r="CK1349" s="2"/>
    </row>
    <row r="1350" ht="12.75" customHeight="1">
      <c r="A1350" s="85">
        <f>IFERROR(__xludf.DUMMYFUNCTION("""COMPUTED_VALUE"""),1346.0)</f>
        <v>1346</v>
      </c>
      <c r="B1350" s="85"/>
      <c r="C1350" s="85"/>
      <c r="D1350" s="86">
        <f>IFERROR(__xludf.DUMMYFUNCTION("""COMPUTED_VALUE"""),46247.0)</f>
        <v>46247</v>
      </c>
      <c r="E1350" s="88"/>
      <c r="F1350" s="85"/>
      <c r="G1350" s="86">
        <f>IFERROR(__xludf.DUMMYFUNCTION("""COMPUTED_VALUE"""),46258.0)</f>
        <v>46258</v>
      </c>
      <c r="H1350" s="85"/>
      <c r="I1350" s="85"/>
      <c r="J1350" s="85"/>
      <c r="K1350" s="85"/>
      <c r="L1350" s="85">
        <f>IFERROR(__xludf.DUMMYFUNCTION("""COMPUTED_VALUE"""),11.0)</f>
        <v>11</v>
      </c>
      <c r="M1350" s="85"/>
      <c r="N1350" s="85"/>
      <c r="O1350" s="85"/>
      <c r="P1350" s="85" t="str">
        <f>IFERROR(__xludf.DUMMYFUNCTION("""COMPUTED_VALUE"""),"MUCSPA63654PSIND")</f>
        <v>MUCSPA63654PSIND</v>
      </c>
      <c r="Q1350" s="85" t="str">
        <f>IFERROR(__xludf.DUMMYFUNCTION("""COMPUTED_VALUE"""),"MUC Trisakti Annajah")</f>
        <v>MUC Trisakti Annajah</v>
      </c>
      <c r="R1350" s="85" t="str">
        <f>IFERROR(__xludf.DUMMYFUNCTION("""COMPUTED_VALUE"""),"MUC Trisakti Annajah")</f>
        <v>MUC Trisakti Annajah</v>
      </c>
      <c r="S1350" s="85" t="str">
        <f>IFERROR(__xludf.DUMMYFUNCTION("""COMPUTED_VALUE"""),"SEH SUBAKIR, SE.MM")</f>
        <v>SEH SUBAKIR, SE.MM</v>
      </c>
      <c r="T1350" s="85" t="str">
        <f>IFERROR(__xludf.DUMMYFUNCTION("""COMPUTED_VALUE"""),"DSN PAO BARUH, BARUNG GAGAH, TAMBELANGAN, KAB. SAMPANG, JAWA TIMUR")</f>
        <v>DSN PAO BARUH, BARUNG GAGAH, TAMBELANGAN, KAB. SAMPANG, JAWA TIMUR</v>
      </c>
      <c r="U1350" s="85" t="str">
        <f>IFERROR(__xludf.DUMMYFUNCTION("""COMPUTED_VALUE"""),"JL. Raya Samaran Barat Dusun Pao Baruh")</f>
        <v>JL. Raya Samaran Barat Dusun Pao Baruh</v>
      </c>
      <c r="V1350" s="85"/>
      <c r="W1350" s="85" t="str">
        <f>IFERROR(__xludf.DUMMYFUNCTION("""COMPUTED_VALUE"""),"Samaran")</f>
        <v>Samaran</v>
      </c>
      <c r="X1350" s="85" t="str">
        <f>IFERROR(__xludf.DUMMYFUNCTION("""COMPUTED_VALUE"""),"Tambelangan")</f>
        <v>Tambelangan</v>
      </c>
      <c r="Y1350" s="85" t="str">
        <f>IFERROR(__xludf.DUMMYFUNCTION("""COMPUTED_VALUE"""),"Kab.Sampang")</f>
        <v>Kab.Sampang</v>
      </c>
      <c r="Z1350" s="85" t="str">
        <f>IFERROR(__xludf.DUMMYFUNCTION("""COMPUTED_VALUE"""),"Jawa Timur")</f>
        <v>Jawa Timur</v>
      </c>
      <c r="AA1350" s="85" t="str">
        <f>IFERROR(__xludf.DUMMYFUNCTION("""COMPUTED_VALUE"""),"69253")</f>
        <v>69253</v>
      </c>
      <c r="AB1350" s="85" t="str">
        <f>IFERROR(__xludf.DUMMYFUNCTION("""COMPUTED_VALUE"""),"3527080107640040")</f>
        <v>3527080107640040</v>
      </c>
      <c r="AC1350" s="85" t="str">
        <f>IFERROR(__xludf.DUMMYFUNCTION("""COMPUTED_VALUE"""),"15.437.346.8-644.000")</f>
        <v>15.437.346.8-644.000</v>
      </c>
      <c r="AD1350" s="85" t="str">
        <f>IFERROR(__xludf.DUMMYFUNCTION("""COMPUTED_VALUE"""),"CUM - PS - NONKORGEN")</f>
        <v>CUM - PS - NONKORGEN</v>
      </c>
      <c r="AE1350" s="85" t="str">
        <f>IFERROR(__xludf.DUMMYFUNCTION("""COMPUTED_VALUE"""),"PAK PANDU KC SAMPANG")</f>
        <v>PAK PANDU KC SAMPANG</v>
      </c>
      <c r="AF1350" s="85" t="str">
        <f>IFERROR(__xludf.DUMMYFUNCTION("""COMPUTED_VALUE"""),"082227722664")</f>
        <v>082227722664</v>
      </c>
      <c r="AG1350" s="85" t="str">
        <f>IFERROR(__xludf.DUMMYFUNCTION("""COMPUTED_VALUE"""),"082227722664")</f>
        <v>082227722664</v>
      </c>
      <c r="AH1350" s="85" t="str">
        <f>IFERROR(__xludf.DUMMYFUNCTION("""COMPUTED_VALUE"""),"trisaktiannajah.utama@gmail.com")</f>
        <v>trisaktiannajah.utama@gmail.com</v>
      </c>
      <c r="AI1350" s="85" t="str">
        <f>IFERROR(__xludf.DUMMYFUNCTION("""COMPUTED_VALUE"""),"69253S2")</f>
        <v>69253S2</v>
      </c>
      <c r="AJ1350" s="85" t="str">
        <f>IFERROR(__xludf.DUMMYFUNCTION("""COMPUTED_VALUE"""),"6a8bcdf03b096905950439df")</f>
        <v>6a8bcdf03b096905950439df</v>
      </c>
      <c r="AK1350" s="85" t="str">
        <f>IFERROR(__xludf.DUMMYFUNCTION("""COMPUTED_VALUE"""),"trisaktiannajah.utama@gmail.com")</f>
        <v>trisaktiannajah.utama@gmail.com</v>
      </c>
      <c r="AL1350" s="85" t="str">
        <f>IFERROR(__xludf.DUMMYFUNCTION("""COMPUTED_VALUE"""),"#Muc69253S2$")</f>
        <v>#Muc69253S2$</v>
      </c>
      <c r="AM1350" s="85" t="str">
        <f>IFERROR(__xludf.DUMMYFUNCTION("""COMPUTED_VALUE"""),"KANTOR REGIONAL V SURABAYA 60004")</f>
        <v>KANTOR REGIONAL V SURABAYA 60004</v>
      </c>
      <c r="AN1350" s="85" t="str">
        <f>IFERROR(__xludf.DUMMYFUNCTION("""COMPUTED_VALUE"""),"KC SAMPANG 69200")</f>
        <v>KC SAMPANG 69200</v>
      </c>
      <c r="AO1350" s="85" t="str">
        <f>IFERROR(__xludf.DUMMYFUNCTION("""COMPUTED_VALUE"""),"1208260087241")</f>
        <v>1208260087241</v>
      </c>
      <c r="AP1350" s="85" t="str">
        <f>IFERROR(__xludf.DUMMYFUNCTION("""COMPUTED_VALUE"""),"1208260087241")</f>
        <v>1208260087241</v>
      </c>
      <c r="AQ1350" s="93" t="str">
        <f>IFERROR(__xludf.DUMMYFUNCTION("""COMPUTED_VALUE"""),"8960721196")</f>
        <v>8960721196</v>
      </c>
      <c r="AR1350" s="85" t="str">
        <f>IFERROR(__xludf.DUMMYFUNCTION("""COMPUTED_VALUE"""),"BCA")</f>
        <v>BCA</v>
      </c>
      <c r="AS1350" s="85" t="str">
        <f>IFERROR(__xludf.DUMMYFUNCTION("""COMPUTED_VALUE"""),"SEH SUBAKIR, SE.MM")</f>
        <v>SEH SUBAKIR, SE.MM</v>
      </c>
      <c r="AT1350" s="85" t="str">
        <f>IFERROR(__xludf.DUMMYFUNCTION("""COMPUTED_VALUE"""),"-7.07031,113.1453988")</f>
        <v>-7.07031,113.1453988</v>
      </c>
      <c r="AU1350" s="85" t="str">
        <f>IFERROR(__xludf.DUMMYFUNCTION("""COMPUTED_VALUE"""),"-7.07031,113.1453988")</f>
        <v>-7.07031,113.1453988</v>
      </c>
      <c r="AV1350" s="85"/>
      <c r="AW1350" s="85"/>
      <c r="AX1350" s="85"/>
      <c r="AY1350" s="85"/>
      <c r="AZ1350" s="85"/>
      <c r="BA1350" s="85"/>
      <c r="BB1350" s="85"/>
      <c r="BC1350" s="85"/>
      <c r="BD1350" s="85"/>
      <c r="BE1350" s="85"/>
      <c r="BF1350" s="85"/>
      <c r="BG1350" s="85"/>
      <c r="BH1350" s="85"/>
      <c r="BI1350" s="85"/>
      <c r="BJ1350" s="85"/>
      <c r="BK1350" s="85"/>
      <c r="BL1350" s="85"/>
      <c r="BM1350" s="85"/>
      <c r="BN1350" s="85"/>
      <c r="BO1350" s="85"/>
      <c r="BP1350" s="85"/>
      <c r="BQ1350" s="85"/>
      <c r="BR1350" s="85"/>
      <c r="BS1350" s="85"/>
      <c r="BT1350" s="85"/>
      <c r="BU1350" s="85"/>
      <c r="BV1350" s="85"/>
      <c r="BW1350" s="85"/>
      <c r="BX1350" s="85"/>
      <c r="BY1350" s="85"/>
      <c r="BZ1350" s="85"/>
      <c r="CA1350" s="85"/>
      <c r="CB1350" s="85"/>
      <c r="CC1350" s="85"/>
      <c r="CD1350" s="85"/>
      <c r="CE1350" s="85"/>
      <c r="CF1350" s="85"/>
      <c r="CG1350" s="85"/>
      <c r="CH1350" s="85"/>
      <c r="CI1350" s="85"/>
      <c r="CJ1350" s="85"/>
      <c r="CK1350" s="2"/>
    </row>
    <row r="1351" ht="12.75" customHeight="1">
      <c r="A1351" s="80">
        <f>IFERROR(__xludf.DUMMYFUNCTION("""COMPUTED_VALUE"""),1347.0)</f>
        <v>1347</v>
      </c>
      <c r="B1351" s="80"/>
      <c r="C1351" s="80"/>
      <c r="D1351" s="81">
        <f>IFERROR(__xludf.DUMMYFUNCTION("""COMPUTED_VALUE"""),46247.0)</f>
        <v>46247</v>
      </c>
      <c r="E1351" s="82"/>
      <c r="F1351" s="80"/>
      <c r="G1351" s="81">
        <f>IFERROR(__xludf.DUMMYFUNCTION("""COMPUTED_VALUE"""),46275.0)</f>
        <v>46275</v>
      </c>
      <c r="H1351" s="80"/>
      <c r="I1351" s="80"/>
      <c r="J1351" s="80"/>
      <c r="K1351" s="80"/>
      <c r="L1351" s="80">
        <f>IFERROR(__xludf.DUMMYFUNCTION("""COMPUTED_VALUE"""),28.0)</f>
        <v>28</v>
      </c>
      <c r="M1351" s="80"/>
      <c r="N1351" s="80"/>
      <c r="O1351" s="80"/>
      <c r="P1351" s="80" t="str">
        <f>IFERROR(__xludf.DUMMYFUNCTION("""COMPUTED_VALUE"""),"53BSPA17196JBEEN")</f>
        <v>53BSPA17196JBEEN</v>
      </c>
      <c r="Q1351" s="80" t="str">
        <f>IFERROR(__xludf.DUMMYFUNCTION("""COMPUTED_VALUE"""),"MUC TOKO BALI")</f>
        <v>MUC TOKO BALI</v>
      </c>
      <c r="R1351" s="80" t="str">
        <f>IFERROR(__xludf.DUMMYFUNCTION("""COMPUTED_VALUE"""),"MUC TOKO BALI")</f>
        <v>MUC TOKO BALI</v>
      </c>
      <c r="S1351" s="80" t="str">
        <f>IFERROR(__xludf.DUMMYFUNCTION("""COMPUTED_VALUE"""),"HERINDO, NG")</f>
        <v>HERINDO, NG</v>
      </c>
      <c r="T1351" s="80" t="str">
        <f>IFERROR(__xludf.DUMMYFUNCTION("""COMPUTED_VALUE"""),"JL. RAWA BEBEK RT 13 RW 11, PENJARINGAN, PENJARINGAN, JAKUT")</f>
        <v>JL. RAWA BEBEK RT 13 RW 11, PENJARINGAN, PENJARINGAN, JAKUT</v>
      </c>
      <c r="U1351" s="80" t="str">
        <f>IFERROR(__xludf.DUMMYFUNCTION("""COMPUTED_VALUE"""),"JL. RAWA BEBEK NO.39 A RT 13 RW 11")</f>
        <v>JL. RAWA BEBEK NO.39 A RT 13 RW 11</v>
      </c>
      <c r="V1351" s="80" t="str">
        <f>IFERROR(__xludf.DUMMYFUNCTION("""COMPUTED_VALUE"""),"RT 13  \ RW 11,")</f>
        <v>RT 13  \ RW 11,</v>
      </c>
      <c r="W1351" s="80" t="str">
        <f>IFERROR(__xludf.DUMMYFUNCTION("""COMPUTED_VALUE"""),"PENJARINGAN")</f>
        <v>PENJARINGAN</v>
      </c>
      <c r="X1351" s="80" t="str">
        <f>IFERROR(__xludf.DUMMYFUNCTION("""COMPUTED_VALUE"""),"PENJARINGAN")</f>
        <v>PENJARINGAN</v>
      </c>
      <c r="Y1351" s="80" t="str">
        <f>IFERROR(__xludf.DUMMYFUNCTION("""COMPUTED_VALUE"""),"JAKARTA UTARA")</f>
        <v>JAKARTA UTARA</v>
      </c>
      <c r="Z1351" s="80" t="str">
        <f>IFERROR(__xludf.DUMMYFUNCTION("""COMPUTED_VALUE"""),"DKI JAKARTA")</f>
        <v>DKI JAKARTA</v>
      </c>
      <c r="AA1351" s="80" t="str">
        <f>IFERROR(__xludf.DUMMYFUNCTION("""COMPUTED_VALUE"""),"14440")</f>
        <v>14440</v>
      </c>
      <c r="AB1351" s="80" t="str">
        <f>IFERROR(__xludf.DUMMYFUNCTION("""COMPUTED_VALUE"""),"3172011905860006")</f>
        <v>3172011905860006</v>
      </c>
      <c r="AC1351" s="80" t="str">
        <f>IFERROR(__xludf.DUMMYFUNCTION("""COMPUTED_VALUE"""),"74.668.801.9-041.000")</f>
        <v>74.668.801.9-041.000</v>
      </c>
      <c r="AD1351" s="80" t="str">
        <f>IFERROR(__xludf.DUMMYFUNCTION("""COMPUTED_VALUE"""),"CUM - EEN")</f>
        <v>CUM - EEN</v>
      </c>
      <c r="AE1351" s="80" t="str">
        <f>IFERROR(__xludf.DUMMYFUNCTION("""COMPUTED_VALUE"""),"CUM - EEN")</f>
        <v>CUM - EEN</v>
      </c>
      <c r="AF1351" s="80" t="str">
        <f>IFERROR(__xludf.DUMMYFUNCTION("""COMPUTED_VALUE"""),"081218289959")</f>
        <v>081218289959</v>
      </c>
      <c r="AG1351" s="80" t="str">
        <f>IFERROR(__xludf.DUMMYFUNCTION("""COMPUTED_VALUE"""),"081218289959")</f>
        <v>081218289959</v>
      </c>
      <c r="AH1351" s="80" t="str">
        <f>IFERROR(__xludf.DUMMYFUNCTION("""COMPUTED_VALUE"""),"herindo.86@gmail.com")</f>
        <v>herindo.86@gmail.com</v>
      </c>
      <c r="AI1351" s="80" t="str">
        <f>IFERROR(__xludf.DUMMYFUNCTION("""COMPUTED_VALUE"""),"14440S6 ")</f>
        <v>14440S6 </v>
      </c>
      <c r="AJ1351" s="80" t="str">
        <f>IFERROR(__xludf.DUMMYFUNCTION("""COMPUTED_VALUE"""),"6aa27324c6b0771996043d4a ")</f>
        <v>6aa27324c6b0771996043d4a </v>
      </c>
      <c r="AK1351" s="80" t="str">
        <f>IFERROR(__xludf.DUMMYFUNCTION("""COMPUTED_VALUE"""),"herindo.86@gmail.com")</f>
        <v>herindo.86@gmail.com</v>
      </c>
      <c r="AL1351" s="80" t="str">
        <f>IFERROR(__xludf.DUMMYFUNCTION("""COMPUTED_VALUE"""),"#Muc14440S6$")</f>
        <v>#Muc14440S6$</v>
      </c>
      <c r="AM1351" s="80" t="str">
        <f>IFERROR(__xludf.DUMMYFUNCTION("""COMPUTED_VALUE"""),"KANTOR REGIONAL II JAKARTA 10004")</f>
        <v>KANTOR REGIONAL II JAKARTA 10004</v>
      </c>
      <c r="AN1351" s="80" t="str">
        <f>IFERROR(__xludf.DUMMYFUNCTION("""COMPUTED_VALUE"""),"KCU JAKARTAPREMIER 13000")</f>
        <v>KCU JAKARTAPREMIER 13000</v>
      </c>
      <c r="AO1351" s="80" t="str">
        <f>IFERROR(__xludf.DUMMYFUNCTION("""COMPUTED_VALUE"""),"2606260055542")</f>
        <v>2606260055542</v>
      </c>
      <c r="AP1351" s="80" t="str">
        <f>IFERROR(__xludf.DUMMYFUNCTION("""COMPUTED_VALUE"""),"2606260055542")</f>
        <v>2606260055542</v>
      </c>
      <c r="AQ1351" s="83" t="str">
        <f>IFERROR(__xludf.DUMMYFUNCTION("""COMPUTED_VALUE"""),"5830149009")</f>
        <v>5830149009</v>
      </c>
      <c r="AR1351" s="80" t="str">
        <f>IFERROR(__xludf.DUMMYFUNCTION("""COMPUTED_VALUE"""),"BCA")</f>
        <v>BCA</v>
      </c>
      <c r="AS1351" s="80" t="str">
        <f>IFERROR(__xludf.DUMMYFUNCTION("""COMPUTED_VALUE"""),"HERINDO, NG")</f>
        <v>HERINDO, NG</v>
      </c>
      <c r="AT1351" s="80" t="str">
        <f>IFERROR(__xludf.DUMMYFUNCTION("""COMPUTED_VALUE"""),"-6.1314768,106.7997717")</f>
        <v>-6.1314768,106.7997717</v>
      </c>
      <c r="AU1351" s="80" t="str">
        <f>IFERROR(__xludf.DUMMYFUNCTION("""COMPUTED_VALUE"""),"-6.1314768,106.7997717")</f>
        <v>-6.1314768,106.7997717</v>
      </c>
      <c r="AV1351" s="80"/>
      <c r="AW1351" s="80"/>
      <c r="AX1351" s="80"/>
      <c r="AY1351" s="80"/>
      <c r="AZ1351" s="80"/>
      <c r="BA1351" s="80"/>
      <c r="BB1351" s="80"/>
      <c r="BC1351" s="80"/>
      <c r="BD1351" s="80"/>
      <c r="BE1351" s="80"/>
      <c r="BF1351" s="80"/>
      <c r="BG1351" s="80"/>
      <c r="BH1351" s="80"/>
      <c r="BI1351" s="80"/>
      <c r="BJ1351" s="80"/>
      <c r="BK1351" s="80"/>
      <c r="BL1351" s="80"/>
      <c r="BM1351" s="80"/>
      <c r="BN1351" s="80"/>
      <c r="BO1351" s="80"/>
      <c r="BP1351" s="80"/>
      <c r="BQ1351" s="80"/>
      <c r="BR1351" s="80"/>
      <c r="BS1351" s="80"/>
      <c r="BT1351" s="80"/>
      <c r="BU1351" s="80"/>
      <c r="BV1351" s="80"/>
      <c r="BW1351" s="80"/>
      <c r="BX1351" s="80"/>
      <c r="BY1351" s="80"/>
      <c r="BZ1351" s="80"/>
      <c r="CA1351" s="80"/>
      <c r="CB1351" s="80"/>
      <c r="CC1351" s="80"/>
      <c r="CD1351" s="80"/>
      <c r="CE1351" s="80"/>
      <c r="CF1351" s="80"/>
      <c r="CG1351" s="80"/>
      <c r="CH1351" s="80"/>
      <c r="CI1351" s="80"/>
      <c r="CJ1351" s="80"/>
      <c r="CK1351" s="2"/>
    </row>
    <row r="1352" ht="12.75" customHeight="1">
      <c r="A1352" s="85">
        <f>IFERROR(__xludf.DUMMYFUNCTION("""COMPUTED_VALUE"""),1348.0)</f>
        <v>1348</v>
      </c>
      <c r="B1352" s="85"/>
      <c r="C1352" s="85"/>
      <c r="D1352" s="86">
        <f>IFERROR(__xludf.DUMMYFUNCTION("""COMPUTED_VALUE"""),46247.0)</f>
        <v>46247</v>
      </c>
      <c r="E1352" s="88"/>
      <c r="F1352" s="85"/>
      <c r="G1352" s="86">
        <f>IFERROR(__xludf.DUMMYFUNCTION("""COMPUTED_VALUE"""),46279.0)</f>
        <v>46279</v>
      </c>
      <c r="H1352" s="85"/>
      <c r="I1352" s="85"/>
      <c r="J1352" s="85"/>
      <c r="K1352" s="85"/>
      <c r="L1352" s="85">
        <f>IFERROR(__xludf.DUMMYFUNCTION("""COMPUTED_VALUE"""),32.0)</f>
        <v>32</v>
      </c>
      <c r="M1352" s="85"/>
      <c r="N1352" s="85"/>
      <c r="O1352" s="85"/>
      <c r="P1352" s="85" t="str">
        <f>IFERROR(__xludf.DUMMYFUNCTION("""COMPUTED_VALUE"""),"MUCSPA70103PSAAK")</f>
        <v>MUCSPA70103PSAAK</v>
      </c>
      <c r="Q1352" s="85" t="str">
        <f>IFERROR(__xludf.DUMMYFUNCTION("""COMPUTED_VALUE"""),"MUC SAROHA AMPEL")</f>
        <v>MUC SAROHA AMPEL</v>
      </c>
      <c r="R1352" s="85" t="str">
        <f>IFERROR(__xludf.DUMMYFUNCTION("""COMPUTED_VALUE"""),"MUC SAROHA AMPEL")</f>
        <v>MUC SAROHA AMPEL</v>
      </c>
      <c r="S1352" s="85" t="str">
        <f>IFERROR(__xludf.DUMMYFUNCTION("""COMPUTED_VALUE"""),"RIZAL IFANDI SIHOMBING")</f>
        <v>RIZAL IFANDI SIHOMBING</v>
      </c>
      <c r="T1352" s="85" t="str">
        <f>IFERROR(__xludf.DUMMYFUNCTION("""COMPUTED_VALUE"""),"LUBANG BUAYA RT 01 RW 07, LUBANG BUAYA, CIPAYUNG, JAKTIM")</f>
        <v>LUBANG BUAYA RT 01 RW 07, LUBANG BUAYA, CIPAYUNG, JAKTIM</v>
      </c>
      <c r="U1352" s="85" t="str">
        <f>IFERROR(__xludf.DUMMYFUNCTION("""COMPUTED_VALUE"""),"JL. AMPEL NO.11 RT.06 RW.07")</f>
        <v>JL. AMPEL NO.11 RT.06 RW.07</v>
      </c>
      <c r="V1352" s="85" t="str">
        <f>IFERROR(__xludf.DUMMYFUNCTION("""COMPUTED_VALUE"""),"RT 01  \ RW 07,")</f>
        <v>RT 01  \ RW 07,</v>
      </c>
      <c r="W1352" s="85" t="str">
        <f>IFERROR(__xludf.DUMMYFUNCTION("""COMPUTED_VALUE"""),"LUBANG BUAYA")</f>
        <v>LUBANG BUAYA</v>
      </c>
      <c r="X1352" s="85" t="str">
        <f>IFERROR(__xludf.DUMMYFUNCTION("""COMPUTED_VALUE"""),"CIPAYUNG")</f>
        <v>CIPAYUNG</v>
      </c>
      <c r="Y1352" s="85" t="str">
        <f>IFERROR(__xludf.DUMMYFUNCTION("""COMPUTED_VALUE"""),"JAKARTA TIMUR")</f>
        <v>JAKARTA TIMUR</v>
      </c>
      <c r="Z1352" s="85" t="str">
        <f>IFERROR(__xludf.DUMMYFUNCTION("""COMPUTED_VALUE"""),"DKI JAKARTA")</f>
        <v>DKI JAKARTA</v>
      </c>
      <c r="AA1352" s="85" t="str">
        <f>IFERROR(__xludf.DUMMYFUNCTION("""COMPUTED_VALUE"""),"13810")</f>
        <v>13810</v>
      </c>
      <c r="AB1352" s="85" t="str">
        <f>IFERROR(__xludf.DUMMYFUNCTION("""COMPUTED_VALUE"""),"3175101304980005")</f>
        <v>3175101304980005</v>
      </c>
      <c r="AC1352" s="85" t="str">
        <f>IFERROR(__xludf.DUMMYFUNCTION("""COMPUTED_VALUE"""),"95.826.551.4-000.9000")</f>
        <v>95.826.551.4-000.9000</v>
      </c>
      <c r="AD1352" s="85" t="str">
        <f>IFERROR(__xludf.DUMMYFUNCTION("""COMPUTED_VALUE"""),"CUM - LP - ANGGI")</f>
        <v>CUM - LP - ANGGI</v>
      </c>
      <c r="AE1352" s="85" t="str">
        <f>IFERROR(__xludf.DUMMYFUNCTION("""COMPUTED_VALUE"""),"CUM - LP - ANGGI")</f>
        <v>CUM - LP - ANGGI</v>
      </c>
      <c r="AF1352" s="85" t="str">
        <f>IFERROR(__xludf.DUMMYFUNCTION("""COMPUTED_VALUE"""),"089567916550")</f>
        <v>089567916550</v>
      </c>
      <c r="AG1352" s="85" t="str">
        <f>IFERROR(__xludf.DUMMYFUNCTION("""COMPUTED_VALUE"""),"089567916550")</f>
        <v>089567916550</v>
      </c>
      <c r="AH1352" s="85" t="str">
        <f>IFERROR(__xludf.DUMMYFUNCTION("""COMPUTED_VALUE"""),"sarohafood@gmail.com")</f>
        <v>sarohafood@gmail.com</v>
      </c>
      <c r="AI1352" s="85" t="str">
        <f>IFERROR(__xludf.DUMMYFUNCTION("""COMPUTED_VALUE"""),"13810S3")</f>
        <v>13810S3</v>
      </c>
      <c r="AJ1352" s="85" t="str">
        <f>IFERROR(__xludf.DUMMYFUNCTION("""COMPUTED_VALUE"""),"6aa4c68b4670beded30bca1c ")</f>
        <v>6aa4c68b4670beded30bca1c </v>
      </c>
      <c r="AK1352" s="85" t="str">
        <f>IFERROR(__xludf.DUMMYFUNCTION("""COMPUTED_VALUE"""),"sarohafood@gmail.com")</f>
        <v>sarohafood@gmail.com</v>
      </c>
      <c r="AL1352" s="85" t="str">
        <f>IFERROR(__xludf.DUMMYFUNCTION("""COMPUTED_VALUE"""),"#Muc13810S3$")</f>
        <v>#Muc13810S3$</v>
      </c>
      <c r="AM1352" s="85" t="str">
        <f>IFERROR(__xludf.DUMMYFUNCTION("""COMPUTED_VALUE"""),"KANTOR REGIONAL II JAKARTA 10004")</f>
        <v>KANTOR REGIONAL II JAKARTA 10004</v>
      </c>
      <c r="AN1352" s="85" t="str">
        <f>IFERROR(__xludf.DUMMYFUNCTION("""COMPUTED_VALUE"""),"KCU JAKARTAPREMIER 13000")</f>
        <v>KCU JAKARTAPREMIER 13000</v>
      </c>
      <c r="AO1352" s="85" t="str">
        <f>IFERROR(__xludf.DUMMYFUNCTION("""COMPUTED_VALUE"""),"1806260117259")</f>
        <v>1806260117259</v>
      </c>
      <c r="AP1352" s="85" t="str">
        <f>IFERROR(__xludf.DUMMYFUNCTION("""COMPUTED_VALUE"""),"1806260117259")</f>
        <v>1806260117259</v>
      </c>
      <c r="AQ1352" s="93" t="str">
        <f>IFERROR(__xludf.DUMMYFUNCTION("""COMPUTED_VALUE"""),"6825755270")</f>
        <v>6825755270</v>
      </c>
      <c r="AR1352" s="85" t="str">
        <f>IFERROR(__xludf.DUMMYFUNCTION("""COMPUTED_VALUE"""),"BCA")</f>
        <v>BCA</v>
      </c>
      <c r="AS1352" s="85" t="str">
        <f>IFERROR(__xludf.DUMMYFUNCTION("""COMPUTED_VALUE"""),"RIZAL IFANDI SIHOMBING")</f>
        <v>RIZAL IFANDI SIHOMBING</v>
      </c>
      <c r="AT1352" s="85" t="str">
        <f>IFERROR(__xludf.DUMMYFUNCTION("""COMPUTED_VALUE"""),"-6.2941953,106.8921065")</f>
        <v>-6.2941953,106.8921065</v>
      </c>
      <c r="AU1352" s="85" t="str">
        <f>IFERROR(__xludf.DUMMYFUNCTION("""COMPUTED_VALUE"""),"-6.2941953,106.8921065")</f>
        <v>-6.2941953,106.8921065</v>
      </c>
      <c r="AV1352" s="85"/>
      <c r="AW1352" s="85"/>
      <c r="AX1352" s="85"/>
      <c r="AY1352" s="85"/>
      <c r="AZ1352" s="85"/>
      <c r="BA1352" s="85"/>
      <c r="BB1352" s="85"/>
      <c r="BC1352" s="85"/>
      <c r="BD1352" s="85"/>
      <c r="BE1352" s="85"/>
      <c r="BF1352" s="85"/>
      <c r="BG1352" s="85"/>
      <c r="BH1352" s="85"/>
      <c r="BI1352" s="85"/>
      <c r="BJ1352" s="85"/>
      <c r="BK1352" s="85"/>
      <c r="BL1352" s="85"/>
      <c r="BM1352" s="85"/>
      <c r="BN1352" s="85"/>
      <c r="BO1352" s="85"/>
      <c r="BP1352" s="85"/>
      <c r="BQ1352" s="85"/>
      <c r="BR1352" s="85"/>
      <c r="BS1352" s="85"/>
      <c r="BT1352" s="85"/>
      <c r="BU1352" s="85"/>
      <c r="BV1352" s="85"/>
      <c r="BW1352" s="85"/>
      <c r="BX1352" s="85"/>
      <c r="BY1352" s="85"/>
      <c r="BZ1352" s="85"/>
      <c r="CA1352" s="85"/>
      <c r="CB1352" s="85"/>
      <c r="CC1352" s="85"/>
      <c r="CD1352" s="85"/>
      <c r="CE1352" s="85"/>
      <c r="CF1352" s="85"/>
      <c r="CG1352" s="85"/>
      <c r="CH1352" s="85"/>
      <c r="CI1352" s="85"/>
      <c r="CJ1352" s="85"/>
      <c r="CK1352" s="2"/>
    </row>
    <row r="1353" ht="12.75" customHeight="1">
      <c r="A1353" s="80">
        <f>IFERROR(__xludf.DUMMYFUNCTION("""COMPUTED_VALUE"""),1349.0)</f>
        <v>1349</v>
      </c>
      <c r="B1353" s="80"/>
      <c r="C1353" s="80"/>
      <c r="D1353" s="81">
        <f>IFERROR(__xludf.DUMMYFUNCTION("""COMPUTED_VALUE"""),46248.0)</f>
        <v>46248</v>
      </c>
      <c r="E1353" s="82"/>
      <c r="F1353" s="80"/>
      <c r="G1353" s="81"/>
      <c r="H1353" s="80"/>
      <c r="I1353" s="80"/>
      <c r="J1353" s="80"/>
      <c r="K1353" s="80"/>
      <c r="L1353" s="80"/>
      <c r="M1353" s="80"/>
      <c r="N1353" s="80"/>
      <c r="O1353" s="80"/>
      <c r="P1353" s="80" t="str">
        <f>IFERROR(__xludf.DUMMYFUNCTION("""COMPUTED_VALUE"""),"MUCSPA70051PSUMK")</f>
        <v>MUCSPA70051PSUMK</v>
      </c>
      <c r="Q1353" s="80" t="str">
        <f>IFERROR(__xludf.DUMMYFUNCTION("""COMPUTED_VALUE"""),"MUC PAK SAHID COFFEE")</f>
        <v>MUC PAK SAHID COFFEE</v>
      </c>
      <c r="R1353" s="80" t="str">
        <f>IFERROR(__xludf.DUMMYFUNCTION("""COMPUTED_VALUE"""),"MUC PAK SAHID COFFEE")</f>
        <v>MUC PAK SAHID COFFEE</v>
      </c>
      <c r="S1353" s="80" t="str">
        <f>IFERROR(__xludf.DUMMYFUNCTION("""COMPUTED_VALUE"""),"KENAN JULIANSYAH")</f>
        <v>KENAN JULIANSYAH</v>
      </c>
      <c r="T1353" s="80" t="str">
        <f>IFERROR(__xludf.DUMMYFUNCTION("""COMPUTED_VALUE"""),"DESA BATU BANDUNG RT 000 RW OOO BATU BANDUNG MUARA KEMUMU KAB. KEPAHIANG")</f>
        <v>DESA BATU BANDUNG RT 000 RW OOO BATU BANDUNG MUARA KEMUMU KAB. KEPAHIANG</v>
      </c>
      <c r="U1353" s="80" t="str">
        <f>IFERROR(__xludf.DUMMYFUNCTION("""COMPUTED_VALUE"""),"JALAN RAYA, Batu Bandung, Kec. Muara Kemumu, Kab. Kepahiang, Bengkulu")</f>
        <v>JALAN RAYA, Batu Bandung, Kec. Muara Kemumu, Kab. Kepahiang, Bengkulu</v>
      </c>
      <c r="V1353" s="80" t="str">
        <f>IFERROR(__xludf.DUMMYFUNCTION("""COMPUTED_VALUE"""),"RT 000 \ RW OOO")</f>
        <v>RT 000 \ RW OOO</v>
      </c>
      <c r="W1353" s="80" t="str">
        <f>IFERROR(__xludf.DUMMYFUNCTION("""COMPUTED_VALUE"""),"Batu Bandung")</f>
        <v>Batu Bandung</v>
      </c>
      <c r="X1353" s="80" t="str">
        <f>IFERROR(__xludf.DUMMYFUNCTION("""COMPUTED_VALUE"""),"Muara Kemumu")</f>
        <v>Muara Kemumu</v>
      </c>
      <c r="Y1353" s="80" t="str">
        <f>IFERROR(__xludf.DUMMYFUNCTION("""COMPUTED_VALUE"""),"Kepahiang")</f>
        <v>Kepahiang</v>
      </c>
      <c r="Z1353" s="80" t="str">
        <f>IFERROR(__xludf.DUMMYFUNCTION("""COMPUTED_VALUE"""),"Bengkulu")</f>
        <v>Bengkulu</v>
      </c>
      <c r="AA1353" s="80" t="str">
        <f>IFERROR(__xludf.DUMMYFUNCTION("""COMPUTED_VALUE"""),"39375")</f>
        <v>39375</v>
      </c>
      <c r="AB1353" s="80" t="str">
        <f>IFERROR(__xludf.DUMMYFUNCTION("""COMPUTED_VALUE"""),"1708080907030001")</f>
        <v>1708080907030001</v>
      </c>
      <c r="AC1353" s="80" t="str">
        <f>IFERROR(__xludf.DUMMYFUNCTION("""COMPUTED_VALUE"""),"50.416.861.8-327.000")</f>
        <v>50.416.861.8-327.000</v>
      </c>
      <c r="AD1353" s="80" t="str">
        <f>IFERROR(__xludf.DUMMYFUNCTION("""COMPUTED_VALUE"""),"CUM - UMKMNK - ASEP")</f>
        <v>CUM - UMKMNK - ASEP</v>
      </c>
      <c r="AE1353" s="80" t="str">
        <f>IFERROR(__xludf.DUMMYFUNCTION("""COMPUTED_VALUE"""),"CUM - UMKMNK - ASEP")</f>
        <v>CUM - UMKMNK - ASEP</v>
      </c>
      <c r="AF1353" s="80" t="str">
        <f>IFERROR(__xludf.DUMMYFUNCTION("""COMPUTED_VALUE"""),"081389707106")</f>
        <v>081389707106</v>
      </c>
      <c r="AG1353" s="80" t="str">
        <f>IFERROR(__xludf.DUMMYFUNCTION("""COMPUTED_VALUE"""),"081389707106")</f>
        <v>081389707106</v>
      </c>
      <c r="AH1353" s="80" t="str">
        <f>IFERROR(__xludf.DUMMYFUNCTION("""COMPUTED_VALUE"""),"sahidcoffeeindo@gmail.com")</f>
        <v>sahidcoffeeindo@gmail.com</v>
      </c>
      <c r="AI1353" s="80"/>
      <c r="AJ1353" s="80"/>
      <c r="AK1353" s="80"/>
      <c r="AL1353" s="80"/>
      <c r="AM1353" s="80" t="str">
        <f>IFERROR(__xludf.DUMMYFUNCTION("""COMPUTED_VALUE"""),"KANTOR REGIONAL I MEDAN 20004")</f>
        <v>KANTOR REGIONAL I MEDAN 20004</v>
      </c>
      <c r="AN1353" s="80" t="str">
        <f>IFERROR(__xludf.DUMMYFUNCTION("""COMPUTED_VALUE"""),"KC CURUP 39100")</f>
        <v>KC CURUP 39100</v>
      </c>
      <c r="AO1353" s="80" t="str">
        <f>IFERROR(__xludf.DUMMYFUNCTION("""COMPUTED_VALUE"""),"0311230168147")</f>
        <v>0311230168147</v>
      </c>
      <c r="AP1353" s="80" t="str">
        <f>IFERROR(__xludf.DUMMYFUNCTION("""COMPUTED_VALUE"""),"0311230168147")</f>
        <v>0311230168147</v>
      </c>
      <c r="AQ1353" s="83" t="str">
        <f>IFERROR(__xludf.DUMMYFUNCTION("""COMPUTED_VALUE"""),"6558019523")</f>
        <v>6558019523</v>
      </c>
      <c r="AR1353" s="80" t="str">
        <f>IFERROR(__xludf.DUMMYFUNCTION("""COMPUTED_VALUE"""),"BCA")</f>
        <v>BCA</v>
      </c>
      <c r="AS1353" s="80" t="str">
        <f>IFERROR(__xludf.DUMMYFUNCTION("""COMPUTED_VALUE"""),"FAJRI ILHAM AVIKO")</f>
        <v>FAJRI ILHAM AVIKO</v>
      </c>
      <c r="AT1353" s="80" t="str">
        <f>IFERROR(__xludf.DUMMYFUNCTION("""COMPUTED_VALUE"""),"-3.6450804,102.7326377")</f>
        <v>-3.6450804,102.7326377</v>
      </c>
      <c r="AU1353" s="80" t="str">
        <f>IFERROR(__xludf.DUMMYFUNCTION("""COMPUTED_VALUE"""),"-3.6450804,102.7326377")</f>
        <v>-3.6450804,102.7326377</v>
      </c>
      <c r="AV1353" s="80"/>
      <c r="AW1353" s="80"/>
      <c r="AX1353" s="80"/>
      <c r="AY1353" s="80"/>
      <c r="AZ1353" s="80"/>
      <c r="BA1353" s="80"/>
      <c r="BB1353" s="80"/>
      <c r="BC1353" s="80"/>
      <c r="BD1353" s="80"/>
      <c r="BE1353" s="80"/>
      <c r="BF1353" s="80"/>
      <c r="BG1353" s="80"/>
      <c r="BH1353" s="80"/>
      <c r="BI1353" s="80"/>
      <c r="BJ1353" s="80"/>
      <c r="BK1353" s="80"/>
      <c r="BL1353" s="80"/>
      <c r="BM1353" s="80"/>
      <c r="BN1353" s="80"/>
      <c r="BO1353" s="80"/>
      <c r="BP1353" s="80"/>
      <c r="BQ1353" s="80"/>
      <c r="BR1353" s="80"/>
      <c r="BS1353" s="80"/>
      <c r="BT1353" s="80"/>
      <c r="BU1353" s="80"/>
      <c r="BV1353" s="80"/>
      <c r="BW1353" s="80"/>
      <c r="BX1353" s="80"/>
      <c r="BY1353" s="80"/>
      <c r="BZ1353" s="80"/>
      <c r="CA1353" s="80"/>
      <c r="CB1353" s="80"/>
      <c r="CC1353" s="80"/>
      <c r="CD1353" s="80"/>
      <c r="CE1353" s="80"/>
      <c r="CF1353" s="80"/>
      <c r="CG1353" s="80"/>
      <c r="CH1353" s="80"/>
      <c r="CI1353" s="80"/>
      <c r="CJ1353" s="80"/>
      <c r="CK1353" s="2"/>
    </row>
    <row r="1354" ht="12.75" customHeight="1">
      <c r="A1354" s="85">
        <f>IFERROR(__xludf.DUMMYFUNCTION("""COMPUTED_VALUE"""),1350.0)</f>
        <v>1350</v>
      </c>
      <c r="B1354" s="85"/>
      <c r="C1354" s="85"/>
      <c r="D1354" s="86">
        <f>IFERROR(__xludf.DUMMYFUNCTION("""COMPUTED_VALUE"""),46248.0)</f>
        <v>46248</v>
      </c>
      <c r="E1354" s="88"/>
      <c r="F1354" s="85"/>
      <c r="G1354" s="86">
        <f>IFERROR(__xludf.DUMMYFUNCTION("""COMPUTED_VALUE"""),46266.0)</f>
        <v>46266</v>
      </c>
      <c r="H1354" s="85"/>
      <c r="I1354" s="85"/>
      <c r="J1354" s="85"/>
      <c r="K1354" s="85"/>
      <c r="L1354" s="85">
        <f>IFERROR(__xludf.DUMMYFUNCTION("""COMPUTED_VALUE"""),18.0)</f>
        <v>18</v>
      </c>
      <c r="M1354" s="85"/>
      <c r="N1354" s="85"/>
      <c r="O1354" s="85"/>
      <c r="P1354" s="85" t="str">
        <f>IFERROR(__xludf.DUMMYFUNCTION("""COMPUTED_VALUE"""),"MUCSPA63658PSIND")</f>
        <v>MUCSPA63658PSIND</v>
      </c>
      <c r="Q1354" s="85" t="str">
        <f>IFERROR(__xludf.DUMMYFUNCTION("""COMPUTED_VALUE"""),"MUC Trisakti Annaq Syabandiyah")</f>
        <v>MUC Trisakti Annaq Syabandiyah</v>
      </c>
      <c r="R1354" s="85" t="str">
        <f>IFERROR(__xludf.DUMMYFUNCTION("""COMPUTED_VALUE"""),"MUC Trisakti Annaq Syabandiyah")</f>
        <v>MUC Trisakti Annaq Syabandiyah</v>
      </c>
      <c r="S1354" s="85" t="str">
        <f>IFERROR(__xludf.DUMMYFUNCTION("""COMPUTED_VALUE"""),"SEH SUBAKIR, SE.MM")</f>
        <v>SEH SUBAKIR, SE.MM</v>
      </c>
      <c r="T1354" s="85" t="str">
        <f>IFERROR(__xludf.DUMMYFUNCTION("""COMPUTED_VALUE"""),"DSN. PAOBARUH, BARUNG GAGAH, TAMBELANGAN, KAB.SAMPANG")</f>
        <v>DSN. PAOBARUH, BARUNG GAGAH, TAMBELANGAN, KAB.SAMPANG</v>
      </c>
      <c r="U1354" s="85" t="str">
        <f>IFERROR(__xludf.DUMMYFUNCTION("""COMPUTED_VALUE"""),"JL. RAYA OMBUL SORAK")</f>
        <v>JL. RAYA OMBUL SORAK</v>
      </c>
      <c r="V1354" s="85"/>
      <c r="W1354" s="85" t="str">
        <f>IFERROR(__xludf.DUMMYFUNCTION("""COMPUTED_VALUE"""),"BRINGIN")</f>
        <v>BRINGIN</v>
      </c>
      <c r="X1354" s="85" t="str">
        <f>IFERROR(__xludf.DUMMYFUNCTION("""COMPUTED_VALUE"""),"TAMBELANGAN")</f>
        <v>TAMBELANGAN</v>
      </c>
      <c r="Y1354" s="85" t="str">
        <f>IFERROR(__xludf.DUMMYFUNCTION("""COMPUTED_VALUE"""),"KAB.SAMPANG")</f>
        <v>KAB.SAMPANG</v>
      </c>
      <c r="Z1354" s="85" t="str">
        <f>IFERROR(__xludf.DUMMYFUNCTION("""COMPUTED_VALUE"""),"JAWA TIMUR")</f>
        <v>JAWA TIMUR</v>
      </c>
      <c r="AA1354" s="85" t="str">
        <f>IFERROR(__xludf.DUMMYFUNCTION("""COMPUTED_VALUE"""),"69253")</f>
        <v>69253</v>
      </c>
      <c r="AB1354" s="85" t="str">
        <f>IFERROR(__xludf.DUMMYFUNCTION("""COMPUTED_VALUE"""),"3527080107640040")</f>
        <v>3527080107640040</v>
      </c>
      <c r="AC1354" s="85" t="str">
        <f>IFERROR(__xludf.DUMMYFUNCTION("""COMPUTED_VALUE"""),"15.437.346.8-644.000")</f>
        <v>15.437.346.8-644.000</v>
      </c>
      <c r="AD1354" s="85" t="str">
        <f>IFERROR(__xludf.DUMMYFUNCTION("""COMPUTED_VALUE"""),"CUM - PS - NONKORGEN")</f>
        <v>CUM - PS - NONKORGEN</v>
      </c>
      <c r="AE1354" s="85" t="str">
        <f>IFERROR(__xludf.DUMMYFUNCTION("""COMPUTED_VALUE"""),"PAK PANDU KC SAMPANG")</f>
        <v>PAK PANDU KC SAMPANG</v>
      </c>
      <c r="AF1354" s="85" t="str">
        <f>IFERROR(__xludf.DUMMYFUNCTION("""COMPUTED_VALUE"""),"082227722664")</f>
        <v>082227722664</v>
      </c>
      <c r="AG1354" s="85" t="str">
        <f>IFERROR(__xludf.DUMMYFUNCTION("""COMPUTED_VALUE"""),"082227722664")</f>
        <v>082227722664</v>
      </c>
      <c r="AH1354" s="85" t="str">
        <f>IFERROR(__xludf.DUMMYFUNCTION("""COMPUTED_VALUE"""),"mohammadalijks@gmail.com")</f>
        <v>mohammadalijks@gmail.com</v>
      </c>
      <c r="AI1354" s="85" t="str">
        <f>IFERROR(__xludf.DUMMYFUNCTION("""COMPUTED_VALUE"""),"69253S4")</f>
        <v>69253S4</v>
      </c>
      <c r="AJ1354" s="85" t="str">
        <f>IFERROR(__xludf.DUMMYFUNCTION("""COMPUTED_VALUE"""),"6a940ae9042710a97b048732")</f>
        <v>6a940ae9042710a97b048732</v>
      </c>
      <c r="AK1354" s="85" t="str">
        <f>IFERROR(__xludf.DUMMYFUNCTION("""COMPUTED_VALUE"""),"mohammadalijks@gmail.com")</f>
        <v>mohammadalijks@gmail.com</v>
      </c>
      <c r="AL1354" s="85" t="str">
        <f>IFERROR(__xludf.DUMMYFUNCTION("""COMPUTED_VALUE"""),"#Muc69253S4$")</f>
        <v>#Muc69253S4$</v>
      </c>
      <c r="AM1354" s="85" t="str">
        <f>IFERROR(__xludf.DUMMYFUNCTION("""COMPUTED_VALUE"""),"KANTOR REGIONAL V SURABAYA 60004")</f>
        <v>KANTOR REGIONAL V SURABAYA 60004</v>
      </c>
      <c r="AN1354" s="85" t="str">
        <f>IFERROR(__xludf.DUMMYFUNCTION("""COMPUTED_VALUE"""),"KC SAMPANG 69200")</f>
        <v>KC SAMPANG 69200</v>
      </c>
      <c r="AO1354" s="85" t="str">
        <f>IFERROR(__xludf.DUMMYFUNCTION("""COMPUTED_VALUE"""),"1208260087241")</f>
        <v>1208260087241</v>
      </c>
      <c r="AP1354" s="85" t="str">
        <f>IFERROR(__xludf.DUMMYFUNCTION("""COMPUTED_VALUE"""),"1208260087241")</f>
        <v>1208260087241</v>
      </c>
      <c r="AQ1354" s="93" t="str">
        <f>IFERROR(__xludf.DUMMYFUNCTION("""COMPUTED_VALUE"""),"8960721196")</f>
        <v>8960721196</v>
      </c>
      <c r="AR1354" s="85" t="str">
        <f>IFERROR(__xludf.DUMMYFUNCTION("""COMPUTED_VALUE"""),"BCA")</f>
        <v>BCA</v>
      </c>
      <c r="AS1354" s="85" t="str">
        <f>IFERROR(__xludf.DUMMYFUNCTION("""COMPUTED_VALUE"""),"Moh Ali As'ad jks")</f>
        <v>Moh Ali As'ad jks</v>
      </c>
      <c r="AT1354" s="85" t="str">
        <f>IFERROR(__xludf.DUMMYFUNCTION("""COMPUTED_VALUE"""),"-7,055,816")</f>
        <v>-7,055,816</v>
      </c>
      <c r="AU1354" s="85" t="str">
        <f>IFERROR(__xludf.DUMMYFUNCTION("""COMPUTED_VALUE"""),"113,148,584")</f>
        <v>113,148,584</v>
      </c>
      <c r="AV1354" s="85"/>
      <c r="AW1354" s="85"/>
      <c r="AX1354" s="85"/>
      <c r="AY1354" s="85"/>
      <c r="AZ1354" s="85"/>
      <c r="BA1354" s="85"/>
      <c r="BB1354" s="85"/>
      <c r="BC1354" s="85"/>
      <c r="BD1354" s="85"/>
      <c r="BE1354" s="85"/>
      <c r="BF1354" s="85"/>
      <c r="BG1354" s="85"/>
      <c r="BH1354" s="85"/>
      <c r="BI1354" s="85"/>
      <c r="BJ1354" s="85"/>
      <c r="BK1354" s="85"/>
      <c r="BL1354" s="85"/>
      <c r="BM1354" s="85"/>
      <c r="BN1354" s="85"/>
      <c r="BO1354" s="85"/>
      <c r="BP1354" s="85"/>
      <c r="BQ1354" s="85"/>
      <c r="BR1354" s="85"/>
      <c r="BS1354" s="85"/>
      <c r="BT1354" s="85"/>
      <c r="BU1354" s="85"/>
      <c r="BV1354" s="85"/>
      <c r="BW1354" s="85"/>
      <c r="BX1354" s="85"/>
      <c r="BY1354" s="85"/>
      <c r="BZ1354" s="85"/>
      <c r="CA1354" s="85"/>
      <c r="CB1354" s="85"/>
      <c r="CC1354" s="85"/>
      <c r="CD1354" s="85"/>
      <c r="CE1354" s="85"/>
      <c r="CF1354" s="85"/>
      <c r="CG1354" s="85"/>
      <c r="CH1354" s="85"/>
      <c r="CI1354" s="85"/>
      <c r="CJ1354" s="85"/>
      <c r="CK1354" s="2"/>
    </row>
    <row r="1355" ht="12.75" customHeight="1">
      <c r="A1355" s="80">
        <f>IFERROR(__xludf.DUMMYFUNCTION("""COMPUTED_VALUE"""),1351.0)</f>
        <v>1351</v>
      </c>
      <c r="B1355" s="80"/>
      <c r="C1355" s="80"/>
      <c r="D1355" s="81">
        <f>IFERROR(__xludf.DUMMYFUNCTION("""COMPUTED_VALUE"""),46248.0)</f>
        <v>46248</v>
      </c>
      <c r="E1355" s="82"/>
      <c r="F1355" s="80"/>
      <c r="G1355" s="81">
        <f>IFERROR(__xludf.DUMMYFUNCTION("""COMPUTED_VALUE"""),46279.0)</f>
        <v>46279</v>
      </c>
      <c r="H1355" s="80"/>
      <c r="I1355" s="80"/>
      <c r="J1355" s="80"/>
      <c r="K1355" s="80"/>
      <c r="L1355" s="80">
        <f>IFERROR(__xludf.DUMMYFUNCTION("""COMPUTED_VALUE"""),31.0)</f>
        <v>31</v>
      </c>
      <c r="M1355" s="80"/>
      <c r="N1355" s="80"/>
      <c r="O1355" s="80"/>
      <c r="P1355" s="80" t="str">
        <f>IFERROR(__xludf.DUMMYFUNCTION("""COMPUTED_VALUE"""),"MUCSPA63655PSIND")</f>
        <v>MUCSPA63655PSIND</v>
      </c>
      <c r="Q1355" s="80" t="str">
        <f>IFERROR(__xludf.DUMMYFUNCTION("""COMPUTED_VALUE"""),"MUC Khadijah Parinduri")</f>
        <v>MUC Khadijah Parinduri</v>
      </c>
      <c r="R1355" s="80" t="str">
        <f>IFERROR(__xludf.DUMMYFUNCTION("""COMPUTED_VALUE"""),"MUC Khadijah Parinduri")</f>
        <v>MUC Khadijah Parinduri</v>
      </c>
      <c r="S1355" s="80" t="str">
        <f>IFERROR(__xludf.DUMMYFUNCTION("""COMPUTED_VALUE"""),"NURJANNAH")</f>
        <v>NURJANNAH</v>
      </c>
      <c r="T1355" s="80" t="str">
        <f>IFERROR(__xludf.DUMMYFUNCTION("""COMPUTED_VALUE"""),"RINTIS IX BALIMBINGAN, BALIMBINGAN, TANAH JAWA, KAB. SIMALUNGUN, SUMATERA UTARA")</f>
        <v>RINTIS IX BALIMBINGAN, BALIMBINGAN, TANAH JAWA, KAB. SIMALUNGUN, SUMATERA UTARA</v>
      </c>
      <c r="U1355" s="80" t="str">
        <f>IFERROR(__xludf.DUMMYFUNCTION("""COMPUTED_VALUE"""),"RINTIS IX BALIMBINGAN, BALIMBINGAN, TANAH JAWA, KAB. SIMALUNGUN, SUMATERA UTARA")</f>
        <v>RINTIS IX BALIMBINGAN, BALIMBINGAN, TANAH JAWA, KAB. SIMALUNGUN, SUMATERA UTARA</v>
      </c>
      <c r="V1355" s="80"/>
      <c r="W1355" s="80" t="str">
        <f>IFERROR(__xludf.DUMMYFUNCTION("""COMPUTED_VALUE"""),"Balimbingan")</f>
        <v>Balimbingan</v>
      </c>
      <c r="X1355" s="80" t="str">
        <f>IFERROR(__xludf.DUMMYFUNCTION("""COMPUTED_VALUE"""),"Tanah Jawa")</f>
        <v>Tanah Jawa</v>
      </c>
      <c r="Y1355" s="80" t="str">
        <f>IFERROR(__xludf.DUMMYFUNCTION("""COMPUTED_VALUE"""),"Kab. Simalungun")</f>
        <v>Kab. Simalungun</v>
      </c>
      <c r="Z1355" s="80" t="str">
        <f>IFERROR(__xludf.DUMMYFUNCTION("""COMPUTED_VALUE"""),"Sumatera Utara")</f>
        <v>Sumatera Utara</v>
      </c>
      <c r="AA1355" s="80" t="str">
        <f>IFERROR(__xludf.DUMMYFUNCTION("""COMPUTED_VALUE"""),"21181")</f>
        <v>21181</v>
      </c>
      <c r="AB1355" s="80" t="str">
        <f>IFERROR(__xludf.DUMMYFUNCTION("""COMPUTED_VALUE"""),"1208115209930005")</f>
        <v>1208115209930005</v>
      </c>
      <c r="AC1355" s="80" t="str">
        <f>IFERROR(__xludf.DUMMYFUNCTION("""COMPUTED_VALUE"""),"81.055.042.6-117.000")</f>
        <v>81.055.042.6-117.000</v>
      </c>
      <c r="AD1355" s="80" t="str">
        <f>IFERROR(__xludf.DUMMYFUNCTION("""COMPUTED_VALUE"""),"CUM - PS - DEVI")</f>
        <v>CUM - PS - DEVI</v>
      </c>
      <c r="AE1355" s="80" t="str">
        <f>IFERROR(__xludf.DUMMYFUNCTION("""COMPUTED_VALUE"""),"CUM - PS - DEVI")</f>
        <v>CUM - PS - DEVI</v>
      </c>
      <c r="AF1355" s="80" t="str">
        <f>IFERROR(__xludf.DUMMYFUNCTION("""COMPUTED_VALUE"""),"082273428262")</f>
        <v>082273428262</v>
      </c>
      <c r="AG1355" s="80" t="str">
        <f>IFERROR(__xludf.DUMMYFUNCTION("""COMPUTED_VALUE"""),"082273428262")</f>
        <v>082273428262</v>
      </c>
      <c r="AH1355" s="80" t="str">
        <f>IFERROR(__xludf.DUMMYFUNCTION("""COMPUTED_VALUE"""),"jannah120993@gmail.com")</f>
        <v>jannah120993@gmail.com</v>
      </c>
      <c r="AI1355" s="80" t="str">
        <f>IFERROR(__xludf.DUMMYFUNCTION("""COMPUTED_VALUE"""),"21181S1 ")</f>
        <v>21181S1 </v>
      </c>
      <c r="AJ1355" s="80" t="str">
        <f>IFERROR(__xludf.DUMMYFUNCTION("""COMPUTED_VALUE"""),"6aa4f8168dd3a47bc308a04a ")</f>
        <v>6aa4f8168dd3a47bc308a04a </v>
      </c>
      <c r="AK1355" s="80" t="str">
        <f>IFERROR(__xludf.DUMMYFUNCTION("""COMPUTED_VALUE"""),"jannah120993@gmail.com")</f>
        <v>jannah120993@gmail.com</v>
      </c>
      <c r="AL1355" s="80" t="str">
        <f>IFERROR(__xludf.DUMMYFUNCTION("""COMPUTED_VALUE"""),"#Muc21181S1$")</f>
        <v>#Muc21181S1$</v>
      </c>
      <c r="AM1355" s="80" t="str">
        <f>IFERROR(__xludf.DUMMYFUNCTION("""COMPUTED_VALUE"""),"KANTOR REGIONAL I MEDAN 20004")</f>
        <v>KANTOR REGIONAL I MEDAN 20004</v>
      </c>
      <c r="AN1355" s="80" t="str">
        <f>IFERROR(__xludf.DUMMYFUNCTION("""COMPUTED_VALUE"""),"KC PEMATANGSIANTAR 21100")</f>
        <v>KC PEMATANGSIANTAR 21100</v>
      </c>
      <c r="AO1355" s="80" t="str">
        <f>IFERROR(__xludf.DUMMYFUNCTION("""COMPUTED_VALUE"""),"1308260044874")</f>
        <v>1308260044874</v>
      </c>
      <c r="AP1355" s="80" t="str">
        <f>IFERROR(__xludf.DUMMYFUNCTION("""COMPUTED_VALUE"""),"1308260044874")</f>
        <v>1308260044874</v>
      </c>
      <c r="AQ1355" s="83" t="str">
        <f>IFERROR(__xludf.DUMMYFUNCTION("""COMPUTED_VALUE"""),"0195813464")</f>
        <v>0195813464</v>
      </c>
      <c r="AR1355" s="80" t="str">
        <f>IFERROR(__xludf.DUMMYFUNCTION("""COMPUTED_VALUE"""),"POSPAY")</f>
        <v>POSPAY</v>
      </c>
      <c r="AS1355" s="80" t="str">
        <f>IFERROR(__xludf.DUMMYFUNCTION("""COMPUTED_VALUE"""),"NURJANNAH")</f>
        <v>NURJANNAH</v>
      </c>
      <c r="AT1355" s="80" t="str">
        <f>IFERROR(__xludf.DUMMYFUNCTION("""COMPUTED_VALUE"""),"2.8853039,99.1526005")</f>
        <v>2.8853039,99.1526005</v>
      </c>
      <c r="AU1355" s="80" t="str">
        <f>IFERROR(__xludf.DUMMYFUNCTION("""COMPUTED_VALUE"""),"2.8853039,99.1526005")</f>
        <v>2.8853039,99.1526005</v>
      </c>
      <c r="AV1355" s="80"/>
      <c r="AW1355" s="80"/>
      <c r="AX1355" s="80"/>
      <c r="AY1355" s="80"/>
      <c r="AZ1355" s="80"/>
      <c r="BA1355" s="80"/>
      <c r="BB1355" s="80"/>
      <c r="BC1355" s="80"/>
      <c r="BD1355" s="80"/>
      <c r="BE1355" s="80"/>
      <c r="BF1355" s="80"/>
      <c r="BG1355" s="80"/>
      <c r="BH1355" s="80"/>
      <c r="BI1355" s="80"/>
      <c r="BJ1355" s="80"/>
      <c r="BK1355" s="80"/>
      <c r="BL1355" s="80"/>
      <c r="BM1355" s="80"/>
      <c r="BN1355" s="80"/>
      <c r="BO1355" s="80"/>
      <c r="BP1355" s="80"/>
      <c r="BQ1355" s="80"/>
      <c r="BR1355" s="80"/>
      <c r="BS1355" s="80"/>
      <c r="BT1355" s="80"/>
      <c r="BU1355" s="80"/>
      <c r="BV1355" s="80"/>
      <c r="BW1355" s="80"/>
      <c r="BX1355" s="80"/>
      <c r="BY1355" s="80"/>
      <c r="BZ1355" s="80"/>
      <c r="CA1355" s="80"/>
      <c r="CB1355" s="80"/>
      <c r="CC1355" s="80"/>
      <c r="CD1355" s="80"/>
      <c r="CE1355" s="80"/>
      <c r="CF1355" s="80"/>
      <c r="CG1355" s="80"/>
      <c r="CH1355" s="80"/>
      <c r="CI1355" s="80"/>
      <c r="CJ1355" s="80"/>
      <c r="CK1355" s="2"/>
    </row>
    <row r="1356" ht="12.75" customHeight="1">
      <c r="A1356" s="85">
        <f>IFERROR(__xludf.DUMMYFUNCTION("""COMPUTED_VALUE"""),1352.0)</f>
        <v>1352</v>
      </c>
      <c r="B1356" s="85"/>
      <c r="C1356" s="85"/>
      <c r="D1356" s="86">
        <f>IFERROR(__xludf.DUMMYFUNCTION("""COMPUTED_VALUE"""),46248.0)</f>
        <v>46248</v>
      </c>
      <c r="E1356" s="88"/>
      <c r="F1356" s="85"/>
      <c r="G1356" s="86">
        <f>IFERROR(__xludf.DUMMYFUNCTION("""COMPUTED_VALUE"""),46279.0)</f>
        <v>46279</v>
      </c>
      <c r="H1356" s="85"/>
      <c r="I1356" s="85"/>
      <c r="J1356" s="85"/>
      <c r="K1356" s="85"/>
      <c r="L1356" s="85">
        <f>IFERROR(__xludf.DUMMYFUNCTION("""COMPUTED_VALUE"""),31.0)</f>
        <v>31</v>
      </c>
      <c r="M1356" s="85"/>
      <c r="N1356" s="85"/>
      <c r="O1356" s="85"/>
      <c r="P1356" s="85" t="str">
        <f>IFERROR(__xludf.DUMMYFUNCTION("""COMPUTED_VALUE"""),"MUCSPA70091PSLDI")</f>
        <v>MUCSPA70091PSLDI</v>
      </c>
      <c r="Q1356" s="85" t="str">
        <f>IFERROR(__xludf.DUMMYFUNCTION("""COMPUTED_VALUE"""),"MUC RIZIQ MUBAROQ")</f>
        <v>MUC RIZIQ MUBAROQ</v>
      </c>
      <c r="R1356" s="85" t="str">
        <f>IFERROR(__xludf.DUMMYFUNCTION("""COMPUTED_VALUE"""),"MUC RIZIQ MUBAROQ")</f>
        <v>MUC RIZIQ MUBAROQ</v>
      </c>
      <c r="S1356" s="85" t="str">
        <f>IFERROR(__xludf.DUMMYFUNCTION("""COMPUTED_VALUE"""),"BENI ARISA")</f>
        <v>BENI ARISA</v>
      </c>
      <c r="T1356" s="85" t="str">
        <f>IFERROR(__xludf.DUMMYFUNCTION("""COMPUTED_VALUE"""),"JL RAYA TIMUR RT. 001 RW. 007, DAWUAN, DAWUAN KAB. MAJALENGKA, JAWA BARAT")</f>
        <v>JL RAYA TIMUR RT. 001 RW. 007, DAWUAN, DAWUAN KAB. MAJALENGKA, JAWA BARAT</v>
      </c>
      <c r="U1356" s="85" t="str">
        <f>IFERROR(__xludf.DUMMYFUNCTION("""COMPUTED_VALUE"""),"JL RAYA TIMUR RT 001 RW 007")</f>
        <v>JL RAYA TIMUR RT 001 RW 007</v>
      </c>
      <c r="V1356" s="85" t="str">
        <f>IFERROR(__xludf.DUMMYFUNCTION("""COMPUTED_VALUE"""),"RT. 00 \ RW. 00")</f>
        <v>RT. 00 \ RW. 00</v>
      </c>
      <c r="W1356" s="85" t="str">
        <f>IFERROR(__xludf.DUMMYFUNCTION("""COMPUTED_VALUE"""),"Dawuan")</f>
        <v>Dawuan</v>
      </c>
      <c r="X1356" s="85" t="str">
        <f>IFERROR(__xludf.DUMMYFUNCTION("""COMPUTED_VALUE"""),"Dawuan")</f>
        <v>Dawuan</v>
      </c>
      <c r="Y1356" s="85" t="str">
        <f>IFERROR(__xludf.DUMMYFUNCTION("""COMPUTED_VALUE"""),"Majalengka")</f>
        <v>Majalengka</v>
      </c>
      <c r="Z1356" s="85" t="str">
        <f>IFERROR(__xludf.DUMMYFUNCTION("""COMPUTED_VALUE"""),"Jawa Barat")</f>
        <v>Jawa Barat</v>
      </c>
      <c r="AA1356" s="85" t="str">
        <f>IFERROR(__xludf.DUMMYFUNCTION("""COMPUTED_VALUE"""),"45453")</f>
        <v>45453</v>
      </c>
      <c r="AB1356" s="85" t="str">
        <f>IFERROR(__xludf.DUMMYFUNCTION("""COMPUTED_VALUE"""),"3210120708760061")</f>
        <v>3210120708760061</v>
      </c>
      <c r="AC1356" s="85" t="str">
        <f>IFERROR(__xludf.DUMMYFUNCTION("""COMPUTED_VALUE"""),"32.101.207.0-876.0061")</f>
        <v>32.101.207.0-876.0061</v>
      </c>
      <c r="AD1356" s="85" t="str">
        <f>IFERROR(__xludf.DUMMYFUNCTION("""COMPUTED_VALUE"""),"CUM - LDI - KOPUBGBS")</f>
        <v>CUM - LDI - KOPUBGBS</v>
      </c>
      <c r="AE1356" s="85" t="str">
        <f>IFERROR(__xludf.DUMMYFUNCTION("""COMPUTED_VALUE"""),"CUM - LDI - KOPUBGBS")</f>
        <v>CUM - LDI - KOPUBGBS</v>
      </c>
      <c r="AF1356" s="85" t="str">
        <f>IFERROR(__xludf.DUMMYFUNCTION("""COMPUTED_VALUE"""),"085224729107")</f>
        <v>085224729107</v>
      </c>
      <c r="AG1356" s="85" t="str">
        <f>IFERROR(__xludf.DUMMYFUNCTION("""COMPUTED_VALUE"""),"085224729107")</f>
        <v>085224729107</v>
      </c>
      <c r="AH1356" s="85" t="str">
        <f>IFERROR(__xludf.DUMMYFUNCTION("""COMPUTED_VALUE"""),"beniarisa69@gmail.com")</f>
        <v>beniarisa69@gmail.com</v>
      </c>
      <c r="AI1356" s="85" t="str">
        <f>IFERROR(__xludf.DUMMYFUNCTION("""COMPUTED_VALUE"""),"45453S1 ")</f>
        <v>45453S1 </v>
      </c>
      <c r="AJ1356" s="85" t="str">
        <f>IFERROR(__xludf.DUMMYFUNCTION("""COMPUTED_VALUE"""),"6aa40c3825f537232a08b112 ")</f>
        <v>6aa40c3825f537232a08b112 </v>
      </c>
      <c r="AK1356" s="85" t="str">
        <f>IFERROR(__xludf.DUMMYFUNCTION("""COMPUTED_VALUE"""),"beniarisa69@gmail.com")</f>
        <v>beniarisa69@gmail.com</v>
      </c>
      <c r="AL1356" s="85" t="str">
        <f>IFERROR(__xludf.DUMMYFUNCTION("""COMPUTED_VALUE"""),"#Muc45453S1$")</f>
        <v>#Muc45453S1$</v>
      </c>
      <c r="AM1356" s="85" t="str">
        <f>IFERROR(__xludf.DUMMYFUNCTION("""COMPUTED_VALUE"""),"KANTOR REGIONAL III BANDUNG 40004")</f>
        <v>KANTOR REGIONAL III BANDUNG 40004</v>
      </c>
      <c r="AN1356" s="85" t="str">
        <f>IFERROR(__xludf.DUMMYFUNCTION("""COMPUTED_VALUE"""),"KC MAJALENGKA 45400")</f>
        <v>KC MAJALENGKA 45400</v>
      </c>
      <c r="AO1356" s="85" t="str">
        <f>IFERROR(__xludf.DUMMYFUNCTION("""COMPUTED_VALUE"""),"1208260037739")</f>
        <v>1208260037739</v>
      </c>
      <c r="AP1356" s="85" t="str">
        <f>IFERROR(__xludf.DUMMYFUNCTION("""COMPUTED_VALUE"""),"1208260037739")</f>
        <v>1208260037739</v>
      </c>
      <c r="AQ1356" s="93" t="str">
        <f>IFERROR(__xludf.DUMMYFUNCTION("""COMPUTED_VALUE"""),"1046410188")</f>
        <v>1046410188</v>
      </c>
      <c r="AR1356" s="85" t="str">
        <f>IFERROR(__xludf.DUMMYFUNCTION("""COMPUTED_VALUE"""),"BSI")</f>
        <v>BSI</v>
      </c>
      <c r="AS1356" s="85" t="str">
        <f>IFERROR(__xludf.DUMMYFUNCTION("""COMPUTED_VALUE"""),"BENI ARISA")</f>
        <v>BENI ARISA</v>
      </c>
      <c r="AT1356" s="85" t="str">
        <f>IFERROR(__xludf.DUMMYFUNCTION("""COMPUTED_VALUE"""),"-6.762576,108.183167")</f>
        <v>-6.762576,108.183167</v>
      </c>
      <c r="AU1356" s="85" t="str">
        <f>IFERROR(__xludf.DUMMYFUNCTION("""COMPUTED_VALUE"""),"-6.762576,108.183167")</f>
        <v>-6.762576,108.183167</v>
      </c>
      <c r="AV1356" s="85"/>
      <c r="AW1356" s="85"/>
      <c r="AX1356" s="85"/>
      <c r="AY1356" s="85"/>
      <c r="AZ1356" s="85"/>
      <c r="BA1356" s="85"/>
      <c r="BB1356" s="85"/>
      <c r="BC1356" s="85"/>
      <c r="BD1356" s="85"/>
      <c r="BE1356" s="85"/>
      <c r="BF1356" s="85"/>
      <c r="BG1356" s="85"/>
      <c r="BH1356" s="85"/>
      <c r="BI1356" s="85"/>
      <c r="BJ1356" s="85"/>
      <c r="BK1356" s="85"/>
      <c r="BL1356" s="85"/>
      <c r="BM1356" s="85"/>
      <c r="BN1356" s="85"/>
      <c r="BO1356" s="85"/>
      <c r="BP1356" s="85"/>
      <c r="BQ1356" s="85"/>
      <c r="BR1356" s="85"/>
      <c r="BS1356" s="85"/>
      <c r="BT1356" s="85"/>
      <c r="BU1356" s="85"/>
      <c r="BV1356" s="85"/>
      <c r="BW1356" s="85"/>
      <c r="BX1356" s="85"/>
      <c r="BY1356" s="85"/>
      <c r="BZ1356" s="85"/>
      <c r="CA1356" s="85"/>
      <c r="CB1356" s="85"/>
      <c r="CC1356" s="85"/>
      <c r="CD1356" s="85"/>
      <c r="CE1356" s="85"/>
      <c r="CF1356" s="85"/>
      <c r="CG1356" s="85"/>
      <c r="CH1356" s="85"/>
      <c r="CI1356" s="85"/>
      <c r="CJ1356" s="85"/>
      <c r="CK1356" s="2"/>
    </row>
    <row r="1357" ht="12.75" customHeight="1">
      <c r="A1357" s="80">
        <f>IFERROR(__xludf.DUMMYFUNCTION("""COMPUTED_VALUE"""),1353.0)</f>
        <v>1353</v>
      </c>
      <c r="B1357" s="80"/>
      <c r="C1357" s="80"/>
      <c r="D1357" s="81">
        <f>IFERROR(__xludf.DUMMYFUNCTION("""COMPUTED_VALUE"""),46248.0)</f>
        <v>46248</v>
      </c>
      <c r="E1357" s="82"/>
      <c r="F1357" s="80"/>
      <c r="G1357" s="81">
        <f>IFERROR(__xludf.DUMMYFUNCTION("""COMPUTED_VALUE"""),46279.0)</f>
        <v>46279</v>
      </c>
      <c r="H1357" s="80"/>
      <c r="I1357" s="80"/>
      <c r="J1357" s="80"/>
      <c r="K1357" s="80"/>
      <c r="L1357" s="80">
        <f>IFERROR(__xludf.DUMMYFUNCTION("""COMPUTED_VALUE"""),31.0)</f>
        <v>31</v>
      </c>
      <c r="M1357" s="80"/>
      <c r="N1357" s="80"/>
      <c r="O1357" s="80"/>
      <c r="P1357" s="80" t="str">
        <f>IFERROR(__xludf.DUMMYFUNCTION("""COMPUTED_VALUE"""),"MUCSPA70092PSLDI")</f>
        <v>MUCSPA70092PSLDI</v>
      </c>
      <c r="Q1357" s="80" t="str">
        <f>IFERROR(__xludf.DUMMYFUNCTION("""COMPUTED_VALUE"""),"MUC PANYILEUKAN")</f>
        <v>MUC PANYILEUKAN</v>
      </c>
      <c r="R1357" s="80" t="str">
        <f>IFERROR(__xludf.DUMMYFUNCTION("""COMPUTED_VALUE"""),"MUC PANYILEUKAN")</f>
        <v>MUC PANYILEUKAN</v>
      </c>
      <c r="S1357" s="80" t="str">
        <f>IFERROR(__xludf.DUMMYFUNCTION("""COMPUTED_VALUE"""),"WIKA PRAWATYA DEWARUCI")</f>
        <v>WIKA PRAWATYA DEWARUCI</v>
      </c>
      <c r="T1357" s="80" t="str">
        <f>IFERROR(__xludf.DUMMYFUNCTION("""COMPUTED_VALUE"""),"Jl. Cicalengka No 63 Antapani Kidul, Antapani Kota Bandung")</f>
        <v>Jl. Cicalengka No 63 Antapani Kidul, Antapani Kota Bandung</v>
      </c>
      <c r="U1357" s="80" t="str">
        <f>IFERROR(__xludf.DUMMYFUNCTION("""COMPUTED_VALUE"""),"Jl Anyelir 1 No.8 Cipadung Kidul, Panyileukan Kota Bandung")</f>
        <v>Jl Anyelir 1 No.8 Cipadung Kidul, Panyileukan Kota Bandung</v>
      </c>
      <c r="V1357" s="80"/>
      <c r="W1357" s="80" t="str">
        <f>IFERROR(__xludf.DUMMYFUNCTION("""COMPUTED_VALUE"""),"Cipadung Kidul")</f>
        <v>Cipadung Kidul</v>
      </c>
      <c r="X1357" s="80" t="str">
        <f>IFERROR(__xludf.DUMMYFUNCTION("""COMPUTED_VALUE"""),"Panyileukan")</f>
        <v>Panyileukan</v>
      </c>
      <c r="Y1357" s="80" t="str">
        <f>IFERROR(__xludf.DUMMYFUNCTION("""COMPUTED_VALUE"""),"Bandung")</f>
        <v>Bandung</v>
      </c>
      <c r="Z1357" s="80" t="str">
        <f>IFERROR(__xludf.DUMMYFUNCTION("""COMPUTED_VALUE"""),"Jawa Barat")</f>
        <v>Jawa Barat</v>
      </c>
      <c r="AA1357" s="80" t="str">
        <f>IFERROR(__xludf.DUMMYFUNCTION("""COMPUTED_VALUE"""),"40614")</f>
        <v>40614</v>
      </c>
      <c r="AB1357" s="80" t="str">
        <f>IFERROR(__xludf.DUMMYFUNCTION("""COMPUTED_VALUE"""),"3273200405790003")</f>
        <v>3273200405790003</v>
      </c>
      <c r="AC1357" s="80" t="str">
        <f>IFERROR(__xludf.DUMMYFUNCTION("""COMPUTED_VALUE"""),"74.607.999.5-429.000")</f>
        <v>74.607.999.5-429.000</v>
      </c>
      <c r="AD1357" s="80" t="str">
        <f>IFERROR(__xludf.DUMMYFUNCTION("""COMPUTED_VALUE"""),"CUM - LDI - KOPUBGBS")</f>
        <v>CUM - LDI - KOPUBGBS</v>
      </c>
      <c r="AE1357" s="80" t="str">
        <f>IFERROR(__xludf.DUMMYFUNCTION("""COMPUTED_VALUE"""),"CUM - LDI - KOPUBGBS")</f>
        <v>CUM - LDI - KOPUBGBS</v>
      </c>
      <c r="AF1357" s="80" t="str">
        <f>IFERROR(__xludf.DUMMYFUNCTION("""COMPUTED_VALUE"""),"081228056157")</f>
        <v>081228056157</v>
      </c>
      <c r="AG1357" s="80" t="str">
        <f>IFERROR(__xludf.DUMMYFUNCTION("""COMPUTED_VALUE"""),"081228056157")</f>
        <v>081228056157</v>
      </c>
      <c r="AH1357" s="80" t="str">
        <f>IFERROR(__xludf.DUMMYFUNCTION("""COMPUTED_VALUE"""),"dewaruciwika@gmail.com")</f>
        <v>dewaruciwika@gmail.com</v>
      </c>
      <c r="AI1357" s="80" t="str">
        <f>IFERROR(__xludf.DUMMYFUNCTION("""COMPUTED_VALUE"""),"13810S3 ")</f>
        <v>13810S3 </v>
      </c>
      <c r="AJ1357" s="80" t="str">
        <f>IFERROR(__xludf.DUMMYFUNCTION("""COMPUTED_VALUE"""),"6aa4c68b4670beded30bca1c ")</f>
        <v>6aa4c68b4670beded30bca1c </v>
      </c>
      <c r="AK1357" s="80" t="str">
        <f>IFERROR(__xludf.DUMMYFUNCTION("""COMPUTED_VALUE"""),"dewaruciwika@gmail.com")</f>
        <v>dewaruciwika@gmail.com</v>
      </c>
      <c r="AL1357" s="80" t="str">
        <f>IFERROR(__xludf.DUMMYFUNCTION("""COMPUTED_VALUE"""),"#Muc40298S3$")</f>
        <v>#Muc40298S3$</v>
      </c>
      <c r="AM1357" s="80" t="str">
        <f>IFERROR(__xludf.DUMMYFUNCTION("""COMPUTED_VALUE"""),"KANTOR REGIONAL III BANDUNG 40004")</f>
        <v>KANTOR REGIONAL III BANDUNG 40004</v>
      </c>
      <c r="AN1357" s="80" t="str">
        <f>IFERROR(__xludf.DUMMYFUNCTION("""COMPUTED_VALUE"""),"KCU BANDUNG 40000")</f>
        <v>KCU BANDUNG 40000</v>
      </c>
      <c r="AO1357" s="80" t="str">
        <f>IFERROR(__xludf.DUMMYFUNCTION("""COMPUTED_VALUE"""),"1208260046434")</f>
        <v>1208260046434</v>
      </c>
      <c r="AP1357" s="80" t="str">
        <f>IFERROR(__xludf.DUMMYFUNCTION("""COMPUTED_VALUE"""),"1208260046434")</f>
        <v>1208260046434</v>
      </c>
      <c r="AQ1357" s="83" t="str">
        <f>IFERROR(__xludf.DUMMYFUNCTION("""COMPUTED_VALUE"""),"1233519558")</f>
        <v>1233519558</v>
      </c>
      <c r="AR1357" s="80" t="str">
        <f>IFERROR(__xludf.DUMMYFUNCTION("""COMPUTED_VALUE"""),"BNI")</f>
        <v>BNI</v>
      </c>
      <c r="AS1357" s="80" t="str">
        <f>IFERROR(__xludf.DUMMYFUNCTION("""COMPUTED_VALUE"""),"WIKA PRAWATYA DEWARUCI")</f>
        <v>WIKA PRAWATYA DEWARUCI</v>
      </c>
      <c r="AT1357" s="80" t="str">
        <f>IFERROR(__xludf.DUMMYFUNCTION("""COMPUTED_VALUE"""),"-6.9434614,107.7094543")</f>
        <v>-6.9434614,107.7094543</v>
      </c>
      <c r="AU1357" s="80" t="str">
        <f>IFERROR(__xludf.DUMMYFUNCTION("""COMPUTED_VALUE"""),"-6.9434614,107.7094543")</f>
        <v>-6.9434614,107.7094543</v>
      </c>
      <c r="AV1357" s="80"/>
      <c r="AW1357" s="80"/>
      <c r="AX1357" s="80"/>
      <c r="AY1357" s="80"/>
      <c r="AZ1357" s="80"/>
      <c r="BA1357" s="80"/>
      <c r="BB1357" s="80"/>
      <c r="BC1357" s="80"/>
      <c r="BD1357" s="80"/>
      <c r="BE1357" s="80"/>
      <c r="BF1357" s="80"/>
      <c r="BG1357" s="80"/>
      <c r="BH1357" s="80"/>
      <c r="BI1357" s="80"/>
      <c r="BJ1357" s="80"/>
      <c r="BK1357" s="80"/>
      <c r="BL1357" s="80"/>
      <c r="BM1357" s="80"/>
      <c r="BN1357" s="80"/>
      <c r="BO1357" s="80"/>
      <c r="BP1357" s="80"/>
      <c r="BQ1357" s="80"/>
      <c r="BR1357" s="80"/>
      <c r="BS1357" s="80"/>
      <c r="BT1357" s="80"/>
      <c r="BU1357" s="80"/>
      <c r="BV1357" s="80"/>
      <c r="BW1357" s="80"/>
      <c r="BX1357" s="80"/>
      <c r="BY1357" s="80"/>
      <c r="BZ1357" s="80"/>
      <c r="CA1357" s="80"/>
      <c r="CB1357" s="80"/>
      <c r="CC1357" s="80"/>
      <c r="CD1357" s="80"/>
      <c r="CE1357" s="80"/>
      <c r="CF1357" s="80"/>
      <c r="CG1357" s="80"/>
      <c r="CH1357" s="80"/>
      <c r="CI1357" s="80"/>
      <c r="CJ1357" s="80"/>
      <c r="CK1357" s="2"/>
    </row>
    <row r="1358" ht="12.75" customHeight="1">
      <c r="A1358" s="85">
        <f>IFERROR(__xludf.DUMMYFUNCTION("""COMPUTED_VALUE"""),1354.0)</f>
        <v>1354</v>
      </c>
      <c r="B1358" s="85"/>
      <c r="C1358" s="85"/>
      <c r="D1358" s="86">
        <f>IFERROR(__xludf.DUMMYFUNCTION("""COMPUTED_VALUE"""),46248.0)</f>
        <v>46248</v>
      </c>
      <c r="E1358" s="88"/>
      <c r="F1358" s="85"/>
      <c r="G1358" s="86">
        <f>IFERROR(__xludf.DUMMYFUNCTION("""COMPUTED_VALUE"""),46279.0)</f>
        <v>46279</v>
      </c>
      <c r="H1358" s="85"/>
      <c r="I1358" s="85"/>
      <c r="J1358" s="85"/>
      <c r="K1358" s="85"/>
      <c r="L1358" s="85">
        <f>IFERROR(__xludf.DUMMYFUNCTION("""COMPUTED_VALUE"""),31.0)</f>
        <v>31</v>
      </c>
      <c r="M1358" s="85"/>
      <c r="N1358" s="85"/>
      <c r="O1358" s="85"/>
      <c r="P1358" s="85" t="str">
        <f>IFERROR(__xludf.DUMMYFUNCTION("""COMPUTED_VALUE"""),"MUC70228UMKMMIW1")</f>
        <v>MUC70228UMKMMIW1</v>
      </c>
      <c r="Q1358" s="85" t="str">
        <f>IFERROR(__xludf.DUMMYFUNCTION("""COMPUTED_VALUE"""),"MUC MHS")</f>
        <v>MUC MHS</v>
      </c>
      <c r="R1358" s="85" t="str">
        <f>IFERROR(__xludf.DUMMYFUNCTION("""COMPUTED_VALUE"""),"MUC MHS")</f>
        <v>MUC MHS</v>
      </c>
      <c r="S1358" s="85" t="str">
        <f>IFERROR(__xludf.DUMMYFUNCTION("""COMPUTED_VALUE"""),"YETI MULYATI")</f>
        <v>YETI MULYATI</v>
      </c>
      <c r="T1358" s="85" t="str">
        <f>IFERROR(__xludf.DUMMYFUNCTION("""COMPUTED_VALUE"""),"PERUM GADING ELOK C.7/7 RT 004 RW 026 KARAWANG WETAN KARAWANG TIMUR KAB.KARAWANG")</f>
        <v>PERUM GADING ELOK C.7/7 RT 004 RW 026 KARAWANG WETAN KARAWANG TIMUR KAB.KARAWANG</v>
      </c>
      <c r="U1358" s="85" t="str">
        <f>IFERROR(__xludf.DUMMYFUNCTION("""COMPUTED_VALUE"""),"Blok2 RT 3 RW 02 Desa Kebonturi Kec. Arjawinangun Kab. Cirebon")</f>
        <v>Blok2 RT 3 RW 02 Desa Kebonturi Kec. Arjawinangun Kab. Cirebon</v>
      </c>
      <c r="V1358" s="85" t="str">
        <f>IFERROR(__xludf.DUMMYFUNCTION("""COMPUTED_VALUE"""),"RT 004 \ RW 026")</f>
        <v>RT 004 \ RW 026</v>
      </c>
      <c r="W1358" s="85" t="str">
        <f>IFERROR(__xludf.DUMMYFUNCTION("""COMPUTED_VALUE"""),"Kebonturi")</f>
        <v>Kebonturi</v>
      </c>
      <c r="X1358" s="85" t="str">
        <f>IFERROR(__xludf.DUMMYFUNCTION("""COMPUTED_VALUE"""),"Arjawinangun")</f>
        <v>Arjawinangun</v>
      </c>
      <c r="Y1358" s="85" t="str">
        <f>IFERROR(__xludf.DUMMYFUNCTION("""COMPUTED_VALUE"""),"Kab. Cirebon")</f>
        <v>Kab. Cirebon</v>
      </c>
      <c r="Z1358" s="85" t="str">
        <f>IFERROR(__xludf.DUMMYFUNCTION("""COMPUTED_VALUE"""),"Jawa Barat")</f>
        <v>Jawa Barat</v>
      </c>
      <c r="AA1358" s="85" t="str">
        <f>IFERROR(__xludf.DUMMYFUNCTION("""COMPUTED_VALUE"""),"45162")</f>
        <v>45162</v>
      </c>
      <c r="AB1358" s="85" t="str">
        <f>IFERROR(__xludf.DUMMYFUNCTION("""COMPUTED_VALUE"""),"3215265209750006")</f>
        <v>3215265209750006</v>
      </c>
      <c r="AC1358" s="85" t="str">
        <f>IFERROR(__xludf.DUMMYFUNCTION("""COMPUTED_VALUE"""),"09.272.776.7-408.000")</f>
        <v>09.272.776.7-408.000</v>
      </c>
      <c r="AD1358" s="85" t="str">
        <f>IFERROR(__xludf.DUMMYFUNCTION("""COMPUTED_VALUE"""),"Majelis Ilmu Kewirausahaan")</f>
        <v>Majelis Ilmu Kewirausahaan</v>
      </c>
      <c r="AE1358" s="85" t="str">
        <f>IFERROR(__xludf.DUMMYFUNCTION("""COMPUTED_VALUE"""),"Majelis Ilmu Kewirausahaan")</f>
        <v>Majelis Ilmu Kewirausahaan</v>
      </c>
      <c r="AF1358" s="85" t="str">
        <f>IFERROR(__xludf.DUMMYFUNCTION("""COMPUTED_VALUE"""),"085692819898")</f>
        <v>085692819898</v>
      </c>
      <c r="AG1358" s="85" t="str">
        <f>IFERROR(__xludf.DUMMYFUNCTION("""COMPUTED_VALUE"""),"085692819898")</f>
        <v>085692819898</v>
      </c>
      <c r="AH1358" s="85" t="str">
        <f>IFERROR(__xludf.DUMMYFUNCTION("""COMPUTED_VALUE"""),"prismajayakaca@gmail.com")</f>
        <v>prismajayakaca@gmail.com</v>
      </c>
      <c r="AI1358" s="85" t="str">
        <f>IFERROR(__xludf.DUMMYFUNCTION("""COMPUTED_VALUE"""),"45662SD ")</f>
        <v>45662SD </v>
      </c>
      <c r="AJ1358" s="85" t="str">
        <f>IFERROR(__xludf.DUMMYFUNCTION("""COMPUTED_VALUE"""),"6aa415e647c53259920c6e48 ")</f>
        <v>6aa415e647c53259920c6e48 </v>
      </c>
      <c r="AK1358" s="85" t="str">
        <f>IFERROR(__xludf.DUMMYFUNCTION("""COMPUTED_VALUE"""),"prismajayakaca@gmail.com")</f>
        <v>prismajayakaca@gmail.com</v>
      </c>
      <c r="AL1358" s="85" t="str">
        <f>IFERROR(__xludf.DUMMYFUNCTION("""COMPUTED_VALUE"""),"#Muc45662SD$")</f>
        <v>#Muc45662SD$</v>
      </c>
      <c r="AM1358" s="85" t="str">
        <f>IFERROR(__xludf.DUMMYFUNCTION("""COMPUTED_VALUE"""),"KANTOR REGIONAL III BANDUNG 40004")</f>
        <v>KANTOR REGIONAL III BANDUNG 40004</v>
      </c>
      <c r="AN1358" s="85" t="str">
        <f>IFERROR(__xludf.DUMMYFUNCTION("""COMPUTED_VALUE"""),"KCU CIREBON 45100")</f>
        <v>KCU CIREBON 45100</v>
      </c>
      <c r="AO1358" s="85" t="str">
        <f>IFERROR(__xludf.DUMMYFUNCTION("""COMPUTED_VALUE"""),"1308260049993")</f>
        <v>1308260049993</v>
      </c>
      <c r="AP1358" s="85" t="str">
        <f>IFERROR(__xludf.DUMMYFUNCTION("""COMPUTED_VALUE"""),"1308260049993")</f>
        <v>1308260049993</v>
      </c>
      <c r="AQ1358" s="93" t="str">
        <f>IFERROR(__xludf.DUMMYFUNCTION("""COMPUTED_VALUE"""),"372901011104533")</f>
        <v>372901011104533</v>
      </c>
      <c r="AR1358" s="85" t="str">
        <f>IFERROR(__xludf.DUMMYFUNCTION("""COMPUTED_VALUE"""),"BRI")</f>
        <v>BRI</v>
      </c>
      <c r="AS1358" s="85" t="str">
        <f>IFERROR(__xludf.DUMMYFUNCTION("""COMPUTED_VALUE"""),"YOSMAN HERAWAN (SUAMI)")</f>
        <v>YOSMAN HERAWAN (SUAMI)</v>
      </c>
      <c r="AT1358" s="85" t="str">
        <f>IFERROR(__xludf.DUMMYFUNCTION("""COMPUTED_VALUE"""),"-6.6547077,108.4036311")</f>
        <v>-6.6547077,108.4036311</v>
      </c>
      <c r="AU1358" s="85" t="str">
        <f>IFERROR(__xludf.DUMMYFUNCTION("""COMPUTED_VALUE"""),"-6.6547077,108.4036311")</f>
        <v>-6.6547077,108.4036311</v>
      </c>
      <c r="AV1358" s="85"/>
      <c r="AW1358" s="85"/>
      <c r="AX1358" s="85"/>
      <c r="AY1358" s="85"/>
      <c r="AZ1358" s="85"/>
      <c r="BA1358" s="85"/>
      <c r="BB1358" s="85"/>
      <c r="BC1358" s="85"/>
      <c r="BD1358" s="85"/>
      <c r="BE1358" s="85"/>
      <c r="BF1358" s="85"/>
      <c r="BG1358" s="85"/>
      <c r="BH1358" s="85"/>
      <c r="BI1358" s="85"/>
      <c r="BJ1358" s="85"/>
      <c r="BK1358" s="85"/>
      <c r="BL1358" s="85"/>
      <c r="BM1358" s="85"/>
      <c r="BN1358" s="85"/>
      <c r="BO1358" s="85"/>
      <c r="BP1358" s="85"/>
      <c r="BQ1358" s="85"/>
      <c r="BR1358" s="85"/>
      <c r="BS1358" s="85"/>
      <c r="BT1358" s="85"/>
      <c r="BU1358" s="85"/>
      <c r="BV1358" s="85"/>
      <c r="BW1358" s="85"/>
      <c r="BX1358" s="85"/>
      <c r="BY1358" s="85"/>
      <c r="BZ1358" s="85"/>
      <c r="CA1358" s="85"/>
      <c r="CB1358" s="85"/>
      <c r="CC1358" s="85"/>
      <c r="CD1358" s="85"/>
      <c r="CE1358" s="85"/>
      <c r="CF1358" s="85"/>
      <c r="CG1358" s="85"/>
      <c r="CH1358" s="85"/>
      <c r="CI1358" s="85"/>
      <c r="CJ1358" s="85"/>
      <c r="CK1358" s="2"/>
    </row>
    <row r="1359" ht="12.75" customHeight="1">
      <c r="A1359" s="80">
        <f>IFERROR(__xludf.DUMMYFUNCTION("""COMPUTED_VALUE"""),1355.0)</f>
        <v>1355</v>
      </c>
      <c r="B1359" s="80"/>
      <c r="C1359" s="80"/>
      <c r="D1359" s="81">
        <f>IFERROR(__xludf.DUMMYFUNCTION("""COMPUTED_VALUE"""),46248.0)</f>
        <v>46248</v>
      </c>
      <c r="E1359" s="82"/>
      <c r="F1359" s="80"/>
      <c r="G1359" s="81">
        <f>IFERROR(__xludf.DUMMYFUNCTION("""COMPUTED_VALUE"""),46279.0)</f>
        <v>46279</v>
      </c>
      <c r="H1359" s="80"/>
      <c r="I1359" s="80"/>
      <c r="J1359" s="80"/>
      <c r="K1359" s="80"/>
      <c r="L1359" s="80">
        <f>IFERROR(__xludf.DUMMYFUNCTION("""COMPUTED_VALUE"""),31.0)</f>
        <v>31</v>
      </c>
      <c r="M1359" s="80"/>
      <c r="N1359" s="80"/>
      <c r="O1359" s="80"/>
      <c r="P1359" s="80" t="str">
        <f>IFERROR(__xludf.DUMMYFUNCTION("""COMPUTED_VALUE"""),"MUC70257UMKMDRI1")</f>
        <v>MUC70257UMKMDRI1</v>
      </c>
      <c r="Q1359" s="80" t="str">
        <f>IFERROR(__xludf.DUMMYFUNCTION("""COMPUTED_VALUE"""),"MUC BROTHERHOOD")</f>
        <v>MUC BROTHERHOOD</v>
      </c>
      <c r="R1359" s="80" t="str">
        <f>IFERROR(__xludf.DUMMYFUNCTION("""COMPUTED_VALUE"""),"MUC BROTHERHOOD")</f>
        <v>MUC BROTHERHOOD</v>
      </c>
      <c r="S1359" s="80" t="str">
        <f>IFERROR(__xludf.DUMMYFUNCTION("""COMPUTED_VALUE"""),"PAYAN PRASETYO")</f>
        <v>PAYAN PRASETYO</v>
      </c>
      <c r="T1359" s="80" t="str">
        <f>IFERROR(__xludf.DUMMYFUNCTION("""COMPUTED_VALUE"""),"PERUM CITRA MULIA MEGAH BLOK B.2/26 RT.031/008 LEMAHMULYA MAJALAYA KAB.KARAWANG")</f>
        <v>PERUM CITRA MULIA MEGAH BLOK B.2/26 RT.031/008 LEMAHMULYA MAJALAYA KAB.KARAWANG</v>
      </c>
      <c r="U1359" s="80" t="str">
        <f>IFERROR(__xludf.DUMMYFUNCTION("""COMPUTED_VALUE"""),"Perumahan Citra Mulia Megah B2 No.26 RT 031 RW 008 Lemahmulya")</f>
        <v>Perumahan Citra Mulia Megah B2 No.26 RT 031 RW 008 Lemahmulya</v>
      </c>
      <c r="V1359" s="80"/>
      <c r="W1359" s="80" t="str">
        <f>IFERROR(__xludf.DUMMYFUNCTION("""COMPUTED_VALUE"""),"Lemahmulya")</f>
        <v>Lemahmulya</v>
      </c>
      <c r="X1359" s="80" t="str">
        <f>IFERROR(__xludf.DUMMYFUNCTION("""COMPUTED_VALUE"""),"Majalaya")</f>
        <v>Majalaya</v>
      </c>
      <c r="Y1359" s="80" t="str">
        <f>IFERROR(__xludf.DUMMYFUNCTION("""COMPUTED_VALUE"""),"Kab.Karawang")</f>
        <v>Kab.Karawang</v>
      </c>
      <c r="Z1359" s="80" t="str">
        <f>IFERROR(__xludf.DUMMYFUNCTION("""COMPUTED_VALUE"""),"Jawa Barat")</f>
        <v>Jawa Barat</v>
      </c>
      <c r="AA1359" s="80" t="str">
        <f>IFERROR(__xludf.DUMMYFUNCTION("""COMPUTED_VALUE"""),"41318")</f>
        <v>41318</v>
      </c>
      <c r="AB1359" s="80" t="str">
        <f>IFERROR(__xludf.DUMMYFUNCTION("""COMPUTED_VALUE"""),"3210190909950041")</f>
        <v>3210190909950041</v>
      </c>
      <c r="AC1359" s="80" t="str">
        <f>IFERROR(__xludf.DUMMYFUNCTION("""COMPUTED_VALUE"""),"32.101.909.0-995.0041")</f>
        <v>32.101.909.0-995.0041</v>
      </c>
      <c r="AD1359" s="80" t="str">
        <f>IFERROR(__xludf.DUMMYFUNCTION("""COMPUTED_VALUE"""),"Komunitas Rempah")</f>
        <v>Komunitas Rempah</v>
      </c>
      <c r="AE1359" s="80" t="str">
        <f>IFERROR(__xludf.DUMMYFUNCTION("""COMPUTED_VALUE"""),"Komunitas Rempah")</f>
        <v>Komunitas Rempah</v>
      </c>
      <c r="AF1359" s="80" t="str">
        <f>IFERROR(__xludf.DUMMYFUNCTION("""COMPUTED_VALUE"""),"081917777795")</f>
        <v>081917777795</v>
      </c>
      <c r="AG1359" s="80" t="str">
        <f>IFERROR(__xludf.DUMMYFUNCTION("""COMPUTED_VALUE"""),"081917777795")</f>
        <v>081917777795</v>
      </c>
      <c r="AH1359" s="80" t="str">
        <f>IFERROR(__xludf.DUMMYFUNCTION("""COMPUTED_VALUE"""),"prasetyo.pv09@gmail.com")</f>
        <v>prasetyo.pv09@gmail.com</v>
      </c>
      <c r="AI1359" s="80" t="str">
        <f>IFERROR(__xludf.DUMMYFUNCTION("""COMPUTED_VALUE"""),"41388S3 ")</f>
        <v>41388S3 </v>
      </c>
      <c r="AJ1359" s="80" t="str">
        <f>IFERROR(__xludf.DUMMYFUNCTION("""COMPUTED_VALUE"""),"6aa52ba65d14f158f605b5e0 ")</f>
        <v>6aa52ba65d14f158f605b5e0 </v>
      </c>
      <c r="AK1359" s="80" t="str">
        <f>IFERROR(__xludf.DUMMYFUNCTION("""COMPUTED_VALUE"""),"prasetyo.pv09@gmail.com")</f>
        <v>prasetyo.pv09@gmail.com</v>
      </c>
      <c r="AL1359" s="80" t="str">
        <f>IFERROR(__xludf.DUMMYFUNCTION("""COMPUTED_VALUE"""),"#Muc41388S3$")</f>
        <v>#Muc41388S3$</v>
      </c>
      <c r="AM1359" s="80" t="str">
        <f>IFERROR(__xludf.DUMMYFUNCTION("""COMPUTED_VALUE"""),"KANTOR REGIONAL III BANDUNG 40004")</f>
        <v>KANTOR REGIONAL III BANDUNG 40004</v>
      </c>
      <c r="AN1359" s="80" t="str">
        <f>IFERROR(__xludf.DUMMYFUNCTION("""COMPUTED_VALUE"""),"KCU KARAWANG 41300")</f>
        <v>KCU KARAWANG 41300</v>
      </c>
      <c r="AO1359" s="80" t="str">
        <f>IFERROR(__xludf.DUMMYFUNCTION("""COMPUTED_VALUE"""),"1408260053954")</f>
        <v>1408260053954</v>
      </c>
      <c r="AP1359" s="80" t="str">
        <f>IFERROR(__xludf.DUMMYFUNCTION("""COMPUTED_VALUE"""),"1408260053954")</f>
        <v>1408260053954</v>
      </c>
      <c r="AQ1359" s="83" t="str">
        <f>IFERROR(__xludf.DUMMYFUNCTION("""COMPUTED_VALUE"""),"0858955614")</f>
        <v>0858955614</v>
      </c>
      <c r="AR1359" s="80" t="str">
        <f>IFERROR(__xludf.DUMMYFUNCTION("""COMPUTED_VALUE"""),"BNI")</f>
        <v>BNI</v>
      </c>
      <c r="AS1359" s="80" t="str">
        <f>IFERROR(__xludf.DUMMYFUNCTION("""COMPUTED_VALUE"""),"PAYAN PRASETYO")</f>
        <v>PAYAN PRASETYO</v>
      </c>
      <c r="AT1359" s="80" t="str">
        <f>IFERROR(__xludf.DUMMYFUNCTION("""COMPUTED_VALUE"""),"-6.3300065,107.3670388")</f>
        <v>-6.3300065,107.3670388</v>
      </c>
      <c r="AU1359" s="80" t="str">
        <f>IFERROR(__xludf.DUMMYFUNCTION("""COMPUTED_VALUE"""),"-6.3300065,107.3670388")</f>
        <v>-6.3300065,107.3670388</v>
      </c>
      <c r="AV1359" s="80"/>
      <c r="AW1359" s="80"/>
      <c r="AX1359" s="80"/>
      <c r="AY1359" s="80"/>
      <c r="AZ1359" s="80"/>
      <c r="BA1359" s="80"/>
      <c r="BB1359" s="80"/>
      <c r="BC1359" s="80"/>
      <c r="BD1359" s="80"/>
      <c r="BE1359" s="80"/>
      <c r="BF1359" s="80"/>
      <c r="BG1359" s="80"/>
      <c r="BH1359" s="80"/>
      <c r="BI1359" s="80"/>
      <c r="BJ1359" s="80"/>
      <c r="BK1359" s="80"/>
      <c r="BL1359" s="80"/>
      <c r="BM1359" s="80"/>
      <c r="BN1359" s="80"/>
      <c r="BO1359" s="80"/>
      <c r="BP1359" s="80"/>
      <c r="BQ1359" s="80"/>
      <c r="BR1359" s="80"/>
      <c r="BS1359" s="80"/>
      <c r="BT1359" s="80"/>
      <c r="BU1359" s="80"/>
      <c r="BV1359" s="80"/>
      <c r="BW1359" s="80"/>
      <c r="BX1359" s="80"/>
      <c r="BY1359" s="80"/>
      <c r="BZ1359" s="80"/>
      <c r="CA1359" s="80"/>
      <c r="CB1359" s="80"/>
      <c r="CC1359" s="80"/>
      <c r="CD1359" s="80"/>
      <c r="CE1359" s="80"/>
      <c r="CF1359" s="80"/>
      <c r="CG1359" s="80"/>
      <c r="CH1359" s="80"/>
      <c r="CI1359" s="80"/>
      <c r="CJ1359" s="80"/>
      <c r="CK1359" s="2"/>
    </row>
    <row r="1360" ht="12.75" customHeight="1">
      <c r="A1360" s="85">
        <f>IFERROR(__xludf.DUMMYFUNCTION("""COMPUTED_VALUE"""),1356.0)</f>
        <v>1356</v>
      </c>
      <c r="B1360" s="85"/>
      <c r="C1360" s="85"/>
      <c r="D1360" s="86">
        <f>IFERROR(__xludf.DUMMYFUNCTION("""COMPUTED_VALUE"""),46248.0)</f>
        <v>46248</v>
      </c>
      <c r="E1360" s="88"/>
      <c r="F1360" s="85"/>
      <c r="G1360" s="86">
        <f>IFERROR(__xludf.DUMMYFUNCTION("""COMPUTED_VALUE"""),46273.0)</f>
        <v>46273</v>
      </c>
      <c r="H1360" s="85"/>
      <c r="I1360" s="85"/>
      <c r="J1360" s="85"/>
      <c r="K1360" s="85"/>
      <c r="L1360" s="85">
        <f>IFERROR(__xludf.DUMMYFUNCTION("""COMPUTED_VALUE"""),25.0)</f>
        <v>25</v>
      </c>
      <c r="M1360" s="85"/>
      <c r="N1360" s="85"/>
      <c r="O1360" s="85"/>
      <c r="P1360" s="85" t="str">
        <f>IFERROR(__xludf.DUMMYFUNCTION("""COMPUTED_VALUE"""),"MUCSPA63656PSIND")</f>
        <v>MUCSPA63656PSIND</v>
      </c>
      <c r="Q1360" s="85" t="str">
        <f>IFERROR(__xludf.DUMMYFUNCTION("""COMPUTED_VALUE"""),"MUC Feily Express")</f>
        <v>MUC Feily Express</v>
      </c>
      <c r="R1360" s="85" t="str">
        <f>IFERROR(__xludf.DUMMYFUNCTION("""COMPUTED_VALUE"""),"MUC Feily Express")</f>
        <v>MUC Feily Express</v>
      </c>
      <c r="S1360" s="85" t="str">
        <f>IFERROR(__xludf.DUMMYFUNCTION("""COMPUTED_VALUE"""),"MICHAEL GABRIEL SALINDEHO")</f>
        <v>MICHAEL GABRIEL SALINDEHO</v>
      </c>
      <c r="T1360" s="85" t="str">
        <f>IFERROR(__xludf.DUMMYFUNCTION("""COMPUTED_VALUE"""),"RUKO PALIMA GRAND CITY NO. 5, JL. RAYA PALIMA GRAND CITY, KEMANISAN, CURUG, SERANG")</f>
        <v>RUKO PALIMA GRAND CITY NO. 5, JL. RAYA PALIMA GRAND CITY, KEMANISAN, CURUG, SERANG</v>
      </c>
      <c r="U1360" s="85" t="str">
        <f>IFERROR(__xludf.DUMMYFUNCTION("""COMPUTED_VALUE"""),"JL. RAYA PALIMA GRAND CITY NO.3")</f>
        <v>JL. RAYA PALIMA GRAND CITY NO.3</v>
      </c>
      <c r="V1360" s="85"/>
      <c r="W1360" s="85" t="str">
        <f>IFERROR(__xludf.DUMMYFUNCTION("""COMPUTED_VALUE"""),"SINDANGSARI")</f>
        <v>SINDANGSARI</v>
      </c>
      <c r="X1360" s="85" t="str">
        <f>IFERROR(__xludf.DUMMYFUNCTION("""COMPUTED_VALUE"""),"PABURUAN")</f>
        <v>PABURUAN</v>
      </c>
      <c r="Y1360" s="85" t="str">
        <f>IFERROR(__xludf.DUMMYFUNCTION("""COMPUTED_VALUE"""),"KAB.SERANG")</f>
        <v>KAB.SERANG</v>
      </c>
      <c r="Z1360" s="85" t="str">
        <f>IFERROR(__xludf.DUMMYFUNCTION("""COMPUTED_VALUE"""),"BANTEN")</f>
        <v>BANTEN</v>
      </c>
      <c r="AA1360" s="85" t="str">
        <f>IFERROR(__xludf.DUMMYFUNCTION("""COMPUTED_VALUE"""),"42163")</f>
        <v>42163</v>
      </c>
      <c r="AB1360" s="85" t="str">
        <f>IFERROR(__xludf.DUMMYFUNCTION("""COMPUTED_VALUE"""),"9171020310070002")</f>
        <v>9171020310070002</v>
      </c>
      <c r="AC1360" s="85" t="str">
        <f>IFERROR(__xludf.DUMMYFUNCTION("""COMPUTED_VALUE"""),"91.710.203.1-007.0002")</f>
        <v>91.710.203.1-007.0002</v>
      </c>
      <c r="AD1360" s="85" t="str">
        <f>IFERROR(__xludf.DUMMYFUNCTION("""COMPUTED_VALUE"""),"CUM - PS - NONKORGEN")</f>
        <v>CUM - PS - NONKORGEN</v>
      </c>
      <c r="AE1360" s="85" t="str">
        <f>IFERROR(__xludf.DUMMYFUNCTION("""COMPUTED_VALUE"""),"BU NELA KCU SERANG")</f>
        <v>BU NELA KCU SERANG</v>
      </c>
      <c r="AF1360" s="85" t="str">
        <f>IFERROR(__xludf.DUMMYFUNCTION("""COMPUTED_VALUE"""),"085211237588")</f>
        <v>085211237588</v>
      </c>
      <c r="AG1360" s="85" t="str">
        <f>IFERROR(__xludf.DUMMYFUNCTION("""COMPUTED_VALUE"""),"085211237588")</f>
        <v>085211237588</v>
      </c>
      <c r="AH1360" s="85" t="str">
        <f>IFERROR(__xludf.DUMMYFUNCTION("""COMPUTED_VALUE"""),"feily.srg88@gmail.com")</f>
        <v>feily.srg88@gmail.com</v>
      </c>
      <c r="AI1360" s="85" t="str">
        <f>IFERROR(__xludf.DUMMYFUNCTION("""COMPUTED_VALUE"""),"42163S2")</f>
        <v>42163S2</v>
      </c>
      <c r="AJ1360" s="85" t="str">
        <f>IFERROR(__xludf.DUMMYFUNCTION("""COMPUTED_VALUE"""),"6a9fb3310f8acc6f3805c554")</f>
        <v>6a9fb3310f8acc6f3805c554</v>
      </c>
      <c r="AK1360" s="85" t="str">
        <f>IFERROR(__xludf.DUMMYFUNCTION("""COMPUTED_VALUE"""),"feily.srg88@gmail.com")</f>
        <v>feily.srg88@gmail.com</v>
      </c>
      <c r="AL1360" s="85" t="str">
        <f>IFERROR(__xludf.DUMMYFUNCTION("""COMPUTED_VALUE"""),"#Muc42163S2$")</f>
        <v>#Muc42163S2$</v>
      </c>
      <c r="AM1360" s="85" t="str">
        <f>IFERROR(__xludf.DUMMYFUNCTION("""COMPUTED_VALUE"""),"KANTOR REGIONAL II JAKARTA 10004")</f>
        <v>KANTOR REGIONAL II JAKARTA 10004</v>
      </c>
      <c r="AN1360" s="85" t="str">
        <f>IFERROR(__xludf.DUMMYFUNCTION("""COMPUTED_VALUE"""),"KCU SERANG 42100")</f>
        <v>KCU SERANG 42100</v>
      </c>
      <c r="AO1360" s="85" t="str">
        <f>IFERROR(__xludf.DUMMYFUNCTION("""COMPUTED_VALUE"""),"0412250091791")</f>
        <v>0412250091791</v>
      </c>
      <c r="AP1360" s="85" t="str">
        <f>IFERROR(__xludf.DUMMYFUNCTION("""COMPUTED_VALUE"""),"0412250091791")</f>
        <v>0412250091791</v>
      </c>
      <c r="AQ1360" s="93" t="str">
        <f>IFERROR(__xludf.DUMMYFUNCTION("""COMPUTED_VALUE"""),"1412 0100 5545 506")</f>
        <v>1412 0100 5545 506</v>
      </c>
      <c r="AR1360" s="85" t="str">
        <f>IFERROR(__xludf.DUMMYFUNCTION("""COMPUTED_VALUE"""),"BANK BRI")</f>
        <v>BANK BRI</v>
      </c>
      <c r="AS1360" s="85" t="str">
        <f>IFERROR(__xludf.DUMMYFUNCTION("""COMPUTED_VALUE"""),"MICHAEL GABRIEL SALINDEHO")</f>
        <v>MICHAEL GABRIEL SALINDEHO</v>
      </c>
      <c r="AT1360" s="85" t="str">
        <f>IFERROR(__xludf.DUMMYFUNCTION("""COMPUTED_VALUE"""),"-6.1849031,106.1373285")</f>
        <v>-6.1849031,106.1373285</v>
      </c>
      <c r="AU1360" s="85" t="str">
        <f>IFERROR(__xludf.DUMMYFUNCTION("""COMPUTED_VALUE"""),"-6.1849031,106.1373285")</f>
        <v>-6.1849031,106.1373285</v>
      </c>
      <c r="AV1360" s="85"/>
      <c r="AW1360" s="85"/>
      <c r="AX1360" s="85"/>
      <c r="AY1360" s="85"/>
      <c r="AZ1360" s="85"/>
      <c r="BA1360" s="85"/>
      <c r="BB1360" s="85"/>
      <c r="BC1360" s="85"/>
      <c r="BD1360" s="85"/>
      <c r="BE1360" s="85"/>
      <c r="BF1360" s="85"/>
      <c r="BG1360" s="85"/>
      <c r="BH1360" s="85"/>
      <c r="BI1360" s="85"/>
      <c r="BJ1360" s="85"/>
      <c r="BK1360" s="85"/>
      <c r="BL1360" s="85"/>
      <c r="BM1360" s="85"/>
      <c r="BN1360" s="85"/>
      <c r="BO1360" s="85"/>
      <c r="BP1360" s="85"/>
      <c r="BQ1360" s="85"/>
      <c r="BR1360" s="85"/>
      <c r="BS1360" s="85"/>
      <c r="BT1360" s="85"/>
      <c r="BU1360" s="85"/>
      <c r="BV1360" s="85"/>
      <c r="BW1360" s="85"/>
      <c r="BX1360" s="85"/>
      <c r="BY1360" s="85"/>
      <c r="BZ1360" s="85"/>
      <c r="CA1360" s="85"/>
      <c r="CB1360" s="85"/>
      <c r="CC1360" s="85"/>
      <c r="CD1360" s="85"/>
      <c r="CE1360" s="85"/>
      <c r="CF1360" s="85"/>
      <c r="CG1360" s="85"/>
      <c r="CH1360" s="85"/>
      <c r="CI1360" s="85"/>
      <c r="CJ1360" s="85"/>
      <c r="CK1360" s="2"/>
    </row>
    <row r="1361" ht="12.75" customHeight="1">
      <c r="A1361" s="80">
        <f>IFERROR(__xludf.DUMMYFUNCTION("""COMPUTED_VALUE"""),1357.0)</f>
        <v>1357</v>
      </c>
      <c r="B1361" s="80"/>
      <c r="C1361" s="80"/>
      <c r="D1361" s="81">
        <f>IFERROR(__xludf.DUMMYFUNCTION("""COMPUTED_VALUE"""),46252.0)</f>
        <v>46252</v>
      </c>
      <c r="E1361" s="82"/>
      <c r="F1361" s="80"/>
      <c r="G1361" s="81">
        <f>IFERROR(__xludf.DUMMYFUNCTION("""COMPUTED_VALUE"""),46279.0)</f>
        <v>46279</v>
      </c>
      <c r="H1361" s="80"/>
      <c r="I1361" s="80"/>
      <c r="J1361" s="80"/>
      <c r="K1361" s="80"/>
      <c r="L1361" s="80">
        <f>IFERROR(__xludf.DUMMYFUNCTION("""COMPUTED_VALUE"""),27.0)</f>
        <v>27</v>
      </c>
      <c r="M1361" s="80"/>
      <c r="N1361" s="80"/>
      <c r="O1361" s="80"/>
      <c r="P1361" s="80" t="str">
        <f>IFERROR(__xludf.DUMMYFUNCTION("""COMPUTED_VALUE"""),"MUCSPA70056PSUMK")</f>
        <v>MUCSPA70056PSUMK</v>
      </c>
      <c r="Q1361" s="80" t="str">
        <f>IFERROR(__xludf.DUMMYFUNCTION("""COMPUTED_VALUE"""),"MUC WA HYANG TARUMAJAYA")</f>
        <v>MUC WA HYANG TARUMAJAYA</v>
      </c>
      <c r="R1361" s="80" t="str">
        <f>IFERROR(__xludf.DUMMYFUNCTION("""COMPUTED_VALUE"""),"MUC WA HYANG TARUMAJAYA")</f>
        <v>MUC WA HYANG TARUMAJAYA</v>
      </c>
      <c r="S1361" s="80" t="str">
        <f>IFERROR(__xludf.DUMMYFUNCTION("""COMPUTED_VALUE"""),"ENTEP SUTIAMAN DARYANTO, S.I.P.")</f>
        <v>ENTEP SUTIAMAN DARYANTO, S.I.P.</v>
      </c>
      <c r="T1361" s="80" t="str">
        <f>IFERROR(__xludf.DUMMYFUNCTION("""COMPUTED_VALUE"""),"KP. GOHA RT. 003/RW. 008 TARUMAJAYA KERTASARI KAB. BANDUNG JAWA BARAT")</f>
        <v>KP. GOHA RT. 003/RW. 008 TARUMAJAYA KERTASARI KAB. BANDUNG JAWA BARAT</v>
      </c>
      <c r="U1361" s="80" t="str">
        <f>IFERROR(__xludf.DUMMYFUNCTION("""COMPUTED_VALUE"""),"JL. RAYA PAJATEN-SITU CISANTI RT. 003/RW. 002")</f>
        <v>JL. RAYA PAJATEN-SITU CISANTI RT. 003/RW. 002</v>
      </c>
      <c r="V1361" s="80" t="str">
        <f>IFERROR(__xludf.DUMMYFUNCTION("""COMPUTED_VALUE"""),"RT. 00 \ RW. 00")</f>
        <v>RT. 00 \ RW. 00</v>
      </c>
      <c r="W1361" s="80" t="str">
        <f>IFERROR(__xludf.DUMMYFUNCTION("""COMPUTED_VALUE"""),"Tarumajaya")</f>
        <v>Tarumajaya</v>
      </c>
      <c r="X1361" s="80" t="str">
        <f>IFERROR(__xludf.DUMMYFUNCTION("""COMPUTED_VALUE"""),"Kertasari")</f>
        <v>Kertasari</v>
      </c>
      <c r="Y1361" s="80" t="str">
        <f>IFERROR(__xludf.DUMMYFUNCTION("""COMPUTED_VALUE"""),"Kab. Bandung")</f>
        <v>Kab. Bandung</v>
      </c>
      <c r="Z1361" s="80" t="str">
        <f>IFERROR(__xludf.DUMMYFUNCTION("""COMPUTED_VALUE"""),"Jawa Barat")</f>
        <v>Jawa Barat</v>
      </c>
      <c r="AA1361" s="80" t="str">
        <f>IFERROR(__xludf.DUMMYFUNCTION("""COMPUTED_VALUE"""),"40386")</f>
        <v>40386</v>
      </c>
      <c r="AB1361" s="80" t="str">
        <f>IFERROR(__xludf.DUMMYFUNCTION("""COMPUTED_VALUE"""),"3204310601780006")</f>
        <v>3204310601780006</v>
      </c>
      <c r="AC1361" s="80" t="str">
        <f>IFERROR(__xludf.DUMMYFUNCTION("""COMPUTED_VALUE"""),"32.043.106.0-178.0006")</f>
        <v>32.043.106.0-178.0006</v>
      </c>
      <c r="AD1361" s="80" t="str">
        <f>IFERROR(__xludf.DUMMYFUNCTION("""COMPUTED_VALUE"""),"CUM - UMKMNK - ASEP")</f>
        <v>CUM - UMKMNK - ASEP</v>
      </c>
      <c r="AE1361" s="80" t="str">
        <f>IFERROR(__xludf.DUMMYFUNCTION("""COMPUTED_VALUE"""),"CUM - UMKMNK - ASEP")</f>
        <v>CUM - UMKMNK - ASEP</v>
      </c>
      <c r="AF1361" s="80" t="str">
        <f>IFERROR(__xludf.DUMMYFUNCTION("""COMPUTED_VALUE"""),"082115472003")</f>
        <v>082115472003</v>
      </c>
      <c r="AG1361" s="80" t="str">
        <f>IFERROR(__xludf.DUMMYFUNCTION("""COMPUTED_VALUE"""),"082115472003")</f>
        <v>082115472003</v>
      </c>
      <c r="AH1361" s="80" t="str">
        <f>IFERROR(__xludf.DUMMYFUNCTION("""COMPUTED_VALUE"""),"aantevs@gmail.com")</f>
        <v>aantevs@gmail.com</v>
      </c>
      <c r="AI1361" s="80" t="str">
        <f>IFERROR(__xludf.DUMMYFUNCTION("""COMPUTED_VALUE"""),"40386S3 ")</f>
        <v>40386S3 </v>
      </c>
      <c r="AJ1361" s="80" t="str">
        <f>IFERROR(__xludf.DUMMYFUNCTION("""COMPUTED_VALUE"""),"6aa524c685244355b10446da ")</f>
        <v>6aa524c685244355b10446da </v>
      </c>
      <c r="AK1361" s="80" t="str">
        <f>IFERROR(__xludf.DUMMYFUNCTION("""COMPUTED_VALUE"""),"aantevs@gmail.com")</f>
        <v>aantevs@gmail.com</v>
      </c>
      <c r="AL1361" s="80" t="str">
        <f>IFERROR(__xludf.DUMMYFUNCTION("""COMPUTED_VALUE"""),"#Muc40386S3$")</f>
        <v>#Muc40386S3$</v>
      </c>
      <c r="AM1361" s="80" t="str">
        <f>IFERROR(__xludf.DUMMYFUNCTION("""COMPUTED_VALUE"""),"KANTOR REGIONAL III BANDUNG 40004")</f>
        <v>KANTOR REGIONAL III BANDUNG 40004</v>
      </c>
      <c r="AN1361" s="80" t="str">
        <f>IFERROR(__xludf.DUMMYFUNCTION("""COMPUTED_VALUE"""),"KC UJUNGBERUNG 40100")</f>
        <v>KC UJUNGBERUNG 40100</v>
      </c>
      <c r="AO1361" s="80" t="str">
        <f>IFERROR(__xludf.DUMMYFUNCTION("""COMPUTED_VALUE"""),"1810210039351")</f>
        <v>1810210039351</v>
      </c>
      <c r="AP1361" s="80" t="str">
        <f>IFERROR(__xludf.DUMMYFUNCTION("""COMPUTED_VALUE"""),"1810210039351")</f>
        <v>1810210039351</v>
      </c>
      <c r="AQ1361" s="83" t="str">
        <f>IFERROR(__xludf.DUMMYFUNCTION("""COMPUTED_VALUE"""),"787701001375537")</f>
        <v>787701001375537</v>
      </c>
      <c r="AR1361" s="80" t="str">
        <f>IFERROR(__xludf.DUMMYFUNCTION("""COMPUTED_VALUE"""),"BRI")</f>
        <v>BRI</v>
      </c>
      <c r="AS1361" s="80" t="str">
        <f>IFERROR(__xludf.DUMMYFUNCTION("""COMPUTED_VALUE"""),"ENTEP SUTIAMAN DARYANTO")</f>
        <v>ENTEP SUTIAMAN DARYANTO</v>
      </c>
      <c r="AT1361" s="80" t="str">
        <f>IFERROR(__xludf.DUMMYFUNCTION("""COMPUTED_VALUE"""),"-7.2044968,107.6425521")</f>
        <v>-7.2044968,107.6425521</v>
      </c>
      <c r="AU1361" s="80" t="str">
        <f>IFERROR(__xludf.DUMMYFUNCTION("""COMPUTED_VALUE"""),"-7.2044968,107.6425521")</f>
        <v>-7.2044968,107.6425521</v>
      </c>
      <c r="AV1361" s="80"/>
      <c r="AW1361" s="80"/>
      <c r="AX1361" s="80"/>
      <c r="AY1361" s="80"/>
      <c r="AZ1361" s="80"/>
      <c r="BA1361" s="80"/>
      <c r="BB1361" s="80"/>
      <c r="BC1361" s="80"/>
      <c r="BD1361" s="80"/>
      <c r="BE1361" s="80"/>
      <c r="BF1361" s="80"/>
      <c r="BG1361" s="80"/>
      <c r="BH1361" s="80"/>
      <c r="BI1361" s="80"/>
      <c r="BJ1361" s="80"/>
      <c r="BK1361" s="80"/>
      <c r="BL1361" s="80"/>
      <c r="BM1361" s="80"/>
      <c r="BN1361" s="80"/>
      <c r="BO1361" s="80"/>
      <c r="BP1361" s="80"/>
      <c r="BQ1361" s="80"/>
      <c r="BR1361" s="80"/>
      <c r="BS1361" s="80"/>
      <c r="BT1361" s="80"/>
      <c r="BU1361" s="80"/>
      <c r="BV1361" s="80"/>
      <c r="BW1361" s="80"/>
      <c r="BX1361" s="80"/>
      <c r="BY1361" s="80"/>
      <c r="BZ1361" s="80"/>
      <c r="CA1361" s="80"/>
      <c r="CB1361" s="80"/>
      <c r="CC1361" s="80"/>
      <c r="CD1361" s="80"/>
      <c r="CE1361" s="80"/>
      <c r="CF1361" s="80"/>
      <c r="CG1361" s="80"/>
      <c r="CH1361" s="80"/>
      <c r="CI1361" s="80"/>
      <c r="CJ1361" s="80"/>
      <c r="CK1361" s="2"/>
    </row>
    <row r="1362" ht="12.75" customHeight="1">
      <c r="A1362" s="85">
        <f>IFERROR(__xludf.DUMMYFUNCTION("""COMPUTED_VALUE"""),1358.0)</f>
        <v>1358</v>
      </c>
      <c r="B1362" s="85"/>
      <c r="C1362" s="85"/>
      <c r="D1362" s="86">
        <f>IFERROR(__xludf.DUMMYFUNCTION("""COMPUTED_VALUE"""),46252.0)</f>
        <v>46252</v>
      </c>
      <c r="E1362" s="88"/>
      <c r="F1362" s="85"/>
      <c r="G1362" s="86">
        <f>IFERROR(__xludf.DUMMYFUNCTION("""COMPUTED_VALUE"""),46279.0)</f>
        <v>46279</v>
      </c>
      <c r="H1362" s="85"/>
      <c r="I1362" s="85"/>
      <c r="J1362" s="85"/>
      <c r="K1362" s="85"/>
      <c r="L1362" s="85">
        <f>IFERROR(__xludf.DUMMYFUNCTION("""COMPUTED_VALUE"""),27.0)</f>
        <v>27</v>
      </c>
      <c r="M1362" s="85"/>
      <c r="N1362" s="85"/>
      <c r="O1362" s="85"/>
      <c r="P1362" s="85" t="str">
        <f>IFERROR(__xludf.DUMMYFUNCTION("""COMPUTED_VALUE"""),"MUCSPA70095PSLDI")</f>
        <v>MUCSPA70095PSLDI</v>
      </c>
      <c r="Q1362" s="85" t="str">
        <f>IFERROR(__xludf.DUMMYFUNCTION("""COMPUTED_VALUE"""),"MUC BAITUL ILMI")</f>
        <v>MUC BAITUL ILMI</v>
      </c>
      <c r="R1362" s="85" t="str">
        <f>IFERROR(__xludf.DUMMYFUNCTION("""COMPUTED_VALUE"""),"MUC BAITUL ILMI")</f>
        <v>MUC BAITUL ILMI</v>
      </c>
      <c r="S1362" s="85" t="str">
        <f>IFERROR(__xludf.DUMMYFUNCTION("""COMPUTED_VALUE"""),"IMAN PRAKOSO")</f>
        <v>IMAN PRAKOSO</v>
      </c>
      <c r="T1362" s="85" t="str">
        <f>IFERROR(__xludf.DUMMYFUNCTION("""COMPUTED_VALUE"""),"Jl. Cempaka 3 A 263 RT 004 RW 022 Jatirahayu Pondok Melati, Bekasi Jawa Barat")</f>
        <v>Jl. Cempaka 3 A 263 RT 004 RW 022 Jatirahayu Pondok Melati, Bekasi Jawa Barat</v>
      </c>
      <c r="U1362" s="85" t="str">
        <f>IFERROR(__xludf.DUMMYFUNCTION("""COMPUTED_VALUE"""),"Komplek Pos dan Giro, Jl. Babakan Sumedang Blok H No.8 RT.005 RW.005 Cinunuk")</f>
        <v>Komplek Pos dan Giro, Jl. Babakan Sumedang Blok H No.8 RT.005 RW.005 Cinunuk</v>
      </c>
      <c r="V1362" s="85" t="str">
        <f>IFERROR(__xludf.DUMMYFUNCTION("""COMPUTED_VALUE"""),"RT 004 \ RW 022")</f>
        <v>RT 004 \ RW 022</v>
      </c>
      <c r="W1362" s="85" t="str">
        <f>IFERROR(__xludf.DUMMYFUNCTION("""COMPUTED_VALUE"""),"Cinunuk")</f>
        <v>Cinunuk</v>
      </c>
      <c r="X1362" s="85" t="str">
        <f>IFERROR(__xludf.DUMMYFUNCTION("""COMPUTED_VALUE"""),"Cleunyi")</f>
        <v>Cleunyi</v>
      </c>
      <c r="Y1362" s="85" t="str">
        <f>IFERROR(__xludf.DUMMYFUNCTION("""COMPUTED_VALUE"""),"Kab. Bandung")</f>
        <v>Kab. Bandung</v>
      </c>
      <c r="Z1362" s="85" t="str">
        <f>IFERROR(__xludf.DUMMYFUNCTION("""COMPUTED_VALUE"""),"Jawa Barat")</f>
        <v>Jawa Barat</v>
      </c>
      <c r="AA1362" s="85" t="str">
        <f>IFERROR(__xludf.DUMMYFUNCTION("""COMPUTED_VALUE"""),"40624")</f>
        <v>40624</v>
      </c>
      <c r="AB1362" s="85" t="str">
        <f>IFERROR(__xludf.DUMMYFUNCTION("""COMPUTED_VALUE"""),"3275122904660003")</f>
        <v>3275122904660003</v>
      </c>
      <c r="AC1362" s="85" t="str">
        <f>IFERROR(__xludf.DUMMYFUNCTION("""COMPUTED_VALUE"""),"58.424.089.9-432.000")</f>
        <v>58.424.089.9-432.000</v>
      </c>
      <c r="AD1362" s="85" t="str">
        <f>IFERROR(__xludf.DUMMYFUNCTION("""COMPUTED_VALUE"""),"CUM - LDI - KOPUBGBS")</f>
        <v>CUM - LDI - KOPUBGBS</v>
      </c>
      <c r="AE1362" s="85" t="str">
        <f>IFERROR(__xludf.DUMMYFUNCTION("""COMPUTED_VALUE"""),"CUM - LDI - KOPUBGBS")</f>
        <v>CUM - LDI - KOPUBGBS</v>
      </c>
      <c r="AF1362" s="85" t="str">
        <f>IFERROR(__xludf.DUMMYFUNCTION("""COMPUTED_VALUE"""),"0895634679677")</f>
        <v>0895634679677</v>
      </c>
      <c r="AG1362" s="85" t="str">
        <f>IFERROR(__xludf.DUMMYFUNCTION("""COMPUTED_VALUE"""),"0895634679677")</f>
        <v>0895634679677</v>
      </c>
      <c r="AH1362" s="85" t="str">
        <f>IFERROR(__xludf.DUMMYFUNCTION("""COMPUTED_VALUE"""),"annisaputri058@gmail.com")</f>
        <v>annisaputri058@gmail.com</v>
      </c>
      <c r="AI1362" s="85" t="str">
        <f>IFERROR(__xludf.DUMMYFUNCTION("""COMPUTED_VALUE"""),"40393SE ")</f>
        <v>40393SE </v>
      </c>
      <c r="AJ1362" s="85" t="str">
        <f>IFERROR(__xludf.DUMMYFUNCTION("""COMPUTED_VALUE"""),"6aa760a3367c2f7bce0fc9ae ")</f>
        <v>6aa760a3367c2f7bce0fc9ae </v>
      </c>
      <c r="AK1362" s="85" t="str">
        <f>IFERROR(__xludf.DUMMYFUNCTION("""COMPUTED_VALUE"""),"annisaputri058@gmail.com")</f>
        <v>annisaputri058@gmail.com</v>
      </c>
      <c r="AL1362" s="85" t="str">
        <f>IFERROR(__xludf.DUMMYFUNCTION("""COMPUTED_VALUE"""),"#Muc40393SE$")</f>
        <v>#Muc40393SE$</v>
      </c>
      <c r="AM1362" s="85" t="str">
        <f>IFERROR(__xludf.DUMMYFUNCTION("""COMPUTED_VALUE"""),"KANTOR REGIONAL III BANDUNG 40004")</f>
        <v>KANTOR REGIONAL III BANDUNG 40004</v>
      </c>
      <c r="AN1362" s="85" t="str">
        <f>IFERROR(__xludf.DUMMYFUNCTION("""COMPUTED_VALUE"""),"KC UJUNGBERUNG 40100")</f>
        <v>KC UJUNGBERUNG 40100</v>
      </c>
      <c r="AO1362" s="85" t="str">
        <f>IFERROR(__xludf.DUMMYFUNCTION("""COMPUTED_VALUE"""),"1808260012661")</f>
        <v>1808260012661</v>
      </c>
      <c r="AP1362" s="85" t="str">
        <f>IFERROR(__xludf.DUMMYFUNCTION("""COMPUTED_VALUE"""),"1808260012661")</f>
        <v>1808260012661</v>
      </c>
      <c r="AQ1362" s="93" t="str">
        <f>IFERROR(__xludf.DUMMYFUNCTION("""COMPUTED_VALUE"""),"7356141363")</f>
        <v>7356141363</v>
      </c>
      <c r="AR1362" s="85" t="str">
        <f>IFERROR(__xludf.DUMMYFUNCTION("""COMPUTED_VALUE"""),"BSI")</f>
        <v>BSI</v>
      </c>
      <c r="AS1362" s="85" t="str">
        <f>IFERROR(__xludf.DUMMYFUNCTION("""COMPUTED_VALUE"""),"ANNISA IMANUGRAHA PUTRI")</f>
        <v>ANNISA IMANUGRAHA PUTRI</v>
      </c>
      <c r="AT1362" s="85" t="str">
        <f>IFERROR(__xludf.DUMMYFUNCTION("""COMPUTED_VALUE"""),"-6.9187118,107.7341248")</f>
        <v>-6.9187118,107.7341248</v>
      </c>
      <c r="AU1362" s="85" t="str">
        <f>IFERROR(__xludf.DUMMYFUNCTION("""COMPUTED_VALUE"""),"-6.9187118,107.7341248")</f>
        <v>-6.9187118,107.7341248</v>
      </c>
      <c r="AV1362" s="85"/>
      <c r="AW1362" s="85"/>
      <c r="AX1362" s="85"/>
      <c r="AY1362" s="85"/>
      <c r="AZ1362" s="85"/>
      <c r="BA1362" s="85"/>
      <c r="BB1362" s="85"/>
      <c r="BC1362" s="85"/>
      <c r="BD1362" s="85"/>
      <c r="BE1362" s="85"/>
      <c r="BF1362" s="85"/>
      <c r="BG1362" s="85"/>
      <c r="BH1362" s="85"/>
      <c r="BI1362" s="85"/>
      <c r="BJ1362" s="85"/>
      <c r="BK1362" s="85"/>
      <c r="BL1362" s="85"/>
      <c r="BM1362" s="85"/>
      <c r="BN1362" s="85"/>
      <c r="BO1362" s="85"/>
      <c r="BP1362" s="85"/>
      <c r="BQ1362" s="85"/>
      <c r="BR1362" s="85"/>
      <c r="BS1362" s="85"/>
      <c r="BT1362" s="85"/>
      <c r="BU1362" s="85"/>
      <c r="BV1362" s="85"/>
      <c r="BW1362" s="85"/>
      <c r="BX1362" s="85"/>
      <c r="BY1362" s="85"/>
      <c r="BZ1362" s="85"/>
      <c r="CA1362" s="85"/>
      <c r="CB1362" s="85"/>
      <c r="CC1362" s="85"/>
      <c r="CD1362" s="85"/>
      <c r="CE1362" s="85"/>
      <c r="CF1362" s="85"/>
      <c r="CG1362" s="85"/>
      <c r="CH1362" s="85"/>
      <c r="CI1362" s="85"/>
      <c r="CJ1362" s="85"/>
      <c r="CK1362" s="2"/>
    </row>
    <row r="1363" ht="12.75" customHeight="1">
      <c r="A1363" s="80">
        <f>IFERROR(__xludf.DUMMYFUNCTION("""COMPUTED_VALUE"""),1359.0)</f>
        <v>1359</v>
      </c>
      <c r="B1363" s="80"/>
      <c r="C1363" s="80"/>
      <c r="D1363" s="81">
        <f>IFERROR(__xludf.DUMMYFUNCTION("""COMPUTED_VALUE"""),46252.0)</f>
        <v>46252</v>
      </c>
      <c r="E1363" s="82"/>
      <c r="F1363" s="80"/>
      <c r="G1363" s="81">
        <f>IFERROR(__xludf.DUMMYFUNCTION("""COMPUTED_VALUE"""),46255.0)</f>
        <v>46255</v>
      </c>
      <c r="H1363" s="80"/>
      <c r="I1363" s="80"/>
      <c r="J1363" s="80"/>
      <c r="K1363" s="80"/>
      <c r="L1363" s="80">
        <f>IFERROR(__xludf.DUMMYFUNCTION("""COMPUTED_VALUE"""),3.0)</f>
        <v>3</v>
      </c>
      <c r="M1363" s="80"/>
      <c r="N1363" s="80"/>
      <c r="O1363" s="80"/>
      <c r="P1363" s="80" t="str">
        <f>IFERROR(__xludf.DUMMYFUNCTION("""COMPUTED_VALUE"""),"MUCSPA63660PSIND")</f>
        <v>MUCSPA63660PSIND</v>
      </c>
      <c r="Q1363" s="80" t="str">
        <f>IFERROR(__xludf.DUMMYFUNCTION("""COMPUTED_VALUE"""),"MUC AMANAH JAYA")</f>
        <v>MUC AMANAH JAYA</v>
      </c>
      <c r="R1363" s="80" t="str">
        <f>IFERROR(__xludf.DUMMYFUNCTION("""COMPUTED_VALUE"""),"MUC AMANAH JAYA")</f>
        <v>MUC AMANAH JAYA</v>
      </c>
      <c r="S1363" s="80" t="str">
        <f>IFERROR(__xludf.DUMMYFUNCTION("""COMPUTED_VALUE"""),"MUHAMMAD AYUB")</f>
        <v>MUHAMMAD AYUB</v>
      </c>
      <c r="T1363" s="80" t="str">
        <f>IFERROR(__xludf.DUMMYFUNCTION("""COMPUTED_VALUE"""),"DUSUN BAHAGIA I, MEURANDEH TENGAH, LANGSA LAMA, LANGSA")</f>
        <v>DUSUN BAHAGIA I, MEURANDEH TENGAH, LANGSA LAMA, LANGSA</v>
      </c>
      <c r="U1363" s="80" t="str">
        <f>IFERROR(__xludf.DUMMYFUNCTION("""COMPUTED_VALUE"""),"JL. PROF. DR. SYARIF THAYEB")</f>
        <v>JL. PROF. DR. SYARIF THAYEB</v>
      </c>
      <c r="V1363" s="80"/>
      <c r="W1363" s="80" t="str">
        <f>IFERROR(__xludf.DUMMYFUNCTION("""COMPUTED_VALUE"""),"MEURANDEH")</f>
        <v>MEURANDEH</v>
      </c>
      <c r="X1363" s="80" t="str">
        <f>IFERROR(__xludf.DUMMYFUNCTION("""COMPUTED_VALUE"""),"LANGSA LAMA")</f>
        <v>LANGSA LAMA</v>
      </c>
      <c r="Y1363" s="80" t="str">
        <f>IFERROR(__xludf.DUMMYFUNCTION("""COMPUTED_VALUE"""),"LANGSA")</f>
        <v>LANGSA</v>
      </c>
      <c r="Z1363" s="80" t="str">
        <f>IFERROR(__xludf.DUMMYFUNCTION("""COMPUTED_VALUE"""),"ACEH")</f>
        <v>ACEH</v>
      </c>
      <c r="AA1363" s="80" t="str">
        <f>IFERROR(__xludf.DUMMYFUNCTION("""COMPUTED_VALUE"""),"24354")</f>
        <v>24354</v>
      </c>
      <c r="AB1363" s="80" t="str">
        <f>IFERROR(__xludf.DUMMYFUNCTION("""COMPUTED_VALUE"""),"1116061108910002")</f>
        <v>1116061108910002</v>
      </c>
      <c r="AC1363" s="80" t="str">
        <f>IFERROR(__xludf.DUMMYFUNCTION("""COMPUTED_VALUE"""),"11.160.611.0-891.0002")</f>
        <v>11.160.611.0-891.0002</v>
      </c>
      <c r="AD1363" s="80" t="str">
        <f>IFERROR(__xludf.DUMMYFUNCTION("""COMPUTED_VALUE"""),"CUM - PS - AFJ")</f>
        <v>CUM - PS - AFJ</v>
      </c>
      <c r="AE1363" s="80" t="str">
        <f>IFERROR(__xludf.DUMMYFUNCTION("""COMPUTED_VALUE"""),"CUM - PS - AFJ")</f>
        <v>CUM - PS - AFJ</v>
      </c>
      <c r="AF1363" s="80" t="str">
        <f>IFERROR(__xludf.DUMMYFUNCTION("""COMPUTED_VALUE"""),"082276434340")</f>
        <v>082276434340</v>
      </c>
      <c r="AG1363" s="80" t="str">
        <f>IFERROR(__xludf.DUMMYFUNCTION("""COMPUTED_VALUE"""),"082276434340")</f>
        <v>082276434340</v>
      </c>
      <c r="AH1363" s="80" t="str">
        <f>IFERROR(__xludf.DUMMYFUNCTION("""COMPUTED_VALUE"""),"muhammadayub.st@gmail.com")</f>
        <v>muhammadayub.st@gmail.com</v>
      </c>
      <c r="AI1363" s="80" t="str">
        <f>IFERROR(__xludf.DUMMYFUNCTION("""COMPUTED_VALUE"""),"24428S1")</f>
        <v>24428S1</v>
      </c>
      <c r="AJ1363" s="80" t="str">
        <f>IFERROR(__xludf.DUMMYFUNCTION("""COMPUTED_VALUE"""),"6a87ad86a48268451a02b7d8")</f>
        <v>6a87ad86a48268451a02b7d8</v>
      </c>
      <c r="AK1363" s="80" t="str">
        <f>IFERROR(__xludf.DUMMYFUNCTION("""COMPUTED_VALUE"""),"muhammadayub.st@gmail.com")</f>
        <v>muhammadayub.st@gmail.com</v>
      </c>
      <c r="AL1363" s="80" t="str">
        <f>IFERROR(__xludf.DUMMYFUNCTION("""COMPUTED_VALUE"""),"#Muc24428S1$")</f>
        <v>#Muc24428S1$</v>
      </c>
      <c r="AM1363" s="80" t="str">
        <f>IFERROR(__xludf.DUMMYFUNCTION("""COMPUTED_VALUE"""),"KANTOR REGIONAL I MEDAN 20004")</f>
        <v>KANTOR REGIONAL I MEDAN 20004</v>
      </c>
      <c r="AN1363" s="80" t="str">
        <f>IFERROR(__xludf.DUMMYFUNCTION("""COMPUTED_VALUE"""),"KC LANGSA 24400")</f>
        <v>KC LANGSA 24400</v>
      </c>
      <c r="AO1363" s="80" t="str">
        <f>IFERROR(__xludf.DUMMYFUNCTION("""COMPUTED_VALUE"""),"2106250029151")</f>
        <v>2106250029151</v>
      </c>
      <c r="AP1363" s="80" t="str">
        <f>IFERROR(__xludf.DUMMYFUNCTION("""COMPUTED_VALUE"""),"2106250029151")</f>
        <v>2106250029151</v>
      </c>
      <c r="AQ1363" s="83" t="str">
        <f>IFERROR(__xludf.DUMMYFUNCTION("""COMPUTED_VALUE"""),"7229393407")</f>
        <v>7229393407</v>
      </c>
      <c r="AR1363" s="80" t="str">
        <f>IFERROR(__xludf.DUMMYFUNCTION("""COMPUTED_VALUE"""),"BSI")</f>
        <v>BSI</v>
      </c>
      <c r="AS1363" s="80" t="str">
        <f>IFERROR(__xludf.DUMMYFUNCTION("""COMPUTED_VALUE"""),"NOVIA MIRANTI")</f>
        <v>NOVIA MIRANTI</v>
      </c>
      <c r="AT1363" s="80" t="str">
        <f>IFERROR(__xludf.DUMMYFUNCTION("""COMPUTED_VALUE"""),"4.4510898,97.9730513")</f>
        <v>4.4510898,97.9730513</v>
      </c>
      <c r="AU1363" s="80" t="str">
        <f>IFERROR(__xludf.DUMMYFUNCTION("""COMPUTED_VALUE"""),"4.4510898,97.9730513")</f>
        <v>4.4510898,97.9730513</v>
      </c>
      <c r="AV1363" s="80"/>
      <c r="AW1363" s="80"/>
      <c r="AX1363" s="80"/>
      <c r="AY1363" s="80"/>
      <c r="AZ1363" s="80"/>
      <c r="BA1363" s="80"/>
      <c r="BB1363" s="80"/>
      <c r="BC1363" s="80"/>
      <c r="BD1363" s="80"/>
      <c r="BE1363" s="80"/>
      <c r="BF1363" s="80"/>
      <c r="BG1363" s="80"/>
      <c r="BH1363" s="80"/>
      <c r="BI1363" s="80"/>
      <c r="BJ1363" s="80"/>
      <c r="BK1363" s="80"/>
      <c r="BL1363" s="80"/>
      <c r="BM1363" s="80"/>
      <c r="BN1363" s="80"/>
      <c r="BO1363" s="80"/>
      <c r="BP1363" s="80"/>
      <c r="BQ1363" s="80"/>
      <c r="BR1363" s="80"/>
      <c r="BS1363" s="80"/>
      <c r="BT1363" s="80"/>
      <c r="BU1363" s="80"/>
      <c r="BV1363" s="80"/>
      <c r="BW1363" s="80"/>
      <c r="BX1363" s="80"/>
      <c r="BY1363" s="80"/>
      <c r="BZ1363" s="80"/>
      <c r="CA1363" s="80"/>
      <c r="CB1363" s="80"/>
      <c r="CC1363" s="80"/>
      <c r="CD1363" s="80"/>
      <c r="CE1363" s="80"/>
      <c r="CF1363" s="80"/>
      <c r="CG1363" s="80"/>
      <c r="CH1363" s="80"/>
      <c r="CI1363" s="80"/>
      <c r="CJ1363" s="80"/>
      <c r="CK1363" s="2"/>
    </row>
    <row r="1364" ht="12.75" customHeight="1">
      <c r="A1364" s="85">
        <f>IFERROR(__xludf.DUMMYFUNCTION("""COMPUTED_VALUE"""),1360.0)</f>
        <v>1360</v>
      </c>
      <c r="B1364" s="85"/>
      <c r="C1364" s="85"/>
      <c r="D1364" s="86">
        <f>IFERROR(__xludf.DUMMYFUNCTION("""COMPUTED_VALUE"""),46252.0)</f>
        <v>46252</v>
      </c>
      <c r="E1364" s="88"/>
      <c r="F1364" s="85"/>
      <c r="G1364" s="86">
        <f>IFERROR(__xludf.DUMMYFUNCTION("""COMPUTED_VALUE"""),46279.0)</f>
        <v>46279</v>
      </c>
      <c r="H1364" s="85"/>
      <c r="I1364" s="85"/>
      <c r="J1364" s="85"/>
      <c r="K1364" s="85"/>
      <c r="L1364" s="85">
        <f>IFERROR(__xludf.DUMMYFUNCTION("""COMPUTED_VALUE"""),27.0)</f>
        <v>27</v>
      </c>
      <c r="M1364" s="85"/>
      <c r="N1364" s="85"/>
      <c r="O1364" s="85"/>
      <c r="P1364" s="85" t="str">
        <f>IFERROR(__xludf.DUMMYFUNCTION("""COMPUTED_VALUE"""),"MUCSPA70105PSAAK")</f>
        <v>MUCSPA70105PSAAK</v>
      </c>
      <c r="Q1364" s="85" t="str">
        <f>IFERROR(__xludf.DUMMYFUNCTION("""COMPUTED_VALUE"""),"MUC AZKAR PRATAMA")</f>
        <v>MUC AZKAR PRATAMA</v>
      </c>
      <c r="R1364" s="85" t="str">
        <f>IFERROR(__xludf.DUMMYFUNCTION("""COMPUTED_VALUE"""),"MUC AZKAR PRATAMA")</f>
        <v>MUC AZKAR PRATAMA</v>
      </c>
      <c r="S1364" s="85" t="str">
        <f>IFERROR(__xludf.DUMMYFUNCTION("""COMPUTED_VALUE"""),"RADIUS SAPUTRA")</f>
        <v>RADIUS SAPUTRA</v>
      </c>
      <c r="T1364" s="85" t="str">
        <f>IFERROR(__xludf.DUMMYFUNCTION("""COMPUTED_VALUE"""),"JL. PERC. NEGARA II NO.5 RT.001/003 JOHAR BARU JOHAR BARU JAKARTA PUSAT")</f>
        <v>JL. PERC. NEGARA II NO.5 RT.001/003 JOHAR BARU JOHAR BARU JAKARTA PUSAT</v>
      </c>
      <c r="U1364" s="85" t="str">
        <f>IFERROR(__xludf.DUMMYFUNCTION("""COMPUTED_VALUE"""),"Jl. Percetakan Negara II No.5 2, RT.2/RW.4 Johar Baru")</f>
        <v>Jl. Percetakan Negara II No.5 2, RT.2/RW.4 Johar Baru</v>
      </c>
      <c r="V1364" s="85"/>
      <c r="W1364" s="85" t="str">
        <f>IFERROR(__xludf.DUMMYFUNCTION("""COMPUTED_VALUE"""),"Johar Baru")</f>
        <v>Johar Baru</v>
      </c>
      <c r="X1364" s="85" t="str">
        <f>IFERROR(__xludf.DUMMYFUNCTION("""COMPUTED_VALUE"""),"Johar Baru")</f>
        <v>Johar Baru</v>
      </c>
      <c r="Y1364" s="85" t="str">
        <f>IFERROR(__xludf.DUMMYFUNCTION("""COMPUTED_VALUE"""),"Jakarta Pusat")</f>
        <v>Jakarta Pusat</v>
      </c>
      <c r="Z1364" s="85" t="str">
        <f>IFERROR(__xludf.DUMMYFUNCTION("""COMPUTED_VALUE"""),"DKI Jakarta")</f>
        <v>DKI Jakarta</v>
      </c>
      <c r="AA1364" s="85" t="str">
        <f>IFERROR(__xludf.DUMMYFUNCTION("""COMPUTED_VALUE"""),"10560")</f>
        <v>10560</v>
      </c>
      <c r="AB1364" s="85" t="str">
        <f>IFERROR(__xludf.DUMMYFUNCTION("""COMPUTED_VALUE"""),"3171081909720004")</f>
        <v>3171081909720004</v>
      </c>
      <c r="AC1364" s="85" t="str">
        <f>IFERROR(__xludf.DUMMYFUNCTION("""COMPUTED_VALUE"""),"60.150.795.7-024.000")</f>
        <v>60.150.795.7-024.000</v>
      </c>
      <c r="AD1364" s="85" t="str">
        <f>IFERROR(__xludf.DUMMYFUNCTION("""COMPUTED_VALUE"""),"CUM - LP - ANGGI")</f>
        <v>CUM - LP - ANGGI</v>
      </c>
      <c r="AE1364" s="85" t="str">
        <f>IFERROR(__xludf.DUMMYFUNCTION("""COMPUTED_VALUE"""),"CUM - LP - ANGGI")</f>
        <v>CUM - LP - ANGGI</v>
      </c>
      <c r="AF1364" s="85" t="str">
        <f>IFERROR(__xludf.DUMMYFUNCTION("""COMPUTED_VALUE"""),"0895428257399")</f>
        <v>0895428257399</v>
      </c>
      <c r="AG1364" s="85" t="str">
        <f>IFERROR(__xludf.DUMMYFUNCTION("""COMPUTED_VALUE"""),"0895428257399")</f>
        <v>0895428257399</v>
      </c>
      <c r="AH1364" s="85" t="str">
        <f>IFERROR(__xludf.DUMMYFUNCTION("""COMPUTED_VALUE"""),"radiustami2406@gmail.com")</f>
        <v>radiustami2406@gmail.com</v>
      </c>
      <c r="AI1364" s="85" t="str">
        <f>IFERROR(__xludf.DUMMYFUNCTION("""COMPUTED_VALUE"""),"10560S2 ")</f>
        <v>10560S2 </v>
      </c>
      <c r="AJ1364" s="85" t="str">
        <f>IFERROR(__xludf.DUMMYFUNCTION("""COMPUTED_VALUE"""),"6aa79bfb51796a54a30efa31 ")</f>
        <v>6aa79bfb51796a54a30efa31 </v>
      </c>
      <c r="AK1364" s="85" t="str">
        <f>IFERROR(__xludf.DUMMYFUNCTION("""COMPUTED_VALUE"""),"radiustami2406@gmail.com")</f>
        <v>radiustami2406@gmail.com</v>
      </c>
      <c r="AL1364" s="85" t="str">
        <f>IFERROR(__xludf.DUMMYFUNCTION("""COMPUTED_VALUE"""),"#Muc10560S2$")</f>
        <v>#Muc10560S2$</v>
      </c>
      <c r="AM1364" s="85" t="str">
        <f>IFERROR(__xludf.DUMMYFUNCTION("""COMPUTED_VALUE"""),"KANTOR REGIONAL II JAKARTA 10004")</f>
        <v>KANTOR REGIONAL II JAKARTA 10004</v>
      </c>
      <c r="AN1364" s="85" t="str">
        <f>IFERROR(__xludf.DUMMYFUNCTION("""COMPUTED_VALUE"""),"KCU JAKARTACENTRUM 10000")</f>
        <v>KCU JAKARTACENTRUM 10000</v>
      </c>
      <c r="AO1364" s="85" t="str">
        <f>IFERROR(__xludf.DUMMYFUNCTION("""COMPUTED_VALUE"""),"1308260090074")</f>
        <v>1308260090074</v>
      </c>
      <c r="AP1364" s="85" t="str">
        <f>IFERROR(__xludf.DUMMYFUNCTION("""COMPUTED_VALUE"""),"1308260090074")</f>
        <v>1308260090074</v>
      </c>
      <c r="AQ1364" s="93" t="str">
        <f>IFERROR(__xludf.DUMMYFUNCTION("""COMPUTED_VALUE"""),"3420666224")</f>
        <v>3420666224</v>
      </c>
      <c r="AR1364" s="85" t="str">
        <f>IFERROR(__xludf.DUMMYFUNCTION("""COMPUTED_VALUE"""),"BCA")</f>
        <v>BCA</v>
      </c>
      <c r="AS1364" s="85" t="str">
        <f>IFERROR(__xludf.DUMMYFUNCTION("""COMPUTED_VALUE"""),"RADIUS SAPUTRA")</f>
        <v>RADIUS SAPUTRA</v>
      </c>
      <c r="AT1364" s="85" t="str">
        <f>IFERROR(__xludf.DUMMYFUNCTION("""COMPUTED_VALUE"""),"-6.184485,106.856108")</f>
        <v>-6.184485,106.856108</v>
      </c>
      <c r="AU1364" s="85" t="str">
        <f>IFERROR(__xludf.DUMMYFUNCTION("""COMPUTED_VALUE"""),"-6.184485,106.856108")</f>
        <v>-6.184485,106.856108</v>
      </c>
      <c r="AV1364" s="85"/>
      <c r="AW1364" s="85"/>
      <c r="AX1364" s="85"/>
      <c r="AY1364" s="85"/>
      <c r="AZ1364" s="85"/>
      <c r="BA1364" s="85"/>
      <c r="BB1364" s="85"/>
      <c r="BC1364" s="85"/>
      <c r="BD1364" s="85"/>
      <c r="BE1364" s="85"/>
      <c r="BF1364" s="85"/>
      <c r="BG1364" s="85"/>
      <c r="BH1364" s="85"/>
      <c r="BI1364" s="85"/>
      <c r="BJ1364" s="85"/>
      <c r="BK1364" s="85"/>
      <c r="BL1364" s="85"/>
      <c r="BM1364" s="85"/>
      <c r="BN1364" s="85"/>
      <c r="BO1364" s="85"/>
      <c r="BP1364" s="85"/>
      <c r="BQ1364" s="85"/>
      <c r="BR1364" s="85"/>
      <c r="BS1364" s="85"/>
      <c r="BT1364" s="85"/>
      <c r="BU1364" s="85"/>
      <c r="BV1364" s="85"/>
      <c r="BW1364" s="85"/>
      <c r="BX1364" s="85"/>
      <c r="BY1364" s="85"/>
      <c r="BZ1364" s="85"/>
      <c r="CA1364" s="85"/>
      <c r="CB1364" s="85"/>
      <c r="CC1364" s="85"/>
      <c r="CD1364" s="85"/>
      <c r="CE1364" s="85"/>
      <c r="CF1364" s="85"/>
      <c r="CG1364" s="85"/>
      <c r="CH1364" s="85"/>
      <c r="CI1364" s="85"/>
      <c r="CJ1364" s="85"/>
      <c r="CK1364" s="2"/>
    </row>
    <row r="1365" ht="12.75" customHeight="1">
      <c r="A1365" s="80">
        <f>IFERROR(__xludf.DUMMYFUNCTION("""COMPUTED_VALUE"""),1361.0)</f>
        <v>1361</v>
      </c>
      <c r="B1365" s="80"/>
      <c r="C1365" s="80"/>
      <c r="D1365" s="81">
        <f>IFERROR(__xludf.DUMMYFUNCTION("""COMPUTED_VALUE"""),46252.0)</f>
        <v>46252</v>
      </c>
      <c r="E1365" s="82"/>
      <c r="F1365" s="80"/>
      <c r="G1365" s="81"/>
      <c r="H1365" s="80"/>
      <c r="I1365" s="80"/>
      <c r="J1365" s="80"/>
      <c r="K1365" s="80"/>
      <c r="L1365" s="80"/>
      <c r="M1365" s="80"/>
      <c r="N1365" s="80"/>
      <c r="O1365" s="80"/>
      <c r="P1365" s="80" t="str">
        <f>IFERROR(__xludf.DUMMYFUNCTION("""COMPUTED_VALUE"""),"MUCSPA63661PSIND")</f>
        <v>MUCSPA63661PSIND</v>
      </c>
      <c r="Q1365" s="80" t="str">
        <f>IFERROR(__xludf.DUMMYFUNCTION("""COMPUTED_VALUE"""),"MUC Marlip Electric Express")</f>
        <v>MUC Marlip Electric Express</v>
      </c>
      <c r="R1365" s="80" t="str">
        <f>IFERROR(__xludf.DUMMYFUNCTION("""COMPUTED_VALUE"""),"MUC Marlip Electric Express")</f>
        <v>MUC Marlip Electric Express</v>
      </c>
      <c r="S1365" s="80" t="str">
        <f>IFERROR(__xludf.DUMMYFUNCTION("""COMPUTED_VALUE"""),"E RU'YAT SURYANINGRAT")</f>
        <v>E RU'YAT SURYANINGRAT</v>
      </c>
      <c r="T1365" s="80" t="str">
        <f>IFERROR(__xludf.DUMMYFUNCTION("""COMPUTED_VALUE"""),"JL. SRIKAYA 3 NO.11 RT 01 RW 09, KOTABARU, BEKASI BARAT, BEKASI")</f>
        <v>JL. SRIKAYA 3 NO.11 RT 01 RW 09, KOTABARU, BEKASI BARAT, BEKASI</v>
      </c>
      <c r="U1365" s="80" t="str">
        <f>IFERROR(__xludf.DUMMYFUNCTION("""COMPUTED_VALUE"""),"Ciomas River View Blok K16 RT 01 RW 09")</f>
        <v>Ciomas River View Blok K16 RT 01 RW 09</v>
      </c>
      <c r="V1365" s="80" t="str">
        <f>IFERROR(__xludf.DUMMYFUNCTION("""COMPUTED_VALUE"""),"RT 01  \ RW 09,")</f>
        <v>RT 01  \ RW 09,</v>
      </c>
      <c r="W1365" s="80" t="str">
        <f>IFERROR(__xludf.DUMMYFUNCTION("""COMPUTED_VALUE"""),"CIOMAS RAHAYU")</f>
        <v>CIOMAS RAHAYU</v>
      </c>
      <c r="X1365" s="80" t="str">
        <f>IFERROR(__xludf.DUMMYFUNCTION("""COMPUTED_VALUE"""),"CIOMAS")</f>
        <v>CIOMAS</v>
      </c>
      <c r="Y1365" s="80" t="str">
        <f>IFERROR(__xludf.DUMMYFUNCTION("""COMPUTED_VALUE"""),"KAB.BOGOR")</f>
        <v>KAB.BOGOR</v>
      </c>
      <c r="Z1365" s="80" t="str">
        <f>IFERROR(__xludf.DUMMYFUNCTION("""COMPUTED_VALUE"""),"JAWA BARAT")</f>
        <v>JAWA BARAT</v>
      </c>
      <c r="AA1365" s="80" t="str">
        <f>IFERROR(__xludf.DUMMYFUNCTION("""COMPUTED_VALUE"""),"16610")</f>
        <v>16610</v>
      </c>
      <c r="AB1365" s="80" t="str">
        <f>IFERROR(__xludf.DUMMYFUNCTION("""COMPUTED_VALUE"""),"3202150205810001")</f>
        <v>3202150205810001</v>
      </c>
      <c r="AC1365" s="80" t="str">
        <f>IFERROR(__xludf.DUMMYFUNCTION("""COMPUTED_VALUE"""),"70.887.090.2-404.000")</f>
        <v>70.887.090.2-404.000</v>
      </c>
      <c r="AD1365" s="80" t="str">
        <f>IFERROR(__xludf.DUMMYFUNCTION("""COMPUTED_VALUE"""),"CUM - PS - ASEPN")</f>
        <v>CUM - PS - ASEPN</v>
      </c>
      <c r="AE1365" s="80" t="str">
        <f>IFERROR(__xludf.DUMMYFUNCTION("""COMPUTED_VALUE"""),"CUM - PS - ASEPN")</f>
        <v>CUM - PS - ASEPN</v>
      </c>
      <c r="AF1365" s="80" t="str">
        <f>IFERROR(__xludf.DUMMYFUNCTION("""COMPUTED_VALUE"""),"081906538748")</f>
        <v>081906538748</v>
      </c>
      <c r="AG1365" s="80" t="str">
        <f>IFERROR(__xludf.DUMMYFUNCTION("""COMPUTED_VALUE"""),"081906538748")</f>
        <v>081906538748</v>
      </c>
      <c r="AH1365" s="80" t="str">
        <f>IFERROR(__xludf.DUMMYFUNCTION("""COMPUTED_VALUE"""),"ruyatsuryaningrat@gmail.com")</f>
        <v>ruyatsuryaningrat@gmail.com</v>
      </c>
      <c r="AI1365" s="80"/>
      <c r="AJ1365" s="80"/>
      <c r="AK1365" s="80"/>
      <c r="AL1365" s="80"/>
      <c r="AM1365" s="80" t="str">
        <f>IFERROR(__xludf.DUMMYFUNCTION("""COMPUTED_VALUE"""),"KANTOR REGIONAL II JAKARTA 10004")</f>
        <v>KANTOR REGIONAL II JAKARTA 10004</v>
      </c>
      <c r="AN1365" s="80" t="str">
        <f>IFERROR(__xludf.DUMMYFUNCTION("""COMPUTED_VALUE"""),"KCU BOGOR 16000")</f>
        <v>KCU BOGOR 16000</v>
      </c>
      <c r="AO1365" s="80" t="str">
        <f>IFERROR(__xludf.DUMMYFUNCTION("""COMPUTED_VALUE"""),"1408260064324")</f>
        <v>1408260064324</v>
      </c>
      <c r="AP1365" s="80" t="str">
        <f>IFERROR(__xludf.DUMMYFUNCTION("""COMPUTED_VALUE"""),"1408260064324")</f>
        <v>1408260064324</v>
      </c>
      <c r="AQ1365" s="83" t="str">
        <f>IFERROR(__xludf.DUMMYFUNCTION("""COMPUTED_VALUE"""),"8720768578")</f>
        <v>8720768578</v>
      </c>
      <c r="AR1365" s="80" t="str">
        <f>IFERROR(__xludf.DUMMYFUNCTION("""COMPUTED_VALUE"""),"BCA")</f>
        <v>BCA</v>
      </c>
      <c r="AS1365" s="80" t="str">
        <f>IFERROR(__xludf.DUMMYFUNCTION("""COMPUTED_VALUE"""),"E RU'YAT SURYANINGRAT")</f>
        <v>E RU'YAT SURYANINGRAT</v>
      </c>
      <c r="AT1365" s="80" t="str">
        <f>IFERROR(__xludf.DUMMYFUNCTION("""COMPUTED_VALUE"""),"-65,984,722")</f>
        <v>-65,984,722</v>
      </c>
      <c r="AU1365" s="80" t="str">
        <f>IFERROR(__xludf.DUMMYFUNCTION("""COMPUTED_VALUE"""),"10,676,925")</f>
        <v>10,676,925</v>
      </c>
      <c r="AV1365" s="80"/>
      <c r="AW1365" s="80"/>
      <c r="AX1365" s="80"/>
      <c r="AY1365" s="80"/>
      <c r="AZ1365" s="80"/>
      <c r="BA1365" s="80"/>
      <c r="BB1365" s="80"/>
      <c r="BC1365" s="80"/>
      <c r="BD1365" s="80"/>
      <c r="BE1365" s="80"/>
      <c r="BF1365" s="80"/>
      <c r="BG1365" s="80"/>
      <c r="BH1365" s="80"/>
      <c r="BI1365" s="80"/>
      <c r="BJ1365" s="80"/>
      <c r="BK1365" s="80"/>
      <c r="BL1365" s="80"/>
      <c r="BM1365" s="80"/>
      <c r="BN1365" s="80"/>
      <c r="BO1365" s="80"/>
      <c r="BP1365" s="80"/>
      <c r="BQ1365" s="80"/>
      <c r="BR1365" s="80"/>
      <c r="BS1365" s="80"/>
      <c r="BT1365" s="80"/>
      <c r="BU1365" s="80"/>
      <c r="BV1365" s="80"/>
      <c r="BW1365" s="80"/>
      <c r="BX1365" s="80"/>
      <c r="BY1365" s="80"/>
      <c r="BZ1365" s="80"/>
      <c r="CA1365" s="80"/>
      <c r="CB1365" s="80"/>
      <c r="CC1365" s="80"/>
      <c r="CD1365" s="80"/>
      <c r="CE1365" s="80"/>
      <c r="CF1365" s="80"/>
      <c r="CG1365" s="80"/>
      <c r="CH1365" s="80"/>
      <c r="CI1365" s="80"/>
      <c r="CJ1365" s="80"/>
      <c r="CK1365" s="2"/>
    </row>
    <row r="1366" ht="12.75" customHeight="1">
      <c r="A1366" s="85">
        <f>IFERROR(__xludf.DUMMYFUNCTION("""COMPUTED_VALUE"""),1362.0)</f>
        <v>1362</v>
      </c>
      <c r="B1366" s="85"/>
      <c r="C1366" s="85"/>
      <c r="D1366" s="86">
        <f>IFERROR(__xludf.DUMMYFUNCTION("""COMPUTED_VALUE"""),46252.0)</f>
        <v>46252</v>
      </c>
      <c r="E1366" s="88"/>
      <c r="F1366" s="85"/>
      <c r="G1366" s="86">
        <f>IFERROR(__xludf.DUMMYFUNCTION("""COMPUTED_VALUE"""),46279.0)</f>
        <v>46279</v>
      </c>
      <c r="H1366" s="85"/>
      <c r="I1366" s="85"/>
      <c r="J1366" s="85"/>
      <c r="K1366" s="85"/>
      <c r="L1366" s="85">
        <f>IFERROR(__xludf.DUMMYFUNCTION("""COMPUTED_VALUE"""),27.0)</f>
        <v>27</v>
      </c>
      <c r="M1366" s="85"/>
      <c r="N1366" s="85"/>
      <c r="O1366" s="85"/>
      <c r="P1366" s="85" t="str">
        <f>IFERROR(__xludf.DUMMYFUNCTION("""COMPUTED_VALUE"""),"MUCSPA70104PSAAK")</f>
        <v>MUCSPA70104PSAAK</v>
      </c>
      <c r="Q1366" s="85" t="str">
        <f>IFERROR(__xludf.DUMMYFUNCTION("""COMPUTED_VALUE"""),"MUC PASIRJAMBU")</f>
        <v>MUC PASIRJAMBU</v>
      </c>
      <c r="R1366" s="85" t="str">
        <f>IFERROR(__xludf.DUMMYFUNCTION("""COMPUTED_VALUE"""),"MUC PASIRJAMBU")</f>
        <v>MUC PASIRJAMBU</v>
      </c>
      <c r="S1366" s="85" t="str">
        <f>IFERROR(__xludf.DUMMYFUNCTION("""COMPUTED_VALUE"""),"GALIH RIZKA DARMAWAN")</f>
        <v>GALIH RIZKA DARMAWAN</v>
      </c>
      <c r="T1366" s="85" t="str">
        <f>IFERROR(__xludf.DUMMYFUNCTION("""COMPUTED_VALUE"""),"KP CISONDARI RT 05 RW 01, CISONDARI, PASIRJAMBU, KAB.BANDUNG")</f>
        <v>KP CISONDARI RT 05 RW 01, CISONDARI, PASIRJAMBU, KAB.BANDUNG</v>
      </c>
      <c r="U1366" s="85" t="str">
        <f>IFERROR(__xludf.DUMMYFUNCTION("""COMPUTED_VALUE"""),"JL. PROPINSI NO.61 RT.05 RW.01")</f>
        <v>JL. PROPINSI NO.61 RT.05 RW.01</v>
      </c>
      <c r="V1366" s="85" t="str">
        <f>IFERROR(__xludf.DUMMYFUNCTION("""COMPUTED_VALUE"""),"RT 05  \ RW 01,")</f>
        <v>RT 05  \ RW 01,</v>
      </c>
      <c r="W1366" s="85" t="str">
        <f>IFERROR(__xludf.DUMMYFUNCTION("""COMPUTED_VALUE"""),"CISONDARI")</f>
        <v>CISONDARI</v>
      </c>
      <c r="X1366" s="85" t="str">
        <f>IFERROR(__xludf.DUMMYFUNCTION("""COMPUTED_VALUE"""),"PASIRJAMBU")</f>
        <v>PASIRJAMBU</v>
      </c>
      <c r="Y1366" s="85" t="str">
        <f>IFERROR(__xludf.DUMMYFUNCTION("""COMPUTED_VALUE"""),"KAB.BANDUNG")</f>
        <v>KAB.BANDUNG</v>
      </c>
      <c r="Z1366" s="85" t="str">
        <f>IFERROR(__xludf.DUMMYFUNCTION("""COMPUTED_VALUE"""),"JAWA BARAT")</f>
        <v>JAWA BARAT</v>
      </c>
      <c r="AA1366" s="85" t="str">
        <f>IFERROR(__xludf.DUMMYFUNCTION("""COMPUTED_VALUE"""),"40972")</f>
        <v>40972</v>
      </c>
      <c r="AB1366" s="85" t="str">
        <f>IFERROR(__xludf.DUMMYFUNCTION("""COMPUTED_VALUE"""),"3204381807940001")</f>
        <v>3204381807940001</v>
      </c>
      <c r="AC1366" s="85" t="str">
        <f>IFERROR(__xludf.DUMMYFUNCTION("""COMPUTED_VALUE"""),"82.991.703.8-445.000")</f>
        <v>82.991.703.8-445.000</v>
      </c>
      <c r="AD1366" s="85" t="str">
        <f>IFERROR(__xludf.DUMMYFUNCTION("""COMPUTED_VALUE"""),"CUM - LP - ANGGI")</f>
        <v>CUM - LP - ANGGI</v>
      </c>
      <c r="AE1366" s="85" t="str">
        <f>IFERROR(__xludf.DUMMYFUNCTION("""COMPUTED_VALUE"""),"CUM - LP - ANGGI")</f>
        <v>CUM - LP - ANGGI</v>
      </c>
      <c r="AF1366" s="85" t="str">
        <f>IFERROR(__xludf.DUMMYFUNCTION("""COMPUTED_VALUE"""),"082126228256")</f>
        <v>082126228256</v>
      </c>
      <c r="AG1366" s="85" t="str">
        <f>IFERROR(__xludf.DUMMYFUNCTION("""COMPUTED_VALUE"""),"082126228256")</f>
        <v>082126228256</v>
      </c>
      <c r="AH1366" s="85" t="str">
        <f>IFERROR(__xludf.DUMMYFUNCTION("""COMPUTED_VALUE"""),"galihrd94@gmail.com")</f>
        <v>galihrd94@gmail.com</v>
      </c>
      <c r="AI1366" s="85" t="str">
        <f>IFERROR(__xludf.DUMMYFUNCTION("""COMPUTED_VALUE"""),"40364S1 ")</f>
        <v>40364S1 </v>
      </c>
      <c r="AJ1366" s="85" t="str">
        <f>IFERROR(__xludf.DUMMYFUNCTION("""COMPUTED_VALUE"""),"6aa514c96be22a4f290bff38 ")</f>
        <v>6aa514c96be22a4f290bff38 </v>
      </c>
      <c r="AK1366" s="85" t="str">
        <f>IFERROR(__xludf.DUMMYFUNCTION("""COMPUTED_VALUE"""),"galihrd94@gmail.com")</f>
        <v>galihrd94@gmail.com</v>
      </c>
      <c r="AL1366" s="85" t="str">
        <f>IFERROR(__xludf.DUMMYFUNCTION("""COMPUTED_VALUE"""),"#Muc40364S1$")</f>
        <v>#Muc40364S1$</v>
      </c>
      <c r="AM1366" s="85" t="str">
        <f>IFERROR(__xludf.DUMMYFUNCTION("""COMPUTED_VALUE"""),"KANTOR REGIONAL III BANDUNG 40004")</f>
        <v>KANTOR REGIONAL III BANDUNG 40004</v>
      </c>
      <c r="AN1366" s="85" t="str">
        <f>IFERROR(__xludf.DUMMYFUNCTION("""COMPUTED_VALUE"""),"KC SOREANG 40900")</f>
        <v>KC SOREANG 40900</v>
      </c>
      <c r="AO1366" s="85" t="str">
        <f>IFERROR(__xludf.DUMMYFUNCTION("""COMPUTED_VALUE"""),"1211000130867")</f>
        <v>1211000130867</v>
      </c>
      <c r="AP1366" s="85" t="str">
        <f>IFERROR(__xludf.DUMMYFUNCTION("""COMPUTED_VALUE"""),"1211000130867")</f>
        <v>1211000130867</v>
      </c>
      <c r="AQ1366" s="93" t="str">
        <f>IFERROR(__xludf.DUMMYFUNCTION("""COMPUTED_VALUE"""),"0838256767")</f>
        <v>0838256767</v>
      </c>
      <c r="AR1366" s="85" t="str">
        <f>IFERROR(__xludf.DUMMYFUNCTION("""COMPUTED_VALUE"""),"BNI")</f>
        <v>BNI</v>
      </c>
      <c r="AS1366" s="85" t="str">
        <f>IFERROR(__xludf.DUMMYFUNCTION("""COMPUTED_VALUE"""),"GALIH RIZKA DARMAWAN")</f>
        <v>GALIH RIZKA DARMAWAN</v>
      </c>
      <c r="AT1366" s="85" t="str">
        <f>IFERROR(__xludf.DUMMYFUNCTION("""COMPUTED_VALUE"""),"-7.0848412,107.468124")</f>
        <v>-7.0848412,107.468124</v>
      </c>
      <c r="AU1366" s="85" t="str">
        <f>IFERROR(__xludf.DUMMYFUNCTION("""COMPUTED_VALUE"""),"-7.0848412,107.468124")</f>
        <v>-7.0848412,107.468124</v>
      </c>
      <c r="AV1366" s="85"/>
      <c r="AW1366" s="85"/>
      <c r="AX1366" s="85"/>
      <c r="AY1366" s="85"/>
      <c r="AZ1366" s="85"/>
      <c r="BA1366" s="85"/>
      <c r="BB1366" s="85"/>
      <c r="BC1366" s="85"/>
      <c r="BD1366" s="85"/>
      <c r="BE1366" s="85"/>
      <c r="BF1366" s="85"/>
      <c r="BG1366" s="85"/>
      <c r="BH1366" s="85"/>
      <c r="BI1366" s="85"/>
      <c r="BJ1366" s="85"/>
      <c r="BK1366" s="85"/>
      <c r="BL1366" s="85"/>
      <c r="BM1366" s="85"/>
      <c r="BN1366" s="85"/>
      <c r="BO1366" s="85"/>
      <c r="BP1366" s="85"/>
      <c r="BQ1366" s="85"/>
      <c r="BR1366" s="85"/>
      <c r="BS1366" s="85"/>
      <c r="BT1366" s="85"/>
      <c r="BU1366" s="85"/>
      <c r="BV1366" s="85"/>
      <c r="BW1366" s="85"/>
      <c r="BX1366" s="85"/>
      <c r="BY1366" s="85"/>
      <c r="BZ1366" s="85"/>
      <c r="CA1366" s="85"/>
      <c r="CB1366" s="85"/>
      <c r="CC1366" s="85"/>
      <c r="CD1366" s="85"/>
      <c r="CE1366" s="85"/>
      <c r="CF1366" s="85"/>
      <c r="CG1366" s="85"/>
      <c r="CH1366" s="85"/>
      <c r="CI1366" s="85"/>
      <c r="CJ1366" s="85"/>
      <c r="CK1366" s="2"/>
    </row>
    <row r="1367" ht="12.75" customHeight="1">
      <c r="A1367" s="80">
        <f>IFERROR(__xludf.DUMMYFUNCTION("""COMPUTED_VALUE"""),1363.0)</f>
        <v>1363</v>
      </c>
      <c r="B1367" s="80"/>
      <c r="C1367" s="80"/>
      <c r="D1367" s="81">
        <f>IFERROR(__xludf.DUMMYFUNCTION("""COMPUTED_VALUE"""),46252.0)</f>
        <v>46252</v>
      </c>
      <c r="E1367" s="82"/>
      <c r="F1367" s="80"/>
      <c r="G1367" s="81">
        <f>IFERROR(__xludf.DUMMYFUNCTION("""COMPUTED_VALUE"""),46265.0)</f>
        <v>46265</v>
      </c>
      <c r="H1367" s="80"/>
      <c r="I1367" s="80"/>
      <c r="J1367" s="80"/>
      <c r="K1367" s="80"/>
      <c r="L1367" s="80">
        <f>IFERROR(__xludf.DUMMYFUNCTION("""COMPUTED_VALUE"""),13.0)</f>
        <v>13</v>
      </c>
      <c r="M1367" s="80"/>
      <c r="N1367" s="80"/>
      <c r="O1367" s="80"/>
      <c r="P1367" s="80" t="str">
        <f>IFERROR(__xludf.DUMMYFUNCTION("""COMPUTED_VALUE"""),"MUCSPA70094PSLDI")</f>
        <v>MUCSPA70094PSLDI</v>
      </c>
      <c r="Q1367" s="80" t="str">
        <f>IFERROR(__xludf.DUMMYFUNCTION("""COMPUTED_VALUE"""),"MUC MITRA EXPRESSPOINT")</f>
        <v>MUC MITRA EXPRESSPOINT</v>
      </c>
      <c r="R1367" s="80" t="str">
        <f>IFERROR(__xludf.DUMMYFUNCTION("""COMPUTED_VALUE"""),"MUC MITRA EXPRESSPOINT")</f>
        <v>MUC MITRA EXPRESSPOINT</v>
      </c>
      <c r="S1367" s="80" t="str">
        <f>IFERROR(__xludf.DUMMYFUNCTION("""COMPUTED_VALUE"""),"TEUKU AULIA NADZANIAL ABDILLAH")</f>
        <v>TEUKU AULIA NADZANIAL ABDILLAH</v>
      </c>
      <c r="T1367" s="80" t="str">
        <f>IFERROR(__xludf.DUMMYFUNCTION("""COMPUTED_VALUE"""),"Jl. Pasir Putih D No.82 RT 001 RW 009 Sepanjang Jaya, Rawalumbu Bekasi")</f>
        <v>Jl. Pasir Putih D No.82 RT 001 RW 009 Sepanjang Jaya, Rawalumbu Bekasi</v>
      </c>
      <c r="U1367" s="80" t="str">
        <f>IFERROR(__xludf.DUMMYFUNCTION("""COMPUTED_VALUE"""),"Jl. Jatayu 4 Blok F No.22 RT 009 RW 013")</f>
        <v>Jl. Jatayu 4 Blok F No.22 RT 009 RW 013</v>
      </c>
      <c r="V1367" s="80" t="str">
        <f>IFERROR(__xludf.DUMMYFUNCTION("""COMPUTED_VALUE"""),"RT 001 \ RW 009")</f>
        <v>RT 001 \ RW 009</v>
      </c>
      <c r="W1367" s="80" t="str">
        <f>IFERROR(__xludf.DUMMYFUNCTION("""COMPUTED_VALUE"""),"Margahayu")</f>
        <v>Margahayu</v>
      </c>
      <c r="X1367" s="80" t="str">
        <f>IFERROR(__xludf.DUMMYFUNCTION("""COMPUTED_VALUE"""),"Bekasi Timur")</f>
        <v>Bekasi Timur</v>
      </c>
      <c r="Y1367" s="80" t="str">
        <f>IFERROR(__xludf.DUMMYFUNCTION("""COMPUTED_VALUE"""),"Kota Bekasi")</f>
        <v>Kota Bekasi</v>
      </c>
      <c r="Z1367" s="80" t="str">
        <f>IFERROR(__xludf.DUMMYFUNCTION("""COMPUTED_VALUE"""),"Jawa Barat")</f>
        <v>Jawa Barat</v>
      </c>
      <c r="AA1367" s="80" t="str">
        <f>IFERROR(__xludf.DUMMYFUNCTION("""COMPUTED_VALUE"""),"17113")</f>
        <v>17113</v>
      </c>
      <c r="AB1367" s="80" t="str">
        <f>IFERROR(__xludf.DUMMYFUNCTION("""COMPUTED_VALUE"""),"3275012104950012")</f>
        <v>3275012104950012</v>
      </c>
      <c r="AC1367" s="80" t="str">
        <f>IFERROR(__xludf.DUMMYFUNCTION("""COMPUTED_VALUE"""),"94.314.557.3-407.000")</f>
        <v>94.314.557.3-407.000</v>
      </c>
      <c r="AD1367" s="80" t="str">
        <f>IFERROR(__xludf.DUMMYFUNCTION("""COMPUTED_VALUE"""),"CUM - LDI - KOPUBGBS")</f>
        <v>CUM - LDI - KOPUBGBS</v>
      </c>
      <c r="AE1367" s="80" t="str">
        <f>IFERROR(__xludf.DUMMYFUNCTION("""COMPUTED_VALUE"""),"CUM - LDI - KOPUBGBS")</f>
        <v>CUM - LDI - KOPUBGBS</v>
      </c>
      <c r="AF1367" s="80" t="str">
        <f>IFERROR(__xludf.DUMMYFUNCTION("""COMPUTED_VALUE"""),"081284207800")</f>
        <v>081284207800</v>
      </c>
      <c r="AG1367" s="80" t="str">
        <f>IFERROR(__xludf.DUMMYFUNCTION("""COMPUTED_VALUE"""),"081284207800")</f>
        <v>081284207800</v>
      </c>
      <c r="AH1367" s="80" t="str">
        <f>IFERROR(__xludf.DUMMYFUNCTION("""COMPUTED_VALUE"""),"aulnadza@gmail.com")</f>
        <v>aulnadza@gmail.com</v>
      </c>
      <c r="AI1367" s="80" t="str">
        <f>IFERROR(__xludf.DUMMYFUNCTION("""COMPUTED_VALUE"""),"17113S6")</f>
        <v>17113S6</v>
      </c>
      <c r="AJ1367" s="80" t="str">
        <f>IFERROR(__xludf.DUMMYFUNCTION("""COMPUTED_VALUE"""),"6a8fa83fb40717945803969d")</f>
        <v>6a8fa83fb40717945803969d</v>
      </c>
      <c r="AK1367" s="80" t="str">
        <f>IFERROR(__xludf.DUMMYFUNCTION("""COMPUTED_VALUE"""),"aulnadza@gmail.com")</f>
        <v>aulnadza@gmail.com</v>
      </c>
      <c r="AL1367" s="80" t="str">
        <f>IFERROR(__xludf.DUMMYFUNCTION("""COMPUTED_VALUE"""),"#Muc17113S6$")</f>
        <v>#Muc17113S6$</v>
      </c>
      <c r="AM1367" s="80" t="str">
        <f>IFERROR(__xludf.DUMMYFUNCTION("""COMPUTED_VALUE"""),"KANTOR REGIONAL II JAKARTA 10004")</f>
        <v>KANTOR REGIONAL II JAKARTA 10004</v>
      </c>
      <c r="AN1367" s="80" t="str">
        <f>IFERROR(__xludf.DUMMYFUNCTION("""COMPUTED_VALUE"""),"KCU BEKASI 17000")</f>
        <v>KCU BEKASI 17000</v>
      </c>
      <c r="AO1367" s="80" t="str">
        <f>IFERROR(__xludf.DUMMYFUNCTION("""COMPUTED_VALUE"""),"1308260083122")</f>
        <v>1308260083122</v>
      </c>
      <c r="AP1367" s="80" t="str">
        <f>IFERROR(__xludf.DUMMYFUNCTION("""COMPUTED_VALUE"""),"1308260083122")</f>
        <v>1308260083122</v>
      </c>
      <c r="AQ1367" s="83" t="str">
        <f>IFERROR(__xludf.DUMMYFUNCTION("""COMPUTED_VALUE"""),"8850953318")</f>
        <v>8850953318</v>
      </c>
      <c r="AR1367" s="80" t="str">
        <f>IFERROR(__xludf.DUMMYFUNCTION("""COMPUTED_VALUE"""),"BCA")</f>
        <v>BCA</v>
      </c>
      <c r="AS1367" s="80" t="str">
        <f>IFERROR(__xludf.DUMMYFUNCTION("""COMPUTED_VALUE"""),"TEUKU AULIA NADZANIAL ABDILLAH")</f>
        <v>TEUKU AULIA NADZANIAL ABDILLAH</v>
      </c>
      <c r="AT1367" s="80" t="str">
        <f>IFERROR(__xludf.DUMMYFUNCTION("""COMPUTED_VALUE"""),"-6.252464,107.0249882")</f>
        <v>-6.252464,107.0249882</v>
      </c>
      <c r="AU1367" s="80" t="str">
        <f>IFERROR(__xludf.DUMMYFUNCTION("""COMPUTED_VALUE"""),"-6.252464,107.0249882")</f>
        <v>-6.252464,107.0249882</v>
      </c>
      <c r="AV1367" s="80"/>
      <c r="AW1367" s="80"/>
      <c r="AX1367" s="80"/>
      <c r="AY1367" s="80"/>
      <c r="AZ1367" s="80"/>
      <c r="BA1367" s="80"/>
      <c r="BB1367" s="80"/>
      <c r="BC1367" s="80"/>
      <c r="BD1367" s="80"/>
      <c r="BE1367" s="80"/>
      <c r="BF1367" s="80"/>
      <c r="BG1367" s="80"/>
      <c r="BH1367" s="80"/>
      <c r="BI1367" s="80"/>
      <c r="BJ1367" s="80"/>
      <c r="BK1367" s="80"/>
      <c r="BL1367" s="80"/>
      <c r="BM1367" s="80"/>
      <c r="BN1367" s="80"/>
      <c r="BO1367" s="80"/>
      <c r="BP1367" s="80"/>
      <c r="BQ1367" s="80"/>
      <c r="BR1367" s="80"/>
      <c r="BS1367" s="80"/>
      <c r="BT1367" s="80"/>
      <c r="BU1367" s="80"/>
      <c r="BV1367" s="80"/>
      <c r="BW1367" s="80"/>
      <c r="BX1367" s="80"/>
      <c r="BY1367" s="80"/>
      <c r="BZ1367" s="80"/>
      <c r="CA1367" s="80"/>
      <c r="CB1367" s="80"/>
      <c r="CC1367" s="80"/>
      <c r="CD1367" s="80"/>
      <c r="CE1367" s="80"/>
      <c r="CF1367" s="80"/>
      <c r="CG1367" s="80"/>
      <c r="CH1367" s="80"/>
      <c r="CI1367" s="80"/>
      <c r="CJ1367" s="80"/>
      <c r="CK1367" s="2"/>
    </row>
    <row r="1368" ht="12.75" customHeight="1">
      <c r="A1368" s="85">
        <f>IFERROR(__xludf.DUMMYFUNCTION("""COMPUTED_VALUE"""),1364.0)</f>
        <v>1364</v>
      </c>
      <c r="B1368" s="85"/>
      <c r="C1368" s="85"/>
      <c r="D1368" s="86">
        <f>IFERROR(__xludf.DUMMYFUNCTION("""COMPUTED_VALUE"""),46252.0)</f>
        <v>46252</v>
      </c>
      <c r="E1368" s="88"/>
      <c r="F1368" s="85"/>
      <c r="G1368" s="86">
        <f>IFERROR(__xludf.DUMMYFUNCTION("""COMPUTED_VALUE"""),46279.0)</f>
        <v>46279</v>
      </c>
      <c r="H1368" s="85"/>
      <c r="I1368" s="85"/>
      <c r="J1368" s="85"/>
      <c r="K1368" s="85"/>
      <c r="L1368" s="85">
        <f>IFERROR(__xludf.DUMMYFUNCTION("""COMPUTED_VALUE"""),27.0)</f>
        <v>27</v>
      </c>
      <c r="M1368" s="85"/>
      <c r="N1368" s="85"/>
      <c r="O1368" s="85"/>
      <c r="P1368" s="85" t="str">
        <f>IFERROR(__xludf.DUMMYFUNCTION("""COMPUTED_VALUE"""),"MUCSPA70106PSAAK")</f>
        <v>MUCSPA70106PSAAK</v>
      </c>
      <c r="Q1368" s="85" t="str">
        <f>IFERROR(__xludf.DUMMYFUNCTION("""COMPUTED_VALUE"""),"MUC Kranggan Jatisampurna")</f>
        <v>MUC Kranggan Jatisampurna</v>
      </c>
      <c r="R1368" s="85" t="str">
        <f>IFERROR(__xludf.DUMMYFUNCTION("""COMPUTED_VALUE"""),"MUC Kranggan Jatisampurna")</f>
        <v>MUC Kranggan Jatisampurna</v>
      </c>
      <c r="S1368" s="85" t="str">
        <f>IFERROR(__xludf.DUMMYFUNCTION("""COMPUTED_VALUE"""),"CIPTA NUR HIDAYAT")</f>
        <v>CIPTA NUR HIDAYAT</v>
      </c>
      <c r="T1368" s="85" t="str">
        <f>IFERROR(__xludf.DUMMYFUNCTION("""COMPUTED_VALUE"""),"Jl. Penganten Ali VIII No.21 RT 09 RW 06 Ciracas, Jakarta Timur")</f>
        <v>Jl. Penganten Ali VIII No.21 RT 09 RW 06 Ciracas, Jakarta Timur</v>
      </c>
      <c r="U1368" s="85" t="str">
        <f>IFERROR(__xludf.DUMMYFUNCTION("""COMPUTED_VALUE"""),"Jl. Kranggan Raya, RT.001/RW.008, Jatiraden, Jatisampurna Bekasi")</f>
        <v>Jl. Kranggan Raya, RT.001/RW.008, Jatiraden, Jatisampurna Bekasi</v>
      </c>
      <c r="V1368" s="85" t="str">
        <f>IFERROR(__xludf.DUMMYFUNCTION("""COMPUTED_VALUE"""),"RT 09  \ RW 06")</f>
        <v>RT 09  \ RW 06</v>
      </c>
      <c r="W1368" s="85" t="str">
        <f>IFERROR(__xludf.DUMMYFUNCTION("""COMPUTED_VALUE"""),"Jatiraden")</f>
        <v>Jatiraden</v>
      </c>
      <c r="X1368" s="85" t="str">
        <f>IFERROR(__xludf.DUMMYFUNCTION("""COMPUTED_VALUE"""),"Jatisampurna")</f>
        <v>Jatisampurna</v>
      </c>
      <c r="Y1368" s="85" t="str">
        <f>IFERROR(__xludf.DUMMYFUNCTION("""COMPUTED_VALUE"""),"Bekasi")</f>
        <v>Bekasi</v>
      </c>
      <c r="Z1368" s="85" t="str">
        <f>IFERROR(__xludf.DUMMYFUNCTION("""COMPUTED_VALUE"""),"Jawa Barat")</f>
        <v>Jawa Barat</v>
      </c>
      <c r="AA1368" s="85" t="str">
        <f>IFERROR(__xludf.DUMMYFUNCTION("""COMPUTED_VALUE"""),"17433")</f>
        <v>17433</v>
      </c>
      <c r="AB1368" s="85" t="str">
        <f>IFERROR(__xludf.DUMMYFUNCTION("""COMPUTED_VALUE"""),"3175091610810002")</f>
        <v>3175091610810002</v>
      </c>
      <c r="AC1368" s="85" t="str">
        <f>IFERROR(__xludf.DUMMYFUNCTION("""COMPUTED_VALUE"""),"57.760.029.9-009.000")</f>
        <v>57.760.029.9-009.000</v>
      </c>
      <c r="AD1368" s="85" t="str">
        <f>IFERROR(__xludf.DUMMYFUNCTION("""COMPUTED_VALUE"""),"CUM - LP - ANGGI")</f>
        <v>CUM - LP - ANGGI</v>
      </c>
      <c r="AE1368" s="85" t="str">
        <f>IFERROR(__xludf.DUMMYFUNCTION("""COMPUTED_VALUE"""),"CUM - LP - ANGGI")</f>
        <v>CUM - LP - ANGGI</v>
      </c>
      <c r="AF1368" s="85" t="str">
        <f>IFERROR(__xludf.DUMMYFUNCTION("""COMPUTED_VALUE"""),"081380966966")</f>
        <v>081380966966</v>
      </c>
      <c r="AG1368" s="85" t="str">
        <f>IFERROR(__xludf.DUMMYFUNCTION("""COMPUTED_VALUE"""),"081380966966")</f>
        <v>081380966966</v>
      </c>
      <c r="AH1368" s="85" t="str">
        <f>IFERROR(__xludf.DUMMYFUNCTION("""COMPUTED_VALUE"""),"ciptafenomena@gmail.com")</f>
        <v>ciptafenomena@gmail.com</v>
      </c>
      <c r="AI1368" s="85" t="str">
        <f>IFERROR(__xludf.DUMMYFUNCTION("""COMPUTED_VALUE"""),"17436S3 ")</f>
        <v>17436S3 </v>
      </c>
      <c r="AJ1368" s="85" t="str">
        <f>IFERROR(__xludf.DUMMYFUNCTION("""COMPUTED_VALUE"""),"6aa7674500e46aee020781d8 ")</f>
        <v>6aa7674500e46aee020781d8 </v>
      </c>
      <c r="AK1368" s="85" t="str">
        <f>IFERROR(__xludf.DUMMYFUNCTION("""COMPUTED_VALUE"""),"ciptafenomena@gmail.com")</f>
        <v>ciptafenomena@gmail.com</v>
      </c>
      <c r="AL1368" s="85" t="str">
        <f>IFERROR(__xludf.DUMMYFUNCTION("""COMPUTED_VALUE"""),"#Muc17436S3$")</f>
        <v>#Muc17436S3$</v>
      </c>
      <c r="AM1368" s="85" t="str">
        <f>IFERROR(__xludf.DUMMYFUNCTION("""COMPUTED_VALUE"""),"KANTOR REGIONAL II JAKARTA 10004")</f>
        <v>KANTOR REGIONAL II JAKARTA 10004</v>
      </c>
      <c r="AN1368" s="85" t="str">
        <f>IFERROR(__xludf.DUMMYFUNCTION("""COMPUTED_VALUE"""),"KCU BEKASI 17000")</f>
        <v>KCU BEKASI 17000</v>
      </c>
      <c r="AO1368" s="85" t="str">
        <f>IFERROR(__xludf.DUMMYFUNCTION("""COMPUTED_VALUE"""),"1808260035161")</f>
        <v>1808260035161</v>
      </c>
      <c r="AP1368" s="85" t="str">
        <f>IFERROR(__xludf.DUMMYFUNCTION("""COMPUTED_VALUE"""),"1808260035161")</f>
        <v>1808260035161</v>
      </c>
      <c r="AQ1368" s="93" t="str">
        <f>IFERROR(__xludf.DUMMYFUNCTION("""COMPUTED_VALUE"""),"1290096609660")</f>
        <v>1290096609660</v>
      </c>
      <c r="AR1368" s="85" t="str">
        <f>IFERROR(__xludf.DUMMYFUNCTION("""COMPUTED_VALUE"""),"MANDIRI")</f>
        <v>MANDIRI</v>
      </c>
      <c r="AS1368" s="85" t="str">
        <f>IFERROR(__xludf.DUMMYFUNCTION("""COMPUTED_VALUE"""),"CIPTA NUR HIDAYAT SH")</f>
        <v>CIPTA NUR HIDAYAT SH</v>
      </c>
      <c r="AT1368" s="85" t="str">
        <f>IFERROR(__xludf.DUMMYFUNCTION("""COMPUTED_VALUE"""),"-6.3535845,106.9252815")</f>
        <v>-6.3535845,106.9252815</v>
      </c>
      <c r="AU1368" s="85" t="str">
        <f>IFERROR(__xludf.DUMMYFUNCTION("""COMPUTED_VALUE"""),"-6.3535845,106.9252815")</f>
        <v>-6.3535845,106.9252815</v>
      </c>
      <c r="AV1368" s="85"/>
      <c r="AW1368" s="85"/>
      <c r="AX1368" s="85"/>
      <c r="AY1368" s="85"/>
      <c r="AZ1368" s="85"/>
      <c r="BA1368" s="85"/>
      <c r="BB1368" s="85"/>
      <c r="BC1368" s="85"/>
      <c r="BD1368" s="85"/>
      <c r="BE1368" s="85"/>
      <c r="BF1368" s="85"/>
      <c r="BG1368" s="85"/>
      <c r="BH1368" s="85"/>
      <c r="BI1368" s="85"/>
      <c r="BJ1368" s="85"/>
      <c r="BK1368" s="85"/>
      <c r="BL1368" s="85"/>
      <c r="BM1368" s="85"/>
      <c r="BN1368" s="85"/>
      <c r="BO1368" s="85"/>
      <c r="BP1368" s="85"/>
      <c r="BQ1368" s="85"/>
      <c r="BR1368" s="85"/>
      <c r="BS1368" s="85"/>
      <c r="BT1368" s="85"/>
      <c r="BU1368" s="85"/>
      <c r="BV1368" s="85"/>
      <c r="BW1368" s="85"/>
      <c r="BX1368" s="85"/>
      <c r="BY1368" s="85"/>
      <c r="BZ1368" s="85"/>
      <c r="CA1368" s="85"/>
      <c r="CB1368" s="85"/>
      <c r="CC1368" s="85"/>
      <c r="CD1368" s="85"/>
      <c r="CE1368" s="85"/>
      <c r="CF1368" s="85"/>
      <c r="CG1368" s="85"/>
      <c r="CH1368" s="85"/>
      <c r="CI1368" s="85"/>
      <c r="CJ1368" s="85"/>
      <c r="CK1368" s="2"/>
    </row>
    <row r="1369" ht="12.75" customHeight="1">
      <c r="A1369" s="80">
        <f>IFERROR(__xludf.DUMMYFUNCTION("""COMPUTED_VALUE"""),1365.0)</f>
        <v>1365</v>
      </c>
      <c r="B1369" s="80"/>
      <c r="C1369" s="80"/>
      <c r="D1369" s="81">
        <f>IFERROR(__xludf.DUMMYFUNCTION("""COMPUTED_VALUE"""),46252.0)</f>
        <v>46252</v>
      </c>
      <c r="E1369" s="82"/>
      <c r="F1369" s="80"/>
      <c r="G1369" s="81"/>
      <c r="H1369" s="80"/>
      <c r="I1369" s="80"/>
      <c r="J1369" s="80"/>
      <c r="K1369" s="80"/>
      <c r="L1369" s="80"/>
      <c r="M1369" s="80"/>
      <c r="N1369" s="80"/>
      <c r="O1369" s="80"/>
      <c r="P1369" s="80" t="str">
        <f>IFERROR(__xludf.DUMMYFUNCTION("""COMPUTED_VALUE"""),"53BSPA17229JBEEN")</f>
        <v>53BSPA17229JBEEN</v>
      </c>
      <c r="Q1369" s="80" t="str">
        <f>IFERROR(__xludf.DUMMYFUNCTION("""COMPUTED_VALUE"""),"MUC ZIA MULTI EXPEDISI")</f>
        <v>MUC ZIA MULTI EXPEDISI</v>
      </c>
      <c r="R1369" s="80" t="str">
        <f>IFERROR(__xludf.DUMMYFUNCTION("""COMPUTED_VALUE"""),"MUC ZIA MULTI EXPEDISI")</f>
        <v>MUC ZIA MULTI EXPEDISI</v>
      </c>
      <c r="S1369" s="80" t="str">
        <f>IFERROR(__xludf.DUMMYFUNCTION("""COMPUTED_VALUE"""),"FERDI SETIADI")</f>
        <v>FERDI SETIADI</v>
      </c>
      <c r="T1369" s="80" t="str">
        <f>IFERROR(__xludf.DUMMYFUNCTION("""COMPUTED_VALUE"""),"JL. SOEBANDI RT 05 RW 05, PABUARAN, KARAWACI, TANGERANG")</f>
        <v>JL. SOEBANDI RT 05 RW 05, PABUARAN, KARAWACI, TANGERANG</v>
      </c>
      <c r="U1369" s="80" t="str">
        <f>IFERROR(__xludf.DUMMYFUNCTION("""COMPUTED_VALUE"""),"JL. RAYA HAUAN CARIU RT.03 RW.01")</f>
        <v>JL. RAYA HAUAN CARIU RT.03 RW.01</v>
      </c>
      <c r="V1369" s="80" t="str">
        <f>IFERROR(__xludf.DUMMYFUNCTION("""COMPUTED_VALUE"""),"RT 05  \ RW 05,")</f>
        <v>RT 05  \ RW 05,</v>
      </c>
      <c r="W1369" s="80" t="str">
        <f>IFERROR(__xludf.DUMMYFUNCTION("""COMPUTED_VALUE"""),"TOBAT")</f>
        <v>TOBAT</v>
      </c>
      <c r="X1369" s="80" t="str">
        <f>IFERROR(__xludf.DUMMYFUNCTION("""COMPUTED_VALUE"""),"BALARAJA")</f>
        <v>BALARAJA</v>
      </c>
      <c r="Y1369" s="80" t="str">
        <f>IFERROR(__xludf.DUMMYFUNCTION("""COMPUTED_VALUE"""),"KAB.TANGERANG")</f>
        <v>KAB.TANGERANG</v>
      </c>
      <c r="Z1369" s="80" t="str">
        <f>IFERROR(__xludf.DUMMYFUNCTION("""COMPUTED_VALUE"""),"BANTEN")</f>
        <v>BANTEN</v>
      </c>
      <c r="AA1369" s="80" t="str">
        <f>IFERROR(__xludf.DUMMYFUNCTION("""COMPUTED_VALUE"""),"15612")</f>
        <v>15612</v>
      </c>
      <c r="AB1369" s="80" t="str">
        <f>IFERROR(__xludf.DUMMYFUNCTION("""COMPUTED_VALUE"""),"3671071204830009")</f>
        <v>3671071204830009</v>
      </c>
      <c r="AC1369" s="80" t="str">
        <f>IFERROR(__xludf.DUMMYFUNCTION("""COMPUTED_VALUE"""),"35.304.565.1-402.000")</f>
        <v>35.304.565.1-402.000</v>
      </c>
      <c r="AD1369" s="80" t="str">
        <f>IFERROR(__xludf.DUMMYFUNCTION("""COMPUTED_VALUE"""),"CUM - EEN")</f>
        <v>CUM - EEN</v>
      </c>
      <c r="AE1369" s="80" t="str">
        <f>IFERROR(__xludf.DUMMYFUNCTION("""COMPUTED_VALUE"""),"CUM - EEN")</f>
        <v>CUM - EEN</v>
      </c>
      <c r="AF1369" s="80" t="str">
        <f>IFERROR(__xludf.DUMMYFUNCTION("""COMPUTED_VALUE"""),"085180645683")</f>
        <v>085180645683</v>
      </c>
      <c r="AG1369" s="80" t="str">
        <f>IFERROR(__xludf.DUMMYFUNCTION("""COMPUTED_VALUE"""),"085180645683")</f>
        <v>085180645683</v>
      </c>
      <c r="AH1369" s="80" t="str">
        <f>IFERROR(__xludf.DUMMYFUNCTION("""COMPUTED_VALUE"""),"sazia.fase@gmail.com")</f>
        <v>sazia.fase@gmail.com</v>
      </c>
      <c r="AI1369" s="80"/>
      <c r="AJ1369" s="80"/>
      <c r="AK1369" s="80"/>
      <c r="AL1369" s="80"/>
      <c r="AM1369" s="80" t="str">
        <f>IFERROR(__xludf.DUMMYFUNCTION("""COMPUTED_VALUE"""),"KANTOR REGIONAL II JAKARTA 10004")</f>
        <v>KANTOR REGIONAL II JAKARTA 10004</v>
      </c>
      <c r="AN1369" s="80" t="str">
        <f>IFERROR(__xludf.DUMMYFUNCTION("""COMPUTED_VALUE"""),"KCU TANGERANG 15000")</f>
        <v>KCU TANGERANG 15000</v>
      </c>
      <c r="AO1369" s="80" t="str">
        <f>IFERROR(__xludf.DUMMYFUNCTION("""COMPUTED_VALUE"""),"9120304990966")</f>
        <v>9120304990966</v>
      </c>
      <c r="AP1369" s="80" t="str">
        <f>IFERROR(__xludf.DUMMYFUNCTION("""COMPUTED_VALUE"""),"9120304990966")</f>
        <v>9120304990966</v>
      </c>
      <c r="AQ1369" s="83" t="str">
        <f>IFERROR(__xludf.DUMMYFUNCTION("""COMPUTED_VALUE"""),"082601006041533")</f>
        <v>082601006041533</v>
      </c>
      <c r="AR1369" s="80" t="str">
        <f>IFERROR(__xludf.DUMMYFUNCTION("""COMPUTED_VALUE"""),"BRI")</f>
        <v>BRI</v>
      </c>
      <c r="AS1369" s="80" t="str">
        <f>IFERROR(__xludf.DUMMYFUNCTION("""COMPUTED_VALUE"""),"FERDI SETIADI")</f>
        <v>FERDI SETIADI</v>
      </c>
      <c r="AT1369" s="80" t="str">
        <f>IFERROR(__xludf.DUMMYFUNCTION("""COMPUTED_VALUE"""),"-6.1914132,106.4351947")</f>
        <v>-6.1914132,106.4351947</v>
      </c>
      <c r="AU1369" s="80" t="str">
        <f>IFERROR(__xludf.DUMMYFUNCTION("""COMPUTED_VALUE"""),"-6.1914132,106.4351947")</f>
        <v>-6.1914132,106.4351947</v>
      </c>
      <c r="AV1369" s="80"/>
      <c r="AW1369" s="80"/>
      <c r="AX1369" s="80"/>
      <c r="AY1369" s="80"/>
      <c r="AZ1369" s="80"/>
      <c r="BA1369" s="80"/>
      <c r="BB1369" s="80"/>
      <c r="BC1369" s="80"/>
      <c r="BD1369" s="80"/>
      <c r="BE1369" s="80"/>
      <c r="BF1369" s="80"/>
      <c r="BG1369" s="80"/>
      <c r="BH1369" s="80"/>
      <c r="BI1369" s="80"/>
      <c r="BJ1369" s="80"/>
      <c r="BK1369" s="80"/>
      <c r="BL1369" s="80"/>
      <c r="BM1369" s="80"/>
      <c r="BN1369" s="80"/>
      <c r="BO1369" s="80"/>
      <c r="BP1369" s="80"/>
      <c r="BQ1369" s="80"/>
      <c r="BR1369" s="80"/>
      <c r="BS1369" s="80"/>
      <c r="BT1369" s="80"/>
      <c r="BU1369" s="80"/>
      <c r="BV1369" s="80"/>
      <c r="BW1369" s="80"/>
      <c r="BX1369" s="80"/>
      <c r="BY1369" s="80"/>
      <c r="BZ1369" s="80"/>
      <c r="CA1369" s="80"/>
      <c r="CB1369" s="80"/>
      <c r="CC1369" s="80"/>
      <c r="CD1369" s="80"/>
      <c r="CE1369" s="80"/>
      <c r="CF1369" s="80"/>
      <c r="CG1369" s="80"/>
      <c r="CH1369" s="80"/>
      <c r="CI1369" s="80"/>
      <c r="CJ1369" s="80"/>
      <c r="CK1369" s="2"/>
    </row>
    <row r="1370" ht="12.75" customHeight="1">
      <c r="A1370" s="85">
        <f>IFERROR(__xludf.DUMMYFUNCTION("""COMPUTED_VALUE"""),1366.0)</f>
        <v>1366</v>
      </c>
      <c r="B1370" s="85"/>
      <c r="C1370" s="85"/>
      <c r="D1370" s="86">
        <f>IFERROR(__xludf.DUMMYFUNCTION("""COMPUTED_VALUE"""),46252.0)</f>
        <v>46252</v>
      </c>
      <c r="E1370" s="88"/>
      <c r="F1370" s="85"/>
      <c r="G1370" s="86"/>
      <c r="H1370" s="85"/>
      <c r="I1370" s="85"/>
      <c r="J1370" s="85"/>
      <c r="K1370" s="85"/>
      <c r="L1370" s="85"/>
      <c r="M1370" s="85"/>
      <c r="N1370" s="85"/>
      <c r="O1370" s="85"/>
      <c r="P1370" s="85" t="str">
        <f>IFERROR(__xludf.DUMMYFUNCTION("""COMPUTED_VALUE"""),"MUCSPA70054PSUMK")</f>
        <v>MUCSPA70054PSUMK</v>
      </c>
      <c r="Q1370" s="85" t="str">
        <f>IFERROR(__xludf.DUMMYFUNCTION("""COMPUTED_VALUE"""),"MUC TONY HARTONO")</f>
        <v>MUC TONY HARTONO</v>
      </c>
      <c r="R1370" s="85" t="str">
        <f>IFERROR(__xludf.DUMMYFUNCTION("""COMPUTED_VALUE"""),"MUC TONY HARTONO")</f>
        <v>MUC TONY HARTONO</v>
      </c>
      <c r="S1370" s="85" t="str">
        <f>IFERROR(__xludf.DUMMYFUNCTION("""COMPUTED_VALUE"""),"TONY HARTONO")</f>
        <v>TONY HARTONO</v>
      </c>
      <c r="T1370" s="85" t="str">
        <f>IFERROR(__xludf.DUMMYFUNCTION("""COMPUTED_VALUE"""),"BONA SARANA INDAH BLOK R.6 RT 03 RW 07, CIKOKOL, TANGERANG, TANGERANG")</f>
        <v>BONA SARANA INDAH BLOK R.6 RT 03 RW 07, CIKOKOL, TANGERANG, TANGERANG</v>
      </c>
      <c r="U1370" s="85" t="str">
        <f>IFERROR(__xludf.DUMMYFUNCTION("""COMPUTED_VALUE"""),"JL. Haji SAAL I NO.69 RT 01 RW 01")</f>
        <v>JL. Haji SAAL I NO.69 RT 01 RW 01</v>
      </c>
      <c r="V1370" s="85" t="str">
        <f>IFERROR(__xludf.DUMMYFUNCTION("""COMPUTED_VALUE"""),"RT 03  \ RW 07,")</f>
        <v>RT 03  \ RW 07,</v>
      </c>
      <c r="W1370" s="85" t="str">
        <f>IFERROR(__xludf.DUMMYFUNCTION("""COMPUTED_VALUE"""),"SERUA")</f>
        <v>SERUA</v>
      </c>
      <c r="X1370" s="85" t="str">
        <f>IFERROR(__xludf.DUMMYFUNCTION("""COMPUTED_VALUE"""),"BOJONGSARI")</f>
        <v>BOJONGSARI</v>
      </c>
      <c r="Y1370" s="85" t="str">
        <f>IFERROR(__xludf.DUMMYFUNCTION("""COMPUTED_VALUE"""),"DEPOK")</f>
        <v>DEPOK</v>
      </c>
      <c r="Z1370" s="85" t="str">
        <f>IFERROR(__xludf.DUMMYFUNCTION("""COMPUTED_VALUE"""),"JAWA BARAT")</f>
        <v>JAWA BARAT</v>
      </c>
      <c r="AA1370" s="85" t="str">
        <f>IFERROR(__xludf.DUMMYFUNCTION("""COMPUTED_VALUE"""),"16517")</f>
        <v>16517</v>
      </c>
      <c r="AB1370" s="85" t="str">
        <f>IFERROR(__xludf.DUMMYFUNCTION("""COMPUTED_VALUE"""),"3671010704690008")</f>
        <v>3671010704690008</v>
      </c>
      <c r="AC1370" s="85" t="str">
        <f>IFERROR(__xludf.DUMMYFUNCTION("""COMPUTED_VALUE"""),"35.046.026.7-416.000")</f>
        <v>35.046.026.7-416.000</v>
      </c>
      <c r="AD1370" s="85" t="str">
        <f>IFERROR(__xludf.DUMMYFUNCTION("""COMPUTED_VALUE"""),"CUM - UMKMNK - ASEP")</f>
        <v>CUM - UMKMNK - ASEP</v>
      </c>
      <c r="AE1370" s="85" t="str">
        <f>IFERROR(__xludf.DUMMYFUNCTION("""COMPUTED_VALUE"""),"CUM - UMKMNK - ASEP")</f>
        <v>CUM - UMKMNK - ASEP</v>
      </c>
      <c r="AF1370" s="85" t="str">
        <f>IFERROR(__xludf.DUMMYFUNCTION("""COMPUTED_VALUE"""),"08974447643")</f>
        <v>08974447643</v>
      </c>
      <c r="AG1370" s="85" t="str">
        <f>IFERROR(__xludf.DUMMYFUNCTION("""COMPUTED_VALUE"""),"08974447643")</f>
        <v>08974447643</v>
      </c>
      <c r="AH1370" s="85" t="str">
        <f>IFERROR(__xludf.DUMMYFUNCTION("""COMPUTED_VALUE"""),"nasatyo@gmail.com")</f>
        <v>nasatyo@gmail.com</v>
      </c>
      <c r="AI1370" s="85"/>
      <c r="AJ1370" s="85"/>
      <c r="AK1370" s="85"/>
      <c r="AL1370" s="85"/>
      <c r="AM1370" s="85" t="str">
        <f>IFERROR(__xludf.DUMMYFUNCTION("""COMPUTED_VALUE"""),"KANTOR REGIONAL II JAKARTA 10004")</f>
        <v>KANTOR REGIONAL II JAKARTA 10004</v>
      </c>
      <c r="AN1370" s="85" t="str">
        <f>IFERROR(__xludf.DUMMYFUNCTION("""COMPUTED_VALUE"""),"KC DEPOK 16400")</f>
        <v>KC DEPOK 16400</v>
      </c>
      <c r="AO1370" s="85" t="str">
        <f>IFERROR(__xludf.DUMMYFUNCTION("""COMPUTED_VALUE"""),"0220105461536")</f>
        <v>0220105461536</v>
      </c>
      <c r="AP1370" s="85" t="str">
        <f>IFERROR(__xludf.DUMMYFUNCTION("""COMPUTED_VALUE"""),"0220105461536")</f>
        <v>0220105461536</v>
      </c>
      <c r="AQ1370" s="93" t="str">
        <f>IFERROR(__xludf.DUMMYFUNCTION("""COMPUTED_VALUE"""),"1030007312511")</f>
        <v>1030007312511</v>
      </c>
      <c r="AR1370" s="85" t="str">
        <f>IFERROR(__xludf.DUMMYFUNCTION("""COMPUTED_VALUE"""),"MANDIRI")</f>
        <v>MANDIRI</v>
      </c>
      <c r="AS1370" s="85" t="str">
        <f>IFERROR(__xludf.DUMMYFUNCTION("""COMPUTED_VALUE"""),"HOLILAH ALAWIYAH")</f>
        <v>HOLILAH ALAWIYAH</v>
      </c>
      <c r="AT1370" s="85" t="str">
        <f>IFERROR(__xludf.DUMMYFUNCTION("""COMPUTED_VALUE"""),"-6.3703505,106.7385836")</f>
        <v>-6.3703505,106.7385836</v>
      </c>
      <c r="AU1370" s="85" t="str">
        <f>IFERROR(__xludf.DUMMYFUNCTION("""COMPUTED_VALUE"""),"-6.3703505,106.7385836")</f>
        <v>-6.3703505,106.7385836</v>
      </c>
      <c r="AV1370" s="85"/>
      <c r="AW1370" s="85"/>
      <c r="AX1370" s="85"/>
      <c r="AY1370" s="85"/>
      <c r="AZ1370" s="85"/>
      <c r="BA1370" s="85"/>
      <c r="BB1370" s="85"/>
      <c r="BC1370" s="85"/>
      <c r="BD1370" s="85"/>
      <c r="BE1370" s="85"/>
      <c r="BF1370" s="85"/>
      <c r="BG1370" s="85"/>
      <c r="BH1370" s="85"/>
      <c r="BI1370" s="85"/>
      <c r="BJ1370" s="85"/>
      <c r="BK1370" s="85"/>
      <c r="BL1370" s="85"/>
      <c r="BM1370" s="85"/>
      <c r="BN1370" s="85"/>
      <c r="BO1370" s="85"/>
      <c r="BP1370" s="85"/>
      <c r="BQ1370" s="85"/>
      <c r="BR1370" s="85"/>
      <c r="BS1370" s="85"/>
      <c r="BT1370" s="85"/>
      <c r="BU1370" s="85"/>
      <c r="BV1370" s="85"/>
      <c r="BW1370" s="85"/>
      <c r="BX1370" s="85"/>
      <c r="BY1370" s="85"/>
      <c r="BZ1370" s="85"/>
      <c r="CA1370" s="85"/>
      <c r="CB1370" s="85"/>
      <c r="CC1370" s="85"/>
      <c r="CD1370" s="85"/>
      <c r="CE1370" s="85"/>
      <c r="CF1370" s="85"/>
      <c r="CG1370" s="85"/>
      <c r="CH1370" s="85"/>
      <c r="CI1370" s="85"/>
      <c r="CJ1370" s="85"/>
      <c r="CK1370" s="2"/>
    </row>
    <row r="1371" ht="12.75" customHeight="1">
      <c r="A1371" s="80">
        <f>IFERROR(__xludf.DUMMYFUNCTION("""COMPUTED_VALUE"""),1367.0)</f>
        <v>1367</v>
      </c>
      <c r="B1371" s="80"/>
      <c r="C1371" s="80"/>
      <c r="D1371" s="81">
        <f>IFERROR(__xludf.DUMMYFUNCTION("""COMPUTED_VALUE"""),46252.0)</f>
        <v>46252</v>
      </c>
      <c r="E1371" s="82"/>
      <c r="F1371" s="80"/>
      <c r="G1371" s="81">
        <f>IFERROR(__xludf.DUMMYFUNCTION("""COMPUTED_VALUE"""),46279.0)</f>
        <v>46279</v>
      </c>
      <c r="H1371" s="80"/>
      <c r="I1371" s="80"/>
      <c r="J1371" s="80"/>
      <c r="K1371" s="80"/>
      <c r="L1371" s="80">
        <f>IFERROR(__xludf.DUMMYFUNCTION("""COMPUTED_VALUE"""),27.0)</f>
        <v>27</v>
      </c>
      <c r="M1371" s="80"/>
      <c r="N1371" s="80"/>
      <c r="O1371" s="80"/>
      <c r="P1371" s="80" t="str">
        <f>IFERROR(__xludf.DUMMYFUNCTION("""COMPUTED_VALUE"""),"53BSPA17185JBNDS")</f>
        <v>53BSPA17185JBNDS</v>
      </c>
      <c r="Q1371" s="80" t="str">
        <f>IFERROR(__xludf.DUMMYFUNCTION("""COMPUTED_VALUE"""),"MUC CIKARANG BARU")</f>
        <v>MUC CIKARANG BARU</v>
      </c>
      <c r="R1371" s="80" t="str">
        <f>IFERROR(__xludf.DUMMYFUNCTION("""COMPUTED_VALUE"""),"MUC CIKARANG BARU")</f>
        <v>MUC CIKARANG BARU</v>
      </c>
      <c r="S1371" s="80" t="str">
        <f>IFERROR(__xludf.DUMMYFUNCTION("""COMPUTED_VALUE"""),"INDRA GUNAWAN")</f>
        <v>INDRA GUNAWAN</v>
      </c>
      <c r="T1371" s="80" t="str">
        <f>IFERROR(__xludf.DUMMYFUNCTION("""COMPUTED_VALUE"""),"KEMANGGISAN ILIR RT 05 RW 13, PALMERAH, PALMERAH, JAKARTA BARAT")</f>
        <v>KEMANGGISAN ILIR RT 05 RW 13, PALMERAH, PALMERAH, JAKARTA BARAT</v>
      </c>
      <c r="U1371" s="80" t="str">
        <f>IFERROR(__xludf.DUMMYFUNCTION("""COMPUTED_VALUE"""),"JL. KASUARI RAYA NO.19")</f>
        <v>JL. KASUARI RAYA NO.19</v>
      </c>
      <c r="V1371" s="80" t="str">
        <f>IFERROR(__xludf.DUMMYFUNCTION("""COMPUTED_VALUE"""),"RT 05  \ RW 13,")</f>
        <v>RT 05  \ RW 13,</v>
      </c>
      <c r="W1371" s="80" t="str">
        <f>IFERROR(__xludf.DUMMYFUNCTION("""COMPUTED_VALUE"""),"MEKARMUKTI")</f>
        <v>MEKARMUKTI</v>
      </c>
      <c r="X1371" s="80" t="str">
        <f>IFERROR(__xludf.DUMMYFUNCTION("""COMPUTED_VALUE"""),"CIKARANG UTARA")</f>
        <v>CIKARANG UTARA</v>
      </c>
      <c r="Y1371" s="80" t="str">
        <f>IFERROR(__xludf.DUMMYFUNCTION("""COMPUTED_VALUE"""),"KAB.BEKASI")</f>
        <v>KAB.BEKASI</v>
      </c>
      <c r="Z1371" s="80" t="str">
        <f>IFERROR(__xludf.DUMMYFUNCTION("""COMPUTED_VALUE"""),"JAWA BARAT")</f>
        <v>JAWA BARAT</v>
      </c>
      <c r="AA1371" s="80" t="str">
        <f>IFERROR(__xludf.DUMMYFUNCTION("""COMPUTED_VALUE"""),"17530")</f>
        <v>17530</v>
      </c>
      <c r="AB1371" s="80" t="str">
        <f>IFERROR(__xludf.DUMMYFUNCTION("""COMPUTED_VALUE"""),"3173072005770003")</f>
        <v>3173072005770003</v>
      </c>
      <c r="AC1371" s="80" t="str">
        <f>IFERROR(__xludf.DUMMYFUNCTION("""COMPUTED_VALUE"""),"09.072.826.6-031.000")</f>
        <v>09.072.826.6-031.000</v>
      </c>
      <c r="AD1371" s="80" t="str">
        <f>IFERROR(__xludf.DUMMYFUNCTION("""COMPUTED_VALUE"""),"CUM - NDS")</f>
        <v>CUM - NDS</v>
      </c>
      <c r="AE1371" s="80" t="str">
        <f>IFERROR(__xludf.DUMMYFUNCTION("""COMPUTED_VALUE"""),"CUM - NDS")</f>
        <v>CUM - NDS</v>
      </c>
      <c r="AF1371" s="80" t="str">
        <f>IFERROR(__xludf.DUMMYFUNCTION("""COMPUTED_VALUE"""),"081212459300")</f>
        <v>081212459300</v>
      </c>
      <c r="AG1371" s="80" t="str">
        <f>IFERROR(__xludf.DUMMYFUNCTION("""COMPUTED_VALUE"""),"081212459300")</f>
        <v>081212459300</v>
      </c>
      <c r="AH1371" s="80" t="str">
        <f>IFERROR(__xludf.DUMMYFUNCTION("""COMPUTED_VALUE"""),"i.gunawanazis@gmail.com")</f>
        <v>i.gunawanazis@gmail.com</v>
      </c>
      <c r="AI1371" s="80" t="str">
        <f>IFERROR(__xludf.DUMMYFUNCTION("""COMPUTED_VALUE"""),"17834S4 ")</f>
        <v>17834S4 </v>
      </c>
      <c r="AJ1371" s="80" t="str">
        <f>IFERROR(__xludf.DUMMYFUNCTION("""COMPUTED_VALUE"""),"6aa6b0a6be3e907aea002fcd ")</f>
        <v>6aa6b0a6be3e907aea002fcd </v>
      </c>
      <c r="AK1371" s="80" t="str">
        <f>IFERROR(__xludf.DUMMYFUNCTION("""COMPUTED_VALUE"""),"i.gunawanazis@gmail.com")</f>
        <v>i.gunawanazis@gmail.com</v>
      </c>
      <c r="AL1371" s="80" t="str">
        <f>IFERROR(__xludf.DUMMYFUNCTION("""COMPUTED_VALUE"""),"#Muc17834S4$")</f>
        <v>#Muc17834S4$</v>
      </c>
      <c r="AM1371" s="80" t="str">
        <f>IFERROR(__xludf.DUMMYFUNCTION("""COMPUTED_VALUE"""),"KANTOR REGIONAL II JAKARTA 10004")</f>
        <v>KANTOR REGIONAL II JAKARTA 10004</v>
      </c>
      <c r="AN1371" s="80" t="str">
        <f>IFERROR(__xludf.DUMMYFUNCTION("""COMPUTED_VALUE"""),"KC CIKARANG 17500")</f>
        <v>KC CIKARANG 17500</v>
      </c>
      <c r="AO1371" s="80" t="str">
        <f>IFERROR(__xludf.DUMMYFUNCTION("""COMPUTED_VALUE"""),"3101260020155")</f>
        <v>3101260020155</v>
      </c>
      <c r="AP1371" s="80" t="str">
        <f>IFERROR(__xludf.DUMMYFUNCTION("""COMPUTED_VALUE"""),"3101260020155")</f>
        <v>3101260020155</v>
      </c>
      <c r="AQ1371" s="83" t="str">
        <f>IFERROR(__xludf.DUMMYFUNCTION("""COMPUTED_VALUE"""),"2241511695")</f>
        <v>2241511695</v>
      </c>
      <c r="AR1371" s="80" t="str">
        <f>IFERROR(__xludf.DUMMYFUNCTION("""COMPUTED_VALUE"""),"BCA")</f>
        <v>BCA</v>
      </c>
      <c r="AS1371" s="80" t="str">
        <f>IFERROR(__xludf.DUMMYFUNCTION("""COMPUTED_VALUE"""),"INDRA GUNAWAN")</f>
        <v>INDRA GUNAWAN</v>
      </c>
      <c r="AT1371" s="80" t="str">
        <f>IFERROR(__xludf.DUMMYFUNCTION("""COMPUTED_VALUE"""),"-6.299693,107.164325")</f>
        <v>-6.299693,107.164325</v>
      </c>
      <c r="AU1371" s="80" t="str">
        <f>IFERROR(__xludf.DUMMYFUNCTION("""COMPUTED_VALUE"""),"-6.299693,107.164325")</f>
        <v>-6.299693,107.164325</v>
      </c>
      <c r="AV1371" s="80"/>
      <c r="AW1371" s="80"/>
      <c r="AX1371" s="80"/>
      <c r="AY1371" s="80"/>
      <c r="AZ1371" s="80"/>
      <c r="BA1371" s="80"/>
      <c r="BB1371" s="80"/>
      <c r="BC1371" s="80"/>
      <c r="BD1371" s="80"/>
      <c r="BE1371" s="80"/>
      <c r="BF1371" s="80"/>
      <c r="BG1371" s="80"/>
      <c r="BH1371" s="80"/>
      <c r="BI1371" s="80"/>
      <c r="BJ1371" s="80"/>
      <c r="BK1371" s="80"/>
      <c r="BL1371" s="80"/>
      <c r="BM1371" s="80"/>
      <c r="BN1371" s="80"/>
      <c r="BO1371" s="80"/>
      <c r="BP1371" s="80"/>
      <c r="BQ1371" s="80"/>
      <c r="BR1371" s="80"/>
      <c r="BS1371" s="80"/>
      <c r="BT1371" s="80"/>
      <c r="BU1371" s="80"/>
      <c r="BV1371" s="80"/>
      <c r="BW1371" s="80"/>
      <c r="BX1371" s="80"/>
      <c r="BY1371" s="80"/>
      <c r="BZ1371" s="80"/>
      <c r="CA1371" s="80"/>
      <c r="CB1371" s="80"/>
      <c r="CC1371" s="80"/>
      <c r="CD1371" s="80"/>
      <c r="CE1371" s="80"/>
      <c r="CF1371" s="80"/>
      <c r="CG1371" s="80"/>
      <c r="CH1371" s="80"/>
      <c r="CI1371" s="80"/>
      <c r="CJ1371" s="80"/>
      <c r="CK1371" s="2"/>
    </row>
    <row r="1372" ht="12.75" customHeight="1">
      <c r="A1372" s="85">
        <f>IFERROR(__xludf.DUMMYFUNCTION("""COMPUTED_VALUE"""),1368.0)</f>
        <v>1368</v>
      </c>
      <c r="B1372" s="85"/>
      <c r="C1372" s="85"/>
      <c r="D1372" s="86">
        <f>IFERROR(__xludf.DUMMYFUNCTION("""COMPUTED_VALUE"""),46252.0)</f>
        <v>46252</v>
      </c>
      <c r="E1372" s="88"/>
      <c r="F1372" s="85"/>
      <c r="G1372" s="86">
        <f>IFERROR(__xludf.DUMMYFUNCTION("""COMPUTED_VALUE"""),46279.0)</f>
        <v>46279</v>
      </c>
      <c r="H1372" s="85"/>
      <c r="I1372" s="85"/>
      <c r="J1372" s="85"/>
      <c r="K1372" s="85"/>
      <c r="L1372" s="85">
        <f>IFERROR(__xludf.DUMMYFUNCTION("""COMPUTED_VALUE"""),27.0)</f>
        <v>27</v>
      </c>
      <c r="M1372" s="85"/>
      <c r="N1372" s="85"/>
      <c r="O1372" s="85"/>
      <c r="P1372" s="85" t="str">
        <f>IFERROR(__xludf.DUMMYFUNCTION("""COMPUTED_VALUE"""),"MUCSPA70053PSUMK")</f>
        <v>MUCSPA70053PSUMK</v>
      </c>
      <c r="Q1372" s="85" t="str">
        <f>IFERROR(__xludf.DUMMYFUNCTION("""COMPUTED_VALUE"""),"MUC ALIF FAHRI")</f>
        <v>MUC ALIF FAHRI</v>
      </c>
      <c r="R1372" s="85" t="str">
        <f>IFERROR(__xludf.DUMMYFUNCTION("""COMPUTED_VALUE"""),"MUC ALIF FAHRI")</f>
        <v>MUC ALIF FAHRI</v>
      </c>
      <c r="S1372" s="85" t="str">
        <f>IFERROR(__xludf.DUMMYFUNCTION("""COMPUTED_VALUE"""),"CHAIRUL HABIBI PURBA")</f>
        <v>CHAIRUL HABIBI PURBA</v>
      </c>
      <c r="T1372" s="85" t="str">
        <f>IFERROR(__xludf.DUMMYFUNCTION("""COMPUTED_VALUE"""),"JORONG SIKABU KAMPUNG TANGAH LUBUK BASUNG KAB. AGAM, SUMATERA BARAT")</f>
        <v>JORONG SIKABU KAMPUNG TANGAH LUBUK BASUNG KAB. AGAM, SUMATERA BARAT</v>
      </c>
      <c r="U1372" s="85" t="str">
        <f>IFERROR(__xludf.DUMMYFUNCTION("""COMPUTED_VALUE"""),"Jl. Pantai Labu Kota, Ramunia Satu, Kec. Pantai Labu, Kab. Deli Serdang")</f>
        <v>Jl. Pantai Labu Kota, Ramunia Satu, Kec. Pantai Labu, Kab. Deli Serdang</v>
      </c>
      <c r="V1372" s="85"/>
      <c r="W1372" s="85" t="str">
        <f>IFERROR(__xludf.DUMMYFUNCTION("""COMPUTED_VALUE"""),"Ramunia Satu")</f>
        <v>Ramunia Satu</v>
      </c>
      <c r="X1372" s="85" t="str">
        <f>IFERROR(__xludf.DUMMYFUNCTION("""COMPUTED_VALUE"""),"Pantai Labu")</f>
        <v>Pantai Labu</v>
      </c>
      <c r="Y1372" s="85" t="str">
        <f>IFERROR(__xludf.DUMMYFUNCTION("""COMPUTED_VALUE"""),"Kab. Deli Serdang")</f>
        <v>Kab. Deli Serdang</v>
      </c>
      <c r="Z1372" s="85" t="str">
        <f>IFERROR(__xludf.DUMMYFUNCTION("""COMPUTED_VALUE"""),"Sumatera Utara")</f>
        <v>Sumatera Utara</v>
      </c>
      <c r="AA1372" s="85" t="str">
        <f>IFERROR(__xludf.DUMMYFUNCTION("""COMPUTED_VALUE"""),"20553")</f>
        <v>20553</v>
      </c>
      <c r="AB1372" s="85" t="str">
        <f>IFERROR(__xludf.DUMMYFUNCTION("""COMPUTED_VALUE"""),"1207322909880001")</f>
        <v>1207322909880001</v>
      </c>
      <c r="AC1372" s="85" t="str">
        <f>IFERROR(__xludf.DUMMYFUNCTION("""COMPUTED_VALUE"""),"41.185.225.4-202.000")</f>
        <v>41.185.225.4-202.000</v>
      </c>
      <c r="AD1372" s="85" t="str">
        <f>IFERROR(__xludf.DUMMYFUNCTION("""COMPUTED_VALUE"""),"CUM - UMKMNK - ASEP")</f>
        <v>CUM - UMKMNK - ASEP</v>
      </c>
      <c r="AE1372" s="85" t="str">
        <f>IFERROR(__xludf.DUMMYFUNCTION("""COMPUTED_VALUE"""),"CUM - UMKMNK - ASEP")</f>
        <v>CUM - UMKMNK - ASEP</v>
      </c>
      <c r="AF1372" s="85" t="str">
        <f>IFERROR(__xludf.DUMMYFUNCTION("""COMPUTED_VALUE"""),"083183738350")</f>
        <v>083183738350</v>
      </c>
      <c r="AG1372" s="85" t="str">
        <f>IFERROR(__xludf.DUMMYFUNCTION("""COMPUTED_VALUE"""),"083183738350")</f>
        <v>083183738350</v>
      </c>
      <c r="AH1372" s="85" t="str">
        <f>IFERROR(__xludf.DUMMYFUNCTION("""COMPUTED_VALUE"""),"alifpratama30850@gmail.com")</f>
        <v>alifpratama30850@gmail.com</v>
      </c>
      <c r="AI1372" s="85" t="str">
        <f>IFERROR(__xludf.DUMMYFUNCTION("""COMPUTED_VALUE"""),"20553S1 ")</f>
        <v>20553S1 </v>
      </c>
      <c r="AJ1372" s="85" t="str">
        <f>IFERROR(__xludf.DUMMYFUNCTION("""COMPUTED_VALUE"""),"6aa51e1b475c8fd7a00f1e23 ")</f>
        <v>6aa51e1b475c8fd7a00f1e23 </v>
      </c>
      <c r="AK1372" s="85" t="str">
        <f>IFERROR(__xludf.DUMMYFUNCTION("""COMPUTED_VALUE"""),"alifpratama30850@gmail.com")</f>
        <v>alifpratama30850@gmail.com</v>
      </c>
      <c r="AL1372" s="85" t="str">
        <f>IFERROR(__xludf.DUMMYFUNCTION("""COMPUTED_VALUE"""),"#Muc20553S1$")</f>
        <v>#Muc20553S1$</v>
      </c>
      <c r="AM1372" s="85" t="str">
        <f>IFERROR(__xludf.DUMMYFUNCTION("""COMPUTED_VALUE"""),"KANTOR REGIONAL I MEDAN 20004")</f>
        <v>KANTOR REGIONAL I MEDAN 20004</v>
      </c>
      <c r="AN1372" s="85" t="str">
        <f>IFERROR(__xludf.DUMMYFUNCTION("""COMPUTED_VALUE"""),"KC TEBINGTINGGIDELI 20600")</f>
        <v>KC TEBINGTINGGIDELI 20600</v>
      </c>
      <c r="AO1372" s="85" t="str">
        <f>IFERROR(__xludf.DUMMYFUNCTION("""COMPUTED_VALUE"""),"1308260068937")</f>
        <v>1308260068937</v>
      </c>
      <c r="AP1372" s="85" t="str">
        <f>IFERROR(__xludf.DUMMYFUNCTION("""COMPUTED_VALUE"""),"1308260068937")</f>
        <v>1308260068937</v>
      </c>
      <c r="AQ1372" s="93" t="str">
        <f>IFERROR(__xludf.DUMMYFUNCTION("""COMPUTED_VALUE"""),"543201029452535")</f>
        <v>543201029452535</v>
      </c>
      <c r="AR1372" s="85" t="str">
        <f>IFERROR(__xludf.DUMMYFUNCTION("""COMPUTED_VALUE"""),"BRI")</f>
        <v>BRI</v>
      </c>
      <c r="AS1372" s="85" t="str">
        <f>IFERROR(__xludf.DUMMYFUNCTION("""COMPUTED_VALUE"""),"CHAIRUL HABIBI PURBA")</f>
        <v>CHAIRUL HABIBI PURBA</v>
      </c>
      <c r="AT1372" s="85" t="str">
        <f>IFERROR(__xludf.DUMMYFUNCTION("""COMPUTED_VALUE"""),"3.6541667,98.8995833")</f>
        <v>3.6541667,98.8995833</v>
      </c>
      <c r="AU1372" s="85" t="str">
        <f>IFERROR(__xludf.DUMMYFUNCTION("""COMPUTED_VALUE"""),"3.6541667,98.8995833")</f>
        <v>3.6541667,98.8995833</v>
      </c>
      <c r="AV1372" s="85"/>
      <c r="AW1372" s="85"/>
      <c r="AX1372" s="85"/>
      <c r="AY1372" s="85"/>
      <c r="AZ1372" s="85"/>
      <c r="BA1372" s="85"/>
      <c r="BB1372" s="85"/>
      <c r="BC1372" s="85"/>
      <c r="BD1372" s="85"/>
      <c r="BE1372" s="85"/>
      <c r="BF1372" s="85"/>
      <c r="BG1372" s="85"/>
      <c r="BH1372" s="85"/>
      <c r="BI1372" s="85"/>
      <c r="BJ1372" s="85"/>
      <c r="BK1372" s="85"/>
      <c r="BL1372" s="85"/>
      <c r="BM1372" s="85"/>
      <c r="BN1372" s="85"/>
      <c r="BO1372" s="85"/>
      <c r="BP1372" s="85"/>
      <c r="BQ1372" s="85"/>
      <c r="BR1372" s="85"/>
      <c r="BS1372" s="85"/>
      <c r="BT1372" s="85"/>
      <c r="BU1372" s="85"/>
      <c r="BV1372" s="85"/>
      <c r="BW1372" s="85"/>
      <c r="BX1372" s="85"/>
      <c r="BY1372" s="85"/>
      <c r="BZ1372" s="85"/>
      <c r="CA1372" s="85"/>
      <c r="CB1372" s="85"/>
      <c r="CC1372" s="85"/>
      <c r="CD1372" s="85"/>
      <c r="CE1372" s="85"/>
      <c r="CF1372" s="85"/>
      <c r="CG1372" s="85"/>
      <c r="CH1372" s="85"/>
      <c r="CI1372" s="85"/>
      <c r="CJ1372" s="85"/>
      <c r="CK1372" s="2"/>
    </row>
    <row r="1373" ht="12.75" customHeight="1">
      <c r="A1373" s="80">
        <f>IFERROR(__xludf.DUMMYFUNCTION("""COMPUTED_VALUE"""),1369.0)</f>
        <v>1369</v>
      </c>
      <c r="B1373" s="80"/>
      <c r="C1373" s="80"/>
      <c r="D1373" s="81">
        <f>IFERROR(__xludf.DUMMYFUNCTION("""COMPUTED_VALUE"""),46252.0)</f>
        <v>46252</v>
      </c>
      <c r="E1373" s="82"/>
      <c r="F1373" s="80"/>
      <c r="G1373" s="81">
        <f>IFERROR(__xludf.DUMMYFUNCTION("""COMPUTED_VALUE"""),46279.0)</f>
        <v>46279</v>
      </c>
      <c r="H1373" s="80"/>
      <c r="I1373" s="80"/>
      <c r="J1373" s="80"/>
      <c r="K1373" s="80"/>
      <c r="L1373" s="80">
        <f>IFERROR(__xludf.DUMMYFUNCTION("""COMPUTED_VALUE"""),27.0)</f>
        <v>27</v>
      </c>
      <c r="M1373" s="80"/>
      <c r="N1373" s="80"/>
      <c r="O1373" s="80"/>
      <c r="P1373" s="80" t="str">
        <f>IFERROR(__xludf.DUMMYFUNCTION("""COMPUTED_VALUE"""),"MUCSPA63662PSIND")</f>
        <v>MUCSPA63662PSIND</v>
      </c>
      <c r="Q1373" s="80" t="str">
        <f>IFERROR(__xludf.DUMMYFUNCTION("""COMPUTED_VALUE"""),"MUC WALANG BARU")</f>
        <v>MUC WALANG BARU</v>
      </c>
      <c r="R1373" s="80" t="str">
        <f>IFERROR(__xludf.DUMMYFUNCTION("""COMPUTED_VALUE"""),"MUC WALANG BARU")</f>
        <v>MUC WALANG BARU</v>
      </c>
      <c r="S1373" s="80" t="str">
        <f>IFERROR(__xludf.DUMMYFUNCTION("""COMPUTED_VALUE"""),"DENI AKBAR MAULANA")</f>
        <v>DENI AKBAR MAULANA</v>
      </c>
      <c r="T1373" s="80" t="str">
        <f>IFERROR(__xludf.DUMMYFUNCTION("""COMPUTED_VALUE"""),"JL. PATIMURA NO.15 RT 001 RW 006 RAWA BADAK SELATAN KOJA JAKARTA UTARA")</f>
        <v>JL. PATIMURA NO.15 RT 001 RW 006 RAWA BADAK SELATAN KOJA JAKARTA UTARA</v>
      </c>
      <c r="U1373" s="80" t="str">
        <f>IFERROR(__xludf.DUMMYFUNCTION("""COMPUTED_VALUE"""),"Jl. Walang Baru Raya, depan taman Jl. Walang Dalam Blok. I-10, RT.2/RW.15")</f>
        <v>Jl. Walang Baru Raya, depan taman Jl. Walang Dalam Blok. I-10, RT.2/RW.15</v>
      </c>
      <c r="V1373" s="80" t="str">
        <f>IFERROR(__xludf.DUMMYFUNCTION("""COMPUTED_VALUE"""),"RT 001 \ RW 006")</f>
        <v>RT 001 \ RW 006</v>
      </c>
      <c r="W1373" s="80" t="str">
        <f>IFERROR(__xludf.DUMMYFUNCTION("""COMPUTED_VALUE"""),"Tugu Utara")</f>
        <v>Tugu Utara</v>
      </c>
      <c r="X1373" s="80" t="str">
        <f>IFERROR(__xludf.DUMMYFUNCTION("""COMPUTED_VALUE"""),"Koja")</f>
        <v>Koja</v>
      </c>
      <c r="Y1373" s="80" t="str">
        <f>IFERROR(__xludf.DUMMYFUNCTION("""COMPUTED_VALUE"""),"Jakarta Utara")</f>
        <v>Jakarta Utara</v>
      </c>
      <c r="Z1373" s="80" t="str">
        <f>IFERROR(__xludf.DUMMYFUNCTION("""COMPUTED_VALUE"""),"DKI Jakarta")</f>
        <v>DKI Jakarta</v>
      </c>
      <c r="AA1373" s="80" t="str">
        <f>IFERROR(__xludf.DUMMYFUNCTION("""COMPUTED_VALUE"""),"14260")</f>
        <v>14260</v>
      </c>
      <c r="AB1373" s="80" t="str">
        <f>IFERROR(__xludf.DUMMYFUNCTION("""COMPUTED_VALUE"""),"3172030812850001")</f>
        <v>3172030812850001</v>
      </c>
      <c r="AC1373" s="80" t="str">
        <f>IFERROR(__xludf.DUMMYFUNCTION("""COMPUTED_VALUE"""),"25.576.453.2-045.000")</f>
        <v>25.576.453.2-045.000</v>
      </c>
      <c r="AD1373" s="80" t="str">
        <f>IFERROR(__xludf.DUMMYFUNCTION("""COMPUTED_VALUE"""),"CUM - PS -ARKT")</f>
        <v>CUM - PS -ARKT</v>
      </c>
      <c r="AE1373" s="80" t="str">
        <f>IFERROR(__xludf.DUMMYFUNCTION("""COMPUTED_VALUE"""),"CUM - PS -ARKT")</f>
        <v>CUM - PS -ARKT</v>
      </c>
      <c r="AF1373" s="80" t="str">
        <f>IFERROR(__xludf.DUMMYFUNCTION("""COMPUTED_VALUE"""),"08111601122")</f>
        <v>08111601122</v>
      </c>
      <c r="AG1373" s="80" t="str">
        <f>IFERROR(__xludf.DUMMYFUNCTION("""COMPUTED_VALUE"""),"08111601122")</f>
        <v>08111601122</v>
      </c>
      <c r="AH1373" s="80" t="str">
        <f>IFERROR(__xludf.DUMMYFUNCTION("""COMPUTED_VALUE"""),"lpcgk.TamanWalang@gmail.com")</f>
        <v>lpcgk.TamanWalang@gmail.com</v>
      </c>
      <c r="AI1373" s="80" t="str">
        <f>IFERROR(__xludf.DUMMYFUNCTION("""COMPUTED_VALUE"""),"14260S3 ")</f>
        <v>14260S3 </v>
      </c>
      <c r="AJ1373" s="80" t="str">
        <f>IFERROR(__xludf.DUMMYFUNCTION("""COMPUTED_VALUE"""),"6aa77519c54e3672b8081d1d ")</f>
        <v>6aa77519c54e3672b8081d1d </v>
      </c>
      <c r="AK1373" s="80" t="str">
        <f>IFERROR(__xludf.DUMMYFUNCTION("""COMPUTED_VALUE"""),"lpcgk.TamanWalang@gmail.com")</f>
        <v>lpcgk.TamanWalang@gmail.com</v>
      </c>
      <c r="AL1373" s="80" t="str">
        <f>IFERROR(__xludf.DUMMYFUNCTION("""COMPUTED_VALUE"""),"#Muc14260S3$")</f>
        <v>#Muc14260S3$</v>
      </c>
      <c r="AM1373" s="80" t="str">
        <f>IFERROR(__xludf.DUMMYFUNCTION("""COMPUTED_VALUE"""),"KANTOR REGIONAL II JAKARTA 10004")</f>
        <v>KANTOR REGIONAL II JAKARTA 10004</v>
      </c>
      <c r="AN1373" s="80" t="str">
        <f>IFERROR(__xludf.DUMMYFUNCTION("""COMPUTED_VALUE"""),"KCU JAKARTAPREMIER 13000")</f>
        <v>KCU JAKARTAPREMIER 13000</v>
      </c>
      <c r="AO1373" s="80" t="str">
        <f>IFERROR(__xludf.DUMMYFUNCTION("""COMPUTED_VALUE"""),"9120600832991")</f>
        <v>9120600832991</v>
      </c>
      <c r="AP1373" s="80" t="str">
        <f>IFERROR(__xludf.DUMMYFUNCTION("""COMPUTED_VALUE"""),"9120600832991")</f>
        <v>9120600832991</v>
      </c>
      <c r="AQ1373" s="83" t="str">
        <f>IFERROR(__xludf.DUMMYFUNCTION("""COMPUTED_VALUE"""),"5450371337")</f>
        <v>5450371337</v>
      </c>
      <c r="AR1373" s="80" t="str">
        <f>IFERROR(__xludf.DUMMYFUNCTION("""COMPUTED_VALUE"""),"BCA")</f>
        <v>BCA</v>
      </c>
      <c r="AS1373" s="80" t="str">
        <f>IFERROR(__xludf.DUMMYFUNCTION("""COMPUTED_VALUE"""),"DENI AKBAR MAULANA")</f>
        <v>DENI AKBAR MAULANA</v>
      </c>
      <c r="AT1373" s="80" t="str">
        <f>IFERROR(__xludf.DUMMYFUNCTION("""COMPUTED_VALUE"""),"-6.1219812,106.9029757")</f>
        <v>-6.1219812,106.9029757</v>
      </c>
      <c r="AU1373" s="80" t="str">
        <f>IFERROR(__xludf.DUMMYFUNCTION("""COMPUTED_VALUE"""),"-6.1219812,106.9029757")</f>
        <v>-6.1219812,106.9029757</v>
      </c>
      <c r="AV1373" s="80"/>
      <c r="AW1373" s="80"/>
      <c r="AX1373" s="80"/>
      <c r="AY1373" s="80"/>
      <c r="AZ1373" s="80"/>
      <c r="BA1373" s="80"/>
      <c r="BB1373" s="80"/>
      <c r="BC1373" s="80"/>
      <c r="BD1373" s="80"/>
      <c r="BE1373" s="80"/>
      <c r="BF1373" s="80"/>
      <c r="BG1373" s="80"/>
      <c r="BH1373" s="80"/>
      <c r="BI1373" s="80"/>
      <c r="BJ1373" s="80"/>
      <c r="BK1373" s="80"/>
      <c r="BL1373" s="80"/>
      <c r="BM1373" s="80"/>
      <c r="BN1373" s="80"/>
      <c r="BO1373" s="80"/>
      <c r="BP1373" s="80"/>
      <c r="BQ1373" s="80"/>
      <c r="BR1373" s="80"/>
      <c r="BS1373" s="80"/>
      <c r="BT1373" s="80"/>
      <c r="BU1373" s="80"/>
      <c r="BV1373" s="80"/>
      <c r="BW1373" s="80"/>
      <c r="BX1373" s="80"/>
      <c r="BY1373" s="80"/>
      <c r="BZ1373" s="80"/>
      <c r="CA1373" s="80"/>
      <c r="CB1373" s="80"/>
      <c r="CC1373" s="80"/>
      <c r="CD1373" s="80"/>
      <c r="CE1373" s="80"/>
      <c r="CF1373" s="80"/>
      <c r="CG1373" s="80"/>
      <c r="CH1373" s="80"/>
      <c r="CI1373" s="80"/>
      <c r="CJ1373" s="80"/>
      <c r="CK1373" s="2"/>
    </row>
    <row r="1374" ht="12.75" customHeight="1">
      <c r="A1374" s="85">
        <f>IFERROR(__xludf.DUMMYFUNCTION("""COMPUTED_VALUE"""),1370.0)</f>
        <v>1370</v>
      </c>
      <c r="B1374" s="85"/>
      <c r="C1374" s="85"/>
      <c r="D1374" s="86">
        <f>IFERROR(__xludf.DUMMYFUNCTION("""COMPUTED_VALUE"""),46254.0)</f>
        <v>46254</v>
      </c>
      <c r="E1374" s="88"/>
      <c r="F1374" s="85"/>
      <c r="G1374" s="86">
        <f>IFERROR(__xludf.DUMMYFUNCTION("""COMPUTED_VALUE"""),46258.0)</f>
        <v>46258</v>
      </c>
      <c r="H1374" s="85"/>
      <c r="I1374" s="85"/>
      <c r="J1374" s="85"/>
      <c r="K1374" s="85"/>
      <c r="L1374" s="85">
        <f>IFERROR(__xludf.DUMMYFUNCTION("""COMPUTED_VALUE"""),4.0)</f>
        <v>4</v>
      </c>
      <c r="M1374" s="85"/>
      <c r="N1374" s="85"/>
      <c r="O1374" s="85"/>
      <c r="P1374" s="85" t="str">
        <f>IFERROR(__xludf.DUMMYFUNCTION("""COMPUTED_VALUE"""),"MUCSPA70108PSAAK")</f>
        <v>MUCSPA70108PSAAK</v>
      </c>
      <c r="Q1374" s="85" t="str">
        <f>IFERROR(__xludf.DUMMYFUNCTION("""COMPUTED_VALUE"""),"MUC HADI EKSPRESS")</f>
        <v>MUC HADI EKSPRESS</v>
      </c>
      <c r="R1374" s="85" t="str">
        <f>IFERROR(__xludf.DUMMYFUNCTION("""COMPUTED_VALUE"""),"MUC HADI EKSPRESS")</f>
        <v>MUC HADI EKSPRESS</v>
      </c>
      <c r="S1374" s="85" t="str">
        <f>IFERROR(__xludf.DUMMYFUNCTION("""COMPUTED_VALUE"""),"SAMSUL HADI")</f>
        <v>SAMSUL HADI</v>
      </c>
      <c r="T1374" s="85" t="str">
        <f>IFERROR(__xludf.DUMMYFUNCTION("""COMPUTED_VALUE"""),"DSN LONSELENG BATIOH BANYUATES, KABUPATEN SAMPANG JAWA TIMUR")</f>
        <v>DSN LONSELENG BATIOH BANYUATES, KABUPATEN SAMPANG JAWA TIMUR</v>
      </c>
      <c r="U1374" s="85" t="str">
        <f>IFERROR(__xludf.DUMMYFUNCTION("""COMPUTED_VALUE"""),"Jl. Raya Batioh Waduwa, Batioh, Banyuates")</f>
        <v>Jl. Raya Batioh Waduwa, Batioh, Banyuates</v>
      </c>
      <c r="V1374" s="85"/>
      <c r="W1374" s="85" t="str">
        <f>IFERROR(__xludf.DUMMYFUNCTION("""COMPUTED_VALUE"""),"Batioh")</f>
        <v>Batioh</v>
      </c>
      <c r="X1374" s="85" t="str">
        <f>IFERROR(__xludf.DUMMYFUNCTION("""COMPUTED_VALUE"""),"Banyuates")</f>
        <v>Banyuates</v>
      </c>
      <c r="Y1374" s="85" t="str">
        <f>IFERROR(__xludf.DUMMYFUNCTION("""COMPUTED_VALUE"""),"Kab. Sampang")</f>
        <v>Kab. Sampang</v>
      </c>
      <c r="Z1374" s="85" t="str">
        <f>IFERROR(__xludf.DUMMYFUNCTION("""COMPUTED_VALUE"""),"Jawa Timur")</f>
        <v>Jawa Timur</v>
      </c>
      <c r="AA1374" s="85" t="str">
        <f>IFERROR(__xludf.DUMMYFUNCTION("""COMPUTED_VALUE"""),"69263")</f>
        <v>69263</v>
      </c>
      <c r="AB1374" s="85" t="str">
        <f>IFERROR(__xludf.DUMMYFUNCTION("""COMPUTED_VALUE"""),"3527090107800277")</f>
        <v>3527090107800277</v>
      </c>
      <c r="AC1374" s="85" t="str">
        <f>IFERROR(__xludf.DUMMYFUNCTION("""COMPUTED_VALUE"""),"35.270.901.0-780.0277")</f>
        <v>35.270.901.0-780.0277</v>
      </c>
      <c r="AD1374" s="85" t="str">
        <f>IFERROR(__xludf.DUMMYFUNCTION("""COMPUTED_VALUE"""),"CUM - LP - ANGGI")</f>
        <v>CUM - LP - ANGGI</v>
      </c>
      <c r="AE1374" s="85" t="str">
        <f>IFERROR(__xludf.DUMMYFUNCTION("""COMPUTED_VALUE"""),"CUM - LP - ANGGI")</f>
        <v>CUM - LP - ANGGI</v>
      </c>
      <c r="AF1374" s="85" t="str">
        <f>IFERROR(__xludf.DUMMYFUNCTION("""COMPUTED_VALUE"""),"081990385761")</f>
        <v>081990385761</v>
      </c>
      <c r="AG1374" s="85" t="str">
        <f>IFERROR(__xludf.DUMMYFUNCTION("""COMPUTED_VALUE"""),"081990385761")</f>
        <v>081990385761</v>
      </c>
      <c r="AH1374" s="85" t="str">
        <f>IFERROR(__xludf.DUMMYFUNCTION("""COMPUTED_VALUE"""),"samsulhadi1980@gmail.com")</f>
        <v>samsulhadi1980@gmail.com</v>
      </c>
      <c r="AI1374" s="85" t="str">
        <f>IFERROR(__xludf.DUMMYFUNCTION("""COMPUTED_VALUE"""),"69263S2")</f>
        <v>69263S2</v>
      </c>
      <c r="AJ1374" s="85" t="str">
        <f>IFERROR(__xludf.DUMMYFUNCTION("""COMPUTED_VALUE"""),"6a8c0abc458f3e00460160ad")</f>
        <v>6a8c0abc458f3e00460160ad</v>
      </c>
      <c r="AK1374" s="85" t="str">
        <f>IFERROR(__xludf.DUMMYFUNCTION("""COMPUTED_VALUE"""),"samsulhadi1980@gmail.com")</f>
        <v>samsulhadi1980@gmail.com</v>
      </c>
      <c r="AL1374" s="85" t="str">
        <f>IFERROR(__xludf.DUMMYFUNCTION("""COMPUTED_VALUE"""),"#Muc69263S2$")</f>
        <v>#Muc69263S2$</v>
      </c>
      <c r="AM1374" s="85" t="str">
        <f>IFERROR(__xludf.DUMMYFUNCTION("""COMPUTED_VALUE"""),"KANTOR REGIONAL V SURABAYA 60004")</f>
        <v>KANTOR REGIONAL V SURABAYA 60004</v>
      </c>
      <c r="AN1374" s="85" t="str">
        <f>IFERROR(__xludf.DUMMYFUNCTION("""COMPUTED_VALUE"""),"KC SAMPANG 69200")</f>
        <v>KC SAMPANG 69200</v>
      </c>
      <c r="AO1374" s="85" t="str">
        <f>IFERROR(__xludf.DUMMYFUNCTION("""COMPUTED_VALUE"""),"1908260066515")</f>
        <v>1908260066515</v>
      </c>
      <c r="AP1374" s="85" t="str">
        <f>IFERROR(__xludf.DUMMYFUNCTION("""COMPUTED_VALUE"""),"1908260066515")</f>
        <v>1908260066515</v>
      </c>
      <c r="AQ1374" s="93" t="str">
        <f>IFERROR(__xludf.DUMMYFUNCTION("""COMPUTED_VALUE"""),"720601031016532")</f>
        <v>720601031016532</v>
      </c>
      <c r="AR1374" s="85" t="str">
        <f>IFERROR(__xludf.DUMMYFUNCTION("""COMPUTED_VALUE"""),"BRI")</f>
        <v>BRI</v>
      </c>
      <c r="AS1374" s="85" t="str">
        <f>IFERROR(__xludf.DUMMYFUNCTION("""COMPUTED_VALUE"""),"SAMSUL HADI")</f>
        <v>SAMSUL HADI</v>
      </c>
      <c r="AT1374" s="85" t="str">
        <f>IFERROR(__xludf.DUMMYFUNCTION("""COMPUTED_VALUE"""),"-6.9039961,113.1915871")</f>
        <v>-6.9039961,113.1915871</v>
      </c>
      <c r="AU1374" s="85" t="str">
        <f>IFERROR(__xludf.DUMMYFUNCTION("""COMPUTED_VALUE"""),"-6.9039961,113.1915871")</f>
        <v>-6.9039961,113.1915871</v>
      </c>
      <c r="AV1374" s="85"/>
      <c r="AW1374" s="85"/>
      <c r="AX1374" s="85"/>
      <c r="AY1374" s="85"/>
      <c r="AZ1374" s="85"/>
      <c r="BA1374" s="85"/>
      <c r="BB1374" s="85"/>
      <c r="BC1374" s="85"/>
      <c r="BD1374" s="85"/>
      <c r="BE1374" s="85"/>
      <c r="BF1374" s="85"/>
      <c r="BG1374" s="85"/>
      <c r="BH1374" s="85"/>
      <c r="BI1374" s="85"/>
      <c r="BJ1374" s="85"/>
      <c r="BK1374" s="85"/>
      <c r="BL1374" s="85"/>
      <c r="BM1374" s="85"/>
      <c r="BN1374" s="85"/>
      <c r="BO1374" s="85"/>
      <c r="BP1374" s="85"/>
      <c r="BQ1374" s="85"/>
      <c r="BR1374" s="85"/>
      <c r="BS1374" s="85"/>
      <c r="BT1374" s="85"/>
      <c r="BU1374" s="85"/>
      <c r="BV1374" s="85"/>
      <c r="BW1374" s="85"/>
      <c r="BX1374" s="85"/>
      <c r="BY1374" s="85"/>
      <c r="BZ1374" s="85"/>
      <c r="CA1374" s="85"/>
      <c r="CB1374" s="85"/>
      <c r="CC1374" s="85"/>
      <c r="CD1374" s="85"/>
      <c r="CE1374" s="85"/>
      <c r="CF1374" s="85"/>
      <c r="CG1374" s="85"/>
      <c r="CH1374" s="85"/>
      <c r="CI1374" s="85"/>
      <c r="CJ1374" s="85"/>
      <c r="CK1374" s="2"/>
    </row>
    <row r="1375" ht="12.75" customHeight="1">
      <c r="A1375" s="80">
        <f>IFERROR(__xludf.DUMMYFUNCTION("""COMPUTED_VALUE"""),1371.0)</f>
        <v>1371</v>
      </c>
      <c r="B1375" s="80"/>
      <c r="C1375" s="80"/>
      <c r="D1375" s="81">
        <f>IFERROR(__xludf.DUMMYFUNCTION("""COMPUTED_VALUE"""),46254.0)</f>
        <v>46254</v>
      </c>
      <c r="E1375" s="82"/>
      <c r="F1375" s="80"/>
      <c r="G1375" s="81">
        <f>IFERROR(__xludf.DUMMYFUNCTION("""COMPUTED_VALUE"""),46280.0)</f>
        <v>46280</v>
      </c>
      <c r="H1375" s="80"/>
      <c r="I1375" s="80"/>
      <c r="J1375" s="80"/>
      <c r="K1375" s="80"/>
      <c r="L1375" s="80">
        <f>IFERROR(__xludf.DUMMYFUNCTION("""COMPUTED_VALUE"""),26.0)</f>
        <v>26</v>
      </c>
      <c r="M1375" s="80"/>
      <c r="N1375" s="80"/>
      <c r="O1375" s="80"/>
      <c r="P1375" s="80" t="str">
        <f>IFERROR(__xludf.DUMMYFUNCTION("""COMPUTED_VALUE"""),"MUCSPA70107PSAAK")</f>
        <v>MUCSPA70107PSAAK</v>
      </c>
      <c r="Q1375" s="80" t="str">
        <f>IFERROR(__xludf.DUMMYFUNCTION("""COMPUTED_VALUE"""),"MUC KENZIE SHOP")</f>
        <v>MUC KENZIE SHOP</v>
      </c>
      <c r="R1375" s="80" t="str">
        <f>IFERROR(__xludf.DUMMYFUNCTION("""COMPUTED_VALUE"""),"MUC KENZIE SHOP")</f>
        <v>MUC KENZIE SHOP</v>
      </c>
      <c r="S1375" s="80" t="str">
        <f>IFERROR(__xludf.DUMMYFUNCTION("""COMPUTED_VALUE"""),"SUNENGSIH")</f>
        <v>SUNENGSIH</v>
      </c>
      <c r="T1375" s="80" t="str">
        <f>IFERROR(__xludf.DUMMYFUNCTION("""COMPUTED_VALUE"""),"KP SEMPER RT 001 RW 003 SEMPER TIMUR CILINCING, JAKARTA UTARA DKI JAKARTA")</f>
        <v>KP SEMPER RT 001 RW 003 SEMPER TIMUR CILINCING, JAKARTA UTARA DKI JAKARTA</v>
      </c>
      <c r="U1375" s="80" t="str">
        <f>IFERROR(__xludf.DUMMYFUNCTION("""COMPUTED_VALUE"""),"Jl. Raya Pabuaran No.20, Pabuaran, Kec. Kemang, Kab. Bogor, Jawa Barat")</f>
        <v>Jl. Raya Pabuaran No.20, Pabuaran, Kec. Kemang, Kab. Bogor, Jawa Barat</v>
      </c>
      <c r="V1375" s="80" t="str">
        <f>IFERROR(__xludf.DUMMYFUNCTION("""COMPUTED_VALUE"""),"RT 001 \ RW 003")</f>
        <v>RT 001 \ RW 003</v>
      </c>
      <c r="W1375" s="80" t="str">
        <f>IFERROR(__xludf.DUMMYFUNCTION("""COMPUTED_VALUE"""),"Pabuaran")</f>
        <v>Pabuaran</v>
      </c>
      <c r="X1375" s="80" t="str">
        <f>IFERROR(__xludf.DUMMYFUNCTION("""COMPUTED_VALUE"""),"Kemang")</f>
        <v>Kemang</v>
      </c>
      <c r="Y1375" s="80" t="str">
        <f>IFERROR(__xludf.DUMMYFUNCTION("""COMPUTED_VALUE"""),"Kab. Bogor")</f>
        <v>Kab. Bogor</v>
      </c>
      <c r="Z1375" s="80" t="str">
        <f>IFERROR(__xludf.DUMMYFUNCTION("""COMPUTED_VALUE"""),"Jawa Barat")</f>
        <v>Jawa Barat</v>
      </c>
      <c r="AA1375" s="80" t="str">
        <f>IFERROR(__xludf.DUMMYFUNCTION("""COMPUTED_VALUE"""),"16310")</f>
        <v>16310</v>
      </c>
      <c r="AB1375" s="80" t="str">
        <f>IFERROR(__xludf.DUMMYFUNCTION("""COMPUTED_VALUE"""),"3172034606860016")</f>
        <v>3172034606860016</v>
      </c>
      <c r="AC1375" s="80" t="str">
        <f>IFERROR(__xludf.DUMMYFUNCTION("""COMPUTED_VALUE"""),"31.720.346.0-686.0016")</f>
        <v>31.720.346.0-686.0016</v>
      </c>
      <c r="AD1375" s="80" t="str">
        <f>IFERROR(__xludf.DUMMYFUNCTION("""COMPUTED_VALUE"""),"CUM - LP - ANGGI")</f>
        <v>CUM - LP - ANGGI</v>
      </c>
      <c r="AE1375" s="80" t="str">
        <f>IFERROR(__xludf.DUMMYFUNCTION("""COMPUTED_VALUE"""),"CUM - LP - ANGGI")</f>
        <v>CUM - LP - ANGGI</v>
      </c>
      <c r="AF1375" s="80" t="str">
        <f>IFERROR(__xludf.DUMMYFUNCTION("""COMPUTED_VALUE"""),"082297039175")</f>
        <v>082297039175</v>
      </c>
      <c r="AG1375" s="80" t="str">
        <f>IFERROR(__xludf.DUMMYFUNCTION("""COMPUTED_VALUE"""),"082297039175")</f>
        <v>082297039175</v>
      </c>
      <c r="AH1375" s="80" t="str">
        <f>IFERROR(__xludf.DUMMYFUNCTION("""COMPUTED_VALUE"""),"sunengsihnengsi735@gmail.com")</f>
        <v>sunengsihnengsi735@gmail.com</v>
      </c>
      <c r="AI1375" s="80" t="str">
        <f>IFERROR(__xludf.DUMMYFUNCTION("""COMPUTED_VALUE"""),"16312S1 ")</f>
        <v>16312S1 </v>
      </c>
      <c r="AJ1375" s="80" t="str">
        <f>IFERROR(__xludf.DUMMYFUNCTION("""COMPUTED_VALUE"""),"6aa804c994418b9d4d0f8fef ")</f>
        <v>6aa804c994418b9d4d0f8fef </v>
      </c>
      <c r="AK1375" s="80" t="str">
        <f>IFERROR(__xludf.DUMMYFUNCTION("""COMPUTED_VALUE"""),"sunengsihnengsi735@gmail.com")</f>
        <v>sunengsihnengsi735@gmail.com</v>
      </c>
      <c r="AL1375" s="80" t="str">
        <f>IFERROR(__xludf.DUMMYFUNCTION("""COMPUTED_VALUE"""),"#Muc16312S1$")</f>
        <v>#Muc16312S1$</v>
      </c>
      <c r="AM1375" s="80" t="str">
        <f>IFERROR(__xludf.DUMMYFUNCTION("""COMPUTED_VALUE"""),"KANTOR REGIONAL II JAKARTA 10004")</f>
        <v>KANTOR REGIONAL II JAKARTA 10004</v>
      </c>
      <c r="AN1375" s="80" t="str">
        <f>IFERROR(__xludf.DUMMYFUNCTION("""COMPUTED_VALUE"""),"KCU BOGOR 16000")</f>
        <v>KCU BOGOR 16000</v>
      </c>
      <c r="AO1375" s="80" t="str">
        <f>IFERROR(__xludf.DUMMYFUNCTION("""COMPUTED_VALUE"""),"1907260054566")</f>
        <v>1907260054566</v>
      </c>
      <c r="AP1375" s="80" t="str">
        <f>IFERROR(__xludf.DUMMYFUNCTION("""COMPUTED_VALUE"""),"1907260054566")</f>
        <v>1907260054566</v>
      </c>
      <c r="AQ1375" s="83" t="str">
        <f>IFERROR(__xludf.DUMMYFUNCTION("""COMPUTED_VALUE"""),"1200006460542")</f>
        <v>1200006460542</v>
      </c>
      <c r="AR1375" s="80" t="str">
        <f>IFERROR(__xludf.DUMMYFUNCTION("""COMPUTED_VALUE"""),"MANDIRI")</f>
        <v>MANDIRI</v>
      </c>
      <c r="AS1375" s="80" t="str">
        <f>IFERROR(__xludf.DUMMYFUNCTION("""COMPUTED_VALUE"""),"SUNENGSIH")</f>
        <v>SUNENGSIH</v>
      </c>
      <c r="AT1375" s="80" t="str">
        <f>IFERROR(__xludf.DUMMYFUNCTION("""COMPUTED_VALUE"""),"-6.508606,106.7455984")</f>
        <v>-6.508606,106.7455984</v>
      </c>
      <c r="AU1375" s="80" t="str">
        <f>IFERROR(__xludf.DUMMYFUNCTION("""COMPUTED_VALUE"""),"-6.508606,106.7455984")</f>
        <v>-6.508606,106.7455984</v>
      </c>
      <c r="AV1375" s="80"/>
      <c r="AW1375" s="80"/>
      <c r="AX1375" s="80"/>
      <c r="AY1375" s="80"/>
      <c r="AZ1375" s="80"/>
      <c r="BA1375" s="80"/>
      <c r="BB1375" s="80"/>
      <c r="BC1375" s="80"/>
      <c r="BD1375" s="80"/>
      <c r="BE1375" s="80"/>
      <c r="BF1375" s="80"/>
      <c r="BG1375" s="80"/>
      <c r="BH1375" s="80"/>
      <c r="BI1375" s="80"/>
      <c r="BJ1375" s="80"/>
      <c r="BK1375" s="80"/>
      <c r="BL1375" s="80"/>
      <c r="BM1375" s="80"/>
      <c r="BN1375" s="80"/>
      <c r="BO1375" s="80"/>
      <c r="BP1375" s="80"/>
      <c r="BQ1375" s="80"/>
      <c r="BR1375" s="80"/>
      <c r="BS1375" s="80"/>
      <c r="BT1375" s="80"/>
      <c r="BU1375" s="80"/>
      <c r="BV1375" s="80"/>
      <c r="BW1375" s="80"/>
      <c r="BX1375" s="80"/>
      <c r="BY1375" s="80"/>
      <c r="BZ1375" s="80"/>
      <c r="CA1375" s="80"/>
      <c r="CB1375" s="80"/>
      <c r="CC1375" s="80"/>
      <c r="CD1375" s="80"/>
      <c r="CE1375" s="80"/>
      <c r="CF1375" s="80"/>
      <c r="CG1375" s="80"/>
      <c r="CH1375" s="80"/>
      <c r="CI1375" s="80"/>
      <c r="CJ1375" s="80"/>
      <c r="CK1375" s="2"/>
    </row>
    <row r="1376" ht="12.75" customHeight="1">
      <c r="A1376" s="85">
        <f>IFERROR(__xludf.DUMMYFUNCTION("""COMPUTED_VALUE"""),1372.0)</f>
        <v>1372</v>
      </c>
      <c r="B1376" s="85"/>
      <c r="C1376" s="85"/>
      <c r="D1376" s="86">
        <f>IFERROR(__xludf.DUMMYFUNCTION("""COMPUTED_VALUE"""),46255.0)</f>
        <v>46255</v>
      </c>
      <c r="E1376" s="88"/>
      <c r="F1376" s="85"/>
      <c r="G1376" s="86">
        <f>IFERROR(__xludf.DUMMYFUNCTION("""COMPUTED_VALUE"""),46280.0)</f>
        <v>46280</v>
      </c>
      <c r="H1376" s="85"/>
      <c r="I1376" s="85"/>
      <c r="J1376" s="85"/>
      <c r="K1376" s="85"/>
      <c r="L1376" s="85">
        <f>IFERROR(__xludf.DUMMYFUNCTION("""COMPUTED_VALUE"""),25.0)</f>
        <v>25</v>
      </c>
      <c r="M1376" s="85"/>
      <c r="N1376" s="85"/>
      <c r="O1376" s="85"/>
      <c r="P1376" s="85" t="str">
        <f>IFERROR(__xludf.DUMMYFUNCTION("""COMPUTED_VALUE"""),"53BSPA17184JBNDS")</f>
        <v>53BSPA17184JBNDS</v>
      </c>
      <c r="Q1376" s="85" t="str">
        <f>IFERROR(__xludf.DUMMYFUNCTION("""COMPUTED_VALUE"""),"MUC STATIONMEDIA")</f>
        <v>MUC STATIONMEDIA</v>
      </c>
      <c r="R1376" s="85" t="str">
        <f>IFERROR(__xludf.DUMMYFUNCTION("""COMPUTED_VALUE"""),"MUC STATIONMEDIA")</f>
        <v>MUC STATIONMEDIA</v>
      </c>
      <c r="S1376" s="85" t="str">
        <f>IFERROR(__xludf.DUMMYFUNCTION("""COMPUTED_VALUE"""),"JAENUDIN SETIAWAN")</f>
        <v>JAENUDIN SETIAWAN</v>
      </c>
      <c r="T1376" s="85" t="str">
        <f>IFERROR(__xludf.DUMMYFUNCTION("""COMPUTED_VALUE"""),"KEBON PALA RT.01 RW.14 PEJAGALAN PENJARINGAN, JAKARTA UTARA DKI JAKARTA")</f>
        <v>KEBON PALA RT.01 RW.14 PEJAGALAN PENJARINGAN, JAKARTA UTARA DKI JAKARTA</v>
      </c>
      <c r="U1376" s="85" t="str">
        <f>IFERROR(__xludf.DUMMYFUNCTION("""COMPUTED_VALUE"""),"JL PLUIT KARANG KARYA 6 RT 006/016 PEJAGALAN")</f>
        <v>JL PLUIT KARANG KARYA 6 RT 006/016 PEJAGALAN</v>
      </c>
      <c r="V1376" s="85" t="str">
        <f>IFERROR(__xludf.DUMMYFUNCTION("""COMPUTED_VALUE"""),"RT.01  \ RW.14")</f>
        <v>RT.01  \ RW.14</v>
      </c>
      <c r="W1376" s="85" t="str">
        <f>IFERROR(__xludf.DUMMYFUNCTION("""COMPUTED_VALUE"""),"Pejagalan")</f>
        <v>Pejagalan</v>
      </c>
      <c r="X1376" s="85" t="str">
        <f>IFERROR(__xludf.DUMMYFUNCTION("""COMPUTED_VALUE"""),"Penjaringan")</f>
        <v>Penjaringan</v>
      </c>
      <c r="Y1376" s="85" t="str">
        <f>IFERROR(__xludf.DUMMYFUNCTION("""COMPUTED_VALUE"""),"Jakarta Utara")</f>
        <v>Jakarta Utara</v>
      </c>
      <c r="Z1376" s="85" t="str">
        <f>IFERROR(__xludf.DUMMYFUNCTION("""COMPUTED_VALUE"""),"DKI Jakarta")</f>
        <v>DKI Jakarta</v>
      </c>
      <c r="AA1376" s="85" t="str">
        <f>IFERROR(__xludf.DUMMYFUNCTION("""COMPUTED_VALUE"""),"14450")</f>
        <v>14450</v>
      </c>
      <c r="AB1376" s="85" t="str">
        <f>IFERROR(__xludf.DUMMYFUNCTION("""COMPUTED_VALUE"""),"3172012502830001")</f>
        <v>3172012502830001</v>
      </c>
      <c r="AC1376" s="85" t="str">
        <f>IFERROR(__xludf.DUMMYFUNCTION("""COMPUTED_VALUE"""),"10.000.000.0-059.7856")</f>
        <v>10.000.000.0-059.7856</v>
      </c>
      <c r="AD1376" s="85" t="str">
        <f>IFERROR(__xludf.DUMMYFUNCTION("""COMPUTED_VALUE"""),"CUM - NDS")</f>
        <v>CUM - NDS</v>
      </c>
      <c r="AE1376" s="85" t="str">
        <f>IFERROR(__xludf.DUMMYFUNCTION("""COMPUTED_VALUE"""),"CUM - NDS")</f>
        <v>CUM - NDS</v>
      </c>
      <c r="AF1376" s="85" t="str">
        <f>IFERROR(__xludf.DUMMYFUNCTION("""COMPUTED_VALUE"""),"081511956253")</f>
        <v>081511956253</v>
      </c>
      <c r="AG1376" s="85" t="str">
        <f>IFERROR(__xludf.DUMMYFUNCTION("""COMPUTED_VALUE"""),"081511956253")</f>
        <v>081511956253</v>
      </c>
      <c r="AH1376" s="85" t="str">
        <f>IFERROR(__xludf.DUMMYFUNCTION("""COMPUTED_VALUE"""),"rakutijay22@gmail.com")</f>
        <v>rakutijay22@gmail.com</v>
      </c>
      <c r="AI1376" s="85" t="str">
        <f>IFERROR(__xludf.DUMMYFUNCTION("""COMPUTED_VALUE"""),"14450S6 ")</f>
        <v>14450S6 </v>
      </c>
      <c r="AJ1376" s="85" t="str">
        <f>IFERROR(__xludf.DUMMYFUNCTION("""COMPUTED_VALUE"""),"6aa7fcb68efa55d3860e32f4 ")</f>
        <v>6aa7fcb68efa55d3860e32f4 </v>
      </c>
      <c r="AK1376" s="85" t="str">
        <f>IFERROR(__xludf.DUMMYFUNCTION("""COMPUTED_VALUE"""),"rakutijay22@gmail.com")</f>
        <v>rakutijay22@gmail.com</v>
      </c>
      <c r="AL1376" s="85" t="str">
        <f>IFERROR(__xludf.DUMMYFUNCTION("""COMPUTED_VALUE"""),"#Muc14450S6$")</f>
        <v>#Muc14450S6$</v>
      </c>
      <c r="AM1376" s="85" t="str">
        <f>IFERROR(__xludf.DUMMYFUNCTION("""COMPUTED_VALUE"""),"KANTOR REGIONAL II JAKARTA 10004")</f>
        <v>KANTOR REGIONAL II JAKARTA 10004</v>
      </c>
      <c r="AN1376" s="85" t="str">
        <f>IFERROR(__xludf.DUMMYFUNCTION("""COMPUTED_VALUE"""),"KCU JAKARTAPREMIER 13000")</f>
        <v>KCU JAKARTAPREMIER 13000</v>
      </c>
      <c r="AO1376" s="85" t="str">
        <f>IFERROR(__xludf.DUMMYFUNCTION("""COMPUTED_VALUE"""),"0505230077816")</f>
        <v>0505230077816</v>
      </c>
      <c r="AP1376" s="85" t="str">
        <f>IFERROR(__xludf.DUMMYFUNCTION("""COMPUTED_VALUE"""),"0505230077816")</f>
        <v>0505230077816</v>
      </c>
      <c r="AQ1376" s="93" t="str">
        <f>IFERROR(__xludf.DUMMYFUNCTION("""COMPUTED_VALUE"""),"2770515851")</f>
        <v>2770515851</v>
      </c>
      <c r="AR1376" s="85" t="str">
        <f>IFERROR(__xludf.DUMMYFUNCTION("""COMPUTED_VALUE"""),"BCA")</f>
        <v>BCA</v>
      </c>
      <c r="AS1376" s="85" t="str">
        <f>IFERROR(__xludf.DUMMYFUNCTION("""COMPUTED_VALUE"""),"JAENUDIN SETIAWAN")</f>
        <v>JAENUDIN SETIAWAN</v>
      </c>
      <c r="AT1376" s="85" t="str">
        <f>IFERROR(__xludf.DUMMYFUNCTION("""COMPUTED_VALUE"""),"-6.1298746,106.7824373")</f>
        <v>-6.1298746,106.7824373</v>
      </c>
      <c r="AU1376" s="85" t="str">
        <f>IFERROR(__xludf.DUMMYFUNCTION("""COMPUTED_VALUE"""),"-6.1298746,106.7824373")</f>
        <v>-6.1298746,106.7824373</v>
      </c>
      <c r="AV1376" s="85"/>
      <c r="AW1376" s="85"/>
      <c r="AX1376" s="85"/>
      <c r="AY1376" s="85"/>
      <c r="AZ1376" s="85"/>
      <c r="BA1376" s="85"/>
      <c r="BB1376" s="85"/>
      <c r="BC1376" s="85"/>
      <c r="BD1376" s="85"/>
      <c r="BE1376" s="85"/>
      <c r="BF1376" s="85"/>
      <c r="BG1376" s="85"/>
      <c r="BH1376" s="85"/>
      <c r="BI1376" s="85"/>
      <c r="BJ1376" s="85"/>
      <c r="BK1376" s="85"/>
      <c r="BL1376" s="85"/>
      <c r="BM1376" s="85"/>
      <c r="BN1376" s="85"/>
      <c r="BO1376" s="85"/>
      <c r="BP1376" s="85"/>
      <c r="BQ1376" s="85"/>
      <c r="BR1376" s="85"/>
      <c r="BS1376" s="85"/>
      <c r="BT1376" s="85"/>
      <c r="BU1376" s="85"/>
      <c r="BV1376" s="85"/>
      <c r="BW1376" s="85"/>
      <c r="BX1376" s="85"/>
      <c r="BY1376" s="85"/>
      <c r="BZ1376" s="85"/>
      <c r="CA1376" s="85"/>
      <c r="CB1376" s="85"/>
      <c r="CC1376" s="85"/>
      <c r="CD1376" s="85"/>
      <c r="CE1376" s="85"/>
      <c r="CF1376" s="85"/>
      <c r="CG1376" s="85"/>
      <c r="CH1376" s="85"/>
      <c r="CI1376" s="85"/>
      <c r="CJ1376" s="85"/>
      <c r="CK1376" s="2"/>
    </row>
    <row r="1377" ht="12.75" customHeight="1">
      <c r="A1377" s="80">
        <f>IFERROR(__xludf.DUMMYFUNCTION("""COMPUTED_VALUE"""),1373.0)</f>
        <v>1373</v>
      </c>
      <c r="B1377" s="80"/>
      <c r="C1377" s="80"/>
      <c r="D1377" s="81">
        <f>IFERROR(__xludf.DUMMYFUNCTION("""COMPUTED_VALUE"""),46255.0)</f>
        <v>46255</v>
      </c>
      <c r="E1377" s="82"/>
      <c r="F1377" s="80"/>
      <c r="G1377" s="81">
        <f>IFERROR(__xludf.DUMMYFUNCTION("""COMPUTED_VALUE"""),46279.0)</f>
        <v>46279</v>
      </c>
      <c r="H1377" s="80"/>
      <c r="I1377" s="80"/>
      <c r="J1377" s="80"/>
      <c r="K1377" s="80"/>
      <c r="L1377" s="80">
        <f>IFERROR(__xludf.DUMMYFUNCTION("""COMPUTED_VALUE"""),24.0)</f>
        <v>24</v>
      </c>
      <c r="M1377" s="80"/>
      <c r="N1377" s="80"/>
      <c r="O1377" s="80"/>
      <c r="P1377" s="80" t="str">
        <f>IFERROR(__xludf.DUMMYFUNCTION("""COMPUTED_VALUE"""),"MUC70207UMKMSKB1")</f>
        <v>MUC70207UMKMSKB1</v>
      </c>
      <c r="Q1377" s="80" t="str">
        <f>IFERROR(__xludf.DUMMYFUNCTION("""COMPUTED_VALUE"""),"MUC AMANAH LIGARSARI")</f>
        <v>MUC AMANAH LIGARSARI</v>
      </c>
      <c r="R1377" s="80" t="str">
        <f>IFERROR(__xludf.DUMMYFUNCTION("""COMPUTED_VALUE"""),"MUC AMANAH LIGARSARI")</f>
        <v>MUC AMANAH LIGARSARI</v>
      </c>
      <c r="S1377" s="80" t="str">
        <f>IFERROR(__xludf.DUMMYFUNCTION("""COMPUTED_VALUE"""),"TITA SUMARTIN")</f>
        <v>TITA SUMARTIN</v>
      </c>
      <c r="T1377" s="80" t="str">
        <f>IFERROR(__xludf.DUMMYFUNCTION("""COMPUTED_VALUE"""),"LIGARSARI RT 001 RW 001 MEKARJAYA JAMPANG KULON, KABUPATEN SUKABUMI JAWA BARAT")</f>
        <v>LIGARSARI RT 001 RW 001 MEKARJAYA JAMPANG KULON, KABUPATEN SUKABUMI JAWA BARAT</v>
      </c>
      <c r="U1377" s="80" t="str">
        <f>IFERROR(__xludf.DUMMYFUNCTION("""COMPUTED_VALUE"""),"Kp. Ligasarsari RT.001 RW.001 Mekarjaya Jampangkulon Kab.Sukabumi")</f>
        <v>Kp. Ligasarsari RT.001 RW.001 Mekarjaya Jampangkulon Kab.Sukabumi</v>
      </c>
      <c r="V1377" s="80" t="str">
        <f>IFERROR(__xludf.DUMMYFUNCTION("""COMPUTED_VALUE"""),"RT 001 \ RW 001")</f>
        <v>RT 001 \ RW 001</v>
      </c>
      <c r="W1377" s="80" t="str">
        <f>IFERROR(__xludf.DUMMYFUNCTION("""COMPUTED_VALUE"""),"Mekarjaya")</f>
        <v>Mekarjaya</v>
      </c>
      <c r="X1377" s="80" t="str">
        <f>IFERROR(__xludf.DUMMYFUNCTION("""COMPUTED_VALUE"""),"Jampangkulon")</f>
        <v>Jampangkulon</v>
      </c>
      <c r="Y1377" s="80" t="str">
        <f>IFERROR(__xludf.DUMMYFUNCTION("""COMPUTED_VALUE"""),"Kab.Sukabumi")</f>
        <v>Kab.Sukabumi</v>
      </c>
      <c r="Z1377" s="80" t="str">
        <f>IFERROR(__xludf.DUMMYFUNCTION("""COMPUTED_VALUE"""),"Jawa Barat")</f>
        <v>Jawa Barat</v>
      </c>
      <c r="AA1377" s="80" t="str">
        <f>IFERROR(__xludf.DUMMYFUNCTION("""COMPUTED_VALUE"""),"43178")</f>
        <v>43178</v>
      </c>
      <c r="AB1377" s="80" t="str">
        <f>IFERROR(__xludf.DUMMYFUNCTION("""COMPUTED_VALUE"""),"3202214105750001")</f>
        <v>3202214105750001</v>
      </c>
      <c r="AC1377" s="80" t="str">
        <f>IFERROR(__xludf.DUMMYFUNCTION("""COMPUTED_VALUE"""),"44.366.316.6-405.000")</f>
        <v>44.366.316.6-405.000</v>
      </c>
      <c r="AD1377" s="80" t="str">
        <f>IFERROR(__xludf.DUMMYFUNCTION("""COMPUTED_VALUE"""),"umkm sukabumi")</f>
        <v>umkm sukabumi</v>
      </c>
      <c r="AE1377" s="80" t="str">
        <f>IFERROR(__xludf.DUMMYFUNCTION("""COMPUTED_VALUE"""),"umkm sukabumi")</f>
        <v>umkm sukabumi</v>
      </c>
      <c r="AF1377" s="80" t="str">
        <f>IFERROR(__xludf.DUMMYFUNCTION("""COMPUTED_VALUE"""),"081563332931")</f>
        <v>081563332931</v>
      </c>
      <c r="AG1377" s="80" t="str">
        <f>IFERROR(__xludf.DUMMYFUNCTION("""COMPUTED_VALUE"""),"081563332931")</f>
        <v>081563332931</v>
      </c>
      <c r="AH1377" s="80" t="str">
        <f>IFERROR(__xludf.DUMMYFUNCTION("""COMPUTED_VALUE"""),"titasumartin75@gmail.com")</f>
        <v>titasumartin75@gmail.com</v>
      </c>
      <c r="AI1377" s="80" t="str">
        <f>IFERROR(__xludf.DUMMYFUNCTION("""COMPUTED_VALUE"""),"43378S2 ")</f>
        <v>43378S2 </v>
      </c>
      <c r="AJ1377" s="80" t="str">
        <f>IFERROR(__xludf.DUMMYFUNCTION("""COMPUTED_VALUE"""),"6aa7a389b1b95a30f10ad9b7 ")</f>
        <v>6aa7a389b1b95a30f10ad9b7 </v>
      </c>
      <c r="AK1377" s="80" t="str">
        <f>IFERROR(__xludf.DUMMYFUNCTION("""COMPUTED_VALUE"""),"titasumartin75@gmail.com")</f>
        <v>titasumartin75@gmail.com</v>
      </c>
      <c r="AL1377" s="80" t="str">
        <f>IFERROR(__xludf.DUMMYFUNCTION("""COMPUTED_VALUE"""),"#Muc43378S2$")</f>
        <v>#Muc43378S2$</v>
      </c>
      <c r="AM1377" s="80" t="str">
        <f>IFERROR(__xludf.DUMMYFUNCTION("""COMPUTED_VALUE"""),"KANTOR REGIONAL III BANDUNG 40004")</f>
        <v>KANTOR REGIONAL III BANDUNG 40004</v>
      </c>
      <c r="AN1377" s="80" t="str">
        <f>IFERROR(__xludf.DUMMYFUNCTION("""COMPUTED_VALUE"""),"KC SUKABUMI 43100")</f>
        <v>KC SUKABUMI 43100</v>
      </c>
      <c r="AO1377" s="80" t="str">
        <f>IFERROR(__xludf.DUMMYFUNCTION("""COMPUTED_VALUE"""),"1908260024384")</f>
        <v>1908260024384</v>
      </c>
      <c r="AP1377" s="80" t="str">
        <f>IFERROR(__xludf.DUMMYFUNCTION("""COMPUTED_VALUE"""),"1908260024384")</f>
        <v>1908260024384</v>
      </c>
      <c r="AQ1377" s="83" t="str">
        <f>IFERROR(__xludf.DUMMYFUNCTION("""COMPUTED_VALUE"""),"7194537152")</f>
        <v>7194537152</v>
      </c>
      <c r="AR1377" s="80" t="str">
        <f>IFERROR(__xludf.DUMMYFUNCTION("""COMPUTED_VALUE"""),"BSI")</f>
        <v>BSI</v>
      </c>
      <c r="AS1377" s="80" t="str">
        <f>IFERROR(__xludf.DUMMYFUNCTION("""COMPUTED_VALUE"""),"TITA SUMARTIN")</f>
        <v>TITA SUMARTIN</v>
      </c>
      <c r="AT1377" s="80" t="str">
        <f>IFERROR(__xludf.DUMMYFUNCTION("""COMPUTED_VALUE"""),"-7.2725572,106.6344708")</f>
        <v>-7.2725572,106.6344708</v>
      </c>
      <c r="AU1377" s="80" t="str">
        <f>IFERROR(__xludf.DUMMYFUNCTION("""COMPUTED_VALUE"""),"-7.2725572,106.6344708")</f>
        <v>-7.2725572,106.6344708</v>
      </c>
      <c r="AV1377" s="80"/>
      <c r="AW1377" s="80"/>
      <c r="AX1377" s="80"/>
      <c r="AY1377" s="80"/>
      <c r="AZ1377" s="80"/>
      <c r="BA1377" s="80"/>
      <c r="BB1377" s="80"/>
      <c r="BC1377" s="80"/>
      <c r="BD1377" s="80"/>
      <c r="BE1377" s="80"/>
      <c r="BF1377" s="80"/>
      <c r="BG1377" s="80"/>
      <c r="BH1377" s="80"/>
      <c r="BI1377" s="80"/>
      <c r="BJ1377" s="80"/>
      <c r="BK1377" s="80"/>
      <c r="BL1377" s="80"/>
      <c r="BM1377" s="80"/>
      <c r="BN1377" s="80"/>
      <c r="BO1377" s="80"/>
      <c r="BP1377" s="80"/>
      <c r="BQ1377" s="80"/>
      <c r="BR1377" s="80"/>
      <c r="BS1377" s="80"/>
      <c r="BT1377" s="80"/>
      <c r="BU1377" s="80"/>
      <c r="BV1377" s="80"/>
      <c r="BW1377" s="80"/>
      <c r="BX1377" s="80"/>
      <c r="BY1377" s="80"/>
      <c r="BZ1377" s="80"/>
      <c r="CA1377" s="80"/>
      <c r="CB1377" s="80"/>
      <c r="CC1377" s="80"/>
      <c r="CD1377" s="80"/>
      <c r="CE1377" s="80"/>
      <c r="CF1377" s="80"/>
      <c r="CG1377" s="80"/>
      <c r="CH1377" s="80"/>
      <c r="CI1377" s="80"/>
      <c r="CJ1377" s="80"/>
      <c r="CK1377" s="2"/>
    </row>
    <row r="1378" ht="12.75" customHeight="1">
      <c r="A1378" s="85">
        <f>IFERROR(__xludf.DUMMYFUNCTION("""COMPUTED_VALUE"""),1374.0)</f>
        <v>1374</v>
      </c>
      <c r="B1378" s="85"/>
      <c r="C1378" s="85"/>
      <c r="D1378" s="86">
        <f>IFERROR(__xludf.DUMMYFUNCTION("""COMPUTED_VALUE"""),46255.0)</f>
        <v>46255</v>
      </c>
      <c r="E1378" s="88"/>
      <c r="F1378" s="85"/>
      <c r="G1378" s="86">
        <f>IFERROR(__xludf.DUMMYFUNCTION("""COMPUTED_VALUE"""),46280.0)</f>
        <v>46280</v>
      </c>
      <c r="H1378" s="85"/>
      <c r="I1378" s="85"/>
      <c r="J1378" s="85"/>
      <c r="K1378" s="85"/>
      <c r="L1378" s="85">
        <f>IFERROR(__xludf.DUMMYFUNCTION("""COMPUTED_VALUE"""),25.0)</f>
        <v>25</v>
      </c>
      <c r="M1378" s="85"/>
      <c r="N1378" s="85"/>
      <c r="O1378" s="85"/>
      <c r="P1378" s="85" t="str">
        <f>IFERROR(__xludf.DUMMYFUNCTION("""COMPUTED_VALUE"""),"MUC70209UMKMSKB1")</f>
        <v>MUC70209UMKMSKB1</v>
      </c>
      <c r="Q1378" s="85" t="str">
        <f>IFERROR(__xludf.DUMMYFUNCTION("""COMPUTED_VALUE"""),"MUC MUNTAHA")</f>
        <v>MUC MUNTAHA</v>
      </c>
      <c r="R1378" s="85" t="str">
        <f>IFERROR(__xludf.DUMMYFUNCTION("""COMPUTED_VALUE"""),"MUC MUNTAHA")</f>
        <v>MUC MUNTAHA</v>
      </c>
      <c r="S1378" s="85" t="str">
        <f>IFERROR(__xludf.DUMMYFUNCTION("""COMPUTED_VALUE"""),"A. MUNTAHA")</f>
        <v>A. MUNTAHA</v>
      </c>
      <c r="T1378" s="85" t="str">
        <f>IFERROR(__xludf.DUMMYFUNCTION("""COMPUTED_VALUE"""),"KP. CIJAGUNG RT 028 RW 007 GEDEPANGRANGO KADUDAMPIT KABUPATEN SUKABUMI JAWA BARAT")</f>
        <v>KP. CIJAGUNG RT 028 RW 007 GEDEPANGRANGO KADUDAMPIT KABUPATEN SUKABUMI JAWA BARAT</v>
      </c>
      <c r="U1378" s="85" t="str">
        <f>IFERROR(__xludf.DUMMYFUNCTION("""COMPUTED_VALUE"""),"Kampung Cijagung Jl. Kp. Sawo, Gedepangrango, Kec. Kadudampit")</f>
        <v>Kampung Cijagung Jl. Kp. Sawo, Gedepangrango, Kec. Kadudampit</v>
      </c>
      <c r="V1378" s="85" t="str">
        <f>IFERROR(__xludf.DUMMYFUNCTION("""COMPUTED_VALUE"""),"RT 028 \ RW 007")</f>
        <v>RT 028 \ RW 007</v>
      </c>
      <c r="W1378" s="85" t="str">
        <f>IFERROR(__xludf.DUMMYFUNCTION("""COMPUTED_VALUE"""),"Gedepangrango")</f>
        <v>Gedepangrango</v>
      </c>
      <c r="X1378" s="85" t="str">
        <f>IFERROR(__xludf.DUMMYFUNCTION("""COMPUTED_VALUE"""),"Kadudampit")</f>
        <v>Kadudampit</v>
      </c>
      <c r="Y1378" s="85" t="str">
        <f>IFERROR(__xludf.DUMMYFUNCTION("""COMPUTED_VALUE"""),"Kab. Sukabumi")</f>
        <v>Kab. Sukabumi</v>
      </c>
      <c r="Z1378" s="85" t="str">
        <f>IFERROR(__xludf.DUMMYFUNCTION("""COMPUTED_VALUE"""),"Jawa Barat")</f>
        <v>Jawa Barat</v>
      </c>
      <c r="AA1378" s="85" t="str">
        <f>IFERROR(__xludf.DUMMYFUNCTION("""COMPUTED_VALUE"""),"43153")</f>
        <v>43153</v>
      </c>
      <c r="AB1378" s="85" t="str">
        <f>IFERROR(__xludf.DUMMYFUNCTION("""COMPUTED_VALUE"""),"3202291209670006")</f>
        <v>3202291209670006</v>
      </c>
      <c r="AC1378" s="85" t="str">
        <f>IFERROR(__xludf.DUMMYFUNCTION("""COMPUTED_VALUE"""),"91.252.433.7-405.000")</f>
        <v>91.252.433.7-405.000</v>
      </c>
      <c r="AD1378" s="85" t="str">
        <f>IFERROR(__xludf.DUMMYFUNCTION("""COMPUTED_VALUE"""),"umkm sukabumi")</f>
        <v>umkm sukabumi</v>
      </c>
      <c r="AE1378" s="85" t="str">
        <f>IFERROR(__xludf.DUMMYFUNCTION("""COMPUTED_VALUE"""),"umkm sukabumi")</f>
        <v>umkm sukabumi</v>
      </c>
      <c r="AF1378" s="85" t="str">
        <f>IFERROR(__xludf.DUMMYFUNCTION("""COMPUTED_VALUE"""),"085721111876")</f>
        <v>085721111876</v>
      </c>
      <c r="AG1378" s="85" t="str">
        <f>IFERROR(__xludf.DUMMYFUNCTION("""COMPUTED_VALUE"""),"085721111876")</f>
        <v>085721111876</v>
      </c>
      <c r="AH1378" s="85" t="str">
        <f>IFERROR(__xludf.DUMMYFUNCTION("""COMPUTED_VALUE"""),"amungmth@gmail.com")</f>
        <v>amungmth@gmail.com</v>
      </c>
      <c r="AI1378" s="85" t="str">
        <f>IFERROR(__xludf.DUMMYFUNCTION("""COMPUTED_VALUE"""),"43343S1 ")</f>
        <v>43343S1 </v>
      </c>
      <c r="AJ1378" s="85" t="str">
        <f>IFERROR(__xludf.DUMMYFUNCTION("""COMPUTED_VALUE"""),"6aa8e548052f06709e0aa53b ")</f>
        <v>6aa8e548052f06709e0aa53b </v>
      </c>
      <c r="AK1378" s="85" t="str">
        <f>IFERROR(__xludf.DUMMYFUNCTION("""COMPUTED_VALUE"""),"amungmth@gmail.com")</f>
        <v>amungmth@gmail.com</v>
      </c>
      <c r="AL1378" s="85" t="str">
        <f>IFERROR(__xludf.DUMMYFUNCTION("""COMPUTED_VALUE"""),"#Muc43343S1$")</f>
        <v>#Muc43343S1$</v>
      </c>
      <c r="AM1378" s="85" t="str">
        <f>IFERROR(__xludf.DUMMYFUNCTION("""COMPUTED_VALUE"""),"KANTOR REGIONAL III BANDUNG 40004")</f>
        <v>KANTOR REGIONAL III BANDUNG 40004</v>
      </c>
      <c r="AN1378" s="85" t="str">
        <f>IFERROR(__xludf.DUMMYFUNCTION("""COMPUTED_VALUE"""),"KC SUKABUMI 43100")</f>
        <v>KC SUKABUMI 43100</v>
      </c>
      <c r="AO1378" s="85" t="str">
        <f>IFERROR(__xludf.DUMMYFUNCTION("""COMPUTED_VALUE"""),"1246000710233")</f>
        <v>1246000710233</v>
      </c>
      <c r="AP1378" s="85" t="str">
        <f>IFERROR(__xludf.DUMMYFUNCTION("""COMPUTED_VALUE"""),"1246000710233")</f>
        <v>1246000710233</v>
      </c>
      <c r="AQ1378" s="93" t="str">
        <f>IFERROR(__xludf.DUMMYFUNCTION("""COMPUTED_VALUE"""),"0380143437")</f>
        <v>0380143437</v>
      </c>
      <c r="AR1378" s="85" t="str">
        <f>IFERROR(__xludf.DUMMYFUNCTION("""COMPUTED_VALUE"""),"BCA")</f>
        <v>BCA</v>
      </c>
      <c r="AS1378" s="85" t="str">
        <f>IFERROR(__xludf.DUMMYFUNCTION("""COMPUTED_VALUE"""),"A. MUNTAHA")</f>
        <v>A. MUNTAHA</v>
      </c>
      <c r="AT1378" s="85" t="str">
        <f>IFERROR(__xludf.DUMMYFUNCTION("""COMPUTED_VALUE"""),"-6.849152,106.923819")</f>
        <v>-6.849152,106.923819</v>
      </c>
      <c r="AU1378" s="85" t="str">
        <f>IFERROR(__xludf.DUMMYFUNCTION("""COMPUTED_VALUE"""),"-6.849152,106.923819")</f>
        <v>-6.849152,106.923819</v>
      </c>
      <c r="AV1378" s="85"/>
      <c r="AW1378" s="85"/>
      <c r="AX1378" s="85"/>
      <c r="AY1378" s="85"/>
      <c r="AZ1378" s="85"/>
      <c r="BA1378" s="85"/>
      <c r="BB1378" s="85"/>
      <c r="BC1378" s="85"/>
      <c r="BD1378" s="85"/>
      <c r="BE1378" s="85"/>
      <c r="BF1378" s="85"/>
      <c r="BG1378" s="85"/>
      <c r="BH1378" s="85"/>
      <c r="BI1378" s="85"/>
      <c r="BJ1378" s="85"/>
      <c r="BK1378" s="85"/>
      <c r="BL1378" s="85"/>
      <c r="BM1378" s="85"/>
      <c r="BN1378" s="85"/>
      <c r="BO1378" s="85"/>
      <c r="BP1378" s="85"/>
      <c r="BQ1378" s="85"/>
      <c r="BR1378" s="85"/>
      <c r="BS1378" s="85"/>
      <c r="BT1378" s="85"/>
      <c r="BU1378" s="85"/>
      <c r="BV1378" s="85"/>
      <c r="BW1378" s="85"/>
      <c r="BX1378" s="85"/>
      <c r="BY1378" s="85"/>
      <c r="BZ1378" s="85"/>
      <c r="CA1378" s="85"/>
      <c r="CB1378" s="85"/>
      <c r="CC1378" s="85"/>
      <c r="CD1378" s="85"/>
      <c r="CE1378" s="85"/>
      <c r="CF1378" s="85"/>
      <c r="CG1378" s="85"/>
      <c r="CH1378" s="85"/>
      <c r="CI1378" s="85"/>
      <c r="CJ1378" s="85"/>
      <c r="CK1378" s="2"/>
    </row>
    <row r="1379" ht="12.75" customHeight="1">
      <c r="A1379" s="80">
        <f>IFERROR(__xludf.DUMMYFUNCTION("""COMPUTED_VALUE"""),1375.0)</f>
        <v>1375</v>
      </c>
      <c r="B1379" s="80"/>
      <c r="C1379" s="80"/>
      <c r="D1379" s="81">
        <f>IFERROR(__xludf.DUMMYFUNCTION("""COMPUTED_VALUE"""),46255.0)</f>
        <v>46255</v>
      </c>
      <c r="E1379" s="82"/>
      <c r="F1379" s="80"/>
      <c r="G1379" s="81">
        <f>IFERROR(__xludf.DUMMYFUNCTION("""COMPUTED_VALUE"""),46280.0)</f>
        <v>46280</v>
      </c>
      <c r="H1379" s="80"/>
      <c r="I1379" s="80"/>
      <c r="J1379" s="80"/>
      <c r="K1379" s="80"/>
      <c r="L1379" s="80">
        <f>IFERROR(__xludf.DUMMYFUNCTION("""COMPUTED_VALUE"""),25.0)</f>
        <v>25</v>
      </c>
      <c r="M1379" s="80"/>
      <c r="N1379" s="80"/>
      <c r="O1379" s="80"/>
      <c r="P1379" s="80" t="str">
        <f>IFERROR(__xludf.DUMMYFUNCTION("""COMPUTED_VALUE"""),"MUC70210UMKMSKB1")</f>
        <v>MUC70210UMKMSKB1</v>
      </c>
      <c r="Q1379" s="80" t="str">
        <f>IFERROR(__xludf.DUMMYFUNCTION("""COMPUTED_VALUE"""),"MUC SALMA CIPTA CEMERLANG")</f>
        <v>MUC SALMA CIPTA CEMERLANG</v>
      </c>
      <c r="R1379" s="80" t="str">
        <f>IFERROR(__xludf.DUMMYFUNCTION("""COMPUTED_VALUE"""),"MUC SALMA CIPTA CEMERLANG")</f>
        <v>MUC SALMA CIPTA CEMERLANG</v>
      </c>
      <c r="S1379" s="80" t="str">
        <f>IFERROR(__xludf.DUMMYFUNCTION("""COMPUTED_VALUE"""),"ROMY HERDYA PRAYOGA, SH")</f>
        <v>ROMY HERDYA PRAYOGA, SH</v>
      </c>
      <c r="T1379" s="80" t="str">
        <f>IFERROR(__xludf.DUMMYFUNCTION("""COMPUTED_VALUE"""),"KP. TALAGASARI RT.003/006 SIRNARESMI GUNUNGGURUH KABUPATEN SUKABUMI JAWA BARAT")</f>
        <v>KP. TALAGASARI RT.003/006 SIRNARESMI GUNUNGGURUH KABUPATEN SUKABUMI JAWA BARAT</v>
      </c>
      <c r="U1379" s="80" t="str">
        <f>IFERROR(__xludf.DUMMYFUNCTION("""COMPUTED_VALUE"""),"Jln. Pelabuhan Dua Km.11 Kp. Talagasari RT03/06 Ds. Sirnaresmi")</f>
        <v>Jln. Pelabuhan Dua Km.11 Kp. Talagasari RT03/06 Ds. Sirnaresmi</v>
      </c>
      <c r="V1379" s="80"/>
      <c r="W1379" s="80" t="str">
        <f>IFERROR(__xludf.DUMMYFUNCTION("""COMPUTED_VALUE"""),"Sirnaresmi")</f>
        <v>Sirnaresmi</v>
      </c>
      <c r="X1379" s="80" t="str">
        <f>IFERROR(__xludf.DUMMYFUNCTION("""COMPUTED_VALUE"""),"Gunungguruh")</f>
        <v>Gunungguruh</v>
      </c>
      <c r="Y1379" s="80" t="str">
        <f>IFERROR(__xludf.DUMMYFUNCTION("""COMPUTED_VALUE"""),"Kab.Sukabumi")</f>
        <v>Kab.Sukabumi</v>
      </c>
      <c r="Z1379" s="80" t="str">
        <f>IFERROR(__xludf.DUMMYFUNCTION("""COMPUTED_VALUE"""),"Jawa Barat")</f>
        <v>Jawa Barat</v>
      </c>
      <c r="AA1379" s="80" t="str">
        <f>IFERROR(__xludf.DUMMYFUNCTION("""COMPUTED_VALUE"""),"43156")</f>
        <v>43156</v>
      </c>
      <c r="AB1379" s="80" t="str">
        <f>IFERROR(__xludf.DUMMYFUNCTION("""COMPUTED_VALUE"""),"3202270811710001")</f>
        <v>3202270811710001</v>
      </c>
      <c r="AC1379" s="80" t="str">
        <f>IFERROR(__xludf.DUMMYFUNCTION("""COMPUTED_VALUE"""),"82.094.038.5-405.000")</f>
        <v>82.094.038.5-405.000</v>
      </c>
      <c r="AD1379" s="80" t="str">
        <f>IFERROR(__xludf.DUMMYFUNCTION("""COMPUTED_VALUE"""),"umkm sukabumi")</f>
        <v>umkm sukabumi</v>
      </c>
      <c r="AE1379" s="80" t="str">
        <f>IFERROR(__xludf.DUMMYFUNCTION("""COMPUTED_VALUE"""),"umkm sukabumi")</f>
        <v>umkm sukabumi</v>
      </c>
      <c r="AF1379" s="80" t="str">
        <f>IFERROR(__xludf.DUMMYFUNCTION("""COMPUTED_VALUE"""),"085719776675")</f>
        <v>085719776675</v>
      </c>
      <c r="AG1379" s="80" t="str">
        <f>IFERROR(__xludf.DUMMYFUNCTION("""COMPUTED_VALUE"""),"085719776675")</f>
        <v>085719776675</v>
      </c>
      <c r="AH1379" s="80" t="str">
        <f>IFERROR(__xludf.DUMMYFUNCTION("""COMPUTED_VALUE"""),"roomy0811@gmail.com")</f>
        <v>roomy0811@gmail.com</v>
      </c>
      <c r="AI1379" s="80" t="str">
        <f>IFERROR(__xludf.DUMMYFUNCTION("""COMPUTED_VALUE"""),"43346S1 ")</f>
        <v>43346S1 </v>
      </c>
      <c r="AJ1379" s="80" t="str">
        <f>IFERROR(__xludf.DUMMYFUNCTION("""COMPUTED_VALUE"""),"6aa909db964d14b80b0255e1 ")</f>
        <v>6aa909db964d14b80b0255e1 </v>
      </c>
      <c r="AK1379" s="80" t="str">
        <f>IFERROR(__xludf.DUMMYFUNCTION("""COMPUTED_VALUE"""),"roomy0811@gmail.com")</f>
        <v>roomy0811@gmail.com</v>
      </c>
      <c r="AL1379" s="80" t="str">
        <f>IFERROR(__xludf.DUMMYFUNCTION("""COMPUTED_VALUE"""),"#Muc43346S1$")</f>
        <v>#Muc43346S1$</v>
      </c>
      <c r="AM1379" s="80" t="str">
        <f>IFERROR(__xludf.DUMMYFUNCTION("""COMPUTED_VALUE"""),"KANTOR REGIONAL III BANDUNG 40004")</f>
        <v>KANTOR REGIONAL III BANDUNG 40004</v>
      </c>
      <c r="AN1379" s="80" t="str">
        <f>IFERROR(__xludf.DUMMYFUNCTION("""COMPUTED_VALUE"""),"KC SUKABUMI 43100")</f>
        <v>KC SUKABUMI 43100</v>
      </c>
      <c r="AO1379" s="80" t="str">
        <f>IFERROR(__xludf.DUMMYFUNCTION("""COMPUTED_VALUE"""),"1908260031393")</f>
        <v>1908260031393</v>
      </c>
      <c r="AP1379" s="80" t="str">
        <f>IFERROR(__xludf.DUMMYFUNCTION("""COMPUTED_VALUE"""),"1908260031393")</f>
        <v>1908260031393</v>
      </c>
      <c r="AQ1379" s="83" t="str">
        <f>IFERROR(__xludf.DUMMYFUNCTION("""COMPUTED_VALUE"""),"0380482720")</f>
        <v>0380482720</v>
      </c>
      <c r="AR1379" s="80" t="str">
        <f>IFERROR(__xludf.DUMMYFUNCTION("""COMPUTED_VALUE"""),"BCA")</f>
        <v>BCA</v>
      </c>
      <c r="AS1379" s="80" t="str">
        <f>IFERROR(__xludf.DUMMYFUNCTION("""COMPUTED_VALUE"""),"ROMY HERDYA PRAYOGA, SH")</f>
        <v>ROMY HERDYA PRAYOGA, SH</v>
      </c>
      <c r="AT1379" s="80" t="str">
        <f>IFERROR(__xludf.DUMMYFUNCTION("""COMPUTED_VALUE"""),"-6.9740748,106.8570146")</f>
        <v>-6.9740748,106.8570146</v>
      </c>
      <c r="AU1379" s="80" t="str">
        <f>IFERROR(__xludf.DUMMYFUNCTION("""COMPUTED_VALUE"""),"-6.9740748,106.8570146")</f>
        <v>-6.9740748,106.8570146</v>
      </c>
      <c r="AV1379" s="80"/>
      <c r="AW1379" s="80"/>
      <c r="AX1379" s="80"/>
      <c r="AY1379" s="80"/>
      <c r="AZ1379" s="80"/>
      <c r="BA1379" s="80"/>
      <c r="BB1379" s="80"/>
      <c r="BC1379" s="80"/>
      <c r="BD1379" s="80"/>
      <c r="BE1379" s="80"/>
      <c r="BF1379" s="80"/>
      <c r="BG1379" s="80"/>
      <c r="BH1379" s="80"/>
      <c r="BI1379" s="80"/>
      <c r="BJ1379" s="80"/>
      <c r="BK1379" s="80"/>
      <c r="BL1379" s="80"/>
      <c r="BM1379" s="80"/>
      <c r="BN1379" s="80"/>
      <c r="BO1379" s="80"/>
      <c r="BP1379" s="80"/>
      <c r="BQ1379" s="80"/>
      <c r="BR1379" s="80"/>
      <c r="BS1379" s="80"/>
      <c r="BT1379" s="80"/>
      <c r="BU1379" s="80"/>
      <c r="BV1379" s="80"/>
      <c r="BW1379" s="80"/>
      <c r="BX1379" s="80"/>
      <c r="BY1379" s="80"/>
      <c r="BZ1379" s="80"/>
      <c r="CA1379" s="80"/>
      <c r="CB1379" s="80"/>
      <c r="CC1379" s="80"/>
      <c r="CD1379" s="80"/>
      <c r="CE1379" s="80"/>
      <c r="CF1379" s="80"/>
      <c r="CG1379" s="80"/>
      <c r="CH1379" s="80"/>
      <c r="CI1379" s="80"/>
      <c r="CJ1379" s="80"/>
      <c r="CK1379" s="2"/>
    </row>
    <row r="1380" ht="12.75" customHeight="1">
      <c r="A1380" s="85">
        <f>IFERROR(__xludf.DUMMYFUNCTION("""COMPUTED_VALUE"""),1376.0)</f>
        <v>1376</v>
      </c>
      <c r="B1380" s="85"/>
      <c r="C1380" s="85"/>
      <c r="D1380" s="86">
        <f>IFERROR(__xludf.DUMMYFUNCTION("""COMPUTED_VALUE"""),46255.0)</f>
        <v>46255</v>
      </c>
      <c r="E1380" s="88"/>
      <c r="F1380" s="85"/>
      <c r="G1380" s="86">
        <f>IFERROR(__xludf.DUMMYFUNCTION("""COMPUTED_VALUE"""),46280.0)</f>
        <v>46280</v>
      </c>
      <c r="H1380" s="85"/>
      <c r="I1380" s="85"/>
      <c r="J1380" s="85"/>
      <c r="K1380" s="85"/>
      <c r="L1380" s="85">
        <f>IFERROR(__xludf.DUMMYFUNCTION("""COMPUTED_VALUE"""),25.0)</f>
        <v>25</v>
      </c>
      <c r="M1380" s="85"/>
      <c r="N1380" s="85"/>
      <c r="O1380" s="85"/>
      <c r="P1380" s="85" t="str">
        <f>IFERROR(__xludf.DUMMYFUNCTION("""COMPUTED_VALUE"""),"MUC70208UMKMSKB1")</f>
        <v>MUC70208UMKMSKB1</v>
      </c>
      <c r="Q1380" s="85" t="str">
        <f>IFERROR(__xludf.DUMMYFUNCTION("""COMPUTED_VALUE"""),"MUC MAKKI JASA ANTAR")</f>
        <v>MUC MAKKI JASA ANTAR</v>
      </c>
      <c r="R1380" s="85" t="str">
        <f>IFERROR(__xludf.DUMMYFUNCTION("""COMPUTED_VALUE"""),"MUC MAKKI JASA ANTAR")</f>
        <v>MUC MAKKI JASA ANTAR</v>
      </c>
      <c r="S1380" s="85" t="str">
        <f>IFERROR(__xludf.DUMMYFUNCTION("""COMPUTED_VALUE"""),"HERLAN SUHERLAN")</f>
        <v>HERLAN SUHERLAN</v>
      </c>
      <c r="T1380" s="85" t="str">
        <f>IFERROR(__xludf.DUMMYFUNCTION("""COMPUTED_VALUE"""),"JL. PEMBANGNUNAN RT 05 RW 06, BABAKAN, CIBEUREUM, SUKABUMI")</f>
        <v>JL. PEMBANGNUNAN RT 05 RW 06, BABAKAN, CIBEUREUM, SUKABUMI</v>
      </c>
      <c r="U1380" s="85" t="str">
        <f>IFERROR(__xludf.DUMMYFUNCTION("""COMPUTED_VALUE"""),"JL. CIKARET - PEMBANGUNAN RT 05 RW 06")</f>
        <v>JL. CIKARET - PEMBANGUNAN RT 05 RW 06</v>
      </c>
      <c r="V1380" s="85" t="str">
        <f>IFERROR(__xludf.DUMMYFUNCTION("""COMPUTED_VALUE"""),"RT 05  \ RW 06,")</f>
        <v>RT 05  \ RW 06,</v>
      </c>
      <c r="W1380" s="85" t="str">
        <f>IFERROR(__xludf.DUMMYFUNCTION("""COMPUTED_VALUE"""),"BABAKAN")</f>
        <v>BABAKAN</v>
      </c>
      <c r="X1380" s="85" t="str">
        <f>IFERROR(__xludf.DUMMYFUNCTION("""COMPUTED_VALUE"""),"CIBEUREUM")</f>
        <v>CIBEUREUM</v>
      </c>
      <c r="Y1380" s="85" t="str">
        <f>IFERROR(__xludf.DUMMYFUNCTION("""COMPUTED_VALUE"""),"SUKABUMI")</f>
        <v>SUKABUMI</v>
      </c>
      <c r="Z1380" s="85" t="str">
        <f>IFERROR(__xludf.DUMMYFUNCTION("""COMPUTED_VALUE"""),"JAWA BARAT")</f>
        <v>JAWA BARAT</v>
      </c>
      <c r="AA1380" s="85" t="str">
        <f>IFERROR(__xludf.DUMMYFUNCTION("""COMPUTED_VALUE"""),"43142")</f>
        <v>43142</v>
      </c>
      <c r="AB1380" s="85" t="str">
        <f>IFERROR(__xludf.DUMMYFUNCTION("""COMPUTED_VALUE"""),"3272071308860002")</f>
        <v>3272071308860002</v>
      </c>
      <c r="AC1380" s="85" t="str">
        <f>IFERROR(__xludf.DUMMYFUNCTION("""COMPUTED_VALUE"""),"85.553.039.0-405.000")</f>
        <v>85.553.039.0-405.000</v>
      </c>
      <c r="AD1380" s="85" t="str">
        <f>IFERROR(__xludf.DUMMYFUNCTION("""COMPUTED_VALUE"""),"UMKM SUKABUMI")</f>
        <v>UMKM SUKABUMI</v>
      </c>
      <c r="AE1380" s="85" t="str">
        <f>IFERROR(__xludf.DUMMYFUNCTION("""COMPUTED_VALUE"""),"UMKM SUKABUMI")</f>
        <v>UMKM SUKABUMI</v>
      </c>
      <c r="AF1380" s="85" t="str">
        <f>IFERROR(__xludf.DUMMYFUNCTION("""COMPUTED_VALUE"""),"085798880887")</f>
        <v>085798880887</v>
      </c>
      <c r="AG1380" s="85" t="str">
        <f>IFERROR(__xludf.DUMMYFUNCTION("""COMPUTED_VALUE"""),"085798880887")</f>
        <v>085798880887</v>
      </c>
      <c r="AH1380" s="85" t="str">
        <f>IFERROR(__xludf.DUMMYFUNCTION("""COMPUTED_VALUE"""),"herlansuherlan13886@gmail.com")</f>
        <v>herlansuherlan13886@gmail.com</v>
      </c>
      <c r="AI1380" s="85" t="str">
        <f>IFERROR(__xludf.DUMMYFUNCTION("""COMPUTED_VALUE"""),"43163S1 ")</f>
        <v>43163S1 </v>
      </c>
      <c r="AJ1380" s="85" t="str">
        <f>IFERROR(__xludf.DUMMYFUNCTION("""COMPUTED_VALUE"""),"6aa8dcd4109b0f7694094548 ")</f>
        <v>6aa8dcd4109b0f7694094548 </v>
      </c>
      <c r="AK1380" s="85" t="str">
        <f>IFERROR(__xludf.DUMMYFUNCTION("""COMPUTED_VALUE"""),"herlansuherlan13886@gmail.com")</f>
        <v>herlansuherlan13886@gmail.com</v>
      </c>
      <c r="AL1380" s="85" t="str">
        <f>IFERROR(__xludf.DUMMYFUNCTION("""COMPUTED_VALUE"""),"#Muc43163S1$")</f>
        <v>#Muc43163S1$</v>
      </c>
      <c r="AM1380" s="85" t="str">
        <f>IFERROR(__xludf.DUMMYFUNCTION("""COMPUTED_VALUE"""),"KANTOR REGIONAL III BANDUNG 40004")</f>
        <v>KANTOR REGIONAL III BANDUNG 40004</v>
      </c>
      <c r="AN1380" s="85" t="str">
        <f>IFERROR(__xludf.DUMMYFUNCTION("""COMPUTED_VALUE"""),"KC SUKABUMI 43100")</f>
        <v>KC SUKABUMI 43100</v>
      </c>
      <c r="AO1380" s="85" t="str">
        <f>IFERROR(__xludf.DUMMYFUNCTION("""COMPUTED_VALUE"""),"1908260034001")</f>
        <v>1908260034001</v>
      </c>
      <c r="AP1380" s="85" t="str">
        <f>IFERROR(__xludf.DUMMYFUNCTION("""COMPUTED_VALUE"""),"1908260034001")</f>
        <v>1908260034001</v>
      </c>
      <c r="AQ1380" s="93" t="str">
        <f>IFERROR(__xludf.DUMMYFUNCTION("""COMPUTED_VALUE"""),"441501046282538")</f>
        <v>441501046282538</v>
      </c>
      <c r="AR1380" s="85" t="str">
        <f>IFERROR(__xludf.DUMMYFUNCTION("""COMPUTED_VALUE"""),"BRI")</f>
        <v>BRI</v>
      </c>
      <c r="AS1380" s="85" t="str">
        <f>IFERROR(__xludf.DUMMYFUNCTION("""COMPUTED_VALUE"""),"HERLAN SUHERLAN")</f>
        <v>HERLAN SUHERLAN</v>
      </c>
      <c r="AT1380" s="85" t="str">
        <f>IFERROR(__xludf.DUMMYFUNCTION("""COMPUTED_VALUE"""),"-6.9367093,106.958853")</f>
        <v>-6.9367093,106.958853</v>
      </c>
      <c r="AU1380" s="85" t="str">
        <f>IFERROR(__xludf.DUMMYFUNCTION("""COMPUTED_VALUE"""),"-6.9367093,106.958853")</f>
        <v>-6.9367093,106.958853</v>
      </c>
      <c r="AV1380" s="85"/>
      <c r="AW1380" s="85"/>
      <c r="AX1380" s="85"/>
      <c r="AY1380" s="85"/>
      <c r="AZ1380" s="85"/>
      <c r="BA1380" s="85"/>
      <c r="BB1380" s="85"/>
      <c r="BC1380" s="85"/>
      <c r="BD1380" s="85"/>
      <c r="BE1380" s="85"/>
      <c r="BF1380" s="85"/>
      <c r="BG1380" s="85"/>
      <c r="BH1380" s="85"/>
      <c r="BI1380" s="85"/>
      <c r="BJ1380" s="85"/>
      <c r="BK1380" s="85"/>
      <c r="BL1380" s="85"/>
      <c r="BM1380" s="85"/>
      <c r="BN1380" s="85"/>
      <c r="BO1380" s="85"/>
      <c r="BP1380" s="85"/>
      <c r="BQ1380" s="85"/>
      <c r="BR1380" s="85"/>
      <c r="BS1380" s="85"/>
      <c r="BT1380" s="85"/>
      <c r="BU1380" s="85"/>
      <c r="BV1380" s="85"/>
      <c r="BW1380" s="85"/>
      <c r="BX1380" s="85"/>
      <c r="BY1380" s="85"/>
      <c r="BZ1380" s="85"/>
      <c r="CA1380" s="85"/>
      <c r="CB1380" s="85"/>
      <c r="CC1380" s="85"/>
      <c r="CD1380" s="85"/>
      <c r="CE1380" s="85"/>
      <c r="CF1380" s="85"/>
      <c r="CG1380" s="85"/>
      <c r="CH1380" s="85"/>
      <c r="CI1380" s="85"/>
      <c r="CJ1380" s="85"/>
      <c r="CK1380" s="2"/>
    </row>
    <row r="1381" ht="12.75" customHeight="1">
      <c r="A1381" s="80">
        <f>IFERROR(__xludf.DUMMYFUNCTION("""COMPUTED_VALUE"""),1377.0)</f>
        <v>1377</v>
      </c>
      <c r="B1381" s="80"/>
      <c r="C1381" s="80"/>
      <c r="D1381" s="81">
        <f>IFERROR(__xludf.DUMMYFUNCTION("""COMPUTED_VALUE"""),46255.0)</f>
        <v>46255</v>
      </c>
      <c r="E1381" s="82"/>
      <c r="F1381" s="80"/>
      <c r="G1381" s="81">
        <f>IFERROR(__xludf.DUMMYFUNCTION("""COMPUTED_VALUE"""),46262.0)</f>
        <v>46262</v>
      </c>
      <c r="H1381" s="80"/>
      <c r="I1381" s="80"/>
      <c r="J1381" s="80"/>
      <c r="K1381" s="80"/>
      <c r="L1381" s="80">
        <f>IFERROR(__xludf.DUMMYFUNCTION("""COMPUTED_VALUE"""),7.0)</f>
        <v>7</v>
      </c>
      <c r="M1381" s="80"/>
      <c r="N1381" s="80"/>
      <c r="O1381" s="80"/>
      <c r="P1381" s="80" t="str">
        <f>IFERROR(__xludf.DUMMYFUNCTION("""COMPUTED_VALUE"""),"MUCSPA63663PSIND")</f>
        <v>MUCSPA63663PSIND</v>
      </c>
      <c r="Q1381" s="80" t="str">
        <f>IFERROR(__xludf.DUMMYFUNCTION("""COMPUTED_VALUE"""),"MUC HIRO BUMI SANI 2")</f>
        <v>MUC HIRO BUMI SANI 2</v>
      </c>
      <c r="R1381" s="80" t="str">
        <f>IFERROR(__xludf.DUMMYFUNCTION("""COMPUTED_VALUE"""),"MUC HIRO BUMI SANI 2")</f>
        <v>MUC HIRO BUMI SANI 2</v>
      </c>
      <c r="S1381" s="80" t="str">
        <f>IFERROR(__xludf.DUMMYFUNCTION("""COMPUTED_VALUE"""),"ROTUA HASONANGAN SIREGAR")</f>
        <v>ROTUA HASONANGAN SIREGAR</v>
      </c>
      <c r="T1381" s="80" t="str">
        <f>IFERROR(__xludf.DUMMYFUNCTION("""COMPUTED_VALUE"""),"JL. JAKARTA TIMUR DALAM 6 BLOK D9/5 RT 13 RW 10, BEKASIJAYA, BEKASI TIMUR, BEKASI")</f>
        <v>JL. JAKARTA TIMUR DALAM 6 BLOK D9/5 RT 13 RW 10, BEKASIJAYA, BEKASI TIMUR, BEKASI</v>
      </c>
      <c r="U1381" s="80" t="str">
        <f>IFERROR(__xludf.DUMMYFUNCTION("""COMPUTED_VALUE"""),"JL. Jakarta Timur Dalam 6 Blok D9 No.5 RT.13 RW.10")</f>
        <v>JL. Jakarta Timur Dalam 6 Blok D9 No.5 RT.13 RW.10</v>
      </c>
      <c r="V1381" s="80" t="str">
        <f>IFERROR(__xludf.DUMMYFUNCTION("""COMPUTED_VALUE"""),"RTA TI \ RW 10,")</f>
        <v>RTA TI \ RW 10,</v>
      </c>
      <c r="W1381" s="80" t="str">
        <f>IFERROR(__xludf.DUMMYFUNCTION("""COMPUTED_VALUE"""),"BEKASIJAYA")</f>
        <v>BEKASIJAYA</v>
      </c>
      <c r="X1381" s="80" t="str">
        <f>IFERROR(__xludf.DUMMYFUNCTION("""COMPUTED_VALUE"""),"BEKASI TIMUR")</f>
        <v>BEKASI TIMUR</v>
      </c>
      <c r="Y1381" s="80" t="str">
        <f>IFERROR(__xludf.DUMMYFUNCTION("""COMPUTED_VALUE"""),"BEKASI")</f>
        <v>BEKASI</v>
      </c>
      <c r="Z1381" s="80" t="str">
        <f>IFERROR(__xludf.DUMMYFUNCTION("""COMPUTED_VALUE"""),"JAWA BARAT")</f>
        <v>JAWA BARAT</v>
      </c>
      <c r="AA1381" s="80" t="str">
        <f>IFERROR(__xludf.DUMMYFUNCTION("""COMPUTED_VALUE"""),"17112")</f>
        <v>17112</v>
      </c>
      <c r="AB1381" s="80" t="str">
        <f>IFERROR(__xludf.DUMMYFUNCTION("""COMPUTED_VALUE"""),"3216222003700005")</f>
        <v>3216222003700005</v>
      </c>
      <c r="AC1381" s="80" t="str">
        <f>IFERROR(__xludf.DUMMYFUNCTION("""COMPUTED_VALUE"""),"32.162.220.0-370.0005")</f>
        <v>32.162.220.0-370.0005</v>
      </c>
      <c r="AD1381" s="80" t="str">
        <f>IFERROR(__xludf.DUMMYFUNCTION("""COMPUTED_VALUE"""),"CUM - PS - AYS")</f>
        <v>CUM - PS - AYS</v>
      </c>
      <c r="AE1381" s="80" t="str">
        <f>IFERROR(__xludf.DUMMYFUNCTION("""COMPUTED_VALUE"""),"CUM - PS - AYS")</f>
        <v>CUM - PS - AYS</v>
      </c>
      <c r="AF1381" s="80" t="str">
        <f>IFERROR(__xludf.DUMMYFUNCTION("""COMPUTED_VALUE"""),"08132174145")</f>
        <v>08132174145</v>
      </c>
      <c r="AG1381" s="80" t="str">
        <f>IFERROR(__xludf.DUMMYFUNCTION("""COMPUTED_VALUE"""),"08132174145")</f>
        <v>08132174145</v>
      </c>
      <c r="AH1381" s="80" t="str">
        <f>IFERROR(__xludf.DUMMYFUNCTION("""COMPUTED_VALUE"""),"hirobumi_sani97@zohomail.com")</f>
        <v>hirobumi_sani97@zohomail.com</v>
      </c>
      <c r="AI1381" s="80" t="str">
        <f>IFERROR(__xludf.DUMMYFUNCTION("""COMPUTED_VALUE"""),"17112S6")</f>
        <v>17112S6</v>
      </c>
      <c r="AJ1381" s="80" t="str">
        <f>IFERROR(__xludf.DUMMYFUNCTION("""COMPUTED_VALUE"""),"6a8fb2d9852b9dba670a33ed")</f>
        <v>6a8fb2d9852b9dba670a33ed</v>
      </c>
      <c r="AK1381" s="80" t="str">
        <f>IFERROR(__xludf.DUMMYFUNCTION("""COMPUTED_VALUE"""),"hirobumi_sani97@zohomail.com")</f>
        <v>hirobumi_sani97@zohomail.com</v>
      </c>
      <c r="AL1381" s="80" t="str">
        <f>IFERROR(__xludf.DUMMYFUNCTION("""COMPUTED_VALUE"""),"#Muc17112S6$")</f>
        <v>#Muc17112S6$</v>
      </c>
      <c r="AM1381" s="80" t="str">
        <f>IFERROR(__xludf.DUMMYFUNCTION("""COMPUTED_VALUE"""),"KANTOR REGIONAL II JAKARTA 10004")</f>
        <v>KANTOR REGIONAL II JAKARTA 10004</v>
      </c>
      <c r="AN1381" s="80" t="str">
        <f>IFERROR(__xludf.DUMMYFUNCTION("""COMPUTED_VALUE"""),"KCU BEKASI 17000")</f>
        <v>KCU BEKASI 17000</v>
      </c>
      <c r="AO1381" s="80" t="str">
        <f>IFERROR(__xludf.DUMMYFUNCTION("""COMPUTED_VALUE"""),"2406260062659")</f>
        <v>2406260062659</v>
      </c>
      <c r="AP1381" s="80" t="str">
        <f>IFERROR(__xludf.DUMMYFUNCTION("""COMPUTED_VALUE"""),"2406260062659")</f>
        <v>2406260062659</v>
      </c>
      <c r="AQ1381" s="83" t="str">
        <f>IFERROR(__xludf.DUMMYFUNCTION("""COMPUTED_VALUE"""),"7392103174")</f>
        <v>7392103174</v>
      </c>
      <c r="AR1381" s="80" t="str">
        <f>IFERROR(__xludf.DUMMYFUNCTION("""COMPUTED_VALUE"""),"BCA")</f>
        <v>BCA</v>
      </c>
      <c r="AS1381" s="80" t="str">
        <f>IFERROR(__xludf.DUMMYFUNCTION("""COMPUTED_VALUE"""),"ROTUA HASONANGAN SIREGAR")</f>
        <v>ROTUA HASONANGAN SIREGAR</v>
      </c>
      <c r="AT1381" s="80" t="str">
        <f>IFERROR(__xludf.DUMMYFUNCTION("""COMPUTED_VALUE"""),"-6.2366618,107.0079254")</f>
        <v>-6.2366618,107.0079254</v>
      </c>
      <c r="AU1381" s="80" t="str">
        <f>IFERROR(__xludf.DUMMYFUNCTION("""COMPUTED_VALUE"""),"-6.2366618,107.0079254")</f>
        <v>-6.2366618,107.0079254</v>
      </c>
      <c r="AV1381" s="80"/>
      <c r="AW1381" s="80"/>
      <c r="AX1381" s="80"/>
      <c r="AY1381" s="80"/>
      <c r="AZ1381" s="80"/>
      <c r="BA1381" s="80"/>
      <c r="BB1381" s="80"/>
      <c r="BC1381" s="80"/>
      <c r="BD1381" s="80"/>
      <c r="BE1381" s="80"/>
      <c r="BF1381" s="80"/>
      <c r="BG1381" s="80"/>
      <c r="BH1381" s="80"/>
      <c r="BI1381" s="80"/>
      <c r="BJ1381" s="80"/>
      <c r="BK1381" s="80"/>
      <c r="BL1381" s="80"/>
      <c r="BM1381" s="80"/>
      <c r="BN1381" s="80"/>
      <c r="BO1381" s="80"/>
      <c r="BP1381" s="80"/>
      <c r="BQ1381" s="80"/>
      <c r="BR1381" s="80"/>
      <c r="BS1381" s="80"/>
      <c r="BT1381" s="80"/>
      <c r="BU1381" s="80"/>
      <c r="BV1381" s="80"/>
      <c r="BW1381" s="80"/>
      <c r="BX1381" s="80"/>
      <c r="BY1381" s="80"/>
      <c r="BZ1381" s="80"/>
      <c r="CA1381" s="80"/>
      <c r="CB1381" s="80"/>
      <c r="CC1381" s="80"/>
      <c r="CD1381" s="80"/>
      <c r="CE1381" s="80"/>
      <c r="CF1381" s="80"/>
      <c r="CG1381" s="80"/>
      <c r="CH1381" s="80"/>
      <c r="CI1381" s="80"/>
      <c r="CJ1381" s="80"/>
      <c r="CK1381" s="2"/>
    </row>
    <row r="1382" ht="12.75" customHeight="1">
      <c r="A1382" s="85">
        <f>IFERROR(__xludf.DUMMYFUNCTION("""COMPUTED_VALUE"""),1378.0)</f>
        <v>1378</v>
      </c>
      <c r="B1382" s="85"/>
      <c r="C1382" s="85"/>
      <c r="D1382" s="86">
        <f>IFERROR(__xludf.DUMMYFUNCTION("""COMPUTED_VALUE"""),46255.0)</f>
        <v>46255</v>
      </c>
      <c r="E1382" s="88"/>
      <c r="F1382" s="85"/>
      <c r="G1382" s="86">
        <f>IFERROR(__xludf.DUMMYFUNCTION("""COMPUTED_VALUE"""),46265.0)</f>
        <v>46265</v>
      </c>
      <c r="H1382" s="85"/>
      <c r="I1382" s="85"/>
      <c r="J1382" s="85"/>
      <c r="K1382" s="85"/>
      <c r="L1382" s="85">
        <f>IFERROR(__xludf.DUMMYFUNCTION("""COMPUTED_VALUE"""),10.0)</f>
        <v>10</v>
      </c>
      <c r="M1382" s="85"/>
      <c r="N1382" s="85"/>
      <c r="O1382" s="85"/>
      <c r="P1382" s="85" t="str">
        <f>IFERROR(__xludf.DUMMYFUNCTION("""COMPUTED_VALUE"""),"MUCSPA63664PSIND")</f>
        <v>MUCSPA63664PSIND</v>
      </c>
      <c r="Q1382" s="85" t="str">
        <f>IFERROR(__xludf.DUMMYFUNCTION("""COMPUTED_VALUE"""),"MUC ZARQHA MAJU")</f>
        <v>MUC ZARQHA MAJU</v>
      </c>
      <c r="R1382" s="85" t="str">
        <f>IFERROR(__xludf.DUMMYFUNCTION("""COMPUTED_VALUE"""),"MUC ZARQHA MAJU")</f>
        <v>MUC ZARQHA MAJU</v>
      </c>
      <c r="S1382" s="85" t="str">
        <f>IFERROR(__xludf.DUMMYFUNCTION("""COMPUTED_VALUE"""),"ENUR HASANAH")</f>
        <v>ENUR HASANAH</v>
      </c>
      <c r="T1382" s="85" t="str">
        <f>IFERROR(__xludf.DUMMYFUNCTION("""COMPUTED_VALUE"""),"KP GEBANG RT 002 RW 003 SATRIAJAYA TAMBUN UTARA KABUPATEN BEKASI JAWA BARAT")</f>
        <v>KP GEBANG RT 002 RW 003 SATRIAJAYA TAMBUN UTARA KABUPATEN BEKASI JAWA BARAT</v>
      </c>
      <c r="U1382" s="85" t="str">
        <f>IFERROR(__xludf.DUMMYFUNCTION("""COMPUTED_VALUE"""),"Jl. Boulevard Bekasi Harapan Baru Kec. Bekasi Utara, Kota Bekasi Jawa Barat")</f>
        <v>Jl. Boulevard Bekasi Harapan Baru Kec. Bekasi Utara, Kota Bekasi Jawa Barat</v>
      </c>
      <c r="V1382" s="85" t="str">
        <f>IFERROR(__xludf.DUMMYFUNCTION("""COMPUTED_VALUE"""),"RT 002 \ RW 003")</f>
        <v>RT 002 \ RW 003</v>
      </c>
      <c r="W1382" s="85" t="str">
        <f>IFERROR(__xludf.DUMMYFUNCTION("""COMPUTED_VALUE"""),"Harapanbaru")</f>
        <v>Harapanbaru</v>
      </c>
      <c r="X1382" s="85" t="str">
        <f>IFERROR(__xludf.DUMMYFUNCTION("""COMPUTED_VALUE"""),"Bekasi Utara")</f>
        <v>Bekasi Utara</v>
      </c>
      <c r="Y1382" s="85" t="str">
        <f>IFERROR(__xludf.DUMMYFUNCTION("""COMPUTED_VALUE"""),"Bekasi")</f>
        <v>Bekasi</v>
      </c>
      <c r="Z1382" s="85" t="str">
        <f>IFERROR(__xludf.DUMMYFUNCTION("""COMPUTED_VALUE"""),"Jawa Barat")</f>
        <v>Jawa Barat</v>
      </c>
      <c r="AA1382" s="85" t="str">
        <f>IFERROR(__xludf.DUMMYFUNCTION("""COMPUTED_VALUE"""),"17123")</f>
        <v>17123</v>
      </c>
      <c r="AB1382" s="85" t="str">
        <f>IFERROR(__xludf.DUMMYFUNCTION("""COMPUTED_VALUE"""),"3216055311820002")</f>
        <v>3216055311820002</v>
      </c>
      <c r="AC1382" s="85" t="str">
        <f>IFERROR(__xludf.DUMMYFUNCTION("""COMPUTED_VALUE"""),"48.039.827.0-407.000")</f>
        <v>48.039.827.0-407.000</v>
      </c>
      <c r="AD1382" s="85" t="str">
        <f>IFERROR(__xludf.DUMMYFUNCTION("""COMPUTED_VALUE"""),"CUM - PS - AYS")</f>
        <v>CUM - PS - AYS</v>
      </c>
      <c r="AE1382" s="85" t="str">
        <f>IFERROR(__xludf.DUMMYFUNCTION("""COMPUTED_VALUE"""),"CUM - PS - AYS")</f>
        <v>CUM - PS - AYS</v>
      </c>
      <c r="AF1382" s="85" t="str">
        <f>IFERROR(__xludf.DUMMYFUNCTION("""COMPUTED_VALUE"""),"0895399367297")</f>
        <v>0895399367297</v>
      </c>
      <c r="AG1382" s="85" t="str">
        <f>IFERROR(__xludf.DUMMYFUNCTION("""COMPUTED_VALUE"""),"0895399367297")</f>
        <v>0895399367297</v>
      </c>
      <c r="AH1382" s="85" t="str">
        <f>IFERROR(__xludf.DUMMYFUNCTION("""COMPUTED_VALUE"""),"hnur13206@gmail.com")</f>
        <v>hnur13206@gmail.com</v>
      </c>
      <c r="AI1382" s="85" t="str">
        <f>IFERROR(__xludf.DUMMYFUNCTION("""COMPUTED_VALUE"""),"17123S2")</f>
        <v>17123S2</v>
      </c>
      <c r="AJ1382" s="85" t="str">
        <f>IFERROR(__xludf.DUMMYFUNCTION("""COMPUTED_VALUE"""),"6a9259b66c6ac0378f017829")</f>
        <v>6a9259b66c6ac0378f017829</v>
      </c>
      <c r="AK1382" s="85" t="str">
        <f>IFERROR(__xludf.DUMMYFUNCTION("""COMPUTED_VALUE"""),"hnur13206@gmail.com")</f>
        <v>hnur13206@gmail.com</v>
      </c>
      <c r="AL1382" s="85" t="str">
        <f>IFERROR(__xludf.DUMMYFUNCTION("""COMPUTED_VALUE"""),"#Muc1712S2*")</f>
        <v>#Muc1712S2*</v>
      </c>
      <c r="AM1382" s="85" t="str">
        <f>IFERROR(__xludf.DUMMYFUNCTION("""COMPUTED_VALUE"""),"KANTOR REGIONAL II JAKARTA 10004")</f>
        <v>KANTOR REGIONAL II JAKARTA 10004</v>
      </c>
      <c r="AN1382" s="85" t="str">
        <f>IFERROR(__xludf.DUMMYFUNCTION("""COMPUTED_VALUE"""),"KCU BEKASI 17000")</f>
        <v>KCU BEKASI 17000</v>
      </c>
      <c r="AO1382" s="85" t="str">
        <f>IFERROR(__xludf.DUMMYFUNCTION("""COMPUTED_VALUE"""),"0233000902407")</f>
        <v>0233000902407</v>
      </c>
      <c r="AP1382" s="85" t="str">
        <f>IFERROR(__xludf.DUMMYFUNCTION("""COMPUTED_VALUE"""),"0233000902407")</f>
        <v>0233000902407</v>
      </c>
      <c r="AQ1382" s="93" t="str">
        <f>IFERROR(__xludf.DUMMYFUNCTION("""COMPUTED_VALUE"""),"8421657254")</f>
        <v>8421657254</v>
      </c>
      <c r="AR1382" s="85" t="str">
        <f>IFERROR(__xludf.DUMMYFUNCTION("""COMPUTED_VALUE"""),"BCA")</f>
        <v>BCA</v>
      </c>
      <c r="AS1382" s="85" t="str">
        <f>IFERROR(__xludf.DUMMYFUNCTION("""COMPUTED_VALUE"""),"ENUR HASANAH")</f>
        <v>ENUR HASANAH</v>
      </c>
      <c r="AT1382" s="85" t="str">
        <f>IFERROR(__xludf.DUMMYFUNCTION("""COMPUTED_VALUE"""),"-6.2191685,107.0204492")</f>
        <v>-6.2191685,107.0204492</v>
      </c>
      <c r="AU1382" s="85" t="str">
        <f>IFERROR(__xludf.DUMMYFUNCTION("""COMPUTED_VALUE"""),"-6.2191685,107.0204492")</f>
        <v>-6.2191685,107.0204492</v>
      </c>
      <c r="AV1382" s="85"/>
      <c r="AW1382" s="85"/>
      <c r="AX1382" s="85"/>
      <c r="AY1382" s="85"/>
      <c r="AZ1382" s="85"/>
      <c r="BA1382" s="85"/>
      <c r="BB1382" s="85"/>
      <c r="BC1382" s="85"/>
      <c r="BD1382" s="85"/>
      <c r="BE1382" s="85"/>
      <c r="BF1382" s="85"/>
      <c r="BG1382" s="85"/>
      <c r="BH1382" s="85"/>
      <c r="BI1382" s="85"/>
      <c r="BJ1382" s="85"/>
      <c r="BK1382" s="85"/>
      <c r="BL1382" s="85"/>
      <c r="BM1382" s="85"/>
      <c r="BN1382" s="85"/>
      <c r="BO1382" s="85"/>
      <c r="BP1382" s="85"/>
      <c r="BQ1382" s="85"/>
      <c r="BR1382" s="85"/>
      <c r="BS1382" s="85"/>
      <c r="BT1382" s="85"/>
      <c r="BU1382" s="85"/>
      <c r="BV1382" s="85"/>
      <c r="BW1382" s="85"/>
      <c r="BX1382" s="85"/>
      <c r="BY1382" s="85"/>
      <c r="BZ1382" s="85"/>
      <c r="CA1382" s="85"/>
      <c r="CB1382" s="85"/>
      <c r="CC1382" s="85"/>
      <c r="CD1382" s="85"/>
      <c r="CE1382" s="85"/>
      <c r="CF1382" s="85"/>
      <c r="CG1382" s="85"/>
      <c r="CH1382" s="85"/>
      <c r="CI1382" s="85"/>
      <c r="CJ1382" s="85"/>
      <c r="CK1382" s="2"/>
    </row>
    <row r="1383" ht="12.75" customHeight="1">
      <c r="A1383" s="80">
        <f>IFERROR(__xludf.DUMMYFUNCTION("""COMPUTED_VALUE"""),1379.0)</f>
        <v>1379</v>
      </c>
      <c r="B1383" s="80"/>
      <c r="C1383" s="80"/>
      <c r="D1383" s="81">
        <f>IFERROR(__xludf.DUMMYFUNCTION("""COMPUTED_VALUE"""),46255.0)</f>
        <v>46255</v>
      </c>
      <c r="E1383" s="82"/>
      <c r="F1383" s="80"/>
      <c r="G1383" s="81"/>
      <c r="H1383" s="80"/>
      <c r="I1383" s="80"/>
      <c r="J1383" s="80"/>
      <c r="K1383" s="80"/>
      <c r="L1383" s="80"/>
      <c r="M1383" s="80"/>
      <c r="N1383" s="80"/>
      <c r="O1383" s="80"/>
      <c r="P1383" s="80" t="str">
        <f>IFERROR(__xludf.DUMMYFUNCTION("""COMPUTED_VALUE"""),"MUCSPA63659PSIND")</f>
        <v>MUCSPA63659PSIND</v>
      </c>
      <c r="Q1383" s="80" t="str">
        <f>IFERROR(__xludf.DUMMYFUNCTION("""COMPUTED_VALUE"""),"MUC GOZA")</f>
        <v>MUC GOZA</v>
      </c>
      <c r="R1383" s="80" t="str">
        <f>IFERROR(__xludf.DUMMYFUNCTION("""COMPUTED_VALUE"""),"MUC GOZA")</f>
        <v>MUC GOZA</v>
      </c>
      <c r="S1383" s="80" t="str">
        <f>IFERROR(__xludf.DUMMYFUNCTION("""COMPUTED_VALUE"""),"RUDI HANTORO")</f>
        <v>RUDI HANTORO</v>
      </c>
      <c r="T1383" s="80" t="str">
        <f>IFERROR(__xludf.DUMMYFUNCTION("""COMPUTED_VALUE"""),"PERUMAHAN GRIYA ASRI CAHAYA CIPAGERAN JL KOL RT.004/011 CIPAGERAN CIMAHI UTARA")</f>
        <v>PERUMAHAN GRIYA ASRI CAHAYA CIPAGERAN JL KOL RT.004/011 CIPAGERAN CIMAHI UTARA</v>
      </c>
      <c r="U1383" s="80" t="str">
        <f>IFERROR(__xludf.DUMMYFUNCTION("""COMPUTED_VALUE"""),"GRIYA ASRI CAHAYA CIPAGERAN JL. KOL MASTURI KM 3 BLOK J NO 9A")</f>
        <v>GRIYA ASRI CAHAYA CIPAGERAN JL. KOL MASTURI KM 3 BLOK J NO 9A</v>
      </c>
      <c r="V1383" s="80"/>
      <c r="W1383" s="80" t="str">
        <f>IFERROR(__xludf.DUMMYFUNCTION("""COMPUTED_VALUE"""),"Cipageran")</f>
        <v>Cipageran</v>
      </c>
      <c r="X1383" s="80" t="str">
        <f>IFERROR(__xludf.DUMMYFUNCTION("""COMPUTED_VALUE"""),"Cimahi Utara")</f>
        <v>Cimahi Utara</v>
      </c>
      <c r="Y1383" s="80" t="str">
        <f>IFERROR(__xludf.DUMMYFUNCTION("""COMPUTED_VALUE"""),"Cimahi")</f>
        <v>Cimahi</v>
      </c>
      <c r="Z1383" s="80" t="str">
        <f>IFERROR(__xludf.DUMMYFUNCTION("""COMPUTED_VALUE"""),"Jawa Barat")</f>
        <v>Jawa Barat</v>
      </c>
      <c r="AA1383" s="80" t="str">
        <f>IFERROR(__xludf.DUMMYFUNCTION("""COMPUTED_VALUE"""),"40511")</f>
        <v>40511</v>
      </c>
      <c r="AB1383" s="80" t="str">
        <f>IFERROR(__xludf.DUMMYFUNCTION("""COMPUTED_VALUE"""),"3275090910720015")</f>
        <v>3275090910720015</v>
      </c>
      <c r="AC1383" s="80" t="str">
        <f>IFERROR(__xludf.DUMMYFUNCTION("""COMPUTED_VALUE"""),"57.270.283.5-005.000")</f>
        <v>57.270.283.5-005.000</v>
      </c>
      <c r="AD1383" s="80" t="str">
        <f>IFERROR(__xludf.DUMMYFUNCTION("""COMPUTED_VALUE"""),"CUM - PS - GUMLR")</f>
        <v>CUM - PS - GUMLR</v>
      </c>
      <c r="AE1383" s="80" t="str">
        <f>IFERROR(__xludf.DUMMYFUNCTION("""COMPUTED_VALUE"""),"CUM - PS - GUMLR")</f>
        <v>CUM - PS - GUMLR</v>
      </c>
      <c r="AF1383" s="80" t="str">
        <f>IFERROR(__xludf.DUMMYFUNCTION("""COMPUTED_VALUE"""),"081221569791")</f>
        <v>081221569791</v>
      </c>
      <c r="AG1383" s="80" t="str">
        <f>IFERROR(__xludf.DUMMYFUNCTION("""COMPUTED_VALUE"""),"081221569791")</f>
        <v>081221569791</v>
      </c>
      <c r="AH1383" s="80" t="str">
        <f>IFERROR(__xludf.DUMMYFUNCTION("""COMPUTED_VALUE"""),"mynamehantoro72@gmail.com")</f>
        <v>mynamehantoro72@gmail.com</v>
      </c>
      <c r="AI1383" s="80"/>
      <c r="AJ1383" s="80"/>
      <c r="AK1383" s="80"/>
      <c r="AL1383" s="80"/>
      <c r="AM1383" s="80" t="str">
        <f>IFERROR(__xludf.DUMMYFUNCTION("""COMPUTED_VALUE"""),"KANTOR REGIONAL III BANDUNG 40004")</f>
        <v>KANTOR REGIONAL III BANDUNG 40004</v>
      </c>
      <c r="AN1383" s="80" t="str">
        <f>IFERROR(__xludf.DUMMYFUNCTION("""COMPUTED_VALUE"""),"KC CIMAHI 40500")</f>
        <v>KC CIMAHI 40500</v>
      </c>
      <c r="AO1383" s="80" t="str">
        <f>IFERROR(__xludf.DUMMYFUNCTION("""COMPUTED_VALUE"""),"1408260029891")</f>
        <v>1408260029891</v>
      </c>
      <c r="AP1383" s="80" t="str">
        <f>IFERROR(__xludf.DUMMYFUNCTION("""COMPUTED_VALUE"""),"1408260029891")</f>
        <v>1408260029891</v>
      </c>
      <c r="AQ1383" s="83" t="str">
        <f>IFERROR(__xludf.DUMMYFUNCTION("""COMPUTED_VALUE"""),"7197493415")</f>
        <v>7197493415</v>
      </c>
      <c r="AR1383" s="80" t="str">
        <f>IFERROR(__xludf.DUMMYFUNCTION("""COMPUTED_VALUE"""),"BSI")</f>
        <v>BSI</v>
      </c>
      <c r="AS1383" s="80" t="str">
        <f>IFERROR(__xludf.DUMMYFUNCTION("""COMPUTED_VALUE"""),"RUDI HANTORO")</f>
        <v>RUDI HANTORO</v>
      </c>
      <c r="AT1383" s="80" t="str">
        <f>IFERROR(__xludf.DUMMYFUNCTION("""COMPUTED_VALUE"""),"-6.8468439,107.5464397")</f>
        <v>-6.8468439,107.5464397</v>
      </c>
      <c r="AU1383" s="80" t="str">
        <f>IFERROR(__xludf.DUMMYFUNCTION("""COMPUTED_VALUE"""),"-6.8468439,107.5464397")</f>
        <v>-6.8468439,107.5464397</v>
      </c>
      <c r="AV1383" s="80"/>
      <c r="AW1383" s="80"/>
      <c r="AX1383" s="80"/>
      <c r="AY1383" s="80"/>
      <c r="AZ1383" s="80"/>
      <c r="BA1383" s="80"/>
      <c r="BB1383" s="80"/>
      <c r="BC1383" s="80"/>
      <c r="BD1383" s="80"/>
      <c r="BE1383" s="80"/>
      <c r="BF1383" s="80"/>
      <c r="BG1383" s="80"/>
      <c r="BH1383" s="80"/>
      <c r="BI1383" s="80"/>
      <c r="BJ1383" s="80"/>
      <c r="BK1383" s="80"/>
      <c r="BL1383" s="80"/>
      <c r="BM1383" s="80"/>
      <c r="BN1383" s="80"/>
      <c r="BO1383" s="80"/>
      <c r="BP1383" s="80"/>
      <c r="BQ1383" s="80"/>
      <c r="BR1383" s="80"/>
      <c r="BS1383" s="80"/>
      <c r="BT1383" s="80"/>
      <c r="BU1383" s="80"/>
      <c r="BV1383" s="80"/>
      <c r="BW1383" s="80"/>
      <c r="BX1383" s="80"/>
      <c r="BY1383" s="80"/>
      <c r="BZ1383" s="80"/>
      <c r="CA1383" s="80"/>
      <c r="CB1383" s="80"/>
      <c r="CC1383" s="80"/>
      <c r="CD1383" s="80"/>
      <c r="CE1383" s="80"/>
      <c r="CF1383" s="80"/>
      <c r="CG1383" s="80"/>
      <c r="CH1383" s="80"/>
      <c r="CI1383" s="80"/>
      <c r="CJ1383" s="80"/>
      <c r="CK1383" s="2"/>
    </row>
    <row r="1384" ht="12.75" customHeight="1">
      <c r="A1384" s="85">
        <f>IFERROR(__xludf.DUMMYFUNCTION("""COMPUTED_VALUE"""),1380.0)</f>
        <v>1380</v>
      </c>
      <c r="B1384" s="85"/>
      <c r="C1384" s="85"/>
      <c r="D1384" s="86">
        <f>IFERROR(__xludf.DUMMYFUNCTION("""COMPUTED_VALUE"""),46255.0)</f>
        <v>46255</v>
      </c>
      <c r="E1384" s="88"/>
      <c r="F1384" s="85"/>
      <c r="G1384" s="86">
        <f>IFERROR(__xludf.DUMMYFUNCTION("""COMPUTED_VALUE"""),46279.0)</f>
        <v>46279</v>
      </c>
      <c r="H1384" s="85"/>
      <c r="I1384" s="85"/>
      <c r="J1384" s="85"/>
      <c r="K1384" s="85"/>
      <c r="L1384" s="85">
        <f>IFERROR(__xludf.DUMMYFUNCTION("""COMPUTED_VALUE"""),24.0)</f>
        <v>24</v>
      </c>
      <c r="M1384" s="85"/>
      <c r="N1384" s="85"/>
      <c r="O1384" s="85"/>
      <c r="P1384" s="85" t="str">
        <f>IFERROR(__xludf.DUMMYFUNCTION("""COMPUTED_VALUE"""),"MUCSPA70111PSAAK")</f>
        <v>MUCSPA70111PSAAK</v>
      </c>
      <c r="Q1384" s="85" t="str">
        <f>IFERROR(__xludf.DUMMYFUNCTION("""COMPUTED_VALUE"""),"MUC KNK")</f>
        <v>MUC KNK</v>
      </c>
      <c r="R1384" s="85" t="str">
        <f>IFERROR(__xludf.DUMMYFUNCTION("""COMPUTED_VALUE"""),"MUC KNK")</f>
        <v>MUC KNK</v>
      </c>
      <c r="S1384" s="85" t="str">
        <f>IFERROR(__xludf.DUMMYFUNCTION("""COMPUTED_VALUE"""),"RIZKI JULIANA SAPUTRI")</f>
        <v>RIZKI JULIANA SAPUTRI</v>
      </c>
      <c r="T1384" s="85" t="str">
        <f>IFERROR(__xludf.DUMMYFUNCTION("""COMPUTED_VALUE"""),"KP. CIPARAY RT 02 RW 03, LEBAKJAYA, KARANGPAWITAN, KAB.GARUT")</f>
        <v>KP. CIPARAY RT 02 RW 03, LEBAKJAYA, KARANGPAWITAN, KAB.GARUT</v>
      </c>
      <c r="U1384" s="85" t="str">
        <f>IFERROR(__xludf.DUMMYFUNCTION("""COMPUTED_VALUE"""),"JL. Ahmad Yani Timur KP Ciparay RT 02 RW 03")</f>
        <v>JL. Ahmad Yani Timur KP Ciparay RT 02 RW 03</v>
      </c>
      <c r="V1384" s="85" t="str">
        <f>IFERROR(__xludf.DUMMYFUNCTION("""COMPUTED_VALUE"""),"RT 02  \ RW 03,")</f>
        <v>RT 02  \ RW 03,</v>
      </c>
      <c r="W1384" s="85" t="str">
        <f>IFERROR(__xludf.DUMMYFUNCTION("""COMPUTED_VALUE"""),"LEBAKJAYA")</f>
        <v>LEBAKJAYA</v>
      </c>
      <c r="X1384" s="85" t="str">
        <f>IFERROR(__xludf.DUMMYFUNCTION("""COMPUTED_VALUE"""),"KARANGPAWITAN")</f>
        <v>KARANGPAWITAN</v>
      </c>
      <c r="Y1384" s="85" t="str">
        <f>IFERROR(__xludf.DUMMYFUNCTION("""COMPUTED_VALUE"""),"KAB.GARUT")</f>
        <v>KAB.GARUT</v>
      </c>
      <c r="Z1384" s="85" t="str">
        <f>IFERROR(__xludf.DUMMYFUNCTION("""COMPUTED_VALUE"""),"JAWA BARAT")</f>
        <v>JAWA BARAT</v>
      </c>
      <c r="AA1384" s="85" t="str">
        <f>IFERROR(__xludf.DUMMYFUNCTION("""COMPUTED_VALUE"""),"44182")</f>
        <v>44182</v>
      </c>
      <c r="AB1384" s="85" t="str">
        <f>IFERROR(__xludf.DUMMYFUNCTION("""COMPUTED_VALUE"""),"3205415307950001")</f>
        <v>3205415307950001</v>
      </c>
      <c r="AC1384" s="85" t="str">
        <f>IFERROR(__xludf.DUMMYFUNCTION("""COMPUTED_VALUE"""),"98.342.907.7-443.000")</f>
        <v>98.342.907.7-443.000</v>
      </c>
      <c r="AD1384" s="85" t="str">
        <f>IFERROR(__xludf.DUMMYFUNCTION("""COMPUTED_VALUE"""),"CUM - LP - ANGGI")</f>
        <v>CUM - LP - ANGGI</v>
      </c>
      <c r="AE1384" s="85" t="str">
        <f>IFERROR(__xludf.DUMMYFUNCTION("""COMPUTED_VALUE"""),"CUM - LP - ANGGI")</f>
        <v>CUM - LP - ANGGI</v>
      </c>
      <c r="AF1384" s="85" t="str">
        <f>IFERROR(__xludf.DUMMYFUNCTION("""COMPUTED_VALUE"""),"085927705074")</f>
        <v>085927705074</v>
      </c>
      <c r="AG1384" s="85" t="str">
        <f>IFERROR(__xludf.DUMMYFUNCTION("""COMPUTED_VALUE"""),"085927705074")</f>
        <v>085927705074</v>
      </c>
      <c r="AH1384" s="85" t="str">
        <f>IFERROR(__xludf.DUMMYFUNCTION("""COMPUTED_VALUE"""),"rezaiztiharmeilani@gmail.com")</f>
        <v>rezaiztiharmeilani@gmail.com</v>
      </c>
      <c r="AI1384" s="85" t="str">
        <f>IFERROR(__xludf.DUMMYFUNCTION("""COMPUTED_VALUE"""),"44182S6 ")</f>
        <v>44182S6 </v>
      </c>
      <c r="AJ1384" s="85" t="str">
        <f>IFERROR(__xludf.DUMMYFUNCTION("""COMPUTED_VALUE"""),"6aa6a7b7fb47581aa601a74d ")</f>
        <v>6aa6a7b7fb47581aa601a74d </v>
      </c>
      <c r="AK1384" s="85" t="str">
        <f>IFERROR(__xludf.DUMMYFUNCTION("""COMPUTED_VALUE"""),"rezaiztiharmeilani@gmail.com")</f>
        <v>rezaiztiharmeilani@gmail.com</v>
      </c>
      <c r="AL1384" s="85" t="str">
        <f>IFERROR(__xludf.DUMMYFUNCTION("""COMPUTED_VALUE"""),"#Muc44182S6$")</f>
        <v>#Muc44182S6$</v>
      </c>
      <c r="AM1384" s="85" t="str">
        <f>IFERROR(__xludf.DUMMYFUNCTION("""COMPUTED_VALUE"""),"KANTOR REGIONAL III BANDUNG 40004")</f>
        <v>KANTOR REGIONAL III BANDUNG 40004</v>
      </c>
      <c r="AN1384" s="85" t="str">
        <f>IFERROR(__xludf.DUMMYFUNCTION("""COMPUTED_VALUE"""),"KC GARUT 44100")</f>
        <v>KC GARUT 44100</v>
      </c>
      <c r="AO1384" s="85" t="str">
        <f>IFERROR(__xludf.DUMMYFUNCTION("""COMPUTED_VALUE"""),"0604230068028")</f>
        <v>0604230068028</v>
      </c>
      <c r="AP1384" s="85" t="str">
        <f>IFERROR(__xludf.DUMMYFUNCTION("""COMPUTED_VALUE"""),"0604230068028")</f>
        <v>0604230068028</v>
      </c>
      <c r="AQ1384" s="93" t="str">
        <f>IFERROR(__xludf.DUMMYFUNCTION("""COMPUTED_VALUE"""),"4460274309")</f>
        <v>4460274309</v>
      </c>
      <c r="AR1384" s="85" t="str">
        <f>IFERROR(__xludf.DUMMYFUNCTION("""COMPUTED_VALUE"""),"BCA")</f>
        <v>BCA</v>
      </c>
      <c r="AS1384" s="85" t="str">
        <f>IFERROR(__xludf.DUMMYFUNCTION("""COMPUTED_VALUE"""),"RIZKI JULIANA SAPUTRI")</f>
        <v>RIZKI JULIANA SAPUTRI</v>
      </c>
      <c r="AT1384" s="85" t="str">
        <f>IFERROR(__xludf.DUMMYFUNCTION("""COMPUTED_VALUE"""),"-7.216643,107.9273089")</f>
        <v>-7.216643,107.9273089</v>
      </c>
      <c r="AU1384" s="85" t="str">
        <f>IFERROR(__xludf.DUMMYFUNCTION("""COMPUTED_VALUE"""),"-7.216643,107.9273089")</f>
        <v>-7.216643,107.9273089</v>
      </c>
      <c r="AV1384" s="85"/>
      <c r="AW1384" s="85"/>
      <c r="AX1384" s="85"/>
      <c r="AY1384" s="85"/>
      <c r="AZ1384" s="85"/>
      <c r="BA1384" s="85"/>
      <c r="BB1384" s="85"/>
      <c r="BC1384" s="85"/>
      <c r="BD1384" s="85"/>
      <c r="BE1384" s="85"/>
      <c r="BF1384" s="85"/>
      <c r="BG1384" s="85"/>
      <c r="BH1384" s="85"/>
      <c r="BI1384" s="85"/>
      <c r="BJ1384" s="85"/>
      <c r="BK1384" s="85"/>
      <c r="BL1384" s="85"/>
      <c r="BM1384" s="85"/>
      <c r="BN1384" s="85"/>
      <c r="BO1384" s="85"/>
      <c r="BP1384" s="85"/>
      <c r="BQ1384" s="85"/>
      <c r="BR1384" s="85"/>
      <c r="BS1384" s="85"/>
      <c r="BT1384" s="85"/>
      <c r="BU1384" s="85"/>
      <c r="BV1384" s="85"/>
      <c r="BW1384" s="85"/>
      <c r="BX1384" s="85"/>
      <c r="BY1384" s="85"/>
      <c r="BZ1384" s="85"/>
      <c r="CA1384" s="85"/>
      <c r="CB1384" s="85"/>
      <c r="CC1384" s="85"/>
      <c r="CD1384" s="85"/>
      <c r="CE1384" s="85"/>
      <c r="CF1384" s="85"/>
      <c r="CG1384" s="85"/>
      <c r="CH1384" s="85"/>
      <c r="CI1384" s="85"/>
      <c r="CJ1384" s="85"/>
      <c r="CK1384" s="2"/>
    </row>
    <row r="1385" ht="12.75" customHeight="1">
      <c r="A1385" s="80">
        <f>IFERROR(__xludf.DUMMYFUNCTION("""COMPUTED_VALUE"""),1381.0)</f>
        <v>1381</v>
      </c>
      <c r="B1385" s="80"/>
      <c r="C1385" s="80"/>
      <c r="D1385" s="81">
        <f>IFERROR(__xludf.DUMMYFUNCTION("""COMPUTED_VALUE"""),46255.0)</f>
        <v>46255</v>
      </c>
      <c r="E1385" s="82"/>
      <c r="F1385" s="80"/>
      <c r="G1385" s="81"/>
      <c r="H1385" s="80"/>
      <c r="I1385" s="80"/>
      <c r="J1385" s="80"/>
      <c r="K1385" s="80"/>
      <c r="L1385" s="80"/>
      <c r="M1385" s="80"/>
      <c r="N1385" s="80"/>
      <c r="O1385" s="80"/>
      <c r="P1385" s="80" t="str">
        <f>IFERROR(__xludf.DUMMYFUNCTION("""COMPUTED_VALUE"""),"53BSPA17239JBNDS")</f>
        <v>53BSPA17239JBNDS</v>
      </c>
      <c r="Q1385" s="80" t="str">
        <f>IFERROR(__xludf.DUMMYFUNCTION("""COMPUTED_VALUE"""),"MUC TICK CELL")</f>
        <v>MUC TICK CELL</v>
      </c>
      <c r="R1385" s="80" t="str">
        <f>IFERROR(__xludf.DUMMYFUNCTION("""COMPUTED_VALUE"""),"MUC TICK CELL")</f>
        <v>MUC TICK CELL</v>
      </c>
      <c r="S1385" s="80" t="str">
        <f>IFERROR(__xludf.DUMMYFUNCTION("""COMPUTED_VALUE"""),"TITIK NURDAYANI")</f>
        <v>TITIK NURDAYANI</v>
      </c>
      <c r="T1385" s="80" t="str">
        <f>IFERROR(__xludf.DUMMYFUNCTION("""COMPUTED_VALUE"""),"PERUM DE BALE CLUSTER JADE NO.6 RT.004/023 SUKATANI TAPOS KOTA DEPOK JAWA BARAT")</f>
        <v>PERUM DE BALE CLUSTER JADE NO.6 RT.004/023 SUKATANI TAPOS KOTA DEPOK JAWA BARAT</v>
      </c>
      <c r="U1385" s="80" t="str">
        <f>IFERROR(__xludf.DUMMYFUNCTION("""COMPUTED_VALUE"""),"JL. NANGKA RT 07 RW 07 SUKAMAJU BARU TAPOS")</f>
        <v>JL. NANGKA RT 07 RW 07 SUKAMAJU BARU TAPOS</v>
      </c>
      <c r="V1385" s="80"/>
      <c r="W1385" s="80" t="str">
        <f>IFERROR(__xludf.DUMMYFUNCTION("""COMPUTED_VALUE"""),"Sukamaju Baru")</f>
        <v>Sukamaju Baru</v>
      </c>
      <c r="X1385" s="80" t="str">
        <f>IFERROR(__xludf.DUMMYFUNCTION("""COMPUTED_VALUE"""),"Tapos")</f>
        <v>Tapos</v>
      </c>
      <c r="Y1385" s="80" t="str">
        <f>IFERROR(__xludf.DUMMYFUNCTION("""COMPUTED_VALUE"""),"Depok")</f>
        <v>Depok</v>
      </c>
      <c r="Z1385" s="80" t="str">
        <f>IFERROR(__xludf.DUMMYFUNCTION("""COMPUTED_VALUE"""),"Jawa Barat")</f>
        <v>Jawa Barat</v>
      </c>
      <c r="AA1385" s="80" t="str">
        <f>IFERROR(__xludf.DUMMYFUNCTION("""COMPUTED_VALUE"""),"16455")</f>
        <v>16455</v>
      </c>
      <c r="AB1385" s="80" t="str">
        <f>IFERROR(__xludf.DUMMYFUNCTION("""COMPUTED_VALUE"""),"3209227011840005")</f>
        <v>3209227011840005</v>
      </c>
      <c r="AC1385" s="80" t="str">
        <f>IFERROR(__xludf.DUMMYFUNCTION("""COMPUTED_VALUE"""),"73.438.427.4-017.000")</f>
        <v>73.438.427.4-017.000</v>
      </c>
      <c r="AD1385" s="80" t="str">
        <f>IFERROR(__xludf.DUMMYFUNCTION("""COMPUTED_VALUE"""),"CUM - NDS")</f>
        <v>CUM - NDS</v>
      </c>
      <c r="AE1385" s="80" t="str">
        <f>IFERROR(__xludf.DUMMYFUNCTION("""COMPUTED_VALUE"""),"CUM - NDS")</f>
        <v>CUM - NDS</v>
      </c>
      <c r="AF1385" s="80" t="str">
        <f>IFERROR(__xludf.DUMMYFUNCTION("""COMPUTED_VALUE"""),"089688519930")</f>
        <v>089688519930</v>
      </c>
      <c r="AG1385" s="80" t="str">
        <f>IFERROR(__xludf.DUMMYFUNCTION("""COMPUTED_VALUE"""),"089688519930")</f>
        <v>089688519930</v>
      </c>
      <c r="AH1385" s="80" t="str">
        <f>IFERROR(__xludf.DUMMYFUNCTION("""COMPUTED_VALUE"""),"nurdayanititik@gmail.com")</f>
        <v>nurdayanititik@gmail.com</v>
      </c>
      <c r="AI1385" s="80"/>
      <c r="AJ1385" s="80"/>
      <c r="AK1385" s="80"/>
      <c r="AL1385" s="80"/>
      <c r="AM1385" s="80" t="str">
        <f>IFERROR(__xludf.DUMMYFUNCTION("""COMPUTED_VALUE"""),"KANTOR REGIONAL II JAKARTA 10004")</f>
        <v>KANTOR REGIONAL II JAKARTA 10004</v>
      </c>
      <c r="AN1385" s="80" t="str">
        <f>IFERROR(__xludf.DUMMYFUNCTION("""COMPUTED_VALUE"""),"KC DEPOK 16400")</f>
        <v>KC DEPOK 16400</v>
      </c>
      <c r="AO1385" s="80" t="str">
        <f>IFERROR(__xludf.DUMMYFUNCTION("""COMPUTED_VALUE"""),"2210240201749")</f>
        <v>2210240201749</v>
      </c>
      <c r="AP1385" s="80" t="str">
        <f>IFERROR(__xludf.DUMMYFUNCTION("""COMPUTED_VALUE"""),"2210240201749")</f>
        <v>2210240201749</v>
      </c>
      <c r="AQ1385" s="83" t="str">
        <f>IFERROR(__xludf.DUMMYFUNCTION("""COMPUTED_VALUE"""),"5855018745")</f>
        <v>5855018745</v>
      </c>
      <c r="AR1385" s="80" t="str">
        <f>IFERROR(__xludf.DUMMYFUNCTION("""COMPUTED_VALUE"""),"BCA")</f>
        <v>BCA</v>
      </c>
      <c r="AS1385" s="80" t="str">
        <f>IFERROR(__xludf.DUMMYFUNCTION("""COMPUTED_VALUE"""),"TITIK NURDAYANI")</f>
        <v>TITIK NURDAYANI</v>
      </c>
      <c r="AT1385" s="80" t="str">
        <f>IFERROR(__xludf.DUMMYFUNCTION("""COMPUTED_VALUE"""),"-6.4017397,106.8705165")</f>
        <v>-6.4017397,106.8705165</v>
      </c>
      <c r="AU1385" s="80" t="str">
        <f>IFERROR(__xludf.DUMMYFUNCTION("""COMPUTED_VALUE"""),"-6.4017397,106.8705165")</f>
        <v>-6.4017397,106.8705165</v>
      </c>
      <c r="AV1385" s="80"/>
      <c r="AW1385" s="80"/>
      <c r="AX1385" s="80"/>
      <c r="AY1385" s="80"/>
      <c r="AZ1385" s="80"/>
      <c r="BA1385" s="80"/>
      <c r="BB1385" s="80"/>
      <c r="BC1385" s="80"/>
      <c r="BD1385" s="80"/>
      <c r="BE1385" s="80"/>
      <c r="BF1385" s="80"/>
      <c r="BG1385" s="80"/>
      <c r="BH1385" s="80"/>
      <c r="BI1385" s="80"/>
      <c r="BJ1385" s="80"/>
      <c r="BK1385" s="80"/>
      <c r="BL1385" s="80"/>
      <c r="BM1385" s="80"/>
      <c r="BN1385" s="80"/>
      <c r="BO1385" s="80"/>
      <c r="BP1385" s="80"/>
      <c r="BQ1385" s="80"/>
      <c r="BR1385" s="80"/>
      <c r="BS1385" s="80"/>
      <c r="BT1385" s="80"/>
      <c r="BU1385" s="80"/>
      <c r="BV1385" s="80"/>
      <c r="BW1385" s="80"/>
      <c r="BX1385" s="80"/>
      <c r="BY1385" s="80"/>
      <c r="BZ1385" s="80"/>
      <c r="CA1385" s="80"/>
      <c r="CB1385" s="80"/>
      <c r="CC1385" s="80"/>
      <c r="CD1385" s="80"/>
      <c r="CE1385" s="80"/>
      <c r="CF1385" s="80"/>
      <c r="CG1385" s="80"/>
      <c r="CH1385" s="80"/>
      <c r="CI1385" s="80"/>
      <c r="CJ1385" s="80"/>
      <c r="CK1385" s="2"/>
    </row>
    <row r="1386" ht="12.75" customHeight="1">
      <c r="A1386" s="85">
        <f>IFERROR(__xludf.DUMMYFUNCTION("""COMPUTED_VALUE"""),1382.0)</f>
        <v>1382</v>
      </c>
      <c r="B1386" s="85"/>
      <c r="C1386" s="85"/>
      <c r="D1386" s="86">
        <f>IFERROR(__xludf.DUMMYFUNCTION("""COMPUTED_VALUE"""),46255.0)</f>
        <v>46255</v>
      </c>
      <c r="E1386" s="88"/>
      <c r="F1386" s="85"/>
      <c r="G1386" s="86">
        <f>IFERROR(__xludf.DUMMYFUNCTION("""COMPUTED_VALUE"""),46279.0)</f>
        <v>46279</v>
      </c>
      <c r="H1386" s="85"/>
      <c r="I1386" s="85"/>
      <c r="J1386" s="85"/>
      <c r="K1386" s="85"/>
      <c r="L1386" s="85">
        <f>IFERROR(__xludf.DUMMYFUNCTION("""COMPUTED_VALUE"""),24.0)</f>
        <v>24</v>
      </c>
      <c r="M1386" s="85"/>
      <c r="N1386" s="85"/>
      <c r="O1386" s="85"/>
      <c r="P1386" s="85" t="str">
        <f>IFERROR(__xludf.DUMMYFUNCTION("""COMPUTED_VALUE"""),"MUCSPA63665PSIND")</f>
        <v>MUCSPA63665PSIND</v>
      </c>
      <c r="Q1386" s="85" t="str">
        <f>IFERROR(__xludf.DUMMYFUNCTION("""COMPUTED_VALUE"""),"MUC EFIKA JAYA")</f>
        <v>MUC EFIKA JAYA</v>
      </c>
      <c r="R1386" s="85" t="str">
        <f>IFERROR(__xludf.DUMMYFUNCTION("""COMPUTED_VALUE"""),"MUC EFIKA JAYA")</f>
        <v>MUC EFIKA JAYA</v>
      </c>
      <c r="S1386" s="85" t="str">
        <f>IFERROR(__xludf.DUMMYFUNCTION("""COMPUTED_VALUE"""),"HERMAN EFIKA")</f>
        <v>HERMAN EFIKA</v>
      </c>
      <c r="T1386" s="85" t="str">
        <f>IFERROR(__xludf.DUMMYFUNCTION("""COMPUTED_VALUE"""),"JL.RAKUTTA SEMBIRING LOR XX NAGA PITA SIANTAR MARTOBA KOTA PEMATANGSIANTAR SUMATERA UTARA")</f>
        <v>JL.RAKUTTA SEMBIRING LOR XX NAGA PITA SIANTAR MARTOBA KOTA PEMATANGSIANTAR SUMATERA UTARA</v>
      </c>
      <c r="U1386" s="85" t="str">
        <f>IFERROR(__xludf.DUMMYFUNCTION("""COMPUTED_VALUE"""),"Jl. Rakutta Sembiring No.168a Naga Pita, Kec. Siantar Martoba")</f>
        <v>Jl. Rakutta Sembiring No.168a Naga Pita, Kec. Siantar Martoba</v>
      </c>
      <c r="V1386" s="85"/>
      <c r="W1386" s="85" t="str">
        <f>IFERROR(__xludf.DUMMYFUNCTION("""COMPUTED_VALUE"""),"Naga Pita")</f>
        <v>Naga Pita</v>
      </c>
      <c r="X1386" s="85" t="str">
        <f>IFERROR(__xludf.DUMMYFUNCTION("""COMPUTED_VALUE"""),"Siantar Martoba")</f>
        <v>Siantar Martoba</v>
      </c>
      <c r="Y1386" s="85" t="str">
        <f>IFERROR(__xludf.DUMMYFUNCTION("""COMPUTED_VALUE"""),"Pematangsiantar")</f>
        <v>Pematangsiantar</v>
      </c>
      <c r="Z1386" s="85" t="str">
        <f>IFERROR(__xludf.DUMMYFUNCTION("""COMPUTED_VALUE"""),"Sumatera Utara")</f>
        <v>Sumatera Utara</v>
      </c>
      <c r="AA1386" s="85" t="str">
        <f>IFERROR(__xludf.DUMMYFUNCTION("""COMPUTED_VALUE"""),"21143")</f>
        <v>21143</v>
      </c>
      <c r="AB1386" s="85" t="str">
        <f>IFERROR(__xludf.DUMMYFUNCTION("""COMPUTED_VALUE"""),"1272022903780005")</f>
        <v>1272022903780005</v>
      </c>
      <c r="AC1386" s="85" t="str">
        <f>IFERROR(__xludf.DUMMYFUNCTION("""COMPUTED_VALUE"""),"08.059.872.2-911.7000")</f>
        <v>08.059.872.2-911.7000</v>
      </c>
      <c r="AD1386" s="85" t="str">
        <f>IFERROR(__xludf.DUMMYFUNCTION("""COMPUTED_VALUE"""),"CUM - PS - DEVI")</f>
        <v>CUM - PS - DEVI</v>
      </c>
      <c r="AE1386" s="85" t="str">
        <f>IFERROR(__xludf.DUMMYFUNCTION("""COMPUTED_VALUE"""),"CUM - PS - DEVI")</f>
        <v>CUM - PS - DEVI</v>
      </c>
      <c r="AF1386" s="85" t="str">
        <f>IFERROR(__xludf.DUMMYFUNCTION("""COMPUTED_VALUE"""),"085296345568")</f>
        <v>085296345568</v>
      </c>
      <c r="AG1386" s="85" t="str">
        <f>IFERROR(__xludf.DUMMYFUNCTION("""COMPUTED_VALUE"""),"085296345568")</f>
        <v>085296345568</v>
      </c>
      <c r="AH1386" s="85" t="str">
        <f>IFERROR(__xludf.DUMMYFUNCTION("""COMPUTED_VALUE"""),"hermanefika9@gmail.com")</f>
        <v>hermanefika9@gmail.com</v>
      </c>
      <c r="AI1386" s="85" t="str">
        <f>IFERROR(__xludf.DUMMYFUNCTION("""COMPUTED_VALUE"""),"21138S5 ")</f>
        <v>21138S5 </v>
      </c>
      <c r="AJ1386" s="85" t="str">
        <f>IFERROR(__xludf.DUMMYFUNCTION("""COMPUTED_VALUE"""),"6aa7bfc51275aaa1430c0566 ")</f>
        <v>6aa7bfc51275aaa1430c0566 </v>
      </c>
      <c r="AK1386" s="85" t="str">
        <f>IFERROR(__xludf.DUMMYFUNCTION("""COMPUTED_VALUE"""),"hermanefika9@gmail.com")</f>
        <v>hermanefika9@gmail.com</v>
      </c>
      <c r="AL1386" s="85" t="str">
        <f>IFERROR(__xludf.DUMMYFUNCTION("""COMPUTED_VALUE"""),"#Muc21138S5$")</f>
        <v>#Muc21138S5$</v>
      </c>
      <c r="AM1386" s="85" t="str">
        <f>IFERROR(__xludf.DUMMYFUNCTION("""COMPUTED_VALUE"""),"KANTOR REGIONAL I MEDAN 20004")</f>
        <v>KANTOR REGIONAL I MEDAN 20004</v>
      </c>
      <c r="AN1386" s="85" t="str">
        <f>IFERROR(__xludf.DUMMYFUNCTION("""COMPUTED_VALUE"""),"KC PEMATANGSIANTAR 21100")</f>
        <v>KC PEMATANGSIANTAR 21100</v>
      </c>
      <c r="AO1386" s="85" t="str">
        <f>IFERROR(__xludf.DUMMYFUNCTION("""COMPUTED_VALUE"""),"2008260047572")</f>
        <v>2008260047572</v>
      </c>
      <c r="AP1386" s="85" t="str">
        <f>IFERROR(__xludf.DUMMYFUNCTION("""COMPUTED_VALUE"""),"2008260047572")</f>
        <v>2008260047572</v>
      </c>
      <c r="AQ1386" s="93" t="str">
        <f>IFERROR(__xludf.DUMMYFUNCTION("""COMPUTED_VALUE"""),"8201170605")</f>
        <v>8201170605</v>
      </c>
      <c r="AR1386" s="85" t="str">
        <f>IFERROR(__xludf.DUMMYFUNCTION("""COMPUTED_VALUE"""),"BCA")</f>
        <v>BCA</v>
      </c>
      <c r="AS1386" s="85" t="str">
        <f>IFERROR(__xludf.DUMMYFUNCTION("""COMPUTED_VALUE"""),"HERMAN EFIKA")</f>
        <v>HERMAN EFIKA</v>
      </c>
      <c r="AT1386" s="85" t="str">
        <f>IFERROR(__xludf.DUMMYFUNCTION("""COMPUTED_VALUE"""),"2.9783961,99.0663132")</f>
        <v>2.9783961,99.0663132</v>
      </c>
      <c r="AU1386" s="85" t="str">
        <f>IFERROR(__xludf.DUMMYFUNCTION("""COMPUTED_VALUE"""),"2.9783961,99.0663132")</f>
        <v>2.9783961,99.0663132</v>
      </c>
      <c r="AV1386" s="85"/>
      <c r="AW1386" s="85"/>
      <c r="AX1386" s="85"/>
      <c r="AY1386" s="85"/>
      <c r="AZ1386" s="85"/>
      <c r="BA1386" s="85"/>
      <c r="BB1386" s="85"/>
      <c r="BC1386" s="85"/>
      <c r="BD1386" s="85"/>
      <c r="BE1386" s="85"/>
      <c r="BF1386" s="85"/>
      <c r="BG1386" s="85"/>
      <c r="BH1386" s="85"/>
      <c r="BI1386" s="85"/>
      <c r="BJ1386" s="85"/>
      <c r="BK1386" s="85"/>
      <c r="BL1386" s="85"/>
      <c r="BM1386" s="85"/>
      <c r="BN1386" s="85"/>
      <c r="BO1386" s="85"/>
      <c r="BP1386" s="85"/>
      <c r="BQ1386" s="85"/>
      <c r="BR1386" s="85"/>
      <c r="BS1386" s="85"/>
      <c r="BT1386" s="85"/>
      <c r="BU1386" s="85"/>
      <c r="BV1386" s="85"/>
      <c r="BW1386" s="85"/>
      <c r="BX1386" s="85"/>
      <c r="BY1386" s="85"/>
      <c r="BZ1386" s="85"/>
      <c r="CA1386" s="85"/>
      <c r="CB1386" s="85"/>
      <c r="CC1386" s="85"/>
      <c r="CD1386" s="85"/>
      <c r="CE1386" s="85"/>
      <c r="CF1386" s="85"/>
      <c r="CG1386" s="85"/>
      <c r="CH1386" s="85"/>
      <c r="CI1386" s="85"/>
      <c r="CJ1386" s="85"/>
      <c r="CK1386" s="2"/>
    </row>
    <row r="1387" ht="12.75" customHeight="1">
      <c r="A1387" s="80">
        <f>IFERROR(__xludf.DUMMYFUNCTION("""COMPUTED_VALUE"""),1383.0)</f>
        <v>1383</v>
      </c>
      <c r="B1387" s="80"/>
      <c r="C1387" s="80"/>
      <c r="D1387" s="81">
        <f>IFERROR(__xludf.DUMMYFUNCTION("""COMPUTED_VALUE"""),46256.0)</f>
        <v>46256</v>
      </c>
      <c r="E1387" s="82"/>
      <c r="F1387" s="80"/>
      <c r="G1387" s="81"/>
      <c r="H1387" s="80"/>
      <c r="I1387" s="80"/>
      <c r="J1387" s="80"/>
      <c r="K1387" s="80"/>
      <c r="L1387" s="80"/>
      <c r="M1387" s="80"/>
      <c r="N1387" s="80"/>
      <c r="O1387" s="80"/>
      <c r="P1387" s="80" t="str">
        <f>IFERROR(__xludf.DUMMYFUNCTION("""COMPUTED_VALUE"""),"53BSPA17241JBNDS")</f>
        <v>53BSPA17241JBNDS</v>
      </c>
      <c r="Q1387" s="80" t="str">
        <f>IFERROR(__xludf.DUMMYFUNCTION("""COMPUTED_VALUE"""),"MUC NUANSA INDAH CIOMAS")</f>
        <v>MUC NUANSA INDAH CIOMAS</v>
      </c>
      <c r="R1387" s="80" t="str">
        <f>IFERROR(__xludf.DUMMYFUNCTION("""COMPUTED_VALUE"""),"MUC NUANSA INDAH CIOMAS")</f>
        <v>MUC NUANSA INDAH CIOMAS</v>
      </c>
      <c r="S1387" s="80" t="str">
        <f>IFERROR(__xludf.DUMMYFUNCTION("""COMPUTED_VALUE"""),"FIRMAN ARDIANSYAH")</f>
        <v>FIRMAN ARDIANSYAH</v>
      </c>
      <c r="T1387" s="80" t="str">
        <f>IFERROR(__xludf.DUMMYFUNCTION("""COMPUTED_VALUE"""),"PERUMAHAN NUANSA INDAH JL. JAYA WIJAYA BLOK B I NO.4-5 RT.005/016 PAGELARAN CIOMAS KABUPATEN BOGOR JAWA BARAT")</f>
        <v>PERUMAHAN NUANSA INDAH JL. JAYA WIJAYA BLOK B I NO.4-5 RT.005/016 PAGELARAN CIOMAS KABUPATEN BOGOR JAWA BARAT</v>
      </c>
      <c r="U1387" s="80" t="str">
        <f>IFERROR(__xludf.DUMMYFUNCTION("""COMPUTED_VALUE"""),"Nuansa Indah Ciomas B1 No.4-5 Jl. Jaya Wijaya Pagelaran Ciomas")</f>
        <v>Nuansa Indah Ciomas B1 No.4-5 Jl. Jaya Wijaya Pagelaran Ciomas</v>
      </c>
      <c r="V1387" s="80"/>
      <c r="W1387" s="80" t="str">
        <f>IFERROR(__xludf.DUMMYFUNCTION("""COMPUTED_VALUE"""),"Pagelaran")</f>
        <v>Pagelaran</v>
      </c>
      <c r="X1387" s="80" t="str">
        <f>IFERROR(__xludf.DUMMYFUNCTION("""COMPUTED_VALUE"""),"Ciomas")</f>
        <v>Ciomas</v>
      </c>
      <c r="Y1387" s="80" t="str">
        <f>IFERROR(__xludf.DUMMYFUNCTION("""COMPUTED_VALUE"""),"Kab.Bogor")</f>
        <v>Kab.Bogor</v>
      </c>
      <c r="Z1387" s="80" t="str">
        <f>IFERROR(__xludf.DUMMYFUNCTION("""COMPUTED_VALUE"""),"Jawa Barat")</f>
        <v>Jawa Barat</v>
      </c>
      <c r="AA1387" s="80" t="str">
        <f>IFERROR(__xludf.DUMMYFUNCTION("""COMPUTED_VALUE"""),"16617")</f>
        <v>16617</v>
      </c>
      <c r="AB1387" s="80" t="str">
        <f>IFERROR(__xludf.DUMMYFUNCTION("""COMPUTED_VALUE"""),"3201292308930002")</f>
        <v>3201292308930002</v>
      </c>
      <c r="AC1387" s="80" t="str">
        <f>IFERROR(__xludf.DUMMYFUNCTION("""COMPUTED_VALUE"""),"80.419.901.6-434.000")</f>
        <v>80.419.901.6-434.000</v>
      </c>
      <c r="AD1387" s="80" t="str">
        <f>IFERROR(__xludf.DUMMYFUNCTION("""COMPUTED_VALUE"""),"CUM - NDS")</f>
        <v>CUM - NDS</v>
      </c>
      <c r="AE1387" s="80" t="str">
        <f>IFERROR(__xludf.DUMMYFUNCTION("""COMPUTED_VALUE"""),"CUM - NDS")</f>
        <v>CUM - NDS</v>
      </c>
      <c r="AF1387" s="80" t="str">
        <f>IFERROR(__xludf.DUMMYFUNCTION("""COMPUTED_VALUE"""),"081321123020")</f>
        <v>081321123020</v>
      </c>
      <c r="AG1387" s="80" t="str">
        <f>IFERROR(__xludf.DUMMYFUNCTION("""COMPUTED_VALUE"""),"081321123020")</f>
        <v>081321123020</v>
      </c>
      <c r="AH1387" s="80" t="str">
        <f>IFERROR(__xludf.DUMMYFUNCTION("""COMPUTED_VALUE"""),"firmanardiansyah2308@gmail.com")</f>
        <v>firmanardiansyah2308@gmail.com</v>
      </c>
      <c r="AI1387" s="80"/>
      <c r="AJ1387" s="80"/>
      <c r="AK1387" s="80"/>
      <c r="AL1387" s="80"/>
      <c r="AM1387" s="80" t="str">
        <f>IFERROR(__xludf.DUMMYFUNCTION("""COMPUTED_VALUE"""),"KANTOR REGIONAL II JAKARTA 10004")</f>
        <v>KANTOR REGIONAL II JAKARTA 10004</v>
      </c>
      <c r="AN1387" s="80" t="str">
        <f>IFERROR(__xludf.DUMMYFUNCTION("""COMPUTED_VALUE"""),"KCU BOGOR 16000")</f>
        <v>KCU BOGOR 16000</v>
      </c>
      <c r="AO1387" s="80" t="str">
        <f>IFERROR(__xludf.DUMMYFUNCTION("""COMPUTED_VALUE"""),"2008260021841")</f>
        <v>2008260021841</v>
      </c>
      <c r="AP1387" s="80" t="str">
        <f>IFERROR(__xludf.DUMMYFUNCTION("""COMPUTED_VALUE"""),"2008260021841")</f>
        <v>2008260021841</v>
      </c>
      <c r="AQ1387" s="83" t="str">
        <f>IFERROR(__xludf.DUMMYFUNCTION("""COMPUTED_VALUE"""),"3903725070")</f>
        <v>3903725070</v>
      </c>
      <c r="AR1387" s="80" t="str">
        <f>IFERROR(__xludf.DUMMYFUNCTION("""COMPUTED_VALUE"""),"BSI")</f>
        <v>BSI</v>
      </c>
      <c r="AS1387" s="80" t="str">
        <f>IFERROR(__xludf.DUMMYFUNCTION("""COMPUTED_VALUE"""),"FIRMAN ARDIANSYAH")</f>
        <v>FIRMAN ARDIANSYAH</v>
      </c>
      <c r="AT1387" s="80" t="str">
        <f>IFERROR(__xludf.DUMMYFUNCTION("""COMPUTED_VALUE"""),"-6.605668,106.7633167")</f>
        <v>-6.605668,106.7633167</v>
      </c>
      <c r="AU1387" s="80" t="str">
        <f>IFERROR(__xludf.DUMMYFUNCTION("""COMPUTED_VALUE"""),"-6.605668,106.7633167")</f>
        <v>-6.605668,106.7633167</v>
      </c>
      <c r="AV1387" s="80"/>
      <c r="AW1387" s="80"/>
      <c r="AX1387" s="80"/>
      <c r="AY1387" s="80"/>
      <c r="AZ1387" s="80"/>
      <c r="BA1387" s="80"/>
      <c r="BB1387" s="80"/>
      <c r="BC1387" s="80"/>
      <c r="BD1387" s="80"/>
      <c r="BE1387" s="80"/>
      <c r="BF1387" s="80"/>
      <c r="BG1387" s="80"/>
      <c r="BH1387" s="80"/>
      <c r="BI1387" s="80"/>
      <c r="BJ1387" s="80"/>
      <c r="BK1387" s="80"/>
      <c r="BL1387" s="80"/>
      <c r="BM1387" s="80"/>
      <c r="BN1387" s="80"/>
      <c r="BO1387" s="80"/>
      <c r="BP1387" s="80"/>
      <c r="BQ1387" s="80"/>
      <c r="BR1387" s="80"/>
      <c r="BS1387" s="80"/>
      <c r="BT1387" s="80"/>
      <c r="BU1387" s="80"/>
      <c r="BV1387" s="80"/>
      <c r="BW1387" s="80"/>
      <c r="BX1387" s="80"/>
      <c r="BY1387" s="80"/>
      <c r="BZ1387" s="80"/>
      <c r="CA1387" s="80"/>
      <c r="CB1387" s="80"/>
      <c r="CC1387" s="80"/>
      <c r="CD1387" s="80"/>
      <c r="CE1387" s="80"/>
      <c r="CF1387" s="80"/>
      <c r="CG1387" s="80"/>
      <c r="CH1387" s="80"/>
      <c r="CI1387" s="80"/>
      <c r="CJ1387" s="80"/>
      <c r="CK1387" s="2"/>
    </row>
    <row r="1388" ht="12.75" customHeight="1">
      <c r="A1388" s="85">
        <f>IFERROR(__xludf.DUMMYFUNCTION("""COMPUTED_VALUE"""),1384.0)</f>
        <v>1384</v>
      </c>
      <c r="B1388" s="85"/>
      <c r="C1388" s="85"/>
      <c r="D1388" s="86">
        <f>IFERROR(__xludf.DUMMYFUNCTION("""COMPUTED_VALUE"""),46256.0)</f>
        <v>46256</v>
      </c>
      <c r="E1388" s="88"/>
      <c r="F1388" s="85"/>
      <c r="G1388" s="86">
        <f>IFERROR(__xludf.DUMMYFUNCTION("""COMPUTED_VALUE"""),46281.0)</f>
        <v>46281</v>
      </c>
      <c r="H1388" s="85"/>
      <c r="I1388" s="85"/>
      <c r="J1388" s="85"/>
      <c r="K1388" s="85"/>
      <c r="L1388" s="85">
        <f>IFERROR(__xludf.DUMMYFUNCTION("""COMPUTED_VALUE"""),25.0)</f>
        <v>25</v>
      </c>
      <c r="M1388" s="85"/>
      <c r="N1388" s="85"/>
      <c r="O1388" s="85"/>
      <c r="P1388" s="85" t="str">
        <f>IFERROR(__xludf.DUMMYFUNCTION("""COMPUTED_VALUE"""),"MUCSPA70116PSLDI")</f>
        <v>MUCSPA70116PSLDI</v>
      </c>
      <c r="Q1388" s="85" t="str">
        <f>IFERROR(__xludf.DUMMYFUNCTION("""COMPUTED_VALUE"""),"MUC INDAH TELAJUNG")</f>
        <v>MUC INDAH TELAJUNG</v>
      </c>
      <c r="R1388" s="85" t="str">
        <f>IFERROR(__xludf.DUMMYFUNCTION("""COMPUTED_VALUE"""),"MUC INDAH TELAJUNG")</f>
        <v>MUC INDAH TELAJUNG</v>
      </c>
      <c r="S1388" s="85" t="str">
        <f>IFERROR(__xludf.DUMMYFUNCTION("""COMPUTED_VALUE"""),"SUPARNO")</f>
        <v>SUPARNO</v>
      </c>
      <c r="T1388" s="85" t="str">
        <f>IFERROR(__xludf.DUMMYFUNCTION("""COMPUTED_VALUE"""),"JL.KIARA NO.22 PONDOK BENDA RT 04 RW 05, JATIRASA, JATIASIH, BEKASI")</f>
        <v>JL.KIARA NO.22 PONDOK BENDA RT 04 RW 05, JATIRASA, JATIASIH, BEKASI</v>
      </c>
      <c r="U1388" s="85" t="str">
        <f>IFERROR(__xludf.DUMMYFUNCTION("""COMPUTED_VALUE"""),"JL. METRO TELAJUNG")</f>
        <v>JL. METRO TELAJUNG</v>
      </c>
      <c r="V1388" s="85" t="str">
        <f>IFERROR(__xludf.DUMMYFUNCTION("""COMPUTED_VALUE"""),"RT 04  \ RW 05,")</f>
        <v>RT 04  \ RW 05,</v>
      </c>
      <c r="W1388" s="85" t="str">
        <f>IFERROR(__xludf.DUMMYFUNCTION("""COMPUTED_VALUE"""),"TELAJUNG")</f>
        <v>TELAJUNG</v>
      </c>
      <c r="X1388" s="85" t="str">
        <f>IFERROR(__xludf.DUMMYFUNCTION("""COMPUTED_VALUE"""),"CIKARANG BARAT")</f>
        <v>CIKARANG BARAT</v>
      </c>
      <c r="Y1388" s="85" t="str">
        <f>IFERROR(__xludf.DUMMYFUNCTION("""COMPUTED_VALUE"""),"KAB.BEKASI")</f>
        <v>KAB.BEKASI</v>
      </c>
      <c r="Z1388" s="85" t="str">
        <f>IFERROR(__xludf.DUMMYFUNCTION("""COMPUTED_VALUE"""),"JAWA BARAT")</f>
        <v>JAWA BARAT</v>
      </c>
      <c r="AA1388" s="85" t="str">
        <f>IFERROR(__xludf.DUMMYFUNCTION("""COMPUTED_VALUE"""),"17530")</f>
        <v>17530</v>
      </c>
      <c r="AB1388" s="85" t="str">
        <f>IFERROR(__xludf.DUMMYFUNCTION("""COMPUTED_VALUE"""),"3275090706680005")</f>
        <v>3275090706680005</v>
      </c>
      <c r="AC1388" s="85" t="str">
        <f>IFERROR(__xludf.DUMMYFUNCTION("""COMPUTED_VALUE"""),"32.750.907.0-668.0005")</f>
        <v>32.750.907.0-668.0005</v>
      </c>
      <c r="AD1388" s="85" t="str">
        <f>IFERROR(__xludf.DUMMYFUNCTION("""COMPUTED_VALUE"""),"CUM - LDI - KOPUBGBS")</f>
        <v>CUM - LDI - KOPUBGBS</v>
      </c>
      <c r="AE1388" s="85" t="str">
        <f>IFERROR(__xludf.DUMMYFUNCTION("""COMPUTED_VALUE"""),"CUM - LDI - KOPUBGBS")</f>
        <v>CUM - LDI - KOPUBGBS</v>
      </c>
      <c r="AF1388" s="85" t="str">
        <f>IFERROR(__xludf.DUMMYFUNCTION("""COMPUTED_VALUE"""),"08129603313")</f>
        <v>08129603313</v>
      </c>
      <c r="AG1388" s="85" t="str">
        <f>IFERROR(__xludf.DUMMYFUNCTION("""COMPUTED_VALUE"""),"08129603313")</f>
        <v>08129603313</v>
      </c>
      <c r="AH1388" s="85" t="str">
        <f>IFERROR(__xludf.DUMMYFUNCTION("""COMPUTED_VALUE"""),"isholeha26@gmail.com")</f>
        <v>isholeha26@gmail.com</v>
      </c>
      <c r="AI1388" s="85" t="str">
        <f>IFERROR(__xludf.DUMMYFUNCTION("""COMPUTED_VALUE"""),"17844S4 ")</f>
        <v>17844S4 </v>
      </c>
      <c r="AJ1388" s="85" t="str">
        <f>IFERROR(__xludf.DUMMYFUNCTION("""COMPUTED_VALUE"""),"6aaa018bcaaeb09bc3096578 ")</f>
        <v>6aaa018bcaaeb09bc3096578 </v>
      </c>
      <c r="AK1388" s="85" t="str">
        <f>IFERROR(__xludf.DUMMYFUNCTION("""COMPUTED_VALUE"""),"isholeha26@gmail.com")</f>
        <v>isholeha26@gmail.com</v>
      </c>
      <c r="AL1388" s="85" t="str">
        <f>IFERROR(__xludf.DUMMYFUNCTION("""COMPUTED_VALUE"""),"#Muc17844S4$")</f>
        <v>#Muc17844S4$</v>
      </c>
      <c r="AM1388" s="85" t="str">
        <f>IFERROR(__xludf.DUMMYFUNCTION("""COMPUTED_VALUE"""),"KANTOR REGIONAL II JAKARTA 10004")</f>
        <v>KANTOR REGIONAL II JAKARTA 10004</v>
      </c>
      <c r="AN1388" s="85" t="str">
        <f>IFERROR(__xludf.DUMMYFUNCTION("""COMPUTED_VALUE"""),"KC CIKARANG 17500")</f>
        <v>KC CIKARANG 17500</v>
      </c>
      <c r="AO1388" s="85" t="str">
        <f>IFERROR(__xludf.DUMMYFUNCTION("""COMPUTED_VALUE"""),"2008260040039")</f>
        <v>2008260040039</v>
      </c>
      <c r="AP1388" s="85" t="str">
        <f>IFERROR(__xludf.DUMMYFUNCTION("""COMPUTED_VALUE"""),"2008260040039")</f>
        <v>2008260040039</v>
      </c>
      <c r="AQ1388" s="93" t="str">
        <f>IFERROR(__xludf.DUMMYFUNCTION("""COMPUTED_VALUE"""),"1190007564105")</f>
        <v>1190007564105</v>
      </c>
      <c r="AR1388" s="85" t="str">
        <f>IFERROR(__xludf.DUMMYFUNCTION("""COMPUTED_VALUE"""),"Mandiri")</f>
        <v>Mandiri</v>
      </c>
      <c r="AS1388" s="85" t="str">
        <f>IFERROR(__xludf.DUMMYFUNCTION("""COMPUTED_VALUE"""),"INDAH SHOLEHATTUL JANNAH")</f>
        <v>INDAH SHOLEHATTUL JANNAH</v>
      </c>
      <c r="AT1388" s="85" t="str">
        <f>IFERROR(__xludf.DUMMYFUNCTION("""COMPUTED_VALUE"""),"-6.3234232,107.0594575")</f>
        <v>-6.3234232,107.0594575</v>
      </c>
      <c r="AU1388" s="85" t="str">
        <f>IFERROR(__xludf.DUMMYFUNCTION("""COMPUTED_VALUE"""),"-6.3234232,107.0594575")</f>
        <v>-6.3234232,107.0594575</v>
      </c>
      <c r="AV1388" s="85"/>
      <c r="AW1388" s="85"/>
      <c r="AX1388" s="85"/>
      <c r="AY1388" s="85"/>
      <c r="AZ1388" s="85"/>
      <c r="BA1388" s="85"/>
      <c r="BB1388" s="85"/>
      <c r="BC1388" s="85"/>
      <c r="BD1388" s="85"/>
      <c r="BE1388" s="85"/>
      <c r="BF1388" s="85"/>
      <c r="BG1388" s="85"/>
      <c r="BH1388" s="85"/>
      <c r="BI1388" s="85"/>
      <c r="BJ1388" s="85"/>
      <c r="BK1388" s="85"/>
      <c r="BL1388" s="85"/>
      <c r="BM1388" s="85"/>
      <c r="BN1388" s="85"/>
      <c r="BO1388" s="85"/>
      <c r="BP1388" s="85"/>
      <c r="BQ1388" s="85"/>
      <c r="BR1388" s="85"/>
      <c r="BS1388" s="85"/>
      <c r="BT1388" s="85"/>
      <c r="BU1388" s="85"/>
      <c r="BV1388" s="85"/>
      <c r="BW1388" s="85"/>
      <c r="BX1388" s="85"/>
      <c r="BY1388" s="85"/>
      <c r="BZ1388" s="85"/>
      <c r="CA1388" s="85"/>
      <c r="CB1388" s="85"/>
      <c r="CC1388" s="85"/>
      <c r="CD1388" s="85"/>
      <c r="CE1388" s="85"/>
      <c r="CF1388" s="85"/>
      <c r="CG1388" s="85"/>
      <c r="CH1388" s="85"/>
      <c r="CI1388" s="85"/>
      <c r="CJ1388" s="85"/>
      <c r="CK1388" s="2"/>
    </row>
    <row r="1389" ht="12.75" customHeight="1">
      <c r="A1389" s="80">
        <f>IFERROR(__xludf.DUMMYFUNCTION("""COMPUTED_VALUE"""),1385.0)</f>
        <v>1385</v>
      </c>
      <c r="B1389" s="80"/>
      <c r="C1389" s="80"/>
      <c r="D1389" s="81">
        <f>IFERROR(__xludf.DUMMYFUNCTION("""COMPUTED_VALUE"""),46256.0)</f>
        <v>46256</v>
      </c>
      <c r="E1389" s="82"/>
      <c r="F1389" s="80"/>
      <c r="G1389" s="81"/>
      <c r="H1389" s="80"/>
      <c r="I1389" s="80"/>
      <c r="J1389" s="80"/>
      <c r="K1389" s="80"/>
      <c r="L1389" s="80"/>
      <c r="M1389" s="80"/>
      <c r="N1389" s="80"/>
      <c r="O1389" s="80"/>
      <c r="P1389" s="80" t="str">
        <f>IFERROR(__xludf.DUMMYFUNCTION("""COMPUTED_VALUE"""),"53BSPA17186JBNDS")</f>
        <v>53BSPA17186JBNDS</v>
      </c>
      <c r="Q1389" s="80" t="str">
        <f>IFERROR(__xludf.DUMMYFUNCTION("""COMPUTED_VALUE"""),"MUC MAUK KOSAMBI")</f>
        <v>MUC MAUK KOSAMBI</v>
      </c>
      <c r="R1389" s="80" t="str">
        <f>IFERROR(__xludf.DUMMYFUNCTION("""COMPUTED_VALUE"""),"MUC MAUK KOSAMBI")</f>
        <v>MUC MAUK KOSAMBI</v>
      </c>
      <c r="S1389" s="80" t="str">
        <f>IFERROR(__xludf.DUMMYFUNCTION("""COMPUTED_VALUE"""),"BAYU MINTOROGO")</f>
        <v>BAYU MINTOROGO</v>
      </c>
      <c r="T1389" s="80" t="str">
        <f>IFERROR(__xludf.DUMMYFUNCTION("""COMPUTED_VALUE"""),"DUTA ASRI BLOK F NO.4 RT 003 RW 001 CIAKAR PANONGAN, KABUPATEN TANGERANG BANTEN")</f>
        <v>DUTA ASRI BLOK F NO.4 RT 003 RW 001 CIAKAR PANONGAN, KABUPATEN TANGERANG BANTEN</v>
      </c>
      <c r="U1389" s="80" t="str">
        <f>IFERROR(__xludf.DUMMYFUNCTION("""COMPUTED_VALUE"""),"Jl. Raya Mauk km 12 RT.07 RW.05, Kosambi Kec. Sukadiri")</f>
        <v>Jl. Raya Mauk km 12 RT.07 RW.05, Kosambi Kec. Sukadiri</v>
      </c>
      <c r="V1389" s="80" t="str">
        <f>IFERROR(__xludf.DUMMYFUNCTION("""COMPUTED_VALUE"""),"RT 003 \ RW 001")</f>
        <v>RT 003 \ RW 001</v>
      </c>
      <c r="W1389" s="80" t="str">
        <f>IFERROR(__xludf.DUMMYFUNCTION("""COMPUTED_VALUE"""),"Kosambi")</f>
        <v>Kosambi</v>
      </c>
      <c r="X1389" s="80" t="str">
        <f>IFERROR(__xludf.DUMMYFUNCTION("""COMPUTED_VALUE"""),"Sukadiri")</f>
        <v>Sukadiri</v>
      </c>
      <c r="Y1389" s="80" t="str">
        <f>IFERROR(__xludf.DUMMYFUNCTION("""COMPUTED_VALUE"""),"Kab. Tangerang")</f>
        <v>Kab. Tangerang</v>
      </c>
      <c r="Z1389" s="80" t="str">
        <f>IFERROR(__xludf.DUMMYFUNCTION("""COMPUTED_VALUE"""),"Banten")</f>
        <v>Banten</v>
      </c>
      <c r="AA1389" s="80" t="str">
        <f>IFERROR(__xludf.DUMMYFUNCTION("""COMPUTED_VALUE"""),"15530")</f>
        <v>15530</v>
      </c>
      <c r="AB1389" s="80" t="str">
        <f>IFERROR(__xludf.DUMMYFUNCTION("""COMPUTED_VALUE"""),"3175060908740006")</f>
        <v>3175060908740006</v>
      </c>
      <c r="AC1389" s="80" t="str">
        <f>IFERROR(__xludf.DUMMYFUNCTION("""COMPUTED_VALUE"""),"67.249.410.1-004.000")</f>
        <v>67.249.410.1-004.000</v>
      </c>
      <c r="AD1389" s="80" t="str">
        <f>IFERROR(__xludf.DUMMYFUNCTION("""COMPUTED_VALUE"""),"CUM - NDS")</f>
        <v>CUM - NDS</v>
      </c>
      <c r="AE1389" s="80" t="str">
        <f>IFERROR(__xludf.DUMMYFUNCTION("""COMPUTED_VALUE"""),"CUM - NDS")</f>
        <v>CUM - NDS</v>
      </c>
      <c r="AF1389" s="80" t="str">
        <f>IFERROR(__xludf.DUMMYFUNCTION("""COMPUTED_VALUE"""),"085217361295")</f>
        <v>085217361295</v>
      </c>
      <c r="AG1389" s="80" t="str">
        <f>IFERROR(__xludf.DUMMYFUNCTION("""COMPUTED_VALUE"""),"085217361295")</f>
        <v>085217361295</v>
      </c>
      <c r="AH1389" s="80" t="str">
        <f>IFERROR(__xludf.DUMMYFUNCTION("""COMPUTED_VALUE"""),"mintorogobayu75@gmail.com")</f>
        <v>mintorogobayu75@gmail.com</v>
      </c>
      <c r="AI1389" s="80"/>
      <c r="AJ1389" s="80"/>
      <c r="AK1389" s="80"/>
      <c r="AL1389" s="80"/>
      <c r="AM1389" s="80" t="str">
        <f>IFERROR(__xludf.DUMMYFUNCTION("""COMPUTED_VALUE"""),"KANTOR REGIONAL II JAKARTA 10004")</f>
        <v>KANTOR REGIONAL II JAKARTA 10004</v>
      </c>
      <c r="AN1389" s="80" t="str">
        <f>IFERROR(__xludf.DUMMYFUNCTION("""COMPUTED_VALUE"""),"KCU TANGERANG 15000")</f>
        <v>KCU TANGERANG 15000</v>
      </c>
      <c r="AO1389" s="80" t="str">
        <f>IFERROR(__xludf.DUMMYFUNCTION("""COMPUTED_VALUE"""),"1908260074525")</f>
        <v>1908260074525</v>
      </c>
      <c r="AP1389" s="80" t="str">
        <f>IFERROR(__xludf.DUMMYFUNCTION("""COMPUTED_VALUE"""),"1908260074525")</f>
        <v>1908260074525</v>
      </c>
      <c r="AQ1389" s="83" t="str">
        <f>IFERROR(__xludf.DUMMYFUNCTION("""COMPUTED_VALUE"""),"7620758480")</f>
        <v>7620758480</v>
      </c>
      <c r="AR1389" s="80" t="str">
        <f>IFERROR(__xludf.DUMMYFUNCTION("""COMPUTED_VALUE"""),"BCA")</f>
        <v>BCA</v>
      </c>
      <c r="AS1389" s="80" t="str">
        <f>IFERROR(__xludf.DUMMYFUNCTION("""COMPUTED_VALUE"""),"BAYU MINTOROGO")</f>
        <v>BAYU MINTOROGO</v>
      </c>
      <c r="AT1389" s="80" t="str">
        <f>IFERROR(__xludf.DUMMYFUNCTION("""COMPUTED_VALUE"""),"-6.1039396,106.5627997")</f>
        <v>-6.1039396,106.5627997</v>
      </c>
      <c r="AU1389" s="80" t="str">
        <f>IFERROR(__xludf.DUMMYFUNCTION("""COMPUTED_VALUE"""),"-6.1039396,106.5627997")</f>
        <v>-6.1039396,106.5627997</v>
      </c>
      <c r="AV1389" s="80"/>
      <c r="AW1389" s="80"/>
      <c r="AX1389" s="80"/>
      <c r="AY1389" s="80"/>
      <c r="AZ1389" s="80"/>
      <c r="BA1389" s="80"/>
      <c r="BB1389" s="80"/>
      <c r="BC1389" s="80"/>
      <c r="BD1389" s="80"/>
      <c r="BE1389" s="80"/>
      <c r="BF1389" s="80"/>
      <c r="BG1389" s="80"/>
      <c r="BH1389" s="80"/>
      <c r="BI1389" s="80"/>
      <c r="BJ1389" s="80"/>
      <c r="BK1389" s="80"/>
      <c r="BL1389" s="80"/>
      <c r="BM1389" s="80"/>
      <c r="BN1389" s="80"/>
      <c r="BO1389" s="80"/>
      <c r="BP1389" s="80"/>
      <c r="BQ1389" s="80"/>
      <c r="BR1389" s="80"/>
      <c r="BS1389" s="80"/>
      <c r="BT1389" s="80"/>
      <c r="BU1389" s="80"/>
      <c r="BV1389" s="80"/>
      <c r="BW1389" s="80"/>
      <c r="BX1389" s="80"/>
      <c r="BY1389" s="80"/>
      <c r="BZ1389" s="80"/>
      <c r="CA1389" s="80"/>
      <c r="CB1389" s="80"/>
      <c r="CC1389" s="80"/>
      <c r="CD1389" s="80"/>
      <c r="CE1389" s="80"/>
      <c r="CF1389" s="80"/>
      <c r="CG1389" s="80"/>
      <c r="CH1389" s="80"/>
      <c r="CI1389" s="80"/>
      <c r="CJ1389" s="80"/>
      <c r="CK1389" s="2"/>
    </row>
    <row r="1390" ht="12.75" customHeight="1">
      <c r="A1390" s="85">
        <f>IFERROR(__xludf.DUMMYFUNCTION("""COMPUTED_VALUE"""),1386.0)</f>
        <v>1386</v>
      </c>
      <c r="B1390" s="85"/>
      <c r="C1390" s="85"/>
      <c r="D1390" s="86">
        <f>IFERROR(__xludf.DUMMYFUNCTION("""COMPUTED_VALUE"""),46256.0)</f>
        <v>46256</v>
      </c>
      <c r="E1390" s="88"/>
      <c r="F1390" s="85"/>
      <c r="G1390" s="86"/>
      <c r="H1390" s="85"/>
      <c r="I1390" s="85"/>
      <c r="J1390" s="85"/>
      <c r="K1390" s="85"/>
      <c r="L1390" s="85"/>
      <c r="M1390" s="85"/>
      <c r="N1390" s="85"/>
      <c r="O1390" s="85"/>
      <c r="P1390" s="85" t="str">
        <f>IFERROR(__xludf.DUMMYFUNCTION("""COMPUTED_VALUE"""),"53BSPA17240JBNDS")</f>
        <v>53BSPA17240JBNDS</v>
      </c>
      <c r="Q1390" s="85" t="str">
        <f>IFERROR(__xludf.DUMMYFUNCTION("""COMPUTED_VALUE"""),"MUC TRIO PRATAMA EXPRESS")</f>
        <v>MUC TRIO PRATAMA EXPRESS</v>
      </c>
      <c r="R1390" s="85" t="str">
        <f>IFERROR(__xludf.DUMMYFUNCTION("""COMPUTED_VALUE"""),"MUC TRIO PRATAMA EXPRESS")</f>
        <v>MUC TRIO PRATAMA EXPRESS</v>
      </c>
      <c r="S1390" s="85" t="str">
        <f>IFERROR(__xludf.DUMMYFUNCTION("""COMPUTED_VALUE"""),"ADITYA HERMAWAN")</f>
        <v>ADITYA HERMAWAN</v>
      </c>
      <c r="T1390" s="85" t="str">
        <f>IFERROR(__xludf.DUMMYFUNCTION("""COMPUTED_VALUE"""),"KP PANCORAN MAS RT.005 RW.018 PANCORAN MAS PANCORAN MAS, KOTA DEPOK JAWA BARAT")</f>
        <v>KP PANCORAN MAS RT.005 RW.018 PANCORAN MAS PANCORAN MAS, KOTA DEPOK JAWA BARAT</v>
      </c>
      <c r="U1390" s="85" t="str">
        <f>IFERROR(__xludf.DUMMYFUNCTION("""COMPUTED_VALUE"""),"Jl. Cahaya Titis No.42, RT.004/RW.002, Tanah Baru Kec. Beji")</f>
        <v>Jl. Cahaya Titis No.42, RT.004/RW.002, Tanah Baru Kec. Beji</v>
      </c>
      <c r="V1390" s="85" t="str">
        <f>IFERROR(__xludf.DUMMYFUNCTION("""COMPUTED_VALUE"""),"RT.005 \ RW.018")</f>
        <v>RT.005 \ RW.018</v>
      </c>
      <c r="W1390" s="85" t="str">
        <f>IFERROR(__xludf.DUMMYFUNCTION("""COMPUTED_VALUE"""),"Tanah Baru")</f>
        <v>Tanah Baru</v>
      </c>
      <c r="X1390" s="85" t="str">
        <f>IFERROR(__xludf.DUMMYFUNCTION("""COMPUTED_VALUE"""),"Beji")</f>
        <v>Beji</v>
      </c>
      <c r="Y1390" s="85" t="str">
        <f>IFERROR(__xludf.DUMMYFUNCTION("""COMPUTED_VALUE"""),"Depok")</f>
        <v>Depok</v>
      </c>
      <c r="Z1390" s="85" t="str">
        <f>IFERROR(__xludf.DUMMYFUNCTION("""COMPUTED_VALUE"""),"Jawa Barat")</f>
        <v>Jawa Barat</v>
      </c>
      <c r="AA1390" s="85" t="str">
        <f>IFERROR(__xludf.DUMMYFUNCTION("""COMPUTED_VALUE"""),"16426")</f>
        <v>16426</v>
      </c>
      <c r="AB1390" s="85" t="str">
        <f>IFERROR(__xludf.DUMMYFUNCTION("""COMPUTED_VALUE"""),"3276011606930005")</f>
        <v>3276011606930005</v>
      </c>
      <c r="AC1390" s="85" t="str">
        <f>IFERROR(__xludf.DUMMYFUNCTION("""COMPUTED_VALUE"""),"75.419.201.1-448.000")</f>
        <v>75.419.201.1-448.000</v>
      </c>
      <c r="AD1390" s="85" t="str">
        <f>IFERROR(__xludf.DUMMYFUNCTION("""COMPUTED_VALUE"""),"CUM - NDS")</f>
        <v>CUM - NDS</v>
      </c>
      <c r="AE1390" s="85" t="str">
        <f>IFERROR(__xludf.DUMMYFUNCTION("""COMPUTED_VALUE"""),"CUM - NDS")</f>
        <v>CUM - NDS</v>
      </c>
      <c r="AF1390" s="85" t="str">
        <f>IFERROR(__xludf.DUMMYFUNCTION("""COMPUTED_VALUE"""),"081386223668")</f>
        <v>081386223668</v>
      </c>
      <c r="AG1390" s="85" t="str">
        <f>IFERROR(__xludf.DUMMYFUNCTION("""COMPUTED_VALUE"""),"081386223668")</f>
        <v>081386223668</v>
      </c>
      <c r="AH1390" s="85" t="str">
        <f>IFERROR(__xludf.DUMMYFUNCTION("""COMPUTED_VALUE"""),"adtyadinni88@gmail.com")</f>
        <v>adtyadinni88@gmail.com</v>
      </c>
      <c r="AI1390" s="85"/>
      <c r="AJ1390" s="85"/>
      <c r="AK1390" s="85"/>
      <c r="AL1390" s="85"/>
      <c r="AM1390" s="85" t="str">
        <f>IFERROR(__xludf.DUMMYFUNCTION("""COMPUTED_VALUE"""),"KANTOR REGIONAL II JAKARTA 10004")</f>
        <v>KANTOR REGIONAL II JAKARTA 10004</v>
      </c>
      <c r="AN1390" s="85" t="str">
        <f>IFERROR(__xludf.DUMMYFUNCTION("""COMPUTED_VALUE"""),"KC DEPOK 16400")</f>
        <v>KC DEPOK 16400</v>
      </c>
      <c r="AO1390" s="85" t="str">
        <f>IFERROR(__xludf.DUMMYFUNCTION("""COMPUTED_VALUE"""),"2008260016024")</f>
        <v>2008260016024</v>
      </c>
      <c r="AP1390" s="85" t="str">
        <f>IFERROR(__xludf.DUMMYFUNCTION("""COMPUTED_VALUE"""),"2008260016024")</f>
        <v>2008260016024</v>
      </c>
      <c r="AQ1390" s="93" t="str">
        <f>IFERROR(__xludf.DUMMYFUNCTION("""COMPUTED_VALUE"""),"7150514929")</f>
        <v>7150514929</v>
      </c>
      <c r="AR1390" s="85" t="str">
        <f>IFERROR(__xludf.DUMMYFUNCTION("""COMPUTED_VALUE"""),"BCA")</f>
        <v>BCA</v>
      </c>
      <c r="AS1390" s="85" t="str">
        <f>IFERROR(__xludf.DUMMYFUNCTION("""COMPUTED_VALUE"""),"SRI SUNARTI")</f>
        <v>SRI SUNARTI</v>
      </c>
      <c r="AT1390" s="85" t="str">
        <f>IFERROR(__xludf.DUMMYFUNCTION("""COMPUTED_VALUE"""),"-6.3820283,106.8041549")</f>
        <v>-6.3820283,106.8041549</v>
      </c>
      <c r="AU1390" s="85" t="str">
        <f>IFERROR(__xludf.DUMMYFUNCTION("""COMPUTED_VALUE"""),"-6.3820283,106.8041549")</f>
        <v>-6.3820283,106.8041549</v>
      </c>
      <c r="AV1390" s="85"/>
      <c r="AW1390" s="85"/>
      <c r="AX1390" s="85"/>
      <c r="AY1390" s="85"/>
      <c r="AZ1390" s="85"/>
      <c r="BA1390" s="85"/>
      <c r="BB1390" s="85"/>
      <c r="BC1390" s="85"/>
      <c r="BD1390" s="85"/>
      <c r="BE1390" s="85"/>
      <c r="BF1390" s="85"/>
      <c r="BG1390" s="85"/>
      <c r="BH1390" s="85"/>
      <c r="BI1390" s="85"/>
      <c r="BJ1390" s="85"/>
      <c r="BK1390" s="85"/>
      <c r="BL1390" s="85"/>
      <c r="BM1390" s="85"/>
      <c r="BN1390" s="85"/>
      <c r="BO1390" s="85"/>
      <c r="BP1390" s="85"/>
      <c r="BQ1390" s="85"/>
      <c r="BR1390" s="85"/>
      <c r="BS1390" s="85"/>
      <c r="BT1390" s="85"/>
      <c r="BU1390" s="85"/>
      <c r="BV1390" s="85"/>
      <c r="BW1390" s="85"/>
      <c r="BX1390" s="85"/>
      <c r="BY1390" s="85"/>
      <c r="BZ1390" s="85"/>
      <c r="CA1390" s="85"/>
      <c r="CB1390" s="85"/>
      <c r="CC1390" s="85"/>
      <c r="CD1390" s="85"/>
      <c r="CE1390" s="85"/>
      <c r="CF1390" s="85"/>
      <c r="CG1390" s="85"/>
      <c r="CH1390" s="85"/>
      <c r="CI1390" s="85"/>
      <c r="CJ1390" s="85"/>
      <c r="CK1390" s="2"/>
    </row>
    <row r="1391" ht="12.75" customHeight="1">
      <c r="A1391" s="80">
        <f>IFERROR(__xludf.DUMMYFUNCTION("""COMPUTED_VALUE"""),1387.0)</f>
        <v>1387</v>
      </c>
      <c r="B1391" s="80"/>
      <c r="C1391" s="80"/>
      <c r="D1391" s="81">
        <f>IFERROR(__xludf.DUMMYFUNCTION("""COMPUTED_VALUE"""),46256.0)</f>
        <v>46256</v>
      </c>
      <c r="E1391" s="82"/>
      <c r="F1391" s="80"/>
      <c r="G1391" s="81"/>
      <c r="H1391" s="80"/>
      <c r="I1391" s="80"/>
      <c r="J1391" s="80"/>
      <c r="K1391" s="80"/>
      <c r="L1391" s="80"/>
      <c r="M1391" s="80"/>
      <c r="N1391" s="80"/>
      <c r="O1391" s="80"/>
      <c r="P1391" s="80" t="str">
        <f>IFERROR(__xludf.DUMMYFUNCTION("""COMPUTED_VALUE"""),"53BSPA17243JBNDS")</f>
        <v>53BSPA17243JBNDS</v>
      </c>
      <c r="Q1391" s="80" t="str">
        <f>IFERROR(__xludf.DUMMYFUNCTION("""COMPUTED_VALUE"""),"MUC MASSAN EXPRESS")</f>
        <v>MUC MASSAN EXPRESS</v>
      </c>
      <c r="R1391" s="80" t="str">
        <f>IFERROR(__xludf.DUMMYFUNCTION("""COMPUTED_VALUE"""),"MUC MASSAN EXPRESS")</f>
        <v>MUC MASSAN EXPRESS</v>
      </c>
      <c r="S1391" s="80" t="str">
        <f>IFERROR(__xludf.DUMMYFUNCTION("""COMPUTED_VALUE"""),"MOCHAMAD SANUSI")</f>
        <v>MOCHAMAD SANUSI</v>
      </c>
      <c r="T1391" s="80" t="str">
        <f>IFERROR(__xludf.DUMMYFUNCTION("""COMPUTED_VALUE"""),"PERUM PURI ANEKA JAYA BLOK A NO.9 RT.003/017 RANGKAPAN JAYA PANCORAN MAS KOTA DEPOK JAWA BARAT")</f>
        <v>PERUM PURI ANEKA JAYA BLOK A NO.9 RT.003/017 RANGKAPAN JAYA PANCORAN MAS KOTA DEPOK JAWA BARAT</v>
      </c>
      <c r="U1391" s="80" t="str">
        <f>IFERROR(__xludf.DUMMYFUNCTION("""COMPUTED_VALUE"""),"PURI ANEKA JAYA BLOK A NO.9 RT.03 RW.17")</f>
        <v>PURI ANEKA JAYA BLOK A NO.9 RT.03 RW.17</v>
      </c>
      <c r="V1391" s="80"/>
      <c r="W1391" s="80" t="str">
        <f>IFERROR(__xludf.DUMMYFUNCTION("""COMPUTED_VALUE"""),"Rangkapan Jaya")</f>
        <v>Rangkapan Jaya</v>
      </c>
      <c r="X1391" s="80" t="str">
        <f>IFERROR(__xludf.DUMMYFUNCTION("""COMPUTED_VALUE"""),"Pancoran Mas")</f>
        <v>Pancoran Mas</v>
      </c>
      <c r="Y1391" s="80" t="str">
        <f>IFERROR(__xludf.DUMMYFUNCTION("""COMPUTED_VALUE"""),"Depok")</f>
        <v>Depok</v>
      </c>
      <c r="Z1391" s="80" t="str">
        <f>IFERROR(__xludf.DUMMYFUNCTION("""COMPUTED_VALUE"""),"Jawa Barat")</f>
        <v>Jawa Barat</v>
      </c>
      <c r="AA1391" s="80" t="str">
        <f>IFERROR(__xludf.DUMMYFUNCTION("""COMPUTED_VALUE"""),"16435")</f>
        <v>16435</v>
      </c>
      <c r="AB1391" s="80" t="str">
        <f>IFERROR(__xludf.DUMMYFUNCTION("""COMPUTED_VALUE"""),"3174091511820008")</f>
        <v>3174091511820008</v>
      </c>
      <c r="AC1391" s="80" t="str">
        <f>IFERROR(__xludf.DUMMYFUNCTION("""COMPUTED_VALUE"""),"97.113.541.3-017.000")</f>
        <v>97.113.541.3-017.000</v>
      </c>
      <c r="AD1391" s="80" t="str">
        <f>IFERROR(__xludf.DUMMYFUNCTION("""COMPUTED_VALUE"""),"CUM - NDS")</f>
        <v>CUM - NDS</v>
      </c>
      <c r="AE1391" s="80" t="str">
        <f>IFERROR(__xludf.DUMMYFUNCTION("""COMPUTED_VALUE"""),"CUM - NDS")</f>
        <v>CUM - NDS</v>
      </c>
      <c r="AF1391" s="80" t="str">
        <f>IFERROR(__xludf.DUMMYFUNCTION("""COMPUTED_VALUE"""),"082121936842")</f>
        <v>082121936842</v>
      </c>
      <c r="AG1391" s="80" t="str">
        <f>IFERROR(__xludf.DUMMYFUNCTION("""COMPUTED_VALUE"""),"082121936842")</f>
        <v>082121936842</v>
      </c>
      <c r="AH1391" s="80" t="str">
        <f>IFERROR(__xludf.DUMMYFUNCTION("""COMPUTED_VALUE"""),"massan46@gmail.com")</f>
        <v>massan46@gmail.com</v>
      </c>
      <c r="AI1391" s="80"/>
      <c r="AJ1391" s="80"/>
      <c r="AK1391" s="80"/>
      <c r="AL1391" s="80"/>
      <c r="AM1391" s="80" t="str">
        <f>IFERROR(__xludf.DUMMYFUNCTION("""COMPUTED_VALUE"""),"KANTOR REGIONAL II JAKARTA 10004")</f>
        <v>KANTOR REGIONAL II JAKARTA 10004</v>
      </c>
      <c r="AN1391" s="80" t="str">
        <f>IFERROR(__xludf.DUMMYFUNCTION("""COMPUTED_VALUE"""),"KC DEPOK 16400")</f>
        <v>KC DEPOK 16400</v>
      </c>
      <c r="AO1391" s="80" t="str">
        <f>IFERROR(__xludf.DUMMYFUNCTION("""COMPUTED_VALUE"""),"2108260019017")</f>
        <v>2108260019017</v>
      </c>
      <c r="AP1391" s="80" t="str">
        <f>IFERROR(__xludf.DUMMYFUNCTION("""COMPUTED_VALUE"""),"2108260019017")</f>
        <v>2108260019017</v>
      </c>
      <c r="AQ1391" s="83" t="str">
        <f>IFERROR(__xludf.DUMMYFUNCTION("""COMPUTED_VALUE"""),"228601005491535")</f>
        <v>228601005491535</v>
      </c>
      <c r="AR1391" s="80" t="str">
        <f>IFERROR(__xludf.DUMMYFUNCTION("""COMPUTED_VALUE"""),"BRI")</f>
        <v>BRI</v>
      </c>
      <c r="AS1391" s="80" t="str">
        <f>IFERROR(__xludf.DUMMYFUNCTION("""COMPUTED_VALUE"""),"MOCHAMAD SANUSI")</f>
        <v>MOCHAMAD SANUSI</v>
      </c>
      <c r="AT1391" s="80" t="str">
        <f>IFERROR(__xludf.DUMMYFUNCTION("""COMPUTED_VALUE"""),"-6.3875,106.7847222")</f>
        <v>-6.3875,106.7847222</v>
      </c>
      <c r="AU1391" s="80" t="str">
        <f>IFERROR(__xludf.DUMMYFUNCTION("""COMPUTED_VALUE"""),"-6.3875,106.7847222")</f>
        <v>-6.3875,106.7847222</v>
      </c>
      <c r="AV1391" s="80"/>
      <c r="AW1391" s="80"/>
      <c r="AX1391" s="80"/>
      <c r="AY1391" s="80"/>
      <c r="AZ1391" s="80"/>
      <c r="BA1391" s="80"/>
      <c r="BB1391" s="80"/>
      <c r="BC1391" s="80"/>
      <c r="BD1391" s="80"/>
      <c r="BE1391" s="80"/>
      <c r="BF1391" s="80"/>
      <c r="BG1391" s="80"/>
      <c r="BH1391" s="80"/>
      <c r="BI1391" s="80"/>
      <c r="BJ1391" s="80"/>
      <c r="BK1391" s="80"/>
      <c r="BL1391" s="80"/>
      <c r="BM1391" s="80"/>
      <c r="BN1391" s="80"/>
      <c r="BO1391" s="80"/>
      <c r="BP1391" s="80"/>
      <c r="BQ1391" s="80"/>
      <c r="BR1391" s="80"/>
      <c r="BS1391" s="80"/>
      <c r="BT1391" s="80"/>
      <c r="BU1391" s="80"/>
      <c r="BV1391" s="80"/>
      <c r="BW1391" s="80"/>
      <c r="BX1391" s="80"/>
      <c r="BY1391" s="80"/>
      <c r="BZ1391" s="80"/>
      <c r="CA1391" s="80"/>
      <c r="CB1391" s="80"/>
      <c r="CC1391" s="80"/>
      <c r="CD1391" s="80"/>
      <c r="CE1391" s="80"/>
      <c r="CF1391" s="80"/>
      <c r="CG1391" s="80"/>
      <c r="CH1391" s="80"/>
      <c r="CI1391" s="80"/>
      <c r="CJ1391" s="80"/>
      <c r="CK1391" s="2"/>
    </row>
    <row r="1392" ht="12.75" customHeight="1">
      <c r="A1392" s="85">
        <f>IFERROR(__xludf.DUMMYFUNCTION("""COMPUTED_VALUE"""),1388.0)</f>
        <v>1388</v>
      </c>
      <c r="B1392" s="85"/>
      <c r="C1392" s="85"/>
      <c r="D1392" s="86">
        <f>IFERROR(__xludf.DUMMYFUNCTION("""COMPUTED_VALUE"""),46260.0)</f>
        <v>46260</v>
      </c>
      <c r="E1392" s="88"/>
      <c r="F1392" s="85"/>
      <c r="G1392" s="86">
        <f>IFERROR(__xludf.DUMMYFUNCTION("""COMPUTED_VALUE"""),46260.0)</f>
        <v>46260</v>
      </c>
      <c r="H1392" s="85"/>
      <c r="I1392" s="85"/>
      <c r="J1392" s="85"/>
      <c r="K1392" s="85"/>
      <c r="L1392" s="85">
        <f>IFERROR(__xludf.DUMMYFUNCTION("""COMPUTED_VALUE"""),0.0)</f>
        <v>0</v>
      </c>
      <c r="M1392" s="85"/>
      <c r="N1392" s="85"/>
      <c r="O1392" s="85"/>
      <c r="P1392" s="85" t="str">
        <f>IFERROR(__xludf.DUMMYFUNCTION("""COMPUTED_VALUE"""),"MUC70146UMKMTSK1")</f>
        <v>MUC70146UMKMTSK1</v>
      </c>
      <c r="Q1392" s="85" t="str">
        <f>IFERROR(__xludf.DUMMYFUNCTION("""COMPUTED_VALUE"""),"MUC GALUNGGUNG JAYA")</f>
        <v>MUC GALUNGGUNG JAYA</v>
      </c>
      <c r="R1392" s="85" t="str">
        <f>IFERROR(__xludf.DUMMYFUNCTION("""COMPUTED_VALUE"""),"MUC GALUNGGUNG JAYA")</f>
        <v>MUC GALUNGGUNG JAYA</v>
      </c>
      <c r="S1392" s="85" t="str">
        <f>IFERROR(__xludf.DUMMYFUNCTION("""COMPUTED_VALUE"""),"DODI AGUSTINA")</f>
        <v>DODI AGUSTINA</v>
      </c>
      <c r="T1392" s="85" t="str">
        <f>IFERROR(__xludf.DUMMYFUNCTION("""COMPUTED_VALUE"""),"Jl. Bantar No.147, RT 06 RW 07, Argasari, Cihideung Tasikmalaya")</f>
        <v>Jl. Bantar No.147, RT 06 RW 07, Argasari, Cihideung Tasikmalaya</v>
      </c>
      <c r="U1392" s="85" t="str">
        <f>IFERROR(__xludf.DUMMYFUNCTION("""COMPUTED_VALUE"""),"JL. Bantar No.147 RT 06 RW 07, Argasari, Cihideung Tasikmalaya")</f>
        <v>JL. Bantar No.147 RT 06 RW 07, Argasari, Cihideung Tasikmalaya</v>
      </c>
      <c r="V1392" s="85" t="str">
        <f>IFERROR(__xludf.DUMMYFUNCTION("""COMPUTED_VALUE"""),"RT 06  \ RW 07,")</f>
        <v>RT 06  \ RW 07,</v>
      </c>
      <c r="W1392" s="85" t="str">
        <f>IFERROR(__xludf.DUMMYFUNCTION("""COMPUTED_VALUE"""),"Argasari")</f>
        <v>Argasari</v>
      </c>
      <c r="X1392" s="85" t="str">
        <f>IFERROR(__xludf.DUMMYFUNCTION("""COMPUTED_VALUE"""),"Cihideung")</f>
        <v>Cihideung</v>
      </c>
      <c r="Y1392" s="85" t="str">
        <f>IFERROR(__xludf.DUMMYFUNCTION("""COMPUTED_VALUE"""),"Tasikmalaya")</f>
        <v>Tasikmalaya</v>
      </c>
      <c r="Z1392" s="85" t="str">
        <f>IFERROR(__xludf.DUMMYFUNCTION("""COMPUTED_VALUE"""),"Jawa Barat")</f>
        <v>Jawa Barat</v>
      </c>
      <c r="AA1392" s="85" t="str">
        <f>IFERROR(__xludf.DUMMYFUNCTION("""COMPUTED_VALUE"""),"46122")</f>
        <v>46122</v>
      </c>
      <c r="AB1392" s="85" t="str">
        <f>IFERROR(__xludf.DUMMYFUNCTION("""COMPUTED_VALUE"""),"3278012008780008")</f>
        <v>3278012008780008</v>
      </c>
      <c r="AC1392" s="85" t="str">
        <f>IFERROR(__xludf.DUMMYFUNCTION("""COMPUTED_VALUE"""),"54.294.808.8-425.000")</f>
        <v>54.294.808.8-425.000</v>
      </c>
      <c r="AD1392" s="85" t="str">
        <f>IFERROR(__xludf.DUMMYFUNCTION("""COMPUTED_VALUE"""),"UMKM TASIK")</f>
        <v>UMKM TASIK</v>
      </c>
      <c r="AE1392" s="85" t="str">
        <f>IFERROR(__xludf.DUMMYFUNCTION("""COMPUTED_VALUE"""),"UMKM TASIK")</f>
        <v>UMKM TASIK</v>
      </c>
      <c r="AF1392" s="85" t="str">
        <f>IFERROR(__xludf.DUMMYFUNCTION("""COMPUTED_VALUE"""),"081313816006")</f>
        <v>081313816006</v>
      </c>
      <c r="AG1392" s="85" t="str">
        <f>IFERROR(__xludf.DUMMYFUNCTION("""COMPUTED_VALUE"""),"081313816006")</f>
        <v>081313816006</v>
      </c>
      <c r="AH1392" s="85" t="str">
        <f>IFERROR(__xludf.DUMMYFUNCTION("""COMPUTED_VALUE"""),"gjrosyan@gmail.com")</f>
        <v>gjrosyan@gmail.com</v>
      </c>
      <c r="AI1392" s="85" t="str">
        <f>IFERROR(__xludf.DUMMYFUNCTION("""COMPUTED_VALUE"""),"46122S2")</f>
        <v>46122S2</v>
      </c>
      <c r="AJ1392" s="85" t="str">
        <f>IFERROR(__xludf.DUMMYFUNCTION("""COMPUTED_VALUE"""),"6a8d4e8b49d76543d20413bd")</f>
        <v>6a8d4e8b49d76543d20413bd</v>
      </c>
      <c r="AK1392" s="85" t="str">
        <f>IFERROR(__xludf.DUMMYFUNCTION("""COMPUTED_VALUE"""),"gjrosyan@gmail.com")</f>
        <v>gjrosyan@gmail.com</v>
      </c>
      <c r="AL1392" s="85" t="str">
        <f>IFERROR(__xludf.DUMMYFUNCTION("""COMPUTED_VALUE"""),"#Muc46122S2$")</f>
        <v>#Muc46122S2$</v>
      </c>
      <c r="AM1392" s="85" t="str">
        <f>IFERROR(__xludf.DUMMYFUNCTION("""COMPUTED_VALUE"""),"KANTOR REGIONAL III BANDUNG 40004")</f>
        <v>KANTOR REGIONAL III BANDUNG 40004</v>
      </c>
      <c r="AN1392" s="85" t="str">
        <f>IFERROR(__xludf.DUMMYFUNCTION("""COMPUTED_VALUE"""),"KC TASIKMALAYA 46100")</f>
        <v>KC TASIKMALAYA 46100</v>
      </c>
      <c r="AO1392" s="85" t="str">
        <f>IFERROR(__xludf.DUMMYFUNCTION("""COMPUTED_VALUE"""),"1108260032832")</f>
        <v>1108260032832</v>
      </c>
      <c r="AP1392" s="85" t="str">
        <f>IFERROR(__xludf.DUMMYFUNCTION("""COMPUTED_VALUE"""),"1108260032832")</f>
        <v>1108260032832</v>
      </c>
      <c r="AQ1392" s="93" t="str">
        <f>IFERROR(__xludf.DUMMYFUNCTION("""COMPUTED_VALUE"""),"2090767448")</f>
        <v>2090767448</v>
      </c>
      <c r="AR1392" s="85" t="str">
        <f>IFERROR(__xludf.DUMMYFUNCTION("""COMPUTED_VALUE"""),"BCA")</f>
        <v>BCA</v>
      </c>
      <c r="AS1392" s="85" t="str">
        <f>IFERROR(__xludf.DUMMYFUNCTION("""COMPUTED_VALUE"""),"DODI AGUSTINA")</f>
        <v>DODI AGUSTINA</v>
      </c>
      <c r="AT1392" s="85" t="str">
        <f>IFERROR(__xludf.DUMMYFUNCTION("""COMPUTED_VALUE"""),"-7.3244507,108.2027259")</f>
        <v>-7.3244507,108.2027259</v>
      </c>
      <c r="AU1392" s="85" t="str">
        <f>IFERROR(__xludf.DUMMYFUNCTION("""COMPUTED_VALUE"""),"-7.3244507,108.2027259")</f>
        <v>-7.3244507,108.2027259</v>
      </c>
      <c r="AV1392" s="85"/>
      <c r="AW1392" s="85"/>
      <c r="AX1392" s="85"/>
      <c r="AY1392" s="85"/>
      <c r="AZ1392" s="85"/>
      <c r="BA1392" s="85"/>
      <c r="BB1392" s="85"/>
      <c r="BC1392" s="85"/>
      <c r="BD1392" s="85"/>
      <c r="BE1392" s="85"/>
      <c r="BF1392" s="85"/>
      <c r="BG1392" s="85"/>
      <c r="BH1392" s="85"/>
      <c r="BI1392" s="85"/>
      <c r="BJ1392" s="85"/>
      <c r="BK1392" s="85"/>
      <c r="BL1392" s="85"/>
      <c r="BM1392" s="85"/>
      <c r="BN1392" s="85"/>
      <c r="BO1392" s="85"/>
      <c r="BP1392" s="85"/>
      <c r="BQ1392" s="85"/>
      <c r="BR1392" s="85"/>
      <c r="BS1392" s="85"/>
      <c r="BT1392" s="85"/>
      <c r="BU1392" s="85"/>
      <c r="BV1392" s="85"/>
      <c r="BW1392" s="85"/>
      <c r="BX1392" s="85"/>
      <c r="BY1392" s="85"/>
      <c r="BZ1392" s="85"/>
      <c r="CA1392" s="85"/>
      <c r="CB1392" s="85"/>
      <c r="CC1392" s="85"/>
      <c r="CD1392" s="85"/>
      <c r="CE1392" s="85"/>
      <c r="CF1392" s="85"/>
      <c r="CG1392" s="85"/>
      <c r="CH1392" s="85"/>
      <c r="CI1392" s="85"/>
      <c r="CJ1392" s="85"/>
      <c r="CK1392" s="2"/>
    </row>
    <row r="1393" ht="12.75" customHeight="1">
      <c r="A1393" s="80">
        <f>IFERROR(__xludf.DUMMYFUNCTION("""COMPUTED_VALUE"""),1389.0)</f>
        <v>1389</v>
      </c>
      <c r="B1393" s="80"/>
      <c r="C1393" s="80"/>
      <c r="D1393" s="81">
        <f>IFERROR(__xludf.DUMMYFUNCTION("""COMPUTED_VALUE"""),46260.0)</f>
        <v>46260</v>
      </c>
      <c r="E1393" s="82"/>
      <c r="F1393" s="80"/>
      <c r="G1393" s="81">
        <f>IFERROR(__xludf.DUMMYFUNCTION("""COMPUTED_VALUE"""),46281.0)</f>
        <v>46281</v>
      </c>
      <c r="H1393" s="80"/>
      <c r="I1393" s="80"/>
      <c r="J1393" s="80"/>
      <c r="K1393" s="80"/>
      <c r="L1393" s="80">
        <f>IFERROR(__xludf.DUMMYFUNCTION("""COMPUTED_VALUE"""),21.0)</f>
        <v>21</v>
      </c>
      <c r="M1393" s="80"/>
      <c r="N1393" s="80"/>
      <c r="O1393" s="80"/>
      <c r="P1393" s="80" t="str">
        <f>IFERROR(__xludf.DUMMYFUNCTION("""COMPUTED_VALUE"""),"MUC70147UMKMTSK1")</f>
        <v>MUC70147UMKMTSK1</v>
      </c>
      <c r="Q1393" s="80" t="str">
        <f>IFERROR(__xludf.DUMMYFUNCTION("""COMPUTED_VALUE"""),"MUC GEMILANG UTAMA")</f>
        <v>MUC GEMILANG UTAMA</v>
      </c>
      <c r="R1393" s="80" t="str">
        <f>IFERROR(__xludf.DUMMYFUNCTION("""COMPUTED_VALUE"""),"MUC GEMILANG UTAMA")</f>
        <v>MUC GEMILANG UTAMA</v>
      </c>
      <c r="S1393" s="80" t="str">
        <f>IFERROR(__xludf.DUMMYFUNCTION("""COMPUTED_VALUE"""),"GILANG FERDIAN")</f>
        <v>GILANG FERDIAN</v>
      </c>
      <c r="T1393" s="80" t="str">
        <f>IFERROR(__xludf.DUMMYFUNCTION("""COMPUTED_VALUE"""),"KP. SARIMUKTI RT 03 RW 02, SARIMUKTI, PASRIWANGI, KAB.GARUT")</f>
        <v>KP. SARIMUKTI RT 03 RW 02, SARIMUKTI, PASRIWANGI, KAB.GARUT</v>
      </c>
      <c r="U1393" s="80" t="str">
        <f>IFERROR(__xludf.DUMMYFUNCTION("""COMPUTED_VALUE"""),"Perumahan Cikunir Kencana Raya Blok C NO.10")</f>
        <v>Perumahan Cikunir Kencana Raya Blok C NO.10</v>
      </c>
      <c r="V1393" s="80" t="str">
        <f>IFERROR(__xludf.DUMMYFUNCTION("""COMPUTED_VALUE"""),"RT 03  \ RW 02,")</f>
        <v>RT 03  \ RW 02,</v>
      </c>
      <c r="W1393" s="80" t="str">
        <f>IFERROR(__xludf.DUMMYFUNCTION("""COMPUTED_VALUE"""),"CIKADONGDONG")</f>
        <v>CIKADONGDONG</v>
      </c>
      <c r="X1393" s="80" t="str">
        <f>IFERROR(__xludf.DUMMYFUNCTION("""COMPUTED_VALUE"""),"SINGAPARNA")</f>
        <v>SINGAPARNA</v>
      </c>
      <c r="Y1393" s="80" t="str">
        <f>IFERROR(__xludf.DUMMYFUNCTION("""COMPUTED_VALUE"""),"KAB.TASIKMALAYA")</f>
        <v>KAB.TASIKMALAYA</v>
      </c>
      <c r="Z1393" s="80" t="str">
        <f>IFERROR(__xludf.DUMMYFUNCTION("""COMPUTED_VALUE"""),"JAWA BARAT")</f>
        <v>JAWA BARAT</v>
      </c>
      <c r="AA1393" s="80" t="str">
        <f>IFERROR(__xludf.DUMMYFUNCTION("""COMPUTED_VALUE"""),"46418")</f>
        <v>46418</v>
      </c>
      <c r="AB1393" s="80" t="str">
        <f>IFERROR(__xludf.DUMMYFUNCTION("""COMPUTED_VALUE"""),"3205081605890002")</f>
        <v>3205081605890002</v>
      </c>
      <c r="AC1393" s="80" t="str">
        <f>IFERROR(__xludf.DUMMYFUNCTION("""COMPUTED_VALUE"""),"81.138.269.6-443.000")</f>
        <v>81.138.269.6-443.000</v>
      </c>
      <c r="AD1393" s="80" t="str">
        <f>IFERROR(__xludf.DUMMYFUNCTION("""COMPUTED_VALUE"""),"UMKM TASIK")</f>
        <v>UMKM TASIK</v>
      </c>
      <c r="AE1393" s="80" t="str">
        <f>IFERROR(__xludf.DUMMYFUNCTION("""COMPUTED_VALUE"""),"UMKM TASIK")</f>
        <v>UMKM TASIK</v>
      </c>
      <c r="AF1393" s="80" t="str">
        <f>IFERROR(__xludf.DUMMYFUNCTION("""COMPUTED_VALUE"""),"081233222030")</f>
        <v>081233222030</v>
      </c>
      <c r="AG1393" s="80" t="str">
        <f>IFERROR(__xludf.DUMMYFUNCTION("""COMPUTED_VALUE"""),"081233222030")</f>
        <v>081233222030</v>
      </c>
      <c r="AH1393" s="80" t="str">
        <f>IFERROR(__xludf.DUMMYFUNCTION("""COMPUTED_VALUE"""),"barayagilang8@gmail.com")</f>
        <v>barayagilang8@gmail.com</v>
      </c>
      <c r="AI1393" s="80" t="str">
        <f>IFERROR(__xludf.DUMMYFUNCTION("""COMPUTED_VALUE"""),"46418S2 ")</f>
        <v>46418S2 </v>
      </c>
      <c r="AJ1393" s="80" t="str">
        <f>IFERROR(__xludf.DUMMYFUNCTION("""COMPUTED_VALUE"""),"6aaa1ce3733451b4760dbdd2 ")</f>
        <v>6aaa1ce3733451b4760dbdd2 </v>
      </c>
      <c r="AK1393" s="80" t="str">
        <f>IFERROR(__xludf.DUMMYFUNCTION("""COMPUTED_VALUE"""),"barayagilang8@gmail.com")</f>
        <v>barayagilang8@gmail.com</v>
      </c>
      <c r="AL1393" s="80" t="str">
        <f>IFERROR(__xludf.DUMMYFUNCTION("""COMPUTED_VALUE"""),"#Muc46418S2$")</f>
        <v>#Muc46418S2$</v>
      </c>
      <c r="AM1393" s="80" t="str">
        <f>IFERROR(__xludf.DUMMYFUNCTION("""COMPUTED_VALUE"""),"KANTOR REGIONAL III BANDUNG 40004")</f>
        <v>KANTOR REGIONAL III BANDUNG 40004</v>
      </c>
      <c r="AN1393" s="80" t="str">
        <f>IFERROR(__xludf.DUMMYFUNCTION("""COMPUTED_VALUE"""),"KC TASIKMALAYA 46100")</f>
        <v>KC TASIKMALAYA 46100</v>
      </c>
      <c r="AO1393" s="80" t="str">
        <f>IFERROR(__xludf.DUMMYFUNCTION("""COMPUTED_VALUE"""),"2408260083203")</f>
        <v>2408260083203</v>
      </c>
      <c r="AP1393" s="80" t="str">
        <f>IFERROR(__xludf.DUMMYFUNCTION("""COMPUTED_VALUE"""),"2408260083203")</f>
        <v>2408260083203</v>
      </c>
      <c r="AQ1393" s="83" t="str">
        <f>IFERROR(__xludf.DUMMYFUNCTION("""COMPUTED_VALUE"""),"085320148000")</f>
        <v>085320148000</v>
      </c>
      <c r="AR1393" s="80" t="str">
        <f>IFERROR(__xludf.DUMMYFUNCTION("""COMPUTED_VALUE"""),"ALLO BANK")</f>
        <v>ALLO BANK</v>
      </c>
      <c r="AS1393" s="80" t="str">
        <f>IFERROR(__xludf.DUMMYFUNCTION("""COMPUTED_VALUE"""),"GILANG FEDIAN")</f>
        <v>GILANG FEDIAN</v>
      </c>
      <c r="AT1393" s="80" t="str">
        <f>IFERROR(__xludf.DUMMYFUNCTION("""COMPUTED_VALUE"""),"-7.3419252,108.1546428")</f>
        <v>-7.3419252,108.1546428</v>
      </c>
      <c r="AU1393" s="80" t="str">
        <f>IFERROR(__xludf.DUMMYFUNCTION("""COMPUTED_VALUE"""),"-7.3419252,108.1546428")</f>
        <v>-7.3419252,108.1546428</v>
      </c>
      <c r="AV1393" s="80"/>
      <c r="AW1393" s="80"/>
      <c r="AX1393" s="80"/>
      <c r="AY1393" s="80"/>
      <c r="AZ1393" s="80"/>
      <c r="BA1393" s="80"/>
      <c r="BB1393" s="80"/>
      <c r="BC1393" s="80"/>
      <c r="BD1393" s="80"/>
      <c r="BE1393" s="80"/>
      <c r="BF1393" s="80"/>
      <c r="BG1393" s="80"/>
      <c r="BH1393" s="80"/>
      <c r="BI1393" s="80"/>
      <c r="BJ1393" s="80"/>
      <c r="BK1393" s="80"/>
      <c r="BL1393" s="80"/>
      <c r="BM1393" s="80"/>
      <c r="BN1393" s="80"/>
      <c r="BO1393" s="80"/>
      <c r="BP1393" s="80"/>
      <c r="BQ1393" s="80"/>
      <c r="BR1393" s="80"/>
      <c r="BS1393" s="80"/>
      <c r="BT1393" s="80"/>
      <c r="BU1393" s="80"/>
      <c r="BV1393" s="80"/>
      <c r="BW1393" s="80"/>
      <c r="BX1393" s="80"/>
      <c r="BY1393" s="80"/>
      <c r="BZ1393" s="80"/>
      <c r="CA1393" s="80"/>
      <c r="CB1393" s="80"/>
      <c r="CC1393" s="80"/>
      <c r="CD1393" s="80"/>
      <c r="CE1393" s="80"/>
      <c r="CF1393" s="80"/>
      <c r="CG1393" s="80"/>
      <c r="CH1393" s="80"/>
      <c r="CI1393" s="80"/>
      <c r="CJ1393" s="80"/>
      <c r="CK1393" s="2"/>
    </row>
    <row r="1394" ht="12.75" customHeight="1">
      <c r="A1394" s="85">
        <f>IFERROR(__xludf.DUMMYFUNCTION("""COMPUTED_VALUE"""),1390.0)</f>
        <v>1390</v>
      </c>
      <c r="B1394" s="85"/>
      <c r="C1394" s="85"/>
      <c r="D1394" s="86">
        <f>IFERROR(__xludf.DUMMYFUNCTION("""COMPUTED_VALUE"""),46260.0)</f>
        <v>46260</v>
      </c>
      <c r="E1394" s="88"/>
      <c r="F1394" s="85"/>
      <c r="G1394" s="86"/>
      <c r="H1394" s="85"/>
      <c r="I1394" s="85"/>
      <c r="J1394" s="85"/>
      <c r="K1394" s="85"/>
      <c r="L1394" s="85"/>
      <c r="M1394" s="85"/>
      <c r="N1394" s="85"/>
      <c r="O1394" s="85"/>
      <c r="P1394" s="85" t="str">
        <f>IFERROR(__xludf.DUMMYFUNCTION("""COMPUTED_VALUE"""),"MUCSPA70109PSAAK")</f>
        <v>MUCSPA70109PSAAK</v>
      </c>
      <c r="Q1394" s="85" t="str">
        <f>IFERROR(__xludf.DUMMYFUNCTION("""COMPUTED_VALUE"""),"MUC JOHAR BARU")</f>
        <v>MUC JOHAR BARU</v>
      </c>
      <c r="R1394" s="85" t="str">
        <f>IFERROR(__xludf.DUMMYFUNCTION("""COMPUTED_VALUE"""),"MUC JOHAR BARU")</f>
        <v>MUC JOHAR BARU</v>
      </c>
      <c r="S1394" s="85" t="str">
        <f>IFERROR(__xludf.DUMMYFUNCTION("""COMPUTED_VALUE"""),"AGUNG DWI SAPUTRA")</f>
        <v>AGUNG DWI SAPUTRA</v>
      </c>
      <c r="T1394" s="85" t="str">
        <f>IFERROR(__xludf.DUMMYFUNCTION("""COMPUTED_VALUE"""),"JL.JOHAR BARU NO.32 RT 08 RW 05, JOHAR BARU, JOHAR BARU, JAKPUS")</f>
        <v>JL.JOHAR BARU NO.32 RT 08 RW 05, JOHAR BARU, JOHAR BARU, JAKPUS</v>
      </c>
      <c r="U1394" s="85" t="str">
        <f>IFERROR(__xludf.DUMMYFUNCTION("""COMPUTED_VALUE"""),"JL. KRAMAT JAYA BARU III NO.01 RT.15 RW.01")</f>
        <v>JL. KRAMAT JAYA BARU III NO.01 RT.15 RW.01</v>
      </c>
      <c r="V1394" s="85" t="str">
        <f>IFERROR(__xludf.DUMMYFUNCTION("""COMPUTED_VALUE"""),"RT 08  \ RW 05,")</f>
        <v>RT 08  \ RW 05,</v>
      </c>
      <c r="W1394" s="85" t="str">
        <f>IFERROR(__xludf.DUMMYFUNCTION("""COMPUTED_VALUE"""),"JOHAR BARU")</f>
        <v>JOHAR BARU</v>
      </c>
      <c r="X1394" s="85" t="str">
        <f>IFERROR(__xludf.DUMMYFUNCTION("""COMPUTED_VALUE"""),"JOHAR BARU")</f>
        <v>JOHAR BARU</v>
      </c>
      <c r="Y1394" s="85" t="str">
        <f>IFERROR(__xludf.DUMMYFUNCTION("""COMPUTED_VALUE"""),"JAKARTA PUSAT")</f>
        <v>JAKARTA PUSAT</v>
      </c>
      <c r="Z1394" s="85" t="str">
        <f>IFERROR(__xludf.DUMMYFUNCTION("""COMPUTED_VALUE"""),"DKI JAKARTA")</f>
        <v>DKI JAKARTA</v>
      </c>
      <c r="AA1394" s="85" t="str">
        <f>IFERROR(__xludf.DUMMYFUNCTION("""COMPUTED_VALUE"""),"10560")</f>
        <v>10560</v>
      </c>
      <c r="AB1394" s="85" t="str">
        <f>IFERROR(__xludf.DUMMYFUNCTION("""COMPUTED_VALUE"""),"3171081808990003")</f>
        <v>3171081808990003</v>
      </c>
      <c r="AC1394" s="85" t="str">
        <f>IFERROR(__xludf.DUMMYFUNCTION("""COMPUTED_VALUE"""),"31.710.818.0-899.0003")</f>
        <v>31.710.818.0-899.0003</v>
      </c>
      <c r="AD1394" s="85" t="str">
        <f>IFERROR(__xludf.DUMMYFUNCTION("""COMPUTED_VALUE"""),"CUM - LP - ANGGI")</f>
        <v>CUM - LP - ANGGI</v>
      </c>
      <c r="AE1394" s="85" t="str">
        <f>IFERROR(__xludf.DUMMYFUNCTION("""COMPUTED_VALUE"""),"CUM - LP - ANGGI")</f>
        <v>CUM - LP - ANGGI</v>
      </c>
      <c r="AF1394" s="85" t="str">
        <f>IFERROR(__xludf.DUMMYFUNCTION("""COMPUTED_VALUE"""),"081381007832")</f>
        <v>081381007832</v>
      </c>
      <c r="AG1394" s="85" t="str">
        <f>IFERROR(__xludf.DUMMYFUNCTION("""COMPUTED_VALUE"""),"081381007832")</f>
        <v>081381007832</v>
      </c>
      <c r="AH1394" s="85" t="str">
        <f>IFERROR(__xludf.DUMMYFUNCTION("""COMPUTED_VALUE"""),"kreatifagungindustri@gmail.com")</f>
        <v>kreatifagungindustri@gmail.com</v>
      </c>
      <c r="AI1394" s="85"/>
      <c r="AJ1394" s="85"/>
      <c r="AK1394" s="85"/>
      <c r="AL1394" s="85"/>
      <c r="AM1394" s="85" t="str">
        <f>IFERROR(__xludf.DUMMYFUNCTION("""COMPUTED_VALUE"""),"KANTOR REGIONAL II JAKARTA 10004")</f>
        <v>KANTOR REGIONAL II JAKARTA 10004</v>
      </c>
      <c r="AN1394" s="85" t="str">
        <f>IFERROR(__xludf.DUMMYFUNCTION("""COMPUTED_VALUE"""),"KCU JAKARTACENTRUM 10000")</f>
        <v>KCU JAKARTACENTRUM 10000</v>
      </c>
      <c r="AO1394" s="85" t="str">
        <f>IFERROR(__xludf.DUMMYFUNCTION("""COMPUTED_VALUE"""),"2108260021976")</f>
        <v>2108260021976</v>
      </c>
      <c r="AP1394" s="85" t="str">
        <f>IFERROR(__xludf.DUMMYFUNCTION("""COMPUTED_VALUE"""),"2108260021976")</f>
        <v>2108260021976</v>
      </c>
      <c r="AQ1394" s="93" t="str">
        <f>IFERROR(__xludf.DUMMYFUNCTION("""COMPUTED_VALUE"""),"7000523750")</f>
        <v>7000523750</v>
      </c>
      <c r="AR1394" s="85" t="str">
        <f>IFERROR(__xludf.DUMMYFUNCTION("""COMPUTED_VALUE"""),"BCA")</f>
        <v>BCA</v>
      </c>
      <c r="AS1394" s="85" t="str">
        <f>IFERROR(__xludf.DUMMYFUNCTION("""COMPUTED_VALUE"""),"AGUNG DWI SAPUTRA")</f>
        <v>AGUNG DWI SAPUTRA</v>
      </c>
      <c r="AT1394" s="85" t="str">
        <f>IFERROR(__xludf.DUMMYFUNCTION("""COMPUTED_VALUE"""),"-6.185071,106.8531711")</f>
        <v>-6.185071,106.8531711</v>
      </c>
      <c r="AU1394" s="85" t="str">
        <f>IFERROR(__xludf.DUMMYFUNCTION("""COMPUTED_VALUE"""),"-6.185071,106.8531711")</f>
        <v>-6.185071,106.8531711</v>
      </c>
      <c r="AV1394" s="85"/>
      <c r="AW1394" s="85"/>
      <c r="AX1394" s="85"/>
      <c r="AY1394" s="85"/>
      <c r="AZ1394" s="85"/>
      <c r="BA1394" s="85"/>
      <c r="BB1394" s="85"/>
      <c r="BC1394" s="85"/>
      <c r="BD1394" s="85"/>
      <c r="BE1394" s="85"/>
      <c r="BF1394" s="85"/>
      <c r="BG1394" s="85"/>
      <c r="BH1394" s="85"/>
      <c r="BI1394" s="85"/>
      <c r="BJ1394" s="85"/>
      <c r="BK1394" s="85"/>
      <c r="BL1394" s="85"/>
      <c r="BM1394" s="85"/>
      <c r="BN1394" s="85"/>
      <c r="BO1394" s="85"/>
      <c r="BP1394" s="85"/>
      <c r="BQ1394" s="85"/>
      <c r="BR1394" s="85"/>
      <c r="BS1394" s="85"/>
      <c r="BT1394" s="85"/>
      <c r="BU1394" s="85"/>
      <c r="BV1394" s="85"/>
      <c r="BW1394" s="85"/>
      <c r="BX1394" s="85"/>
      <c r="BY1394" s="85"/>
      <c r="BZ1394" s="85"/>
      <c r="CA1394" s="85"/>
      <c r="CB1394" s="85"/>
      <c r="CC1394" s="85"/>
      <c r="CD1394" s="85"/>
      <c r="CE1394" s="85"/>
      <c r="CF1394" s="85"/>
      <c r="CG1394" s="85"/>
      <c r="CH1394" s="85"/>
      <c r="CI1394" s="85"/>
      <c r="CJ1394" s="85"/>
      <c r="CK1394" s="2"/>
    </row>
    <row r="1395" ht="12.75" customHeight="1">
      <c r="A1395" s="80">
        <f>IFERROR(__xludf.DUMMYFUNCTION("""COMPUTED_VALUE"""),1391.0)</f>
        <v>1391</v>
      </c>
      <c r="B1395" s="80"/>
      <c r="C1395" s="80"/>
      <c r="D1395" s="81">
        <f>IFERROR(__xludf.DUMMYFUNCTION("""COMPUTED_VALUE"""),46260.0)</f>
        <v>46260</v>
      </c>
      <c r="E1395" s="82"/>
      <c r="F1395" s="80"/>
      <c r="G1395" s="81">
        <f>IFERROR(__xludf.DUMMYFUNCTION("""COMPUTED_VALUE"""),46281.0)</f>
        <v>46281</v>
      </c>
      <c r="H1395" s="80"/>
      <c r="I1395" s="80"/>
      <c r="J1395" s="80"/>
      <c r="K1395" s="80"/>
      <c r="L1395" s="80">
        <f>IFERROR(__xludf.DUMMYFUNCTION("""COMPUTED_VALUE"""),21.0)</f>
        <v>21</v>
      </c>
      <c r="M1395" s="80"/>
      <c r="N1395" s="80"/>
      <c r="O1395" s="80"/>
      <c r="P1395" s="80" t="str">
        <f>IFERROR(__xludf.DUMMYFUNCTION("""COMPUTED_VALUE"""),"MUC70149UMKMTSK1")</f>
        <v>MUC70149UMKMTSK1</v>
      </c>
      <c r="Q1395" s="80" t="str">
        <f>IFERROR(__xludf.DUMMYFUNCTION("""COMPUTED_VALUE"""),"MUC LULU BAROKAH")</f>
        <v>MUC LULU BAROKAH</v>
      </c>
      <c r="R1395" s="80" t="str">
        <f>IFERROR(__xludf.DUMMYFUNCTION("""COMPUTED_VALUE"""),"MUC LULU BAROKAH")</f>
        <v>MUC LULU BAROKAH</v>
      </c>
      <c r="S1395" s="80" t="str">
        <f>IFERROR(__xludf.DUMMYFUNCTION("""COMPUTED_VALUE"""),"HELEN K")</f>
        <v>HELEN K</v>
      </c>
      <c r="T1395" s="80" t="str">
        <f>IFERROR(__xludf.DUMMYFUNCTION("""COMPUTED_VALUE"""),"KP. SINDANG RT 01 RW 06, LEUWIBUDAH, SUKARAJA, KAB.TASIKMALAYA")</f>
        <v>KP. SINDANG RT 01 RW 06, LEUWIBUDAH, SUKARAJA, KAB.TASIKMALAYA</v>
      </c>
      <c r="U1395" s="80" t="str">
        <f>IFERROR(__xludf.DUMMYFUNCTION("""COMPUTED_VALUE"""),"JL. CIBALANARIK KP. CIMAWATE RT.02 RW.03")</f>
        <v>JL. CIBALANARIK KP. CIMAWATE RT.02 RW.03</v>
      </c>
      <c r="V1395" s="80" t="str">
        <f>IFERROR(__xludf.DUMMYFUNCTION("""COMPUTED_VALUE"""),"RT 01  \ RW 06,")</f>
        <v>RT 01  \ RW 06,</v>
      </c>
      <c r="W1395" s="80" t="str">
        <f>IFERROR(__xludf.DUMMYFUNCTION("""COMPUTED_VALUE"""),"TARUNAJAYA")</f>
        <v>TARUNAJAYA</v>
      </c>
      <c r="X1395" s="80" t="str">
        <f>IFERROR(__xludf.DUMMYFUNCTION("""COMPUTED_VALUE"""),"SUKARAJA")</f>
        <v>SUKARAJA</v>
      </c>
      <c r="Y1395" s="80" t="str">
        <f>IFERROR(__xludf.DUMMYFUNCTION("""COMPUTED_VALUE"""),"KAB.TASIKMALAYA")</f>
        <v>KAB.TASIKMALAYA</v>
      </c>
      <c r="Z1395" s="80" t="str">
        <f>IFERROR(__xludf.DUMMYFUNCTION("""COMPUTED_VALUE"""),"JAWA BARAT")</f>
        <v>JAWA BARAT</v>
      </c>
      <c r="AA1395" s="80" t="str">
        <f>IFERROR(__xludf.DUMMYFUNCTION("""COMPUTED_VALUE"""),"46183")</f>
        <v>46183</v>
      </c>
      <c r="AB1395" s="80" t="str">
        <f>IFERROR(__xludf.DUMMYFUNCTION("""COMPUTED_VALUE"""),"3206176704890001")</f>
        <v>3206176704890001</v>
      </c>
      <c r="AC1395" s="80" t="str">
        <f>IFERROR(__xludf.DUMMYFUNCTION("""COMPUTED_VALUE"""),"93.937.179.5-425.000")</f>
        <v>93.937.179.5-425.000</v>
      </c>
      <c r="AD1395" s="80" t="str">
        <f>IFERROR(__xludf.DUMMYFUNCTION("""COMPUTED_VALUE"""),"CUM - UNK - INTAN")</f>
        <v>CUM - UNK - INTAN</v>
      </c>
      <c r="AE1395" s="80" t="str">
        <f>IFERROR(__xludf.DUMMYFUNCTION("""COMPUTED_VALUE"""),"CUM - UNK - INTAN")</f>
        <v>CUM - UNK - INTAN</v>
      </c>
      <c r="AF1395" s="80" t="str">
        <f>IFERROR(__xludf.DUMMYFUNCTION("""COMPUTED_VALUE"""),"085320522003")</f>
        <v>085320522003</v>
      </c>
      <c r="AG1395" s="80" t="str">
        <f>IFERROR(__xludf.DUMMYFUNCTION("""COMPUTED_VALUE"""),"085320522003")</f>
        <v>085320522003</v>
      </c>
      <c r="AH1395" s="80" t="str">
        <f>IFERROR(__xludf.DUMMYFUNCTION("""COMPUTED_VALUE"""),"ferenlupitasari43@gmail.com")</f>
        <v>ferenlupitasari43@gmail.com</v>
      </c>
      <c r="AI1395" s="80" t="str">
        <f>IFERROR(__xludf.DUMMYFUNCTION("""COMPUTED_VALUE"""),"46483S3 ")</f>
        <v>46483S3 </v>
      </c>
      <c r="AJ1395" s="80" t="str">
        <f>IFERROR(__xludf.DUMMYFUNCTION("""COMPUTED_VALUE"""),"6aaa0efeb58ed6622d0c7b66 ")</f>
        <v>6aaa0efeb58ed6622d0c7b66 </v>
      </c>
      <c r="AK1395" s="80" t="str">
        <f>IFERROR(__xludf.DUMMYFUNCTION("""COMPUTED_VALUE"""),"ferenlupitasari43@gmail.com")</f>
        <v>ferenlupitasari43@gmail.com</v>
      </c>
      <c r="AL1395" s="80" t="str">
        <f>IFERROR(__xludf.DUMMYFUNCTION("""COMPUTED_VALUE"""),"#Muc46483S3$")</f>
        <v>#Muc46483S3$</v>
      </c>
      <c r="AM1395" s="80" t="str">
        <f>IFERROR(__xludf.DUMMYFUNCTION("""COMPUTED_VALUE"""),"KANTOR REGIONAL III BANDUNG 40004")</f>
        <v>KANTOR REGIONAL III BANDUNG 40004</v>
      </c>
      <c r="AN1395" s="80" t="str">
        <f>IFERROR(__xludf.DUMMYFUNCTION("""COMPUTED_VALUE"""),"KC TASIKMALAYA 46100")</f>
        <v>KC TASIKMALAYA 46100</v>
      </c>
      <c r="AO1395" s="80" t="str">
        <f>IFERROR(__xludf.DUMMYFUNCTION("""COMPUTED_VALUE"""),"2108260073805")</f>
        <v>2108260073805</v>
      </c>
      <c r="AP1395" s="80" t="str">
        <f>IFERROR(__xludf.DUMMYFUNCTION("""COMPUTED_VALUE"""),"2108260073805")</f>
        <v>2108260073805</v>
      </c>
      <c r="AQ1395" s="83" t="str">
        <f>IFERROR(__xludf.DUMMYFUNCTION("""COMPUTED_VALUE"""),"901486651850")</f>
        <v>901486651850</v>
      </c>
      <c r="AR1395" s="80" t="str">
        <f>IFERROR(__xludf.DUMMYFUNCTION("""COMPUTED_VALUE"""),"MANDIRI")</f>
        <v>MANDIRI</v>
      </c>
      <c r="AS1395" s="80" t="str">
        <f>IFERROR(__xludf.DUMMYFUNCTION("""COMPUTED_VALUE"""),"FEREN LUPITASARI")</f>
        <v>FEREN LUPITASARI</v>
      </c>
      <c r="AT1395" s="80" t="str">
        <f>IFERROR(__xludf.DUMMYFUNCTION("""COMPUTED_VALUE"""),"-7.4202987,108.1823037")</f>
        <v>-7.4202987,108.1823037</v>
      </c>
      <c r="AU1395" s="80" t="str">
        <f>IFERROR(__xludf.DUMMYFUNCTION("""COMPUTED_VALUE"""),"-7.4202987,108.1823037")</f>
        <v>-7.4202987,108.1823037</v>
      </c>
      <c r="AV1395" s="80"/>
      <c r="AW1395" s="80"/>
      <c r="AX1395" s="80"/>
      <c r="AY1395" s="80"/>
      <c r="AZ1395" s="80"/>
      <c r="BA1395" s="80"/>
      <c r="BB1395" s="80"/>
      <c r="BC1395" s="80"/>
      <c r="BD1395" s="80"/>
      <c r="BE1395" s="80"/>
      <c r="BF1395" s="80"/>
      <c r="BG1395" s="80"/>
      <c r="BH1395" s="80"/>
      <c r="BI1395" s="80"/>
      <c r="BJ1395" s="80"/>
      <c r="BK1395" s="80"/>
      <c r="BL1395" s="80"/>
      <c r="BM1395" s="80"/>
      <c r="BN1395" s="80"/>
      <c r="BO1395" s="80"/>
      <c r="BP1395" s="80"/>
      <c r="BQ1395" s="80"/>
      <c r="BR1395" s="80"/>
      <c r="BS1395" s="80"/>
      <c r="BT1395" s="80"/>
      <c r="BU1395" s="80"/>
      <c r="BV1395" s="80"/>
      <c r="BW1395" s="80"/>
      <c r="BX1395" s="80"/>
      <c r="BY1395" s="80"/>
      <c r="BZ1395" s="80"/>
      <c r="CA1395" s="80"/>
      <c r="CB1395" s="80"/>
      <c r="CC1395" s="80"/>
      <c r="CD1395" s="80"/>
      <c r="CE1395" s="80"/>
      <c r="CF1395" s="80"/>
      <c r="CG1395" s="80"/>
      <c r="CH1395" s="80"/>
      <c r="CI1395" s="80"/>
      <c r="CJ1395" s="80"/>
      <c r="CK1395" s="2"/>
    </row>
    <row r="1396" ht="12.75" customHeight="1">
      <c r="A1396" s="85">
        <f>IFERROR(__xludf.DUMMYFUNCTION("""COMPUTED_VALUE"""),1392.0)</f>
        <v>1392</v>
      </c>
      <c r="B1396" s="85"/>
      <c r="C1396" s="85"/>
      <c r="D1396" s="86">
        <f>IFERROR(__xludf.DUMMYFUNCTION("""COMPUTED_VALUE"""),46260.0)</f>
        <v>46260</v>
      </c>
      <c r="E1396" s="88"/>
      <c r="F1396" s="85"/>
      <c r="G1396" s="86"/>
      <c r="H1396" s="85"/>
      <c r="I1396" s="85"/>
      <c r="J1396" s="85"/>
      <c r="K1396" s="85"/>
      <c r="L1396" s="85"/>
      <c r="M1396" s="85"/>
      <c r="N1396" s="85"/>
      <c r="O1396" s="85"/>
      <c r="P1396" s="85" t="str">
        <f>IFERROR(__xludf.DUMMYFUNCTION("""COMPUTED_VALUE"""),"MUCSPA70112PSAAK")</f>
        <v>MUCSPA70112PSAAK</v>
      </c>
      <c r="Q1396" s="85" t="str">
        <f>IFERROR(__xludf.DUMMYFUNCTION("""COMPUTED_VALUE"""),"MUC NANJUNGSARI SAMARANG")</f>
        <v>MUC NANJUNGSARI SAMARANG</v>
      </c>
      <c r="R1396" s="85" t="str">
        <f>IFERROR(__xludf.DUMMYFUNCTION("""COMPUTED_VALUE"""),"MUC NANJUNGSARI SAMARANG")</f>
        <v>MUC NANJUNGSARI SAMARANG</v>
      </c>
      <c r="S1396" s="85" t="str">
        <f>IFERROR(__xludf.DUMMYFUNCTION("""COMPUTED_VALUE"""),"MOHAMAD ALIF ZAYYAN NASYWA")</f>
        <v>MOHAMAD ALIF ZAYYAN NASYWA</v>
      </c>
      <c r="T1396" s="85" t="str">
        <f>IFERROR(__xludf.DUMMYFUNCTION("""COMPUTED_VALUE"""),"KP BABAKAN KIARA RT. 004 RW. 007 CINTARASA SAMARANG, KABUPATEN GARUT JAWA BARAT")</f>
        <v>KP BABAKAN KIARA RT. 004 RW. 007 CINTARASA SAMARANG, KABUPATEN GARUT JAWA BARAT</v>
      </c>
      <c r="U1396" s="85" t="str">
        <f>IFERROR(__xludf.DUMMYFUNCTION("""COMPUTED_VALUE"""),"Jl. Raya Samarang KM 06, Kec. Samarang, Kabupaten Garut, Jawa Barat")</f>
        <v>Jl. Raya Samarang KM 06, Kec. Samarang, Kabupaten Garut, Jawa Barat</v>
      </c>
      <c r="V1396" s="85" t="str">
        <f>IFERROR(__xludf.DUMMYFUNCTION("""COMPUTED_VALUE"""),"RT. 00 \ RW. 00")</f>
        <v>RT. 00 \ RW. 00</v>
      </c>
      <c r="W1396" s="85" t="str">
        <f>IFERROR(__xludf.DUMMYFUNCTION("""COMPUTED_VALUE"""),"Samarang")</f>
        <v>Samarang</v>
      </c>
      <c r="X1396" s="85" t="str">
        <f>IFERROR(__xludf.DUMMYFUNCTION("""COMPUTED_VALUE"""),"Samarang")</f>
        <v>Samarang</v>
      </c>
      <c r="Y1396" s="85" t="str">
        <f>IFERROR(__xludf.DUMMYFUNCTION("""COMPUTED_VALUE"""),"Kab. Garut")</f>
        <v>Kab. Garut</v>
      </c>
      <c r="Z1396" s="85" t="str">
        <f>IFERROR(__xludf.DUMMYFUNCTION("""COMPUTED_VALUE"""),"Jawa Barat")</f>
        <v>Jawa Barat</v>
      </c>
      <c r="AA1396" s="85" t="str">
        <f>IFERROR(__xludf.DUMMYFUNCTION("""COMPUTED_VALUE"""),"44161")</f>
        <v>44161</v>
      </c>
      <c r="AB1396" s="85" t="str">
        <f>IFERROR(__xludf.DUMMYFUNCTION("""COMPUTED_VALUE"""),"3205071811020004")</f>
        <v>3205071811020004</v>
      </c>
      <c r="AC1396" s="85" t="str">
        <f>IFERROR(__xludf.DUMMYFUNCTION("""COMPUTED_VALUE"""),"32.050.718.1-102.0004")</f>
        <v>32.050.718.1-102.0004</v>
      </c>
      <c r="AD1396" s="85" t="str">
        <f>IFERROR(__xludf.DUMMYFUNCTION("""COMPUTED_VALUE"""),"CUM - LP - ANGGI")</f>
        <v>CUM - LP - ANGGI</v>
      </c>
      <c r="AE1396" s="85" t="str">
        <f>IFERROR(__xludf.DUMMYFUNCTION("""COMPUTED_VALUE"""),"CUM - LP - ANGGI")</f>
        <v>CUM - LP - ANGGI</v>
      </c>
      <c r="AF1396" s="85" t="str">
        <f>IFERROR(__xludf.DUMMYFUNCTION("""COMPUTED_VALUE"""),"089524381102")</f>
        <v>089524381102</v>
      </c>
      <c r="AG1396" s="85" t="str">
        <f>IFERROR(__xludf.DUMMYFUNCTION("""COMPUTED_VALUE"""),"089524381102")</f>
        <v>089524381102</v>
      </c>
      <c r="AH1396" s="85" t="str">
        <f>IFERROR(__xludf.DUMMYFUNCTION("""COMPUTED_VALUE"""),"nasywa18works@gmail.com")</f>
        <v>nasywa18works@gmail.com</v>
      </c>
      <c r="AI1396" s="85"/>
      <c r="AJ1396" s="85"/>
      <c r="AK1396" s="85"/>
      <c r="AL1396" s="85"/>
      <c r="AM1396" s="85" t="str">
        <f>IFERROR(__xludf.DUMMYFUNCTION("""COMPUTED_VALUE"""),"KANTOR REGIONAL III BANDUNG 40004")</f>
        <v>KANTOR REGIONAL III BANDUNG 40004</v>
      </c>
      <c r="AN1396" s="85" t="str">
        <f>IFERROR(__xludf.DUMMYFUNCTION("""COMPUTED_VALUE"""),"KC GARUT 44100")</f>
        <v>KC GARUT 44100</v>
      </c>
      <c r="AO1396" s="85" t="str">
        <f>IFERROR(__xludf.DUMMYFUNCTION("""COMPUTED_VALUE"""),"2408260053503")</f>
        <v>2408260053503</v>
      </c>
      <c r="AP1396" s="85" t="str">
        <f>IFERROR(__xludf.DUMMYFUNCTION("""COMPUTED_VALUE"""),"2408260053503")</f>
        <v>2408260053503</v>
      </c>
      <c r="AQ1396" s="93" t="str">
        <f>IFERROR(__xludf.DUMMYFUNCTION("""COMPUTED_VALUE"""),"4460294539")</f>
        <v>4460294539</v>
      </c>
      <c r="AR1396" s="85" t="str">
        <f>IFERROR(__xludf.DUMMYFUNCTION("""COMPUTED_VALUE"""),"BCA")</f>
        <v>BCA</v>
      </c>
      <c r="AS1396" s="85" t="str">
        <f>IFERROR(__xludf.DUMMYFUNCTION("""COMPUTED_VALUE"""),"MIMAH NURDANIAH HJ")</f>
        <v>MIMAH NURDANIAH HJ</v>
      </c>
      <c r="AT1396" s="85" t="str">
        <f>IFERROR(__xludf.DUMMYFUNCTION("""COMPUTED_VALUE"""),"-7.2157616,107.8332498")</f>
        <v>-7.2157616,107.8332498</v>
      </c>
      <c r="AU1396" s="85" t="str">
        <f>IFERROR(__xludf.DUMMYFUNCTION("""COMPUTED_VALUE"""),"-7.2157616,107.8332498")</f>
        <v>-7.2157616,107.8332498</v>
      </c>
      <c r="AV1396" s="85"/>
      <c r="AW1396" s="85"/>
      <c r="AX1396" s="85"/>
      <c r="AY1396" s="85"/>
      <c r="AZ1396" s="85"/>
      <c r="BA1396" s="85"/>
      <c r="BB1396" s="85"/>
      <c r="BC1396" s="85"/>
      <c r="BD1396" s="85"/>
      <c r="BE1396" s="85"/>
      <c r="BF1396" s="85"/>
      <c r="BG1396" s="85"/>
      <c r="BH1396" s="85"/>
      <c r="BI1396" s="85"/>
      <c r="BJ1396" s="85"/>
      <c r="BK1396" s="85"/>
      <c r="BL1396" s="85"/>
      <c r="BM1396" s="85"/>
      <c r="BN1396" s="85"/>
      <c r="BO1396" s="85"/>
      <c r="BP1396" s="85"/>
      <c r="BQ1396" s="85"/>
      <c r="BR1396" s="85"/>
      <c r="BS1396" s="85"/>
      <c r="BT1396" s="85"/>
      <c r="BU1396" s="85"/>
      <c r="BV1396" s="85"/>
      <c r="BW1396" s="85"/>
      <c r="BX1396" s="85"/>
      <c r="BY1396" s="85"/>
      <c r="BZ1396" s="85"/>
      <c r="CA1396" s="85"/>
      <c r="CB1396" s="85"/>
      <c r="CC1396" s="85"/>
      <c r="CD1396" s="85"/>
      <c r="CE1396" s="85"/>
      <c r="CF1396" s="85"/>
      <c r="CG1396" s="85"/>
      <c r="CH1396" s="85"/>
      <c r="CI1396" s="85"/>
      <c r="CJ1396" s="85"/>
      <c r="CK1396" s="2"/>
    </row>
    <row r="1397" ht="12.75" customHeight="1">
      <c r="A1397" s="80">
        <f>IFERROR(__xludf.DUMMYFUNCTION("""COMPUTED_VALUE"""),1393.0)</f>
        <v>1393</v>
      </c>
      <c r="B1397" s="80"/>
      <c r="C1397" s="80"/>
      <c r="D1397" s="81">
        <f>IFERROR(__xludf.DUMMYFUNCTION("""COMPUTED_VALUE"""),46260.0)</f>
        <v>46260</v>
      </c>
      <c r="E1397" s="82"/>
      <c r="F1397" s="80"/>
      <c r="G1397" s="81"/>
      <c r="H1397" s="80"/>
      <c r="I1397" s="80"/>
      <c r="J1397" s="80"/>
      <c r="K1397" s="80"/>
      <c r="L1397" s="80"/>
      <c r="M1397" s="80"/>
      <c r="N1397" s="80"/>
      <c r="O1397" s="80"/>
      <c r="P1397" s="80" t="str">
        <f>IFERROR(__xludf.DUMMYFUNCTION("""COMPUTED_VALUE"""),"MUCSPA70110PSAAK")</f>
        <v>MUCSPA70110PSAAK</v>
      </c>
      <c r="Q1397" s="80" t="str">
        <f>IFERROR(__xludf.DUMMYFUNCTION("""COMPUTED_VALUE"""),"MUC SENEN JAYA")</f>
        <v>MUC SENEN JAYA</v>
      </c>
      <c r="R1397" s="80" t="str">
        <f>IFERROR(__xludf.DUMMYFUNCTION("""COMPUTED_VALUE"""),"MUC SENEN JAYA")</f>
        <v>MUC SENEN JAYA</v>
      </c>
      <c r="S1397" s="80" t="str">
        <f>IFERROR(__xludf.DUMMYFUNCTION("""COMPUTED_VALUE"""),"AGUNG DWI SAPUTRA")</f>
        <v>AGUNG DWI SAPUTRA</v>
      </c>
      <c r="T1397" s="80" t="str">
        <f>IFERROR(__xludf.DUMMYFUNCTION("""COMPUTED_VALUE"""),"JL.JOHAR BARU NO.32 RT 08 RW 05, JOHAR BARU, JOHAR BARU, JAKPUS")</f>
        <v>JL.JOHAR BARU NO.32 RT 08 RW 05, JOHAR BARU, JOHAR BARU, JAKPUS</v>
      </c>
      <c r="U1397" s="80" t="str">
        <f>IFERROR(__xludf.DUMMYFUNCTION("""COMPUTED_VALUE"""),"JL. Senen Raya Jembatan Multiguna Jaya Atrium L3 G1 No.10 RT.01 RW.02")</f>
        <v>JL. Senen Raya Jembatan Multiguna Jaya Atrium L3 G1 No.10 RT.01 RW.02</v>
      </c>
      <c r="V1397" s="80" t="str">
        <f>IFERROR(__xludf.DUMMYFUNCTION("""COMPUTED_VALUE"""),"RT 08  \ RW 05,")</f>
        <v>RT 08  \ RW 05,</v>
      </c>
      <c r="W1397" s="80" t="str">
        <f>IFERROR(__xludf.DUMMYFUNCTION("""COMPUTED_VALUE"""),"SENEN")</f>
        <v>SENEN</v>
      </c>
      <c r="X1397" s="80" t="str">
        <f>IFERROR(__xludf.DUMMYFUNCTION("""COMPUTED_VALUE"""),"SENEN")</f>
        <v>SENEN</v>
      </c>
      <c r="Y1397" s="80" t="str">
        <f>IFERROR(__xludf.DUMMYFUNCTION("""COMPUTED_VALUE"""),"JAKARTA PUSAT")</f>
        <v>JAKARTA PUSAT</v>
      </c>
      <c r="Z1397" s="80" t="str">
        <f>IFERROR(__xludf.DUMMYFUNCTION("""COMPUTED_VALUE"""),"DKI JAKARTA")</f>
        <v>DKI JAKARTA</v>
      </c>
      <c r="AA1397" s="80" t="str">
        <f>IFERROR(__xludf.DUMMYFUNCTION("""COMPUTED_VALUE"""),"10410")</f>
        <v>10410</v>
      </c>
      <c r="AB1397" s="80" t="str">
        <f>IFERROR(__xludf.DUMMYFUNCTION("""COMPUTED_VALUE"""),"3171081808990003")</f>
        <v>3171081808990003</v>
      </c>
      <c r="AC1397" s="80" t="str">
        <f>IFERROR(__xludf.DUMMYFUNCTION("""COMPUTED_VALUE"""),"31.710.818.0-899.0003")</f>
        <v>31.710.818.0-899.0003</v>
      </c>
      <c r="AD1397" s="80" t="str">
        <f>IFERROR(__xludf.DUMMYFUNCTION("""COMPUTED_VALUE"""),"CUM - LP - ANGGI")</f>
        <v>CUM - LP - ANGGI</v>
      </c>
      <c r="AE1397" s="80" t="str">
        <f>IFERROR(__xludf.DUMMYFUNCTION("""COMPUTED_VALUE"""),"CUM - LP - ANGGI")</f>
        <v>CUM - LP - ANGGI</v>
      </c>
      <c r="AF1397" s="80" t="str">
        <f>IFERROR(__xludf.DUMMYFUNCTION("""COMPUTED_VALUE"""),"081381007832")</f>
        <v>081381007832</v>
      </c>
      <c r="AG1397" s="80" t="str">
        <f>IFERROR(__xludf.DUMMYFUNCTION("""COMPUTED_VALUE"""),"081381007832")</f>
        <v>081381007832</v>
      </c>
      <c r="AH1397" s="80" t="str">
        <f>IFERROR(__xludf.DUMMYFUNCTION("""COMPUTED_VALUE"""),"agungdws18@gmail.com")</f>
        <v>agungdws18@gmail.com</v>
      </c>
      <c r="AI1397" s="80"/>
      <c r="AJ1397" s="80"/>
      <c r="AK1397" s="80"/>
      <c r="AL1397" s="80"/>
      <c r="AM1397" s="80" t="str">
        <f>IFERROR(__xludf.DUMMYFUNCTION("""COMPUTED_VALUE"""),"KANTOR REGIONAL II JAKARTA 10004")</f>
        <v>KANTOR REGIONAL II JAKARTA 10004</v>
      </c>
      <c r="AN1397" s="80" t="str">
        <f>IFERROR(__xludf.DUMMYFUNCTION("""COMPUTED_VALUE"""),"KCU JAKARTACENTRUM 10000")</f>
        <v>KCU JAKARTACENTRUM 10000</v>
      </c>
      <c r="AO1397" s="80" t="str">
        <f>IFERROR(__xludf.DUMMYFUNCTION("""COMPUTED_VALUE"""),"2108260021976")</f>
        <v>2108260021976</v>
      </c>
      <c r="AP1397" s="80" t="str">
        <f>IFERROR(__xludf.DUMMYFUNCTION("""COMPUTED_VALUE"""),"2108260021976")</f>
        <v>2108260021976</v>
      </c>
      <c r="AQ1397" s="83" t="str">
        <f>IFERROR(__xludf.DUMMYFUNCTION("""COMPUTED_VALUE"""),"7000523750")</f>
        <v>7000523750</v>
      </c>
      <c r="AR1397" s="80" t="str">
        <f>IFERROR(__xludf.DUMMYFUNCTION("""COMPUTED_VALUE"""),"BCA")</f>
        <v>BCA</v>
      </c>
      <c r="AS1397" s="80" t="str">
        <f>IFERROR(__xludf.DUMMYFUNCTION("""COMPUTED_VALUE"""),"AGUNG DWI SAPUTRA")</f>
        <v>AGUNG DWI SAPUTRA</v>
      </c>
      <c r="AT1397" s="80" t="str">
        <f>IFERROR(__xludf.DUMMYFUNCTION("""COMPUTED_VALUE"""),"-6.1758889,106.84125")</f>
        <v>-6.1758889,106.84125</v>
      </c>
      <c r="AU1397" s="80" t="str">
        <f>IFERROR(__xludf.DUMMYFUNCTION("""COMPUTED_VALUE"""),"-6.1758889,106.84125")</f>
        <v>-6.1758889,106.84125</v>
      </c>
      <c r="AV1397" s="80"/>
      <c r="AW1397" s="80"/>
      <c r="AX1397" s="80"/>
      <c r="AY1397" s="80"/>
      <c r="AZ1397" s="80"/>
      <c r="BA1397" s="80"/>
      <c r="BB1397" s="80"/>
      <c r="BC1397" s="80"/>
      <c r="BD1397" s="80"/>
      <c r="BE1397" s="80"/>
      <c r="BF1397" s="80"/>
      <c r="BG1397" s="80"/>
      <c r="BH1397" s="80"/>
      <c r="BI1397" s="80"/>
      <c r="BJ1397" s="80"/>
      <c r="BK1397" s="80"/>
      <c r="BL1397" s="80"/>
      <c r="BM1397" s="80"/>
      <c r="BN1397" s="80"/>
      <c r="BO1397" s="80"/>
      <c r="BP1397" s="80"/>
      <c r="BQ1397" s="80"/>
      <c r="BR1397" s="80"/>
      <c r="BS1397" s="80"/>
      <c r="BT1397" s="80"/>
      <c r="BU1397" s="80"/>
      <c r="BV1397" s="80"/>
      <c r="BW1397" s="80"/>
      <c r="BX1397" s="80"/>
      <c r="BY1397" s="80"/>
      <c r="BZ1397" s="80"/>
      <c r="CA1397" s="80"/>
      <c r="CB1397" s="80"/>
      <c r="CC1397" s="80"/>
      <c r="CD1397" s="80"/>
      <c r="CE1397" s="80"/>
      <c r="CF1397" s="80"/>
      <c r="CG1397" s="80"/>
      <c r="CH1397" s="80"/>
      <c r="CI1397" s="80"/>
      <c r="CJ1397" s="80"/>
      <c r="CK1397" s="2"/>
    </row>
    <row r="1398" ht="12.75" customHeight="1">
      <c r="A1398" s="85">
        <f>IFERROR(__xludf.DUMMYFUNCTION("""COMPUTED_VALUE"""),1394.0)</f>
        <v>1394</v>
      </c>
      <c r="B1398" s="85"/>
      <c r="C1398" s="85"/>
      <c r="D1398" s="86">
        <f>IFERROR(__xludf.DUMMYFUNCTION("""COMPUTED_VALUE"""),46260.0)</f>
        <v>46260</v>
      </c>
      <c r="E1398" s="88"/>
      <c r="F1398" s="85"/>
      <c r="G1398" s="86">
        <f>IFERROR(__xludf.DUMMYFUNCTION("""COMPUTED_VALUE"""),46281.0)</f>
        <v>46281</v>
      </c>
      <c r="H1398" s="85"/>
      <c r="I1398" s="85"/>
      <c r="J1398" s="85"/>
      <c r="K1398" s="85"/>
      <c r="L1398" s="85">
        <f>IFERROR(__xludf.DUMMYFUNCTION("""COMPUTED_VALUE"""),21.0)</f>
        <v>21</v>
      </c>
      <c r="M1398" s="85"/>
      <c r="N1398" s="85"/>
      <c r="O1398" s="85"/>
      <c r="P1398" s="85" t="str">
        <f>IFERROR(__xludf.DUMMYFUNCTION("""COMPUTED_VALUE"""),"53BSPA17231JBEEN")</f>
        <v>53BSPA17231JBEEN</v>
      </c>
      <c r="Q1398" s="85" t="str">
        <f>IFERROR(__xludf.DUMMYFUNCTION("""COMPUTED_VALUE"""),"MUC TLAJUNG UDIK")</f>
        <v>MUC TLAJUNG UDIK</v>
      </c>
      <c r="R1398" s="85" t="str">
        <f>IFERROR(__xludf.DUMMYFUNCTION("""COMPUTED_VALUE"""),"MUC TLAJUNG UDIK")</f>
        <v>MUC TLAJUNG UDIK</v>
      </c>
      <c r="S1398" s="85" t="str">
        <f>IFERROR(__xludf.DUMMYFUNCTION("""COMPUTED_VALUE"""),"RIA VITALOKA")</f>
        <v>RIA VITALOKA</v>
      </c>
      <c r="T1398" s="85" t="str">
        <f>IFERROR(__xludf.DUMMYFUNCTION("""COMPUTED_VALUE"""),"PUTRI INDAH ESTATE JL. KENANGA NO.17 E RT 02 RW 09, TLAJUNG UDIK, GUNUNG PUTRI, KAB.BOGOR")</f>
        <v>PUTRI INDAH ESTATE JL. KENANGA NO.17 E RT 02 RW 09, TLAJUNG UDIK, GUNUNG PUTRI, KAB.BOGOR</v>
      </c>
      <c r="U1398" s="85" t="str">
        <f>IFERROR(__xludf.DUMMYFUNCTION("""COMPUTED_VALUE"""),"JL. GRIYA BUKIT JAYA NO.8 BLOK S1 RT.15 RW.24")</f>
        <v>JL. GRIYA BUKIT JAYA NO.8 BLOK S1 RT.15 RW.24</v>
      </c>
      <c r="V1398" s="85" t="str">
        <f>IFERROR(__xludf.DUMMYFUNCTION("""COMPUTED_VALUE"""),"RT 02  \ RW 09,")</f>
        <v>RT 02  \ RW 09,</v>
      </c>
      <c r="W1398" s="85" t="str">
        <f>IFERROR(__xludf.DUMMYFUNCTION("""COMPUTED_VALUE"""),"TLAJUNG UDIK")</f>
        <v>TLAJUNG UDIK</v>
      </c>
      <c r="X1398" s="85" t="str">
        <f>IFERROR(__xludf.DUMMYFUNCTION("""COMPUTED_VALUE"""),"GUNUNG PUTRI")</f>
        <v>GUNUNG PUTRI</v>
      </c>
      <c r="Y1398" s="85" t="str">
        <f>IFERROR(__xludf.DUMMYFUNCTION("""COMPUTED_VALUE"""),"KAB.BOGOR")</f>
        <v>KAB.BOGOR</v>
      </c>
      <c r="Z1398" s="85" t="str">
        <f>IFERROR(__xludf.DUMMYFUNCTION("""COMPUTED_VALUE"""),"JAWA BARAT")</f>
        <v>JAWA BARAT</v>
      </c>
      <c r="AA1398" s="85" t="str">
        <f>IFERROR(__xludf.DUMMYFUNCTION("""COMPUTED_VALUE"""),"16962")</f>
        <v>16962</v>
      </c>
      <c r="AB1398" s="85" t="str">
        <f>IFERROR(__xludf.DUMMYFUNCTION("""COMPUTED_VALUE"""),"3201024308850021")</f>
        <v>3201024308850021</v>
      </c>
      <c r="AC1398" s="85" t="str">
        <f>IFERROR(__xludf.DUMMYFUNCTION("""COMPUTED_VALUE"""),"87.184.625.9-403.000")</f>
        <v>87.184.625.9-403.000</v>
      </c>
      <c r="AD1398" s="85" t="str">
        <f>IFERROR(__xludf.DUMMYFUNCTION("""COMPUTED_VALUE"""),"CUM - EEN")</f>
        <v>CUM - EEN</v>
      </c>
      <c r="AE1398" s="85" t="str">
        <f>IFERROR(__xludf.DUMMYFUNCTION("""COMPUTED_VALUE"""),"CUM - EEN")</f>
        <v>CUM - EEN</v>
      </c>
      <c r="AF1398" s="85" t="str">
        <f>IFERROR(__xludf.DUMMYFUNCTION("""COMPUTED_VALUE"""),"087898604649")</f>
        <v>087898604649</v>
      </c>
      <c r="AG1398" s="85" t="str">
        <f>IFERROR(__xludf.DUMMYFUNCTION("""COMPUTED_VALUE"""),"087898604649")</f>
        <v>087898604649</v>
      </c>
      <c r="AH1398" s="85" t="str">
        <f>IFERROR(__xludf.DUMMYFUNCTION("""COMPUTED_VALUE"""),"ria.vitaloka85@gmail.com")</f>
        <v>ria.vitaloka85@gmail.com</v>
      </c>
      <c r="AI1398" s="85" t="str">
        <f>IFERROR(__xludf.DUMMYFUNCTION("""COMPUTED_VALUE"""),"16962S1 ")</f>
        <v>16962S1 </v>
      </c>
      <c r="AJ1398" s="85" t="str">
        <f>IFERROR(__xludf.DUMMYFUNCTION("""COMPUTED_VALUE"""),"6aaa08db31fb1d3a890ac4f3 ")</f>
        <v>6aaa08db31fb1d3a890ac4f3 </v>
      </c>
      <c r="AK1398" s="85" t="str">
        <f>IFERROR(__xludf.DUMMYFUNCTION("""COMPUTED_VALUE"""),"ria.vitaloka85@gmail.com")</f>
        <v>ria.vitaloka85@gmail.com</v>
      </c>
      <c r="AL1398" s="85" t="str">
        <f>IFERROR(__xludf.DUMMYFUNCTION("""COMPUTED_VALUE"""),"#Muc16962S1$")</f>
        <v>#Muc16962S1$</v>
      </c>
      <c r="AM1398" s="85" t="str">
        <f>IFERROR(__xludf.DUMMYFUNCTION("""COMPUTED_VALUE"""),"KANTOR REGIONAL II JAKARTA 10004")</f>
        <v>KANTOR REGIONAL II JAKARTA 10004</v>
      </c>
      <c r="AN1398" s="85" t="str">
        <f>IFERROR(__xludf.DUMMYFUNCTION("""COMPUTED_VALUE"""),"KC CIBINONG 16900")</f>
        <v>KC CIBINONG 16900</v>
      </c>
      <c r="AO1398" s="85" t="str">
        <f>IFERROR(__xludf.DUMMYFUNCTION("""COMPUTED_VALUE"""),"2008260060113")</f>
        <v>2008260060113</v>
      </c>
      <c r="AP1398" s="85" t="str">
        <f>IFERROR(__xludf.DUMMYFUNCTION("""COMPUTED_VALUE"""),"2008260060113")</f>
        <v>2008260060113</v>
      </c>
      <c r="AQ1398" s="93" t="str">
        <f>IFERROR(__xludf.DUMMYFUNCTION("""COMPUTED_VALUE"""),"0319538629")</f>
        <v>0319538629</v>
      </c>
      <c r="AR1398" s="85" t="str">
        <f>IFERROR(__xludf.DUMMYFUNCTION("""COMPUTED_VALUE"""),"BNI")</f>
        <v>BNI</v>
      </c>
      <c r="AS1398" s="85" t="str">
        <f>IFERROR(__xludf.DUMMYFUNCTION("""COMPUTED_VALUE"""),"RIA VITALOKA")</f>
        <v>RIA VITALOKA</v>
      </c>
      <c r="AT1398" s="85" t="str">
        <f>IFERROR(__xludf.DUMMYFUNCTION("""COMPUTED_VALUE"""),"-6.4350437,106.9084341")</f>
        <v>-6.4350437,106.9084341</v>
      </c>
      <c r="AU1398" s="85" t="str">
        <f>IFERROR(__xludf.DUMMYFUNCTION("""COMPUTED_VALUE"""),"-6.4350437,106.9084341")</f>
        <v>-6.4350437,106.9084341</v>
      </c>
      <c r="AV1398" s="85"/>
      <c r="AW1398" s="85"/>
      <c r="AX1398" s="85"/>
      <c r="AY1398" s="85"/>
      <c r="AZ1398" s="85"/>
      <c r="BA1398" s="85"/>
      <c r="BB1398" s="85"/>
      <c r="BC1398" s="85"/>
      <c r="BD1398" s="85"/>
      <c r="BE1398" s="85"/>
      <c r="BF1398" s="85"/>
      <c r="BG1398" s="85"/>
      <c r="BH1398" s="85"/>
      <c r="BI1398" s="85"/>
      <c r="BJ1398" s="85"/>
      <c r="BK1398" s="85"/>
      <c r="BL1398" s="85"/>
      <c r="BM1398" s="85"/>
      <c r="BN1398" s="85"/>
      <c r="BO1398" s="85"/>
      <c r="BP1398" s="85"/>
      <c r="BQ1398" s="85"/>
      <c r="BR1398" s="85"/>
      <c r="BS1398" s="85"/>
      <c r="BT1398" s="85"/>
      <c r="BU1398" s="85"/>
      <c r="BV1398" s="85"/>
      <c r="BW1398" s="85"/>
      <c r="BX1398" s="85"/>
      <c r="BY1398" s="85"/>
      <c r="BZ1398" s="85"/>
      <c r="CA1398" s="85"/>
      <c r="CB1398" s="85"/>
      <c r="CC1398" s="85"/>
      <c r="CD1398" s="85"/>
      <c r="CE1398" s="85"/>
      <c r="CF1398" s="85"/>
      <c r="CG1398" s="85"/>
      <c r="CH1398" s="85"/>
      <c r="CI1398" s="85"/>
      <c r="CJ1398" s="85"/>
      <c r="CK1398" s="2"/>
    </row>
    <row r="1399" ht="12.75" customHeight="1">
      <c r="A1399" s="80">
        <f>IFERROR(__xludf.DUMMYFUNCTION("""COMPUTED_VALUE"""),1395.0)</f>
        <v>1395</v>
      </c>
      <c r="B1399" s="80"/>
      <c r="C1399" s="80"/>
      <c r="D1399" s="81">
        <f>IFERROR(__xludf.DUMMYFUNCTION("""COMPUTED_VALUE"""),46260.0)</f>
        <v>46260</v>
      </c>
      <c r="E1399" s="82"/>
      <c r="F1399" s="80"/>
      <c r="G1399" s="81"/>
      <c r="H1399" s="80"/>
      <c r="I1399" s="80"/>
      <c r="J1399" s="80"/>
      <c r="K1399" s="80"/>
      <c r="L1399" s="80"/>
      <c r="M1399" s="80"/>
      <c r="N1399" s="80"/>
      <c r="O1399" s="80"/>
      <c r="P1399" s="80" t="str">
        <f>IFERROR(__xludf.DUMMYFUNCTION("""COMPUTED_VALUE"""),"53BSPA17242JBNDS")</f>
        <v>53BSPA17242JBNDS</v>
      </c>
      <c r="Q1399" s="80" t="str">
        <f>IFERROR(__xludf.DUMMYFUNCTION("""COMPUTED_VALUE"""),"MUC STELAMARIS PANAKUKANG")</f>
        <v>MUC STELAMARIS PANAKUKANG</v>
      </c>
      <c r="R1399" s="80" t="str">
        <f>IFERROR(__xludf.DUMMYFUNCTION("""COMPUTED_VALUE"""),"MUC STELAMARIS PANAKUKANG")</f>
        <v>MUC STELAMARIS PANAKUKANG</v>
      </c>
      <c r="S1399" s="80" t="str">
        <f>IFERROR(__xludf.DUMMYFUNCTION("""COMPUTED_VALUE"""),"KANISIUS GUNTUR")</f>
        <v>KANISIUS GUNTUR</v>
      </c>
      <c r="T1399" s="80" t="str">
        <f>IFERROR(__xludf.DUMMYFUNCTION("""COMPUTED_VALUE"""),"TIDUNG X TIMUR BLOK B/6 RT.001 RW.006 KARUNRUNG RAPPOCINI, KOTA MAKASSAR SULAWESI SELATAN")</f>
        <v>TIDUNG X TIMUR BLOK B/6 RT.001 RW.006 KARUNRUNG RAPPOCINI, KOTA MAKASSAR SULAWESI SELATAN</v>
      </c>
      <c r="U1399" s="80" t="str">
        <f>IFERROR(__xludf.DUMMYFUNCTION("""COMPUTED_VALUE"""),"JL. Tidung 10 Timur Blok B No 6 Komp. Stelamaris Panakukang")</f>
        <v>JL. Tidung 10 Timur Blok B No 6 Komp. Stelamaris Panakukang</v>
      </c>
      <c r="V1399" s="80" t="str">
        <f>IFERROR(__xludf.DUMMYFUNCTION("""COMPUTED_VALUE"""),"RT.001 \ RW.006")</f>
        <v>RT.001 \ RW.006</v>
      </c>
      <c r="W1399" s="80" t="str">
        <f>IFERROR(__xludf.DUMMYFUNCTION("""COMPUTED_VALUE"""),"Karunrung")</f>
        <v>Karunrung</v>
      </c>
      <c r="X1399" s="80" t="str">
        <f>IFERROR(__xludf.DUMMYFUNCTION("""COMPUTED_VALUE"""),"Rapocini")</f>
        <v>Rapocini</v>
      </c>
      <c r="Y1399" s="80" t="str">
        <f>IFERROR(__xludf.DUMMYFUNCTION("""COMPUTED_VALUE"""),"Makassar")</f>
        <v>Makassar</v>
      </c>
      <c r="Z1399" s="80" t="str">
        <f>IFERROR(__xludf.DUMMYFUNCTION("""COMPUTED_VALUE"""),"Sulawesi Selatan")</f>
        <v>Sulawesi Selatan</v>
      </c>
      <c r="AA1399" s="80" t="str">
        <f>IFERROR(__xludf.DUMMYFUNCTION("""COMPUTED_VALUE"""),"90222")</f>
        <v>90222</v>
      </c>
      <c r="AB1399" s="80" t="str">
        <f>IFERROR(__xludf.DUMMYFUNCTION("""COMPUTED_VALUE"""),"7371132001610005")</f>
        <v>7371132001610005</v>
      </c>
      <c r="AC1399" s="80" t="str">
        <f>IFERROR(__xludf.DUMMYFUNCTION("""COMPUTED_VALUE"""),"47.966.928.5-805.000")</f>
        <v>47.966.928.5-805.000</v>
      </c>
      <c r="AD1399" s="80" t="str">
        <f>IFERROR(__xludf.DUMMYFUNCTION("""COMPUTED_VALUE"""),"CUM - NDS")</f>
        <v>CUM - NDS</v>
      </c>
      <c r="AE1399" s="80" t="str">
        <f>IFERROR(__xludf.DUMMYFUNCTION("""COMPUTED_VALUE"""),"CUM - NDS")</f>
        <v>CUM - NDS</v>
      </c>
      <c r="AF1399" s="80" t="str">
        <f>IFERROR(__xludf.DUMMYFUNCTION("""COMPUTED_VALUE"""),"082195921212")</f>
        <v>082195921212</v>
      </c>
      <c r="AG1399" s="80" t="str">
        <f>IFERROR(__xludf.DUMMYFUNCTION("""COMPUTED_VALUE"""),"082195921212")</f>
        <v>082195921212</v>
      </c>
      <c r="AH1399" s="80" t="str">
        <f>IFERROR(__xludf.DUMMYFUNCTION("""COMPUTED_VALUE"""),"wwengke@gmail.com")</f>
        <v>wwengke@gmail.com</v>
      </c>
      <c r="AI1399" s="80"/>
      <c r="AJ1399" s="80"/>
      <c r="AK1399" s="80"/>
      <c r="AL1399" s="80"/>
      <c r="AM1399" s="80" t="str">
        <f>IFERROR(__xludf.DUMMYFUNCTION("""COMPUTED_VALUE"""),"KANTOR REGIONAL VI MAKASAR 90004")</f>
        <v>KANTOR REGIONAL VI MAKASAR 90004</v>
      </c>
      <c r="AN1399" s="80" t="str">
        <f>IFERROR(__xludf.DUMMYFUNCTION("""COMPUTED_VALUE"""),"KCU MAKASSAR 90000")</f>
        <v>KCU MAKASSAR 90000</v>
      </c>
      <c r="AO1399" s="80" t="str">
        <f>IFERROR(__xludf.DUMMYFUNCTION("""COMPUTED_VALUE"""),"2008260063509")</f>
        <v>2008260063509</v>
      </c>
      <c r="AP1399" s="80" t="str">
        <f>IFERROR(__xludf.DUMMYFUNCTION("""COMPUTED_VALUE"""),"2008260063509")</f>
        <v>2008260063509</v>
      </c>
      <c r="AQ1399" s="83" t="str">
        <f>IFERROR(__xludf.DUMMYFUNCTION("""COMPUTED_VALUE"""),"5001014261534")</f>
        <v>5001014261534</v>
      </c>
      <c r="AR1399" s="80" t="str">
        <f>IFERROR(__xludf.DUMMYFUNCTION("""COMPUTED_VALUE"""),"BRI")</f>
        <v>BRI</v>
      </c>
      <c r="AS1399" s="80" t="str">
        <f>IFERROR(__xludf.DUMMYFUNCTION("""COMPUTED_VALUE"""),"KANISIUS GUNTUR, DRS")</f>
        <v>KANISIUS GUNTUR, DRS</v>
      </c>
      <c r="AT1399" s="80" t="str">
        <f>IFERROR(__xludf.DUMMYFUNCTION("""COMPUTED_VALUE"""),"-5.1755661,119.4515951")</f>
        <v>-5.1755661,119.4515951</v>
      </c>
      <c r="AU1399" s="80" t="str">
        <f>IFERROR(__xludf.DUMMYFUNCTION("""COMPUTED_VALUE"""),"-5.1755661,119.4515951")</f>
        <v>-5.1755661,119.4515951</v>
      </c>
      <c r="AV1399" s="80"/>
      <c r="AW1399" s="80"/>
      <c r="AX1399" s="80"/>
      <c r="AY1399" s="80"/>
      <c r="AZ1399" s="80"/>
      <c r="BA1399" s="80"/>
      <c r="BB1399" s="80"/>
      <c r="BC1399" s="80"/>
      <c r="BD1399" s="80"/>
      <c r="BE1399" s="80"/>
      <c r="BF1399" s="80"/>
      <c r="BG1399" s="80"/>
      <c r="BH1399" s="80"/>
      <c r="BI1399" s="80"/>
      <c r="BJ1399" s="80"/>
      <c r="BK1399" s="80"/>
      <c r="BL1399" s="80"/>
      <c r="BM1399" s="80"/>
      <c r="BN1399" s="80"/>
      <c r="BO1399" s="80"/>
      <c r="BP1399" s="80"/>
      <c r="BQ1399" s="80"/>
      <c r="BR1399" s="80"/>
      <c r="BS1399" s="80"/>
      <c r="BT1399" s="80"/>
      <c r="BU1399" s="80"/>
      <c r="BV1399" s="80"/>
      <c r="BW1399" s="80"/>
      <c r="BX1399" s="80"/>
      <c r="BY1399" s="80"/>
      <c r="BZ1399" s="80"/>
      <c r="CA1399" s="80"/>
      <c r="CB1399" s="80"/>
      <c r="CC1399" s="80"/>
      <c r="CD1399" s="80"/>
      <c r="CE1399" s="80"/>
      <c r="CF1399" s="80"/>
      <c r="CG1399" s="80"/>
      <c r="CH1399" s="80"/>
      <c r="CI1399" s="80"/>
      <c r="CJ1399" s="80"/>
      <c r="CK1399" s="2"/>
    </row>
    <row r="1400" ht="12.75" customHeight="1">
      <c r="A1400" s="85">
        <f>IFERROR(__xludf.DUMMYFUNCTION("""COMPUTED_VALUE"""),1396.0)</f>
        <v>1396</v>
      </c>
      <c r="B1400" s="85"/>
      <c r="C1400" s="85"/>
      <c r="D1400" s="86">
        <f>IFERROR(__xludf.DUMMYFUNCTION("""COMPUTED_VALUE"""),46260.0)</f>
        <v>46260</v>
      </c>
      <c r="E1400" s="88"/>
      <c r="F1400" s="85"/>
      <c r="G1400" s="86"/>
      <c r="H1400" s="85"/>
      <c r="I1400" s="85"/>
      <c r="J1400" s="85"/>
      <c r="K1400" s="85"/>
      <c r="L1400" s="85"/>
      <c r="M1400" s="85"/>
      <c r="N1400" s="85"/>
      <c r="O1400" s="85"/>
      <c r="P1400" s="85" t="str">
        <f>IFERROR(__xludf.DUMMYFUNCTION("""COMPUTED_VALUE"""),"MUCSPA70115PSAAK")</f>
        <v>MUCSPA70115PSAAK</v>
      </c>
      <c r="Q1400" s="85" t="str">
        <f>IFERROR(__xludf.DUMMYFUNCTION("""COMPUTED_VALUE"""),"MUC VALKA 27 ANTAPANI")</f>
        <v>MUC VALKA 27 ANTAPANI</v>
      </c>
      <c r="R1400" s="85" t="str">
        <f>IFERROR(__xludf.DUMMYFUNCTION("""COMPUTED_VALUE"""),"MUC VALKA 27 ANTAPANI")</f>
        <v>MUC VALKA 27 ANTAPANI</v>
      </c>
      <c r="S1400" s="85" t="str">
        <f>IFERROR(__xludf.DUMMYFUNCTION("""COMPUTED_VALUE"""),"WILYAN WILDAN")</f>
        <v>WILYAN WILDAN</v>
      </c>
      <c r="T1400" s="85" t="str">
        <f>IFERROR(__xludf.DUMMYFUNCTION("""COMPUTED_VALUE"""),"MERKURI RESIDENCE JL. MERKURI SELATAN XIX KAV. RT 03 RW 08, MANJAHLEGA, RANCASARI, BANDUNG")</f>
        <v>MERKURI RESIDENCE JL. MERKURI SELATAN XIX KAV. RT 03 RW 08, MANJAHLEGA, RANCASARI, BANDUNG</v>
      </c>
      <c r="U1400" s="85" t="str">
        <f>IFERROR(__xludf.DUMMYFUNCTION("""COMPUTED_VALUE"""),"JL. CIBODAS RAYA NO.01 RT.01 RW.07")</f>
        <v>JL. CIBODAS RAYA NO.01 RT.01 RW.07</v>
      </c>
      <c r="V1400" s="85" t="str">
        <f>IFERROR(__xludf.DUMMYFUNCTION("""COMPUTED_VALUE"""),"RT 03  \ RW 08,")</f>
        <v>RT 03  \ RW 08,</v>
      </c>
      <c r="W1400" s="85" t="str">
        <f>IFERROR(__xludf.DUMMYFUNCTION("""COMPUTED_VALUE"""),"ANTAPANI KIDUL")</f>
        <v>ANTAPANI KIDUL</v>
      </c>
      <c r="X1400" s="85" t="str">
        <f>IFERROR(__xludf.DUMMYFUNCTION("""COMPUTED_VALUE"""),"ANTAPANI")</f>
        <v>ANTAPANI</v>
      </c>
      <c r="Y1400" s="85" t="str">
        <f>IFERROR(__xludf.DUMMYFUNCTION("""COMPUTED_VALUE"""),"BANDUNG")</f>
        <v>BANDUNG</v>
      </c>
      <c r="Z1400" s="85" t="str">
        <f>IFERROR(__xludf.DUMMYFUNCTION("""COMPUTED_VALUE"""),"JAWA BARAT")</f>
        <v>JAWA BARAT</v>
      </c>
      <c r="AA1400" s="85" t="str">
        <f>IFERROR(__xludf.DUMMYFUNCTION("""COMPUTED_VALUE"""),"40291")</f>
        <v>40291</v>
      </c>
      <c r="AB1400" s="85" t="str">
        <f>IFERROR(__xludf.DUMMYFUNCTION("""COMPUTED_VALUE"""),"6171032709870016")</f>
        <v>6171032709870016</v>
      </c>
      <c r="AC1400" s="85" t="str">
        <f>IFERROR(__xludf.DUMMYFUNCTION("""COMPUTED_VALUE"""),"46.487.785.1-423.000")</f>
        <v>46.487.785.1-423.000</v>
      </c>
      <c r="AD1400" s="85" t="str">
        <f>IFERROR(__xludf.DUMMYFUNCTION("""COMPUTED_VALUE"""),"CUM - LP - ANGGI")</f>
        <v>CUM - LP - ANGGI</v>
      </c>
      <c r="AE1400" s="85" t="str">
        <f>IFERROR(__xludf.DUMMYFUNCTION("""COMPUTED_VALUE"""),"CUM - LP - ANGGI")</f>
        <v>CUM - LP - ANGGI</v>
      </c>
      <c r="AF1400" s="85" t="str">
        <f>IFERROR(__xludf.DUMMYFUNCTION("""COMPUTED_VALUE"""),"081214661010")</f>
        <v>081214661010</v>
      </c>
      <c r="AG1400" s="85" t="str">
        <f>IFERROR(__xludf.DUMMYFUNCTION("""COMPUTED_VALUE"""),"081214661010")</f>
        <v>081214661010</v>
      </c>
      <c r="AH1400" s="85" t="str">
        <f>IFERROR(__xludf.DUMMYFUNCTION("""COMPUTED_VALUE"""),"corp.valka@gmail.com")</f>
        <v>corp.valka@gmail.com</v>
      </c>
      <c r="AI1400" s="85"/>
      <c r="AJ1400" s="85"/>
      <c r="AK1400" s="85"/>
      <c r="AL1400" s="85"/>
      <c r="AM1400" s="85" t="str">
        <f>IFERROR(__xludf.DUMMYFUNCTION("""COMPUTED_VALUE"""),"KANTOR REGIONAL III BANDUNG 40004")</f>
        <v>KANTOR REGIONAL III BANDUNG 40004</v>
      </c>
      <c r="AN1400" s="85" t="str">
        <f>IFERROR(__xludf.DUMMYFUNCTION("""COMPUTED_VALUE"""),"KCU BANDUNG 40000")</f>
        <v>KCU BANDUNG 40000</v>
      </c>
      <c r="AO1400" s="85" t="str">
        <f>IFERROR(__xludf.DUMMYFUNCTION("""COMPUTED_VALUE"""),"2302220077823")</f>
        <v>2302220077823</v>
      </c>
      <c r="AP1400" s="85" t="str">
        <f>IFERROR(__xludf.DUMMYFUNCTION("""COMPUTED_VALUE"""),"2302220077823")</f>
        <v>2302220077823</v>
      </c>
      <c r="AQ1400" s="93" t="str">
        <f>IFERROR(__xludf.DUMMYFUNCTION("""COMPUTED_VALUE"""),"6395571111")</f>
        <v>6395571111</v>
      </c>
      <c r="AR1400" s="85" t="str">
        <f>IFERROR(__xludf.DUMMYFUNCTION("""COMPUTED_VALUE"""),"BCA")</f>
        <v>BCA</v>
      </c>
      <c r="AS1400" s="85" t="str">
        <f>IFERROR(__xludf.DUMMYFUNCTION("""COMPUTED_VALUE"""),"WILYAN WILDAN")</f>
        <v>WILYAN WILDAN</v>
      </c>
      <c r="AT1400" s="85" t="str">
        <f>IFERROR(__xludf.DUMMYFUNCTION("""COMPUTED_VALUE"""),"-6.9198073,107.6618037")</f>
        <v>-6.9198073,107.6618037</v>
      </c>
      <c r="AU1400" s="85" t="str">
        <f>IFERROR(__xludf.DUMMYFUNCTION("""COMPUTED_VALUE"""),"-6.9198073,107.6618037")</f>
        <v>-6.9198073,107.6618037</v>
      </c>
      <c r="AV1400" s="85"/>
      <c r="AW1400" s="85"/>
      <c r="AX1400" s="85"/>
      <c r="AY1400" s="85"/>
      <c r="AZ1400" s="85"/>
      <c r="BA1400" s="85"/>
      <c r="BB1400" s="85"/>
      <c r="BC1400" s="85"/>
      <c r="BD1400" s="85"/>
      <c r="BE1400" s="85"/>
      <c r="BF1400" s="85"/>
      <c r="BG1400" s="85"/>
      <c r="BH1400" s="85"/>
      <c r="BI1400" s="85"/>
      <c r="BJ1400" s="85"/>
      <c r="BK1400" s="85"/>
      <c r="BL1400" s="85"/>
      <c r="BM1400" s="85"/>
      <c r="BN1400" s="85"/>
      <c r="BO1400" s="85"/>
      <c r="BP1400" s="85"/>
      <c r="BQ1400" s="85"/>
      <c r="BR1400" s="85"/>
      <c r="BS1400" s="85"/>
      <c r="BT1400" s="85"/>
      <c r="BU1400" s="85"/>
      <c r="BV1400" s="85"/>
      <c r="BW1400" s="85"/>
      <c r="BX1400" s="85"/>
      <c r="BY1400" s="85"/>
      <c r="BZ1400" s="85"/>
      <c r="CA1400" s="85"/>
      <c r="CB1400" s="85"/>
      <c r="CC1400" s="85"/>
      <c r="CD1400" s="85"/>
      <c r="CE1400" s="85"/>
      <c r="CF1400" s="85"/>
      <c r="CG1400" s="85"/>
      <c r="CH1400" s="85"/>
      <c r="CI1400" s="85"/>
      <c r="CJ1400" s="85"/>
      <c r="CK1400" s="2"/>
    </row>
    <row r="1401" ht="12.75" customHeight="1">
      <c r="A1401" s="80">
        <f>IFERROR(__xludf.DUMMYFUNCTION("""COMPUTED_VALUE"""),1397.0)</f>
        <v>1397</v>
      </c>
      <c r="B1401" s="80"/>
      <c r="C1401" s="80"/>
      <c r="D1401" s="81">
        <f>IFERROR(__xludf.DUMMYFUNCTION("""COMPUTED_VALUE"""),46261.0)</f>
        <v>46261</v>
      </c>
      <c r="E1401" s="82"/>
      <c r="F1401" s="80"/>
      <c r="G1401" s="81">
        <f>IFERROR(__xludf.DUMMYFUNCTION("""COMPUTED_VALUE"""),46280.0)</f>
        <v>46280</v>
      </c>
      <c r="H1401" s="80"/>
      <c r="I1401" s="80"/>
      <c r="J1401" s="80"/>
      <c r="K1401" s="80"/>
      <c r="L1401" s="80">
        <f>IFERROR(__xludf.DUMMYFUNCTION("""COMPUTED_VALUE"""),19.0)</f>
        <v>19</v>
      </c>
      <c r="M1401" s="80"/>
      <c r="N1401" s="80"/>
      <c r="O1401" s="80"/>
      <c r="P1401" s="80" t="str">
        <f>IFERROR(__xludf.DUMMYFUNCTION("""COMPUTED_VALUE"""),"MUC70217UMKMBGR1")</f>
        <v>MUC70217UMKMBGR1</v>
      </c>
      <c r="Q1401" s="80" t="str">
        <f>IFERROR(__xludf.DUMMYFUNCTION("""COMPUTED_VALUE"""),"MUC BINTANG EXPRESS")</f>
        <v>MUC BINTANG EXPRESS</v>
      </c>
      <c r="R1401" s="80" t="str">
        <f>IFERROR(__xludf.DUMMYFUNCTION("""COMPUTED_VALUE"""),"MUC BINTANG EXPRESS")</f>
        <v>MUC BINTANG EXPRESS</v>
      </c>
      <c r="S1401" s="80" t="str">
        <f>IFERROR(__xludf.DUMMYFUNCTION("""COMPUTED_VALUE"""),"HUDZAIVA ANWAR ABUD")</f>
        <v>HUDZAIVA ANWAR ABUD</v>
      </c>
      <c r="T1401" s="80" t="str">
        <f>IFERROR(__xludf.DUMMYFUNCTION("""COMPUTED_VALUE"""),"JL ARZIMAR 1 NO 28 RT 01 RW 09, TEGAL GUNDIL, BOGOR UTARA, BOGOR")</f>
        <v>JL ARZIMAR 1 NO 28 RT 01 RW 09, TEGAL GUNDIL, BOGOR UTARA, BOGOR</v>
      </c>
      <c r="U1401" s="80" t="str">
        <f>IFERROR(__xludf.DUMMYFUNCTION("""COMPUTED_VALUE"""),"JL. PALAYU RAYA NO.14 RT.02 RW.10 BANTAR JATI")</f>
        <v>JL. PALAYU RAYA NO.14 RT.02 RW.10 BANTAR JATI</v>
      </c>
      <c r="V1401" s="80" t="str">
        <f>IFERROR(__xludf.DUMMYFUNCTION("""COMPUTED_VALUE"""),"RT 01  \ RW 09,")</f>
        <v>RT 01  \ RW 09,</v>
      </c>
      <c r="W1401" s="80" t="str">
        <f>IFERROR(__xludf.DUMMYFUNCTION("""COMPUTED_VALUE"""),"TEGAL GUNDIL")</f>
        <v>TEGAL GUNDIL</v>
      </c>
      <c r="X1401" s="80" t="str">
        <f>IFERROR(__xludf.DUMMYFUNCTION("""COMPUTED_VALUE"""),"BOGOR UTARA")</f>
        <v>BOGOR UTARA</v>
      </c>
      <c r="Y1401" s="80" t="str">
        <f>IFERROR(__xludf.DUMMYFUNCTION("""COMPUTED_VALUE"""),"BOGOR")</f>
        <v>BOGOR</v>
      </c>
      <c r="Z1401" s="80" t="str">
        <f>IFERROR(__xludf.DUMMYFUNCTION("""COMPUTED_VALUE"""),"JAWA BARAT")</f>
        <v>JAWA BARAT</v>
      </c>
      <c r="AA1401" s="80" t="str">
        <f>IFERROR(__xludf.DUMMYFUNCTION("""COMPUTED_VALUE"""),"16152")</f>
        <v>16152</v>
      </c>
      <c r="AB1401" s="80" t="str">
        <f>IFERROR(__xludf.DUMMYFUNCTION("""COMPUTED_VALUE"""),"3271022105790006")</f>
        <v>3271022105790006</v>
      </c>
      <c r="AC1401" s="80" t="str">
        <f>IFERROR(__xludf.DUMMYFUNCTION("""COMPUTED_VALUE"""),"96.656.306.6-404.000")</f>
        <v>96.656.306.6-404.000</v>
      </c>
      <c r="AD1401" s="80" t="str">
        <f>IFERROR(__xludf.DUMMYFUNCTION("""COMPUTED_VALUE"""),"UMKM - BOGOR")</f>
        <v>UMKM - BOGOR</v>
      </c>
      <c r="AE1401" s="80" t="str">
        <f>IFERROR(__xludf.DUMMYFUNCTION("""COMPUTED_VALUE"""),"UMKM - BOGOR")</f>
        <v>UMKM - BOGOR</v>
      </c>
      <c r="AF1401" s="80" t="str">
        <f>IFERROR(__xludf.DUMMYFUNCTION("""COMPUTED_VALUE"""),"0882000783673")</f>
        <v>0882000783673</v>
      </c>
      <c r="AG1401" s="80" t="str">
        <f>IFERROR(__xludf.DUMMYFUNCTION("""COMPUTED_VALUE"""),"0882000783673")</f>
        <v>0882000783673</v>
      </c>
      <c r="AH1401" s="80" t="str">
        <f>IFERROR(__xludf.DUMMYFUNCTION("""COMPUTED_VALUE"""),"queenyfrozen@gmail.com")</f>
        <v>queenyfrozen@gmail.com</v>
      </c>
      <c r="AI1401" s="80" t="str">
        <f>IFERROR(__xludf.DUMMYFUNCTION("""COMPUTED_VALUE"""),"16152S3 ")</f>
        <v>16152S3 </v>
      </c>
      <c r="AJ1401" s="80" t="str">
        <f>IFERROR(__xludf.DUMMYFUNCTION("""COMPUTED_VALUE"""),"6aa8cabea0013b7f910f26ed ")</f>
        <v>6aa8cabea0013b7f910f26ed </v>
      </c>
      <c r="AK1401" s="80" t="str">
        <f>IFERROR(__xludf.DUMMYFUNCTION("""COMPUTED_VALUE"""),"queenyfrozen@gmail.com")</f>
        <v>queenyfrozen@gmail.com</v>
      </c>
      <c r="AL1401" s="80" t="str">
        <f>IFERROR(__xludf.DUMMYFUNCTION("""COMPUTED_VALUE"""),"#Muc16152S3$")</f>
        <v>#Muc16152S3$</v>
      </c>
      <c r="AM1401" s="80" t="str">
        <f>IFERROR(__xludf.DUMMYFUNCTION("""COMPUTED_VALUE"""),"KANTOR REGIONAL II JAKARTA 10004")</f>
        <v>KANTOR REGIONAL II JAKARTA 10004</v>
      </c>
      <c r="AN1401" s="80" t="str">
        <f>IFERROR(__xludf.DUMMYFUNCTION("""COMPUTED_VALUE"""),"KCU BOGOR 16000")</f>
        <v>KCU BOGOR 16000</v>
      </c>
      <c r="AO1401" s="80" t="str">
        <f>IFERROR(__xludf.DUMMYFUNCTION("""COMPUTED_VALUE"""),"1909240051697")</f>
        <v>1909240051697</v>
      </c>
      <c r="AP1401" s="80" t="str">
        <f>IFERROR(__xludf.DUMMYFUNCTION("""COMPUTED_VALUE"""),"1909240051697")</f>
        <v>1909240051697</v>
      </c>
      <c r="AQ1401" s="83" t="str">
        <f>IFERROR(__xludf.DUMMYFUNCTION("""COMPUTED_VALUE"""),"1330026762013")</f>
        <v>1330026762013</v>
      </c>
      <c r="AR1401" s="80" t="str">
        <f>IFERROR(__xludf.DUMMYFUNCTION("""COMPUTED_VALUE"""),"MANDIRI")</f>
        <v>MANDIRI</v>
      </c>
      <c r="AS1401" s="80" t="str">
        <f>IFERROR(__xludf.DUMMYFUNCTION("""COMPUTED_VALUE"""),"HUDZAIVA ANWAR ABUD")</f>
        <v>HUDZAIVA ANWAR ABUD</v>
      </c>
      <c r="AT1401" s="80" t="str">
        <f>IFERROR(__xludf.DUMMYFUNCTION("""COMPUTED_VALUE"""),"-6.5818622,106.8119631")</f>
        <v>-6.5818622,106.8119631</v>
      </c>
      <c r="AU1401" s="80" t="str">
        <f>IFERROR(__xludf.DUMMYFUNCTION("""COMPUTED_VALUE"""),"-6.5818622,106.8119631")</f>
        <v>-6.5818622,106.8119631</v>
      </c>
      <c r="AV1401" s="80"/>
      <c r="AW1401" s="80"/>
      <c r="AX1401" s="80"/>
      <c r="AY1401" s="80"/>
      <c r="AZ1401" s="80"/>
      <c r="BA1401" s="80"/>
      <c r="BB1401" s="80"/>
      <c r="BC1401" s="80"/>
      <c r="BD1401" s="80"/>
      <c r="BE1401" s="80"/>
      <c r="BF1401" s="80"/>
      <c r="BG1401" s="80"/>
      <c r="BH1401" s="80"/>
      <c r="BI1401" s="80"/>
      <c r="BJ1401" s="80"/>
      <c r="BK1401" s="80"/>
      <c r="BL1401" s="80"/>
      <c r="BM1401" s="80"/>
      <c r="BN1401" s="80"/>
      <c r="BO1401" s="80"/>
      <c r="BP1401" s="80"/>
      <c r="BQ1401" s="80"/>
      <c r="BR1401" s="80"/>
      <c r="BS1401" s="80"/>
      <c r="BT1401" s="80"/>
      <c r="BU1401" s="80"/>
      <c r="BV1401" s="80"/>
      <c r="BW1401" s="80"/>
      <c r="BX1401" s="80"/>
      <c r="BY1401" s="80"/>
      <c r="BZ1401" s="80"/>
      <c r="CA1401" s="80"/>
      <c r="CB1401" s="80"/>
      <c r="CC1401" s="80"/>
      <c r="CD1401" s="80"/>
      <c r="CE1401" s="80"/>
      <c r="CF1401" s="80"/>
      <c r="CG1401" s="80"/>
      <c r="CH1401" s="80"/>
      <c r="CI1401" s="80"/>
      <c r="CJ1401" s="80"/>
      <c r="CK1401" s="2"/>
    </row>
    <row r="1402" ht="12.75" customHeight="1">
      <c r="A1402" s="85">
        <f>IFERROR(__xludf.DUMMYFUNCTION("""COMPUTED_VALUE"""),1398.0)</f>
        <v>1398</v>
      </c>
      <c r="B1402" s="85"/>
      <c r="C1402" s="85"/>
      <c r="D1402" s="86">
        <f>IFERROR(__xludf.DUMMYFUNCTION("""COMPUTED_VALUE"""),46261.0)</f>
        <v>46261</v>
      </c>
      <c r="E1402" s="88"/>
      <c r="F1402" s="85"/>
      <c r="G1402" s="86">
        <f>IFERROR(__xludf.DUMMYFUNCTION("""COMPUTED_VALUE"""),46280.0)</f>
        <v>46280</v>
      </c>
      <c r="H1402" s="85"/>
      <c r="I1402" s="85"/>
      <c r="J1402" s="85"/>
      <c r="K1402" s="85"/>
      <c r="L1402" s="85">
        <f>IFERROR(__xludf.DUMMYFUNCTION("""COMPUTED_VALUE"""),19.0)</f>
        <v>19</v>
      </c>
      <c r="M1402" s="85"/>
      <c r="N1402" s="85"/>
      <c r="O1402" s="85"/>
      <c r="P1402" s="85" t="str">
        <f>IFERROR(__xludf.DUMMYFUNCTION("""COMPUTED_VALUE"""),"53BSPA17245JBNDS")</f>
        <v>53BSPA17245JBNDS</v>
      </c>
      <c r="Q1402" s="85" t="str">
        <f>IFERROR(__xludf.DUMMYFUNCTION("""COMPUTED_VALUE"""),"MUC PANORAMA EXPRESS")</f>
        <v>MUC PANORAMA EXPRESS</v>
      </c>
      <c r="R1402" s="85" t="str">
        <f>IFERROR(__xludf.DUMMYFUNCTION("""COMPUTED_VALUE"""),"MUC PANORAMA EXPRESS")</f>
        <v>MUC PANORAMA EXPRESS</v>
      </c>
      <c r="S1402" s="85" t="str">
        <f>IFERROR(__xludf.DUMMYFUNCTION("""COMPUTED_VALUE"""),"RA THERESIA MARYANA K")</f>
        <v>RA THERESIA MARYANA K</v>
      </c>
      <c r="T1402" s="85" t="str">
        <f>IFERROR(__xludf.DUMMYFUNCTION("""COMPUTED_VALUE"""),"JL. KH NOER ALI UJUNG HARAPAN RT.001 RW.001 BAHAGIA, BABELAN, KAB. BEKASI JAWA BARAT")</f>
        <v>JL. KH NOER ALI UJUNG HARAPAN RT.001 RW.001 BAHAGIA, BABELAN, KAB. BEKASI JAWA BARAT</v>
      </c>
      <c r="U1402" s="85" t="str">
        <f>IFERROR(__xludf.DUMMYFUNCTION("""COMPUTED_VALUE"""),"Cluster Panorama Bahagia Residence No.1 Jl. KH Noer Ali Ujung Harapan RT.001 RW.001")</f>
        <v>Cluster Panorama Bahagia Residence No.1 Jl. KH Noer Ali Ujung Harapan RT.001 RW.001</v>
      </c>
      <c r="V1402" s="85" t="str">
        <f>IFERROR(__xludf.DUMMYFUNCTION("""COMPUTED_VALUE"""),"RT.001 \ RW.001")</f>
        <v>RT.001 \ RW.001</v>
      </c>
      <c r="W1402" s="85" t="str">
        <f>IFERROR(__xludf.DUMMYFUNCTION("""COMPUTED_VALUE"""),"Bahagia")</f>
        <v>Bahagia</v>
      </c>
      <c r="X1402" s="85" t="str">
        <f>IFERROR(__xludf.DUMMYFUNCTION("""COMPUTED_VALUE"""),"Babelan")</f>
        <v>Babelan</v>
      </c>
      <c r="Y1402" s="85" t="str">
        <f>IFERROR(__xludf.DUMMYFUNCTION("""COMPUTED_VALUE"""),"Kab. Bekasi")</f>
        <v>Kab. Bekasi</v>
      </c>
      <c r="Z1402" s="85" t="str">
        <f>IFERROR(__xludf.DUMMYFUNCTION("""COMPUTED_VALUE"""),"Jawa Barat")</f>
        <v>Jawa Barat</v>
      </c>
      <c r="AA1402" s="85" t="str">
        <f>IFERROR(__xludf.DUMMYFUNCTION("""COMPUTED_VALUE"""),"17610")</f>
        <v>17610</v>
      </c>
      <c r="AB1402" s="85" t="str">
        <f>IFERROR(__xludf.DUMMYFUNCTION("""COMPUTED_VALUE"""),"3275066003740011")</f>
        <v>3275066003740011</v>
      </c>
      <c r="AC1402" s="85" t="str">
        <f>IFERROR(__xludf.DUMMYFUNCTION("""COMPUTED_VALUE"""),"20.603.226.0-435.000")</f>
        <v>20.603.226.0-435.000</v>
      </c>
      <c r="AD1402" s="85" t="str">
        <f>IFERROR(__xludf.DUMMYFUNCTION("""COMPUTED_VALUE"""),"CUM - NDS")</f>
        <v>CUM - NDS</v>
      </c>
      <c r="AE1402" s="85" t="str">
        <f>IFERROR(__xludf.DUMMYFUNCTION("""COMPUTED_VALUE"""),"CUM - NDS")</f>
        <v>CUM - NDS</v>
      </c>
      <c r="AF1402" s="85" t="str">
        <f>IFERROR(__xludf.DUMMYFUNCTION("""COMPUTED_VALUE"""),"082112381974")</f>
        <v>082112381974</v>
      </c>
      <c r="AG1402" s="85" t="str">
        <f>IFERROR(__xludf.DUMMYFUNCTION("""COMPUTED_VALUE"""),"082112381974")</f>
        <v>082112381974</v>
      </c>
      <c r="AH1402" s="85" t="str">
        <f>IFERROR(__xludf.DUMMYFUNCTION("""COMPUTED_VALUE"""),"nanamaryana.k@gmail.com")</f>
        <v>nanamaryana.k@gmail.com</v>
      </c>
      <c r="AI1402" s="85" t="str">
        <f>IFERROR(__xludf.DUMMYFUNCTION("""COMPUTED_VALUE"""),"17612S6 ")</f>
        <v>17612S6 </v>
      </c>
      <c r="AJ1402" s="85" t="str">
        <f>IFERROR(__xludf.DUMMYFUNCTION("""COMPUTED_VALUE"""),"6aa8c0324be67eafd702f9f3 ")</f>
        <v>6aa8c0324be67eafd702f9f3 </v>
      </c>
      <c r="AK1402" s="85" t="str">
        <f>IFERROR(__xludf.DUMMYFUNCTION("""COMPUTED_VALUE"""),"nanamaryana.k@gmail.com")</f>
        <v>nanamaryana.k@gmail.com</v>
      </c>
      <c r="AL1402" s="85" t="str">
        <f>IFERROR(__xludf.DUMMYFUNCTION("""COMPUTED_VALUE"""),"#Muc17612S6$")</f>
        <v>#Muc17612S6$</v>
      </c>
      <c r="AM1402" s="85" t="str">
        <f>IFERROR(__xludf.DUMMYFUNCTION("""COMPUTED_VALUE"""),"KANTOR REGIONAL II JAKARTA 10004")</f>
        <v>KANTOR REGIONAL II JAKARTA 10004</v>
      </c>
      <c r="AN1402" s="85" t="str">
        <f>IFERROR(__xludf.DUMMYFUNCTION("""COMPUTED_VALUE"""),"KCU BEKASI 17000")</f>
        <v>KCU BEKASI 17000</v>
      </c>
      <c r="AO1402" s="85" t="str">
        <f>IFERROR(__xludf.DUMMYFUNCTION("""COMPUTED_VALUE"""),"2608260057906")</f>
        <v>2608260057906</v>
      </c>
      <c r="AP1402" s="85" t="str">
        <f>IFERROR(__xludf.DUMMYFUNCTION("""COMPUTED_VALUE"""),"2608260057906")</f>
        <v>2608260057906</v>
      </c>
      <c r="AQ1402" s="93" t="str">
        <f>IFERROR(__xludf.DUMMYFUNCTION("""COMPUTED_VALUE"""),"6241009677")</f>
        <v>6241009677</v>
      </c>
      <c r="AR1402" s="85" t="str">
        <f>IFERROR(__xludf.DUMMYFUNCTION("""COMPUTED_VALUE"""),"BCA")</f>
        <v>BCA</v>
      </c>
      <c r="AS1402" s="85" t="str">
        <f>IFERROR(__xludf.DUMMYFUNCTION("""COMPUTED_VALUE"""),"RA THERESIA MARYANA K")</f>
        <v>RA THERESIA MARYANA K</v>
      </c>
      <c r="AT1402" s="85" t="str">
        <f>IFERROR(__xludf.DUMMYFUNCTION("""COMPUTED_VALUE"""),"-6.1730117,107.0243329")</f>
        <v>-6.1730117,107.0243329</v>
      </c>
      <c r="AU1402" s="85" t="str">
        <f>IFERROR(__xludf.DUMMYFUNCTION("""COMPUTED_VALUE"""),"-6.1730117,107.0243329")</f>
        <v>-6.1730117,107.0243329</v>
      </c>
      <c r="AV1402" s="85"/>
      <c r="AW1402" s="85"/>
      <c r="AX1402" s="85"/>
      <c r="AY1402" s="85"/>
      <c r="AZ1402" s="85"/>
      <c r="BA1402" s="85"/>
      <c r="BB1402" s="85"/>
      <c r="BC1402" s="85"/>
      <c r="BD1402" s="85"/>
      <c r="BE1402" s="85"/>
      <c r="BF1402" s="85"/>
      <c r="BG1402" s="85"/>
      <c r="BH1402" s="85"/>
      <c r="BI1402" s="85"/>
      <c r="BJ1402" s="85"/>
      <c r="BK1402" s="85"/>
      <c r="BL1402" s="85"/>
      <c r="BM1402" s="85"/>
      <c r="BN1402" s="85"/>
      <c r="BO1402" s="85"/>
      <c r="BP1402" s="85"/>
      <c r="BQ1402" s="85"/>
      <c r="BR1402" s="85"/>
      <c r="BS1402" s="85"/>
      <c r="BT1402" s="85"/>
      <c r="BU1402" s="85"/>
      <c r="BV1402" s="85"/>
      <c r="BW1402" s="85"/>
      <c r="BX1402" s="85"/>
      <c r="BY1402" s="85"/>
      <c r="BZ1402" s="85"/>
      <c r="CA1402" s="85"/>
      <c r="CB1402" s="85"/>
      <c r="CC1402" s="85"/>
      <c r="CD1402" s="85"/>
      <c r="CE1402" s="85"/>
      <c r="CF1402" s="85"/>
      <c r="CG1402" s="85"/>
      <c r="CH1402" s="85"/>
      <c r="CI1402" s="85"/>
      <c r="CJ1402" s="85"/>
      <c r="CK1402" s="2"/>
    </row>
    <row r="1403" ht="12.75" customHeight="1">
      <c r="A1403" s="80">
        <f>IFERROR(__xludf.DUMMYFUNCTION("""COMPUTED_VALUE"""),1399.0)</f>
        <v>1399</v>
      </c>
      <c r="B1403" s="80"/>
      <c r="C1403" s="80"/>
      <c r="D1403" s="81">
        <f>IFERROR(__xludf.DUMMYFUNCTION("""COMPUTED_VALUE"""),46261.0)</f>
        <v>46261</v>
      </c>
      <c r="E1403" s="82"/>
      <c r="F1403" s="80"/>
      <c r="G1403" s="81"/>
      <c r="H1403" s="80"/>
      <c r="I1403" s="80"/>
      <c r="J1403" s="80"/>
      <c r="K1403" s="80"/>
      <c r="L1403" s="80"/>
      <c r="M1403" s="80"/>
      <c r="N1403" s="80"/>
      <c r="O1403" s="80"/>
      <c r="P1403" s="80" t="str">
        <f>IFERROR(__xludf.DUMMYFUNCTION("""COMPUTED_VALUE"""),"MUCSPA70126PSAAK")</f>
        <v>MUCSPA70126PSAAK</v>
      </c>
      <c r="Q1403" s="80" t="str">
        <f>IFERROR(__xludf.DUMMYFUNCTION("""COMPUTED_VALUE"""),"MUC CISOKA")</f>
        <v>MUC CISOKA</v>
      </c>
      <c r="R1403" s="80" t="str">
        <f>IFERROR(__xludf.DUMMYFUNCTION("""COMPUTED_VALUE"""),"MUC CISOKA")</f>
        <v>MUC CISOKA</v>
      </c>
      <c r="S1403" s="80" t="str">
        <f>IFERROR(__xludf.DUMMYFUNCTION("""COMPUTED_VALUE"""),"AHMAD MUZAQI")</f>
        <v>AHMAD MUZAQI</v>
      </c>
      <c r="T1403" s="80" t="str">
        <f>IFERROR(__xludf.DUMMYFUNCTION("""COMPUTED_VALUE"""),"KP. KAPUDANG RT.003 RW.005 SUKATANI CISOKA, KABUPATEN TANGERANG BANTEN")</f>
        <v>KP. KAPUDANG RT.003 RW.005 SUKATANI CISOKA, KABUPATEN TANGERANG BANTEN</v>
      </c>
      <c r="U1403" s="80" t="str">
        <f>IFERROR(__xludf.DUMMYFUNCTION("""COMPUTED_VALUE"""),"Jl. Raya Cisoka Adiyasa RT. 003 RW. 005 Sukatani")</f>
        <v>Jl. Raya Cisoka Adiyasa RT. 003 RW. 005 Sukatani</v>
      </c>
      <c r="V1403" s="80" t="str">
        <f>IFERROR(__xludf.DUMMYFUNCTION("""COMPUTED_VALUE"""),"RT.003 \ RW.005")</f>
        <v>RT.003 \ RW.005</v>
      </c>
      <c r="W1403" s="80" t="str">
        <f>IFERROR(__xludf.DUMMYFUNCTION("""COMPUTED_VALUE"""),"Sukatani")</f>
        <v>Sukatani</v>
      </c>
      <c r="X1403" s="80" t="str">
        <f>IFERROR(__xludf.DUMMYFUNCTION("""COMPUTED_VALUE"""),"Cisoka")</f>
        <v>Cisoka</v>
      </c>
      <c r="Y1403" s="80" t="str">
        <f>IFERROR(__xludf.DUMMYFUNCTION("""COMPUTED_VALUE"""),"Kab. Tangerang")</f>
        <v>Kab. Tangerang</v>
      </c>
      <c r="Z1403" s="80" t="str">
        <f>IFERROR(__xludf.DUMMYFUNCTION("""COMPUTED_VALUE"""),"Banten")</f>
        <v>Banten</v>
      </c>
      <c r="AA1403" s="80" t="str">
        <f>IFERROR(__xludf.DUMMYFUNCTION("""COMPUTED_VALUE"""),"15730")</f>
        <v>15730</v>
      </c>
      <c r="AB1403" s="80" t="str">
        <f>IFERROR(__xludf.DUMMYFUNCTION("""COMPUTED_VALUE"""),"3603050112020001")</f>
        <v>3603050112020001</v>
      </c>
      <c r="AC1403" s="80" t="str">
        <f>IFERROR(__xludf.DUMMYFUNCTION("""COMPUTED_VALUE"""),"41.601.576.6-451.000")</f>
        <v>41.601.576.6-451.000</v>
      </c>
      <c r="AD1403" s="80" t="str">
        <f>IFERROR(__xludf.DUMMYFUNCTION("""COMPUTED_VALUE"""),"CUM - LP - ANGGI")</f>
        <v>CUM - LP - ANGGI</v>
      </c>
      <c r="AE1403" s="80" t="str">
        <f>IFERROR(__xludf.DUMMYFUNCTION("""COMPUTED_VALUE"""),"CUM - LP - ANGGI")</f>
        <v>CUM - LP - ANGGI</v>
      </c>
      <c r="AF1403" s="80" t="str">
        <f>IFERROR(__xludf.DUMMYFUNCTION("""COMPUTED_VALUE"""),"083128811088")</f>
        <v>083128811088</v>
      </c>
      <c r="AG1403" s="80" t="str">
        <f>IFERROR(__xludf.DUMMYFUNCTION("""COMPUTED_VALUE"""),"083128811088")</f>
        <v>083128811088</v>
      </c>
      <c r="AH1403" s="80" t="str">
        <f>IFERROR(__xludf.DUMMYFUNCTION("""COMPUTED_VALUE"""),"moezaqi1122@gmail.com")</f>
        <v>moezaqi1122@gmail.com</v>
      </c>
      <c r="AI1403" s="80"/>
      <c r="AJ1403" s="80"/>
      <c r="AK1403" s="80"/>
      <c r="AL1403" s="80"/>
      <c r="AM1403" s="80" t="str">
        <f>IFERROR(__xludf.DUMMYFUNCTION("""COMPUTED_VALUE"""),"KANTOR REGIONAL II JAKARTA 10004")</f>
        <v>KANTOR REGIONAL II JAKARTA 10004</v>
      </c>
      <c r="AN1403" s="80" t="str">
        <f>IFERROR(__xludf.DUMMYFUNCTION("""COMPUTED_VALUE"""),"KCU TANGERANG 15000")</f>
        <v>KCU TANGERANG 15000</v>
      </c>
      <c r="AO1403" s="80" t="str">
        <f>IFERROR(__xludf.DUMMYFUNCTION("""COMPUTED_VALUE"""),"2608260032471")</f>
        <v>2608260032471</v>
      </c>
      <c r="AP1403" s="80" t="str">
        <f>IFERROR(__xludf.DUMMYFUNCTION("""COMPUTED_VALUE"""),"2608260032471")</f>
        <v>2608260032471</v>
      </c>
      <c r="AQ1403" s="83" t="str">
        <f>IFERROR(__xludf.DUMMYFUNCTION("""COMPUTED_VALUE"""),"101544505266")</f>
        <v>101544505266</v>
      </c>
      <c r="AR1403" s="80" t="str">
        <f>IFERROR(__xludf.DUMMYFUNCTION("""COMPUTED_VALUE"""),"BANK JAGO")</f>
        <v>BANK JAGO</v>
      </c>
      <c r="AS1403" s="80" t="str">
        <f>IFERROR(__xludf.DUMMYFUNCTION("""COMPUTED_VALUE"""),"AHMAD MUZAQI")</f>
        <v>AHMAD MUZAQI</v>
      </c>
      <c r="AT1403" s="80" t="str">
        <f>IFERROR(__xludf.DUMMYFUNCTION("""COMPUTED_VALUE"""),"-6.2684478,106.4126883")</f>
        <v>-6.2684478,106.4126883</v>
      </c>
      <c r="AU1403" s="80" t="str">
        <f>IFERROR(__xludf.DUMMYFUNCTION("""COMPUTED_VALUE"""),"-6.2684478,106.4126883")</f>
        <v>-6.2684478,106.4126883</v>
      </c>
      <c r="AV1403" s="80"/>
      <c r="AW1403" s="80"/>
      <c r="AX1403" s="80"/>
      <c r="AY1403" s="80"/>
      <c r="AZ1403" s="80"/>
      <c r="BA1403" s="80"/>
      <c r="BB1403" s="80"/>
      <c r="BC1403" s="80"/>
      <c r="BD1403" s="80"/>
      <c r="BE1403" s="80"/>
      <c r="BF1403" s="80"/>
      <c r="BG1403" s="80"/>
      <c r="BH1403" s="80"/>
      <c r="BI1403" s="80"/>
      <c r="BJ1403" s="80"/>
      <c r="BK1403" s="80"/>
      <c r="BL1403" s="80"/>
      <c r="BM1403" s="80"/>
      <c r="BN1403" s="80"/>
      <c r="BO1403" s="80"/>
      <c r="BP1403" s="80"/>
      <c r="BQ1403" s="80"/>
      <c r="BR1403" s="80"/>
      <c r="BS1403" s="80"/>
      <c r="BT1403" s="80"/>
      <c r="BU1403" s="80"/>
      <c r="BV1403" s="80"/>
      <c r="BW1403" s="80"/>
      <c r="BX1403" s="80"/>
      <c r="BY1403" s="80"/>
      <c r="BZ1403" s="80"/>
      <c r="CA1403" s="80"/>
      <c r="CB1403" s="80"/>
      <c r="CC1403" s="80"/>
      <c r="CD1403" s="80"/>
      <c r="CE1403" s="80"/>
      <c r="CF1403" s="80"/>
      <c r="CG1403" s="80"/>
      <c r="CH1403" s="80"/>
      <c r="CI1403" s="80"/>
      <c r="CJ1403" s="80"/>
      <c r="CK1403" s="2"/>
    </row>
    <row r="1404" ht="12.75" customHeight="1">
      <c r="A1404" s="85">
        <f>IFERROR(__xludf.DUMMYFUNCTION("""COMPUTED_VALUE"""),1400.0)</f>
        <v>1400</v>
      </c>
      <c r="B1404" s="85"/>
      <c r="C1404" s="85"/>
      <c r="D1404" s="86">
        <f>IFERROR(__xludf.DUMMYFUNCTION("""COMPUTED_VALUE"""),46262.0)</f>
        <v>46262</v>
      </c>
      <c r="E1404" s="88"/>
      <c r="F1404" s="85"/>
      <c r="G1404" s="86"/>
      <c r="H1404" s="85"/>
      <c r="I1404" s="85"/>
      <c r="J1404" s="85"/>
      <c r="K1404" s="85"/>
      <c r="L1404" s="85"/>
      <c r="M1404" s="85"/>
      <c r="N1404" s="85"/>
      <c r="O1404" s="85"/>
      <c r="P1404" s="85" t="str">
        <f>IFERROR(__xludf.DUMMYFUNCTION("""COMPUTED_VALUE"""),"MUCSPA70113PSAAK")</f>
        <v>MUCSPA70113PSAAK</v>
      </c>
      <c r="Q1404" s="85" t="str">
        <f>IFERROR(__xludf.DUMMYFUNCTION("""COMPUTED_VALUE"""),"MUC KEDOYA RAYA")</f>
        <v>MUC KEDOYA RAYA</v>
      </c>
      <c r="R1404" s="85" t="str">
        <f>IFERROR(__xludf.DUMMYFUNCTION("""COMPUTED_VALUE"""),"MUC KEDOYA RAYA")</f>
        <v>MUC KEDOYA RAYA</v>
      </c>
      <c r="S1404" s="85" t="str">
        <f>IFERROR(__xludf.DUMMYFUNCTION("""COMPUTED_VALUE"""),"NINIT M")</f>
        <v>NINIT M</v>
      </c>
      <c r="T1404" s="85" t="str">
        <f>IFERROR(__xludf.DUMMYFUNCTION("""COMPUTED_VALUE"""),"TM. MERUYA ILIR C.2/19 RT.016/004 MERUYA UTARA KEMBANGAN, JAKARTA BARAT DKI JAKARTA")</f>
        <v>TM. MERUYA ILIR C.2/19 RT.016/004 MERUYA UTARA KEMBANGAN, JAKARTA BARAT DKI JAKARTA</v>
      </c>
      <c r="U1404" s="85" t="str">
        <f>IFERROR(__xludf.DUMMYFUNCTION("""COMPUTED_VALUE"""),"Jl. Adhi Karya No.5 RT.9/RW.5, Kedoya Selatan")</f>
        <v>Jl. Adhi Karya No.5 RT.9/RW.5, Kedoya Selatan</v>
      </c>
      <c r="V1404" s="85"/>
      <c r="W1404" s="85" t="str">
        <f>IFERROR(__xludf.DUMMYFUNCTION("""COMPUTED_VALUE"""),"Kedoya Selatan")</f>
        <v>Kedoya Selatan</v>
      </c>
      <c r="X1404" s="85" t="str">
        <f>IFERROR(__xludf.DUMMYFUNCTION("""COMPUTED_VALUE"""),"Kebon Jeruk")</f>
        <v>Kebon Jeruk</v>
      </c>
      <c r="Y1404" s="85" t="str">
        <f>IFERROR(__xludf.DUMMYFUNCTION("""COMPUTED_VALUE"""),"Jakarta Barat")</f>
        <v>Jakarta Barat</v>
      </c>
      <c r="Z1404" s="85" t="str">
        <f>IFERROR(__xludf.DUMMYFUNCTION("""COMPUTED_VALUE"""),"DKI Jakarta")</f>
        <v>DKI Jakarta</v>
      </c>
      <c r="AA1404" s="85" t="str">
        <f>IFERROR(__xludf.DUMMYFUNCTION("""COMPUTED_VALUE"""),"11520")</f>
        <v>11520</v>
      </c>
      <c r="AB1404" s="85" t="str">
        <f>IFERROR(__xludf.DUMMYFUNCTION("""COMPUTED_VALUE"""),"3173086110700002")</f>
        <v>3173086110700002</v>
      </c>
      <c r="AC1404" s="85" t="str">
        <f>IFERROR(__xludf.DUMMYFUNCTION("""COMPUTED_VALUE"""),"27.997.477.8-086.000")</f>
        <v>27.997.477.8-086.000</v>
      </c>
      <c r="AD1404" s="85" t="str">
        <f>IFERROR(__xludf.DUMMYFUNCTION("""COMPUTED_VALUE"""),"CUM - LP - ANGGI")</f>
        <v>CUM - LP - ANGGI</v>
      </c>
      <c r="AE1404" s="85" t="str">
        <f>IFERROR(__xludf.DUMMYFUNCTION("""COMPUTED_VALUE"""),"CUM - LP - ANGGI")</f>
        <v>CUM - LP - ANGGI</v>
      </c>
      <c r="AF1404" s="85" t="str">
        <f>IFERROR(__xludf.DUMMYFUNCTION("""COMPUTED_VALUE"""),"081514105927")</f>
        <v>081514105927</v>
      </c>
      <c r="AG1404" s="85" t="str">
        <f>IFERROR(__xludf.DUMMYFUNCTION("""COMPUTED_VALUE"""),"081514105927")</f>
        <v>081514105927</v>
      </c>
      <c r="AH1404" s="85" t="str">
        <f>IFERROR(__xludf.DUMMYFUNCTION("""COMPUTED_VALUE"""),"ninit.mahwati@gmail.com")</f>
        <v>ninit.mahwati@gmail.com</v>
      </c>
      <c r="AI1404" s="85"/>
      <c r="AJ1404" s="85"/>
      <c r="AK1404" s="85"/>
      <c r="AL1404" s="85"/>
      <c r="AM1404" s="85" t="str">
        <f>IFERROR(__xludf.DUMMYFUNCTION("""COMPUTED_VALUE"""),"KANTOR REGIONAL II JAKARTA 10004")</f>
        <v>KANTOR REGIONAL II JAKARTA 10004</v>
      </c>
      <c r="AN1404" s="85" t="str">
        <f>IFERROR(__xludf.DUMMYFUNCTION("""COMPUTED_VALUE"""),"KCU JAKARTAOCEANIA 11000")</f>
        <v>KCU JAKARTAOCEANIA 11000</v>
      </c>
      <c r="AO1404" s="85" t="str">
        <f>IFERROR(__xludf.DUMMYFUNCTION("""COMPUTED_VALUE"""),"2204220035333")</f>
        <v>2204220035333</v>
      </c>
      <c r="AP1404" s="85" t="str">
        <f>IFERROR(__xludf.DUMMYFUNCTION("""COMPUTED_VALUE"""),"2204220035333")</f>
        <v>2204220035333</v>
      </c>
      <c r="AQ1404" s="93" t="str">
        <f>IFERROR(__xludf.DUMMYFUNCTION("""COMPUTED_VALUE"""),"2870206057")</f>
        <v>2870206057</v>
      </c>
      <c r="AR1404" s="85" t="str">
        <f>IFERROR(__xludf.DUMMYFUNCTION("""COMPUTED_VALUE"""),"BCA")</f>
        <v>BCA</v>
      </c>
      <c r="AS1404" s="85" t="str">
        <f>IFERROR(__xludf.DUMMYFUNCTION("""COMPUTED_VALUE"""),"NINIT M")</f>
        <v>NINIT M</v>
      </c>
      <c r="AT1404" s="85" t="str">
        <f>IFERROR(__xludf.DUMMYFUNCTION("""COMPUTED_VALUE"""),"-6.1792327,106.7585038")</f>
        <v>-6.1792327,106.7585038</v>
      </c>
      <c r="AU1404" s="85" t="str">
        <f>IFERROR(__xludf.DUMMYFUNCTION("""COMPUTED_VALUE"""),"-6.1792327,106.7585038")</f>
        <v>-6.1792327,106.7585038</v>
      </c>
      <c r="AV1404" s="85"/>
      <c r="AW1404" s="85"/>
      <c r="AX1404" s="85"/>
      <c r="AY1404" s="85"/>
      <c r="AZ1404" s="85"/>
      <c r="BA1404" s="85"/>
      <c r="BB1404" s="85"/>
      <c r="BC1404" s="85"/>
      <c r="BD1404" s="85"/>
      <c r="BE1404" s="85"/>
      <c r="BF1404" s="85"/>
      <c r="BG1404" s="85"/>
      <c r="BH1404" s="85"/>
      <c r="BI1404" s="85"/>
      <c r="BJ1404" s="85"/>
      <c r="BK1404" s="85"/>
      <c r="BL1404" s="85"/>
      <c r="BM1404" s="85"/>
      <c r="BN1404" s="85"/>
      <c r="BO1404" s="85"/>
      <c r="BP1404" s="85"/>
      <c r="BQ1404" s="85"/>
      <c r="BR1404" s="85"/>
      <c r="BS1404" s="85"/>
      <c r="BT1404" s="85"/>
      <c r="BU1404" s="85"/>
      <c r="BV1404" s="85"/>
      <c r="BW1404" s="85"/>
      <c r="BX1404" s="85"/>
      <c r="BY1404" s="85"/>
      <c r="BZ1404" s="85"/>
      <c r="CA1404" s="85"/>
      <c r="CB1404" s="85"/>
      <c r="CC1404" s="85"/>
      <c r="CD1404" s="85"/>
      <c r="CE1404" s="85"/>
      <c r="CF1404" s="85"/>
      <c r="CG1404" s="85"/>
      <c r="CH1404" s="85"/>
      <c r="CI1404" s="85"/>
      <c r="CJ1404" s="85"/>
      <c r="CK1404" s="2"/>
    </row>
    <row r="1405" ht="12.75" customHeight="1">
      <c r="A1405" s="80">
        <f>IFERROR(__xludf.DUMMYFUNCTION("""COMPUTED_VALUE"""),1401.0)</f>
        <v>1401</v>
      </c>
      <c r="B1405" s="80"/>
      <c r="C1405" s="80"/>
      <c r="D1405" s="81">
        <f>IFERROR(__xludf.DUMMYFUNCTION("""COMPUTED_VALUE"""),46262.0)</f>
        <v>46262</v>
      </c>
      <c r="E1405" s="82"/>
      <c r="F1405" s="80"/>
      <c r="G1405" s="81"/>
      <c r="H1405" s="80"/>
      <c r="I1405" s="80"/>
      <c r="J1405" s="80"/>
      <c r="K1405" s="80"/>
      <c r="L1405" s="80"/>
      <c r="M1405" s="80"/>
      <c r="N1405" s="80"/>
      <c r="O1405" s="80"/>
      <c r="P1405" s="80" t="str">
        <f>IFERROR(__xludf.DUMMYFUNCTION("""COMPUTED_VALUE"""),"53BSPA17161JBNNK")</f>
        <v>53BSPA17161JBNNK</v>
      </c>
      <c r="Q1405" s="80" t="str">
        <f>IFERROR(__xludf.DUMMYFUNCTION("""COMPUTED_VALUE"""),"MUC KIOS PAKET")</f>
        <v>MUC KIOS PAKET</v>
      </c>
      <c r="R1405" s="80" t="str">
        <f>IFERROR(__xludf.DUMMYFUNCTION("""COMPUTED_VALUE"""),"MUC KIOS PAKET")</f>
        <v>MUC KIOS PAKET</v>
      </c>
      <c r="S1405" s="80" t="str">
        <f>IFERROR(__xludf.DUMMYFUNCTION("""COMPUTED_VALUE"""),"HERU ANDRIYANSAH")</f>
        <v>HERU ANDRIYANSAH</v>
      </c>
      <c r="T1405" s="80" t="str">
        <f>IFERROR(__xludf.DUMMYFUNCTION("""COMPUTED_VALUE"""),"SIDAMUKTI RT 04 RW 02, SUKAMAJU, CILODONG, DEPOK")</f>
        <v>SIDAMUKTI RT 04 RW 02, SUKAMAJU, CILODONG, DEPOK</v>
      </c>
      <c r="U1405" s="80" t="str">
        <f>IFERROR(__xludf.DUMMYFUNCTION("""COMPUTED_VALUE"""),"JL. Nangka Kp. Sindangkarsa RT 03 RW 01")</f>
        <v>JL. Nangka Kp. Sindangkarsa RT 03 RW 01</v>
      </c>
      <c r="V1405" s="80" t="str">
        <f>IFERROR(__xludf.DUMMYFUNCTION("""COMPUTED_VALUE"""),"RT 04  \ RW 02,")</f>
        <v>RT 04  \ RW 02,</v>
      </c>
      <c r="W1405" s="80" t="str">
        <f>IFERROR(__xludf.DUMMYFUNCTION("""COMPUTED_VALUE"""),"SUKAMAJU BARU")</f>
        <v>SUKAMAJU BARU</v>
      </c>
      <c r="X1405" s="80" t="str">
        <f>IFERROR(__xludf.DUMMYFUNCTION("""COMPUTED_VALUE"""),"TAPOS")</f>
        <v>TAPOS</v>
      </c>
      <c r="Y1405" s="80" t="str">
        <f>IFERROR(__xludf.DUMMYFUNCTION("""COMPUTED_VALUE"""),"DEPOK")</f>
        <v>DEPOK</v>
      </c>
      <c r="Z1405" s="80" t="str">
        <f>IFERROR(__xludf.DUMMYFUNCTION("""COMPUTED_VALUE"""),"JAWA BARAT")</f>
        <v>JAWA BARAT</v>
      </c>
      <c r="AA1405" s="80" t="str">
        <f>IFERROR(__xludf.DUMMYFUNCTION("""COMPUTED_VALUE"""),"16455")</f>
        <v>16455</v>
      </c>
      <c r="AB1405" s="80" t="str">
        <f>IFERROR(__xludf.DUMMYFUNCTION("""COMPUTED_VALUE"""),"3276020301880007")</f>
        <v>3276020301880007</v>
      </c>
      <c r="AC1405" s="80" t="str">
        <f>IFERROR(__xludf.DUMMYFUNCTION("""COMPUTED_VALUE"""),"81.303.609.2-412.000")</f>
        <v>81.303.609.2-412.000</v>
      </c>
      <c r="AD1405" s="80" t="str">
        <f>IFERROR(__xludf.DUMMYFUNCTION("""COMPUTED_VALUE"""),"CUM - NANIKA")</f>
        <v>CUM - NANIKA</v>
      </c>
      <c r="AE1405" s="80" t="str">
        <f>IFERROR(__xludf.DUMMYFUNCTION("""COMPUTED_VALUE"""),"CUM - NANIKA")</f>
        <v>CUM - NANIKA</v>
      </c>
      <c r="AF1405" s="80" t="str">
        <f>IFERROR(__xludf.DUMMYFUNCTION("""COMPUTED_VALUE"""),"085882451988")</f>
        <v>085882451988</v>
      </c>
      <c r="AG1405" s="80" t="str">
        <f>IFERROR(__xludf.DUMMYFUNCTION("""COMPUTED_VALUE"""),"085882451988")</f>
        <v>085882451988</v>
      </c>
      <c r="AH1405" s="80" t="str">
        <f>IFERROR(__xludf.DUMMYFUNCTION("""COMPUTED_VALUE"""),"kiospaketmandiri@gmail.com")</f>
        <v>kiospaketmandiri@gmail.com</v>
      </c>
      <c r="AI1405" s="80"/>
      <c r="AJ1405" s="80"/>
      <c r="AK1405" s="80"/>
      <c r="AL1405" s="80"/>
      <c r="AM1405" s="80" t="str">
        <f>IFERROR(__xludf.DUMMYFUNCTION("""COMPUTED_VALUE"""),"KANTOR REGIONAL II JAKARTA 10004")</f>
        <v>KANTOR REGIONAL II JAKARTA 10004</v>
      </c>
      <c r="AN1405" s="80" t="str">
        <f>IFERROR(__xludf.DUMMYFUNCTION("""COMPUTED_VALUE"""),"KC DEPOK 16400")</f>
        <v>KC DEPOK 16400</v>
      </c>
      <c r="AO1405" s="80" t="str">
        <f>IFERROR(__xludf.DUMMYFUNCTION("""COMPUTED_VALUE"""),"0712240000889")</f>
        <v>0712240000889</v>
      </c>
      <c r="AP1405" s="80" t="str">
        <f>IFERROR(__xludf.DUMMYFUNCTION("""COMPUTED_VALUE"""),"0712240000889")</f>
        <v>0712240000889</v>
      </c>
      <c r="AQ1405" s="83" t="str">
        <f>IFERROR(__xludf.DUMMYFUNCTION("""COMPUTED_VALUE"""),"6610832405")</f>
        <v>6610832405</v>
      </c>
      <c r="AR1405" s="80" t="str">
        <f>IFERROR(__xludf.DUMMYFUNCTION("""COMPUTED_VALUE"""),"BCA")</f>
        <v>BCA</v>
      </c>
      <c r="AS1405" s="80" t="str">
        <f>IFERROR(__xludf.DUMMYFUNCTION("""COMPUTED_VALUE"""),"HERU ANDRIYANSAH")</f>
        <v>HERU ANDRIYANSAH</v>
      </c>
      <c r="AT1405" s="80" t="str">
        <f>IFERROR(__xludf.DUMMYFUNCTION("""COMPUTED_VALUE"""),"-6.3981591,106.8651248")</f>
        <v>-6.3981591,106.8651248</v>
      </c>
      <c r="AU1405" s="80" t="str">
        <f>IFERROR(__xludf.DUMMYFUNCTION("""COMPUTED_VALUE"""),"-6.3981591,106.8651248")</f>
        <v>-6.3981591,106.8651248</v>
      </c>
      <c r="AV1405" s="80"/>
      <c r="AW1405" s="80"/>
      <c r="AX1405" s="80"/>
      <c r="AY1405" s="80"/>
      <c r="AZ1405" s="80"/>
      <c r="BA1405" s="80"/>
      <c r="BB1405" s="80"/>
      <c r="BC1405" s="80"/>
      <c r="BD1405" s="80"/>
      <c r="BE1405" s="80"/>
      <c r="BF1405" s="80"/>
      <c r="BG1405" s="80"/>
      <c r="BH1405" s="80"/>
      <c r="BI1405" s="80"/>
      <c r="BJ1405" s="80"/>
      <c r="BK1405" s="80"/>
      <c r="BL1405" s="80"/>
      <c r="BM1405" s="80"/>
      <c r="BN1405" s="80"/>
      <c r="BO1405" s="80"/>
      <c r="BP1405" s="80"/>
      <c r="BQ1405" s="80"/>
      <c r="BR1405" s="80"/>
      <c r="BS1405" s="80"/>
      <c r="BT1405" s="80"/>
      <c r="BU1405" s="80"/>
      <c r="BV1405" s="80"/>
      <c r="BW1405" s="80"/>
      <c r="BX1405" s="80"/>
      <c r="BY1405" s="80"/>
      <c r="BZ1405" s="80"/>
      <c r="CA1405" s="80"/>
      <c r="CB1405" s="80"/>
      <c r="CC1405" s="80"/>
      <c r="CD1405" s="80"/>
      <c r="CE1405" s="80"/>
      <c r="CF1405" s="80"/>
      <c r="CG1405" s="80"/>
      <c r="CH1405" s="80"/>
      <c r="CI1405" s="80"/>
      <c r="CJ1405" s="80"/>
      <c r="CK1405" s="2"/>
    </row>
    <row r="1406" ht="12.75" customHeight="1">
      <c r="A1406" s="85">
        <f>IFERROR(__xludf.DUMMYFUNCTION("""COMPUTED_VALUE"""),1402.0)</f>
        <v>1402</v>
      </c>
      <c r="B1406" s="85"/>
      <c r="C1406" s="85"/>
      <c r="D1406" s="86">
        <f>IFERROR(__xludf.DUMMYFUNCTION("""COMPUTED_VALUE"""),46262.0)</f>
        <v>46262</v>
      </c>
      <c r="E1406" s="88"/>
      <c r="F1406" s="85"/>
      <c r="G1406" s="86">
        <f>IFERROR(__xludf.DUMMYFUNCTION("""COMPUTED_VALUE"""),46275.0)</f>
        <v>46275</v>
      </c>
      <c r="H1406" s="85"/>
      <c r="I1406" s="85"/>
      <c r="J1406" s="85"/>
      <c r="K1406" s="85"/>
      <c r="L1406" s="85">
        <f>IFERROR(__xludf.DUMMYFUNCTION("""COMPUTED_VALUE"""),13.0)</f>
        <v>13</v>
      </c>
      <c r="M1406" s="85"/>
      <c r="N1406" s="85"/>
      <c r="O1406" s="85"/>
      <c r="P1406" s="85" t="str">
        <f>IFERROR(__xludf.DUMMYFUNCTION("""COMPUTED_VALUE"""),"MUCSPA70057PSUMK")</f>
        <v>MUCSPA70057PSUMK</v>
      </c>
      <c r="Q1406" s="85" t="str">
        <f>IFERROR(__xludf.DUMMYFUNCTION("""COMPUTED_VALUE"""),"MUC MASBRO")</f>
        <v>MUC MASBRO</v>
      </c>
      <c r="R1406" s="85" t="str">
        <f>IFERROR(__xludf.DUMMYFUNCTION("""COMPUTED_VALUE"""),"MUC MASBRO")</f>
        <v>MUC MASBRO</v>
      </c>
      <c r="S1406" s="85" t="str">
        <f>IFERROR(__xludf.DUMMYFUNCTION("""COMPUTED_VALUE"""),"ERRY SUDARNO")</f>
        <v>ERRY SUDARNO</v>
      </c>
      <c r="T1406" s="85" t="str">
        <f>IFERROR(__xludf.DUMMYFUNCTION("""COMPUTED_VALUE"""),"GUNUNGANYAR HARAPAN ZD / 18 RT 01 RW 05, GUNUNG ANYAR, GUNUNG ANYAR, SURABAYA")</f>
        <v>GUNUNGANYAR HARAPAN ZD / 18 RT 01 RW 05, GUNUNG ANYAR, GUNUNG ANYAR, SURABAYA</v>
      </c>
      <c r="U1406" s="85" t="str">
        <f>IFERROR(__xludf.DUMMYFUNCTION("""COMPUTED_VALUE"""),"JL. GUNUNG ANYAR HARAPAN BLOK ZD NO.18 RT 01 RW 05")</f>
        <v>JL. GUNUNG ANYAR HARAPAN BLOK ZD NO.18 RT 01 RW 05</v>
      </c>
      <c r="V1406" s="85" t="str">
        <f>IFERROR(__xludf.DUMMYFUNCTION("""COMPUTED_VALUE"""),"RT 01  \ RW 05,")</f>
        <v>RT 01  \ RW 05,</v>
      </c>
      <c r="W1406" s="85" t="str">
        <f>IFERROR(__xludf.DUMMYFUNCTION("""COMPUTED_VALUE"""),"GUNUNG ANYAR")</f>
        <v>GUNUNG ANYAR</v>
      </c>
      <c r="X1406" s="85" t="str">
        <f>IFERROR(__xludf.DUMMYFUNCTION("""COMPUTED_VALUE"""),"GUNUNG ANYAR")</f>
        <v>GUNUNG ANYAR</v>
      </c>
      <c r="Y1406" s="85" t="str">
        <f>IFERROR(__xludf.DUMMYFUNCTION("""COMPUTED_VALUE"""),"SURABAYA")</f>
        <v>SURABAYA</v>
      </c>
      <c r="Z1406" s="85" t="str">
        <f>IFERROR(__xludf.DUMMYFUNCTION("""COMPUTED_VALUE"""),"JAWA TIMUR")</f>
        <v>JAWA TIMUR</v>
      </c>
      <c r="AA1406" s="85" t="str">
        <f>IFERROR(__xludf.DUMMYFUNCTION("""COMPUTED_VALUE"""),"60294")</f>
        <v>60294</v>
      </c>
      <c r="AB1406" s="85" t="str">
        <f>IFERROR(__xludf.DUMMYFUNCTION("""COMPUTED_VALUE"""),"3578252105710003")</f>
        <v>3578252105710003</v>
      </c>
      <c r="AC1406" s="85" t="str">
        <f>IFERROR(__xludf.DUMMYFUNCTION("""COMPUTED_VALUE"""),"76.247.070.6-615.000")</f>
        <v>76.247.070.6-615.000</v>
      </c>
      <c r="AD1406" s="85" t="str">
        <f>IFERROR(__xludf.DUMMYFUNCTION("""COMPUTED_VALUE"""),"CUM - UMKMNK - ASEP")</f>
        <v>CUM - UMKMNK - ASEP</v>
      </c>
      <c r="AE1406" s="85" t="str">
        <f>IFERROR(__xludf.DUMMYFUNCTION("""COMPUTED_VALUE"""),"CUM - UMKMNK - ASEP")</f>
        <v>CUM - UMKMNK - ASEP</v>
      </c>
      <c r="AF1406" s="85" t="str">
        <f>IFERROR(__xludf.DUMMYFUNCTION("""COMPUTED_VALUE"""),"087858159473")</f>
        <v>087858159473</v>
      </c>
      <c r="AG1406" s="85" t="str">
        <f>IFERROR(__xludf.DUMMYFUNCTION("""COMPUTED_VALUE"""),"087858159473")</f>
        <v>087858159473</v>
      </c>
      <c r="AH1406" s="85" t="str">
        <f>IFERROR(__xludf.DUMMYFUNCTION("""COMPUTED_VALUE"""),"usahaku800@gmail.com")</f>
        <v>usahaku800@gmail.com</v>
      </c>
      <c r="AI1406" s="85" t="str">
        <f>IFERROR(__xludf.DUMMYFUNCTION("""COMPUTED_VALUE"""),"60294SC ")</f>
        <v>60294SC </v>
      </c>
      <c r="AJ1406" s="85" t="str">
        <f>IFERROR(__xludf.DUMMYFUNCTION("""COMPUTED_VALUE"""),"6aa11c6a90012781f404762c ")</f>
        <v>6aa11c6a90012781f404762c </v>
      </c>
      <c r="AK1406" s="85" t="str">
        <f>IFERROR(__xludf.DUMMYFUNCTION("""COMPUTED_VALUE"""),"usahaku800@gmail.com")</f>
        <v>usahaku800@gmail.com</v>
      </c>
      <c r="AL1406" s="85" t="str">
        <f>IFERROR(__xludf.DUMMYFUNCTION("""COMPUTED_VALUE"""),"#Muc60294SC$")</f>
        <v>#Muc60294SC$</v>
      </c>
      <c r="AM1406" s="85" t="str">
        <f>IFERROR(__xludf.DUMMYFUNCTION("""COMPUTED_VALUE"""),"KANTOR REGIONAL V SURABAYA 60004")</f>
        <v>KANTOR REGIONAL V SURABAYA 60004</v>
      </c>
      <c r="AN1406" s="85" t="str">
        <f>IFERROR(__xludf.DUMMYFUNCTION("""COMPUTED_VALUE"""),"KCU SURABAYA 60000")</f>
        <v>KCU SURABAYA 60000</v>
      </c>
      <c r="AO1406" s="85" t="str">
        <f>IFERROR(__xludf.DUMMYFUNCTION("""COMPUTED_VALUE"""),"2708260070621")</f>
        <v>2708260070621</v>
      </c>
      <c r="AP1406" s="85" t="str">
        <f>IFERROR(__xludf.DUMMYFUNCTION("""COMPUTED_VALUE"""),"2708260070621")</f>
        <v>2708260070621</v>
      </c>
      <c r="AQ1406" s="93" t="str">
        <f>IFERROR(__xludf.DUMMYFUNCTION("""COMPUTED_VALUE"""),"6752005563")</f>
        <v>6752005563</v>
      </c>
      <c r="AR1406" s="85" t="str">
        <f>IFERROR(__xludf.DUMMYFUNCTION("""COMPUTED_VALUE"""),"BCA")</f>
        <v>BCA</v>
      </c>
      <c r="AS1406" s="85" t="str">
        <f>IFERROR(__xludf.DUMMYFUNCTION("""COMPUTED_VALUE"""),"ERRY SUDARNO")</f>
        <v>ERRY SUDARNO</v>
      </c>
      <c r="AT1406" s="85" t="str">
        <f>IFERROR(__xludf.DUMMYFUNCTION("""COMPUTED_VALUE"""),"-7.3380037,112.7724293")</f>
        <v>-7.3380037,112.7724293</v>
      </c>
      <c r="AU1406" s="85" t="str">
        <f>IFERROR(__xludf.DUMMYFUNCTION("""COMPUTED_VALUE"""),"-7.3380037,112.7724293")</f>
        <v>-7.3380037,112.7724293</v>
      </c>
      <c r="AV1406" s="85"/>
      <c r="AW1406" s="85"/>
      <c r="AX1406" s="85"/>
      <c r="AY1406" s="85"/>
      <c r="AZ1406" s="85"/>
      <c r="BA1406" s="85"/>
      <c r="BB1406" s="85"/>
      <c r="BC1406" s="85"/>
      <c r="BD1406" s="85"/>
      <c r="BE1406" s="85"/>
      <c r="BF1406" s="85"/>
      <c r="BG1406" s="85"/>
      <c r="BH1406" s="85"/>
      <c r="BI1406" s="85"/>
      <c r="BJ1406" s="85"/>
      <c r="BK1406" s="85"/>
      <c r="BL1406" s="85"/>
      <c r="BM1406" s="85"/>
      <c r="BN1406" s="85"/>
      <c r="BO1406" s="85"/>
      <c r="BP1406" s="85"/>
      <c r="BQ1406" s="85"/>
      <c r="BR1406" s="85"/>
      <c r="BS1406" s="85"/>
      <c r="BT1406" s="85"/>
      <c r="BU1406" s="85"/>
      <c r="BV1406" s="85"/>
      <c r="BW1406" s="85"/>
      <c r="BX1406" s="85"/>
      <c r="BY1406" s="85"/>
      <c r="BZ1406" s="85"/>
      <c r="CA1406" s="85"/>
      <c r="CB1406" s="85"/>
      <c r="CC1406" s="85"/>
      <c r="CD1406" s="85"/>
      <c r="CE1406" s="85"/>
      <c r="CF1406" s="85"/>
      <c r="CG1406" s="85"/>
      <c r="CH1406" s="85"/>
      <c r="CI1406" s="85"/>
      <c r="CJ1406" s="85"/>
      <c r="CK1406" s="2"/>
    </row>
    <row r="1407" ht="12.75" customHeight="1">
      <c r="A1407" s="80">
        <f>IFERROR(__xludf.DUMMYFUNCTION("""COMPUTED_VALUE"""),1403.0)</f>
        <v>1403</v>
      </c>
      <c r="B1407" s="80"/>
      <c r="C1407" s="80"/>
      <c r="D1407" s="81">
        <f>IFERROR(__xludf.DUMMYFUNCTION("""COMPUTED_VALUE"""),46262.0)</f>
        <v>46262</v>
      </c>
      <c r="E1407" s="82"/>
      <c r="F1407" s="80"/>
      <c r="G1407" s="81"/>
      <c r="H1407" s="80"/>
      <c r="I1407" s="80"/>
      <c r="J1407" s="80"/>
      <c r="K1407" s="80"/>
      <c r="L1407" s="80"/>
      <c r="M1407" s="80"/>
      <c r="N1407" s="80"/>
      <c r="O1407" s="80"/>
      <c r="P1407" s="80" t="str">
        <f>IFERROR(__xludf.DUMMYFUNCTION("""COMPUTED_VALUE"""),"53BSPA17232JBEEN")</f>
        <v>53BSPA17232JBEEN</v>
      </c>
      <c r="Q1407" s="80" t="str">
        <f>IFERROR(__xludf.DUMMYFUNCTION("""COMPUTED_VALUE"""),"MUC MULTI SERVICE")</f>
        <v>MUC MULTI SERVICE</v>
      </c>
      <c r="R1407" s="80" t="str">
        <f>IFERROR(__xludf.DUMMYFUNCTION("""COMPUTED_VALUE"""),"MUC MULTI SERVICE")</f>
        <v>MUC MULTI SERVICE</v>
      </c>
      <c r="S1407" s="80" t="str">
        <f>IFERROR(__xludf.DUMMYFUNCTION("""COMPUTED_VALUE"""),"SWATARA TURNIA")</f>
        <v>SWATARA TURNIA</v>
      </c>
      <c r="T1407" s="80" t="str">
        <f>IFERROR(__xludf.DUMMYFUNCTION("""COMPUTED_VALUE"""),"TAMAN MODERN BLOK B2 NO.20A RT.004/RW.006 UJUNG MENTENG CAKUNG, JAKARTA TIMUR DKI JAKARTA")</f>
        <v>TAMAN MODERN BLOK B2 NO.20A RT.004/RW.006 UJUNG MENTENG CAKUNG, JAKARTA TIMUR DKI JAKARTA</v>
      </c>
      <c r="U1407" s="80" t="str">
        <f>IFERROR(__xludf.DUMMYFUNCTION("""COMPUTED_VALUE"""),"Jl.Delima Raya No.8B RT.01/RW.05 Kel.Malaka Sari Kec.Duren Sawit")</f>
        <v>Jl.Delima Raya No.8B RT.01/RW.05 Kel.Malaka Sari Kec.Duren Sawit</v>
      </c>
      <c r="V1407" s="80" t="str">
        <f>IFERROR(__xludf.DUMMYFUNCTION("""COMPUTED_VALUE"""),"RT.004 \ RW.006")</f>
        <v>RT.004 \ RW.006</v>
      </c>
      <c r="W1407" s="80" t="str">
        <f>IFERROR(__xludf.DUMMYFUNCTION("""COMPUTED_VALUE"""),"Malaka Sari")</f>
        <v>Malaka Sari</v>
      </c>
      <c r="X1407" s="80" t="str">
        <f>IFERROR(__xludf.DUMMYFUNCTION("""COMPUTED_VALUE"""),"Duren Sawit")</f>
        <v>Duren Sawit</v>
      </c>
      <c r="Y1407" s="80" t="str">
        <f>IFERROR(__xludf.DUMMYFUNCTION("""COMPUTED_VALUE"""),"Jakarta Timur")</f>
        <v>Jakarta Timur</v>
      </c>
      <c r="Z1407" s="80" t="str">
        <f>IFERROR(__xludf.DUMMYFUNCTION("""COMPUTED_VALUE"""),"DKI Jakarta")</f>
        <v>DKI Jakarta</v>
      </c>
      <c r="AA1407" s="80" t="str">
        <f>IFERROR(__xludf.DUMMYFUNCTION("""COMPUTED_VALUE"""),"13460")</f>
        <v>13460</v>
      </c>
      <c r="AB1407" s="80" t="str">
        <f>IFERROR(__xludf.DUMMYFUNCTION("""COMPUTED_VALUE"""),"3175032307680010")</f>
        <v>3175032307680010</v>
      </c>
      <c r="AC1407" s="80" t="str">
        <f>IFERROR(__xludf.DUMMYFUNCTION("""COMPUTED_VALUE"""),"28.416.099.1-002.000")</f>
        <v>28.416.099.1-002.000</v>
      </c>
      <c r="AD1407" s="80" t="str">
        <f>IFERROR(__xludf.DUMMYFUNCTION("""COMPUTED_VALUE"""),"CUM - EEN")</f>
        <v>CUM - EEN</v>
      </c>
      <c r="AE1407" s="80" t="str">
        <f>IFERROR(__xludf.DUMMYFUNCTION("""COMPUTED_VALUE"""),"CUM - EEN")</f>
        <v>CUM - EEN</v>
      </c>
      <c r="AF1407" s="80" t="str">
        <f>IFERROR(__xludf.DUMMYFUNCTION("""COMPUTED_VALUE"""),"08161944685")</f>
        <v>08161944685</v>
      </c>
      <c r="AG1407" s="80" t="str">
        <f>IFERROR(__xludf.DUMMYFUNCTION("""COMPUTED_VALUE"""),"08161944685")</f>
        <v>08161944685</v>
      </c>
      <c r="AH1407" s="80" t="str">
        <f>IFERROR(__xludf.DUMMYFUNCTION("""COMPUTED_VALUE"""),"mitrawaw1081@gmail.com")</f>
        <v>mitrawaw1081@gmail.com</v>
      </c>
      <c r="AI1407" s="80"/>
      <c r="AJ1407" s="80"/>
      <c r="AK1407" s="80"/>
      <c r="AL1407" s="80"/>
      <c r="AM1407" s="80" t="str">
        <f>IFERROR(__xludf.DUMMYFUNCTION("""COMPUTED_VALUE"""),"KANTOR REGIONAL II JAKARTA 10004")</f>
        <v>KANTOR REGIONAL II JAKARTA 10004</v>
      </c>
      <c r="AN1407" s="80" t="str">
        <f>IFERROR(__xludf.DUMMYFUNCTION("""COMPUTED_VALUE"""),"KCU JAKARTAPREMIER 13000")</f>
        <v>KCU JAKARTAPREMIER 13000</v>
      </c>
      <c r="AO1407" s="80" t="str">
        <f>IFERROR(__xludf.DUMMYFUNCTION("""COMPUTED_VALUE"""),"2708260032944")</f>
        <v>2708260032944</v>
      </c>
      <c r="AP1407" s="80" t="str">
        <f>IFERROR(__xludf.DUMMYFUNCTION("""COMPUTED_VALUE"""),"2708260032944")</f>
        <v>2708260032944</v>
      </c>
      <c r="AQ1407" s="83" t="str">
        <f>IFERROR(__xludf.DUMMYFUNCTION("""COMPUTED_VALUE"""),"0050326802")</f>
        <v>0050326802</v>
      </c>
      <c r="AR1407" s="80" t="str">
        <f>IFERROR(__xludf.DUMMYFUNCTION("""COMPUTED_VALUE"""),"BCA")</f>
        <v>BCA</v>
      </c>
      <c r="AS1407" s="80" t="str">
        <f>IFERROR(__xludf.DUMMYFUNCTION("""COMPUTED_VALUE"""),"SWATARA TURNIA")</f>
        <v>SWATARA TURNIA</v>
      </c>
      <c r="AT1407" s="80" t="str">
        <f>IFERROR(__xludf.DUMMYFUNCTION("""COMPUTED_VALUE"""),"-6.2209892,106.9239932")</f>
        <v>-6.2209892,106.9239932</v>
      </c>
      <c r="AU1407" s="80" t="str">
        <f>IFERROR(__xludf.DUMMYFUNCTION("""COMPUTED_VALUE"""),"-6.2209892,106.9239932")</f>
        <v>-6.2209892,106.9239932</v>
      </c>
      <c r="AV1407" s="80"/>
      <c r="AW1407" s="80"/>
      <c r="AX1407" s="80"/>
      <c r="AY1407" s="80"/>
      <c r="AZ1407" s="80"/>
      <c r="BA1407" s="80"/>
      <c r="BB1407" s="80"/>
      <c r="BC1407" s="80"/>
      <c r="BD1407" s="80"/>
      <c r="BE1407" s="80"/>
      <c r="BF1407" s="80"/>
      <c r="BG1407" s="80"/>
      <c r="BH1407" s="80"/>
      <c r="BI1407" s="80"/>
      <c r="BJ1407" s="80"/>
      <c r="BK1407" s="80"/>
      <c r="BL1407" s="80"/>
      <c r="BM1407" s="80"/>
      <c r="BN1407" s="80"/>
      <c r="BO1407" s="80"/>
      <c r="BP1407" s="80"/>
      <c r="BQ1407" s="80"/>
      <c r="BR1407" s="80"/>
      <c r="BS1407" s="80"/>
      <c r="BT1407" s="80"/>
      <c r="BU1407" s="80"/>
      <c r="BV1407" s="80"/>
      <c r="BW1407" s="80"/>
      <c r="BX1407" s="80"/>
      <c r="BY1407" s="80"/>
      <c r="BZ1407" s="80"/>
      <c r="CA1407" s="80"/>
      <c r="CB1407" s="80"/>
      <c r="CC1407" s="80"/>
      <c r="CD1407" s="80"/>
      <c r="CE1407" s="80"/>
      <c r="CF1407" s="80"/>
      <c r="CG1407" s="80"/>
      <c r="CH1407" s="80"/>
      <c r="CI1407" s="80"/>
      <c r="CJ1407" s="80"/>
      <c r="CK1407" s="2"/>
    </row>
    <row r="1408" ht="12.75" customHeight="1">
      <c r="A1408" s="85">
        <f>IFERROR(__xludf.DUMMYFUNCTION("""COMPUTED_VALUE"""),1404.0)</f>
        <v>1404</v>
      </c>
      <c r="B1408" s="85"/>
      <c r="C1408" s="85"/>
      <c r="D1408" s="86">
        <f>IFERROR(__xludf.DUMMYFUNCTION("""COMPUTED_VALUE"""),46262.0)</f>
        <v>46262</v>
      </c>
      <c r="E1408" s="88"/>
      <c r="F1408" s="85"/>
      <c r="G1408" s="86">
        <f>IFERROR(__xludf.DUMMYFUNCTION("""COMPUTED_VALUE"""),46281.0)</f>
        <v>46281</v>
      </c>
      <c r="H1408" s="85"/>
      <c r="I1408" s="85"/>
      <c r="J1408" s="85"/>
      <c r="K1408" s="85"/>
      <c r="L1408" s="85">
        <f>IFERROR(__xludf.DUMMYFUNCTION("""COMPUTED_VALUE"""),19.0)</f>
        <v>19</v>
      </c>
      <c r="M1408" s="85"/>
      <c r="N1408" s="85"/>
      <c r="O1408" s="85"/>
      <c r="P1408" s="85" t="str">
        <f>IFERROR(__xludf.DUMMYFUNCTION("""COMPUTED_VALUE"""),"MUCSPA70114PSAAK")</f>
        <v>MUCSPA70114PSAAK</v>
      </c>
      <c r="Q1408" s="85" t="str">
        <f>IFERROR(__xludf.DUMMYFUNCTION("""COMPUTED_VALUE"""),"MUC PANGSOR EXPRESS")</f>
        <v>MUC PANGSOR EXPRESS</v>
      </c>
      <c r="R1408" s="85" t="str">
        <f>IFERROR(__xludf.DUMMYFUNCTION("""COMPUTED_VALUE"""),"MUC PANGSOR EXPRESS")</f>
        <v>MUC PANGSOR EXPRESS</v>
      </c>
      <c r="S1408" s="85" t="str">
        <f>IFERROR(__xludf.DUMMYFUNCTION("""COMPUTED_VALUE"""),"NANO SUMARSONO")</f>
        <v>NANO SUMARSONO</v>
      </c>
      <c r="T1408" s="85" t="str">
        <f>IFERROR(__xludf.DUMMYFUNCTION("""COMPUTED_VALUE"""),"DUSUN PANGSOR RT.002/003 SUKADANA CIMANGGUNG KABUPATEN SUMEDANG JAWA BARAT")</f>
        <v>DUSUN PANGSOR RT.002/003 SUKADANA CIMANGGUNG KABUPATEN SUMEDANG JAWA BARAT</v>
      </c>
      <c r="U1408" s="85" t="str">
        <f>IFERROR(__xludf.DUMMYFUNCTION("""COMPUTED_VALUE"""),"Jl. Nasional III No.128 Kp.Pangsor RT 02 RW 03 Sukadana")</f>
        <v>Jl. Nasional III No.128 Kp.Pangsor RT 02 RW 03 Sukadana</v>
      </c>
      <c r="V1408" s="85"/>
      <c r="W1408" s="85" t="str">
        <f>IFERROR(__xludf.DUMMYFUNCTION("""COMPUTED_VALUE"""),"Sukadana")</f>
        <v>Sukadana</v>
      </c>
      <c r="X1408" s="85" t="str">
        <f>IFERROR(__xludf.DUMMYFUNCTION("""COMPUTED_VALUE"""),"Cimanggung")</f>
        <v>Cimanggung</v>
      </c>
      <c r="Y1408" s="85" t="str">
        <f>IFERROR(__xludf.DUMMYFUNCTION("""COMPUTED_VALUE"""),"Kab. Sumedang")</f>
        <v>Kab. Sumedang</v>
      </c>
      <c r="Z1408" s="85" t="str">
        <f>IFERROR(__xludf.DUMMYFUNCTION("""COMPUTED_VALUE"""),"Jawa Barat")</f>
        <v>Jawa Barat</v>
      </c>
      <c r="AA1408" s="85" t="str">
        <f>IFERROR(__xludf.DUMMYFUNCTION("""COMPUTED_VALUE"""),"45364")</f>
        <v>45364</v>
      </c>
      <c r="AB1408" s="85" t="str">
        <f>IFERROR(__xludf.DUMMYFUNCTION("""COMPUTED_VALUE"""),"3211141908760005")</f>
        <v>3211141908760005</v>
      </c>
      <c r="AC1408" s="85" t="str">
        <f>IFERROR(__xludf.DUMMYFUNCTION("""COMPUTED_VALUE"""),"24.005.366.0-446.000")</f>
        <v>24.005.366.0-446.000</v>
      </c>
      <c r="AD1408" s="85" t="str">
        <f>IFERROR(__xludf.DUMMYFUNCTION("""COMPUTED_VALUE"""),"CUM - LP - ANGGI")</f>
        <v>CUM - LP - ANGGI</v>
      </c>
      <c r="AE1408" s="85" t="str">
        <f>IFERROR(__xludf.DUMMYFUNCTION("""COMPUTED_VALUE"""),"CUM - LP - ANGGI")</f>
        <v>CUM - LP - ANGGI</v>
      </c>
      <c r="AF1408" s="85" t="str">
        <f>IFERROR(__xludf.DUMMYFUNCTION("""COMPUTED_VALUE"""),"081573821207")</f>
        <v>081573821207</v>
      </c>
      <c r="AG1408" s="85" t="str">
        <f>IFERROR(__xludf.DUMMYFUNCTION("""COMPUTED_VALUE"""),"081573821207")</f>
        <v>081573821207</v>
      </c>
      <c r="AH1408" s="85" t="str">
        <f>IFERROR(__xludf.DUMMYFUNCTION("""COMPUTED_VALUE"""),"sumarsono.babyshop@gmail.com")</f>
        <v>sumarsono.babyshop@gmail.com</v>
      </c>
      <c r="AI1408" s="85" t="str">
        <f>IFERROR(__xludf.DUMMYFUNCTION("""COMPUTED_VALUE"""),"45364S2 ")</f>
        <v>45364S2 </v>
      </c>
      <c r="AJ1408" s="85" t="str">
        <f>IFERROR(__xludf.DUMMYFUNCTION("""COMPUTED_VALUE"""),"6aaa17dc7223aa714a063402 ")</f>
        <v>6aaa17dc7223aa714a063402 </v>
      </c>
      <c r="AK1408" s="85" t="str">
        <f>IFERROR(__xludf.DUMMYFUNCTION("""COMPUTED_VALUE"""),"sumarsono.babyshop@gmail.com")</f>
        <v>sumarsono.babyshop@gmail.com</v>
      </c>
      <c r="AL1408" s="85" t="str">
        <f>IFERROR(__xludf.DUMMYFUNCTION("""COMPUTED_VALUE"""),"#Muc45364S2$")</f>
        <v>#Muc45364S2$</v>
      </c>
      <c r="AM1408" s="85" t="str">
        <f>IFERROR(__xludf.DUMMYFUNCTION("""COMPUTED_VALUE"""),"KANTOR REGIONAL III BANDUNG 40004")</f>
        <v>KANTOR REGIONAL III BANDUNG 40004</v>
      </c>
      <c r="AN1408" s="85" t="str">
        <f>IFERROR(__xludf.DUMMYFUNCTION("""COMPUTED_VALUE"""),"KC SUMEDANG 45300")</f>
        <v>KC SUMEDANG 45300</v>
      </c>
      <c r="AO1408" s="85" t="str">
        <f>IFERROR(__xludf.DUMMYFUNCTION("""COMPUTED_VALUE"""),"3001260110334")</f>
        <v>3001260110334</v>
      </c>
      <c r="AP1408" s="85" t="str">
        <f>IFERROR(__xludf.DUMMYFUNCTION("""COMPUTED_VALUE"""),"3001260110334")</f>
        <v>3001260110334</v>
      </c>
      <c r="AQ1408" s="93" t="str">
        <f>IFERROR(__xludf.DUMMYFUNCTION("""COMPUTED_VALUE"""),"0008163208")</f>
        <v>0008163208</v>
      </c>
      <c r="AR1408" s="85" t="str">
        <f>IFERROR(__xludf.DUMMYFUNCTION("""COMPUTED_VALUE"""),"SINAR MAS")</f>
        <v>SINAR MAS</v>
      </c>
      <c r="AS1408" s="85" t="str">
        <f>IFERROR(__xludf.DUMMYFUNCTION("""COMPUTED_VALUE"""),"NANO SUMARSONO")</f>
        <v>NANO SUMARSONO</v>
      </c>
      <c r="AT1408" s="85" t="str">
        <f>IFERROR(__xludf.DUMMYFUNCTION("""COMPUTED_VALUE"""),"-6.9658801,107.8084896")</f>
        <v>-6.9658801,107.8084896</v>
      </c>
      <c r="AU1408" s="85" t="str">
        <f>IFERROR(__xludf.DUMMYFUNCTION("""COMPUTED_VALUE"""),"-6.9658801,107.8084896")</f>
        <v>-6.9658801,107.8084896</v>
      </c>
      <c r="AV1408" s="85"/>
      <c r="AW1408" s="85"/>
      <c r="AX1408" s="85"/>
      <c r="AY1408" s="85"/>
      <c r="AZ1408" s="85"/>
      <c r="BA1408" s="85"/>
      <c r="BB1408" s="85"/>
      <c r="BC1408" s="85"/>
      <c r="BD1408" s="85"/>
      <c r="BE1408" s="85"/>
      <c r="BF1408" s="85"/>
      <c r="BG1408" s="85"/>
      <c r="BH1408" s="85"/>
      <c r="BI1408" s="85"/>
      <c r="BJ1408" s="85"/>
      <c r="BK1408" s="85"/>
      <c r="BL1408" s="85"/>
      <c r="BM1408" s="85"/>
      <c r="BN1408" s="85"/>
      <c r="BO1408" s="85"/>
      <c r="BP1408" s="85"/>
      <c r="BQ1408" s="85"/>
      <c r="BR1408" s="85"/>
      <c r="BS1408" s="85"/>
      <c r="BT1408" s="85"/>
      <c r="BU1408" s="85"/>
      <c r="BV1408" s="85"/>
      <c r="BW1408" s="85"/>
      <c r="BX1408" s="85"/>
      <c r="BY1408" s="85"/>
      <c r="BZ1408" s="85"/>
      <c r="CA1408" s="85"/>
      <c r="CB1408" s="85"/>
      <c r="CC1408" s="85"/>
      <c r="CD1408" s="85"/>
      <c r="CE1408" s="85"/>
      <c r="CF1408" s="85"/>
      <c r="CG1408" s="85"/>
      <c r="CH1408" s="85"/>
      <c r="CI1408" s="85"/>
      <c r="CJ1408" s="85"/>
      <c r="CK1408" s="2"/>
    </row>
    <row r="1409" ht="12.75" customHeight="1">
      <c r="A1409" s="80">
        <f>IFERROR(__xludf.DUMMYFUNCTION("""COMPUTED_VALUE"""),1405.0)</f>
        <v>1405</v>
      </c>
      <c r="B1409" s="80"/>
      <c r="C1409" s="80"/>
      <c r="D1409" s="81">
        <f>IFERROR(__xludf.DUMMYFUNCTION("""COMPUTED_VALUE"""),46262.0)</f>
        <v>46262</v>
      </c>
      <c r="E1409" s="82"/>
      <c r="F1409" s="80"/>
      <c r="G1409" s="81">
        <f>IFERROR(__xludf.DUMMYFUNCTION("""COMPUTED_VALUE"""),46268.0)</f>
        <v>46268</v>
      </c>
      <c r="H1409" s="80"/>
      <c r="I1409" s="80"/>
      <c r="J1409" s="80"/>
      <c r="K1409" s="80"/>
      <c r="L1409" s="80">
        <f>IFERROR(__xludf.DUMMYFUNCTION("""COMPUTED_VALUE"""),6.0)</f>
        <v>6</v>
      </c>
      <c r="M1409" s="80"/>
      <c r="N1409" s="80"/>
      <c r="O1409" s="80"/>
      <c r="P1409" s="80" t="str">
        <f>IFERROR(__xludf.DUMMYFUNCTION("""COMPUTED_VALUE"""),"MUCSPA63666PSIND")</f>
        <v>MUCSPA63666PSIND</v>
      </c>
      <c r="Q1409" s="80" t="str">
        <f>IFERROR(__xludf.DUMMYFUNCTION("""COMPUTED_VALUE"""),"MUC Pokus P3RI")</f>
        <v>MUC Pokus P3RI</v>
      </c>
      <c r="R1409" s="80" t="str">
        <f>IFERROR(__xludf.DUMMYFUNCTION("""COMPUTED_VALUE"""),"MUC Pokus P3RI")</f>
        <v>MUC Pokus P3RI</v>
      </c>
      <c r="S1409" s="80" t="str">
        <f>IFERROR(__xludf.DUMMYFUNCTION("""COMPUTED_VALUE"""),"IR. ACHMAD SRIYONO")</f>
        <v>IR. ACHMAD SRIYONO</v>
      </c>
      <c r="T1409" s="80" t="str">
        <f>IFERROR(__xludf.DUMMYFUNCTION("""COMPUTED_VALUE"""),"JL. B.RAFLESIA V NO.85 RT.007 PERUMNAS WAY KANDIS TANJUNG SENANG, KOTA BANDAR LAMPUNG LAMPUNG")</f>
        <v>JL. B.RAFLESIA V NO.85 RT.007 PERUMNAS WAY KANDIS TANJUNG SENANG, KOTA BANDAR LAMPUNG LAMPUNG</v>
      </c>
      <c r="U1409" s="80" t="str">
        <f>IFERROR(__xludf.DUMMYFUNCTION("""COMPUTED_VALUE"""),"Jl. Teuku Umar no 300, Kedaton Bandar Lampung")</f>
        <v>Jl. Teuku Umar no 300, Kedaton Bandar Lampung</v>
      </c>
      <c r="V1409" s="80"/>
      <c r="W1409" s="80" t="str">
        <f>IFERROR(__xludf.DUMMYFUNCTION("""COMPUTED_VALUE"""),"Kedaton")</f>
        <v>Kedaton</v>
      </c>
      <c r="X1409" s="80" t="str">
        <f>IFERROR(__xludf.DUMMYFUNCTION("""COMPUTED_VALUE"""),"Kedaton")</f>
        <v>Kedaton</v>
      </c>
      <c r="Y1409" s="80" t="str">
        <f>IFERROR(__xludf.DUMMYFUNCTION("""COMPUTED_VALUE"""),"Bandar Lampung")</f>
        <v>Bandar Lampung</v>
      </c>
      <c r="Z1409" s="80" t="str">
        <f>IFERROR(__xludf.DUMMYFUNCTION("""COMPUTED_VALUE"""),"Lampung")</f>
        <v>Lampung</v>
      </c>
      <c r="AA1409" s="80" t="str">
        <f>IFERROR(__xludf.DUMMYFUNCTION("""COMPUTED_VALUE"""),"35149")</f>
        <v>35149</v>
      </c>
      <c r="AB1409" s="80" t="str">
        <f>IFERROR(__xludf.DUMMYFUNCTION("""COMPUTED_VALUE"""),"1871110604550003")</f>
        <v>1871110604550003</v>
      </c>
      <c r="AC1409" s="80" t="str">
        <f>IFERROR(__xludf.DUMMYFUNCTION("""COMPUTED_VALUE"""),"15.312.144.7-323.000")</f>
        <v>15.312.144.7-323.000</v>
      </c>
      <c r="AD1409" s="80" t="str">
        <f>IFERROR(__xludf.DUMMYFUNCTION("""COMPUTED_VALUE"""),"PTPN (NON KORGEN)")</f>
        <v>PTPN (NON KORGEN)</v>
      </c>
      <c r="AE1409" s="80" t="str">
        <f>IFERROR(__xludf.DUMMYFUNCTION("""COMPUTED_VALUE"""),"PTPN (NON KORGEN)")</f>
        <v>PTPN (NON KORGEN)</v>
      </c>
      <c r="AF1409" s="80" t="str">
        <f>IFERROR(__xludf.DUMMYFUNCTION("""COMPUTED_VALUE"""),"085136117626")</f>
        <v>085136117626</v>
      </c>
      <c r="AG1409" s="80" t="str">
        <f>IFERROR(__xludf.DUMMYFUNCTION("""COMPUTED_VALUE"""),"085136117626")</f>
        <v>085136117626</v>
      </c>
      <c r="AH1409" s="80" t="str">
        <f>IFERROR(__xludf.DUMMYFUNCTION("""COMPUTED_VALUE"""),"achmadsriyono7@gmail.com")</f>
        <v>achmadsriyono7@gmail.com</v>
      </c>
      <c r="AI1409" s="80" t="str">
        <f>IFERROR(__xludf.DUMMYFUNCTION("""COMPUTED_VALUE"""),"35149S1")</f>
        <v>35149S1</v>
      </c>
      <c r="AJ1409" s="80" t="str">
        <f>IFERROR(__xludf.DUMMYFUNCTION("""COMPUTED_VALUE"""),"6a98e643e3d020ff2202602b")</f>
        <v>6a98e643e3d020ff2202602b</v>
      </c>
      <c r="AK1409" s="80" t="str">
        <f>IFERROR(__xludf.DUMMYFUNCTION("""COMPUTED_VALUE"""),"achmadsriyono7@gmail.com")</f>
        <v>achmadsriyono7@gmail.com</v>
      </c>
      <c r="AL1409" s="80" t="str">
        <f>IFERROR(__xludf.DUMMYFUNCTION("""COMPUTED_VALUE"""),"#Muc35149S1$")</f>
        <v>#Muc35149S1$</v>
      </c>
      <c r="AM1409" s="80" t="str">
        <f>IFERROR(__xludf.DUMMYFUNCTION("""COMPUTED_VALUE"""),"KANTOR REGIONAL I MEDAN 20004")</f>
        <v>KANTOR REGIONAL I MEDAN 20004</v>
      </c>
      <c r="AN1409" s="80" t="str">
        <f>IFERROR(__xludf.DUMMYFUNCTION("""COMPUTED_VALUE"""),"KCU BANDARLAMPUNG 35000")</f>
        <v>KCU BANDARLAMPUNG 35000</v>
      </c>
      <c r="AO1409" s="80" t="str">
        <f>IFERROR(__xludf.DUMMYFUNCTION("""COMPUTED_VALUE"""),"2608260065174")</f>
        <v>2608260065174</v>
      </c>
      <c r="AP1409" s="80" t="str">
        <f>IFERROR(__xludf.DUMMYFUNCTION("""COMPUTED_VALUE"""),"2608260065174")</f>
        <v>2608260065174</v>
      </c>
      <c r="AQ1409" s="83" t="str">
        <f>IFERROR(__xludf.DUMMYFUNCTION("""COMPUTED_VALUE"""),"401061355")</f>
        <v>401061355</v>
      </c>
      <c r="AR1409" s="80" t="str">
        <f>IFERROR(__xludf.DUMMYFUNCTION("""COMPUTED_VALUE"""),"BNI")</f>
        <v>BNI</v>
      </c>
      <c r="AS1409" s="80" t="str">
        <f>IFERROR(__xludf.DUMMYFUNCTION("""COMPUTED_VALUE"""),"ACHMAD SRIYONO")</f>
        <v>ACHMAD SRIYONO</v>
      </c>
      <c r="AT1409" s="80" t="str">
        <f>IFERROR(__xludf.DUMMYFUNCTION("""COMPUTED_VALUE"""),"-5.3844924,105.2617489")</f>
        <v>-5.3844924,105.2617489</v>
      </c>
      <c r="AU1409" s="80" t="str">
        <f>IFERROR(__xludf.DUMMYFUNCTION("""COMPUTED_VALUE"""),"-5.3844924,105.2617489")</f>
        <v>-5.3844924,105.2617489</v>
      </c>
      <c r="AV1409" s="80"/>
      <c r="AW1409" s="80"/>
      <c r="AX1409" s="80"/>
      <c r="AY1409" s="80"/>
      <c r="AZ1409" s="80"/>
      <c r="BA1409" s="80"/>
      <c r="BB1409" s="80"/>
      <c r="BC1409" s="80"/>
      <c r="BD1409" s="80"/>
      <c r="BE1409" s="80"/>
      <c r="BF1409" s="80"/>
      <c r="BG1409" s="80"/>
      <c r="BH1409" s="80"/>
      <c r="BI1409" s="80"/>
      <c r="BJ1409" s="80"/>
      <c r="BK1409" s="80"/>
      <c r="BL1409" s="80"/>
      <c r="BM1409" s="80"/>
      <c r="BN1409" s="80"/>
      <c r="BO1409" s="80"/>
      <c r="BP1409" s="80"/>
      <c r="BQ1409" s="80"/>
      <c r="BR1409" s="80"/>
      <c r="BS1409" s="80"/>
      <c r="BT1409" s="80"/>
      <c r="BU1409" s="80"/>
      <c r="BV1409" s="80"/>
      <c r="BW1409" s="80"/>
      <c r="BX1409" s="80"/>
      <c r="BY1409" s="80"/>
      <c r="BZ1409" s="80"/>
      <c r="CA1409" s="80"/>
      <c r="CB1409" s="80"/>
      <c r="CC1409" s="80"/>
      <c r="CD1409" s="80"/>
      <c r="CE1409" s="80"/>
      <c r="CF1409" s="80"/>
      <c r="CG1409" s="80"/>
      <c r="CH1409" s="80"/>
      <c r="CI1409" s="80"/>
      <c r="CJ1409" s="80"/>
      <c r="CK1409" s="2"/>
    </row>
    <row r="1410" ht="12.75" customHeight="1">
      <c r="A1410" s="85">
        <f>IFERROR(__xludf.DUMMYFUNCTION("""COMPUTED_VALUE"""),1406.0)</f>
        <v>1406</v>
      </c>
      <c r="B1410" s="85"/>
      <c r="C1410" s="85"/>
      <c r="D1410" s="86">
        <f>IFERROR(__xludf.DUMMYFUNCTION("""COMPUTED_VALUE"""),46262.0)</f>
        <v>46262</v>
      </c>
      <c r="E1410" s="88"/>
      <c r="F1410" s="85"/>
      <c r="G1410" s="86"/>
      <c r="H1410" s="85"/>
      <c r="I1410" s="85"/>
      <c r="J1410" s="85"/>
      <c r="K1410" s="85"/>
      <c r="L1410" s="85"/>
      <c r="M1410" s="85"/>
      <c r="N1410" s="85"/>
      <c r="O1410" s="85"/>
      <c r="P1410" s="85" t="str">
        <f>IFERROR(__xludf.DUMMYFUNCTION("""COMPUTED_VALUE"""),"MUC70151UMKMTSK1")</f>
        <v>MUC70151UMKMTSK1</v>
      </c>
      <c r="Q1410" s="85" t="str">
        <f>IFERROR(__xludf.DUMMYFUNCTION("""COMPUTED_VALUE"""),"MUC Pricylla Mitra Barkakot")</f>
        <v>MUC Pricylla Mitra Barkakot</v>
      </c>
      <c r="R1410" s="85" t="str">
        <f>IFERROR(__xludf.DUMMYFUNCTION("""COMPUTED_VALUE"""),"MUC Pricylla Mitra Barkakot")</f>
        <v>MUC Pricylla Mitra Barkakot</v>
      </c>
      <c r="S1410" s="85" t="str">
        <f>IFERROR(__xludf.DUMMYFUNCTION("""COMPUTED_VALUE"""),"CITRA NOVIA DERMAWAN,S.Pd.")</f>
        <v>CITRA NOVIA DERMAWAN,S.Pd.</v>
      </c>
      <c r="T1410" s="85" t="str">
        <f>IFERROR(__xludf.DUMMYFUNCTION("""COMPUTED_VALUE"""),"CIHARASHAS RT.003/RW.008 SUMELAP TAMANSARI KOTA TASIKMALAYA JAWA BARAT")</f>
        <v>CIHARASHAS RT.003/RW.008 SUMELAP TAMANSARI KOTA TASIKMALAYA JAWA BARAT</v>
      </c>
      <c r="U1410" s="85" t="str">
        <f>IFERROR(__xludf.DUMMYFUNCTION("""COMPUTED_VALUE"""),"Ciharashas RT.03/RW.08 Jl. Perum Kotabaru, Sumelap, Kec. Tamansari")</f>
        <v>Ciharashas RT.03/RW.08 Jl. Perum Kotabaru, Sumelap, Kec. Tamansari</v>
      </c>
      <c r="V1410" s="85" t="str">
        <f>IFERROR(__xludf.DUMMYFUNCTION("""COMPUTED_VALUE"""),"RT.003 \ RW.008")</f>
        <v>RT.003 \ RW.008</v>
      </c>
      <c r="W1410" s="85" t="str">
        <f>IFERROR(__xludf.DUMMYFUNCTION("""COMPUTED_VALUE"""),"Sumelap")</f>
        <v>Sumelap</v>
      </c>
      <c r="X1410" s="85" t="str">
        <f>IFERROR(__xludf.DUMMYFUNCTION("""COMPUTED_VALUE"""),"Tamansari")</f>
        <v>Tamansari</v>
      </c>
      <c r="Y1410" s="85" t="str">
        <f>IFERROR(__xludf.DUMMYFUNCTION("""COMPUTED_VALUE"""),"Tasikmalaya")</f>
        <v>Tasikmalaya</v>
      </c>
      <c r="Z1410" s="85" t="str">
        <f>IFERROR(__xludf.DUMMYFUNCTION("""COMPUTED_VALUE"""),"Jawa Barat")</f>
        <v>Jawa Barat</v>
      </c>
      <c r="AA1410" s="85" t="str">
        <f>IFERROR(__xludf.DUMMYFUNCTION("""COMPUTED_VALUE"""),"46191")</f>
        <v>46191</v>
      </c>
      <c r="AB1410" s="85" t="str">
        <f>IFERROR(__xludf.DUMMYFUNCTION("""COMPUTED_VALUE"""),"3205196811900001")</f>
        <v>3205196811900001</v>
      </c>
      <c r="AC1410" s="85" t="str">
        <f>IFERROR(__xludf.DUMMYFUNCTION("""COMPUTED_VALUE"""),"82.734.956.4-442.000")</f>
        <v>82.734.956.4-442.000</v>
      </c>
      <c r="AD1410" s="85" t="str">
        <f>IFERROR(__xludf.DUMMYFUNCTION("""COMPUTED_VALUE"""),"CUM - UNK - INTAN")</f>
        <v>CUM - UNK - INTAN</v>
      </c>
      <c r="AE1410" s="85" t="str">
        <f>IFERROR(__xludf.DUMMYFUNCTION("""COMPUTED_VALUE"""),"CUM - UNK - INTAN")</f>
        <v>CUM - UNK - INTAN</v>
      </c>
      <c r="AF1410" s="85" t="str">
        <f>IFERROR(__xludf.DUMMYFUNCTION("""COMPUTED_VALUE"""),"085352012427")</f>
        <v>085352012427</v>
      </c>
      <c r="AG1410" s="85" t="str">
        <f>IFERROR(__xludf.DUMMYFUNCTION("""COMPUTED_VALUE"""),"085352012427")</f>
        <v>085352012427</v>
      </c>
      <c r="AH1410" s="85" t="str">
        <f>IFERROR(__xludf.DUMMYFUNCTION("""COMPUTED_VALUE"""),"citranoviadarmawan@gmail.com")</f>
        <v>citranoviadarmawan@gmail.com</v>
      </c>
      <c r="AI1410" s="85"/>
      <c r="AJ1410" s="85"/>
      <c r="AK1410" s="85"/>
      <c r="AL1410" s="85"/>
      <c r="AM1410" s="85" t="str">
        <f>IFERROR(__xludf.DUMMYFUNCTION("""COMPUTED_VALUE"""),"KANTOR REGIONAL III BANDUNG 40004")</f>
        <v>KANTOR REGIONAL III BANDUNG 40004</v>
      </c>
      <c r="AN1410" s="85" t="str">
        <f>IFERROR(__xludf.DUMMYFUNCTION("""COMPUTED_VALUE"""),"KC TASIKMALAYA 46100")</f>
        <v>KC TASIKMALAYA 46100</v>
      </c>
      <c r="AO1410" s="85" t="str">
        <f>IFERROR(__xludf.DUMMYFUNCTION("""COMPUTED_VALUE"""),"2708260055365")</f>
        <v>2708260055365</v>
      </c>
      <c r="AP1410" s="85" t="str">
        <f>IFERROR(__xludf.DUMMYFUNCTION("""COMPUTED_VALUE"""),"2708260055365")</f>
        <v>2708260055365</v>
      </c>
      <c r="AQ1410" s="93" t="str">
        <f>IFERROR(__xludf.DUMMYFUNCTION("""COMPUTED_VALUE"""),"2030487225")</f>
        <v>2030487225</v>
      </c>
      <c r="AR1410" s="85" t="str">
        <f>IFERROR(__xludf.DUMMYFUNCTION("""COMPUTED_VALUE"""),"BCA")</f>
        <v>BCA</v>
      </c>
      <c r="AS1410" s="85" t="str">
        <f>IFERROR(__xludf.DUMMYFUNCTION("""COMPUTED_VALUE"""),"CITRA NOVIA DERMAWAN,S.Pd.")</f>
        <v>CITRA NOVIA DERMAWAN,S.Pd.</v>
      </c>
      <c r="AT1410" s="85" t="str">
        <f>IFERROR(__xludf.DUMMYFUNCTION("""COMPUTED_VALUE"""),"-7.3674769,108.2474837")</f>
        <v>-7.3674769,108.2474837</v>
      </c>
      <c r="AU1410" s="85" t="str">
        <f>IFERROR(__xludf.DUMMYFUNCTION("""COMPUTED_VALUE"""),"-7.3674769,108.2474837")</f>
        <v>-7.3674769,108.2474837</v>
      </c>
      <c r="AV1410" s="85"/>
      <c r="AW1410" s="85"/>
      <c r="AX1410" s="85"/>
      <c r="AY1410" s="85"/>
      <c r="AZ1410" s="85"/>
      <c r="BA1410" s="85"/>
      <c r="BB1410" s="85"/>
      <c r="BC1410" s="85"/>
      <c r="BD1410" s="85"/>
      <c r="BE1410" s="85"/>
      <c r="BF1410" s="85"/>
      <c r="BG1410" s="85"/>
      <c r="BH1410" s="85"/>
      <c r="BI1410" s="85"/>
      <c r="BJ1410" s="85"/>
      <c r="BK1410" s="85"/>
      <c r="BL1410" s="85"/>
      <c r="BM1410" s="85"/>
      <c r="BN1410" s="85"/>
      <c r="BO1410" s="85"/>
      <c r="BP1410" s="85"/>
      <c r="BQ1410" s="85"/>
      <c r="BR1410" s="85"/>
      <c r="BS1410" s="85"/>
      <c r="BT1410" s="85"/>
      <c r="BU1410" s="85"/>
      <c r="BV1410" s="85"/>
      <c r="BW1410" s="85"/>
      <c r="BX1410" s="85"/>
      <c r="BY1410" s="85"/>
      <c r="BZ1410" s="85"/>
      <c r="CA1410" s="85"/>
      <c r="CB1410" s="85"/>
      <c r="CC1410" s="85"/>
      <c r="CD1410" s="85"/>
      <c r="CE1410" s="85"/>
      <c r="CF1410" s="85"/>
      <c r="CG1410" s="85"/>
      <c r="CH1410" s="85"/>
      <c r="CI1410" s="85"/>
      <c r="CJ1410" s="85"/>
      <c r="CK1410" s="2"/>
    </row>
    <row r="1411" ht="12.75" customHeight="1">
      <c r="A1411" s="80">
        <f>IFERROR(__xludf.DUMMYFUNCTION("""COMPUTED_VALUE"""),1407.0)</f>
        <v>1407</v>
      </c>
      <c r="B1411" s="80"/>
      <c r="C1411" s="80"/>
      <c r="D1411" s="81">
        <f>IFERROR(__xludf.DUMMYFUNCTION("""COMPUTED_VALUE"""),46262.0)</f>
        <v>46262</v>
      </c>
      <c r="E1411" s="82"/>
      <c r="F1411" s="80"/>
      <c r="G1411" s="81"/>
      <c r="H1411" s="80"/>
      <c r="I1411" s="80"/>
      <c r="J1411" s="80"/>
      <c r="K1411" s="80"/>
      <c r="L1411" s="80"/>
      <c r="M1411" s="80"/>
      <c r="N1411" s="80"/>
      <c r="O1411" s="80"/>
      <c r="P1411" s="80" t="str">
        <f>IFERROR(__xludf.DUMMYFUNCTION("""COMPUTED_VALUE"""),"MUCSPA70127PSAAK")</f>
        <v>MUCSPA70127PSAAK</v>
      </c>
      <c r="Q1411" s="80" t="str">
        <f>IFERROR(__xludf.DUMMYFUNCTION("""COMPUTED_VALUE"""),"MUC THAMRIN CITY DUA")</f>
        <v>MUC THAMRIN CITY DUA</v>
      </c>
      <c r="R1411" s="80" t="str">
        <f>IFERROR(__xludf.DUMMYFUNCTION("""COMPUTED_VALUE"""),"MUC THAMRIN CITY DUA")</f>
        <v>MUC THAMRIN CITY DUA</v>
      </c>
      <c r="S1411" s="80" t="str">
        <f>IFERROR(__xludf.DUMMYFUNCTION("""COMPUTED_VALUE"""),"DONI RATMANTO")</f>
        <v>DONI RATMANTO</v>
      </c>
      <c r="T1411" s="80" t="str">
        <f>IFERROR(__xludf.DUMMYFUNCTION("""COMPUTED_VALUE"""),"JL. H.YUSUF GG.BALE CENDANA RT 03 RW 11, PANINGGILAN, CILEDUG, TANGERANG")</f>
        <v>JL. H.YUSUF GG.BALE CENDANA RT 03 RW 11, PANINGGILAN, CILEDUG, TANGERANG</v>
      </c>
      <c r="U1411" s="80" t="str">
        <f>IFERROR(__xludf.DUMMYFUNCTION("""COMPUTED_VALUE"""),"THAMRIN CITY JL. KEBON KACANG RAYA NO.17 LT 3 BLOK G27")</f>
        <v>THAMRIN CITY JL. KEBON KACANG RAYA NO.17 LT 3 BLOK G27</v>
      </c>
      <c r="V1411" s="80" t="str">
        <f>IFERROR(__xludf.DUMMYFUNCTION("""COMPUTED_VALUE"""),"RT 03  \ RW 11,")</f>
        <v>RT 03  \ RW 11,</v>
      </c>
      <c r="W1411" s="80" t="str">
        <f>IFERROR(__xludf.DUMMYFUNCTION("""COMPUTED_VALUE"""),"KEBON MELATI")</f>
        <v>KEBON MELATI</v>
      </c>
      <c r="X1411" s="80" t="str">
        <f>IFERROR(__xludf.DUMMYFUNCTION("""COMPUTED_VALUE"""),"TANAH ABANG")</f>
        <v>TANAH ABANG</v>
      </c>
      <c r="Y1411" s="80" t="str">
        <f>IFERROR(__xludf.DUMMYFUNCTION("""COMPUTED_VALUE"""),"JAKARTA PUSAT")</f>
        <v>JAKARTA PUSAT</v>
      </c>
      <c r="Z1411" s="80" t="str">
        <f>IFERROR(__xludf.DUMMYFUNCTION("""COMPUTED_VALUE"""),"DKI JAKARTA")</f>
        <v>DKI JAKARTA</v>
      </c>
      <c r="AA1411" s="80" t="str">
        <f>IFERROR(__xludf.DUMMYFUNCTION("""COMPUTED_VALUE"""),"10240")</f>
        <v>10240</v>
      </c>
      <c r="AB1411" s="80" t="str">
        <f>IFERROR(__xludf.DUMMYFUNCTION("""COMPUTED_VALUE"""),"3671062401860002")</f>
        <v>3671062401860002</v>
      </c>
      <c r="AC1411" s="80" t="str">
        <f>IFERROR(__xludf.DUMMYFUNCTION("""COMPUTED_VALUE"""),"89.451.653.3-416.000")</f>
        <v>89.451.653.3-416.000</v>
      </c>
      <c r="AD1411" s="80" t="str">
        <f>IFERROR(__xludf.DUMMYFUNCTION("""COMPUTED_VALUE"""),"CUM - LP - ANGGI")</f>
        <v>CUM - LP - ANGGI</v>
      </c>
      <c r="AE1411" s="80" t="str">
        <f>IFERROR(__xludf.DUMMYFUNCTION("""COMPUTED_VALUE"""),"CUM - LP - ANGGI")</f>
        <v>CUM - LP - ANGGI</v>
      </c>
      <c r="AF1411" s="80" t="str">
        <f>IFERROR(__xludf.DUMMYFUNCTION("""COMPUTED_VALUE"""),"0817129473")</f>
        <v>0817129473</v>
      </c>
      <c r="AG1411" s="80" t="str">
        <f>IFERROR(__xludf.DUMMYFUNCTION("""COMPUTED_VALUE"""),"0817129473")</f>
        <v>0817129473</v>
      </c>
      <c r="AH1411" s="80" t="str">
        <f>IFERROR(__xludf.DUMMYFUNCTION("""COMPUTED_VALUE"""),"doni2401.ratmanto@gmail.com")</f>
        <v>doni2401.ratmanto@gmail.com</v>
      </c>
      <c r="AI1411" s="80"/>
      <c r="AJ1411" s="80"/>
      <c r="AK1411" s="80"/>
      <c r="AL1411" s="80"/>
      <c r="AM1411" s="80" t="str">
        <f>IFERROR(__xludf.DUMMYFUNCTION("""COMPUTED_VALUE"""),"KANTOR REGIONAL II JAKARTA 10004")</f>
        <v>KANTOR REGIONAL II JAKARTA 10004</v>
      </c>
      <c r="AN1411" s="80" t="str">
        <f>IFERROR(__xludf.DUMMYFUNCTION("""COMPUTED_VALUE"""),"KCU JAKARTACENTRUM 10000")</f>
        <v>KCU JAKARTACENTRUM 10000</v>
      </c>
      <c r="AO1411" s="80" t="str">
        <f>IFERROR(__xludf.DUMMYFUNCTION("""COMPUTED_VALUE"""),"1231000500398")</f>
        <v>1231000500398</v>
      </c>
      <c r="AP1411" s="80" t="str">
        <f>IFERROR(__xludf.DUMMYFUNCTION("""COMPUTED_VALUE"""),"1231000500398")</f>
        <v>1231000500398</v>
      </c>
      <c r="AQ1411" s="83" t="str">
        <f>IFERROR(__xludf.DUMMYFUNCTION("""COMPUTED_VALUE"""),"8680423742")</f>
        <v>8680423742</v>
      </c>
      <c r="AR1411" s="80" t="str">
        <f>IFERROR(__xludf.DUMMYFUNCTION("""COMPUTED_VALUE"""),"BCA")</f>
        <v>BCA</v>
      </c>
      <c r="AS1411" s="80" t="str">
        <f>IFERROR(__xludf.DUMMYFUNCTION("""COMPUTED_VALUE"""),"DONI RATMANTO")</f>
        <v>DONI RATMANTO</v>
      </c>
      <c r="AT1411" s="80" t="str">
        <f>IFERROR(__xludf.DUMMYFUNCTION("""COMPUTED_VALUE"""),"-6.1977002,106.8175478")</f>
        <v>-6.1977002,106.8175478</v>
      </c>
      <c r="AU1411" s="80" t="str">
        <f>IFERROR(__xludf.DUMMYFUNCTION("""COMPUTED_VALUE"""),"-6.1977002,106.8175478")</f>
        <v>-6.1977002,106.8175478</v>
      </c>
      <c r="AV1411" s="80"/>
      <c r="AW1411" s="80"/>
      <c r="AX1411" s="80"/>
      <c r="AY1411" s="80"/>
      <c r="AZ1411" s="80"/>
      <c r="BA1411" s="80"/>
      <c r="BB1411" s="80"/>
      <c r="BC1411" s="80"/>
      <c r="BD1411" s="80"/>
      <c r="BE1411" s="80"/>
      <c r="BF1411" s="80"/>
      <c r="BG1411" s="80"/>
      <c r="BH1411" s="80"/>
      <c r="BI1411" s="80"/>
      <c r="BJ1411" s="80"/>
      <c r="BK1411" s="80"/>
      <c r="BL1411" s="80"/>
      <c r="BM1411" s="80"/>
      <c r="BN1411" s="80"/>
      <c r="BO1411" s="80"/>
      <c r="BP1411" s="80"/>
      <c r="BQ1411" s="80"/>
      <c r="BR1411" s="80"/>
      <c r="BS1411" s="80"/>
      <c r="BT1411" s="80"/>
      <c r="BU1411" s="80"/>
      <c r="BV1411" s="80"/>
      <c r="BW1411" s="80"/>
      <c r="BX1411" s="80"/>
      <c r="BY1411" s="80"/>
      <c r="BZ1411" s="80"/>
      <c r="CA1411" s="80"/>
      <c r="CB1411" s="80"/>
      <c r="CC1411" s="80"/>
      <c r="CD1411" s="80"/>
      <c r="CE1411" s="80"/>
      <c r="CF1411" s="80"/>
      <c r="CG1411" s="80"/>
      <c r="CH1411" s="80"/>
      <c r="CI1411" s="80"/>
      <c r="CJ1411" s="80"/>
      <c r="CK1411" s="2"/>
    </row>
    <row r="1412" ht="12.75" customHeight="1">
      <c r="A1412" s="85">
        <f>IFERROR(__xludf.DUMMYFUNCTION("""COMPUTED_VALUE"""),1408.0)</f>
        <v>1408</v>
      </c>
      <c r="B1412" s="85"/>
      <c r="C1412" s="85"/>
      <c r="D1412" s="86">
        <f>IFERROR(__xludf.DUMMYFUNCTION("""COMPUTED_VALUE"""),46262.0)</f>
        <v>46262</v>
      </c>
      <c r="E1412" s="88"/>
      <c r="F1412" s="85"/>
      <c r="G1412" s="86"/>
      <c r="H1412" s="85"/>
      <c r="I1412" s="85"/>
      <c r="J1412" s="85"/>
      <c r="K1412" s="85"/>
      <c r="L1412" s="85"/>
      <c r="M1412" s="85"/>
      <c r="N1412" s="85"/>
      <c r="O1412" s="85"/>
      <c r="P1412" s="85" t="str">
        <f>IFERROR(__xludf.DUMMYFUNCTION("""COMPUTED_VALUE"""),"MUCSPA63667PSIND")</f>
        <v>MUCSPA63667PSIND</v>
      </c>
      <c r="Q1412" s="85" t="str">
        <f>IFERROR(__xludf.DUMMYFUNCTION("""COMPUTED_VALUE"""),"MUC WARUNG JAWI PERMATA")</f>
        <v>MUC WARUNG JAWI PERMATA</v>
      </c>
      <c r="R1412" s="85" t="str">
        <f>IFERROR(__xludf.DUMMYFUNCTION("""COMPUTED_VALUE"""),"MUC WARUNG JAWI PERMATA")</f>
        <v>MUC WARUNG JAWI PERMATA</v>
      </c>
      <c r="S1412" s="85" t="str">
        <f>IFERROR(__xludf.DUMMYFUNCTION("""COMPUTED_VALUE"""),"RAHMAD JADMIKO")</f>
        <v>RAHMAD JADMIKO</v>
      </c>
      <c r="T1412" s="85" t="str">
        <f>IFERROR(__xludf.DUMMYFUNCTION("""COMPUTED_VALUE"""),"BEKASI REGENSI I BLOK D.6 NO.27 RT 03 RW 05, WANASARI, CIBITUNG, KAB.BEKASI")</f>
        <v>BEKASI REGENSI I BLOK D.6 NO.27 RT 03 RW 05, WANASARI, CIBITUNG, KAB.BEKASI</v>
      </c>
      <c r="U1412" s="85" t="str">
        <f>IFERROR(__xludf.DUMMYFUNCTION("""COMPUTED_VALUE"""),"PERUMAHAN PERMATA REGENCY JL. PERMATA RAYA NO.09 BLOK G1")</f>
        <v>PERUMAHAN PERMATA REGENCY JL. PERMATA RAYA NO.09 BLOK G1</v>
      </c>
      <c r="V1412" s="85" t="str">
        <f>IFERROR(__xludf.DUMMYFUNCTION("""COMPUTED_VALUE"""),"RT 03  \ RW 05,")</f>
        <v>RT 03  \ RW 05,</v>
      </c>
      <c r="W1412" s="85" t="str">
        <f>IFERROR(__xludf.DUMMYFUNCTION("""COMPUTED_VALUE"""),"WANASARI")</f>
        <v>WANASARI</v>
      </c>
      <c r="X1412" s="85" t="str">
        <f>IFERROR(__xludf.DUMMYFUNCTION("""COMPUTED_VALUE"""),"CIBITUNG")</f>
        <v>CIBITUNG</v>
      </c>
      <c r="Y1412" s="85" t="str">
        <f>IFERROR(__xludf.DUMMYFUNCTION("""COMPUTED_VALUE"""),"KAB.BEKASI")</f>
        <v>KAB.BEKASI</v>
      </c>
      <c r="Z1412" s="85" t="str">
        <f>IFERROR(__xludf.DUMMYFUNCTION("""COMPUTED_VALUE"""),"JAWA BARAT")</f>
        <v>JAWA BARAT</v>
      </c>
      <c r="AA1412" s="85" t="str">
        <f>IFERROR(__xludf.DUMMYFUNCTION("""COMPUTED_VALUE"""),"17520")</f>
        <v>17520</v>
      </c>
      <c r="AB1412" s="85" t="str">
        <f>IFERROR(__xludf.DUMMYFUNCTION("""COMPUTED_VALUE"""),"3216071102690005")</f>
        <v>3216071102690005</v>
      </c>
      <c r="AC1412" s="85" t="str">
        <f>IFERROR(__xludf.DUMMYFUNCTION("""COMPUTED_VALUE"""),"48.224.847.3-435.000")</f>
        <v>48.224.847.3-435.000</v>
      </c>
      <c r="AD1412" s="85" t="str">
        <f>IFERROR(__xludf.DUMMYFUNCTION("""COMPUTED_VALUE"""),"PAK RENDRA KC CIKARANG")</f>
        <v>PAK RENDRA KC CIKARANG</v>
      </c>
      <c r="AE1412" s="85" t="str">
        <f>IFERROR(__xludf.DUMMYFUNCTION("""COMPUTED_VALUE"""),"PAK RENDRA KC CIKARANG")</f>
        <v>PAK RENDRA KC CIKARANG</v>
      </c>
      <c r="AF1412" s="85" t="str">
        <f>IFERROR(__xludf.DUMMYFUNCTION("""COMPUTED_VALUE"""),"087888645802")</f>
        <v>087888645802</v>
      </c>
      <c r="AG1412" s="85" t="str">
        <f>IFERROR(__xludf.DUMMYFUNCTION("""COMPUTED_VALUE"""),"087888645802")</f>
        <v>087888645802</v>
      </c>
      <c r="AH1412" s="85" t="str">
        <f>IFERROR(__xludf.DUMMYFUNCTION("""COMPUTED_VALUE"""),"rahmadj@gmail.com")</f>
        <v>rahmadj@gmail.com</v>
      </c>
      <c r="AI1412" s="85"/>
      <c r="AJ1412" s="85"/>
      <c r="AK1412" s="85"/>
      <c r="AL1412" s="85"/>
      <c r="AM1412" s="85" t="str">
        <f>IFERROR(__xludf.DUMMYFUNCTION("""COMPUTED_VALUE"""),"KANTOR REGIONAL II JAKARTA 10004")</f>
        <v>KANTOR REGIONAL II JAKARTA 10004</v>
      </c>
      <c r="AN1412" s="85" t="str">
        <f>IFERROR(__xludf.DUMMYFUNCTION("""COMPUTED_VALUE"""),"KC CIKARANG 17500")</f>
        <v>KC CIKARANG 17500</v>
      </c>
      <c r="AO1412" s="85" t="str">
        <f>IFERROR(__xludf.DUMMYFUNCTION("""COMPUTED_VALUE"""),"1407260089907")</f>
        <v>1407260089907</v>
      </c>
      <c r="AP1412" s="85" t="str">
        <f>IFERROR(__xludf.DUMMYFUNCTION("""COMPUTED_VALUE"""),"1407260089907")</f>
        <v>1407260089907</v>
      </c>
      <c r="AQ1412" s="93" t="str">
        <f>IFERROR(__xludf.DUMMYFUNCTION("""COMPUTED_VALUE"""),"60003012436")</f>
        <v>60003012436</v>
      </c>
      <c r="AR1412" s="85" t="str">
        <f>IFERROR(__xludf.DUMMYFUNCTION("""COMPUTED_VALUE"""),"MANDIRI")</f>
        <v>MANDIRI</v>
      </c>
      <c r="AS1412" s="85" t="str">
        <f>IFERROR(__xludf.DUMMYFUNCTION("""COMPUTED_VALUE"""),"RAHMAD JADMIKO")</f>
        <v>RAHMAD JADMIKO</v>
      </c>
      <c r="AT1412" s="85" t="str">
        <f>IFERROR(__xludf.DUMMYFUNCTION("""COMPUTED_VALUE"""),"-6.2397072,107.0847884")</f>
        <v>-6.2397072,107.0847884</v>
      </c>
      <c r="AU1412" s="85" t="str">
        <f>IFERROR(__xludf.DUMMYFUNCTION("""COMPUTED_VALUE"""),"-6.2397072,107.0847884")</f>
        <v>-6.2397072,107.0847884</v>
      </c>
      <c r="AV1412" s="85"/>
      <c r="AW1412" s="85"/>
      <c r="AX1412" s="85"/>
      <c r="AY1412" s="85"/>
      <c r="AZ1412" s="85"/>
      <c r="BA1412" s="85"/>
      <c r="BB1412" s="85"/>
      <c r="BC1412" s="85"/>
      <c r="BD1412" s="85"/>
      <c r="BE1412" s="85"/>
      <c r="BF1412" s="85"/>
      <c r="BG1412" s="85"/>
      <c r="BH1412" s="85"/>
      <c r="BI1412" s="85"/>
      <c r="BJ1412" s="85"/>
      <c r="BK1412" s="85"/>
      <c r="BL1412" s="85"/>
      <c r="BM1412" s="85"/>
      <c r="BN1412" s="85"/>
      <c r="BO1412" s="85"/>
      <c r="BP1412" s="85"/>
      <c r="BQ1412" s="85"/>
      <c r="BR1412" s="85"/>
      <c r="BS1412" s="85"/>
      <c r="BT1412" s="85"/>
      <c r="BU1412" s="85"/>
      <c r="BV1412" s="85"/>
      <c r="BW1412" s="85"/>
      <c r="BX1412" s="85"/>
      <c r="BY1412" s="85"/>
      <c r="BZ1412" s="85"/>
      <c r="CA1412" s="85"/>
      <c r="CB1412" s="85"/>
      <c r="CC1412" s="85"/>
      <c r="CD1412" s="85"/>
      <c r="CE1412" s="85"/>
      <c r="CF1412" s="85"/>
      <c r="CG1412" s="85"/>
      <c r="CH1412" s="85"/>
      <c r="CI1412" s="85"/>
      <c r="CJ1412" s="85"/>
      <c r="CK1412" s="2"/>
    </row>
    <row r="1413" ht="12.75" customHeight="1">
      <c r="A1413" s="80">
        <f>IFERROR(__xludf.DUMMYFUNCTION("""COMPUTED_VALUE"""),1409.0)</f>
        <v>1409</v>
      </c>
      <c r="B1413" s="80"/>
      <c r="C1413" s="80"/>
      <c r="D1413" s="81">
        <f>IFERROR(__xludf.DUMMYFUNCTION("""COMPUTED_VALUE"""),46262.0)</f>
        <v>46262</v>
      </c>
      <c r="E1413" s="82"/>
      <c r="F1413" s="80"/>
      <c r="G1413" s="81"/>
      <c r="H1413" s="80"/>
      <c r="I1413" s="80"/>
      <c r="J1413" s="80"/>
      <c r="K1413" s="80"/>
      <c r="L1413" s="80"/>
      <c r="M1413" s="80"/>
      <c r="N1413" s="80"/>
      <c r="O1413" s="80"/>
      <c r="P1413" s="80" t="str">
        <f>IFERROR(__xludf.DUMMYFUNCTION("""COMPUTED_VALUE"""),"MUCSPA70128PSAAK")</f>
        <v>MUCSPA70128PSAAK</v>
      </c>
      <c r="Q1413" s="80" t="str">
        <f>IFERROR(__xludf.DUMMYFUNCTION("""COMPUTED_VALUE"""),"MUC MUTIAH HANA")</f>
        <v>MUC MUTIAH HANA</v>
      </c>
      <c r="R1413" s="80" t="str">
        <f>IFERROR(__xludf.DUMMYFUNCTION("""COMPUTED_VALUE"""),"MUC MUTIAH HANA")</f>
        <v>MUC MUTIAH HANA</v>
      </c>
      <c r="S1413" s="80" t="str">
        <f>IFERROR(__xludf.DUMMYFUNCTION("""COMPUTED_VALUE"""),"DEDE WARLAN")</f>
        <v>DEDE WARLAN</v>
      </c>
      <c r="T1413" s="80" t="str">
        <f>IFERROR(__xludf.DUMMYFUNCTION("""COMPUTED_VALUE"""),"KP.SIRNAGALIH RT.002/RW.004 PARUNGSERAB SOREANG KABUPATEN BANDUNG JAWA BARAT")</f>
        <v>KP.SIRNAGALIH RT.002/RW.004 PARUNGSERAB SOREANG KABUPATEN BANDUNG JAWA BARAT</v>
      </c>
      <c r="U1413" s="80" t="str">
        <f>IFERROR(__xludf.DUMMYFUNCTION("""COMPUTED_VALUE"""),"Kp.Sirnagalih RT.002 RW.004 No.20, Parungserab, Kec. Soreang, Kab. Bandung")</f>
        <v>Kp.Sirnagalih RT.002 RW.004 No.20, Parungserab, Kec. Soreang, Kab. Bandung</v>
      </c>
      <c r="V1413" s="80" t="str">
        <f>IFERROR(__xludf.DUMMYFUNCTION("""COMPUTED_VALUE"""),"RT.002 \ RW.004")</f>
        <v>RT.002 \ RW.004</v>
      </c>
      <c r="W1413" s="80" t="str">
        <f>IFERROR(__xludf.DUMMYFUNCTION("""COMPUTED_VALUE"""),"Parungserab")</f>
        <v>Parungserab</v>
      </c>
      <c r="X1413" s="80" t="str">
        <f>IFERROR(__xludf.DUMMYFUNCTION("""COMPUTED_VALUE"""),"Soreang")</f>
        <v>Soreang</v>
      </c>
      <c r="Y1413" s="80" t="str">
        <f>IFERROR(__xludf.DUMMYFUNCTION("""COMPUTED_VALUE"""),"Kab. Bandung")</f>
        <v>Kab. Bandung</v>
      </c>
      <c r="Z1413" s="80" t="str">
        <f>IFERROR(__xludf.DUMMYFUNCTION("""COMPUTED_VALUE"""),"Jawa Barat")</f>
        <v>Jawa Barat</v>
      </c>
      <c r="AA1413" s="80" t="str">
        <f>IFERROR(__xludf.DUMMYFUNCTION("""COMPUTED_VALUE"""),"40923")</f>
        <v>40923</v>
      </c>
      <c r="AB1413" s="80" t="str">
        <f>IFERROR(__xludf.DUMMYFUNCTION("""COMPUTED_VALUE"""),"3204371011690003")</f>
        <v>3204371011690003</v>
      </c>
      <c r="AC1413" s="80" t="str">
        <f>IFERROR(__xludf.DUMMYFUNCTION("""COMPUTED_VALUE"""),"86.872.939.3-445.000")</f>
        <v>86.872.939.3-445.000</v>
      </c>
      <c r="AD1413" s="80" t="str">
        <f>IFERROR(__xludf.DUMMYFUNCTION("""COMPUTED_VALUE"""),"CUM - LP - ANGGI")</f>
        <v>CUM - LP - ANGGI</v>
      </c>
      <c r="AE1413" s="80" t="str">
        <f>IFERROR(__xludf.DUMMYFUNCTION("""COMPUTED_VALUE"""),"CUM - LP - ANGGI")</f>
        <v>CUM - LP - ANGGI</v>
      </c>
      <c r="AF1413" s="80" t="str">
        <f>IFERROR(__xludf.DUMMYFUNCTION("""COMPUTED_VALUE"""),"082218591485")</f>
        <v>082218591485</v>
      </c>
      <c r="AG1413" s="80" t="str">
        <f>IFERROR(__xludf.DUMMYFUNCTION("""COMPUTED_VALUE"""),"082218591485")</f>
        <v>082218591485</v>
      </c>
      <c r="AH1413" s="80" t="str">
        <f>IFERROR(__xludf.DUMMYFUNCTION("""COMPUTED_VALUE"""),"ddwrln@gmail.com")</f>
        <v>ddwrln@gmail.com</v>
      </c>
      <c r="AI1413" s="80"/>
      <c r="AJ1413" s="80"/>
      <c r="AK1413" s="80"/>
      <c r="AL1413" s="80"/>
      <c r="AM1413" s="80" t="str">
        <f>IFERROR(__xludf.DUMMYFUNCTION("""COMPUTED_VALUE"""),"KANTOR REGIONAL III BANDUNG 40004")</f>
        <v>KANTOR REGIONAL III BANDUNG 40004</v>
      </c>
      <c r="AN1413" s="80" t="str">
        <f>IFERROR(__xludf.DUMMYFUNCTION("""COMPUTED_VALUE"""),"KC SOREANG 40900")</f>
        <v>KC SOREANG 40900</v>
      </c>
      <c r="AO1413" s="80" t="str">
        <f>IFERROR(__xludf.DUMMYFUNCTION("""COMPUTED_VALUE"""),"2808260013641")</f>
        <v>2808260013641</v>
      </c>
      <c r="AP1413" s="80" t="str">
        <f>IFERROR(__xludf.DUMMYFUNCTION("""COMPUTED_VALUE"""),"2808260013641")</f>
        <v>2808260013641</v>
      </c>
      <c r="AQ1413" s="83" t="str">
        <f>IFERROR(__xludf.DUMMYFUNCTION("""COMPUTED_VALUE"""),"326801028039531")</f>
        <v>326801028039531</v>
      </c>
      <c r="AR1413" s="80" t="str">
        <f>IFERROR(__xludf.DUMMYFUNCTION("""COMPUTED_VALUE"""),"BRI")</f>
        <v>BRI</v>
      </c>
      <c r="AS1413" s="80" t="str">
        <f>IFERROR(__xludf.DUMMYFUNCTION("""COMPUTED_VALUE"""),"DEDE WARLAN")</f>
        <v>DEDE WARLAN</v>
      </c>
      <c r="AT1413" s="80" t="str">
        <f>IFERROR(__xludf.DUMMYFUNCTION("""COMPUTED_VALUE"""),"-7.0175445,107.5263168")</f>
        <v>-7.0175445,107.5263168</v>
      </c>
      <c r="AU1413" s="80" t="str">
        <f>IFERROR(__xludf.DUMMYFUNCTION("""COMPUTED_VALUE"""),"-7.0175445,107.5263168")</f>
        <v>-7.0175445,107.5263168</v>
      </c>
      <c r="AV1413" s="80"/>
      <c r="AW1413" s="80"/>
      <c r="AX1413" s="80"/>
      <c r="AY1413" s="80"/>
      <c r="AZ1413" s="80"/>
      <c r="BA1413" s="80"/>
      <c r="BB1413" s="80"/>
      <c r="BC1413" s="80"/>
      <c r="BD1413" s="80"/>
      <c r="BE1413" s="80"/>
      <c r="BF1413" s="80"/>
      <c r="BG1413" s="80"/>
      <c r="BH1413" s="80"/>
      <c r="BI1413" s="80"/>
      <c r="BJ1413" s="80"/>
      <c r="BK1413" s="80"/>
      <c r="BL1413" s="80"/>
      <c r="BM1413" s="80"/>
      <c r="BN1413" s="80"/>
      <c r="BO1413" s="80"/>
      <c r="BP1413" s="80"/>
      <c r="BQ1413" s="80"/>
      <c r="BR1413" s="80"/>
      <c r="BS1413" s="80"/>
      <c r="BT1413" s="80"/>
      <c r="BU1413" s="80"/>
      <c r="BV1413" s="80"/>
      <c r="BW1413" s="80"/>
      <c r="BX1413" s="80"/>
      <c r="BY1413" s="80"/>
      <c r="BZ1413" s="80"/>
      <c r="CA1413" s="80"/>
      <c r="CB1413" s="80"/>
      <c r="CC1413" s="80"/>
      <c r="CD1413" s="80"/>
      <c r="CE1413" s="80"/>
      <c r="CF1413" s="80"/>
      <c r="CG1413" s="80"/>
      <c r="CH1413" s="80"/>
      <c r="CI1413" s="80"/>
      <c r="CJ1413" s="80"/>
      <c r="CK1413" s="2"/>
    </row>
    <row r="1414" ht="12.75" customHeight="1">
      <c r="A1414" s="85">
        <f>IFERROR(__xludf.DUMMYFUNCTION("""COMPUTED_VALUE"""),1410.0)</f>
        <v>1410</v>
      </c>
      <c r="B1414" s="85"/>
      <c r="C1414" s="85"/>
      <c r="D1414" s="86">
        <f>IFERROR(__xludf.DUMMYFUNCTION("""COMPUTED_VALUE"""),46262.0)</f>
        <v>46262</v>
      </c>
      <c r="E1414" s="88"/>
      <c r="F1414" s="85"/>
      <c r="G1414" s="86">
        <f>IFERROR(__xludf.DUMMYFUNCTION("""COMPUTED_VALUE"""),46279.0)</f>
        <v>46279</v>
      </c>
      <c r="H1414" s="85"/>
      <c r="I1414" s="85"/>
      <c r="J1414" s="85"/>
      <c r="K1414" s="85"/>
      <c r="L1414" s="85">
        <f>IFERROR(__xludf.DUMMYFUNCTION("""COMPUTED_VALUE"""),17.0)</f>
        <v>17</v>
      </c>
      <c r="M1414" s="85"/>
      <c r="N1414" s="85"/>
      <c r="O1414" s="85"/>
      <c r="P1414" s="85" t="str">
        <f>IFERROR(__xludf.DUMMYFUNCTION("""COMPUTED_VALUE"""),"53BSPA17246JBNDS")</f>
        <v>53BSPA17246JBNDS</v>
      </c>
      <c r="Q1414" s="85" t="str">
        <f>IFERROR(__xludf.DUMMYFUNCTION("""COMPUTED_VALUE"""),"MUC NIZAM EKSPEDISI")</f>
        <v>MUC NIZAM EKSPEDISI</v>
      </c>
      <c r="R1414" s="85" t="str">
        <f>IFERROR(__xludf.DUMMYFUNCTION("""COMPUTED_VALUE"""),"MUC NIZAM EKSPEDISI")</f>
        <v>MUC NIZAM EKSPEDISI</v>
      </c>
      <c r="S1414" s="85" t="str">
        <f>IFERROR(__xludf.DUMMYFUNCTION("""COMPUTED_VALUE"""),"HARUN")</f>
        <v>HARUN</v>
      </c>
      <c r="T1414" s="85" t="str">
        <f>IFERROR(__xludf.DUMMYFUNCTION("""COMPUTED_VALUE"""),"PANARAGAN RT.004/001 PANARAGAN TULANG BAWANG TENGAH, KABUPATEN TULANG BAWANG BARAT LAMPUNG")</f>
        <v>PANARAGAN RT.004/001 PANARAGAN TULANG BAWANG TENGAH, KABUPATEN TULANG BAWANG BARAT LAMPUNG</v>
      </c>
      <c r="U1414" s="85" t="str">
        <f>IFERROR(__xludf.DUMMYFUNCTION("""COMPUTED_VALUE"""),"Panaragan RT.004/RW.001")</f>
        <v>Panaragan RT.004/RW.001</v>
      </c>
      <c r="V1414" s="85"/>
      <c r="W1414" s="85" t="str">
        <f>IFERROR(__xludf.DUMMYFUNCTION("""COMPUTED_VALUE"""),"Panaragan")</f>
        <v>Panaragan</v>
      </c>
      <c r="X1414" s="85" t="str">
        <f>IFERROR(__xludf.DUMMYFUNCTION("""COMPUTED_VALUE"""),"Tulang Bawang Tengah")</f>
        <v>Tulang Bawang Tengah</v>
      </c>
      <c r="Y1414" s="85" t="str">
        <f>IFERROR(__xludf.DUMMYFUNCTION("""COMPUTED_VALUE"""),"Tulang Bawang Barat")</f>
        <v>Tulang Bawang Barat</v>
      </c>
      <c r="Z1414" s="85" t="str">
        <f>IFERROR(__xludf.DUMMYFUNCTION("""COMPUTED_VALUE"""),"Lampung")</f>
        <v>Lampung</v>
      </c>
      <c r="AA1414" s="85" t="str">
        <f>IFERROR(__xludf.DUMMYFUNCTION("""COMPUTED_VALUE"""),"34694")</f>
        <v>34694</v>
      </c>
      <c r="AB1414" s="85" t="str">
        <f>IFERROR(__xludf.DUMMYFUNCTION("""COMPUTED_VALUE"""),"1608152603880001")</f>
        <v>1608152603880001</v>
      </c>
      <c r="AC1414" s="85" t="str">
        <f>IFERROR(__xludf.DUMMYFUNCTION("""COMPUTED_VALUE"""),"39.844.925.6-326.000")</f>
        <v>39.844.925.6-326.000</v>
      </c>
      <c r="AD1414" s="85" t="str">
        <f>IFERROR(__xludf.DUMMYFUNCTION("""COMPUTED_VALUE"""),"CUM - NDS")</f>
        <v>CUM - NDS</v>
      </c>
      <c r="AE1414" s="85" t="str">
        <f>IFERROR(__xludf.DUMMYFUNCTION("""COMPUTED_VALUE"""),"CUM - NDS")</f>
        <v>CUM - NDS</v>
      </c>
      <c r="AF1414" s="85" t="str">
        <f>IFERROR(__xludf.DUMMYFUNCTION("""COMPUTED_VALUE"""),"082249736231")</f>
        <v>082249736231</v>
      </c>
      <c r="AG1414" s="85" t="str">
        <f>IFERROR(__xludf.DUMMYFUNCTION("""COMPUTED_VALUE"""),"082249736231")</f>
        <v>082249736231</v>
      </c>
      <c r="AH1414" s="85" t="str">
        <f>IFERROR(__xludf.DUMMYFUNCTION("""COMPUTED_VALUE"""),"harunkaret@gmail.com")</f>
        <v>harunkaret@gmail.com</v>
      </c>
      <c r="AI1414" s="85" t="str">
        <f>IFERROR(__xludf.DUMMYFUNCTION("""COMPUTED_VALUE"""),"34419S1 ")</f>
        <v>34419S1 </v>
      </c>
      <c r="AJ1414" s="85" t="str">
        <f>IFERROR(__xludf.DUMMYFUNCTION("""COMPUTED_VALUE"""),"6a9e2d5d748d5c03d2095d2b ")</f>
        <v>6a9e2d5d748d5c03d2095d2b </v>
      </c>
      <c r="AK1414" s="85" t="str">
        <f>IFERROR(__xludf.DUMMYFUNCTION("""COMPUTED_VALUE"""),"harunkaret@gmail.com")</f>
        <v>harunkaret@gmail.com</v>
      </c>
      <c r="AL1414" s="85" t="str">
        <f>IFERROR(__xludf.DUMMYFUNCTION("""COMPUTED_VALUE"""),"#Muc34419S1$")</f>
        <v>#Muc34419S1$</v>
      </c>
      <c r="AM1414" s="85" t="str">
        <f>IFERROR(__xludf.DUMMYFUNCTION("""COMPUTED_VALUE"""),"KANTOR REGIONAL I MEDAN 20004")</f>
        <v>KANTOR REGIONAL I MEDAN 20004</v>
      </c>
      <c r="AN1414" s="85" t="str">
        <f>IFERROR(__xludf.DUMMYFUNCTION("""COMPUTED_VALUE"""),"KC KOTABUMI 34500")</f>
        <v>KC KOTABUMI 34500</v>
      </c>
      <c r="AO1414" s="85" t="str">
        <f>IFERROR(__xludf.DUMMYFUNCTION("""COMPUTED_VALUE"""),"2708260080385")</f>
        <v>2708260080385</v>
      </c>
      <c r="AP1414" s="85" t="str">
        <f>IFERROR(__xludf.DUMMYFUNCTION("""COMPUTED_VALUE"""),"2708260080385")</f>
        <v>2708260080385</v>
      </c>
      <c r="AQ1414" s="93" t="str">
        <f>IFERROR(__xludf.DUMMYFUNCTION("""COMPUTED_VALUE"""),"763737805900")</f>
        <v>763737805900</v>
      </c>
      <c r="AR1414" s="85" t="str">
        <f>IFERROR(__xludf.DUMMYFUNCTION("""COMPUTED_VALUE"""),"CIMB NIAGA")</f>
        <v>CIMB NIAGA</v>
      </c>
      <c r="AS1414" s="85" t="str">
        <f>IFERROR(__xludf.DUMMYFUNCTION("""COMPUTED_VALUE"""),"HARUN")</f>
        <v>HARUN</v>
      </c>
      <c r="AT1414" s="85" t="str">
        <f>IFERROR(__xludf.DUMMYFUNCTION("""COMPUTED_VALUE"""),"-4.4954212,105.1157468")</f>
        <v>-4.4954212,105.1157468</v>
      </c>
      <c r="AU1414" s="85" t="str">
        <f>IFERROR(__xludf.DUMMYFUNCTION("""COMPUTED_VALUE"""),"-4.4954212,105.1157468")</f>
        <v>-4.4954212,105.1157468</v>
      </c>
      <c r="AV1414" s="85"/>
      <c r="AW1414" s="85"/>
      <c r="AX1414" s="85"/>
      <c r="AY1414" s="85"/>
      <c r="AZ1414" s="85"/>
      <c r="BA1414" s="85"/>
      <c r="BB1414" s="85"/>
      <c r="BC1414" s="85"/>
      <c r="BD1414" s="85"/>
      <c r="BE1414" s="85"/>
      <c r="BF1414" s="85"/>
      <c r="BG1414" s="85"/>
      <c r="BH1414" s="85"/>
      <c r="BI1414" s="85"/>
      <c r="BJ1414" s="85"/>
      <c r="BK1414" s="85"/>
      <c r="BL1414" s="85"/>
      <c r="BM1414" s="85"/>
      <c r="BN1414" s="85"/>
      <c r="BO1414" s="85"/>
      <c r="BP1414" s="85"/>
      <c r="BQ1414" s="85"/>
      <c r="BR1414" s="85"/>
      <c r="BS1414" s="85"/>
      <c r="BT1414" s="85"/>
      <c r="BU1414" s="85"/>
      <c r="BV1414" s="85"/>
      <c r="BW1414" s="85"/>
      <c r="BX1414" s="85"/>
      <c r="BY1414" s="85"/>
      <c r="BZ1414" s="85"/>
      <c r="CA1414" s="85"/>
      <c r="CB1414" s="85"/>
      <c r="CC1414" s="85"/>
      <c r="CD1414" s="85"/>
      <c r="CE1414" s="85"/>
      <c r="CF1414" s="85"/>
      <c r="CG1414" s="85"/>
      <c r="CH1414" s="85"/>
      <c r="CI1414" s="85"/>
      <c r="CJ1414" s="85"/>
      <c r="CK1414" s="2"/>
    </row>
    <row r="1415" ht="12.75" customHeight="1">
      <c r="A1415" s="80">
        <f>IFERROR(__xludf.DUMMYFUNCTION("""COMPUTED_VALUE"""),1411.0)</f>
        <v>1411</v>
      </c>
      <c r="B1415" s="80"/>
      <c r="C1415" s="80"/>
      <c r="D1415" s="81">
        <f>IFERROR(__xludf.DUMMYFUNCTION("""COMPUTED_VALUE"""),46262.0)</f>
        <v>46262</v>
      </c>
      <c r="E1415" s="82"/>
      <c r="F1415" s="80"/>
      <c r="G1415" s="81"/>
      <c r="H1415" s="80"/>
      <c r="I1415" s="80"/>
      <c r="J1415" s="80"/>
      <c r="K1415" s="80"/>
      <c r="L1415" s="80"/>
      <c r="M1415" s="80"/>
      <c r="N1415" s="80"/>
      <c r="O1415" s="80"/>
      <c r="P1415" s="80" t="str">
        <f>IFERROR(__xludf.DUMMYFUNCTION("""COMPUTED_VALUE"""),"MUCSPA70129PSAAK")</f>
        <v>MUCSPA70129PSAAK</v>
      </c>
      <c r="Q1415" s="80" t="str">
        <f>IFERROR(__xludf.DUMMYFUNCTION("""COMPUTED_VALUE"""),"MUC PONDOK KELAPA RAYA")</f>
        <v>MUC PONDOK KELAPA RAYA</v>
      </c>
      <c r="R1415" s="80" t="str">
        <f>IFERROR(__xludf.DUMMYFUNCTION("""COMPUTED_VALUE"""),"MUC PONDOK KELAPA RAYA")</f>
        <v>MUC PONDOK KELAPA RAYA</v>
      </c>
      <c r="S1415" s="80" t="str">
        <f>IFERROR(__xludf.DUMMYFUNCTION("""COMPUTED_VALUE"""),"PAULUS SUTRISNO")</f>
        <v>PAULUS SUTRISNO</v>
      </c>
      <c r="T1415" s="80" t="str">
        <f>IFERROR(__xludf.DUMMYFUNCTION("""COMPUTED_VALUE"""),"CAWANG III JL. D.I PANJAITAN RT.001/RW.006 KEBON PALA MAKASAR JAKARTA TIMUR DKI JAKARTA")</f>
        <v>CAWANG III JL. D.I PANJAITAN RT.001/RW.006 KEBON PALA MAKASAR JAKARTA TIMUR DKI JAKARTA</v>
      </c>
      <c r="U1415" s="80" t="str">
        <f>IFERROR(__xludf.DUMMYFUNCTION("""COMPUTED_VALUE"""),"Jl. Pondok Kelapa Raya Blok G1 No.2C, Pondok Kelapa, Jakarta Timur")</f>
        <v>Jl. Pondok Kelapa Raya Blok G1 No.2C, Pondok Kelapa, Jakarta Timur</v>
      </c>
      <c r="V1415" s="80" t="str">
        <f>IFERROR(__xludf.DUMMYFUNCTION("""COMPUTED_VALUE"""),"RT.001 \ RW.006")</f>
        <v>RT.001 \ RW.006</v>
      </c>
      <c r="W1415" s="80" t="str">
        <f>IFERROR(__xludf.DUMMYFUNCTION("""COMPUTED_VALUE"""),"Pondok Kelapa")</f>
        <v>Pondok Kelapa</v>
      </c>
      <c r="X1415" s="80" t="str">
        <f>IFERROR(__xludf.DUMMYFUNCTION("""COMPUTED_VALUE"""),"Duren Sawit")</f>
        <v>Duren Sawit</v>
      </c>
      <c r="Y1415" s="80" t="str">
        <f>IFERROR(__xludf.DUMMYFUNCTION("""COMPUTED_VALUE"""),"Jakarta Timur")</f>
        <v>Jakarta Timur</v>
      </c>
      <c r="Z1415" s="80" t="str">
        <f>IFERROR(__xludf.DUMMYFUNCTION("""COMPUTED_VALUE"""),"DKI Jakarta")</f>
        <v>DKI Jakarta</v>
      </c>
      <c r="AA1415" s="80" t="str">
        <f>IFERROR(__xludf.DUMMYFUNCTION("""COMPUTED_VALUE"""),"13450")</f>
        <v>13450</v>
      </c>
      <c r="AB1415" s="80" t="str">
        <f>IFERROR(__xludf.DUMMYFUNCTION("""COMPUTED_VALUE"""),"3175082012760011")</f>
        <v>3175082012760011</v>
      </c>
      <c r="AC1415" s="80" t="str">
        <f>IFERROR(__xludf.DUMMYFUNCTION("""COMPUTED_VALUE"""),"25.449.130.1-005.000")</f>
        <v>25.449.130.1-005.000</v>
      </c>
      <c r="AD1415" s="80" t="str">
        <f>IFERROR(__xludf.DUMMYFUNCTION("""COMPUTED_VALUE"""),"CUM - LP - ANGGI")</f>
        <v>CUM - LP - ANGGI</v>
      </c>
      <c r="AE1415" s="80" t="str">
        <f>IFERROR(__xludf.DUMMYFUNCTION("""COMPUTED_VALUE"""),"CUM - LP - ANGGI")</f>
        <v>CUM - LP - ANGGI</v>
      </c>
      <c r="AF1415" s="80" t="str">
        <f>IFERROR(__xludf.DUMMYFUNCTION("""COMPUTED_VALUE"""),"08388345777")</f>
        <v>08388345777</v>
      </c>
      <c r="AG1415" s="80" t="str">
        <f>IFERROR(__xludf.DUMMYFUNCTION("""COMPUTED_VALUE"""),"08388345777")</f>
        <v>08388345777</v>
      </c>
      <c r="AH1415" s="80" t="str">
        <f>IFERROR(__xludf.DUMMYFUNCTION("""COMPUTED_VALUE"""),"Paulussu20@ymail.com")</f>
        <v>Paulussu20@ymail.com</v>
      </c>
      <c r="AI1415" s="80"/>
      <c r="AJ1415" s="80"/>
      <c r="AK1415" s="80"/>
      <c r="AL1415" s="80"/>
      <c r="AM1415" s="80" t="str">
        <f>IFERROR(__xludf.DUMMYFUNCTION("""COMPUTED_VALUE"""),"KANTOR REGIONAL II JAKARTA 10004")</f>
        <v>KANTOR REGIONAL II JAKARTA 10004</v>
      </c>
      <c r="AN1415" s="80" t="str">
        <f>IFERROR(__xludf.DUMMYFUNCTION("""COMPUTED_VALUE"""),"KCU JAKARTAPREMIER 13000")</f>
        <v>KCU JAKARTAPREMIER 13000</v>
      </c>
      <c r="AO1415" s="80" t="str">
        <f>IFERROR(__xludf.DUMMYFUNCTION("""COMPUTED_VALUE"""),"2808260019366")</f>
        <v>2808260019366</v>
      </c>
      <c r="AP1415" s="80" t="str">
        <f>IFERROR(__xludf.DUMMYFUNCTION("""COMPUTED_VALUE"""),"2808260019366")</f>
        <v>2808260019366</v>
      </c>
      <c r="AQ1415" s="83" t="str">
        <f>IFERROR(__xludf.DUMMYFUNCTION("""COMPUTED_VALUE"""),"1560020234664")</f>
        <v>1560020234664</v>
      </c>
      <c r="AR1415" s="80" t="str">
        <f>IFERROR(__xludf.DUMMYFUNCTION("""COMPUTED_VALUE"""),"MANDIRI")</f>
        <v>MANDIRI</v>
      </c>
      <c r="AS1415" s="80" t="str">
        <f>IFERROR(__xludf.DUMMYFUNCTION("""COMPUTED_VALUE"""),"PAULUS SUTRISNO")</f>
        <v>PAULUS SUTRISNO</v>
      </c>
      <c r="AT1415" s="80" t="str">
        <f>IFERROR(__xludf.DUMMYFUNCTION("""COMPUTED_VALUE"""),"-6.248126,106.9253521")</f>
        <v>-6.248126,106.9253521</v>
      </c>
      <c r="AU1415" s="80" t="str">
        <f>IFERROR(__xludf.DUMMYFUNCTION("""COMPUTED_VALUE"""),"-6.248126,106.9253521")</f>
        <v>-6.248126,106.9253521</v>
      </c>
      <c r="AV1415" s="80"/>
      <c r="AW1415" s="80"/>
      <c r="AX1415" s="80"/>
      <c r="AY1415" s="80"/>
      <c r="AZ1415" s="80"/>
      <c r="BA1415" s="80"/>
      <c r="BB1415" s="80"/>
      <c r="BC1415" s="80"/>
      <c r="BD1415" s="80"/>
      <c r="BE1415" s="80"/>
      <c r="BF1415" s="80"/>
      <c r="BG1415" s="80"/>
      <c r="BH1415" s="80"/>
      <c r="BI1415" s="80"/>
      <c r="BJ1415" s="80"/>
      <c r="BK1415" s="80"/>
      <c r="BL1415" s="80"/>
      <c r="BM1415" s="80"/>
      <c r="BN1415" s="80"/>
      <c r="BO1415" s="80"/>
      <c r="BP1415" s="80"/>
      <c r="BQ1415" s="80"/>
      <c r="BR1415" s="80"/>
      <c r="BS1415" s="80"/>
      <c r="BT1415" s="80"/>
      <c r="BU1415" s="80"/>
      <c r="BV1415" s="80"/>
      <c r="BW1415" s="80"/>
      <c r="BX1415" s="80"/>
      <c r="BY1415" s="80"/>
      <c r="BZ1415" s="80"/>
      <c r="CA1415" s="80"/>
      <c r="CB1415" s="80"/>
      <c r="CC1415" s="80"/>
      <c r="CD1415" s="80"/>
      <c r="CE1415" s="80"/>
      <c r="CF1415" s="80"/>
      <c r="CG1415" s="80"/>
      <c r="CH1415" s="80"/>
      <c r="CI1415" s="80"/>
      <c r="CJ1415" s="80"/>
      <c r="CK1415" s="2"/>
    </row>
    <row r="1416" ht="12.75" customHeight="1">
      <c r="A1416" s="85">
        <f>IFERROR(__xludf.DUMMYFUNCTION("""COMPUTED_VALUE"""),1412.0)</f>
        <v>1412</v>
      </c>
      <c r="B1416" s="85"/>
      <c r="C1416" s="85"/>
      <c r="D1416" s="86">
        <f>IFERROR(__xludf.DUMMYFUNCTION("""COMPUTED_VALUE"""),46262.0)</f>
        <v>46262</v>
      </c>
      <c r="E1416" s="88"/>
      <c r="F1416" s="85"/>
      <c r="G1416" s="86"/>
      <c r="H1416" s="85"/>
      <c r="I1416" s="85"/>
      <c r="J1416" s="85"/>
      <c r="K1416" s="85"/>
      <c r="L1416" s="85"/>
      <c r="M1416" s="85"/>
      <c r="N1416" s="85"/>
      <c r="O1416" s="85"/>
      <c r="P1416" s="85" t="str">
        <f>IFERROR(__xludf.DUMMYFUNCTION("""COMPUTED_VALUE"""),"53BSPA17247JBNDS")</f>
        <v>53BSPA17247JBNDS</v>
      </c>
      <c r="Q1416" s="85" t="str">
        <f>IFERROR(__xludf.DUMMYFUNCTION("""COMPUTED_VALUE"""),"MUC TAKALIMA CORNER")</f>
        <v>MUC TAKALIMA CORNER</v>
      </c>
      <c r="R1416" s="85" t="str">
        <f>IFERROR(__xludf.DUMMYFUNCTION("""COMPUTED_VALUE"""),"MUC TAKALIMA CORNER")</f>
        <v>MUC TAKALIMA CORNER</v>
      </c>
      <c r="S1416" s="85" t="str">
        <f>IFERROR(__xludf.DUMMYFUNCTION("""COMPUTED_VALUE"""),"ERVITA DUWI ASTUTIK")</f>
        <v>ERVITA DUWI ASTUTIK</v>
      </c>
      <c r="T1416" s="85" t="str">
        <f>IFERROR(__xludf.DUMMYFUNCTION("""COMPUTED_VALUE"""),"PERUM PT.SG BLOK.G/35 RT.003/RW.001 SIDOMORO KEBOMAS, KABUPATEN GRESIK JAWA TIMUR")</f>
        <v>PERUM PT.SG BLOK.G/35 RT.003/RW.001 SIDOMORO KEBOMAS, KABUPATEN GRESIK JAWA TIMUR</v>
      </c>
      <c r="U1416" s="85" t="str">
        <f>IFERROR(__xludf.DUMMYFUNCTION("""COMPUTED_VALUE"""),"Jl. Poros Kabo Gg. Bumi Taka 5 no 60, Swarga Bara, Kec. Sangatta Utara")</f>
        <v>Jl. Poros Kabo Gg. Bumi Taka 5 no 60, Swarga Bara, Kec. Sangatta Utara</v>
      </c>
      <c r="V1416" s="85" t="str">
        <f>IFERROR(__xludf.DUMMYFUNCTION("""COMPUTED_VALUE"""),"RT.003 \ RW.001")</f>
        <v>RT.003 \ RW.001</v>
      </c>
      <c r="W1416" s="85" t="str">
        <f>IFERROR(__xludf.DUMMYFUNCTION("""COMPUTED_VALUE"""),"Swarga Bara")</f>
        <v>Swarga Bara</v>
      </c>
      <c r="X1416" s="85" t="str">
        <f>IFERROR(__xludf.DUMMYFUNCTION("""COMPUTED_VALUE"""),"Sangatta Utara")</f>
        <v>Sangatta Utara</v>
      </c>
      <c r="Y1416" s="85" t="str">
        <f>IFERROR(__xludf.DUMMYFUNCTION("""COMPUTED_VALUE"""),"Kab. Kutai Timur")</f>
        <v>Kab. Kutai Timur</v>
      </c>
      <c r="Z1416" s="85" t="str">
        <f>IFERROR(__xludf.DUMMYFUNCTION("""COMPUTED_VALUE"""),"Kalimantan Timur")</f>
        <v>Kalimantan Timur</v>
      </c>
      <c r="AA1416" s="85" t="str">
        <f>IFERROR(__xludf.DUMMYFUNCTION("""COMPUTED_VALUE"""),"75683")</f>
        <v>75683</v>
      </c>
      <c r="AB1416" s="85" t="str">
        <f>IFERROR(__xludf.DUMMYFUNCTION("""COMPUTED_VALUE"""),"3525145912800004")</f>
        <v>3525145912800004</v>
      </c>
      <c r="AC1416" s="85" t="str">
        <f>IFERROR(__xludf.DUMMYFUNCTION("""COMPUTED_VALUE"""),"35.251.459.1-280.0004")</f>
        <v>35.251.459.1-280.0004</v>
      </c>
      <c r="AD1416" s="85" t="str">
        <f>IFERROR(__xludf.DUMMYFUNCTION("""COMPUTED_VALUE"""),"CUM - NDS")</f>
        <v>CUM - NDS</v>
      </c>
      <c r="AE1416" s="85" t="str">
        <f>IFERROR(__xludf.DUMMYFUNCTION("""COMPUTED_VALUE"""),"CUM - NDS")</f>
        <v>CUM - NDS</v>
      </c>
      <c r="AF1416" s="85" t="str">
        <f>IFERROR(__xludf.DUMMYFUNCTION("""COMPUTED_VALUE"""),"085210874441")</f>
        <v>085210874441</v>
      </c>
      <c r="AG1416" s="85" t="str">
        <f>IFERROR(__xludf.DUMMYFUNCTION("""COMPUTED_VALUE"""),"085210874441")</f>
        <v>085210874441</v>
      </c>
      <c r="AH1416" s="85" t="str">
        <f>IFERROR(__xludf.DUMMYFUNCTION("""COMPUTED_VALUE"""),"ervitawardoyo859@gmail.com")</f>
        <v>ervitawardoyo859@gmail.com</v>
      </c>
      <c r="AI1416" s="85"/>
      <c r="AJ1416" s="85"/>
      <c r="AK1416" s="85"/>
      <c r="AL1416" s="85"/>
      <c r="AM1416" s="85" t="str">
        <f>IFERROR(__xludf.DUMMYFUNCTION("""COMPUTED_VALUE"""),"KANTOR REGIONAL VI MAKASAR 90004")</f>
        <v>KANTOR REGIONAL VI MAKASAR 90004</v>
      </c>
      <c r="AN1416" s="85" t="str">
        <f>IFERROR(__xludf.DUMMYFUNCTION("""COMPUTED_VALUE"""),"KC BONTANG 75300")</f>
        <v>KC BONTANG 75300</v>
      </c>
      <c r="AO1416" s="85" t="str">
        <f>IFERROR(__xludf.DUMMYFUNCTION("""COMPUTED_VALUE"""),"2808260056301")</f>
        <v>2808260056301</v>
      </c>
      <c r="AP1416" s="85" t="str">
        <f>IFERROR(__xludf.DUMMYFUNCTION("""COMPUTED_VALUE"""),"2808260056301")</f>
        <v>2808260056301</v>
      </c>
      <c r="AQ1416" s="93" t="str">
        <f>IFERROR(__xludf.DUMMYFUNCTION("""COMPUTED_VALUE"""),"229001005845505")</f>
        <v>229001005845505</v>
      </c>
      <c r="AR1416" s="85" t="str">
        <f>IFERROR(__xludf.DUMMYFUNCTION("""COMPUTED_VALUE"""),"BRI")</f>
        <v>BRI</v>
      </c>
      <c r="AS1416" s="85" t="str">
        <f>IFERROR(__xludf.DUMMYFUNCTION("""COMPUTED_VALUE"""),"ERVITA DUWI ASTUTIK")</f>
        <v>ERVITA DUWI ASTUTIK</v>
      </c>
      <c r="AT1416" s="85" t="str">
        <f>IFERROR(__xludf.DUMMYFUNCTION("""COMPUTED_VALUE"""),"0.5312363,117.5178944")</f>
        <v>0.5312363,117.5178944</v>
      </c>
      <c r="AU1416" s="85" t="str">
        <f>IFERROR(__xludf.DUMMYFUNCTION("""COMPUTED_VALUE"""),"0.5312363,117.5178944")</f>
        <v>0.5312363,117.5178944</v>
      </c>
      <c r="AV1416" s="85"/>
      <c r="AW1416" s="85"/>
      <c r="AX1416" s="85"/>
      <c r="AY1416" s="85"/>
      <c r="AZ1416" s="85"/>
      <c r="BA1416" s="85"/>
      <c r="BB1416" s="85"/>
      <c r="BC1416" s="85"/>
      <c r="BD1416" s="85"/>
      <c r="BE1416" s="85"/>
      <c r="BF1416" s="85"/>
      <c r="BG1416" s="85"/>
      <c r="BH1416" s="85"/>
      <c r="BI1416" s="85"/>
      <c r="BJ1416" s="85"/>
      <c r="BK1416" s="85"/>
      <c r="BL1416" s="85"/>
      <c r="BM1416" s="85"/>
      <c r="BN1416" s="85"/>
      <c r="BO1416" s="85"/>
      <c r="BP1416" s="85"/>
      <c r="BQ1416" s="85"/>
      <c r="BR1416" s="85"/>
      <c r="BS1416" s="85"/>
      <c r="BT1416" s="85"/>
      <c r="BU1416" s="85"/>
      <c r="BV1416" s="85"/>
      <c r="BW1416" s="85"/>
      <c r="BX1416" s="85"/>
      <c r="BY1416" s="85"/>
      <c r="BZ1416" s="85"/>
      <c r="CA1416" s="85"/>
      <c r="CB1416" s="85"/>
      <c r="CC1416" s="85"/>
      <c r="CD1416" s="85"/>
      <c r="CE1416" s="85"/>
      <c r="CF1416" s="85"/>
      <c r="CG1416" s="85"/>
      <c r="CH1416" s="85"/>
      <c r="CI1416" s="85"/>
      <c r="CJ1416" s="85"/>
      <c r="CK1416" s="2"/>
    </row>
    <row r="1417" ht="12.75" customHeight="1">
      <c r="A1417" s="80">
        <f>IFERROR(__xludf.DUMMYFUNCTION("""COMPUTED_VALUE"""),1413.0)</f>
        <v>1413</v>
      </c>
      <c r="B1417" s="80"/>
      <c r="C1417" s="80"/>
      <c r="D1417" s="81">
        <f>IFERROR(__xludf.DUMMYFUNCTION("""COMPUTED_VALUE"""),46265.0)</f>
        <v>46265</v>
      </c>
      <c r="E1417" s="82"/>
      <c r="F1417" s="80"/>
      <c r="G1417" s="81"/>
      <c r="H1417" s="80"/>
      <c r="I1417" s="80"/>
      <c r="J1417" s="80"/>
      <c r="K1417" s="80"/>
      <c r="L1417" s="80"/>
      <c r="M1417" s="80"/>
      <c r="N1417" s="80"/>
      <c r="O1417" s="80"/>
      <c r="P1417" s="80" t="str">
        <f>IFERROR(__xludf.DUMMYFUNCTION("""COMPUTED_VALUE"""),"MUCSPA70058PSUMK")</f>
        <v>MUCSPA70058PSUMK</v>
      </c>
      <c r="Q1417" s="80" t="str">
        <f>IFERROR(__xludf.DUMMYFUNCTION("""COMPUTED_VALUE"""),"MUC Semesta Express")</f>
        <v>MUC Semesta Express</v>
      </c>
      <c r="R1417" s="80" t="str">
        <f>IFERROR(__xludf.DUMMYFUNCTION("""COMPUTED_VALUE"""),"MUC Semesta Express")</f>
        <v>MUC Semesta Express</v>
      </c>
      <c r="S1417" s="80" t="str">
        <f>IFERROR(__xludf.DUMMYFUNCTION("""COMPUTED_VALUE"""),"ERNAWATI")</f>
        <v>ERNAWATI</v>
      </c>
      <c r="T1417" s="80" t="str">
        <f>IFERROR(__xludf.DUMMYFUNCTION("""COMPUTED_VALUE"""),"JL. PANJI WANGKO NO.12, KEKALIK INDAH RT.-/RW.196 KEKALIK JAYA SEKARBELA, KOTA MATARAM NTB")</f>
        <v>JL. PANJI WANGKO NO.12, KEKALIK INDAH RT.-/RW.196 KEKALIK JAYA SEKARBELA, KOTA MATARAM NTB</v>
      </c>
      <c r="U1417" s="80" t="str">
        <f>IFERROR(__xludf.DUMMYFUNCTION("""COMPUTED_VALUE"""),"Jl. Panji Wangko No.12 Kekalik, Kekalik Jaya, Sekarbela, Kota Mataram")</f>
        <v>Jl. Panji Wangko No.12 Kekalik, Kekalik Jaya, Sekarbela, Kota Mataram</v>
      </c>
      <c r="V1417" s="80" t="str">
        <f>IFERROR(__xludf.DUMMYFUNCTION("""COMPUTED_VALUE"""),"RT.-/R \ RW.196")</f>
        <v>RT.-/R \ RW.196</v>
      </c>
      <c r="W1417" s="80" t="str">
        <f>IFERROR(__xludf.DUMMYFUNCTION("""COMPUTED_VALUE"""),"Kekalik Jaya")</f>
        <v>Kekalik Jaya</v>
      </c>
      <c r="X1417" s="80" t="str">
        <f>IFERROR(__xludf.DUMMYFUNCTION("""COMPUTED_VALUE"""),"Sekarbela")</f>
        <v>Sekarbela</v>
      </c>
      <c r="Y1417" s="80" t="str">
        <f>IFERROR(__xludf.DUMMYFUNCTION("""COMPUTED_VALUE"""),"Mataram")</f>
        <v>Mataram</v>
      </c>
      <c r="Z1417" s="80" t="str">
        <f>IFERROR(__xludf.DUMMYFUNCTION("""COMPUTED_VALUE"""),"Nusa Tenggara Barat")</f>
        <v>Nusa Tenggara Barat</v>
      </c>
      <c r="AA1417" s="80" t="str">
        <f>IFERROR(__xludf.DUMMYFUNCTION("""COMPUTED_VALUE"""),"83116")</f>
        <v>83116</v>
      </c>
      <c r="AB1417" s="80" t="str">
        <f>IFERROR(__xludf.DUMMYFUNCTION("""COMPUTED_VALUE"""),"5271045509740001")</f>
        <v>5271045509740001</v>
      </c>
      <c r="AC1417" s="80" t="str">
        <f>IFERROR(__xludf.DUMMYFUNCTION("""COMPUTED_VALUE"""),"47.032.153.0-911.000")</f>
        <v>47.032.153.0-911.000</v>
      </c>
      <c r="AD1417" s="80" t="str">
        <f>IFERROR(__xludf.DUMMYFUNCTION("""COMPUTED_VALUE"""),"CUM - UMKMNK - ASEP")</f>
        <v>CUM - UMKMNK - ASEP</v>
      </c>
      <c r="AE1417" s="80" t="str">
        <f>IFERROR(__xludf.DUMMYFUNCTION("""COMPUTED_VALUE"""),"CUM - UMKMNK - ASEP")</f>
        <v>CUM - UMKMNK - ASEP</v>
      </c>
      <c r="AF1417" s="80" t="str">
        <f>IFERROR(__xludf.DUMMYFUNCTION("""COMPUTED_VALUE"""),"082340384738")</f>
        <v>082340384738</v>
      </c>
      <c r="AG1417" s="80" t="str">
        <f>IFERROR(__xludf.DUMMYFUNCTION("""COMPUTED_VALUE"""),"082340384738")</f>
        <v>082340384738</v>
      </c>
      <c r="AH1417" s="80" t="str">
        <f>IFERROR(__xludf.DUMMYFUNCTION("""COMPUTED_VALUE"""),"ernawatiadi74@gmail.com")</f>
        <v>ernawatiadi74@gmail.com</v>
      </c>
      <c r="AI1417" s="80"/>
      <c r="AJ1417" s="80"/>
      <c r="AK1417" s="80"/>
      <c r="AL1417" s="80"/>
      <c r="AM1417" s="80" t="str">
        <f>IFERROR(__xludf.DUMMYFUNCTION("""COMPUTED_VALUE"""),"KANTOR REGIONAL V SURABAYA 60004")</f>
        <v>KANTOR REGIONAL V SURABAYA 60004</v>
      </c>
      <c r="AN1417" s="80" t="str">
        <f>IFERROR(__xludf.DUMMYFUNCTION("""COMPUTED_VALUE"""),"KCU MATARAM 83000")</f>
        <v>KCU MATARAM 83000</v>
      </c>
      <c r="AO1417" s="80" t="str">
        <f>IFERROR(__xludf.DUMMYFUNCTION("""COMPUTED_VALUE"""),"9120118232831")</f>
        <v>9120118232831</v>
      </c>
      <c r="AP1417" s="80" t="str">
        <f>IFERROR(__xludf.DUMMYFUNCTION("""COMPUTED_VALUE"""),"9120118232831")</f>
        <v>9120118232831</v>
      </c>
      <c r="AQ1417" s="83" t="str">
        <f>IFERROR(__xludf.DUMMYFUNCTION("""COMPUTED_VALUE"""),"0801498095")</f>
        <v>0801498095</v>
      </c>
      <c r="AR1417" s="80" t="str">
        <f>IFERROR(__xludf.DUMMYFUNCTION("""COMPUTED_VALUE"""),"BANK BNI")</f>
        <v>BANK BNI</v>
      </c>
      <c r="AS1417" s="80" t="str">
        <f>IFERROR(__xludf.DUMMYFUNCTION("""COMPUTED_VALUE"""),"ERNAWATI")</f>
        <v>ERNAWATI</v>
      </c>
      <c r="AT1417" s="80" t="str">
        <f>IFERROR(__xludf.DUMMYFUNCTION("""COMPUTED_VALUE"""),"-8.593811,116.086545")</f>
        <v>-8.593811,116.086545</v>
      </c>
      <c r="AU1417" s="80" t="str">
        <f>IFERROR(__xludf.DUMMYFUNCTION("""COMPUTED_VALUE"""),"-8.593811,116.086545")</f>
        <v>-8.593811,116.086545</v>
      </c>
      <c r="AV1417" s="80"/>
      <c r="AW1417" s="80"/>
      <c r="AX1417" s="80"/>
      <c r="AY1417" s="80"/>
      <c r="AZ1417" s="80"/>
      <c r="BA1417" s="80"/>
      <c r="BB1417" s="80"/>
      <c r="BC1417" s="80"/>
      <c r="BD1417" s="80"/>
      <c r="BE1417" s="80"/>
      <c r="BF1417" s="80"/>
      <c r="BG1417" s="80"/>
      <c r="BH1417" s="80"/>
      <c r="BI1417" s="80"/>
      <c r="BJ1417" s="80"/>
      <c r="BK1417" s="80"/>
      <c r="BL1417" s="80"/>
      <c r="BM1417" s="80"/>
      <c r="BN1417" s="80"/>
      <c r="BO1417" s="80"/>
      <c r="BP1417" s="80"/>
      <c r="BQ1417" s="80"/>
      <c r="BR1417" s="80"/>
      <c r="BS1417" s="80"/>
      <c r="BT1417" s="80"/>
      <c r="BU1417" s="80"/>
      <c r="BV1417" s="80"/>
      <c r="BW1417" s="80"/>
      <c r="BX1417" s="80"/>
      <c r="BY1417" s="80"/>
      <c r="BZ1417" s="80"/>
      <c r="CA1417" s="80"/>
      <c r="CB1417" s="80"/>
      <c r="CC1417" s="80"/>
      <c r="CD1417" s="80"/>
      <c r="CE1417" s="80"/>
      <c r="CF1417" s="80"/>
      <c r="CG1417" s="80"/>
      <c r="CH1417" s="80"/>
      <c r="CI1417" s="80"/>
      <c r="CJ1417" s="80"/>
      <c r="CK1417" s="2"/>
    </row>
    <row r="1418" ht="12.75" customHeight="1">
      <c r="A1418" s="85">
        <f>IFERROR(__xludf.DUMMYFUNCTION("""COMPUTED_VALUE"""),1414.0)</f>
        <v>1414</v>
      </c>
      <c r="B1418" s="85"/>
      <c r="C1418" s="85"/>
      <c r="D1418" s="86">
        <f>IFERROR(__xludf.DUMMYFUNCTION("""COMPUTED_VALUE"""),46265.0)</f>
        <v>46265</v>
      </c>
      <c r="E1418" s="88"/>
      <c r="F1418" s="85"/>
      <c r="G1418" s="86"/>
      <c r="H1418" s="85"/>
      <c r="I1418" s="85"/>
      <c r="J1418" s="85"/>
      <c r="K1418" s="85"/>
      <c r="L1418" s="85"/>
      <c r="M1418" s="85"/>
      <c r="N1418" s="85"/>
      <c r="O1418" s="85"/>
      <c r="P1418" s="85" t="str">
        <f>IFERROR(__xludf.DUMMYFUNCTION("""COMPUTED_VALUE"""),"MUCSPA70059PSUMK")</f>
        <v>MUCSPA70059PSUMK</v>
      </c>
      <c r="Q1418" s="85" t="str">
        <f>IFERROR(__xludf.DUMMYFUNCTION("""COMPUTED_VALUE"""),"MUC SUKMAJAYA")</f>
        <v>MUC SUKMAJAYA</v>
      </c>
      <c r="R1418" s="85" t="str">
        <f>IFERROR(__xludf.DUMMYFUNCTION("""COMPUTED_VALUE"""),"MUC SUKMAJAYA")</f>
        <v>MUC SUKMAJAYA</v>
      </c>
      <c r="S1418" s="85" t="str">
        <f>IFERROR(__xludf.DUMMYFUNCTION("""COMPUTED_VALUE"""),"FADJAR SYIDIK")</f>
        <v>FADJAR SYIDIK</v>
      </c>
      <c r="T1418" s="85" t="str">
        <f>IFERROR(__xludf.DUMMYFUNCTION("""COMPUTED_VALUE"""),"JL. SUMUR BATU NO.3 RT.006/RW.007 SUMUR BATU KEMAYORAN, JAKARTA PUSAT DKI JAKARTA")</f>
        <v>JL. SUMUR BATU NO.3 RT.006/RW.007 SUMUR BATU KEMAYORAN, JAKARTA PUSAT DKI JAKARTA</v>
      </c>
      <c r="U1418" s="85" t="str">
        <f>IFERROR(__xludf.DUMMYFUNCTION("""COMPUTED_VALUE"""),"Jl. Mahoni Raya no. 13 Rt 01 Rw 011 Baktijaya, Sukmajaya Depok")</f>
        <v>Jl. Mahoni Raya no. 13 Rt 01 Rw 011 Baktijaya, Sukmajaya Depok</v>
      </c>
      <c r="V1418" s="85" t="str">
        <f>IFERROR(__xludf.DUMMYFUNCTION("""COMPUTED_VALUE"""),"RT.006 \ RW.007")</f>
        <v>RT.006 \ RW.007</v>
      </c>
      <c r="W1418" s="85" t="str">
        <f>IFERROR(__xludf.DUMMYFUNCTION("""COMPUTED_VALUE"""),"Baktijaya")</f>
        <v>Baktijaya</v>
      </c>
      <c r="X1418" s="85" t="str">
        <f>IFERROR(__xludf.DUMMYFUNCTION("""COMPUTED_VALUE"""),"Sukmajaya")</f>
        <v>Sukmajaya</v>
      </c>
      <c r="Y1418" s="85" t="str">
        <f>IFERROR(__xludf.DUMMYFUNCTION("""COMPUTED_VALUE"""),"Depok")</f>
        <v>Depok</v>
      </c>
      <c r="Z1418" s="85" t="str">
        <f>IFERROR(__xludf.DUMMYFUNCTION("""COMPUTED_VALUE"""),"Jawa Barat")</f>
        <v>Jawa Barat</v>
      </c>
      <c r="AA1418" s="85" t="str">
        <f>IFERROR(__xludf.DUMMYFUNCTION("""COMPUTED_VALUE"""),"16418")</f>
        <v>16418</v>
      </c>
      <c r="AB1418" s="85" t="str">
        <f>IFERROR(__xludf.DUMMYFUNCTION("""COMPUTED_VALUE"""),"3171032001770005")</f>
        <v>3171032001770005</v>
      </c>
      <c r="AC1418" s="85" t="str">
        <f>IFERROR(__xludf.DUMMYFUNCTION("""COMPUTED_VALUE"""),"59.095.796.5-027.000")</f>
        <v>59.095.796.5-027.000</v>
      </c>
      <c r="AD1418" s="85" t="str">
        <f>IFERROR(__xludf.DUMMYFUNCTION("""COMPUTED_VALUE"""),"CUM - UMKMNK - ASEP")</f>
        <v>CUM - UMKMNK - ASEP</v>
      </c>
      <c r="AE1418" s="85" t="str">
        <f>IFERROR(__xludf.DUMMYFUNCTION("""COMPUTED_VALUE"""),"CUM - UMKMNK - ASEP")</f>
        <v>CUM - UMKMNK - ASEP</v>
      </c>
      <c r="AF1418" s="85" t="str">
        <f>IFERROR(__xludf.DUMMYFUNCTION("""COMPUTED_VALUE"""),"081318513010")</f>
        <v>081318513010</v>
      </c>
      <c r="AG1418" s="85" t="str">
        <f>IFERROR(__xludf.DUMMYFUNCTION("""COMPUTED_VALUE"""),"081318513010")</f>
        <v>081318513010</v>
      </c>
      <c r="AH1418" s="85" t="str">
        <f>IFERROR(__xludf.DUMMYFUNCTION("""COMPUTED_VALUE"""),"fadjar.syidik@gmail.com")</f>
        <v>fadjar.syidik@gmail.com</v>
      </c>
      <c r="AI1418" s="85"/>
      <c r="AJ1418" s="85"/>
      <c r="AK1418" s="85"/>
      <c r="AL1418" s="85"/>
      <c r="AM1418" s="85" t="str">
        <f>IFERROR(__xludf.DUMMYFUNCTION("""COMPUTED_VALUE"""),"KANTOR REGIONAL II JAKARTA 10004")</f>
        <v>KANTOR REGIONAL II JAKARTA 10004</v>
      </c>
      <c r="AN1418" s="85" t="str">
        <f>IFERROR(__xludf.DUMMYFUNCTION("""COMPUTED_VALUE"""),"KC DEPOK 16400")</f>
        <v>KC DEPOK 16400</v>
      </c>
      <c r="AO1418" s="85" t="str">
        <f>IFERROR(__xludf.DUMMYFUNCTION("""COMPUTED_VALUE"""),"3108260020346")</f>
        <v>3108260020346</v>
      </c>
      <c r="AP1418" s="85" t="str">
        <f>IFERROR(__xludf.DUMMYFUNCTION("""COMPUTED_VALUE"""),"3108260020346")</f>
        <v>3108260020346</v>
      </c>
      <c r="AQ1418" s="93" t="str">
        <f>IFERROR(__xludf.DUMMYFUNCTION("""COMPUTED_VALUE"""),"3750023621")</f>
        <v>3750023621</v>
      </c>
      <c r="AR1418" s="85" t="str">
        <f>IFERROR(__xludf.DUMMYFUNCTION("""COMPUTED_VALUE"""),"BCA")</f>
        <v>BCA</v>
      </c>
      <c r="AS1418" s="85" t="str">
        <f>IFERROR(__xludf.DUMMYFUNCTION("""COMPUTED_VALUE"""),"FADJAR SYIDIK")</f>
        <v>FADJAR SYIDIK</v>
      </c>
      <c r="AT1418" s="85" t="str">
        <f>IFERROR(__xludf.DUMMYFUNCTION("""COMPUTED_VALUE"""),"-6.3825223,106.8447822")</f>
        <v>-6.3825223,106.8447822</v>
      </c>
      <c r="AU1418" s="85" t="str">
        <f>IFERROR(__xludf.DUMMYFUNCTION("""COMPUTED_VALUE"""),"-6.3825223,106.8447822")</f>
        <v>-6.3825223,106.8447822</v>
      </c>
      <c r="AV1418" s="85"/>
      <c r="AW1418" s="85"/>
      <c r="AX1418" s="85"/>
      <c r="AY1418" s="85"/>
      <c r="AZ1418" s="85"/>
      <c r="BA1418" s="85"/>
      <c r="BB1418" s="85"/>
      <c r="BC1418" s="85"/>
      <c r="BD1418" s="85"/>
      <c r="BE1418" s="85"/>
      <c r="BF1418" s="85"/>
      <c r="BG1418" s="85"/>
      <c r="BH1418" s="85"/>
      <c r="BI1418" s="85"/>
      <c r="BJ1418" s="85"/>
      <c r="BK1418" s="85"/>
      <c r="BL1418" s="85"/>
      <c r="BM1418" s="85"/>
      <c r="BN1418" s="85"/>
      <c r="BO1418" s="85"/>
      <c r="BP1418" s="85"/>
      <c r="BQ1418" s="85"/>
      <c r="BR1418" s="85"/>
      <c r="BS1418" s="85"/>
      <c r="BT1418" s="85"/>
      <c r="BU1418" s="85"/>
      <c r="BV1418" s="85"/>
      <c r="BW1418" s="85"/>
      <c r="BX1418" s="85"/>
      <c r="BY1418" s="85"/>
      <c r="BZ1418" s="85"/>
      <c r="CA1418" s="85"/>
      <c r="CB1418" s="85"/>
      <c r="CC1418" s="85"/>
      <c r="CD1418" s="85"/>
      <c r="CE1418" s="85"/>
      <c r="CF1418" s="85"/>
      <c r="CG1418" s="85"/>
      <c r="CH1418" s="85"/>
      <c r="CI1418" s="85"/>
      <c r="CJ1418" s="85"/>
      <c r="CK1418" s="2"/>
    </row>
    <row r="1419" ht="12.75" customHeight="1">
      <c r="A1419" s="80">
        <f>IFERROR(__xludf.DUMMYFUNCTION("""COMPUTED_VALUE"""),1415.0)</f>
        <v>1415</v>
      </c>
      <c r="B1419" s="80"/>
      <c r="C1419" s="80"/>
      <c r="D1419" s="81">
        <f>IFERROR(__xludf.DUMMYFUNCTION("""COMPUTED_VALUE"""),46266.0)</f>
        <v>46266</v>
      </c>
      <c r="E1419" s="82"/>
      <c r="F1419" s="80"/>
      <c r="G1419" s="81">
        <f>IFERROR(__xludf.DUMMYFUNCTION("""COMPUTED_VALUE"""),46273.0)</f>
        <v>46273</v>
      </c>
      <c r="H1419" s="80"/>
      <c r="I1419" s="80"/>
      <c r="J1419" s="80"/>
      <c r="K1419" s="80"/>
      <c r="L1419" s="80">
        <f>IFERROR(__xludf.DUMMYFUNCTION("""COMPUTED_VALUE"""),7.0)</f>
        <v>7</v>
      </c>
      <c r="M1419" s="80"/>
      <c r="N1419" s="80"/>
      <c r="O1419" s="80"/>
      <c r="P1419" s="80" t="str">
        <f>IFERROR(__xludf.DUMMYFUNCTION("""COMPUTED_VALUE"""),"52BSPA07932JTYNA")</f>
        <v>52BSPA07932JTYNA</v>
      </c>
      <c r="Q1419" s="80" t="str">
        <f>IFERROR(__xludf.DUMMYFUNCTION("""COMPUTED_VALUE"""),"MUC UNS")</f>
        <v>MUC UNS</v>
      </c>
      <c r="R1419" s="80" t="str">
        <f>IFERROR(__xludf.DUMMYFUNCTION("""COMPUTED_VALUE"""),"MUC UNS")</f>
        <v>MUC UNS</v>
      </c>
      <c r="S1419" s="80" t="str">
        <f>IFERROR(__xludf.DUMMYFUNCTION("""COMPUTED_VALUE"""),"GALUH BULAN GERHANASARI")</f>
        <v>GALUH BULAN GERHANASARI</v>
      </c>
      <c r="T1419" s="80" t="str">
        <f>IFERROR(__xludf.DUMMYFUNCTION("""COMPUTED_VALUE"""),"PETORAN RT.001/RW.009 JEBRES JEBRES, KOTA SURAKARTA JAWA TENGAH")</f>
        <v>PETORAN RT.001/RW.009 JEBRES JEBRES, KOTA SURAKARTA JAWA TENGAH</v>
      </c>
      <c r="U1419" s="80" t="str">
        <f>IFERROR(__xludf.DUMMYFUNCTION("""COMPUTED_VALUE"""),"Jl. Ir. Sutami No.54, Pucangsawit, Kec. Jebres, Kota Surakarta, Jawa Tengah")</f>
        <v>Jl. Ir. Sutami No.54, Pucangsawit, Kec. Jebres, Kota Surakarta, Jawa Tengah</v>
      </c>
      <c r="V1419" s="80" t="str">
        <f>IFERROR(__xludf.DUMMYFUNCTION("""COMPUTED_VALUE"""),"RT.001 \ RW.009")</f>
        <v>RT.001 \ RW.009</v>
      </c>
      <c r="W1419" s="80" t="str">
        <f>IFERROR(__xludf.DUMMYFUNCTION("""COMPUTED_VALUE"""),"Pucangsawit")</f>
        <v>Pucangsawit</v>
      </c>
      <c r="X1419" s="80" t="str">
        <f>IFERROR(__xludf.DUMMYFUNCTION("""COMPUTED_VALUE"""),"Jebres")</f>
        <v>Jebres</v>
      </c>
      <c r="Y1419" s="80" t="str">
        <f>IFERROR(__xludf.DUMMYFUNCTION("""COMPUTED_VALUE"""),"Surakarta")</f>
        <v>Surakarta</v>
      </c>
      <c r="Z1419" s="80" t="str">
        <f>IFERROR(__xludf.DUMMYFUNCTION("""COMPUTED_VALUE"""),"Jawa Tengah")</f>
        <v>Jawa Tengah</v>
      </c>
      <c r="AA1419" s="80" t="str">
        <f>IFERROR(__xludf.DUMMYFUNCTION("""COMPUTED_VALUE"""),"57125")</f>
        <v>57125</v>
      </c>
      <c r="AB1419" s="80" t="str">
        <f>IFERROR(__xludf.DUMMYFUNCTION("""COMPUTED_VALUE"""),"3372044506930002")</f>
        <v>3372044506930002</v>
      </c>
      <c r="AC1419" s="80" t="str">
        <f>IFERROR(__xludf.DUMMYFUNCTION("""COMPUTED_VALUE"""),"83.320.712.9-526.000")</f>
        <v>83.320.712.9-526.000</v>
      </c>
      <c r="AD1419" s="80" t="str">
        <f>IFERROR(__xludf.DUMMYFUNCTION("""COMPUTED_VALUE"""),"CUM - YNA")</f>
        <v>CUM - YNA</v>
      </c>
      <c r="AE1419" s="80" t="str">
        <f>IFERROR(__xludf.DUMMYFUNCTION("""COMPUTED_VALUE"""),"CUM - YNA")</f>
        <v>CUM - YNA</v>
      </c>
      <c r="AF1419" s="80" t="str">
        <f>IFERROR(__xludf.DUMMYFUNCTION("""COMPUTED_VALUE"""),"081328311139")</f>
        <v>081328311139</v>
      </c>
      <c r="AG1419" s="80" t="str">
        <f>IFERROR(__xludf.DUMMYFUNCTION("""COMPUTED_VALUE"""),"081328311139")</f>
        <v>081328311139</v>
      </c>
      <c r="AH1419" s="80" t="str">
        <f>IFERROR(__xludf.DUMMYFUNCTION("""COMPUTED_VALUE"""),"postingyes@gmail.com")</f>
        <v>postingyes@gmail.com</v>
      </c>
      <c r="AI1419" s="80" t="str">
        <f>IFERROR(__xludf.DUMMYFUNCTION("""COMPUTED_VALUE"""),"57125S1")</f>
        <v>57125S1</v>
      </c>
      <c r="AJ1419" s="80" t="str">
        <f>IFERROR(__xludf.DUMMYFUNCTION("""COMPUTED_VALUE"""),"6a9fb5c9b24b94cfad04794f")</f>
        <v>6a9fb5c9b24b94cfad04794f</v>
      </c>
      <c r="AK1419" s="80" t="str">
        <f>IFERROR(__xludf.DUMMYFUNCTION("""COMPUTED_VALUE"""),"postingyes@gmail.com")</f>
        <v>postingyes@gmail.com</v>
      </c>
      <c r="AL1419" s="80" t="str">
        <f>IFERROR(__xludf.DUMMYFUNCTION("""COMPUTED_VALUE"""),"#Muc57125S1$")</f>
        <v>#Muc57125S1$</v>
      </c>
      <c r="AM1419" s="80" t="str">
        <f>IFERROR(__xludf.DUMMYFUNCTION("""COMPUTED_VALUE"""),"KANTOR REGIONAL IV SEMARANG 50004")</f>
        <v>KANTOR REGIONAL IV SEMARANG 50004</v>
      </c>
      <c r="AN1419" s="80" t="str">
        <f>IFERROR(__xludf.DUMMYFUNCTION("""COMPUTED_VALUE"""),"KCU SOLO 57100")</f>
        <v>KCU SOLO 57100</v>
      </c>
      <c r="AO1419" s="80" t="str">
        <f>IFERROR(__xludf.DUMMYFUNCTION("""COMPUTED_VALUE"""),"2201260050869")</f>
        <v>2201260050869</v>
      </c>
      <c r="AP1419" s="80" t="str">
        <f>IFERROR(__xludf.DUMMYFUNCTION("""COMPUTED_VALUE"""),"2201260050869")</f>
        <v>2201260050869</v>
      </c>
      <c r="AQ1419" s="83" t="str">
        <f>IFERROR(__xludf.DUMMYFUNCTION("""COMPUTED_VALUE"""),"309501028891536")</f>
        <v>309501028891536</v>
      </c>
      <c r="AR1419" s="80" t="str">
        <f>IFERROR(__xludf.DUMMYFUNCTION("""COMPUTED_VALUE"""),"BRI")</f>
        <v>BRI</v>
      </c>
      <c r="AS1419" s="80" t="str">
        <f>IFERROR(__xludf.DUMMYFUNCTION("""COMPUTED_VALUE"""),"GALUH BULAN GERHANASARI")</f>
        <v>GALUH BULAN GERHANASARI</v>
      </c>
      <c r="AT1419" s="80" t="str">
        <f>IFERROR(__xludf.DUMMYFUNCTION("""COMPUTED_VALUE"""),"-7.5633341,110.8482459")</f>
        <v>-7.5633341,110.8482459</v>
      </c>
      <c r="AU1419" s="80" t="str">
        <f>IFERROR(__xludf.DUMMYFUNCTION("""COMPUTED_VALUE"""),"-7.5633341,110.8482459")</f>
        <v>-7.5633341,110.8482459</v>
      </c>
      <c r="AV1419" s="80"/>
      <c r="AW1419" s="80"/>
      <c r="AX1419" s="80"/>
      <c r="AY1419" s="80"/>
      <c r="AZ1419" s="80"/>
      <c r="BA1419" s="80"/>
      <c r="BB1419" s="80"/>
      <c r="BC1419" s="80"/>
      <c r="BD1419" s="80"/>
      <c r="BE1419" s="80"/>
      <c r="BF1419" s="80"/>
      <c r="BG1419" s="80"/>
      <c r="BH1419" s="80"/>
      <c r="BI1419" s="80"/>
      <c r="BJ1419" s="80"/>
      <c r="BK1419" s="80"/>
      <c r="BL1419" s="80"/>
      <c r="BM1419" s="80"/>
      <c r="BN1419" s="80"/>
      <c r="BO1419" s="80"/>
      <c r="BP1419" s="80"/>
      <c r="BQ1419" s="80"/>
      <c r="BR1419" s="80"/>
      <c r="BS1419" s="80"/>
      <c r="BT1419" s="80"/>
      <c r="BU1419" s="80"/>
      <c r="BV1419" s="80"/>
      <c r="BW1419" s="80"/>
      <c r="BX1419" s="80"/>
      <c r="BY1419" s="80"/>
      <c r="BZ1419" s="80"/>
      <c r="CA1419" s="80"/>
      <c r="CB1419" s="80"/>
      <c r="CC1419" s="80"/>
      <c r="CD1419" s="80"/>
      <c r="CE1419" s="80"/>
      <c r="CF1419" s="80"/>
      <c r="CG1419" s="80"/>
      <c r="CH1419" s="80"/>
      <c r="CI1419" s="80"/>
      <c r="CJ1419" s="80"/>
      <c r="CK1419" s="2"/>
    </row>
    <row r="1420" ht="12.75" customHeight="1">
      <c r="A1420" s="85">
        <f>IFERROR(__xludf.DUMMYFUNCTION("""COMPUTED_VALUE"""),1416.0)</f>
        <v>1416</v>
      </c>
      <c r="B1420" s="85"/>
      <c r="C1420" s="85"/>
      <c r="D1420" s="86">
        <f>IFERROR(__xludf.DUMMYFUNCTION("""COMPUTED_VALUE"""),46266.0)</f>
        <v>46266</v>
      </c>
      <c r="E1420" s="88"/>
      <c r="F1420" s="85"/>
      <c r="G1420" s="86"/>
      <c r="H1420" s="85"/>
      <c r="I1420" s="85"/>
      <c r="J1420" s="85"/>
      <c r="K1420" s="85"/>
      <c r="L1420" s="85"/>
      <c r="M1420" s="85"/>
      <c r="N1420" s="85"/>
      <c r="O1420" s="85"/>
      <c r="P1420" s="85" t="str">
        <f>IFERROR(__xludf.DUMMYFUNCTION("""COMPUTED_VALUE"""),"MUCSPA63668PSIND")</f>
        <v>MUCSPA63668PSIND</v>
      </c>
      <c r="Q1420" s="85" t="str">
        <f>IFERROR(__xludf.DUMMYFUNCTION("""COMPUTED_VALUE"""),"MUC GAMPING EKSPEDISI")</f>
        <v>MUC GAMPING EKSPEDISI</v>
      </c>
      <c r="R1420" s="85" t="str">
        <f>IFERROR(__xludf.DUMMYFUNCTION("""COMPUTED_VALUE"""),"MUC GAMPING EKSPEDISI")</f>
        <v>MUC GAMPING EKSPEDISI</v>
      </c>
      <c r="S1420" s="85" t="str">
        <f>IFERROR(__xludf.DUMMYFUNCTION("""COMPUTED_VALUE"""),"NICALAUS BIMA ADE WICAKSONO")</f>
        <v>NICALAUS BIMA ADE WICAKSONO</v>
      </c>
      <c r="T1420" s="85" t="str">
        <f>IFERROR(__xludf.DUMMYFUNCTION("""COMPUTED_VALUE"""),"KARANGMALANG A-40 RT.002/RW.001 CATURTUNGGAL DEPOK KABUPATEN SLEMAN DAERAH ISTIMEWA YOGYAKARTA")</f>
        <v>KARANGMALANG A-40 RT.002/RW.001 CATURTUNGGAL DEPOK KABUPATEN SLEMAN DAERAH ISTIMEWA YOGYAKARTA</v>
      </c>
      <c r="U1420" s="85" t="str">
        <f>IFERROR(__xludf.DUMMYFUNCTION("""COMPUTED_VALUE"""),"Jl. Kabupaten No.km.1, Area Sawah")</f>
        <v>Jl. Kabupaten No.km.1, Area Sawah</v>
      </c>
      <c r="V1420" s="85" t="str">
        <f>IFERROR(__xludf.DUMMYFUNCTION("""COMPUTED_VALUE"""),"RT.002 \ RW.001")</f>
        <v>RT.002 \ RW.001</v>
      </c>
      <c r="W1420" s="85" t="str">
        <f>IFERROR(__xludf.DUMMYFUNCTION("""COMPUTED_VALUE"""),"Nogotirto")</f>
        <v>Nogotirto</v>
      </c>
      <c r="X1420" s="85" t="str">
        <f>IFERROR(__xludf.DUMMYFUNCTION("""COMPUTED_VALUE"""),"Gamping")</f>
        <v>Gamping</v>
      </c>
      <c r="Y1420" s="85" t="str">
        <f>IFERROR(__xludf.DUMMYFUNCTION("""COMPUTED_VALUE"""),"Kab. Sleman")</f>
        <v>Kab. Sleman</v>
      </c>
      <c r="Z1420" s="85" t="str">
        <f>IFERROR(__xludf.DUMMYFUNCTION("""COMPUTED_VALUE"""),"Daerah Istimewa Yogyakarta")</f>
        <v>Daerah Istimewa Yogyakarta</v>
      </c>
      <c r="AA1420" s="85" t="str">
        <f>IFERROR(__xludf.DUMMYFUNCTION("""COMPUTED_VALUE"""),"55592")</f>
        <v>55592</v>
      </c>
      <c r="AB1420" s="85" t="str">
        <f>IFERROR(__xludf.DUMMYFUNCTION("""COMPUTED_VALUE"""),"3401091303930002")</f>
        <v>3401091303930002</v>
      </c>
      <c r="AC1420" s="85" t="str">
        <f>IFERROR(__xludf.DUMMYFUNCTION("""COMPUTED_VALUE"""),"25.702.551.0-544.000")</f>
        <v>25.702.551.0-544.000</v>
      </c>
      <c r="AD1420" s="85" t="str">
        <f>IFERROR(__xludf.DUMMYFUNCTION("""COMPUTED_VALUE"""),"Pak Adit Pos KCU Yogyakarta")</f>
        <v>Pak Adit Pos KCU Yogyakarta</v>
      </c>
      <c r="AE1420" s="85" t="str">
        <f>IFERROR(__xludf.DUMMYFUNCTION("""COMPUTED_VALUE"""),"Pak Adit Pos KCU Yogyakarta")</f>
        <v>Pak Adit Pos KCU Yogyakarta</v>
      </c>
      <c r="AF1420" s="85" t="str">
        <f>IFERROR(__xludf.DUMMYFUNCTION("""COMPUTED_VALUE"""),"081332877607")</f>
        <v>081332877607</v>
      </c>
      <c r="AG1420" s="85" t="str">
        <f>IFERROR(__xludf.DUMMYFUNCTION("""COMPUTED_VALUE"""),"081332877607")</f>
        <v>081332877607</v>
      </c>
      <c r="AH1420" s="85" t="str">
        <f>IFERROR(__xludf.DUMMYFUNCTION("""COMPUTED_VALUE"""),"gamping.ekspedisi@gmail.com")</f>
        <v>gamping.ekspedisi@gmail.com</v>
      </c>
      <c r="AI1420" s="85"/>
      <c r="AJ1420" s="85"/>
      <c r="AK1420" s="85"/>
      <c r="AL1420" s="85"/>
      <c r="AM1420" s="85" t="str">
        <f>IFERROR(__xludf.DUMMYFUNCTION("""COMPUTED_VALUE"""),"KANTOR REGIONAL IV SEMARANG 50004")</f>
        <v>KANTOR REGIONAL IV SEMARANG 50004</v>
      </c>
      <c r="AN1420" s="85" t="str">
        <f>IFERROR(__xludf.DUMMYFUNCTION("""COMPUTED_VALUE"""),"KCU YOGYAKARTA 55000")</f>
        <v>KCU YOGYAKARTA 55000</v>
      </c>
      <c r="AO1420" s="85" t="str">
        <f>IFERROR(__xludf.DUMMYFUNCTION("""COMPUTED_VALUE"""),"0305230053907")</f>
        <v>0305230053907</v>
      </c>
      <c r="AP1420" s="85" t="str">
        <f>IFERROR(__xludf.DUMMYFUNCTION("""COMPUTED_VALUE"""),"0305230053907")</f>
        <v>0305230053907</v>
      </c>
      <c r="AQ1420" s="93" t="str">
        <f>IFERROR(__xludf.DUMMYFUNCTION("""COMPUTED_VALUE"""),"1370007652973")</f>
        <v>1370007652973</v>
      </c>
      <c r="AR1420" s="85" t="str">
        <f>IFERROR(__xludf.DUMMYFUNCTION("""COMPUTED_VALUE"""),"MANDIRI")</f>
        <v>MANDIRI</v>
      </c>
      <c r="AS1420" s="85" t="str">
        <f>IFERROR(__xludf.DUMMYFUNCTION("""COMPUTED_VALUE"""),"NICALAUS BIMA ADE WICAKSONO")</f>
        <v>NICALAUS BIMA ADE WICAKSONO</v>
      </c>
      <c r="AT1420" s="85" t="str">
        <f>IFERROR(__xludf.DUMMYFUNCTION("""COMPUTED_VALUE"""),"-7.77175,110.3428056")</f>
        <v>-7.77175,110.3428056</v>
      </c>
      <c r="AU1420" s="85" t="str">
        <f>IFERROR(__xludf.DUMMYFUNCTION("""COMPUTED_VALUE"""),"-7.77175,110.3428056")</f>
        <v>-7.77175,110.3428056</v>
      </c>
      <c r="AV1420" s="85"/>
      <c r="AW1420" s="85"/>
      <c r="AX1420" s="85"/>
      <c r="AY1420" s="85"/>
      <c r="AZ1420" s="85"/>
      <c r="BA1420" s="85"/>
      <c r="BB1420" s="85"/>
      <c r="BC1420" s="85"/>
      <c r="BD1420" s="85"/>
      <c r="BE1420" s="85"/>
      <c r="BF1420" s="85"/>
      <c r="BG1420" s="85"/>
      <c r="BH1420" s="85"/>
      <c r="BI1420" s="85"/>
      <c r="BJ1420" s="85"/>
      <c r="BK1420" s="85"/>
      <c r="BL1420" s="85"/>
      <c r="BM1420" s="85"/>
      <c r="BN1420" s="85"/>
      <c r="BO1420" s="85"/>
      <c r="BP1420" s="85"/>
      <c r="BQ1420" s="85"/>
      <c r="BR1420" s="85"/>
      <c r="BS1420" s="85"/>
      <c r="BT1420" s="85"/>
      <c r="BU1420" s="85"/>
      <c r="BV1420" s="85"/>
      <c r="BW1420" s="85"/>
      <c r="BX1420" s="85"/>
      <c r="BY1420" s="85"/>
      <c r="BZ1420" s="85"/>
      <c r="CA1420" s="85"/>
      <c r="CB1420" s="85"/>
      <c r="CC1420" s="85"/>
      <c r="CD1420" s="85"/>
      <c r="CE1420" s="85"/>
      <c r="CF1420" s="85"/>
      <c r="CG1420" s="85"/>
      <c r="CH1420" s="85"/>
      <c r="CI1420" s="85"/>
      <c r="CJ1420" s="85"/>
      <c r="CK1420" s="2"/>
    </row>
    <row r="1421" ht="12.75" customHeight="1">
      <c r="A1421" s="80">
        <f>IFERROR(__xludf.DUMMYFUNCTION("""COMPUTED_VALUE"""),1417.0)</f>
        <v>1417</v>
      </c>
      <c r="B1421" s="80"/>
      <c r="C1421" s="80"/>
      <c r="D1421" s="81">
        <f>IFERROR(__xludf.DUMMYFUNCTION("""COMPUTED_VALUE"""),46266.0)</f>
        <v>46266</v>
      </c>
      <c r="E1421" s="82"/>
      <c r="F1421" s="80"/>
      <c r="G1421" s="81"/>
      <c r="H1421" s="80"/>
      <c r="I1421" s="80"/>
      <c r="J1421" s="80"/>
      <c r="K1421" s="80"/>
      <c r="L1421" s="80"/>
      <c r="M1421" s="80"/>
      <c r="N1421" s="80"/>
      <c r="O1421" s="80"/>
      <c r="P1421" s="80" t="str">
        <f>IFERROR(__xludf.DUMMYFUNCTION("""COMPUTED_VALUE"""),"53BSPA17096JBABD")</f>
        <v>53BSPA17096JBABD</v>
      </c>
      <c r="Q1421" s="80" t="str">
        <f>IFERROR(__xludf.DUMMYFUNCTION("""COMPUTED_VALUE"""),"MUC PUTRA MANDIRI")</f>
        <v>MUC PUTRA MANDIRI</v>
      </c>
      <c r="R1421" s="80" t="str">
        <f>IFERROR(__xludf.DUMMYFUNCTION("""COMPUTED_VALUE"""),"MUC PUTRA MANDIRI")</f>
        <v>MUC PUTRA MANDIRI</v>
      </c>
      <c r="S1421" s="80" t="str">
        <f>IFERROR(__xludf.DUMMYFUNCTION("""COMPUTED_VALUE"""),"AIMAN")</f>
        <v>AIMAN</v>
      </c>
      <c r="T1421" s="80" t="str">
        <f>IFERROR(__xludf.DUMMYFUNCTION("""COMPUTED_VALUE"""),"BLOK BABAKAN RT.002/RW.010 CIDULANG CIKIJING, KABUPATEN MAJALENGKA JAWA BARAT")</f>
        <v>BLOK BABAKAN RT.002/RW.010 CIDULANG CIKIJING, KABUPATEN MAJALENGKA JAWA BARAT</v>
      </c>
      <c r="U1421" s="80" t="str">
        <f>IFERROR(__xludf.DUMMYFUNCTION("""COMPUTED_VALUE"""),"Blok Babakan RT.02 RW.10 Ds. Cidulang Kec. Cikijing Kab. Majalengka")</f>
        <v>Blok Babakan RT.02 RW.10 Ds. Cidulang Kec. Cikijing Kab. Majalengka</v>
      </c>
      <c r="V1421" s="80" t="str">
        <f>IFERROR(__xludf.DUMMYFUNCTION("""COMPUTED_VALUE"""),"RT.002 \ RW.010")</f>
        <v>RT.002 \ RW.010</v>
      </c>
      <c r="W1421" s="80" t="str">
        <f>IFERROR(__xludf.DUMMYFUNCTION("""COMPUTED_VALUE"""),"Cidulang")</f>
        <v>Cidulang</v>
      </c>
      <c r="X1421" s="80" t="str">
        <f>IFERROR(__xludf.DUMMYFUNCTION("""COMPUTED_VALUE"""),"Cikijing")</f>
        <v>Cikijing</v>
      </c>
      <c r="Y1421" s="80" t="str">
        <f>IFERROR(__xludf.DUMMYFUNCTION("""COMPUTED_VALUE"""),"Kab. Majalengka")</f>
        <v>Kab. Majalengka</v>
      </c>
      <c r="Z1421" s="80" t="str">
        <f>IFERROR(__xludf.DUMMYFUNCTION("""COMPUTED_VALUE"""),"Jawa Barat")</f>
        <v>Jawa Barat</v>
      </c>
      <c r="AA1421" s="80" t="str">
        <f>IFERROR(__xludf.DUMMYFUNCTION("""COMPUTED_VALUE"""),"45466")</f>
        <v>45466</v>
      </c>
      <c r="AB1421" s="80" t="str">
        <f>IFERROR(__xludf.DUMMYFUNCTION("""COMPUTED_VALUE"""),"3210031509930002")</f>
        <v>3210031509930002</v>
      </c>
      <c r="AC1421" s="80" t="str">
        <f>IFERROR(__xludf.DUMMYFUNCTION("""COMPUTED_VALUE"""),"76.625.002.1-438.000")</f>
        <v>76.625.002.1-438.000</v>
      </c>
      <c r="AD1421" s="80" t="str">
        <f>IFERROR(__xludf.DUMMYFUNCTION("""COMPUTED_VALUE"""),"CUM - ABD")</f>
        <v>CUM - ABD</v>
      </c>
      <c r="AE1421" s="80" t="str">
        <f>IFERROR(__xludf.DUMMYFUNCTION("""COMPUTED_VALUE"""),"CUM - ABD")</f>
        <v>CUM - ABD</v>
      </c>
      <c r="AF1421" s="80" t="str">
        <f>IFERROR(__xludf.DUMMYFUNCTION("""COMPUTED_VALUE"""),"082318604973")</f>
        <v>082318604973</v>
      </c>
      <c r="AG1421" s="80" t="str">
        <f>IFERROR(__xludf.DUMMYFUNCTION("""COMPUTED_VALUE"""),"082318604973")</f>
        <v>082318604973</v>
      </c>
      <c r="AH1421" s="80" t="str">
        <f>IFERROR(__xludf.DUMMYFUNCTION("""COMPUTED_VALUE"""),"airinpbs@gmail.com")</f>
        <v>airinpbs@gmail.com</v>
      </c>
      <c r="AI1421" s="80"/>
      <c r="AJ1421" s="80"/>
      <c r="AK1421" s="80"/>
      <c r="AL1421" s="80"/>
      <c r="AM1421" s="80" t="str">
        <f>IFERROR(__xludf.DUMMYFUNCTION("""COMPUTED_VALUE"""),"KANTOR REGIONAL III BANDUNG 40004")</f>
        <v>KANTOR REGIONAL III BANDUNG 40004</v>
      </c>
      <c r="AN1421" s="80" t="str">
        <f>IFERROR(__xludf.DUMMYFUNCTION("""COMPUTED_VALUE"""),"KC MAJALENGKA 45400")</f>
        <v>KC MAJALENGKA 45400</v>
      </c>
      <c r="AO1421" s="80" t="str">
        <f>IFERROR(__xludf.DUMMYFUNCTION("""COMPUTED_VALUE"""),"3108260057022")</f>
        <v>3108260057022</v>
      </c>
      <c r="AP1421" s="80" t="str">
        <f>IFERROR(__xludf.DUMMYFUNCTION("""COMPUTED_VALUE"""),"3108260057022")</f>
        <v>3108260057022</v>
      </c>
      <c r="AQ1421" s="83" t="str">
        <f>IFERROR(__xludf.DUMMYFUNCTION("""COMPUTED_VALUE"""),"1340013532022")</f>
        <v>1340013532022</v>
      </c>
      <c r="AR1421" s="80" t="str">
        <f>IFERROR(__xludf.DUMMYFUNCTION("""COMPUTED_VALUE"""),"MANDIRI")</f>
        <v>MANDIRI</v>
      </c>
      <c r="AS1421" s="80" t="str">
        <f>IFERROR(__xludf.DUMMYFUNCTION("""COMPUTED_VALUE"""),"AIMAN")</f>
        <v>AIMAN</v>
      </c>
      <c r="AT1421" s="80" t="str">
        <f>IFERROR(__xludf.DUMMYFUNCTION("""COMPUTED_VALUE"""),"-7.019345,108.3751099")</f>
        <v>-7.019345,108.3751099</v>
      </c>
      <c r="AU1421" s="80" t="str">
        <f>IFERROR(__xludf.DUMMYFUNCTION("""COMPUTED_VALUE"""),"-7.019345,108.3751099")</f>
        <v>-7.019345,108.3751099</v>
      </c>
      <c r="AV1421" s="80"/>
      <c r="AW1421" s="80"/>
      <c r="AX1421" s="80"/>
      <c r="AY1421" s="80"/>
      <c r="AZ1421" s="80"/>
      <c r="BA1421" s="80"/>
      <c r="BB1421" s="80"/>
      <c r="BC1421" s="80"/>
      <c r="BD1421" s="80"/>
      <c r="BE1421" s="80"/>
      <c r="BF1421" s="80"/>
      <c r="BG1421" s="80"/>
      <c r="BH1421" s="80"/>
      <c r="BI1421" s="80"/>
      <c r="BJ1421" s="80"/>
      <c r="BK1421" s="80"/>
      <c r="BL1421" s="80"/>
      <c r="BM1421" s="80"/>
      <c r="BN1421" s="80"/>
      <c r="BO1421" s="80"/>
      <c r="BP1421" s="80"/>
      <c r="BQ1421" s="80"/>
      <c r="BR1421" s="80"/>
      <c r="BS1421" s="80"/>
      <c r="BT1421" s="80"/>
      <c r="BU1421" s="80"/>
      <c r="BV1421" s="80"/>
      <c r="BW1421" s="80"/>
      <c r="BX1421" s="80"/>
      <c r="BY1421" s="80"/>
      <c r="BZ1421" s="80"/>
      <c r="CA1421" s="80"/>
      <c r="CB1421" s="80"/>
      <c r="CC1421" s="80"/>
      <c r="CD1421" s="80"/>
      <c r="CE1421" s="80"/>
      <c r="CF1421" s="80"/>
      <c r="CG1421" s="80"/>
      <c r="CH1421" s="80"/>
      <c r="CI1421" s="80"/>
      <c r="CJ1421" s="80"/>
      <c r="CK1421" s="2"/>
    </row>
    <row r="1422" ht="12.75" customHeight="1">
      <c r="A1422" s="85">
        <f>IFERROR(__xludf.DUMMYFUNCTION("""COMPUTED_VALUE"""),1418.0)</f>
        <v>1418</v>
      </c>
      <c r="B1422" s="85"/>
      <c r="C1422" s="85"/>
      <c r="D1422" s="86">
        <f>IFERROR(__xludf.DUMMYFUNCTION("""COMPUTED_VALUE"""),46266.0)</f>
        <v>46266</v>
      </c>
      <c r="E1422" s="88"/>
      <c r="F1422" s="85"/>
      <c r="G1422" s="86"/>
      <c r="H1422" s="85"/>
      <c r="I1422" s="85"/>
      <c r="J1422" s="85"/>
      <c r="K1422" s="85"/>
      <c r="L1422" s="85"/>
      <c r="M1422" s="85"/>
      <c r="N1422" s="85"/>
      <c r="O1422" s="85"/>
      <c r="P1422" s="85" t="str">
        <f>IFERROR(__xludf.DUMMYFUNCTION("""COMPUTED_VALUE"""),"MUC70176UMKMDSN1")</f>
        <v>MUC70176UMKMDSN1</v>
      </c>
      <c r="Q1422" s="85" t="str">
        <f>IFERROR(__xludf.DUMMYFUNCTION("""COMPUTED_VALUE"""),"MUC SS BERKAH GEMILANG")</f>
        <v>MUC SS BERKAH GEMILANG</v>
      </c>
      <c r="R1422" s="85" t="str">
        <f>IFERROR(__xludf.DUMMYFUNCTION("""COMPUTED_VALUE"""),"MUC SS BERKAH GEMILANG")</f>
        <v>MUC SS BERKAH GEMILANG</v>
      </c>
      <c r="S1422" s="85" t="str">
        <f>IFERROR(__xludf.DUMMYFUNCTION("""COMPUTED_VALUE"""),"SEPTINA FITRI KURNIAWATI")</f>
        <v>SEPTINA FITRI KURNIAWATI</v>
      </c>
      <c r="T1422" s="85" t="str">
        <f>IFERROR(__xludf.DUMMYFUNCTION("""COMPUTED_VALUE"""),"GRIYA PERUM MANDALA TAMA BLOK 20 NO 24 RT.003/006 KARANGLEWAS KIDUL KARANGLEWAS, KABUPATEN BANYUMAS JAWA TENGAH")</f>
        <v>GRIYA PERUM MANDALA TAMA BLOK 20 NO 24 RT.003/006 KARANGLEWAS KIDUL KARANGLEWAS, KABUPATEN BANYUMAS JAWA TENGAH</v>
      </c>
      <c r="U1422" s="85" t="str">
        <f>IFERROR(__xludf.DUMMYFUNCTION("""COMPUTED_VALUE"""),"Grumbul Karang Jengkol RT.08/01 Sambirata Kec. Cilongok Kab. Banyumas Jawa Tengah")</f>
        <v>Grumbul Karang Jengkol RT.08/01 Sambirata Kec. Cilongok Kab. Banyumas Jawa Tengah</v>
      </c>
      <c r="V1422" s="85"/>
      <c r="W1422" s="85" t="str">
        <f>IFERROR(__xludf.DUMMYFUNCTION("""COMPUTED_VALUE"""),"Sambirata")</f>
        <v>Sambirata</v>
      </c>
      <c r="X1422" s="85" t="str">
        <f>IFERROR(__xludf.DUMMYFUNCTION("""COMPUTED_VALUE"""),"Cilongok")</f>
        <v>Cilongok</v>
      </c>
      <c r="Y1422" s="85" t="str">
        <f>IFERROR(__xludf.DUMMYFUNCTION("""COMPUTED_VALUE"""),"Banyumas")</f>
        <v>Banyumas</v>
      </c>
      <c r="Z1422" s="85" t="str">
        <f>IFERROR(__xludf.DUMMYFUNCTION("""COMPUTED_VALUE"""),"Jawa Tengah")</f>
        <v>Jawa Tengah</v>
      </c>
      <c r="AA1422" s="85" t="str">
        <f>IFERROR(__xludf.DUMMYFUNCTION("""COMPUTED_VALUE"""),"53162")</f>
        <v>53162</v>
      </c>
      <c r="AB1422" s="85" t="str">
        <f>IFERROR(__xludf.DUMMYFUNCTION("""COMPUTED_VALUE"""),"3302025409770001")</f>
        <v>3302025409770001</v>
      </c>
      <c r="AC1422" s="85" t="str">
        <f>IFERROR(__xludf.DUMMYFUNCTION("""COMPUTED_VALUE"""),"61.356.422.8-521.000")</f>
        <v>61.356.422.8-521.000</v>
      </c>
      <c r="AD1422" s="85" t="str">
        <f>IFERROR(__xludf.DUMMYFUNCTION("""COMPUTED_VALUE"""),"CUM - UNK - DEKOPIN SITI")</f>
        <v>CUM - UNK - DEKOPIN SITI</v>
      </c>
      <c r="AE1422" s="85" t="str">
        <f>IFERROR(__xludf.DUMMYFUNCTION("""COMPUTED_VALUE"""),"CUM - UNK - DEKOPIN SITI")</f>
        <v>CUM - UNK - DEKOPIN SITI</v>
      </c>
      <c r="AF1422" s="85" t="str">
        <f>IFERROR(__xludf.DUMMYFUNCTION("""COMPUTED_VALUE"""),"082220049919")</f>
        <v>082220049919</v>
      </c>
      <c r="AG1422" s="85" t="str">
        <f>IFERROR(__xludf.DUMMYFUNCTION("""COMPUTED_VALUE"""),"082220049919")</f>
        <v>082220049919</v>
      </c>
      <c r="AH1422" s="85" t="str">
        <f>IFERROR(__xludf.DUMMYFUNCTION("""COMPUTED_VALUE"""),"septinafk.14977@gmail.com")</f>
        <v>septinafk.14977@gmail.com</v>
      </c>
      <c r="AI1422" s="85"/>
      <c r="AJ1422" s="85"/>
      <c r="AK1422" s="85"/>
      <c r="AL1422" s="85"/>
      <c r="AM1422" s="85" t="str">
        <f>IFERROR(__xludf.DUMMYFUNCTION("""COMPUTED_VALUE"""),"KANTOR REGIONAL IV SEMARANG 50004")</f>
        <v>KANTOR REGIONAL IV SEMARANG 50004</v>
      </c>
      <c r="AN1422" s="85" t="str">
        <f>IFERROR(__xludf.DUMMYFUNCTION("""COMPUTED_VALUE"""),"KCU PURWOKERTO 53100")</f>
        <v>KCU PURWOKERTO 53100</v>
      </c>
      <c r="AO1422" s="85" t="str">
        <f>IFERROR(__xludf.DUMMYFUNCTION("""COMPUTED_VALUE"""),"2108260070973")</f>
        <v>2108260070973</v>
      </c>
      <c r="AP1422" s="85" t="str">
        <f>IFERROR(__xludf.DUMMYFUNCTION("""COMPUTED_VALUE"""),"2108260070973")</f>
        <v>2108260070973</v>
      </c>
      <c r="AQ1422" s="93" t="str">
        <f>IFERROR(__xludf.DUMMYFUNCTION("""COMPUTED_VALUE"""),"0463244861")</f>
        <v>0463244861</v>
      </c>
      <c r="AR1422" s="85" t="str">
        <f>IFERROR(__xludf.DUMMYFUNCTION("""COMPUTED_VALUE"""),"BCA")</f>
        <v>BCA</v>
      </c>
      <c r="AS1422" s="85" t="str">
        <f>IFERROR(__xludf.DUMMYFUNCTION("""COMPUTED_VALUE"""),"SEPTINA FITRI KURNIAWATI")</f>
        <v>SEPTINA FITRI KURNIAWATI</v>
      </c>
      <c r="AT1422" s="85" t="str">
        <f>IFERROR(__xludf.DUMMYFUNCTION("""COMPUTED_VALUE"""),"-7.3756817,109.134607")</f>
        <v>-7.3756817,109.134607</v>
      </c>
      <c r="AU1422" s="85" t="str">
        <f>IFERROR(__xludf.DUMMYFUNCTION("""COMPUTED_VALUE"""),"-7.3756817,109.134607")</f>
        <v>-7.3756817,109.134607</v>
      </c>
      <c r="AV1422" s="85"/>
      <c r="AW1422" s="85"/>
      <c r="AX1422" s="85"/>
      <c r="AY1422" s="85"/>
      <c r="AZ1422" s="85"/>
      <c r="BA1422" s="85"/>
      <c r="BB1422" s="85"/>
      <c r="BC1422" s="85"/>
      <c r="BD1422" s="85"/>
      <c r="BE1422" s="85"/>
      <c r="BF1422" s="85"/>
      <c r="BG1422" s="85"/>
      <c r="BH1422" s="85"/>
      <c r="BI1422" s="85"/>
      <c r="BJ1422" s="85"/>
      <c r="BK1422" s="85"/>
      <c r="BL1422" s="85"/>
      <c r="BM1422" s="85"/>
      <c r="BN1422" s="85"/>
      <c r="BO1422" s="85"/>
      <c r="BP1422" s="85"/>
      <c r="BQ1422" s="85"/>
      <c r="BR1422" s="85"/>
      <c r="BS1422" s="85"/>
      <c r="BT1422" s="85"/>
      <c r="BU1422" s="85"/>
      <c r="BV1422" s="85"/>
      <c r="BW1422" s="85"/>
      <c r="BX1422" s="85"/>
      <c r="BY1422" s="85"/>
      <c r="BZ1422" s="85"/>
      <c r="CA1422" s="85"/>
      <c r="CB1422" s="85"/>
      <c r="CC1422" s="85"/>
      <c r="CD1422" s="85"/>
      <c r="CE1422" s="85"/>
      <c r="CF1422" s="85"/>
      <c r="CG1422" s="85"/>
      <c r="CH1422" s="85"/>
      <c r="CI1422" s="85"/>
      <c r="CJ1422" s="85"/>
      <c r="CK1422" s="2"/>
    </row>
    <row r="1423" ht="12.75" customHeight="1">
      <c r="A1423" s="80">
        <f>IFERROR(__xludf.DUMMYFUNCTION("""COMPUTED_VALUE"""),1419.0)</f>
        <v>1419</v>
      </c>
      <c r="B1423" s="80"/>
      <c r="C1423" s="80"/>
      <c r="D1423" s="81">
        <f>IFERROR(__xludf.DUMMYFUNCTION("""COMPUTED_VALUE"""),46266.0)</f>
        <v>46266</v>
      </c>
      <c r="E1423" s="82"/>
      <c r="F1423" s="80"/>
      <c r="G1423" s="81"/>
      <c r="H1423" s="80"/>
      <c r="I1423" s="80"/>
      <c r="J1423" s="80"/>
      <c r="K1423" s="80"/>
      <c r="L1423" s="80"/>
      <c r="M1423" s="80"/>
      <c r="N1423" s="80"/>
      <c r="O1423" s="80"/>
      <c r="P1423" s="80" t="str">
        <f>IFERROR(__xludf.DUMMYFUNCTION("""COMPUTED_VALUE"""),"MUC70177UMKMDSN1")</f>
        <v>MUC70177UMKMDSN1</v>
      </c>
      <c r="Q1423" s="80" t="str">
        <f>IFERROR(__xludf.DUMMYFUNCTION("""COMPUTED_VALUE"""),"MUC SKB STORE")</f>
        <v>MUC SKB STORE</v>
      </c>
      <c r="R1423" s="80" t="str">
        <f>IFERROR(__xludf.DUMMYFUNCTION("""COMPUTED_VALUE"""),"MUC SKB STORE")</f>
        <v>MUC SKB STORE</v>
      </c>
      <c r="S1423" s="80" t="str">
        <f>IFERROR(__xludf.DUMMYFUNCTION("""COMPUTED_VALUE"""),"HARIANI WASIK")</f>
        <v>HARIANI WASIK</v>
      </c>
      <c r="T1423" s="80" t="str">
        <f>IFERROR(__xludf.DUMMYFUNCTION("""COMPUTED_VALUE"""),"JL. SUMBERAYU 03 RT.024 RW.003 KARANGKATES SUMBERPUCUNG KABUPATEN MALANG JAWA TIMUR")</f>
        <v>JL. SUMBERAYU 03 RT.024 RW.003 KARANGKATES SUMBERPUCUNG KABUPATEN MALANG JAWA TIMUR</v>
      </c>
      <c r="U1423" s="80" t="str">
        <f>IFERROR(__xludf.DUMMYFUNCTION("""COMPUTED_VALUE"""),"Perum Pandanwangi Utama Residence 2 Kav.E-3 RT.12 RW.04 Pandanwangi Kec.Blimbing")</f>
        <v>Perum Pandanwangi Utama Residence 2 Kav.E-3 RT.12 RW.04 Pandanwangi Kec.Blimbing</v>
      </c>
      <c r="V1423" s="80" t="str">
        <f>IFERROR(__xludf.DUMMYFUNCTION("""COMPUTED_VALUE"""),"RT.024 \ RW.003")</f>
        <v>RT.024 \ RW.003</v>
      </c>
      <c r="W1423" s="80" t="str">
        <f>IFERROR(__xludf.DUMMYFUNCTION("""COMPUTED_VALUE"""),"Pandanwangi")</f>
        <v>Pandanwangi</v>
      </c>
      <c r="X1423" s="80" t="str">
        <f>IFERROR(__xludf.DUMMYFUNCTION("""COMPUTED_VALUE"""),"Blimbing")</f>
        <v>Blimbing</v>
      </c>
      <c r="Y1423" s="80" t="str">
        <f>IFERROR(__xludf.DUMMYFUNCTION("""COMPUTED_VALUE"""),"Malang")</f>
        <v>Malang</v>
      </c>
      <c r="Z1423" s="80" t="str">
        <f>IFERROR(__xludf.DUMMYFUNCTION("""COMPUTED_VALUE"""),"Jawa Timur")</f>
        <v>Jawa Timur</v>
      </c>
      <c r="AA1423" s="80" t="str">
        <f>IFERROR(__xludf.DUMMYFUNCTION("""COMPUTED_VALUE"""),"65124")</f>
        <v>65124</v>
      </c>
      <c r="AB1423" s="80" t="str">
        <f>IFERROR(__xludf.DUMMYFUNCTION("""COMPUTED_VALUE"""),"3573055211740004")</f>
        <v>3573055211740004</v>
      </c>
      <c r="AC1423" s="80" t="str">
        <f>IFERROR(__xludf.DUMMYFUNCTION("""COMPUTED_VALUE"""),"70.150.866.5-652.000")</f>
        <v>70.150.866.5-652.000</v>
      </c>
      <c r="AD1423" s="80" t="str">
        <f>IFERROR(__xludf.DUMMYFUNCTION("""COMPUTED_VALUE"""),"CUM - UNK - DEKOPIN SITI")</f>
        <v>CUM - UNK - DEKOPIN SITI</v>
      </c>
      <c r="AE1423" s="80" t="str">
        <f>IFERROR(__xludf.DUMMYFUNCTION("""COMPUTED_VALUE"""),"CUM - UNK - DEKOPIN SITI")</f>
        <v>CUM - UNK - DEKOPIN SITI</v>
      </c>
      <c r="AF1423" s="80" t="str">
        <f>IFERROR(__xludf.DUMMYFUNCTION("""COMPUTED_VALUE"""),"085103426178")</f>
        <v>085103426178</v>
      </c>
      <c r="AG1423" s="80" t="str">
        <f>IFERROR(__xludf.DUMMYFUNCTION("""COMPUTED_VALUE"""),"085103426178")</f>
        <v>085103426178</v>
      </c>
      <c r="AH1423" s="80" t="str">
        <f>IFERROR(__xludf.DUMMYFUNCTION("""COMPUTED_VALUE"""),"yaniwasik12@gmail.com")</f>
        <v>yaniwasik12@gmail.com</v>
      </c>
      <c r="AI1423" s="80"/>
      <c r="AJ1423" s="80"/>
      <c r="AK1423" s="80"/>
      <c r="AL1423" s="80"/>
      <c r="AM1423" s="80" t="str">
        <f>IFERROR(__xludf.DUMMYFUNCTION("""COMPUTED_VALUE"""),"KANTOR REGIONAL V SURABAYA 60004")</f>
        <v>KANTOR REGIONAL V SURABAYA 60004</v>
      </c>
      <c r="AN1423" s="80" t="str">
        <f>IFERROR(__xludf.DUMMYFUNCTION("""COMPUTED_VALUE"""),"KCU MALANG 65100")</f>
        <v>KCU MALANG 65100</v>
      </c>
      <c r="AO1423" s="80" t="str">
        <f>IFERROR(__xludf.DUMMYFUNCTION("""COMPUTED_VALUE"""),"2608260019487")</f>
        <v>2608260019487</v>
      </c>
      <c r="AP1423" s="80" t="str">
        <f>IFERROR(__xludf.DUMMYFUNCTION("""COMPUTED_VALUE"""),"2608260019487")</f>
        <v>2608260019487</v>
      </c>
      <c r="AQ1423" s="83" t="str">
        <f>IFERROR(__xludf.DUMMYFUNCTION("""COMPUTED_VALUE"""),"901057389744")</f>
        <v>901057389744</v>
      </c>
      <c r="AR1423" s="80" t="str">
        <f>IFERROR(__xludf.DUMMYFUNCTION("""COMPUTED_VALUE"""),"SEA BANK")</f>
        <v>SEA BANK</v>
      </c>
      <c r="AS1423" s="80" t="str">
        <f>IFERROR(__xludf.DUMMYFUNCTION("""COMPUTED_VALUE"""),"HARIANI WASIK")</f>
        <v>HARIANI WASIK</v>
      </c>
      <c r="AT1423" s="80" t="str">
        <f>IFERROR(__xludf.DUMMYFUNCTION("""COMPUTED_VALUE"""),"-7.955142,112.6532185")</f>
        <v>-7.955142,112.6532185</v>
      </c>
      <c r="AU1423" s="80" t="str">
        <f>IFERROR(__xludf.DUMMYFUNCTION("""COMPUTED_VALUE"""),"-7.955142,112.6532185")</f>
        <v>-7.955142,112.6532185</v>
      </c>
      <c r="AV1423" s="80"/>
      <c r="AW1423" s="80"/>
      <c r="AX1423" s="80"/>
      <c r="AY1423" s="80"/>
      <c r="AZ1423" s="80"/>
      <c r="BA1423" s="80"/>
      <c r="BB1423" s="80"/>
      <c r="BC1423" s="80"/>
      <c r="BD1423" s="80"/>
      <c r="BE1423" s="80"/>
      <c r="BF1423" s="80"/>
      <c r="BG1423" s="80"/>
      <c r="BH1423" s="80"/>
      <c r="BI1423" s="80"/>
      <c r="BJ1423" s="80"/>
      <c r="BK1423" s="80"/>
      <c r="BL1423" s="80"/>
      <c r="BM1423" s="80"/>
      <c r="BN1423" s="80"/>
      <c r="BO1423" s="80"/>
      <c r="BP1423" s="80"/>
      <c r="BQ1423" s="80"/>
      <c r="BR1423" s="80"/>
      <c r="BS1423" s="80"/>
      <c r="BT1423" s="80"/>
      <c r="BU1423" s="80"/>
      <c r="BV1423" s="80"/>
      <c r="BW1423" s="80"/>
      <c r="BX1423" s="80"/>
      <c r="BY1423" s="80"/>
      <c r="BZ1423" s="80"/>
      <c r="CA1423" s="80"/>
      <c r="CB1423" s="80"/>
      <c r="CC1423" s="80"/>
      <c r="CD1423" s="80"/>
      <c r="CE1423" s="80"/>
      <c r="CF1423" s="80"/>
      <c r="CG1423" s="80"/>
      <c r="CH1423" s="80"/>
      <c r="CI1423" s="80"/>
      <c r="CJ1423" s="80"/>
      <c r="CK1423" s="2"/>
    </row>
    <row r="1424" ht="12.75" customHeight="1">
      <c r="A1424" s="85">
        <f>IFERROR(__xludf.DUMMYFUNCTION("""COMPUTED_VALUE"""),1420.0)</f>
        <v>1420</v>
      </c>
      <c r="B1424" s="85"/>
      <c r="C1424" s="85"/>
      <c r="D1424" s="86">
        <f>IFERROR(__xludf.DUMMYFUNCTION("""COMPUTED_VALUE"""),46266.0)</f>
        <v>46266</v>
      </c>
      <c r="E1424" s="88"/>
      <c r="F1424" s="85"/>
      <c r="G1424" s="86"/>
      <c r="H1424" s="85"/>
      <c r="I1424" s="85"/>
      <c r="J1424" s="85"/>
      <c r="K1424" s="85"/>
      <c r="L1424" s="85"/>
      <c r="M1424" s="85"/>
      <c r="N1424" s="85"/>
      <c r="O1424" s="85"/>
      <c r="P1424" s="85" t="str">
        <f>IFERROR(__xludf.DUMMYFUNCTION("""COMPUTED_VALUE"""),"MUC70178UMKMDSN1")</f>
        <v>MUC70178UMKMDSN1</v>
      </c>
      <c r="Q1424" s="85" t="str">
        <f>IFERROR(__xludf.DUMMYFUNCTION("""COMPUTED_VALUE"""),"MUC WARN KEBUMEN OKE")</f>
        <v>MUC WARN KEBUMEN OKE</v>
      </c>
      <c r="R1424" s="85" t="str">
        <f>IFERROR(__xludf.DUMMYFUNCTION("""COMPUTED_VALUE"""),"MUC WARN KEBUMEN OKE")</f>
        <v>MUC WARN KEBUMEN OKE</v>
      </c>
      <c r="S1424" s="85" t="str">
        <f>IFERROR(__xludf.DUMMYFUNCTION("""COMPUTED_VALUE"""),"WARNO")</f>
        <v>WARNO</v>
      </c>
      <c r="T1424" s="85" t="str">
        <f>IFERROR(__xludf.DUMMYFUNCTION("""COMPUTED_VALUE"""),"SULASTRI RT.001 RW.001 ADIKARTO ADIMULYO, KABUPATEN KEBUMEN JAWA TENGAH")</f>
        <v>SULASTRI RT.001 RW.001 ADIKARTO ADIMULYO, KABUPATEN KEBUMEN JAWA TENGAH</v>
      </c>
      <c r="U1424" s="85" t="str">
        <f>IFERROR(__xludf.DUMMYFUNCTION("""COMPUTED_VALUE"""),"Dukuh Sulastri RT.01 RW.01 (BELAKANG VEGA CEEL) Adikarto")</f>
        <v>Dukuh Sulastri RT.01 RW.01 (BELAKANG VEGA CEEL) Adikarto</v>
      </c>
      <c r="V1424" s="85" t="str">
        <f>IFERROR(__xludf.DUMMYFUNCTION("""COMPUTED_VALUE"""),"RT.001 \ RW.001")</f>
        <v>RT.001 \ RW.001</v>
      </c>
      <c r="W1424" s="85" t="str">
        <f>IFERROR(__xludf.DUMMYFUNCTION("""COMPUTED_VALUE"""),"Adikarto")</f>
        <v>Adikarto</v>
      </c>
      <c r="X1424" s="85" t="str">
        <f>IFERROR(__xludf.DUMMYFUNCTION("""COMPUTED_VALUE"""),"Adimulyo")</f>
        <v>Adimulyo</v>
      </c>
      <c r="Y1424" s="85" t="str">
        <f>IFERROR(__xludf.DUMMYFUNCTION("""COMPUTED_VALUE"""),"Kab. Kebumen")</f>
        <v>Kab. Kebumen</v>
      </c>
      <c r="Z1424" s="85" t="str">
        <f>IFERROR(__xludf.DUMMYFUNCTION("""COMPUTED_VALUE"""),"Jawa Tengah")</f>
        <v>Jawa Tengah</v>
      </c>
      <c r="AA1424" s="85" t="str">
        <f>IFERROR(__xludf.DUMMYFUNCTION("""COMPUTED_VALUE"""),"54363")</f>
        <v>54363</v>
      </c>
      <c r="AB1424" s="85" t="str">
        <f>IFERROR(__xludf.DUMMYFUNCTION("""COMPUTED_VALUE"""),"3305121001650005")</f>
        <v>3305121001650005</v>
      </c>
      <c r="AC1424" s="85" t="str">
        <f>IFERROR(__xludf.DUMMYFUNCTION("""COMPUTED_VALUE"""),"47.998.486.6-523.000")</f>
        <v>47.998.486.6-523.000</v>
      </c>
      <c r="AD1424" s="85" t="str">
        <f>IFERROR(__xludf.DUMMYFUNCTION("""COMPUTED_VALUE"""),"CUM - UNK - DEKOPIN SITI")</f>
        <v>CUM - UNK - DEKOPIN SITI</v>
      </c>
      <c r="AE1424" s="85" t="str">
        <f>IFERROR(__xludf.DUMMYFUNCTION("""COMPUTED_VALUE"""),"CUM - UNK - DEKOPIN SITI")</f>
        <v>CUM - UNK - DEKOPIN SITI</v>
      </c>
      <c r="AF1424" s="85" t="str">
        <f>IFERROR(__xludf.DUMMYFUNCTION("""COMPUTED_VALUE"""),"081328261800")</f>
        <v>081328261800</v>
      </c>
      <c r="AG1424" s="85" t="str">
        <f>IFERROR(__xludf.DUMMYFUNCTION("""COMPUTED_VALUE"""),"081328261800")</f>
        <v>081328261800</v>
      </c>
      <c r="AH1424" s="85" t="str">
        <f>IFERROR(__xludf.DUMMYFUNCTION("""COMPUTED_VALUE"""),"warno.kebumen12@gmail.com")</f>
        <v>warno.kebumen12@gmail.com</v>
      </c>
      <c r="AI1424" s="85"/>
      <c r="AJ1424" s="85"/>
      <c r="AK1424" s="85"/>
      <c r="AL1424" s="85"/>
      <c r="AM1424" s="85" t="str">
        <f>IFERROR(__xludf.DUMMYFUNCTION("""COMPUTED_VALUE"""),"KANTOR REGIONAL IV SEMARANG 50004")</f>
        <v>KANTOR REGIONAL IV SEMARANG 50004</v>
      </c>
      <c r="AN1424" s="85" t="str">
        <f>IFERROR(__xludf.DUMMYFUNCTION("""COMPUTED_VALUE"""),"KC KEBUMEN 54300")</f>
        <v>KC KEBUMEN 54300</v>
      </c>
      <c r="AO1424" s="85" t="str">
        <f>IFERROR(__xludf.DUMMYFUNCTION("""COMPUTED_VALUE"""),"2408260060512")</f>
        <v>2408260060512</v>
      </c>
      <c r="AP1424" s="85" t="str">
        <f>IFERROR(__xludf.DUMMYFUNCTION("""COMPUTED_VALUE"""),"2408260060512")</f>
        <v>2408260060512</v>
      </c>
      <c r="AQ1424" s="93" t="str">
        <f>IFERROR(__xludf.DUMMYFUNCTION("""COMPUTED_VALUE"""),"668301022680537")</f>
        <v>668301022680537</v>
      </c>
      <c r="AR1424" s="85" t="str">
        <f>IFERROR(__xludf.DUMMYFUNCTION("""COMPUTED_VALUE"""),"BRI")</f>
        <v>BRI</v>
      </c>
      <c r="AS1424" s="85" t="str">
        <f>IFERROR(__xludf.DUMMYFUNCTION("""COMPUTED_VALUE"""),"WARNO")</f>
        <v>WARNO</v>
      </c>
      <c r="AT1424" s="85" t="str">
        <f>IFERROR(__xludf.DUMMYFUNCTION("""COMPUTED_VALUE"""),"-7.664849,109.585189")</f>
        <v>-7.664849,109.585189</v>
      </c>
      <c r="AU1424" s="85" t="str">
        <f>IFERROR(__xludf.DUMMYFUNCTION("""COMPUTED_VALUE"""),"-7.664849,109.585189")</f>
        <v>-7.664849,109.585189</v>
      </c>
      <c r="AV1424" s="85"/>
      <c r="AW1424" s="85"/>
      <c r="AX1424" s="85"/>
      <c r="AY1424" s="85"/>
      <c r="AZ1424" s="85"/>
      <c r="BA1424" s="85"/>
      <c r="BB1424" s="85"/>
      <c r="BC1424" s="85"/>
      <c r="BD1424" s="85"/>
      <c r="BE1424" s="85"/>
      <c r="BF1424" s="85"/>
      <c r="BG1424" s="85"/>
      <c r="BH1424" s="85"/>
      <c r="BI1424" s="85"/>
      <c r="BJ1424" s="85"/>
      <c r="BK1424" s="85"/>
      <c r="BL1424" s="85"/>
      <c r="BM1424" s="85"/>
      <c r="BN1424" s="85"/>
      <c r="BO1424" s="85"/>
      <c r="BP1424" s="85"/>
      <c r="BQ1424" s="85"/>
      <c r="BR1424" s="85"/>
      <c r="BS1424" s="85"/>
      <c r="BT1424" s="85"/>
      <c r="BU1424" s="85"/>
      <c r="BV1424" s="85"/>
      <c r="BW1424" s="85"/>
      <c r="BX1424" s="85"/>
      <c r="BY1424" s="85"/>
      <c r="BZ1424" s="85"/>
      <c r="CA1424" s="85"/>
      <c r="CB1424" s="85"/>
      <c r="CC1424" s="85"/>
      <c r="CD1424" s="85"/>
      <c r="CE1424" s="85"/>
      <c r="CF1424" s="85"/>
      <c r="CG1424" s="85"/>
      <c r="CH1424" s="85"/>
      <c r="CI1424" s="85"/>
      <c r="CJ1424" s="85"/>
      <c r="CK1424" s="2"/>
    </row>
    <row r="1425" ht="12.75" customHeight="1">
      <c r="A1425" s="80">
        <f>IFERROR(__xludf.DUMMYFUNCTION("""COMPUTED_VALUE"""),1421.0)</f>
        <v>1421</v>
      </c>
      <c r="B1425" s="80"/>
      <c r="C1425" s="80"/>
      <c r="D1425" s="81">
        <f>IFERROR(__xludf.DUMMYFUNCTION("""COMPUTED_VALUE"""),46266.0)</f>
        <v>46266</v>
      </c>
      <c r="E1425" s="82"/>
      <c r="F1425" s="80"/>
      <c r="G1425" s="81"/>
      <c r="H1425" s="80"/>
      <c r="I1425" s="80"/>
      <c r="J1425" s="80"/>
      <c r="K1425" s="80"/>
      <c r="L1425" s="80"/>
      <c r="M1425" s="80"/>
      <c r="N1425" s="80"/>
      <c r="O1425" s="80"/>
      <c r="P1425" s="80" t="str">
        <f>IFERROR(__xludf.DUMMYFUNCTION("""COMPUTED_VALUE"""),"MUC70179UMKMDSN1")</f>
        <v>MUC70179UMKMDSN1</v>
      </c>
      <c r="Q1425" s="80" t="str">
        <f>IFERROR(__xludf.DUMMYFUNCTION("""COMPUTED_VALUE"""),"MUC SLAMET SENTOSA EKSPEDISI")</f>
        <v>MUC SLAMET SENTOSA EKSPEDISI</v>
      </c>
      <c r="R1425" s="80" t="str">
        <f>IFERROR(__xludf.DUMMYFUNCTION("""COMPUTED_VALUE"""),"MUC SLAMET SENTOSA EKSPEDISI")</f>
        <v>MUC SLAMET SENTOSA EKSPEDISI</v>
      </c>
      <c r="S1425" s="80" t="str">
        <f>IFERROR(__xludf.DUMMYFUNCTION("""COMPUTED_VALUE"""),"PEKIK BANGUN HANGGONO")</f>
        <v>PEKIK BANGUN HANGGONO</v>
      </c>
      <c r="T1425" s="80" t="str">
        <f>IFERROR(__xludf.DUMMYFUNCTION("""COMPUTED_VALUE"""),"TARAMAN RT.002/000 TARAMAN SIDOHARJO KABUPATEN SRAGEN JAWA TENGAH")</f>
        <v>TARAMAN RT.002/000 TARAMAN SIDOHARJO KABUPATEN SRAGEN JAWA TENGAH</v>
      </c>
      <c r="U1425" s="80" t="str">
        <f>IFERROR(__xludf.DUMMYFUNCTION("""COMPUTED_VALUE"""),"Jl. Slamet Riyadi 115C RT 01 Sumengko, Sragen Tengah")</f>
        <v>Jl. Slamet Riyadi 115C RT 01 Sumengko, Sragen Tengah</v>
      </c>
      <c r="V1425" s="80"/>
      <c r="W1425" s="80" t="str">
        <f>IFERROR(__xludf.DUMMYFUNCTION("""COMPUTED_VALUE"""),"Sragen Tengah")</f>
        <v>Sragen Tengah</v>
      </c>
      <c r="X1425" s="80" t="str">
        <f>IFERROR(__xludf.DUMMYFUNCTION("""COMPUTED_VALUE"""),"Sragen")</f>
        <v>Sragen</v>
      </c>
      <c r="Y1425" s="80" t="str">
        <f>IFERROR(__xludf.DUMMYFUNCTION("""COMPUTED_VALUE"""),"Sragen")</f>
        <v>Sragen</v>
      </c>
      <c r="Z1425" s="80" t="str">
        <f>IFERROR(__xludf.DUMMYFUNCTION("""COMPUTED_VALUE"""),"Jawa Tengah")</f>
        <v>Jawa Tengah</v>
      </c>
      <c r="AA1425" s="80" t="str">
        <f>IFERROR(__xludf.DUMMYFUNCTION("""COMPUTED_VALUE"""),"57211")</f>
        <v>57211</v>
      </c>
      <c r="AB1425" s="80" t="str">
        <f>IFERROR(__xludf.DUMMYFUNCTION("""COMPUTED_VALUE"""),"3604060105780002")</f>
        <v>3604060105780002</v>
      </c>
      <c r="AC1425" s="80" t="str">
        <f>IFERROR(__xludf.DUMMYFUNCTION("""COMPUTED_VALUE"""),"92.583.134.9-401.000")</f>
        <v>92.583.134.9-401.000</v>
      </c>
      <c r="AD1425" s="80" t="str">
        <f>IFERROR(__xludf.DUMMYFUNCTION("""COMPUTED_VALUE"""),"CUM - UNK - DEKOPIN SITI")</f>
        <v>CUM - UNK - DEKOPIN SITI</v>
      </c>
      <c r="AE1425" s="80" t="str">
        <f>IFERROR(__xludf.DUMMYFUNCTION("""COMPUTED_VALUE"""),"CUM - UNK - DEKOPIN SITI")</f>
        <v>CUM - UNK - DEKOPIN SITI</v>
      </c>
      <c r="AF1425" s="80" t="str">
        <f>IFERROR(__xludf.DUMMYFUNCTION("""COMPUTED_VALUE"""),"082249557798")</f>
        <v>082249557798</v>
      </c>
      <c r="AG1425" s="80" t="str">
        <f>IFERROR(__xludf.DUMMYFUNCTION("""COMPUTED_VALUE"""),"082249557798")</f>
        <v>082249557798</v>
      </c>
      <c r="AH1425" s="80" t="str">
        <f>IFERROR(__xludf.DUMMYFUNCTION("""COMPUTED_VALUE"""),"ragilato@gmail.com")</f>
        <v>ragilato@gmail.com</v>
      </c>
      <c r="AI1425" s="80"/>
      <c r="AJ1425" s="80"/>
      <c r="AK1425" s="80"/>
      <c r="AL1425" s="80"/>
      <c r="AM1425" s="80" t="str">
        <f>IFERROR(__xludf.DUMMYFUNCTION("""COMPUTED_VALUE"""),"KANTOR REGIONAL IV SEMARANG 50004")</f>
        <v>KANTOR REGIONAL IV SEMARANG 50004</v>
      </c>
      <c r="AN1425" s="80" t="str">
        <f>IFERROR(__xludf.DUMMYFUNCTION("""COMPUTED_VALUE"""),"KC SRAGEN 57200")</f>
        <v>KC SRAGEN 57200</v>
      </c>
      <c r="AO1425" s="80" t="str">
        <f>IFERROR(__xludf.DUMMYFUNCTION("""COMPUTED_VALUE"""),"2408260030801")</f>
        <v>2408260030801</v>
      </c>
      <c r="AP1425" s="80" t="str">
        <f>IFERROR(__xludf.DUMMYFUNCTION("""COMPUTED_VALUE"""),"2408260030801")</f>
        <v>2408260030801</v>
      </c>
      <c r="AQ1425" s="83" t="str">
        <f>IFERROR(__xludf.DUMMYFUNCTION("""COMPUTED_VALUE"""),"5225096900")</f>
        <v>5225096900</v>
      </c>
      <c r="AR1425" s="80" t="str">
        <f>IFERROR(__xludf.DUMMYFUNCTION("""COMPUTED_VALUE"""),"BCA")</f>
        <v>BCA</v>
      </c>
      <c r="AS1425" s="80" t="str">
        <f>IFERROR(__xludf.DUMMYFUNCTION("""COMPUTED_VALUE"""),"NIKEN JUNIA WULAN SARI")</f>
        <v>NIKEN JUNIA WULAN SARI</v>
      </c>
      <c r="AT1425" s="80" t="str">
        <f>IFERROR(__xludf.DUMMYFUNCTION("""COMPUTED_VALUE"""),"-7.423048,111.0234881")</f>
        <v>-7.423048,111.0234881</v>
      </c>
      <c r="AU1425" s="80" t="str">
        <f>IFERROR(__xludf.DUMMYFUNCTION("""COMPUTED_VALUE"""),"-7.423048,111.0234881")</f>
        <v>-7.423048,111.0234881</v>
      </c>
      <c r="AV1425" s="80"/>
      <c r="AW1425" s="80"/>
      <c r="AX1425" s="80"/>
      <c r="AY1425" s="80"/>
      <c r="AZ1425" s="80"/>
      <c r="BA1425" s="80"/>
      <c r="BB1425" s="80"/>
      <c r="BC1425" s="80"/>
      <c r="BD1425" s="80"/>
      <c r="BE1425" s="80"/>
      <c r="BF1425" s="80"/>
      <c r="BG1425" s="80"/>
      <c r="BH1425" s="80"/>
      <c r="BI1425" s="80"/>
      <c r="BJ1425" s="80"/>
      <c r="BK1425" s="80"/>
      <c r="BL1425" s="80"/>
      <c r="BM1425" s="80"/>
      <c r="BN1425" s="80"/>
      <c r="BO1425" s="80"/>
      <c r="BP1425" s="80"/>
      <c r="BQ1425" s="80"/>
      <c r="BR1425" s="80"/>
      <c r="BS1425" s="80"/>
      <c r="BT1425" s="80"/>
      <c r="BU1425" s="80"/>
      <c r="BV1425" s="80"/>
      <c r="BW1425" s="80"/>
      <c r="BX1425" s="80"/>
      <c r="BY1425" s="80"/>
      <c r="BZ1425" s="80"/>
      <c r="CA1425" s="80"/>
      <c r="CB1425" s="80"/>
      <c r="CC1425" s="80"/>
      <c r="CD1425" s="80"/>
      <c r="CE1425" s="80"/>
      <c r="CF1425" s="80"/>
      <c r="CG1425" s="80"/>
      <c r="CH1425" s="80"/>
      <c r="CI1425" s="80"/>
      <c r="CJ1425" s="80"/>
      <c r="CK1425" s="2"/>
    </row>
    <row r="1426" ht="12.75" customHeight="1">
      <c r="A1426" s="85">
        <f>IFERROR(__xludf.DUMMYFUNCTION("""COMPUTED_VALUE"""),1422.0)</f>
        <v>1422</v>
      </c>
      <c r="B1426" s="85"/>
      <c r="C1426" s="85"/>
      <c r="D1426" s="86">
        <f>IFERROR(__xludf.DUMMYFUNCTION("""COMPUTED_VALUE"""),46266.0)</f>
        <v>46266</v>
      </c>
      <c r="E1426" s="88"/>
      <c r="F1426" s="85"/>
      <c r="G1426" s="86"/>
      <c r="H1426" s="85"/>
      <c r="I1426" s="85"/>
      <c r="J1426" s="85"/>
      <c r="K1426" s="85"/>
      <c r="L1426" s="85"/>
      <c r="M1426" s="85"/>
      <c r="N1426" s="85"/>
      <c r="O1426" s="85"/>
      <c r="P1426" s="85" t="str">
        <f>IFERROR(__xludf.DUMMYFUNCTION("""COMPUTED_VALUE"""),"MUC70180UMKMDSN1")</f>
        <v>MUC70180UMKMDSN1</v>
      </c>
      <c r="Q1426" s="85" t="str">
        <f>IFERROR(__xludf.DUMMYFUNCTION("""COMPUTED_VALUE"""),"MUC ANDALAN SEMESTA")</f>
        <v>MUC ANDALAN SEMESTA</v>
      </c>
      <c r="R1426" s="85" t="str">
        <f>IFERROR(__xludf.DUMMYFUNCTION("""COMPUTED_VALUE"""),"MUC ANDALAN SEMESTA")</f>
        <v>MUC ANDALAN SEMESTA</v>
      </c>
      <c r="S1426" s="85" t="str">
        <f>IFERROR(__xludf.DUMMYFUNCTION("""COMPUTED_VALUE"""),"WARSENO")</f>
        <v>WARSENO</v>
      </c>
      <c r="T1426" s="85" t="str">
        <f>IFERROR(__xludf.DUMMYFUNCTION("""COMPUTED_VALUE"""),"TROSO RT.006 RW.008 TROSO PECANGAAN KABUPATEN JEPARA JAWA TENGAH")</f>
        <v>TROSO RT.006 RW.008 TROSO PECANGAAN KABUPATEN JEPARA JAWA TENGAH</v>
      </c>
      <c r="U1426" s="85" t="str">
        <f>IFERROR(__xludf.DUMMYFUNCTION("""COMPUTED_VALUE"""),"Jl. Randu, RW 03, Desa Troso, Kecamatan Pecangaan, Kab. Jepara Jateng")</f>
        <v>Jl. Randu, RW 03, Desa Troso, Kecamatan Pecangaan, Kab. Jepara Jateng</v>
      </c>
      <c r="V1426" s="85" t="str">
        <f>IFERROR(__xludf.DUMMYFUNCTION("""COMPUTED_VALUE"""),"RT.006 \ RW.008")</f>
        <v>RT.006 \ RW.008</v>
      </c>
      <c r="W1426" s="85" t="str">
        <f>IFERROR(__xludf.DUMMYFUNCTION("""COMPUTED_VALUE"""),"Troso")</f>
        <v>Troso</v>
      </c>
      <c r="X1426" s="85" t="str">
        <f>IFERROR(__xludf.DUMMYFUNCTION("""COMPUTED_VALUE"""),"Pecangaan")</f>
        <v>Pecangaan</v>
      </c>
      <c r="Y1426" s="85" t="str">
        <f>IFERROR(__xludf.DUMMYFUNCTION("""COMPUTED_VALUE"""),"Jepara")</f>
        <v>Jepara</v>
      </c>
      <c r="Z1426" s="85" t="str">
        <f>IFERROR(__xludf.DUMMYFUNCTION("""COMPUTED_VALUE"""),"Jawa Tengah")</f>
        <v>Jawa Tengah</v>
      </c>
      <c r="AA1426" s="85" t="str">
        <f>IFERROR(__xludf.DUMMYFUNCTION("""COMPUTED_VALUE"""),"59462")</f>
        <v>59462</v>
      </c>
      <c r="AB1426" s="85" t="str">
        <f>IFERROR(__xludf.DUMMYFUNCTION("""COMPUTED_VALUE"""),"3318011001790003")</f>
        <v>3318011001790003</v>
      </c>
      <c r="AC1426" s="85" t="str">
        <f>IFERROR(__xludf.DUMMYFUNCTION("""COMPUTED_VALUE"""),"33.180.110.0-179.0003")</f>
        <v>33.180.110.0-179.0003</v>
      </c>
      <c r="AD1426" s="85" t="str">
        <f>IFERROR(__xludf.DUMMYFUNCTION("""COMPUTED_VALUE"""),"CUM - UNK - DEKOPIN SITI")</f>
        <v>CUM - UNK - DEKOPIN SITI</v>
      </c>
      <c r="AE1426" s="85" t="str">
        <f>IFERROR(__xludf.DUMMYFUNCTION("""COMPUTED_VALUE"""),"CUM - UNK - DEKOPIN SITI")</f>
        <v>CUM - UNK - DEKOPIN SITI</v>
      </c>
      <c r="AF1426" s="85" t="str">
        <f>IFERROR(__xludf.DUMMYFUNCTION("""COMPUTED_VALUE"""),"08112883599")</f>
        <v>08112883599</v>
      </c>
      <c r="AG1426" s="85" t="str">
        <f>IFERROR(__xludf.DUMMYFUNCTION("""COMPUTED_VALUE"""),"08112883599")</f>
        <v>08112883599</v>
      </c>
      <c r="AH1426" s="85" t="str">
        <f>IFERROR(__xludf.DUMMYFUNCTION("""COMPUTED_VALUE"""),"cvandalansemesta@yahoo.com")</f>
        <v>cvandalansemesta@yahoo.com</v>
      </c>
      <c r="AI1426" s="85"/>
      <c r="AJ1426" s="85"/>
      <c r="AK1426" s="85"/>
      <c r="AL1426" s="85"/>
      <c r="AM1426" s="85" t="str">
        <f>IFERROR(__xludf.DUMMYFUNCTION("""COMPUTED_VALUE"""),"KANTOR REGIONAL IV SEMARANG 50004")</f>
        <v>KANTOR REGIONAL IV SEMARANG 50004</v>
      </c>
      <c r="AN1426" s="85" t="str">
        <f>IFERROR(__xludf.DUMMYFUNCTION("""COMPUTED_VALUE"""),"KC JEPARA 59400")</f>
        <v>KC JEPARA 59400</v>
      </c>
      <c r="AO1426" s="85" t="str">
        <f>IFERROR(__xludf.DUMMYFUNCTION("""COMPUTED_VALUE"""),"2608260027069")</f>
        <v>2608260027069</v>
      </c>
      <c r="AP1426" s="85" t="str">
        <f>IFERROR(__xludf.DUMMYFUNCTION("""COMPUTED_VALUE"""),"2608260027069")</f>
        <v>2608260027069</v>
      </c>
      <c r="AQ1426" s="93" t="str">
        <f>IFERROR(__xludf.DUMMYFUNCTION("""COMPUTED_VALUE"""),"0980102319")</f>
        <v>0980102319</v>
      </c>
      <c r="AR1426" s="85" t="str">
        <f>IFERROR(__xludf.DUMMYFUNCTION("""COMPUTED_VALUE"""),"BCA")</f>
        <v>BCA</v>
      </c>
      <c r="AS1426" s="85" t="str">
        <f>IFERROR(__xludf.DUMMYFUNCTION("""COMPUTED_VALUE"""),"WARSENO")</f>
        <v>WARSENO</v>
      </c>
      <c r="AT1426" s="85" t="str">
        <f>IFERROR(__xludf.DUMMYFUNCTION("""COMPUTED_VALUE"""),"-6.6657591,110.6955216")</f>
        <v>-6.6657591,110.6955216</v>
      </c>
      <c r="AU1426" s="85" t="str">
        <f>IFERROR(__xludf.DUMMYFUNCTION("""COMPUTED_VALUE"""),"-6.6657591,110.6955216")</f>
        <v>-6.6657591,110.6955216</v>
      </c>
      <c r="AV1426" s="85"/>
      <c r="AW1426" s="85"/>
      <c r="AX1426" s="85"/>
      <c r="AY1426" s="85"/>
      <c r="AZ1426" s="85"/>
      <c r="BA1426" s="85"/>
      <c r="BB1426" s="85"/>
      <c r="BC1426" s="85"/>
      <c r="BD1426" s="85"/>
      <c r="BE1426" s="85"/>
      <c r="BF1426" s="85"/>
      <c r="BG1426" s="85"/>
      <c r="BH1426" s="85"/>
      <c r="BI1426" s="85"/>
      <c r="BJ1426" s="85"/>
      <c r="BK1426" s="85"/>
      <c r="BL1426" s="85"/>
      <c r="BM1426" s="85"/>
      <c r="BN1426" s="85"/>
      <c r="BO1426" s="85"/>
      <c r="BP1426" s="85"/>
      <c r="BQ1426" s="85"/>
      <c r="BR1426" s="85"/>
      <c r="BS1426" s="85"/>
      <c r="BT1426" s="85"/>
      <c r="BU1426" s="85"/>
      <c r="BV1426" s="85"/>
      <c r="BW1426" s="85"/>
      <c r="BX1426" s="85"/>
      <c r="BY1426" s="85"/>
      <c r="BZ1426" s="85"/>
      <c r="CA1426" s="85"/>
      <c r="CB1426" s="85"/>
      <c r="CC1426" s="85"/>
      <c r="CD1426" s="85"/>
      <c r="CE1426" s="85"/>
      <c r="CF1426" s="85"/>
      <c r="CG1426" s="85"/>
      <c r="CH1426" s="85"/>
      <c r="CI1426" s="85"/>
      <c r="CJ1426" s="85"/>
      <c r="CK1426" s="2"/>
    </row>
    <row r="1427" ht="12.75" customHeight="1">
      <c r="A1427" s="80">
        <f>IFERROR(__xludf.DUMMYFUNCTION("""COMPUTED_VALUE"""),1423.0)</f>
        <v>1423</v>
      </c>
      <c r="B1427" s="80"/>
      <c r="C1427" s="80"/>
      <c r="D1427" s="81">
        <f>IFERROR(__xludf.DUMMYFUNCTION("""COMPUTED_VALUE"""),46266.0)</f>
        <v>46266</v>
      </c>
      <c r="E1427" s="82"/>
      <c r="F1427" s="80"/>
      <c r="G1427" s="81"/>
      <c r="H1427" s="80"/>
      <c r="I1427" s="80"/>
      <c r="J1427" s="80"/>
      <c r="K1427" s="80"/>
      <c r="L1427" s="80"/>
      <c r="M1427" s="80"/>
      <c r="N1427" s="80"/>
      <c r="O1427" s="80"/>
      <c r="P1427" s="80" t="str">
        <f>IFERROR(__xludf.DUMMYFUNCTION("""COMPUTED_VALUE"""),"MUC70181UMKMDSN1")</f>
        <v>MUC70181UMKMDSN1</v>
      </c>
      <c r="Q1427" s="80" t="str">
        <f>IFERROR(__xludf.DUMMYFUNCTION("""COMPUTED_VALUE"""),"MUC HARMONY")</f>
        <v>MUC HARMONY</v>
      </c>
      <c r="R1427" s="80" t="str">
        <f>IFERROR(__xludf.DUMMYFUNCTION("""COMPUTED_VALUE"""),"MUC HARMONY")</f>
        <v>MUC HARMONY</v>
      </c>
      <c r="S1427" s="80" t="str">
        <f>IFERROR(__xludf.DUMMYFUNCTION("""COMPUTED_VALUE"""),"DANIEL FRAMS CHRISTY MAHENDRA")</f>
        <v>DANIEL FRAMS CHRISTY MAHENDRA</v>
      </c>
      <c r="T1427" s="80" t="str">
        <f>IFERROR(__xludf.DUMMYFUNCTION("""COMPUTED_VALUE"""),"MAGERU RT.002/RW.001 PLUMBUNGAN KARANGMALANG KABUPATEN SRAGEN JAWA TENGAH")</f>
        <v>MAGERU RT.002/RW.001 PLUMBUNGAN KARANGMALANG KABUPATEN SRAGEN JAWA TENGAH</v>
      </c>
      <c r="U1427" s="80" t="str">
        <f>IFERROR(__xludf.DUMMYFUNCTION("""COMPUTED_VALUE"""),"Jl. Hayam Wuruk, Kebayan 4, Sragen Kulon, Kec. Sragen, Kabupaten Sragen")</f>
        <v>Jl. Hayam Wuruk, Kebayan 4, Sragen Kulon, Kec. Sragen, Kabupaten Sragen</v>
      </c>
      <c r="V1427" s="80" t="str">
        <f>IFERROR(__xludf.DUMMYFUNCTION("""COMPUTED_VALUE"""),"RT.002 \ RW.001")</f>
        <v>RT.002 \ RW.001</v>
      </c>
      <c r="W1427" s="80" t="str">
        <f>IFERROR(__xludf.DUMMYFUNCTION("""COMPUTED_VALUE"""),"Sragen Kulon")</f>
        <v>Sragen Kulon</v>
      </c>
      <c r="X1427" s="80" t="str">
        <f>IFERROR(__xludf.DUMMYFUNCTION("""COMPUTED_VALUE"""),"Sragen")</f>
        <v>Sragen</v>
      </c>
      <c r="Y1427" s="80" t="str">
        <f>IFERROR(__xludf.DUMMYFUNCTION("""COMPUTED_VALUE"""),"Kab. Sragen")</f>
        <v>Kab. Sragen</v>
      </c>
      <c r="Z1427" s="80" t="str">
        <f>IFERROR(__xludf.DUMMYFUNCTION("""COMPUTED_VALUE"""),"Jawa Tengah")</f>
        <v>Jawa Tengah</v>
      </c>
      <c r="AA1427" s="80" t="str">
        <f>IFERROR(__xludf.DUMMYFUNCTION("""COMPUTED_VALUE"""),"57212")</f>
        <v>57212</v>
      </c>
      <c r="AB1427" s="80" t="str">
        <f>IFERROR(__xludf.DUMMYFUNCTION("""COMPUTED_VALUE"""),"3321011110820002")</f>
        <v>3321011110820002</v>
      </c>
      <c r="AC1427" s="80" t="str">
        <f>IFERROR(__xludf.DUMMYFUNCTION("""COMPUTED_VALUE"""),"35.634.482.0-515.000")</f>
        <v>35.634.482.0-515.000</v>
      </c>
      <c r="AD1427" s="80" t="str">
        <f>IFERROR(__xludf.DUMMYFUNCTION("""COMPUTED_VALUE"""),"CUM - UNK - DEKOPIN SITI")</f>
        <v>CUM - UNK - DEKOPIN SITI</v>
      </c>
      <c r="AE1427" s="80" t="str">
        <f>IFERROR(__xludf.DUMMYFUNCTION("""COMPUTED_VALUE"""),"CUM - UNK - DEKOPIN SITI")</f>
        <v>CUM - UNK - DEKOPIN SITI</v>
      </c>
      <c r="AF1427" s="80" t="str">
        <f>IFERROR(__xludf.DUMMYFUNCTION("""COMPUTED_VALUE"""),"08973587000")</f>
        <v>08973587000</v>
      </c>
      <c r="AG1427" s="80" t="str">
        <f>IFERROR(__xludf.DUMMYFUNCTION("""COMPUTED_VALUE"""),"08973587000")</f>
        <v>08973587000</v>
      </c>
      <c r="AH1427" s="80" t="str">
        <f>IFERROR(__xludf.DUMMYFUNCTION("""COMPUTED_VALUE"""),"ommahens@gmail.com")</f>
        <v>ommahens@gmail.com</v>
      </c>
      <c r="AI1427" s="80"/>
      <c r="AJ1427" s="80"/>
      <c r="AK1427" s="80"/>
      <c r="AL1427" s="80"/>
      <c r="AM1427" s="80" t="str">
        <f>IFERROR(__xludf.DUMMYFUNCTION("""COMPUTED_VALUE"""),"KANTOR REGIONAL IV SEMARANG 50004")</f>
        <v>KANTOR REGIONAL IV SEMARANG 50004</v>
      </c>
      <c r="AN1427" s="80" t="str">
        <f>IFERROR(__xludf.DUMMYFUNCTION("""COMPUTED_VALUE"""),"KC SRAGEN 57200")</f>
        <v>KC SRAGEN 57200</v>
      </c>
      <c r="AO1427" s="80" t="str">
        <f>IFERROR(__xludf.DUMMYFUNCTION("""COMPUTED_VALUE"""),"2708260028286")</f>
        <v>2708260028286</v>
      </c>
      <c r="AP1427" s="80" t="str">
        <f>IFERROR(__xludf.DUMMYFUNCTION("""COMPUTED_VALUE"""),"2708260028286")</f>
        <v>2708260028286</v>
      </c>
      <c r="AQ1427" s="83" t="str">
        <f>IFERROR(__xludf.DUMMYFUNCTION("""COMPUTED_VALUE"""),"688001031323532")</f>
        <v>688001031323532</v>
      </c>
      <c r="AR1427" s="80" t="str">
        <f>IFERROR(__xludf.DUMMYFUNCTION("""COMPUTED_VALUE"""),"BRI")</f>
        <v>BRI</v>
      </c>
      <c r="AS1427" s="80" t="str">
        <f>IFERROR(__xludf.DUMMYFUNCTION("""COMPUTED_VALUE"""),"PURANGGI SEPTI WIDIYASTIKA")</f>
        <v>PURANGGI SEPTI WIDIYASTIKA</v>
      </c>
      <c r="AT1427" s="80" t="str">
        <f>IFERROR(__xludf.DUMMYFUNCTION("""COMPUTED_VALUE"""),"-7.434422,111.019403")</f>
        <v>-7.434422,111.019403</v>
      </c>
      <c r="AU1427" s="80" t="str">
        <f>IFERROR(__xludf.DUMMYFUNCTION("""COMPUTED_VALUE"""),"-7.434422,111.019403")</f>
        <v>-7.434422,111.019403</v>
      </c>
      <c r="AV1427" s="80"/>
      <c r="AW1427" s="80"/>
      <c r="AX1427" s="80"/>
      <c r="AY1427" s="80"/>
      <c r="AZ1427" s="80"/>
      <c r="BA1427" s="80"/>
      <c r="BB1427" s="80"/>
      <c r="BC1427" s="80"/>
      <c r="BD1427" s="80"/>
      <c r="BE1427" s="80"/>
      <c r="BF1427" s="80"/>
      <c r="BG1427" s="80"/>
      <c r="BH1427" s="80"/>
      <c r="BI1427" s="80"/>
      <c r="BJ1427" s="80"/>
      <c r="BK1427" s="80"/>
      <c r="BL1427" s="80"/>
      <c r="BM1427" s="80"/>
      <c r="BN1427" s="80"/>
      <c r="BO1427" s="80"/>
      <c r="BP1427" s="80"/>
      <c r="BQ1427" s="80"/>
      <c r="BR1427" s="80"/>
      <c r="BS1427" s="80"/>
      <c r="BT1427" s="80"/>
      <c r="BU1427" s="80"/>
      <c r="BV1427" s="80"/>
      <c r="BW1427" s="80"/>
      <c r="BX1427" s="80"/>
      <c r="BY1427" s="80"/>
      <c r="BZ1427" s="80"/>
      <c r="CA1427" s="80"/>
      <c r="CB1427" s="80"/>
      <c r="CC1427" s="80"/>
      <c r="CD1427" s="80"/>
      <c r="CE1427" s="80"/>
      <c r="CF1427" s="80"/>
      <c r="CG1427" s="80"/>
      <c r="CH1427" s="80"/>
      <c r="CI1427" s="80"/>
      <c r="CJ1427" s="80"/>
      <c r="CK1427" s="2"/>
    </row>
    <row r="1428" ht="12.75" customHeight="1">
      <c r="A1428" s="85">
        <f>IFERROR(__xludf.DUMMYFUNCTION("""COMPUTED_VALUE"""),1424.0)</f>
        <v>1424</v>
      </c>
      <c r="B1428" s="85"/>
      <c r="C1428" s="85"/>
      <c r="D1428" s="86">
        <f>IFERROR(__xludf.DUMMYFUNCTION("""COMPUTED_VALUE"""),46266.0)</f>
        <v>46266</v>
      </c>
      <c r="E1428" s="88"/>
      <c r="F1428" s="85"/>
      <c r="G1428" s="86"/>
      <c r="H1428" s="85"/>
      <c r="I1428" s="85"/>
      <c r="J1428" s="85"/>
      <c r="K1428" s="85"/>
      <c r="L1428" s="85"/>
      <c r="M1428" s="85"/>
      <c r="N1428" s="85"/>
      <c r="O1428" s="85"/>
      <c r="P1428" s="85" t="str">
        <f>IFERROR(__xludf.DUMMYFUNCTION("""COMPUTED_VALUE"""),"MUC70182UMKMDSN1")</f>
        <v>MUC70182UMKMDSN1</v>
      </c>
      <c r="Q1428" s="85" t="str">
        <f>IFERROR(__xludf.DUMMYFUNCTION("""COMPUTED_VALUE"""),"MUC STIT MADINA")</f>
        <v>MUC STIT MADINA</v>
      </c>
      <c r="R1428" s="85" t="str">
        <f>IFERROR(__xludf.DUMMYFUNCTION("""COMPUTED_VALUE"""),"MUC STIT MADINA")</f>
        <v>MUC STIT MADINA</v>
      </c>
      <c r="S1428" s="85" t="str">
        <f>IFERROR(__xludf.DUMMYFUNCTION("""COMPUTED_VALUE"""),"AHMAD FAUZI")</f>
        <v>AHMAD FAUZI</v>
      </c>
      <c r="T1428" s="85" t="str">
        <f>IFERROR(__xludf.DUMMYFUNCTION("""COMPUTED_VALUE"""),"DUSUN KRAJAN RT 001/RW 003 KLATAKAN TANGGUL, KABUPATEN JEMBER JAWA TIMUR")</f>
        <v>DUSUN KRAJAN RT 001/RW 003 KLATAKAN TANGGUL, KABUPATEN JEMBER JAWA TIMUR</v>
      </c>
      <c r="U1428" s="85" t="str">
        <f>IFERROR(__xludf.DUMMYFUNCTION("""COMPUTED_VALUE"""),"Jl. Hos Cokroaminoto Gang III No.3 Teguhan")</f>
        <v>Jl. Hos Cokroaminoto Gang III No.3 Teguhan</v>
      </c>
      <c r="V1428" s="85" t="str">
        <f>IFERROR(__xludf.DUMMYFUNCTION("""COMPUTED_VALUE"""),"RT 001 \ RW 003")</f>
        <v>RT 001 \ RW 003</v>
      </c>
      <c r="W1428" s="85" t="str">
        <f>IFERROR(__xludf.DUMMYFUNCTION("""COMPUTED_VALUE"""),"Sragen Wetan")</f>
        <v>Sragen Wetan</v>
      </c>
      <c r="X1428" s="85" t="str">
        <f>IFERROR(__xludf.DUMMYFUNCTION("""COMPUTED_VALUE"""),"Sragen")</f>
        <v>Sragen</v>
      </c>
      <c r="Y1428" s="85" t="str">
        <f>IFERROR(__xludf.DUMMYFUNCTION("""COMPUTED_VALUE"""),"Kab. Sragen")</f>
        <v>Kab. Sragen</v>
      </c>
      <c r="Z1428" s="85" t="str">
        <f>IFERROR(__xludf.DUMMYFUNCTION("""COMPUTED_VALUE"""),"Jawa Tengah")</f>
        <v>Jawa Tengah</v>
      </c>
      <c r="AA1428" s="85" t="str">
        <f>IFERROR(__xludf.DUMMYFUNCTION("""COMPUTED_VALUE"""),"57214")</f>
        <v>57214</v>
      </c>
      <c r="AB1428" s="85" t="str">
        <f>IFERROR(__xludf.DUMMYFUNCTION("""COMPUTED_VALUE"""),"3509062710790001")</f>
        <v>3509062710790001</v>
      </c>
      <c r="AC1428" s="85" t="str">
        <f>IFERROR(__xludf.DUMMYFUNCTION("""COMPUTED_VALUE"""),"44.050.534.5-626.000")</f>
        <v>44.050.534.5-626.000</v>
      </c>
      <c r="AD1428" s="85" t="str">
        <f>IFERROR(__xludf.DUMMYFUNCTION("""COMPUTED_VALUE"""),"CUM - UNK - DEKOPIN SITI")</f>
        <v>CUM - UNK - DEKOPIN SITI</v>
      </c>
      <c r="AE1428" s="85" t="str">
        <f>IFERROR(__xludf.DUMMYFUNCTION("""COMPUTED_VALUE"""),"CUM - UNK - DEKOPIN SITI")</f>
        <v>CUM - UNK - DEKOPIN SITI</v>
      </c>
      <c r="AF1428" s="85" t="str">
        <f>IFERROR(__xludf.DUMMYFUNCTION("""COMPUTED_VALUE"""),"085333562888")</f>
        <v>085333562888</v>
      </c>
      <c r="AG1428" s="85" t="str">
        <f>IFERROR(__xludf.DUMMYFUNCTION("""COMPUTED_VALUE"""),"085333562888")</f>
        <v>085333562888</v>
      </c>
      <c r="AH1428" s="85" t="str">
        <f>IFERROR(__xludf.DUMMYFUNCTION("""COMPUTED_VALUE"""),"ahmadfauzi271079@gmail.com")</f>
        <v>ahmadfauzi271079@gmail.com</v>
      </c>
      <c r="AI1428" s="85"/>
      <c r="AJ1428" s="85"/>
      <c r="AK1428" s="85"/>
      <c r="AL1428" s="85"/>
      <c r="AM1428" s="85" t="str">
        <f>IFERROR(__xludf.DUMMYFUNCTION("""COMPUTED_VALUE"""),"KANTOR REGIONAL IV SEMARANG 50004")</f>
        <v>KANTOR REGIONAL IV SEMARANG 50004</v>
      </c>
      <c r="AN1428" s="85" t="str">
        <f>IFERROR(__xludf.DUMMYFUNCTION("""COMPUTED_VALUE"""),"KC SRAGEN 57200")</f>
        <v>KC SRAGEN 57200</v>
      </c>
      <c r="AO1428" s="85" t="str">
        <f>IFERROR(__xludf.DUMMYFUNCTION("""COMPUTED_VALUE"""),"2608260070091")</f>
        <v>2608260070091</v>
      </c>
      <c r="AP1428" s="85" t="str">
        <f>IFERROR(__xludf.DUMMYFUNCTION("""COMPUTED_VALUE"""),"2608260070091")</f>
        <v>2608260070091</v>
      </c>
      <c r="AQ1428" s="93" t="str">
        <f>IFERROR(__xludf.DUMMYFUNCTION("""COMPUTED_VALUE"""),"3340294270")</f>
        <v>3340294270</v>
      </c>
      <c r="AR1428" s="85" t="str">
        <f>IFERROR(__xludf.DUMMYFUNCTION("""COMPUTED_VALUE"""),"BCA")</f>
        <v>BCA</v>
      </c>
      <c r="AS1428" s="85" t="str">
        <f>IFERROR(__xludf.DUMMYFUNCTION("""COMPUTED_VALUE"""),"AHMAD FAUZI SH")</f>
        <v>AHMAD FAUZI SH</v>
      </c>
      <c r="AT1428" s="85" t="str">
        <f>IFERROR(__xludf.DUMMYFUNCTION("""COMPUTED_VALUE"""),"-7.429331,111.032874")</f>
        <v>-7.429331,111.032874</v>
      </c>
      <c r="AU1428" s="85" t="str">
        <f>IFERROR(__xludf.DUMMYFUNCTION("""COMPUTED_VALUE"""),"-7.429331,111.032874")</f>
        <v>-7.429331,111.032874</v>
      </c>
      <c r="AV1428" s="85"/>
      <c r="AW1428" s="85"/>
      <c r="AX1428" s="85"/>
      <c r="AY1428" s="85"/>
      <c r="AZ1428" s="85"/>
      <c r="BA1428" s="85"/>
      <c r="BB1428" s="85"/>
      <c r="BC1428" s="85"/>
      <c r="BD1428" s="85"/>
      <c r="BE1428" s="85"/>
      <c r="BF1428" s="85"/>
      <c r="BG1428" s="85"/>
      <c r="BH1428" s="85"/>
      <c r="BI1428" s="85"/>
      <c r="BJ1428" s="85"/>
      <c r="BK1428" s="85"/>
      <c r="BL1428" s="85"/>
      <c r="BM1428" s="85"/>
      <c r="BN1428" s="85"/>
      <c r="BO1428" s="85"/>
      <c r="BP1428" s="85"/>
      <c r="BQ1428" s="85"/>
      <c r="BR1428" s="85"/>
      <c r="BS1428" s="85"/>
      <c r="BT1428" s="85"/>
      <c r="BU1428" s="85"/>
      <c r="BV1428" s="85"/>
      <c r="BW1428" s="85"/>
      <c r="BX1428" s="85"/>
      <c r="BY1428" s="85"/>
      <c r="BZ1428" s="85"/>
      <c r="CA1428" s="85"/>
      <c r="CB1428" s="85"/>
      <c r="CC1428" s="85"/>
      <c r="CD1428" s="85"/>
      <c r="CE1428" s="85"/>
      <c r="CF1428" s="85"/>
      <c r="CG1428" s="85"/>
      <c r="CH1428" s="85"/>
      <c r="CI1428" s="85"/>
      <c r="CJ1428" s="85"/>
      <c r="CK1428" s="2"/>
    </row>
    <row r="1429" ht="12.75" customHeight="1">
      <c r="A1429" s="80">
        <f>IFERROR(__xludf.DUMMYFUNCTION("""COMPUTED_VALUE"""),1425.0)</f>
        <v>1425</v>
      </c>
      <c r="B1429" s="80"/>
      <c r="C1429" s="80"/>
      <c r="D1429" s="81">
        <f>IFERROR(__xludf.DUMMYFUNCTION("""COMPUTED_VALUE"""),46266.0)</f>
        <v>46266</v>
      </c>
      <c r="E1429" s="82"/>
      <c r="F1429" s="80"/>
      <c r="G1429" s="81"/>
      <c r="H1429" s="80"/>
      <c r="I1429" s="80"/>
      <c r="J1429" s="80"/>
      <c r="K1429" s="80"/>
      <c r="L1429" s="80"/>
      <c r="M1429" s="80"/>
      <c r="N1429" s="80"/>
      <c r="O1429" s="80"/>
      <c r="P1429" s="80" t="str">
        <f>IFERROR(__xludf.DUMMYFUNCTION("""COMPUTED_VALUE"""),"MUC70183UMKMDSN1")</f>
        <v>MUC70183UMKMDSN1</v>
      </c>
      <c r="Q1429" s="80" t="str">
        <f>IFERROR(__xludf.DUMMYFUNCTION("""COMPUTED_VALUE"""),"MUC NURYUDI EXPRESS")</f>
        <v>MUC NURYUDI EXPRESS</v>
      </c>
      <c r="R1429" s="80" t="str">
        <f>IFERROR(__xludf.DUMMYFUNCTION("""COMPUTED_VALUE"""),"MUC NURYUDI EXPRESS")</f>
        <v>MUC NURYUDI EXPRESS</v>
      </c>
      <c r="S1429" s="80" t="str">
        <f>IFERROR(__xludf.DUMMYFUNCTION("""COMPUTED_VALUE"""),"NUR HOLIDAH")</f>
        <v>NUR HOLIDAH</v>
      </c>
      <c r="T1429" s="80" t="str">
        <f>IFERROR(__xludf.DUMMYFUNCTION("""COMPUTED_VALUE"""),"TAMAN ASRI RT.035/RW.014 KROYO KARANGMALANG KABUPATEN SRAGEN JAWA TENGAH")</f>
        <v>TAMAN ASRI RT.035/RW.014 KROYO KARANGMALANG KABUPATEN SRAGEN JAWA TENGAH</v>
      </c>
      <c r="U1429" s="80" t="str">
        <f>IFERROR(__xludf.DUMMYFUNCTION("""COMPUTED_VALUE"""),"Taman Asri RT.35 RW.14 Jl. Hayam Wuruk, Kroyo Karangmalang")</f>
        <v>Taman Asri RT.35 RW.14 Jl. Hayam Wuruk, Kroyo Karangmalang</v>
      </c>
      <c r="V1429" s="80" t="str">
        <f>IFERROR(__xludf.DUMMYFUNCTION("""COMPUTED_VALUE"""),"RT.035 \ RW.014")</f>
        <v>RT.035 \ RW.014</v>
      </c>
      <c r="W1429" s="80" t="str">
        <f>IFERROR(__xludf.DUMMYFUNCTION("""COMPUTED_VALUE"""),"Kroyo")</f>
        <v>Kroyo</v>
      </c>
      <c r="X1429" s="80" t="str">
        <f>IFERROR(__xludf.DUMMYFUNCTION("""COMPUTED_VALUE"""),"Karangmalang")</f>
        <v>Karangmalang</v>
      </c>
      <c r="Y1429" s="80" t="str">
        <f>IFERROR(__xludf.DUMMYFUNCTION("""COMPUTED_VALUE"""),"Kab. Sragen")</f>
        <v>Kab. Sragen</v>
      </c>
      <c r="Z1429" s="80" t="str">
        <f>IFERROR(__xludf.DUMMYFUNCTION("""COMPUTED_VALUE"""),"Jawa Tengah")</f>
        <v>Jawa Tengah</v>
      </c>
      <c r="AA1429" s="80" t="str">
        <f>IFERROR(__xludf.DUMMYFUNCTION("""COMPUTED_VALUE"""),"57221")</f>
        <v>57221</v>
      </c>
      <c r="AB1429" s="80" t="str">
        <f>IFERROR(__xludf.DUMMYFUNCTION("""COMPUTED_VALUE"""),"3314094412710002")</f>
        <v>3314094412710002</v>
      </c>
      <c r="AC1429" s="80" t="str">
        <f>IFERROR(__xludf.DUMMYFUNCTION("""COMPUTED_VALUE"""),"75.304.594.7-528.000")</f>
        <v>75.304.594.7-528.000</v>
      </c>
      <c r="AD1429" s="80" t="str">
        <f>IFERROR(__xludf.DUMMYFUNCTION("""COMPUTED_VALUE"""),"CUM - UNK - DEKOPIN SITI")</f>
        <v>CUM - UNK - DEKOPIN SITI</v>
      </c>
      <c r="AE1429" s="80" t="str">
        <f>IFERROR(__xludf.DUMMYFUNCTION("""COMPUTED_VALUE"""),"CUM - UNK - DEKOPIN SITI")</f>
        <v>CUM - UNK - DEKOPIN SITI</v>
      </c>
      <c r="AF1429" s="80" t="str">
        <f>IFERROR(__xludf.DUMMYFUNCTION("""COMPUTED_VALUE"""),"081548268939")</f>
        <v>081548268939</v>
      </c>
      <c r="AG1429" s="80" t="str">
        <f>IFERROR(__xludf.DUMMYFUNCTION("""COMPUTED_VALUE"""),"081548268939")</f>
        <v>081548268939</v>
      </c>
      <c r="AH1429" s="80" t="str">
        <f>IFERROR(__xludf.DUMMYFUNCTION("""COMPUTED_VALUE"""),"nurholidah918@gmail.com")</f>
        <v>nurholidah918@gmail.com</v>
      </c>
      <c r="AI1429" s="80"/>
      <c r="AJ1429" s="80"/>
      <c r="AK1429" s="80"/>
      <c r="AL1429" s="80"/>
      <c r="AM1429" s="80" t="str">
        <f>IFERROR(__xludf.DUMMYFUNCTION("""COMPUTED_VALUE"""),"KANTOR REGIONAL IV SEMARANG 50004")</f>
        <v>KANTOR REGIONAL IV SEMARANG 50004</v>
      </c>
      <c r="AN1429" s="80" t="str">
        <f>IFERROR(__xludf.DUMMYFUNCTION("""COMPUTED_VALUE"""),"KC SRAGEN 57200")</f>
        <v>KC SRAGEN 57200</v>
      </c>
      <c r="AO1429" s="80" t="str">
        <f>IFERROR(__xludf.DUMMYFUNCTION("""COMPUTED_VALUE"""),"2708260050312")</f>
        <v>2708260050312</v>
      </c>
      <c r="AP1429" s="80" t="str">
        <f>IFERROR(__xludf.DUMMYFUNCTION("""COMPUTED_VALUE"""),"2708260050312")</f>
        <v>2708260050312</v>
      </c>
      <c r="AQ1429" s="83" t="str">
        <f>IFERROR(__xludf.DUMMYFUNCTION("""COMPUTED_VALUE"""),"0430228459")</f>
        <v>0430228459</v>
      </c>
      <c r="AR1429" s="80" t="str">
        <f>IFERROR(__xludf.DUMMYFUNCTION("""COMPUTED_VALUE"""),"BNI")</f>
        <v>BNI</v>
      </c>
      <c r="AS1429" s="80" t="str">
        <f>IFERROR(__xludf.DUMMYFUNCTION("""COMPUTED_VALUE"""),"NUR HOLIDAH")</f>
        <v>NUR HOLIDAH</v>
      </c>
      <c r="AT1429" s="80" t="str">
        <f>IFERROR(__xludf.DUMMYFUNCTION("""COMPUTED_VALUE"""),"-7.4350278,111.0244167")</f>
        <v>-7.4350278,111.0244167</v>
      </c>
      <c r="AU1429" s="80" t="str">
        <f>IFERROR(__xludf.DUMMYFUNCTION("""COMPUTED_VALUE"""),"-7.4350278,111.0244167")</f>
        <v>-7.4350278,111.0244167</v>
      </c>
      <c r="AV1429" s="80"/>
      <c r="AW1429" s="80"/>
      <c r="AX1429" s="80"/>
      <c r="AY1429" s="80"/>
      <c r="AZ1429" s="80"/>
      <c r="BA1429" s="80"/>
      <c r="BB1429" s="80"/>
      <c r="BC1429" s="80"/>
      <c r="BD1429" s="80"/>
      <c r="BE1429" s="80"/>
      <c r="BF1429" s="80"/>
      <c r="BG1429" s="80"/>
      <c r="BH1429" s="80"/>
      <c r="BI1429" s="80"/>
      <c r="BJ1429" s="80"/>
      <c r="BK1429" s="80"/>
      <c r="BL1429" s="80"/>
      <c r="BM1429" s="80"/>
      <c r="BN1429" s="80"/>
      <c r="BO1429" s="80"/>
      <c r="BP1429" s="80"/>
      <c r="BQ1429" s="80"/>
      <c r="BR1429" s="80"/>
      <c r="BS1429" s="80"/>
      <c r="BT1429" s="80"/>
      <c r="BU1429" s="80"/>
      <c r="BV1429" s="80"/>
      <c r="BW1429" s="80"/>
      <c r="BX1429" s="80"/>
      <c r="BY1429" s="80"/>
      <c r="BZ1429" s="80"/>
      <c r="CA1429" s="80"/>
      <c r="CB1429" s="80"/>
      <c r="CC1429" s="80"/>
      <c r="CD1429" s="80"/>
      <c r="CE1429" s="80"/>
      <c r="CF1429" s="80"/>
      <c r="CG1429" s="80"/>
      <c r="CH1429" s="80"/>
      <c r="CI1429" s="80"/>
      <c r="CJ1429" s="80"/>
      <c r="CK1429" s="2"/>
    </row>
    <row r="1430" ht="12.75" customHeight="1">
      <c r="A1430" s="85">
        <f>IFERROR(__xludf.DUMMYFUNCTION("""COMPUTED_VALUE"""),1426.0)</f>
        <v>1426</v>
      </c>
      <c r="B1430" s="85"/>
      <c r="C1430" s="85"/>
      <c r="D1430" s="86">
        <f>IFERROR(__xludf.DUMMYFUNCTION("""COMPUTED_VALUE"""),46266.0)</f>
        <v>46266</v>
      </c>
      <c r="E1430" s="88"/>
      <c r="F1430" s="85"/>
      <c r="G1430" s="86"/>
      <c r="H1430" s="85"/>
      <c r="I1430" s="85"/>
      <c r="J1430" s="85"/>
      <c r="K1430" s="85"/>
      <c r="L1430" s="85"/>
      <c r="M1430" s="85"/>
      <c r="N1430" s="85"/>
      <c r="O1430" s="85"/>
      <c r="P1430" s="85" t="str">
        <f>IFERROR(__xludf.DUMMYFUNCTION("""COMPUTED_VALUE"""),"MUC70184UMKMDSN1")</f>
        <v>MUC70184UMKMDSN1</v>
      </c>
      <c r="Q1430" s="85" t="str">
        <f>IFERROR(__xludf.DUMMYFUNCTION("""COMPUTED_VALUE"""),"MUC BAITUL QURAN")</f>
        <v>MUC BAITUL QURAN</v>
      </c>
      <c r="R1430" s="85" t="str">
        <f>IFERROR(__xludf.DUMMYFUNCTION("""COMPUTED_VALUE"""),"MUC BAITUL QURAN")</f>
        <v>MUC BAITUL QURAN</v>
      </c>
      <c r="S1430" s="85" t="str">
        <f>IFERROR(__xludf.DUMMYFUNCTION("""COMPUTED_VALUE"""),"MUSLIMAH")</f>
        <v>MUSLIMAH</v>
      </c>
      <c r="T1430" s="85" t="str">
        <f>IFERROR(__xludf.DUMMYFUNCTION("""COMPUTED_VALUE"""),"DUSUN GADUNGAN RT.003/RW.010 KLATAKAN TANGGUL KABUPATEN JEMBER JAWA TIMUR")</f>
        <v>DUSUN GADUNGAN RT.003/RW.010 KLATAKAN TANGGUL KABUPATEN JEMBER JAWA TIMUR</v>
      </c>
      <c r="U1430" s="85" t="str">
        <f>IFERROR(__xludf.DUMMYFUNCTION("""COMPUTED_VALUE"""),"Jl. Karyabudi No.09, Dusun Krajan RT 01 RW 03")</f>
        <v>Jl. Karyabudi No.09, Dusun Krajan RT 01 RW 03</v>
      </c>
      <c r="V1430" s="85" t="str">
        <f>IFERROR(__xludf.DUMMYFUNCTION("""COMPUTED_VALUE"""),"RT.003 \ RW.010")</f>
        <v>RT.003 \ RW.010</v>
      </c>
      <c r="W1430" s="85" t="str">
        <f>IFERROR(__xludf.DUMMYFUNCTION("""COMPUTED_VALUE"""),"Klatakan")</f>
        <v>Klatakan</v>
      </c>
      <c r="X1430" s="85" t="str">
        <f>IFERROR(__xludf.DUMMYFUNCTION("""COMPUTED_VALUE"""),"Tanggul")</f>
        <v>Tanggul</v>
      </c>
      <c r="Y1430" s="85" t="str">
        <f>IFERROR(__xludf.DUMMYFUNCTION("""COMPUTED_VALUE"""),"Kab. Jember")</f>
        <v>Kab. Jember</v>
      </c>
      <c r="Z1430" s="85" t="str">
        <f>IFERROR(__xludf.DUMMYFUNCTION("""COMPUTED_VALUE"""),"Jawa Timur")</f>
        <v>Jawa Timur</v>
      </c>
      <c r="AA1430" s="85" t="str">
        <f>IFERROR(__xludf.DUMMYFUNCTION("""COMPUTED_VALUE"""),"68155")</f>
        <v>68155</v>
      </c>
      <c r="AB1430" s="85" t="str">
        <f>IFERROR(__xludf.DUMMYFUNCTION("""COMPUTED_VALUE"""),"3509065111810002")</f>
        <v>3509065111810002</v>
      </c>
      <c r="AC1430" s="85" t="str">
        <f>IFERROR(__xludf.DUMMYFUNCTION("""COMPUTED_VALUE"""),"36.741.326.7-626.000")</f>
        <v>36.741.326.7-626.000</v>
      </c>
      <c r="AD1430" s="85" t="str">
        <f>IFERROR(__xludf.DUMMYFUNCTION("""COMPUTED_VALUE"""),"CUM - UNK - DEKOPIN SITI")</f>
        <v>CUM - UNK - DEKOPIN SITI</v>
      </c>
      <c r="AE1430" s="85" t="str">
        <f>IFERROR(__xludf.DUMMYFUNCTION("""COMPUTED_VALUE"""),"CUM - UNK - DEKOPIN SITI")</f>
        <v>CUM - UNK - DEKOPIN SITI</v>
      </c>
      <c r="AF1430" s="85" t="str">
        <f>IFERROR(__xludf.DUMMYFUNCTION("""COMPUTED_VALUE"""),"081333082714")</f>
        <v>081333082714</v>
      </c>
      <c r="AG1430" s="85" t="str">
        <f>IFERROR(__xludf.DUMMYFUNCTION("""COMPUTED_VALUE"""),"081333082714")</f>
        <v>081333082714</v>
      </c>
      <c r="AH1430" s="85" t="str">
        <f>IFERROR(__xludf.DUMMYFUNCTION("""COMPUTED_VALUE"""),"muslimahspdi04@gmail.com")</f>
        <v>muslimahspdi04@gmail.com</v>
      </c>
      <c r="AI1430" s="85"/>
      <c r="AJ1430" s="85"/>
      <c r="AK1430" s="85"/>
      <c r="AL1430" s="85"/>
      <c r="AM1430" s="85" t="str">
        <f>IFERROR(__xludf.DUMMYFUNCTION("""COMPUTED_VALUE"""),"KANTOR REGIONAL V SURABAYA 60004")</f>
        <v>KANTOR REGIONAL V SURABAYA 60004</v>
      </c>
      <c r="AN1430" s="85" t="str">
        <f>IFERROR(__xludf.DUMMYFUNCTION("""COMPUTED_VALUE"""),"KCU JEMBER 68100")</f>
        <v>KCU JEMBER 68100</v>
      </c>
      <c r="AO1430" s="85" t="str">
        <f>IFERROR(__xludf.DUMMYFUNCTION("""COMPUTED_VALUE"""),"2708260066773")</f>
        <v>2708260066773</v>
      </c>
      <c r="AP1430" s="85" t="str">
        <f>IFERROR(__xludf.DUMMYFUNCTION("""COMPUTED_VALUE"""),"2708260066773")</f>
        <v>2708260066773</v>
      </c>
      <c r="AQ1430" s="93" t="str">
        <f>IFERROR(__xludf.DUMMYFUNCTION("""COMPUTED_VALUE"""),"0905564062")</f>
        <v>0905564062</v>
      </c>
      <c r="AR1430" s="85" t="str">
        <f>IFERROR(__xludf.DUMMYFUNCTION("""COMPUTED_VALUE"""),"BNI")</f>
        <v>BNI</v>
      </c>
      <c r="AS1430" s="85" t="str">
        <f>IFERROR(__xludf.DUMMYFUNCTION("""COMPUTED_VALUE"""),"IBU MUSLIMAH")</f>
        <v>IBU MUSLIMAH</v>
      </c>
      <c r="AT1430" s="85" t="str">
        <f>IFERROR(__xludf.DUMMYFUNCTION("""COMPUTED_VALUE"""),"-8.1892024,113.4945673")</f>
        <v>-8.1892024,113.4945673</v>
      </c>
      <c r="AU1430" s="85" t="str">
        <f>IFERROR(__xludf.DUMMYFUNCTION("""COMPUTED_VALUE"""),"-8.1892024,113.4945673")</f>
        <v>-8.1892024,113.4945673</v>
      </c>
      <c r="AV1430" s="85"/>
      <c r="AW1430" s="85"/>
      <c r="AX1430" s="85"/>
      <c r="AY1430" s="85"/>
      <c r="AZ1430" s="85"/>
      <c r="BA1430" s="85"/>
      <c r="BB1430" s="85"/>
      <c r="BC1430" s="85"/>
      <c r="BD1430" s="85"/>
      <c r="BE1430" s="85"/>
      <c r="BF1430" s="85"/>
      <c r="BG1430" s="85"/>
      <c r="BH1430" s="85"/>
      <c r="BI1430" s="85"/>
      <c r="BJ1430" s="85"/>
      <c r="BK1430" s="85"/>
      <c r="BL1430" s="85"/>
      <c r="BM1430" s="85"/>
      <c r="BN1430" s="85"/>
      <c r="BO1430" s="85"/>
      <c r="BP1430" s="85"/>
      <c r="BQ1430" s="85"/>
      <c r="BR1430" s="85"/>
      <c r="BS1430" s="85"/>
      <c r="BT1430" s="85"/>
      <c r="BU1430" s="85"/>
      <c r="BV1430" s="85"/>
      <c r="BW1430" s="85"/>
      <c r="BX1430" s="85"/>
      <c r="BY1430" s="85"/>
      <c r="BZ1430" s="85"/>
      <c r="CA1430" s="85"/>
      <c r="CB1430" s="85"/>
      <c r="CC1430" s="85"/>
      <c r="CD1430" s="85"/>
      <c r="CE1430" s="85"/>
      <c r="CF1430" s="85"/>
      <c r="CG1430" s="85"/>
      <c r="CH1430" s="85"/>
      <c r="CI1430" s="85"/>
      <c r="CJ1430" s="85"/>
      <c r="CK1430" s="2"/>
    </row>
    <row r="1431" ht="12.75" customHeight="1">
      <c r="A1431" s="80">
        <f>IFERROR(__xludf.DUMMYFUNCTION("""COMPUTED_VALUE"""),1427.0)</f>
        <v>1427</v>
      </c>
      <c r="B1431" s="80"/>
      <c r="C1431" s="80"/>
      <c r="D1431" s="81">
        <f>IFERROR(__xludf.DUMMYFUNCTION("""COMPUTED_VALUE"""),46266.0)</f>
        <v>46266</v>
      </c>
      <c r="E1431" s="82"/>
      <c r="F1431" s="80"/>
      <c r="G1431" s="81">
        <f>IFERROR(__xludf.DUMMYFUNCTION("""COMPUTED_VALUE"""),46276.0)</f>
        <v>46276</v>
      </c>
      <c r="H1431" s="80"/>
      <c r="I1431" s="80"/>
      <c r="J1431" s="80"/>
      <c r="K1431" s="80"/>
      <c r="L1431" s="80">
        <f>IFERROR(__xludf.DUMMYFUNCTION("""COMPUTED_VALUE"""),10.0)</f>
        <v>10</v>
      </c>
      <c r="M1431" s="80"/>
      <c r="N1431" s="80"/>
      <c r="O1431" s="80"/>
      <c r="P1431" s="80" t="str">
        <f>IFERROR(__xludf.DUMMYFUNCTION("""COMPUTED_VALUE"""),"MUCSPA70060PSUMK")</f>
        <v>MUCSPA70060PSUMK</v>
      </c>
      <c r="Q1431" s="80" t="str">
        <f>IFERROR(__xludf.DUMMYFUNCTION("""COMPUTED_VALUE"""),"MUC KATARA")</f>
        <v>MUC KATARA</v>
      </c>
      <c r="R1431" s="80" t="str">
        <f>IFERROR(__xludf.DUMMYFUNCTION("""COMPUTED_VALUE"""),"MUC KATARA")</f>
        <v>MUC KATARA</v>
      </c>
      <c r="S1431" s="80" t="str">
        <f>IFERROR(__xludf.DUMMYFUNCTION("""COMPUTED_VALUE"""),"AGUS SURYADI")</f>
        <v>AGUS SURYADI</v>
      </c>
      <c r="T1431" s="80" t="str">
        <f>IFERROR(__xludf.DUMMYFUNCTION("""COMPUTED_VALUE"""),"JL. JURANG NO.55 RT.003/RW.005 PASTEUR SUKAJADI KOTA BANDUNG JAWA BARAT")</f>
        <v>JL. JURANG NO.55 RT.003/RW.005 PASTEUR SUKAJADI KOTA BANDUNG JAWA BARAT</v>
      </c>
      <c r="U1431" s="80" t="str">
        <f>IFERROR(__xludf.DUMMYFUNCTION("""COMPUTED_VALUE"""),"Jl. Jurang No.55, Pasteur, Kec. Sukajadi, Kota Bandung")</f>
        <v>Jl. Jurang No.55, Pasteur, Kec. Sukajadi, Kota Bandung</v>
      </c>
      <c r="V1431" s="80" t="str">
        <f>IFERROR(__xludf.DUMMYFUNCTION("""COMPUTED_VALUE"""),"RT.003 \ RW.005")</f>
        <v>RT.003 \ RW.005</v>
      </c>
      <c r="W1431" s="80" t="str">
        <f>IFERROR(__xludf.DUMMYFUNCTION("""COMPUTED_VALUE"""),"Pasteur")</f>
        <v>Pasteur</v>
      </c>
      <c r="X1431" s="80" t="str">
        <f>IFERROR(__xludf.DUMMYFUNCTION("""COMPUTED_VALUE"""),"Sukajadi")</f>
        <v>Sukajadi</v>
      </c>
      <c r="Y1431" s="80" t="str">
        <f>IFERROR(__xludf.DUMMYFUNCTION("""COMPUTED_VALUE"""),"Bandung")</f>
        <v>Bandung</v>
      </c>
      <c r="Z1431" s="80" t="str">
        <f>IFERROR(__xludf.DUMMYFUNCTION("""COMPUTED_VALUE"""),"Jawa Barat")</f>
        <v>Jawa Barat</v>
      </c>
      <c r="AA1431" s="80" t="str">
        <f>IFERROR(__xludf.DUMMYFUNCTION("""COMPUTED_VALUE"""),"40161")</f>
        <v>40161</v>
      </c>
      <c r="AB1431" s="80" t="str">
        <f>IFERROR(__xludf.DUMMYFUNCTION("""COMPUTED_VALUE"""),"3273182510640001")</f>
        <v>3273182510640001</v>
      </c>
      <c r="AC1431" s="80" t="str">
        <f>IFERROR(__xludf.DUMMYFUNCTION("""COMPUTED_VALUE"""),"34.447.115.6-423.000")</f>
        <v>34.447.115.6-423.000</v>
      </c>
      <c r="AD1431" s="80" t="str">
        <f>IFERROR(__xludf.DUMMYFUNCTION("""COMPUTED_VALUE"""),"CUM - UMKMNK - ASEP")</f>
        <v>CUM - UMKMNK - ASEP</v>
      </c>
      <c r="AE1431" s="80" t="str">
        <f>IFERROR(__xludf.DUMMYFUNCTION("""COMPUTED_VALUE"""),"CUM - UMKMNK - ASEP")</f>
        <v>CUM - UMKMNK - ASEP</v>
      </c>
      <c r="AF1431" s="80" t="str">
        <f>IFERROR(__xludf.DUMMYFUNCTION("""COMPUTED_VALUE"""),"08156162555")</f>
        <v>08156162555</v>
      </c>
      <c r="AG1431" s="80" t="str">
        <f>IFERROR(__xludf.DUMMYFUNCTION("""COMPUTED_VALUE"""),"08156162555")</f>
        <v>08156162555</v>
      </c>
      <c r="AH1431" s="80" t="str">
        <f>IFERROR(__xludf.DUMMYFUNCTION("""COMPUTED_VALUE"""),"agusttsuryadi@gmailcom")</f>
        <v>agusttsuryadi@gmailcom</v>
      </c>
      <c r="AI1431" s="80" t="str">
        <f>IFERROR(__xludf.DUMMYFUNCTION("""COMPUTED_VALUE"""),"40161S5 ")</f>
        <v>40161S5 </v>
      </c>
      <c r="AJ1431" s="80" t="str">
        <f>IFERROR(__xludf.DUMMYFUNCTION("""COMPUTED_VALUE"""),"6aa34bf5d302889a3e0bb199 ")</f>
        <v>6aa34bf5d302889a3e0bb199 </v>
      </c>
      <c r="AK1431" s="80" t="str">
        <f>IFERROR(__xludf.DUMMYFUNCTION("""COMPUTED_VALUE"""),"agusttsuryadi@gmail.com")</f>
        <v>agusttsuryadi@gmail.com</v>
      </c>
      <c r="AL1431" s="80" t="str">
        <f>IFERROR(__xludf.DUMMYFUNCTION("""COMPUTED_VALUE"""),"#Muc40161S5$")</f>
        <v>#Muc40161S5$</v>
      </c>
      <c r="AM1431" s="80" t="str">
        <f>IFERROR(__xludf.DUMMYFUNCTION("""COMPUTED_VALUE"""),"KANTOR REGIONAL III BANDUNG 40004")</f>
        <v>KANTOR REGIONAL III BANDUNG 40004</v>
      </c>
      <c r="AN1431" s="80" t="str">
        <f>IFERROR(__xludf.DUMMYFUNCTION("""COMPUTED_VALUE"""),"KCU BANDUNG 40000")</f>
        <v>KCU BANDUNG 40000</v>
      </c>
      <c r="AO1431" s="80" t="str">
        <f>IFERROR(__xludf.DUMMYFUNCTION("""COMPUTED_VALUE"""),"0109260028931")</f>
        <v>0109260028931</v>
      </c>
      <c r="AP1431" s="80" t="str">
        <f>IFERROR(__xludf.DUMMYFUNCTION("""COMPUTED_VALUE"""),"0109260028931")</f>
        <v>0109260028931</v>
      </c>
      <c r="AQ1431" s="83" t="str">
        <f>IFERROR(__xludf.DUMMYFUNCTION("""COMPUTED_VALUE"""),"0860176149")</f>
        <v>0860176149</v>
      </c>
      <c r="AR1431" s="80" t="str">
        <f>IFERROR(__xludf.DUMMYFUNCTION("""COMPUTED_VALUE"""),"BCA")</f>
        <v>BCA</v>
      </c>
      <c r="AS1431" s="80" t="str">
        <f>IFERROR(__xludf.DUMMYFUNCTION("""COMPUTED_VALUE"""),"AGUS SURYADI")</f>
        <v>AGUS SURYADI</v>
      </c>
      <c r="AT1431" s="80" t="str">
        <f>IFERROR(__xludf.DUMMYFUNCTION("""COMPUTED_VALUE"""),"-6.8867061,107.598577")</f>
        <v>-6.8867061,107.598577</v>
      </c>
      <c r="AU1431" s="80" t="str">
        <f>IFERROR(__xludf.DUMMYFUNCTION("""COMPUTED_VALUE"""),"-6.8867061,107.598577")</f>
        <v>-6.8867061,107.598577</v>
      </c>
      <c r="AV1431" s="80"/>
      <c r="AW1431" s="80"/>
      <c r="AX1431" s="80"/>
      <c r="AY1431" s="80"/>
      <c r="AZ1431" s="80"/>
      <c r="BA1431" s="80"/>
      <c r="BB1431" s="80"/>
      <c r="BC1431" s="80"/>
      <c r="BD1431" s="80"/>
      <c r="BE1431" s="80"/>
      <c r="BF1431" s="80"/>
      <c r="BG1431" s="80"/>
      <c r="BH1431" s="80"/>
      <c r="BI1431" s="80"/>
      <c r="BJ1431" s="80"/>
      <c r="BK1431" s="80"/>
      <c r="BL1431" s="80"/>
      <c r="BM1431" s="80"/>
      <c r="BN1431" s="80"/>
      <c r="BO1431" s="80"/>
      <c r="BP1431" s="80"/>
      <c r="BQ1431" s="80"/>
      <c r="BR1431" s="80"/>
      <c r="BS1431" s="80"/>
      <c r="BT1431" s="80"/>
      <c r="BU1431" s="80"/>
      <c r="BV1431" s="80"/>
      <c r="BW1431" s="80"/>
      <c r="BX1431" s="80"/>
      <c r="BY1431" s="80"/>
      <c r="BZ1431" s="80"/>
      <c r="CA1431" s="80"/>
      <c r="CB1431" s="80"/>
      <c r="CC1431" s="80"/>
      <c r="CD1431" s="80"/>
      <c r="CE1431" s="80"/>
      <c r="CF1431" s="80"/>
      <c r="CG1431" s="80"/>
      <c r="CH1431" s="80"/>
      <c r="CI1431" s="80"/>
      <c r="CJ1431" s="80"/>
      <c r="CK1431" s="2"/>
    </row>
    <row r="1432" ht="12.75" customHeight="1">
      <c r="A1432" s="85">
        <f>IFERROR(__xludf.DUMMYFUNCTION("""COMPUTED_VALUE"""),1428.0)</f>
        <v>1428</v>
      </c>
      <c r="B1432" s="85"/>
      <c r="C1432" s="85"/>
      <c r="D1432" s="86">
        <f>IFERROR(__xludf.DUMMYFUNCTION("""COMPUTED_VALUE"""),46267.0)</f>
        <v>46267</v>
      </c>
      <c r="E1432" s="88"/>
      <c r="F1432" s="85"/>
      <c r="G1432" s="86"/>
      <c r="H1432" s="85"/>
      <c r="I1432" s="85"/>
      <c r="J1432" s="85"/>
      <c r="K1432" s="85"/>
      <c r="L1432" s="85"/>
      <c r="M1432" s="85"/>
      <c r="N1432" s="85"/>
      <c r="O1432" s="85"/>
      <c r="P1432" s="85" t="str">
        <f>IFERROR(__xludf.DUMMYFUNCTION("""COMPUTED_VALUE"""),"MUC70152UMKMTSK1")</f>
        <v>MUC70152UMKMTSK1</v>
      </c>
      <c r="Q1432" s="85" t="str">
        <f>IFERROR(__xludf.DUMMYFUNCTION("""COMPUTED_VALUE"""),"MUC BARKAKOT LAKSANA")</f>
        <v>MUC BARKAKOT LAKSANA</v>
      </c>
      <c r="R1432" s="85" t="str">
        <f>IFERROR(__xludf.DUMMYFUNCTION("""COMPUTED_VALUE"""),"MUC BARKAKOT LAKSANA")</f>
        <v>MUC BARKAKOT LAKSANA</v>
      </c>
      <c r="S1432" s="85" t="str">
        <f>IFERROR(__xludf.DUMMYFUNCTION("""COMPUTED_VALUE"""),"EKA AGUNG LAKSANA")</f>
        <v>EKA AGUNG LAKSANA</v>
      </c>
      <c r="T1432" s="85" t="str">
        <f>IFERROR(__xludf.DUMMYFUNCTION("""COMPUTED_VALUE"""),"KP. BARU RT.002/RW.012 SINGAPARNA SINGAPARNA KABUPATEN TASIKMALAYA JAWA BARAT")</f>
        <v>KP. BARU RT.002/RW.012 SINGAPARNA SINGAPARNA KABUPATEN TASIKMALAYA JAWA BARAT</v>
      </c>
      <c r="U1432" s="85" t="str">
        <f>IFERROR(__xludf.DUMMYFUNCTION("""COMPUTED_VALUE"""),"Perumahan Rancabungur Indah Blok C31 Cilampunghilir Kec. Padakembang")</f>
        <v>Perumahan Rancabungur Indah Blok C31 Cilampunghilir Kec. Padakembang</v>
      </c>
      <c r="V1432" s="85" t="str">
        <f>IFERROR(__xludf.DUMMYFUNCTION("""COMPUTED_VALUE"""),"RT.002 \ RW.012")</f>
        <v>RT.002 \ RW.012</v>
      </c>
      <c r="W1432" s="85" t="str">
        <f>IFERROR(__xludf.DUMMYFUNCTION("""COMPUTED_VALUE"""),"Cilampunghilir")</f>
        <v>Cilampunghilir</v>
      </c>
      <c r="X1432" s="85" t="str">
        <f>IFERROR(__xludf.DUMMYFUNCTION("""COMPUTED_VALUE"""),"Padakembang")</f>
        <v>Padakembang</v>
      </c>
      <c r="Y1432" s="85" t="str">
        <f>IFERROR(__xludf.DUMMYFUNCTION("""COMPUTED_VALUE"""),"Kab. Tasikmalaya")</f>
        <v>Kab. Tasikmalaya</v>
      </c>
      <c r="Z1432" s="85" t="str">
        <f>IFERROR(__xludf.DUMMYFUNCTION("""COMPUTED_VALUE"""),"Jawa Barat")</f>
        <v>Jawa Barat</v>
      </c>
      <c r="AA1432" s="85" t="str">
        <f>IFERROR(__xludf.DUMMYFUNCTION("""COMPUTED_VALUE"""),"46466")</f>
        <v>46466</v>
      </c>
      <c r="AB1432" s="85" t="str">
        <f>IFERROR(__xludf.DUMMYFUNCTION("""COMPUTED_VALUE"""),"3206242005940002")</f>
        <v>3206242005940002</v>
      </c>
      <c r="AC1432" s="85" t="str">
        <f>IFERROR(__xludf.DUMMYFUNCTION("""COMPUTED_VALUE"""),"72.471.654.3-425.000")</f>
        <v>72.471.654.3-425.000</v>
      </c>
      <c r="AD1432" s="85" t="str">
        <f>IFERROR(__xludf.DUMMYFUNCTION("""COMPUTED_VALUE"""),"CUM - UNK - INTAN")</f>
        <v>CUM - UNK - INTAN</v>
      </c>
      <c r="AE1432" s="85" t="str">
        <f>IFERROR(__xludf.DUMMYFUNCTION("""COMPUTED_VALUE"""),"CUM - UNK - INTAN")</f>
        <v>CUM - UNK - INTAN</v>
      </c>
      <c r="AF1432" s="85" t="str">
        <f>IFERROR(__xludf.DUMMYFUNCTION("""COMPUTED_VALUE"""),"085220456935")</f>
        <v>085220456935</v>
      </c>
      <c r="AG1432" s="85" t="str">
        <f>IFERROR(__xludf.DUMMYFUNCTION("""COMPUTED_VALUE"""),"085220456935")</f>
        <v>085220456935</v>
      </c>
      <c r="AH1432" s="85" t="str">
        <f>IFERROR(__xludf.DUMMYFUNCTION("""COMPUTED_VALUE"""),"ekaagunglaksana@gmail.com")</f>
        <v>ekaagunglaksana@gmail.com</v>
      </c>
      <c r="AI1432" s="85"/>
      <c r="AJ1432" s="85"/>
      <c r="AK1432" s="85"/>
      <c r="AL1432" s="85"/>
      <c r="AM1432" s="85" t="str">
        <f>IFERROR(__xludf.DUMMYFUNCTION("""COMPUTED_VALUE"""),"KANTOR REGIONAL III BANDUNG 40004")</f>
        <v>KANTOR REGIONAL III BANDUNG 40004</v>
      </c>
      <c r="AN1432" s="85" t="str">
        <f>IFERROR(__xludf.DUMMYFUNCTION("""COMPUTED_VALUE"""),"KC TASIKMALAYA 46100")</f>
        <v>KC TASIKMALAYA 46100</v>
      </c>
      <c r="AO1432" s="85" t="str">
        <f>IFERROR(__xludf.DUMMYFUNCTION("""COMPUTED_VALUE"""),"1206230044932")</f>
        <v>1206230044932</v>
      </c>
      <c r="AP1432" s="85" t="str">
        <f>IFERROR(__xludf.DUMMYFUNCTION("""COMPUTED_VALUE"""),"1206230044932")</f>
        <v>1206230044932</v>
      </c>
      <c r="AQ1432" s="93" t="str">
        <f>IFERROR(__xludf.DUMMYFUNCTION("""COMPUTED_VALUE"""),"016101006706537")</f>
        <v>016101006706537</v>
      </c>
      <c r="AR1432" s="85" t="str">
        <f>IFERROR(__xludf.DUMMYFUNCTION("""COMPUTED_VALUE"""),"BRI")</f>
        <v>BRI</v>
      </c>
      <c r="AS1432" s="85" t="str">
        <f>IFERROR(__xludf.DUMMYFUNCTION("""COMPUTED_VALUE"""),"EKA AGUNG LAKSANA")</f>
        <v>EKA AGUNG LAKSANA</v>
      </c>
      <c r="AT1432" s="85" t="str">
        <f>IFERROR(__xludf.DUMMYFUNCTION("""COMPUTED_VALUE"""),"-7.3387512,108.1228726")</f>
        <v>-7.3387512,108.1228726</v>
      </c>
      <c r="AU1432" s="85" t="str">
        <f>IFERROR(__xludf.DUMMYFUNCTION("""COMPUTED_VALUE"""),"-7.3387512,108.1228726")</f>
        <v>-7.3387512,108.1228726</v>
      </c>
      <c r="AV1432" s="85"/>
      <c r="AW1432" s="85"/>
      <c r="AX1432" s="85"/>
      <c r="AY1432" s="85"/>
      <c r="AZ1432" s="85"/>
      <c r="BA1432" s="85"/>
      <c r="BB1432" s="85"/>
      <c r="BC1432" s="85"/>
      <c r="BD1432" s="85"/>
      <c r="BE1432" s="85"/>
      <c r="BF1432" s="85"/>
      <c r="BG1432" s="85"/>
      <c r="BH1432" s="85"/>
      <c r="BI1432" s="85"/>
      <c r="BJ1432" s="85"/>
      <c r="BK1432" s="85"/>
      <c r="BL1432" s="85"/>
      <c r="BM1432" s="85"/>
      <c r="BN1432" s="85"/>
      <c r="BO1432" s="85"/>
      <c r="BP1432" s="85"/>
      <c r="BQ1432" s="85"/>
      <c r="BR1432" s="85"/>
      <c r="BS1432" s="85"/>
      <c r="BT1432" s="85"/>
      <c r="BU1432" s="85"/>
      <c r="BV1432" s="85"/>
      <c r="BW1432" s="85"/>
      <c r="BX1432" s="85"/>
      <c r="BY1432" s="85"/>
      <c r="BZ1432" s="85"/>
      <c r="CA1432" s="85"/>
      <c r="CB1432" s="85"/>
      <c r="CC1432" s="85"/>
      <c r="CD1432" s="85"/>
      <c r="CE1432" s="85"/>
      <c r="CF1432" s="85"/>
      <c r="CG1432" s="85"/>
      <c r="CH1432" s="85"/>
      <c r="CI1432" s="85"/>
      <c r="CJ1432" s="85"/>
      <c r="CK1432" s="2"/>
    </row>
    <row r="1433" ht="12.75" customHeight="1">
      <c r="A1433" s="80">
        <f>IFERROR(__xludf.DUMMYFUNCTION("""COMPUTED_VALUE"""),1429.0)</f>
        <v>1429</v>
      </c>
      <c r="B1433" s="80"/>
      <c r="C1433" s="80"/>
      <c r="D1433" s="81">
        <f>IFERROR(__xludf.DUMMYFUNCTION("""COMPUTED_VALUE"""),46267.0)</f>
        <v>46267</v>
      </c>
      <c r="E1433" s="82"/>
      <c r="F1433" s="80"/>
      <c r="G1433" s="81">
        <f>IFERROR(__xludf.DUMMYFUNCTION("""COMPUTED_VALUE"""),46275.0)</f>
        <v>46275</v>
      </c>
      <c r="H1433" s="80"/>
      <c r="I1433" s="80"/>
      <c r="J1433" s="80"/>
      <c r="K1433" s="80"/>
      <c r="L1433" s="80">
        <f>IFERROR(__xludf.DUMMYFUNCTION("""COMPUTED_VALUE"""),8.0)</f>
        <v>8</v>
      </c>
      <c r="M1433" s="80"/>
      <c r="N1433" s="80"/>
      <c r="O1433" s="80"/>
      <c r="P1433" s="80" t="str">
        <f>IFERROR(__xludf.DUMMYFUNCTION("""COMPUTED_VALUE"""),"MUCSPA63669PSIND")</f>
        <v>MUCSPA63669PSIND</v>
      </c>
      <c r="Q1433" s="80" t="str">
        <f>IFERROR(__xludf.DUMMYFUNCTION("""COMPUTED_VALUE"""),"MUC CAKRA EXPRESS")</f>
        <v>MUC CAKRA EXPRESS</v>
      </c>
      <c r="R1433" s="80" t="str">
        <f>IFERROR(__xludf.DUMMYFUNCTION("""COMPUTED_VALUE"""),"MUC CAKRA EXPRESS")</f>
        <v>MUC CAKRA EXPRESS</v>
      </c>
      <c r="S1433" s="80" t="str">
        <f>IFERROR(__xludf.DUMMYFUNCTION("""COMPUTED_VALUE"""),"SOEYONO")</f>
        <v>SOEYONO</v>
      </c>
      <c r="T1433" s="80" t="str">
        <f>IFERROR(__xludf.DUMMYFUNCTION("""COMPUTED_VALUE"""),"GREEN LAKE BLOK E NO.17 RT.008/RW.007 WONOREJO RUNGKUT, KOTA SURABAYA JAWA TIMUR")</f>
        <v>GREEN LAKE BLOK E NO.17 RT.008/RW.007 WONOREJO RUNGKUT, KOTA SURABAYA JAWA TIMUR</v>
      </c>
      <c r="U1433" s="80" t="str">
        <f>IFERROR(__xludf.DUMMYFUNCTION("""COMPUTED_VALUE"""),"JL. WONOREJO TIMUR BARU V GREEN LAKE NO.E-21")</f>
        <v>JL. WONOREJO TIMUR BARU V GREEN LAKE NO.E-21</v>
      </c>
      <c r="V1433" s="80" t="str">
        <f>IFERROR(__xludf.DUMMYFUNCTION("""COMPUTED_VALUE"""),"RT.008 \ RW.007")</f>
        <v>RT.008 \ RW.007</v>
      </c>
      <c r="W1433" s="80" t="str">
        <f>IFERROR(__xludf.DUMMYFUNCTION("""COMPUTED_VALUE"""),"WONOREJO")</f>
        <v>WONOREJO</v>
      </c>
      <c r="X1433" s="80" t="str">
        <f>IFERROR(__xludf.DUMMYFUNCTION("""COMPUTED_VALUE"""),"RUNGKUT")</f>
        <v>RUNGKUT</v>
      </c>
      <c r="Y1433" s="80" t="str">
        <f>IFERROR(__xludf.DUMMYFUNCTION("""COMPUTED_VALUE"""),"SURABAYA")</f>
        <v>SURABAYA</v>
      </c>
      <c r="Z1433" s="80" t="str">
        <f>IFERROR(__xludf.DUMMYFUNCTION("""COMPUTED_VALUE"""),"JAWA TIMUR")</f>
        <v>JAWA TIMUR</v>
      </c>
      <c r="AA1433" s="80" t="str">
        <f>IFERROR(__xludf.DUMMYFUNCTION("""COMPUTED_VALUE"""),"60296")</f>
        <v>60296</v>
      </c>
      <c r="AB1433" s="80" t="str">
        <f>IFERROR(__xludf.DUMMYFUNCTION("""COMPUTED_VALUE"""),"3578092812740001")</f>
        <v>3578092812740001</v>
      </c>
      <c r="AC1433" s="80" t="str">
        <f>IFERROR(__xludf.DUMMYFUNCTION("""COMPUTED_VALUE"""),"59.786.220.0-606.000")</f>
        <v>59.786.220.0-606.000</v>
      </c>
      <c r="AD1433" s="80" t="str">
        <f>IFERROR(__xludf.DUMMYFUNCTION("""COMPUTED_VALUE"""),"CUM - PS - RINI")</f>
        <v>CUM - PS - RINI</v>
      </c>
      <c r="AE1433" s="80" t="str">
        <f>IFERROR(__xludf.DUMMYFUNCTION("""COMPUTED_VALUE"""),"CUM - PS - RINI")</f>
        <v>CUM - PS - RINI</v>
      </c>
      <c r="AF1433" s="80" t="str">
        <f>IFERROR(__xludf.DUMMYFUNCTION("""COMPUTED_VALUE"""),"083856524369")</f>
        <v>083856524369</v>
      </c>
      <c r="AG1433" s="80" t="str">
        <f>IFERROR(__xludf.DUMMYFUNCTION("""COMPUTED_VALUE"""),"083856524369")</f>
        <v>083856524369</v>
      </c>
      <c r="AH1433" s="80" t="str">
        <f>IFERROR(__xludf.DUMMYFUNCTION("""COMPUTED_VALUE"""),"cakraexp@gmail.com")</f>
        <v>cakraexp@gmail.com</v>
      </c>
      <c r="AI1433" s="80" t="str">
        <f>IFERROR(__xludf.DUMMYFUNCTION("""COMPUTED_VALUE"""),"60296S7 ")</f>
        <v>60296S7 </v>
      </c>
      <c r="AJ1433" s="80" t="str">
        <f>IFERROR(__xludf.DUMMYFUNCTION("""COMPUTED_VALUE"""),"6aa10f74afe68b25ee001a46 ")</f>
        <v>6aa10f74afe68b25ee001a46 </v>
      </c>
      <c r="AK1433" s="80" t="str">
        <f>IFERROR(__xludf.DUMMYFUNCTION("""COMPUTED_VALUE"""),"cakraexp@gmail.com")</f>
        <v>cakraexp@gmail.com</v>
      </c>
      <c r="AL1433" s="80" t="str">
        <f>IFERROR(__xludf.DUMMYFUNCTION("""COMPUTED_VALUE"""),"#Muc60296S7$")</f>
        <v>#Muc60296S7$</v>
      </c>
      <c r="AM1433" s="80" t="str">
        <f>IFERROR(__xludf.DUMMYFUNCTION("""COMPUTED_VALUE"""),"KANTOR REGIONAL V SURABAYA 60004")</f>
        <v>KANTOR REGIONAL V SURABAYA 60004</v>
      </c>
      <c r="AN1433" s="80" t="str">
        <f>IFERROR(__xludf.DUMMYFUNCTION("""COMPUTED_VALUE"""),"KCU SURABAYA 60000")</f>
        <v>KCU SURABAYA 60000</v>
      </c>
      <c r="AO1433" s="80" t="str">
        <f>IFERROR(__xludf.DUMMYFUNCTION("""COMPUTED_VALUE"""),"8120210271629")</f>
        <v>8120210271629</v>
      </c>
      <c r="AP1433" s="80" t="str">
        <f>IFERROR(__xludf.DUMMYFUNCTION("""COMPUTED_VALUE"""),"8120210271629")</f>
        <v>8120210271629</v>
      </c>
      <c r="AQ1433" s="83" t="str">
        <f>IFERROR(__xludf.DUMMYFUNCTION("""COMPUTED_VALUE"""),"7881881997")</f>
        <v>7881881997</v>
      </c>
      <c r="AR1433" s="80" t="str">
        <f>IFERROR(__xludf.DUMMYFUNCTION("""COMPUTED_VALUE"""),"BCA")</f>
        <v>BCA</v>
      </c>
      <c r="AS1433" s="80" t="str">
        <f>IFERROR(__xludf.DUMMYFUNCTION("""COMPUTED_VALUE"""),"CV. CAKRA GLOBAL MANDIRI")</f>
        <v>CV. CAKRA GLOBAL MANDIRI</v>
      </c>
      <c r="AT1433" s="80" t="str">
        <f>IFERROR(__xludf.DUMMYFUNCTION("""COMPUTED_VALUE"""),"-7.3065073,112.8127898")</f>
        <v>-7.3065073,112.8127898</v>
      </c>
      <c r="AU1433" s="80" t="str">
        <f>IFERROR(__xludf.DUMMYFUNCTION("""COMPUTED_VALUE"""),"-7.3065073,112.8127898")</f>
        <v>-7.3065073,112.8127898</v>
      </c>
      <c r="AV1433" s="80"/>
      <c r="AW1433" s="80"/>
      <c r="AX1433" s="80"/>
      <c r="AY1433" s="80"/>
      <c r="AZ1433" s="80"/>
      <c r="BA1433" s="80"/>
      <c r="BB1433" s="80"/>
      <c r="BC1433" s="80"/>
      <c r="BD1433" s="80"/>
      <c r="BE1433" s="80"/>
      <c r="BF1433" s="80"/>
      <c r="BG1433" s="80"/>
      <c r="BH1433" s="80"/>
      <c r="BI1433" s="80"/>
      <c r="BJ1433" s="80"/>
      <c r="BK1433" s="80"/>
      <c r="BL1433" s="80"/>
      <c r="BM1433" s="80"/>
      <c r="BN1433" s="80"/>
      <c r="BO1433" s="80"/>
      <c r="BP1433" s="80"/>
      <c r="BQ1433" s="80"/>
      <c r="BR1433" s="80"/>
      <c r="BS1433" s="80"/>
      <c r="BT1433" s="80"/>
      <c r="BU1433" s="80"/>
      <c r="BV1433" s="80"/>
      <c r="BW1433" s="80"/>
      <c r="BX1433" s="80"/>
      <c r="BY1433" s="80"/>
      <c r="BZ1433" s="80"/>
      <c r="CA1433" s="80"/>
      <c r="CB1433" s="80"/>
      <c r="CC1433" s="80"/>
      <c r="CD1433" s="80"/>
      <c r="CE1433" s="80"/>
      <c r="CF1433" s="80"/>
      <c r="CG1433" s="80"/>
      <c r="CH1433" s="80"/>
      <c r="CI1433" s="80"/>
      <c r="CJ1433" s="80"/>
      <c r="CK1433" s="2"/>
    </row>
    <row r="1434" ht="12.75" customHeight="1">
      <c r="A1434" s="85">
        <f>IFERROR(__xludf.DUMMYFUNCTION("""COMPUTED_VALUE"""),1430.0)</f>
        <v>1430</v>
      </c>
      <c r="B1434" s="85"/>
      <c r="C1434" s="85"/>
      <c r="D1434" s="86">
        <f>IFERROR(__xludf.DUMMYFUNCTION("""COMPUTED_VALUE"""),46267.0)</f>
        <v>46267</v>
      </c>
      <c r="E1434" s="88"/>
      <c r="F1434" s="85"/>
      <c r="G1434" s="86"/>
      <c r="H1434" s="85"/>
      <c r="I1434" s="85"/>
      <c r="J1434" s="85"/>
      <c r="K1434" s="85"/>
      <c r="L1434" s="85"/>
      <c r="M1434" s="85"/>
      <c r="N1434" s="85"/>
      <c r="O1434" s="85"/>
      <c r="P1434" s="85" t="str">
        <f>IFERROR(__xludf.DUMMYFUNCTION("""COMPUTED_VALUE"""),"52BSPA07675JTAMD")</f>
        <v>52BSPA07675JTAMD</v>
      </c>
      <c r="Q1434" s="85" t="str">
        <f>IFERROR(__xludf.DUMMYFUNCTION("""COMPUTED_VALUE"""),"MUC JATISARI JATISRONO")</f>
        <v>MUC JATISARI JATISRONO</v>
      </c>
      <c r="R1434" s="85" t="str">
        <f>IFERROR(__xludf.DUMMYFUNCTION("""COMPUTED_VALUE"""),"MUC JATISARI JATISRONO")</f>
        <v>MUC JATISARI JATISRONO</v>
      </c>
      <c r="S1434" s="85" t="str">
        <f>IFERROR(__xludf.DUMMYFUNCTION("""COMPUTED_VALUE"""),"RENGGA PRATAMA")</f>
        <v>RENGGA PRATAMA</v>
      </c>
      <c r="T1434" s="85" t="str">
        <f>IFERROR(__xludf.DUMMYFUNCTION("""COMPUTED_VALUE"""),"JATISARI RT.002/RW.001 JATISARI JATISRONO, KABUPATEN WONOGIRI JAWA TENGAH")</f>
        <v>JATISARI RT.002/RW.001 JATISARI JATISRONO, KABUPATEN WONOGIRI JAWA TENGAH</v>
      </c>
      <c r="U1434" s="85" t="str">
        <f>IFERROR(__xludf.DUMMYFUNCTION("""COMPUTED_VALUE"""),"Jatisari RT 002/001 Jatisrono Kab. Wonogiri")</f>
        <v>Jatisari RT 002/001 Jatisrono Kab. Wonogiri</v>
      </c>
      <c r="V1434" s="85" t="str">
        <f>IFERROR(__xludf.DUMMYFUNCTION("""COMPUTED_VALUE"""),"RT.002 \ RW.001")</f>
        <v>RT.002 \ RW.001</v>
      </c>
      <c r="W1434" s="85" t="str">
        <f>IFERROR(__xludf.DUMMYFUNCTION("""COMPUTED_VALUE"""),"Jatisari")</f>
        <v>Jatisari</v>
      </c>
      <c r="X1434" s="85" t="str">
        <f>IFERROR(__xludf.DUMMYFUNCTION("""COMPUTED_VALUE"""),"Jatisrono")</f>
        <v>Jatisrono</v>
      </c>
      <c r="Y1434" s="85" t="str">
        <f>IFERROR(__xludf.DUMMYFUNCTION("""COMPUTED_VALUE"""),"Kab. Wonogiri")</f>
        <v>Kab. Wonogiri</v>
      </c>
      <c r="Z1434" s="85" t="str">
        <f>IFERROR(__xludf.DUMMYFUNCTION("""COMPUTED_VALUE"""),"Jawa Tengah")</f>
        <v>Jawa Tengah</v>
      </c>
      <c r="AA1434" s="85" t="str">
        <f>IFERROR(__xludf.DUMMYFUNCTION("""COMPUTED_VALUE"""),"57691")</f>
        <v>57691</v>
      </c>
      <c r="AB1434" s="85" t="str">
        <f>IFERROR(__xludf.DUMMYFUNCTION("""COMPUTED_VALUE"""),"3312202301890002")</f>
        <v>3312202301890002</v>
      </c>
      <c r="AC1434" s="85" t="str">
        <f>IFERROR(__xludf.DUMMYFUNCTION("""COMPUTED_VALUE"""),"77.115.870.6-532.000")</f>
        <v>77.115.870.6-532.000</v>
      </c>
      <c r="AD1434" s="85" t="str">
        <f>IFERROR(__xludf.DUMMYFUNCTION("""COMPUTED_VALUE"""),"CUM - AMI")</f>
        <v>CUM - AMI</v>
      </c>
      <c r="AE1434" s="85" t="str">
        <f>IFERROR(__xludf.DUMMYFUNCTION("""COMPUTED_VALUE"""),"CUM - AMI")</f>
        <v>CUM - AMI</v>
      </c>
      <c r="AF1434" s="85" t="str">
        <f>IFERROR(__xludf.DUMMYFUNCTION("""COMPUTED_VALUE"""),"081219210023")</f>
        <v>081219210023</v>
      </c>
      <c r="AG1434" s="85" t="str">
        <f>IFERROR(__xludf.DUMMYFUNCTION("""COMPUTED_VALUE"""),"081219210023")</f>
        <v>081219210023</v>
      </c>
      <c r="AH1434" s="85" t="str">
        <f>IFERROR(__xludf.DUMMYFUNCTION("""COMPUTED_VALUE"""),"rengga63@gmail.com")</f>
        <v>rengga63@gmail.com</v>
      </c>
      <c r="AI1434" s="85"/>
      <c r="AJ1434" s="85"/>
      <c r="AK1434" s="85"/>
      <c r="AL1434" s="85"/>
      <c r="AM1434" s="85" t="str">
        <f>IFERROR(__xludf.DUMMYFUNCTION("""COMPUTED_VALUE"""),"KANTOR REGIONAL IV SEMARANG 50004")</f>
        <v>KANTOR REGIONAL IV SEMARANG 50004</v>
      </c>
      <c r="AN1434" s="85" t="str">
        <f>IFERROR(__xludf.DUMMYFUNCTION("""COMPUTED_VALUE"""),"KC WONOGIRI 57600")</f>
        <v>KC WONOGIRI 57600</v>
      </c>
      <c r="AO1434" s="85" t="str">
        <f>IFERROR(__xludf.DUMMYFUNCTION("""COMPUTED_VALUE"""),"1410240116917")</f>
        <v>1410240116917</v>
      </c>
      <c r="AP1434" s="85" t="str">
        <f>IFERROR(__xludf.DUMMYFUNCTION("""COMPUTED_VALUE"""),"1410240116917")</f>
        <v>1410240116917</v>
      </c>
      <c r="AQ1434" s="93" t="str">
        <f>IFERROR(__xludf.DUMMYFUNCTION("""COMPUTED_VALUE"""),"Deposit Loket")</f>
        <v>Deposit Loket</v>
      </c>
      <c r="AR1434" s="85" t="str">
        <f>IFERROR(__xludf.DUMMYFUNCTION("""COMPUTED_VALUE"""),"Masuk Deposit Loket")</f>
        <v>Masuk Deposit Loket</v>
      </c>
      <c r="AS1434" s="85" t="str">
        <f>IFERROR(__xludf.DUMMYFUNCTION("""COMPUTED_VALUE"""),"RENGGA PRATAMA")</f>
        <v>RENGGA PRATAMA</v>
      </c>
      <c r="AT1434" s="85" t="str">
        <f>IFERROR(__xludf.DUMMYFUNCTION("""COMPUTED_VALUE"""),"-7.8278848,111.1262418")</f>
        <v>-7.8278848,111.1262418</v>
      </c>
      <c r="AU1434" s="85" t="str">
        <f>IFERROR(__xludf.DUMMYFUNCTION("""COMPUTED_VALUE"""),"-7.8278848,111.1262418")</f>
        <v>-7.8278848,111.1262418</v>
      </c>
      <c r="AV1434" s="85"/>
      <c r="AW1434" s="85"/>
      <c r="AX1434" s="85"/>
      <c r="AY1434" s="85"/>
      <c r="AZ1434" s="85"/>
      <c r="BA1434" s="85"/>
      <c r="BB1434" s="85"/>
      <c r="BC1434" s="85"/>
      <c r="BD1434" s="85"/>
      <c r="BE1434" s="85"/>
      <c r="BF1434" s="85"/>
      <c r="BG1434" s="85"/>
      <c r="BH1434" s="85"/>
      <c r="BI1434" s="85"/>
      <c r="BJ1434" s="85"/>
      <c r="BK1434" s="85"/>
      <c r="BL1434" s="85"/>
      <c r="BM1434" s="85"/>
      <c r="BN1434" s="85"/>
      <c r="BO1434" s="85"/>
      <c r="BP1434" s="85"/>
      <c r="BQ1434" s="85"/>
      <c r="BR1434" s="85"/>
      <c r="BS1434" s="85"/>
      <c r="BT1434" s="85"/>
      <c r="BU1434" s="85"/>
      <c r="BV1434" s="85"/>
      <c r="BW1434" s="85"/>
      <c r="BX1434" s="85"/>
      <c r="BY1434" s="85"/>
      <c r="BZ1434" s="85"/>
      <c r="CA1434" s="85"/>
      <c r="CB1434" s="85"/>
      <c r="CC1434" s="85"/>
      <c r="CD1434" s="85"/>
      <c r="CE1434" s="85"/>
      <c r="CF1434" s="85"/>
      <c r="CG1434" s="85"/>
      <c r="CH1434" s="85"/>
      <c r="CI1434" s="85"/>
      <c r="CJ1434" s="85"/>
      <c r="CK1434" s="2"/>
    </row>
    <row r="1435" ht="12.75" customHeight="1">
      <c r="A1435" s="80">
        <f>IFERROR(__xludf.DUMMYFUNCTION("""COMPUTED_VALUE"""),1431.0)</f>
        <v>1431</v>
      </c>
      <c r="B1435" s="80"/>
      <c r="C1435" s="80"/>
      <c r="D1435" s="81">
        <f>IFERROR(__xludf.DUMMYFUNCTION("""COMPUTED_VALUE"""),46267.0)</f>
        <v>46267</v>
      </c>
      <c r="E1435" s="82"/>
      <c r="F1435" s="80"/>
      <c r="G1435" s="81"/>
      <c r="H1435" s="80"/>
      <c r="I1435" s="80"/>
      <c r="J1435" s="80"/>
      <c r="K1435" s="80"/>
      <c r="L1435" s="80"/>
      <c r="M1435" s="80"/>
      <c r="N1435" s="80"/>
      <c r="O1435" s="80"/>
      <c r="P1435" s="80" t="str">
        <f>IFERROR(__xludf.DUMMYFUNCTION("""COMPUTED_VALUE"""),"52BSPA07934JTYNA")</f>
        <v>52BSPA07934JTYNA</v>
      </c>
      <c r="Q1435" s="80" t="str">
        <f>IFERROR(__xludf.DUMMYFUNCTION("""COMPUTED_VALUE"""),"MUC DWI UPAYA SUKSES")</f>
        <v>MUC DWI UPAYA SUKSES</v>
      </c>
      <c r="R1435" s="80" t="str">
        <f>IFERROR(__xludf.DUMMYFUNCTION("""COMPUTED_VALUE"""),"MUC DWI UPAYA SUKSES")</f>
        <v>MUC DWI UPAYA SUKSES</v>
      </c>
      <c r="S1435" s="80" t="str">
        <f>IFERROR(__xludf.DUMMYFUNCTION("""COMPUTED_VALUE"""),"RAHMADI")</f>
        <v>RAHMADI</v>
      </c>
      <c r="T1435" s="80" t="str">
        <f>IFERROR(__xludf.DUMMYFUNCTION("""COMPUTED_VALUE"""),"BANJARSARI RT.005/RW.012 SUKOHARJO NGAGLIK KABUPATEN SLEMAN")</f>
        <v>BANJARSARI RT.005/RW.012 SUKOHARJO NGAGLIK KABUPATEN SLEMAN</v>
      </c>
      <c r="U1435" s="80" t="str">
        <f>IFERROR(__xludf.DUMMYFUNCTION("""COMPUTED_VALUE"""),"Jl. Adi Sumarmo No.21 Dusun 1 Ngabeyan Kartasura Kab. Sukoharjo")</f>
        <v>Jl. Adi Sumarmo No.21 Dusun 1 Ngabeyan Kartasura Kab. Sukoharjo</v>
      </c>
      <c r="V1435" s="80" t="str">
        <f>IFERROR(__xludf.DUMMYFUNCTION("""COMPUTED_VALUE"""),"RT.005 \ RW.012")</f>
        <v>RT.005 \ RW.012</v>
      </c>
      <c r="W1435" s="80" t="str">
        <f>IFERROR(__xludf.DUMMYFUNCTION("""COMPUTED_VALUE"""),"Ngabeyan")</f>
        <v>Ngabeyan</v>
      </c>
      <c r="X1435" s="80" t="str">
        <f>IFERROR(__xludf.DUMMYFUNCTION("""COMPUTED_VALUE"""),"Kartasura")</f>
        <v>Kartasura</v>
      </c>
      <c r="Y1435" s="80" t="str">
        <f>IFERROR(__xludf.DUMMYFUNCTION("""COMPUTED_VALUE"""),"Kab. Sukoharjo")</f>
        <v>Kab. Sukoharjo</v>
      </c>
      <c r="Z1435" s="80" t="str">
        <f>IFERROR(__xludf.DUMMYFUNCTION("""COMPUTED_VALUE"""),"Jawa Tengah")</f>
        <v>Jawa Tengah</v>
      </c>
      <c r="AA1435" s="80" t="str">
        <f>IFERROR(__xludf.DUMMYFUNCTION("""COMPUTED_VALUE"""),"57165")</f>
        <v>57165</v>
      </c>
      <c r="AB1435" s="80" t="str">
        <f>IFERROR(__xludf.DUMMYFUNCTION("""COMPUTED_VALUE"""),"3404120708860002")</f>
        <v>3404120708860002</v>
      </c>
      <c r="AC1435" s="80" t="str">
        <f>IFERROR(__xludf.DUMMYFUNCTION("""COMPUTED_VALUE"""),"00.173.613.6-153.2000")</f>
        <v>00.173.613.6-153.2000</v>
      </c>
      <c r="AD1435" s="80" t="str">
        <f>IFERROR(__xludf.DUMMYFUNCTION("""COMPUTED_VALUE"""),"CUM - YNA")</f>
        <v>CUM - YNA</v>
      </c>
      <c r="AE1435" s="80" t="str">
        <f>IFERROR(__xludf.DUMMYFUNCTION("""COMPUTED_VALUE"""),"CUM - YNA")</f>
        <v>CUM - YNA</v>
      </c>
      <c r="AF1435" s="80" t="str">
        <f>IFERROR(__xludf.DUMMYFUNCTION("""COMPUTED_VALUE"""),"081390252143")</f>
        <v>081390252143</v>
      </c>
      <c r="AG1435" s="80" t="str">
        <f>IFERROR(__xludf.DUMMYFUNCTION("""COMPUTED_VALUE"""),"081390252143")</f>
        <v>081390252143</v>
      </c>
      <c r="AH1435" s="80" t="str">
        <f>IFERROR(__xludf.DUMMYFUNCTION("""COMPUTED_VALUE"""),"rahmaddus@gmail.com")</f>
        <v>rahmaddus@gmail.com</v>
      </c>
      <c r="AI1435" s="80"/>
      <c r="AJ1435" s="80"/>
      <c r="AK1435" s="80"/>
      <c r="AL1435" s="80"/>
      <c r="AM1435" s="80" t="str">
        <f>IFERROR(__xludf.DUMMYFUNCTION("""COMPUTED_VALUE"""),"KANTOR REGIONAL IV SEMARANG 50004")</f>
        <v>KANTOR REGIONAL IV SEMARANG 50004</v>
      </c>
      <c r="AN1435" s="80" t="str">
        <f>IFERROR(__xludf.DUMMYFUNCTION("""COMPUTED_VALUE"""),"KCU SOLO 57100")</f>
        <v>KCU SOLO 57100</v>
      </c>
      <c r="AO1435" s="80" t="str">
        <f>IFERROR(__xludf.DUMMYFUNCTION("""COMPUTED_VALUE"""),"0209260051711")</f>
        <v>0209260051711</v>
      </c>
      <c r="AP1435" s="80" t="str">
        <f>IFERROR(__xludf.DUMMYFUNCTION("""COMPUTED_VALUE"""),"0209260051711")</f>
        <v>0209260051711</v>
      </c>
      <c r="AQ1435" s="83" t="str">
        <f>IFERROR(__xludf.DUMMYFUNCTION("""COMPUTED_VALUE"""),"1370010373096")</f>
        <v>1370010373096</v>
      </c>
      <c r="AR1435" s="80" t="str">
        <f>IFERROR(__xludf.DUMMYFUNCTION("""COMPUTED_VALUE"""),"MANDIRI")</f>
        <v>MANDIRI</v>
      </c>
      <c r="AS1435" s="80" t="str">
        <f>IFERROR(__xludf.DUMMYFUNCTION("""COMPUTED_VALUE"""),"PT DWI UPAYA SUKSES")</f>
        <v>PT DWI UPAYA SUKSES</v>
      </c>
      <c r="AT1435" s="80" t="str">
        <f>IFERROR(__xludf.DUMMYFUNCTION("""COMPUTED_VALUE"""),"-7.5455982,110.7442907")</f>
        <v>-7.5455982,110.7442907</v>
      </c>
      <c r="AU1435" s="80" t="str">
        <f>IFERROR(__xludf.DUMMYFUNCTION("""COMPUTED_VALUE"""),"-7.5455982,110.7442907")</f>
        <v>-7.5455982,110.7442907</v>
      </c>
      <c r="AV1435" s="80"/>
      <c r="AW1435" s="80"/>
      <c r="AX1435" s="80"/>
      <c r="AY1435" s="80"/>
      <c r="AZ1435" s="80"/>
      <c r="BA1435" s="80"/>
      <c r="BB1435" s="80"/>
      <c r="BC1435" s="80"/>
      <c r="BD1435" s="80"/>
      <c r="BE1435" s="80"/>
      <c r="BF1435" s="80"/>
      <c r="BG1435" s="80"/>
      <c r="BH1435" s="80"/>
      <c r="BI1435" s="80"/>
      <c r="BJ1435" s="80"/>
      <c r="BK1435" s="80"/>
      <c r="BL1435" s="80"/>
      <c r="BM1435" s="80"/>
      <c r="BN1435" s="80"/>
      <c r="BO1435" s="80"/>
      <c r="BP1435" s="80"/>
      <c r="BQ1435" s="80"/>
      <c r="BR1435" s="80"/>
      <c r="BS1435" s="80"/>
      <c r="BT1435" s="80"/>
      <c r="BU1435" s="80"/>
      <c r="BV1435" s="80"/>
      <c r="BW1435" s="80"/>
      <c r="BX1435" s="80"/>
      <c r="BY1435" s="80"/>
      <c r="BZ1435" s="80"/>
      <c r="CA1435" s="80"/>
      <c r="CB1435" s="80"/>
      <c r="CC1435" s="80"/>
      <c r="CD1435" s="80"/>
      <c r="CE1435" s="80"/>
      <c r="CF1435" s="80"/>
      <c r="CG1435" s="80"/>
      <c r="CH1435" s="80"/>
      <c r="CI1435" s="80"/>
      <c r="CJ1435" s="80"/>
      <c r="CK1435" s="2"/>
    </row>
    <row r="1436" ht="12.75" customHeight="1">
      <c r="A1436" s="85">
        <f>IFERROR(__xludf.DUMMYFUNCTION("""COMPUTED_VALUE"""),1432.0)</f>
        <v>1432</v>
      </c>
      <c r="B1436" s="85"/>
      <c r="C1436" s="85"/>
      <c r="D1436" s="86">
        <f>IFERROR(__xludf.DUMMYFUNCTION("""COMPUTED_VALUE"""),46267.0)</f>
        <v>46267</v>
      </c>
      <c r="E1436" s="88"/>
      <c r="F1436" s="85"/>
      <c r="G1436" s="86"/>
      <c r="H1436" s="85"/>
      <c r="I1436" s="85"/>
      <c r="J1436" s="85"/>
      <c r="K1436" s="85"/>
      <c r="L1436" s="85"/>
      <c r="M1436" s="85"/>
      <c r="N1436" s="85"/>
      <c r="O1436" s="85"/>
      <c r="P1436" s="85" t="str">
        <f>IFERROR(__xludf.DUMMYFUNCTION("""COMPUTED_VALUE"""),"MUC70185UMKMDSN1")</f>
        <v>MUC70185UMKMDSN1</v>
      </c>
      <c r="Q1436" s="85" t="str">
        <f>IFERROR(__xludf.DUMMYFUNCTION("""COMPUTED_VALUE"""),"MUC HABIBAH")</f>
        <v>MUC HABIBAH</v>
      </c>
      <c r="R1436" s="85" t="str">
        <f>IFERROR(__xludf.DUMMYFUNCTION("""COMPUTED_VALUE"""),"MUC HABIBAH")</f>
        <v>MUC HABIBAH</v>
      </c>
      <c r="S1436" s="85" t="str">
        <f>IFERROR(__xludf.DUMMYFUNCTION("""COMPUTED_VALUE"""),"SUGIYARTI")</f>
        <v>SUGIYARTI</v>
      </c>
      <c r="T1436" s="85" t="str">
        <f>IFERROR(__xludf.DUMMYFUNCTION("""COMPUTED_VALUE"""),"PERUM MARGOASRI RT.024/RW.008 PURO KARANGMALANG, KABUPATEN SRAGEN JAWA TENGAH")</f>
        <v>PERUM MARGOASRI RT.024/RW.008 PURO KARANGMALANG, KABUPATEN SRAGEN JAWA TENGAH</v>
      </c>
      <c r="U1436" s="85" t="str">
        <f>IFERROR(__xludf.DUMMYFUNCTION("""COMPUTED_VALUE"""),"Bangjo Nguwer, Banjar, RT.05/RW.02 Kel. Duyungan Kec. Sidoharjo Sragen")</f>
        <v>Bangjo Nguwer, Banjar, RT.05/RW.02 Kel. Duyungan Kec. Sidoharjo Sragen</v>
      </c>
      <c r="V1436" s="85" t="str">
        <f>IFERROR(__xludf.DUMMYFUNCTION("""COMPUTED_VALUE"""),"RT.024 \ RW.008")</f>
        <v>RT.024 \ RW.008</v>
      </c>
      <c r="W1436" s="85" t="str">
        <f>IFERROR(__xludf.DUMMYFUNCTION("""COMPUTED_VALUE"""),"Duyungan")</f>
        <v>Duyungan</v>
      </c>
      <c r="X1436" s="85" t="str">
        <f>IFERROR(__xludf.DUMMYFUNCTION("""COMPUTED_VALUE"""),"Sidoharjo")</f>
        <v>Sidoharjo</v>
      </c>
      <c r="Y1436" s="85" t="str">
        <f>IFERROR(__xludf.DUMMYFUNCTION("""COMPUTED_VALUE"""),"Kab. Sragen")</f>
        <v>Kab. Sragen</v>
      </c>
      <c r="Z1436" s="85" t="str">
        <f>IFERROR(__xludf.DUMMYFUNCTION("""COMPUTED_VALUE"""),"Jawa Tengah")</f>
        <v>Jawa Tengah</v>
      </c>
      <c r="AA1436" s="85" t="str">
        <f>IFERROR(__xludf.DUMMYFUNCTION("""COMPUTED_VALUE"""),"57281")</f>
        <v>57281</v>
      </c>
      <c r="AB1436" s="85" t="str">
        <f>IFERROR(__xludf.DUMMYFUNCTION("""COMPUTED_VALUE"""),"2171114103790001")</f>
        <v>2171114103790001</v>
      </c>
      <c r="AC1436" s="85" t="str">
        <f>IFERROR(__xludf.DUMMYFUNCTION("""COMPUTED_VALUE"""),"21.711.141.0-379.0001")</f>
        <v>21.711.141.0-379.0001</v>
      </c>
      <c r="AD1436" s="85" t="str">
        <f>IFERROR(__xludf.DUMMYFUNCTION("""COMPUTED_VALUE"""),"CUM - UNK - DEKOPIN SITI")</f>
        <v>CUM - UNK - DEKOPIN SITI</v>
      </c>
      <c r="AE1436" s="85" t="str">
        <f>IFERROR(__xludf.DUMMYFUNCTION("""COMPUTED_VALUE"""),"CUM - UNK - DEKOPIN SITI")</f>
        <v>CUM - UNK - DEKOPIN SITI</v>
      </c>
      <c r="AF1436" s="85" t="str">
        <f>IFERROR(__xludf.DUMMYFUNCTION("""COMPUTED_VALUE"""),"082136018290")</f>
        <v>082136018290</v>
      </c>
      <c r="AG1436" s="85" t="str">
        <f>IFERROR(__xludf.DUMMYFUNCTION("""COMPUTED_VALUE"""),"082136018290")</f>
        <v>082136018290</v>
      </c>
      <c r="AH1436" s="85" t="str">
        <f>IFERROR(__xludf.DUMMYFUNCTION("""COMPUTED_VALUE"""),"sugiyartizuhri@gmail.com")</f>
        <v>sugiyartizuhri@gmail.com</v>
      </c>
      <c r="AI1436" s="85"/>
      <c r="AJ1436" s="85"/>
      <c r="AK1436" s="85"/>
      <c r="AL1436" s="85"/>
      <c r="AM1436" s="85" t="str">
        <f>IFERROR(__xludf.DUMMYFUNCTION("""COMPUTED_VALUE"""),"KANTOR REGIONAL IV SEMARANG 50004")</f>
        <v>KANTOR REGIONAL IV SEMARANG 50004</v>
      </c>
      <c r="AN1436" s="85" t="str">
        <f>IFERROR(__xludf.DUMMYFUNCTION("""COMPUTED_VALUE"""),"KC SRAGEN 57200")</f>
        <v>KC SRAGEN 57200</v>
      </c>
      <c r="AO1436" s="85" t="str">
        <f>IFERROR(__xludf.DUMMYFUNCTION("""COMPUTED_VALUE"""),"0209260030107")</f>
        <v>0209260030107</v>
      </c>
      <c r="AP1436" s="85" t="str">
        <f>IFERROR(__xludf.DUMMYFUNCTION("""COMPUTED_VALUE"""),"0209260030107")</f>
        <v>0209260030107</v>
      </c>
      <c r="AQ1436" s="93" t="str">
        <f>IFERROR(__xludf.DUMMYFUNCTION("""COMPUTED_VALUE"""),"688701019394539")</f>
        <v>688701019394539</v>
      </c>
      <c r="AR1436" s="85" t="str">
        <f>IFERROR(__xludf.DUMMYFUNCTION("""COMPUTED_VALUE"""),"BRI")</f>
        <v>BRI</v>
      </c>
      <c r="AS1436" s="85" t="str">
        <f>IFERROR(__xludf.DUMMYFUNCTION("""COMPUTED_VALUE"""),"SUGIYARTI")</f>
        <v>SUGIYARTI</v>
      </c>
      <c r="AT1436" s="85" t="str">
        <f>IFERROR(__xludf.DUMMYFUNCTION("""COMPUTED_VALUE"""),"-7.4532931,110.9643571")</f>
        <v>-7.4532931,110.9643571</v>
      </c>
      <c r="AU1436" s="85" t="str">
        <f>IFERROR(__xludf.DUMMYFUNCTION("""COMPUTED_VALUE"""),"-7.4532931,110.9643571")</f>
        <v>-7.4532931,110.9643571</v>
      </c>
      <c r="AV1436" s="85"/>
      <c r="AW1436" s="85"/>
      <c r="AX1436" s="85"/>
      <c r="AY1436" s="85"/>
      <c r="AZ1436" s="85"/>
      <c r="BA1436" s="85"/>
      <c r="BB1436" s="85"/>
      <c r="BC1436" s="85"/>
      <c r="BD1436" s="85"/>
      <c r="BE1436" s="85"/>
      <c r="BF1436" s="85"/>
      <c r="BG1436" s="85"/>
      <c r="BH1436" s="85"/>
      <c r="BI1436" s="85"/>
      <c r="BJ1436" s="85"/>
      <c r="BK1436" s="85"/>
      <c r="BL1436" s="85"/>
      <c r="BM1436" s="85"/>
      <c r="BN1436" s="85"/>
      <c r="BO1436" s="85"/>
      <c r="BP1436" s="85"/>
      <c r="BQ1436" s="85"/>
      <c r="BR1436" s="85"/>
      <c r="BS1436" s="85"/>
      <c r="BT1436" s="85"/>
      <c r="BU1436" s="85"/>
      <c r="BV1436" s="85"/>
      <c r="BW1436" s="85"/>
      <c r="BX1436" s="85"/>
      <c r="BY1436" s="85"/>
      <c r="BZ1436" s="85"/>
      <c r="CA1436" s="85"/>
      <c r="CB1436" s="85"/>
      <c r="CC1436" s="85"/>
      <c r="CD1436" s="85"/>
      <c r="CE1436" s="85"/>
      <c r="CF1436" s="85"/>
      <c r="CG1436" s="85"/>
      <c r="CH1436" s="85"/>
      <c r="CI1436" s="85"/>
      <c r="CJ1436" s="85"/>
      <c r="CK1436" s="2"/>
    </row>
    <row r="1437" ht="12.75" customHeight="1">
      <c r="A1437" s="80">
        <f>IFERROR(__xludf.DUMMYFUNCTION("""COMPUTED_VALUE"""),1433.0)</f>
        <v>1433</v>
      </c>
      <c r="B1437" s="80"/>
      <c r="C1437" s="80"/>
      <c r="D1437" s="81">
        <f>IFERROR(__xludf.DUMMYFUNCTION("""COMPUTED_VALUE"""),46268.0)</f>
        <v>46268</v>
      </c>
      <c r="E1437" s="82"/>
      <c r="F1437" s="80"/>
      <c r="G1437" s="81"/>
      <c r="H1437" s="80"/>
      <c r="I1437" s="80"/>
      <c r="J1437" s="80"/>
      <c r="K1437" s="80"/>
      <c r="L1437" s="80"/>
      <c r="M1437" s="80"/>
      <c r="N1437" s="80"/>
      <c r="O1437" s="80"/>
      <c r="P1437" s="80" t="str">
        <f>IFERROR(__xludf.DUMMYFUNCTION("""COMPUTED_VALUE"""),"MUCSPA63670PSIND")</f>
        <v>MUCSPA63670PSIND</v>
      </c>
      <c r="Q1437" s="80" t="str">
        <f>IFERROR(__xludf.DUMMYFUNCTION("""COMPUTED_VALUE"""),"MUC TRISUKSES ABADI")</f>
        <v>MUC TRISUKSES ABADI</v>
      </c>
      <c r="R1437" s="80" t="str">
        <f>IFERROR(__xludf.DUMMYFUNCTION("""COMPUTED_VALUE"""),"MUC TRISUKSES ABADI")</f>
        <v>MUC TRISUKSES ABADI</v>
      </c>
      <c r="S1437" s="80" t="str">
        <f>IFERROR(__xludf.DUMMYFUNCTION("""COMPUTED_VALUE"""),"SUHAELI, SE")</f>
        <v>SUHAELI, SE</v>
      </c>
      <c r="T1437" s="80" t="str">
        <f>IFERROR(__xludf.DUMMYFUNCTION("""COMPUTED_VALUE"""),"KAVLING BRIMOB RT.001 RW.009 LONTARBARU SERANG, KOTA SERANG BANTEN")</f>
        <v>KAVLING BRIMOB RT.001 RW.009 LONTARBARU SERANG, KOTA SERANG BANTEN</v>
      </c>
      <c r="U1437" s="80" t="str">
        <f>IFERROR(__xludf.DUMMYFUNCTION("""COMPUTED_VALUE"""),"Jl. Letnan Jidun No.4, Lontarbaru, Kec. Serang, Kota Serang, Banten")</f>
        <v>Jl. Letnan Jidun No.4, Lontarbaru, Kec. Serang, Kota Serang, Banten</v>
      </c>
      <c r="V1437" s="80" t="str">
        <f>IFERROR(__xludf.DUMMYFUNCTION("""COMPUTED_VALUE"""),"RT.001 \ RW.009")</f>
        <v>RT.001 \ RW.009</v>
      </c>
      <c r="W1437" s="80" t="str">
        <f>IFERROR(__xludf.DUMMYFUNCTION("""COMPUTED_VALUE"""),"Lontarbaru")</f>
        <v>Lontarbaru</v>
      </c>
      <c r="X1437" s="80" t="str">
        <f>IFERROR(__xludf.DUMMYFUNCTION("""COMPUTED_VALUE"""),"Serang")</f>
        <v>Serang</v>
      </c>
      <c r="Y1437" s="80" t="str">
        <f>IFERROR(__xludf.DUMMYFUNCTION("""COMPUTED_VALUE"""),"Serang")</f>
        <v>Serang</v>
      </c>
      <c r="Z1437" s="80" t="str">
        <f>IFERROR(__xludf.DUMMYFUNCTION("""COMPUTED_VALUE"""),"Banten")</f>
        <v>Banten</v>
      </c>
      <c r="AA1437" s="80" t="str">
        <f>IFERROR(__xludf.DUMMYFUNCTION("""COMPUTED_VALUE"""),"42115")</f>
        <v>42115</v>
      </c>
      <c r="AB1437" s="80" t="str">
        <f>IFERROR(__xludf.DUMMYFUNCTION("""COMPUTED_VALUE"""),"3604010512660016")</f>
        <v>3604010512660016</v>
      </c>
      <c r="AC1437" s="80" t="str">
        <f>IFERROR(__xludf.DUMMYFUNCTION("""COMPUTED_VALUE"""),"34.989.120.0-401.000")</f>
        <v>34.989.120.0-401.000</v>
      </c>
      <c r="AD1437" s="80" t="str">
        <f>IFERROR(__xludf.DUMMYFUNCTION("""COMPUTED_VALUE"""),"Bu Nela Pos KCU Serang")</f>
        <v>Bu Nela Pos KCU Serang</v>
      </c>
      <c r="AE1437" s="80" t="str">
        <f>IFERROR(__xludf.DUMMYFUNCTION("""COMPUTED_VALUE"""),"Bu Nela Pos KCU Serang")</f>
        <v>Bu Nela Pos KCU Serang</v>
      </c>
      <c r="AF1437" s="80" t="str">
        <f>IFERROR(__xludf.DUMMYFUNCTION("""COMPUTED_VALUE"""),"083127191698")</f>
        <v>083127191698</v>
      </c>
      <c r="AG1437" s="80" t="str">
        <f>IFERROR(__xludf.DUMMYFUNCTION("""COMPUTED_VALUE"""),"083127191698")</f>
        <v>083127191698</v>
      </c>
      <c r="AH1437" s="80" t="str">
        <f>IFERROR(__xludf.DUMMYFUNCTION("""COMPUTED_VALUE"""),"suhaeli.eli66@gmail.com")</f>
        <v>suhaeli.eli66@gmail.com</v>
      </c>
      <c r="AI1437" s="80"/>
      <c r="AJ1437" s="80"/>
      <c r="AK1437" s="80"/>
      <c r="AL1437" s="80"/>
      <c r="AM1437" s="80" t="str">
        <f>IFERROR(__xludf.DUMMYFUNCTION("""COMPUTED_VALUE"""),"KANTOR REGIONAL II JAKARTA 10004")</f>
        <v>KANTOR REGIONAL II JAKARTA 10004</v>
      </c>
      <c r="AN1437" s="80" t="str">
        <f>IFERROR(__xludf.DUMMYFUNCTION("""COMPUTED_VALUE"""),"KCU SERANG 42100")</f>
        <v>KCU SERANG 42100</v>
      </c>
      <c r="AO1437" s="80" t="str">
        <f>IFERROR(__xludf.DUMMYFUNCTION("""COMPUTED_VALUE"""),"0209260076823")</f>
        <v>0209260076823</v>
      </c>
      <c r="AP1437" s="80" t="str">
        <f>IFERROR(__xludf.DUMMYFUNCTION("""COMPUTED_VALUE"""),"0209260076823")</f>
        <v>0209260076823</v>
      </c>
      <c r="AQ1437" s="83" t="str">
        <f>IFERROR(__xludf.DUMMYFUNCTION("""COMPUTED_VALUE"""),"2451287321")</f>
        <v>2451287321</v>
      </c>
      <c r="AR1437" s="80" t="str">
        <f>IFERROR(__xludf.DUMMYFUNCTION("""COMPUTED_VALUE"""),"BCA")</f>
        <v>BCA</v>
      </c>
      <c r="AS1437" s="80" t="str">
        <f>IFERROR(__xludf.DUMMYFUNCTION("""COMPUTED_VALUE"""),"SUHAELI")</f>
        <v>SUHAELI</v>
      </c>
      <c r="AT1437" s="80" t="str">
        <f>IFERROR(__xludf.DUMMYFUNCTION("""COMPUTED_VALUE"""),"-6.1142838,106.1417188")</f>
        <v>-6.1142838,106.1417188</v>
      </c>
      <c r="AU1437" s="80" t="str">
        <f>IFERROR(__xludf.DUMMYFUNCTION("""COMPUTED_VALUE"""),"-6.1142838,106.1417188")</f>
        <v>-6.1142838,106.1417188</v>
      </c>
      <c r="AV1437" s="80"/>
      <c r="AW1437" s="80"/>
      <c r="AX1437" s="80"/>
      <c r="AY1437" s="80"/>
      <c r="AZ1437" s="80"/>
      <c r="BA1437" s="80"/>
      <c r="BB1437" s="80"/>
      <c r="BC1437" s="80"/>
      <c r="BD1437" s="80"/>
      <c r="BE1437" s="80"/>
      <c r="BF1437" s="80"/>
      <c r="BG1437" s="80"/>
      <c r="BH1437" s="80"/>
      <c r="BI1437" s="80"/>
      <c r="BJ1437" s="80"/>
      <c r="BK1437" s="80"/>
      <c r="BL1437" s="80"/>
      <c r="BM1437" s="80"/>
      <c r="BN1437" s="80"/>
      <c r="BO1437" s="80"/>
      <c r="BP1437" s="80"/>
      <c r="BQ1437" s="80"/>
      <c r="BR1437" s="80"/>
      <c r="BS1437" s="80"/>
      <c r="BT1437" s="80"/>
      <c r="BU1437" s="80"/>
      <c r="BV1437" s="80"/>
      <c r="BW1437" s="80"/>
      <c r="BX1437" s="80"/>
      <c r="BY1437" s="80"/>
      <c r="BZ1437" s="80"/>
      <c r="CA1437" s="80"/>
      <c r="CB1437" s="80"/>
      <c r="CC1437" s="80"/>
      <c r="CD1437" s="80"/>
      <c r="CE1437" s="80"/>
      <c r="CF1437" s="80"/>
      <c r="CG1437" s="80"/>
      <c r="CH1437" s="80"/>
      <c r="CI1437" s="80"/>
      <c r="CJ1437" s="80"/>
      <c r="CK1437" s="2"/>
    </row>
    <row r="1438" ht="12.75" customHeight="1">
      <c r="A1438" s="85">
        <f>IFERROR(__xludf.DUMMYFUNCTION("""COMPUTED_VALUE"""),1434.0)</f>
        <v>1434</v>
      </c>
      <c r="B1438" s="85"/>
      <c r="C1438" s="85"/>
      <c r="D1438" s="86">
        <f>IFERROR(__xludf.DUMMYFUNCTION("""COMPUTED_VALUE"""),46268.0)</f>
        <v>46268</v>
      </c>
      <c r="E1438" s="88"/>
      <c r="F1438" s="85"/>
      <c r="G1438" s="86"/>
      <c r="H1438" s="85"/>
      <c r="I1438" s="85"/>
      <c r="J1438" s="85"/>
      <c r="K1438" s="85"/>
      <c r="L1438" s="85"/>
      <c r="M1438" s="85"/>
      <c r="N1438" s="85"/>
      <c r="O1438" s="85"/>
      <c r="P1438" s="85" t="str">
        <f>IFERROR(__xludf.DUMMYFUNCTION("""COMPUTED_VALUE"""),"52BSPA07861JTAMT")</f>
        <v>52BSPA07861JTAMT</v>
      </c>
      <c r="Q1438" s="85" t="str">
        <f>IFERROR(__xludf.DUMMYFUNCTION("""COMPUTED_VALUE"""),"MUC SHIMA PENGKOL")</f>
        <v>MUC SHIMA PENGKOL</v>
      </c>
      <c r="R1438" s="85" t="str">
        <f>IFERROR(__xludf.DUMMYFUNCTION("""COMPUTED_VALUE"""),"MUC SHIMA PENGKOL")</f>
        <v>MUC SHIMA PENGKOL</v>
      </c>
      <c r="S1438" s="85" t="str">
        <f>IFERROR(__xludf.DUMMYFUNCTION("""COMPUTED_VALUE"""),"AULIA AYU ERMANTIANINGRUM")</f>
        <v>AULIA AYU ERMANTIANINGRUM</v>
      </c>
      <c r="T1438" s="85" t="str">
        <f>IFERROR(__xludf.DUMMYFUNCTION("""COMPUTED_VALUE"""),"PENGKOL RT.001/RW.006 PENGKOL JEPARA, KABUPATEN JEPARA JAWA TENGAH")</f>
        <v>PENGKOL RT.001/RW.006 PENGKOL JEPARA, KABUPATEN JEPARA JAWA TENGAH</v>
      </c>
      <c r="U1438" s="85" t="str">
        <f>IFERROR(__xludf.DUMMYFUNCTION("""COMPUTED_VALUE"""),"Jl. Shima No.10 RT 01/06, Pengkol I, Pengkol, Jepara, Kab. Jepara, Jawa Tengah")</f>
        <v>Jl. Shima No.10 RT 01/06, Pengkol I, Pengkol, Jepara, Kab. Jepara, Jawa Tengah</v>
      </c>
      <c r="V1438" s="85" t="str">
        <f>IFERROR(__xludf.DUMMYFUNCTION("""COMPUTED_VALUE"""),"RT.001 \ RW.006")</f>
        <v>RT.001 \ RW.006</v>
      </c>
      <c r="W1438" s="85" t="str">
        <f>IFERROR(__xludf.DUMMYFUNCTION("""COMPUTED_VALUE"""),"Pengkol")</f>
        <v>Pengkol</v>
      </c>
      <c r="X1438" s="85" t="str">
        <f>IFERROR(__xludf.DUMMYFUNCTION("""COMPUTED_VALUE"""),"Jepara")</f>
        <v>Jepara</v>
      </c>
      <c r="Y1438" s="85" t="str">
        <f>IFERROR(__xludf.DUMMYFUNCTION("""COMPUTED_VALUE"""),"Kab. Jepara")</f>
        <v>Kab. Jepara</v>
      </c>
      <c r="Z1438" s="85" t="str">
        <f>IFERROR(__xludf.DUMMYFUNCTION("""COMPUTED_VALUE"""),"Jawa Tengah")</f>
        <v>Jawa Tengah</v>
      </c>
      <c r="AA1438" s="85" t="str">
        <f>IFERROR(__xludf.DUMMYFUNCTION("""COMPUTED_VALUE"""),"59415")</f>
        <v>59415</v>
      </c>
      <c r="AB1438" s="85" t="str">
        <f>IFERROR(__xludf.DUMMYFUNCTION("""COMPUTED_VALUE"""),"3320066704910003")</f>
        <v>3320066704910003</v>
      </c>
      <c r="AC1438" s="85" t="str">
        <f>IFERROR(__xludf.DUMMYFUNCTION("""COMPUTED_VALUE"""),"33.200.667.0-491.0003")</f>
        <v>33.200.667.0-491.0003</v>
      </c>
      <c r="AD1438" s="85" t="str">
        <f>IFERROR(__xludf.DUMMYFUNCTION("""COMPUTED_VALUE"""),"CUM - AMT")</f>
        <v>CUM - AMT</v>
      </c>
      <c r="AE1438" s="85" t="str">
        <f>IFERROR(__xludf.DUMMYFUNCTION("""COMPUTED_VALUE"""),"CUM - AMT")</f>
        <v>CUM - AMT</v>
      </c>
      <c r="AF1438" s="85" t="str">
        <f>IFERROR(__xludf.DUMMYFUNCTION("""COMPUTED_VALUE"""),"085186890900")</f>
        <v>085186890900</v>
      </c>
      <c r="AG1438" s="85" t="str">
        <f>IFERROR(__xludf.DUMMYFUNCTION("""COMPUTED_VALUE"""),"085186890900")</f>
        <v>085186890900</v>
      </c>
      <c r="AH1438" s="85" t="str">
        <f>IFERROR(__xludf.DUMMYFUNCTION("""COMPUTED_VALUE"""),"auliiaauel@gmail.com")</f>
        <v>auliiaauel@gmail.com</v>
      </c>
      <c r="AI1438" s="85"/>
      <c r="AJ1438" s="85"/>
      <c r="AK1438" s="85"/>
      <c r="AL1438" s="85"/>
      <c r="AM1438" s="85" t="str">
        <f>IFERROR(__xludf.DUMMYFUNCTION("""COMPUTED_VALUE"""),"KANTOR REGIONAL IV SEMARANG 50004")</f>
        <v>KANTOR REGIONAL IV SEMARANG 50004</v>
      </c>
      <c r="AN1438" s="85" t="str">
        <f>IFERROR(__xludf.DUMMYFUNCTION("""COMPUTED_VALUE"""),"KC JEPARA 59400")</f>
        <v>KC JEPARA 59400</v>
      </c>
      <c r="AO1438" s="85" t="str">
        <f>IFERROR(__xludf.DUMMYFUNCTION("""COMPUTED_VALUE"""),"0209260072905")</f>
        <v>0209260072905</v>
      </c>
      <c r="AP1438" s="85" t="str">
        <f>IFERROR(__xludf.DUMMYFUNCTION("""COMPUTED_VALUE"""),"0209260072905")</f>
        <v>0209260072905</v>
      </c>
      <c r="AQ1438" s="93" t="str">
        <f>IFERROR(__xludf.DUMMYFUNCTION("""COMPUTED_VALUE"""),"2471751369")</f>
        <v>2471751369</v>
      </c>
      <c r="AR1438" s="85" t="str">
        <f>IFERROR(__xludf.DUMMYFUNCTION("""COMPUTED_VALUE"""),"BCA")</f>
        <v>BCA</v>
      </c>
      <c r="AS1438" s="85" t="str">
        <f>IFERROR(__xludf.DUMMYFUNCTION("""COMPUTED_VALUE"""),"AULIA AYU ERMANTIANINGRUM")</f>
        <v>AULIA AYU ERMANTIANINGRUM</v>
      </c>
      <c r="AT1438" s="85" t="str">
        <f>IFERROR(__xludf.DUMMYFUNCTION("""COMPUTED_VALUE"""),"-6.5876744,110.6759359")</f>
        <v>-6.5876744,110.6759359</v>
      </c>
      <c r="AU1438" s="85" t="str">
        <f>IFERROR(__xludf.DUMMYFUNCTION("""COMPUTED_VALUE"""),"-6.5876744,110.6759359")</f>
        <v>-6.5876744,110.6759359</v>
      </c>
      <c r="AV1438" s="85"/>
      <c r="AW1438" s="85"/>
      <c r="AX1438" s="85"/>
      <c r="AY1438" s="85"/>
      <c r="AZ1438" s="85"/>
      <c r="BA1438" s="85"/>
      <c r="BB1438" s="85"/>
      <c r="BC1438" s="85"/>
      <c r="BD1438" s="85"/>
      <c r="BE1438" s="85"/>
      <c r="BF1438" s="85"/>
      <c r="BG1438" s="85"/>
      <c r="BH1438" s="85"/>
      <c r="BI1438" s="85"/>
      <c r="BJ1438" s="85"/>
      <c r="BK1438" s="85"/>
      <c r="BL1438" s="85"/>
      <c r="BM1438" s="85"/>
      <c r="BN1438" s="85"/>
      <c r="BO1438" s="85"/>
      <c r="BP1438" s="85"/>
      <c r="BQ1438" s="85"/>
      <c r="BR1438" s="85"/>
      <c r="BS1438" s="85"/>
      <c r="BT1438" s="85"/>
      <c r="BU1438" s="85"/>
      <c r="BV1438" s="85"/>
      <c r="BW1438" s="85"/>
      <c r="BX1438" s="85"/>
      <c r="BY1438" s="85"/>
      <c r="BZ1438" s="85"/>
      <c r="CA1438" s="85"/>
      <c r="CB1438" s="85"/>
      <c r="CC1438" s="85"/>
      <c r="CD1438" s="85"/>
      <c r="CE1438" s="85"/>
      <c r="CF1438" s="85"/>
      <c r="CG1438" s="85"/>
      <c r="CH1438" s="85"/>
      <c r="CI1438" s="85"/>
      <c r="CJ1438" s="85"/>
      <c r="CK1438" s="2"/>
    </row>
    <row r="1439" ht="12.75" customHeight="1">
      <c r="A1439" s="80">
        <f>IFERROR(__xludf.DUMMYFUNCTION("""COMPUTED_VALUE"""),1435.0)</f>
        <v>1435</v>
      </c>
      <c r="B1439" s="80"/>
      <c r="C1439" s="80"/>
      <c r="D1439" s="81">
        <f>IFERROR(__xludf.DUMMYFUNCTION("""COMPUTED_VALUE"""),46268.0)</f>
        <v>46268</v>
      </c>
      <c r="E1439" s="82"/>
      <c r="F1439" s="80"/>
      <c r="G1439" s="81"/>
      <c r="H1439" s="80"/>
      <c r="I1439" s="80"/>
      <c r="J1439" s="80"/>
      <c r="K1439" s="80"/>
      <c r="L1439" s="80"/>
      <c r="M1439" s="80"/>
      <c r="N1439" s="80"/>
      <c r="O1439" s="80"/>
      <c r="P1439" s="80" t="str">
        <f>IFERROR(__xludf.DUMMYFUNCTION("""COMPUTED_VALUE"""),"MUC70153UMKMTSK1")</f>
        <v>MUC70153UMKMTSK1</v>
      </c>
      <c r="Q1439" s="80" t="str">
        <f>IFERROR(__xludf.DUMMYFUNCTION("""COMPUTED_VALUE"""),"MUC DE MUSA EXPRESS")</f>
        <v>MUC DE MUSA EXPRESS</v>
      </c>
      <c r="R1439" s="80" t="str">
        <f>IFERROR(__xludf.DUMMYFUNCTION("""COMPUTED_VALUE"""),"MUC DE MUSA EXPRESS")</f>
        <v>MUC DE MUSA EXPRESS</v>
      </c>
      <c r="S1439" s="80" t="str">
        <f>IFERROR(__xludf.DUMMYFUNCTION("""COMPUTED_VALUE"""),"PUTRI LASTRI RAMLIANI")</f>
        <v>PUTRI LASTRI RAMLIANI</v>
      </c>
      <c r="T1439" s="80" t="str">
        <f>IFERROR(__xludf.DUMMYFUNCTION("""COMPUTED_VALUE"""),"PERUM CISALAK BLOK 3/92 RT.001/RW.014 NAGARASARI CIPEDES KOTA TASIKMALAYA JAWA BARAT")</f>
        <v>PERUM CISALAK BLOK 3/92 RT.001/RW.014 NAGARASARI CIPEDES KOTA TASIKMALAYA JAWA BARAT</v>
      </c>
      <c r="U1439" s="80" t="str">
        <f>IFERROR(__xludf.DUMMYFUNCTION("""COMPUTED_VALUE"""),"Perum Cisalak Blok 3 No.92 Nagarasari Cipedes Kota Tasikmalaya")</f>
        <v>Perum Cisalak Blok 3 No.92 Nagarasari Cipedes Kota Tasikmalaya</v>
      </c>
      <c r="V1439" s="80" t="str">
        <f>IFERROR(__xludf.DUMMYFUNCTION("""COMPUTED_VALUE"""),"RT.001 \ RW.014")</f>
        <v>RT.001 \ RW.014</v>
      </c>
      <c r="W1439" s="80" t="str">
        <f>IFERROR(__xludf.DUMMYFUNCTION("""COMPUTED_VALUE"""),"Nagarasari")</f>
        <v>Nagarasari</v>
      </c>
      <c r="X1439" s="80" t="str">
        <f>IFERROR(__xludf.DUMMYFUNCTION("""COMPUTED_VALUE"""),"Cipedes")</f>
        <v>Cipedes</v>
      </c>
      <c r="Y1439" s="80" t="str">
        <f>IFERROR(__xludf.DUMMYFUNCTION("""COMPUTED_VALUE"""),"Tasikmalaya")</f>
        <v>Tasikmalaya</v>
      </c>
      <c r="Z1439" s="80" t="str">
        <f>IFERROR(__xludf.DUMMYFUNCTION("""COMPUTED_VALUE"""),"Jawa Barat")</f>
        <v>Jawa Barat</v>
      </c>
      <c r="AA1439" s="80" t="str">
        <f>IFERROR(__xludf.DUMMYFUNCTION("""COMPUTED_VALUE"""),"46132")</f>
        <v>46132</v>
      </c>
      <c r="AB1439" s="80" t="str">
        <f>IFERROR(__xludf.DUMMYFUNCTION("""COMPUTED_VALUE"""),"3216214711880001")</f>
        <v>3216214711880001</v>
      </c>
      <c r="AC1439" s="80" t="str">
        <f>IFERROR(__xludf.DUMMYFUNCTION("""COMPUTED_VALUE"""),"32.162.147.1-188.0001")</f>
        <v>32.162.147.1-188.0001</v>
      </c>
      <c r="AD1439" s="80" t="str">
        <f>IFERROR(__xludf.DUMMYFUNCTION("""COMPUTED_VALUE"""),"CUM - UNK - INTAN")</f>
        <v>CUM - UNK - INTAN</v>
      </c>
      <c r="AE1439" s="80" t="str">
        <f>IFERROR(__xludf.DUMMYFUNCTION("""COMPUTED_VALUE"""),"CUM - UNK - INTAN")</f>
        <v>CUM - UNK - INTAN</v>
      </c>
      <c r="AF1439" s="80" t="str">
        <f>IFERROR(__xludf.DUMMYFUNCTION("""COMPUTED_VALUE"""),"081234180570")</f>
        <v>081234180570</v>
      </c>
      <c r="AG1439" s="80" t="str">
        <f>IFERROR(__xludf.DUMMYFUNCTION("""COMPUTED_VALUE"""),"081234180570")</f>
        <v>081234180570</v>
      </c>
      <c r="AH1439" s="80" t="str">
        <f>IFERROR(__xludf.DUMMYFUNCTION("""COMPUTED_VALUE"""),"aisyhumaira0788@gmail.com")</f>
        <v>aisyhumaira0788@gmail.com</v>
      </c>
      <c r="AI1439" s="80"/>
      <c r="AJ1439" s="80"/>
      <c r="AK1439" s="80"/>
      <c r="AL1439" s="80"/>
      <c r="AM1439" s="80" t="str">
        <f>IFERROR(__xludf.DUMMYFUNCTION("""COMPUTED_VALUE"""),"KANTOR REGIONAL III BANDUNG 40004")</f>
        <v>KANTOR REGIONAL III BANDUNG 40004</v>
      </c>
      <c r="AN1439" s="80" t="str">
        <f>IFERROR(__xludf.DUMMYFUNCTION("""COMPUTED_VALUE"""),"KC TASIKMALAYA 46100")</f>
        <v>KC TASIKMALAYA 46100</v>
      </c>
      <c r="AO1439" s="80" t="str">
        <f>IFERROR(__xludf.DUMMYFUNCTION("""COMPUTED_VALUE"""),"0309260176577")</f>
        <v>0309260176577</v>
      </c>
      <c r="AP1439" s="80" t="str">
        <f>IFERROR(__xludf.DUMMYFUNCTION("""COMPUTED_VALUE"""),"0309260176577")</f>
        <v>0309260176577</v>
      </c>
      <c r="AQ1439" s="83" t="str">
        <f>IFERROR(__xludf.DUMMYFUNCTION("""COMPUTED_VALUE"""),"6281030407")</f>
        <v>6281030407</v>
      </c>
      <c r="AR1439" s="80" t="str">
        <f>IFERROR(__xludf.DUMMYFUNCTION("""COMPUTED_VALUE"""),"BCA")</f>
        <v>BCA</v>
      </c>
      <c r="AS1439" s="80" t="str">
        <f>IFERROR(__xludf.DUMMYFUNCTION("""COMPUTED_VALUE"""),"PUTRI LASTRI RAMLIANI")</f>
        <v>PUTRI LASTRI RAMLIANI</v>
      </c>
      <c r="AT1439" s="80" t="str">
        <f>IFERROR(__xludf.DUMMYFUNCTION("""COMPUTED_VALUE"""),"-7.3114135,108.2247215")</f>
        <v>-7.3114135,108.2247215</v>
      </c>
      <c r="AU1439" s="80" t="str">
        <f>IFERROR(__xludf.DUMMYFUNCTION("""COMPUTED_VALUE"""),"-7.3114135,108.2247215")</f>
        <v>-7.3114135,108.2247215</v>
      </c>
      <c r="AV1439" s="80"/>
      <c r="AW1439" s="80"/>
      <c r="AX1439" s="80"/>
      <c r="AY1439" s="80"/>
      <c r="AZ1439" s="80"/>
      <c r="BA1439" s="80"/>
      <c r="BB1439" s="80"/>
      <c r="BC1439" s="80"/>
      <c r="BD1439" s="80"/>
      <c r="BE1439" s="80"/>
      <c r="BF1439" s="80"/>
      <c r="BG1439" s="80"/>
      <c r="BH1439" s="80"/>
      <c r="BI1439" s="80"/>
      <c r="BJ1439" s="80"/>
      <c r="BK1439" s="80"/>
      <c r="BL1439" s="80"/>
      <c r="BM1439" s="80"/>
      <c r="BN1439" s="80"/>
      <c r="BO1439" s="80"/>
      <c r="BP1439" s="80"/>
      <c r="BQ1439" s="80"/>
      <c r="BR1439" s="80"/>
      <c r="BS1439" s="80"/>
      <c r="BT1439" s="80"/>
      <c r="BU1439" s="80"/>
      <c r="BV1439" s="80"/>
      <c r="BW1439" s="80"/>
      <c r="BX1439" s="80"/>
      <c r="BY1439" s="80"/>
      <c r="BZ1439" s="80"/>
      <c r="CA1439" s="80"/>
      <c r="CB1439" s="80"/>
      <c r="CC1439" s="80"/>
      <c r="CD1439" s="80"/>
      <c r="CE1439" s="80"/>
      <c r="CF1439" s="80"/>
      <c r="CG1439" s="80"/>
      <c r="CH1439" s="80"/>
      <c r="CI1439" s="80"/>
      <c r="CJ1439" s="80"/>
      <c r="CK1439" s="2"/>
    </row>
    <row r="1440" ht="12.75" customHeight="1">
      <c r="A1440" s="85">
        <f>IFERROR(__xludf.DUMMYFUNCTION("""COMPUTED_VALUE"""),1436.0)</f>
        <v>1436</v>
      </c>
      <c r="B1440" s="85"/>
      <c r="C1440" s="85"/>
      <c r="D1440" s="86">
        <f>IFERROR(__xludf.DUMMYFUNCTION("""COMPUTED_VALUE"""),46269.0)</f>
        <v>46269</v>
      </c>
      <c r="E1440" s="88"/>
      <c r="F1440" s="85"/>
      <c r="G1440" s="86"/>
      <c r="H1440" s="85"/>
      <c r="I1440" s="85"/>
      <c r="J1440" s="85"/>
      <c r="K1440" s="85"/>
      <c r="L1440" s="85"/>
      <c r="M1440" s="85"/>
      <c r="N1440" s="85"/>
      <c r="O1440" s="85"/>
      <c r="P1440" s="85" t="str">
        <f>IFERROR(__xludf.DUMMYFUNCTION("""COMPUTED_VALUE"""),"MUCSPA70130PSAAK")</f>
        <v>MUCSPA70130PSAAK</v>
      </c>
      <c r="Q1440" s="85" t="str">
        <f>IFERROR(__xludf.DUMMYFUNCTION("""COMPUTED_VALUE"""),"MUC KRISNA EXPRESS")</f>
        <v>MUC KRISNA EXPRESS</v>
      </c>
      <c r="R1440" s="85" t="str">
        <f>IFERROR(__xludf.DUMMYFUNCTION("""COMPUTED_VALUE"""),"MUC KRISNA EXPRESS")</f>
        <v>MUC KRISNA EXPRESS</v>
      </c>
      <c r="S1440" s="85" t="str">
        <f>IFERROR(__xludf.DUMMYFUNCTION("""COMPUTED_VALUE"""),"DEDY KRISNA")</f>
        <v>DEDY KRISNA</v>
      </c>
      <c r="T1440" s="85" t="str">
        <f>IFERROR(__xludf.DUMMYFUNCTION("""COMPUTED_VALUE"""),"SINAR PAMULANG PERMAI B.17/1 RT.001/RW.019 PAMULANG BARAT PAMULANG, KOTA TANGERANG SELATAN BANTEN")</f>
        <v>SINAR PAMULANG PERMAI B.17/1 RT.001/RW.019 PAMULANG BARAT PAMULANG, KOTA TANGERANG SELATAN BANTEN</v>
      </c>
      <c r="U1440" s="85" t="str">
        <f>IFERROR(__xludf.DUMMYFUNCTION("""COMPUTED_VALUE"""),"Ruko Blok D.1 De Paris Residence, Jl. Daun Karya Raya, Kalisuren, Kec. Tajur Halang")</f>
        <v>Ruko Blok D.1 De Paris Residence, Jl. Daun Karya Raya, Kalisuren, Kec. Tajur Halang</v>
      </c>
      <c r="V1440" s="85" t="str">
        <f>IFERROR(__xludf.DUMMYFUNCTION("""COMPUTED_VALUE"""),"RT.001 \ RW.019")</f>
        <v>RT.001 \ RW.019</v>
      </c>
      <c r="W1440" s="85" t="str">
        <f>IFERROR(__xludf.DUMMYFUNCTION("""COMPUTED_VALUE"""),"Kalisuren")</f>
        <v>Kalisuren</v>
      </c>
      <c r="X1440" s="85" t="str">
        <f>IFERROR(__xludf.DUMMYFUNCTION("""COMPUTED_VALUE"""),"Tajurhalang")</f>
        <v>Tajurhalang</v>
      </c>
      <c r="Y1440" s="85" t="str">
        <f>IFERROR(__xludf.DUMMYFUNCTION("""COMPUTED_VALUE"""),"Kab. Bogor")</f>
        <v>Kab. Bogor</v>
      </c>
      <c r="Z1440" s="85" t="str">
        <f>IFERROR(__xludf.DUMMYFUNCTION("""COMPUTED_VALUE"""),"Jawa Barat")</f>
        <v>Jawa Barat</v>
      </c>
      <c r="AA1440" s="85" t="str">
        <f>IFERROR(__xludf.DUMMYFUNCTION("""COMPUTED_VALUE"""),"16937")</f>
        <v>16937</v>
      </c>
      <c r="AB1440" s="85" t="str">
        <f>IFERROR(__xludf.DUMMYFUNCTION("""COMPUTED_VALUE"""),"3674060505640004")</f>
        <v>3674060505640004</v>
      </c>
      <c r="AC1440" s="85" t="str">
        <f>IFERROR(__xludf.DUMMYFUNCTION("""COMPUTED_VALUE"""),"49.861.409.8-411.000")</f>
        <v>49.861.409.8-411.000</v>
      </c>
      <c r="AD1440" s="85" t="str">
        <f>IFERROR(__xludf.DUMMYFUNCTION("""COMPUTED_VALUE"""),"CUM - LP - ANGGI")</f>
        <v>CUM - LP - ANGGI</v>
      </c>
      <c r="AE1440" s="85" t="str">
        <f>IFERROR(__xludf.DUMMYFUNCTION("""COMPUTED_VALUE"""),"CUM - LP - ANGGI")</f>
        <v>CUM - LP - ANGGI</v>
      </c>
      <c r="AF1440" s="85" t="str">
        <f>IFERROR(__xludf.DUMMYFUNCTION("""COMPUTED_VALUE"""),"085718267589")</f>
        <v>085718267589</v>
      </c>
      <c r="AG1440" s="85" t="str">
        <f>IFERROR(__xludf.DUMMYFUNCTION("""COMPUTED_VALUE"""),"085718267589")</f>
        <v>085718267589</v>
      </c>
      <c r="AH1440" s="85" t="str">
        <f>IFERROR(__xludf.DUMMYFUNCTION("""COMPUTED_VALUE"""),"dekris212@gmail.com")</f>
        <v>dekris212@gmail.com</v>
      </c>
      <c r="AI1440" s="85"/>
      <c r="AJ1440" s="85"/>
      <c r="AK1440" s="85"/>
      <c r="AL1440" s="85"/>
      <c r="AM1440" s="85" t="str">
        <f>IFERROR(__xludf.DUMMYFUNCTION("""COMPUTED_VALUE"""),"KANTOR REGIONAL II JAKARTA 10004")</f>
        <v>KANTOR REGIONAL II JAKARTA 10004</v>
      </c>
      <c r="AN1440" s="85" t="str">
        <f>IFERROR(__xludf.DUMMYFUNCTION("""COMPUTED_VALUE"""),"KCU BOGOR 16000")</f>
        <v>KCU BOGOR 16000</v>
      </c>
      <c r="AO1440" s="85" t="str">
        <f>IFERROR(__xludf.DUMMYFUNCTION("""COMPUTED_VALUE"""),"0409260017741")</f>
        <v>0409260017741</v>
      </c>
      <c r="AP1440" s="85" t="str">
        <f>IFERROR(__xludf.DUMMYFUNCTION("""COMPUTED_VALUE"""),"0409260017741")</f>
        <v>0409260017741</v>
      </c>
      <c r="AQ1440" s="93" t="str">
        <f>IFERROR(__xludf.DUMMYFUNCTION("""COMPUTED_VALUE"""),"3971109716")</f>
        <v>3971109716</v>
      </c>
      <c r="AR1440" s="85" t="str">
        <f>IFERROR(__xludf.DUMMYFUNCTION("""COMPUTED_VALUE"""),"BCA")</f>
        <v>BCA</v>
      </c>
      <c r="AS1440" s="85" t="str">
        <f>IFERROR(__xludf.DUMMYFUNCTION("""COMPUTED_VALUE"""),"DEDY KRISNA")</f>
        <v>DEDY KRISNA</v>
      </c>
      <c r="AT1440" s="85" t="str">
        <f>IFERROR(__xludf.DUMMYFUNCTION("""COMPUTED_VALUE"""),"-6.4513031,106.7390572")</f>
        <v>-6.4513031,106.7390572</v>
      </c>
      <c r="AU1440" s="85" t="str">
        <f>IFERROR(__xludf.DUMMYFUNCTION("""COMPUTED_VALUE"""),"-6.4513031,106.7390572")</f>
        <v>-6.4513031,106.7390572</v>
      </c>
      <c r="AV1440" s="85"/>
      <c r="AW1440" s="85"/>
      <c r="AX1440" s="85"/>
      <c r="AY1440" s="85"/>
      <c r="AZ1440" s="85"/>
      <c r="BA1440" s="85"/>
      <c r="BB1440" s="85"/>
      <c r="BC1440" s="85"/>
      <c r="BD1440" s="85"/>
      <c r="BE1440" s="85"/>
      <c r="BF1440" s="85"/>
      <c r="BG1440" s="85"/>
      <c r="BH1440" s="85"/>
      <c r="BI1440" s="85"/>
      <c r="BJ1440" s="85"/>
      <c r="BK1440" s="85"/>
      <c r="BL1440" s="85"/>
      <c r="BM1440" s="85"/>
      <c r="BN1440" s="85"/>
      <c r="BO1440" s="85"/>
      <c r="BP1440" s="85"/>
      <c r="BQ1440" s="85"/>
      <c r="BR1440" s="85"/>
      <c r="BS1440" s="85"/>
      <c r="BT1440" s="85"/>
      <c r="BU1440" s="85"/>
      <c r="BV1440" s="85"/>
      <c r="BW1440" s="85"/>
      <c r="BX1440" s="85"/>
      <c r="BY1440" s="85"/>
      <c r="BZ1440" s="85"/>
      <c r="CA1440" s="85"/>
      <c r="CB1440" s="85"/>
      <c r="CC1440" s="85"/>
      <c r="CD1440" s="85"/>
      <c r="CE1440" s="85"/>
      <c r="CF1440" s="85"/>
      <c r="CG1440" s="85"/>
      <c r="CH1440" s="85"/>
      <c r="CI1440" s="85"/>
      <c r="CJ1440" s="85"/>
      <c r="CK1440" s="2"/>
    </row>
    <row r="1441" ht="12.75" customHeight="1">
      <c r="A1441" s="80">
        <f>IFERROR(__xludf.DUMMYFUNCTION("""COMPUTED_VALUE"""),1437.0)</f>
        <v>1437</v>
      </c>
      <c r="B1441" s="80"/>
      <c r="C1441" s="80"/>
      <c r="D1441" s="81">
        <f>IFERROR(__xludf.DUMMYFUNCTION("""COMPUTED_VALUE"""),46269.0)</f>
        <v>46269</v>
      </c>
      <c r="E1441" s="82"/>
      <c r="F1441" s="80"/>
      <c r="G1441" s="81"/>
      <c r="H1441" s="80"/>
      <c r="I1441" s="80"/>
      <c r="J1441" s="80"/>
      <c r="K1441" s="80"/>
      <c r="L1441" s="80"/>
      <c r="M1441" s="80"/>
      <c r="N1441" s="80"/>
      <c r="O1441" s="80"/>
      <c r="P1441" s="80" t="str">
        <f>IFERROR(__xludf.DUMMYFUNCTION("""COMPUTED_VALUE"""),"MUCSPA63672PSIND")</f>
        <v>MUCSPA63672PSIND</v>
      </c>
      <c r="Q1441" s="80" t="str">
        <f>IFERROR(__xludf.DUMMYFUNCTION("""COMPUTED_VALUE"""),"MUC RIYU ANTAR PAKET")</f>
        <v>MUC RIYU ANTAR PAKET</v>
      </c>
      <c r="R1441" s="80" t="str">
        <f>IFERROR(__xludf.DUMMYFUNCTION("""COMPUTED_VALUE"""),"MUC RIYU ANTAR PAKET")</f>
        <v>MUC RIYU ANTAR PAKET</v>
      </c>
      <c r="S1441" s="80" t="str">
        <f>IFERROR(__xludf.DUMMYFUNCTION("""COMPUTED_VALUE"""),"NAyu Wulandari")</f>
        <v>NAyu Wulandari</v>
      </c>
      <c r="T1441" s="80" t="str">
        <f>IFERROR(__xludf.DUMMYFUNCTION("""COMPUTED_VALUE"""),"PERUM BIP BLOK C9 NO.1 RT.028 RW.009, CIBENING, BUNGURSARI, KAB. PURWAKARTA")</f>
        <v>PERUM BIP BLOK C9 NO.1 RT.028 RW.009, CIBENING, BUNGURSARI, KAB. PURWAKARTA</v>
      </c>
      <c r="U1441" s="80" t="str">
        <f>IFERROR(__xludf.DUMMYFUNCTION("""COMPUTED_VALUE"""),"Perumahan Bumi Persada Inti Persada C9/1 gg Bima RT28/9")</f>
        <v>Perumahan Bumi Persada Inti Persada C9/1 gg Bima RT28/9</v>
      </c>
      <c r="V1441" s="80" t="str">
        <f>IFERROR(__xludf.DUMMYFUNCTION("""COMPUTED_VALUE"""),"RT.028 \ RW.009")</f>
        <v>RT.028 \ RW.009</v>
      </c>
      <c r="W1441" s="80" t="str">
        <f>IFERROR(__xludf.DUMMYFUNCTION("""COMPUTED_VALUE"""),"Cibening")</f>
        <v>Cibening</v>
      </c>
      <c r="X1441" s="80" t="str">
        <f>IFERROR(__xludf.DUMMYFUNCTION("""COMPUTED_VALUE"""),"Bungursari")</f>
        <v>Bungursari</v>
      </c>
      <c r="Y1441" s="80" t="str">
        <f>IFERROR(__xludf.DUMMYFUNCTION("""COMPUTED_VALUE"""),"Kab. Purwakarta")</f>
        <v>Kab. Purwakarta</v>
      </c>
      <c r="Z1441" s="80" t="str">
        <f>IFERROR(__xludf.DUMMYFUNCTION("""COMPUTED_VALUE"""),"Jawa Barat")</f>
        <v>Jawa Barat</v>
      </c>
      <c r="AA1441" s="80" t="str">
        <f>IFERROR(__xludf.DUMMYFUNCTION("""COMPUTED_VALUE"""),"41181")</f>
        <v>41181</v>
      </c>
      <c r="AB1441" s="80" t="str">
        <f>IFERROR(__xludf.DUMMYFUNCTION("""COMPUTED_VALUE"""),"3306156204920001")</f>
        <v>3306156204920001</v>
      </c>
      <c r="AC1441" s="80" t="str">
        <f>IFERROR(__xludf.DUMMYFUNCTION("""COMPUTED_VALUE"""),"71.977.269.1-531.000")</f>
        <v>71.977.269.1-531.000</v>
      </c>
      <c r="AD1441" s="80" t="str">
        <f>IFERROR(__xludf.DUMMYFUNCTION("""COMPUTED_VALUE"""),"CUM - PS - NONKORGEN / Bu Uzma Pos")</f>
        <v>CUM - PS - NONKORGEN / Bu Uzma Pos</v>
      </c>
      <c r="AE1441" s="80" t="str">
        <f>IFERROR(__xludf.DUMMYFUNCTION("""COMPUTED_VALUE"""),"CUM - PS - NONKORGEN / Bu Uzma Pos")</f>
        <v>CUM - PS - NONKORGEN / Bu Uzma Pos</v>
      </c>
      <c r="AF1441" s="80" t="str">
        <f>IFERROR(__xludf.DUMMYFUNCTION("""COMPUTED_VALUE"""),"085624210563")</f>
        <v>085624210563</v>
      </c>
      <c r="AG1441" s="80" t="str">
        <f>IFERROR(__xludf.DUMMYFUNCTION("""COMPUTED_VALUE"""),"085624210563")</f>
        <v>085624210563</v>
      </c>
      <c r="AH1441" s="80" t="str">
        <f>IFERROR(__xludf.DUMMYFUNCTION("""COMPUTED_VALUE"""),"ayurichanwulandari@gmail.com")</f>
        <v>ayurichanwulandari@gmail.com</v>
      </c>
      <c r="AI1441" s="80"/>
      <c r="AJ1441" s="80"/>
      <c r="AK1441" s="80"/>
      <c r="AL1441" s="80"/>
      <c r="AM1441" s="80" t="str">
        <f>IFERROR(__xludf.DUMMYFUNCTION("""COMPUTED_VALUE"""),"KANTOR REGIONAL III BANDUNG 40004")</f>
        <v>KANTOR REGIONAL III BANDUNG 40004</v>
      </c>
      <c r="AN1441" s="80" t="str">
        <f>IFERROR(__xludf.DUMMYFUNCTION("""COMPUTED_VALUE"""),"KC PURWAKARTA 41100")</f>
        <v>KC PURWAKARTA 41100</v>
      </c>
      <c r="AO1441" s="80" t="str">
        <f>IFERROR(__xludf.DUMMYFUNCTION("""COMPUTED_VALUE"""),"1612220001743")</f>
        <v>1612220001743</v>
      </c>
      <c r="AP1441" s="80" t="str">
        <f>IFERROR(__xludf.DUMMYFUNCTION("""COMPUTED_VALUE"""),"1612220001743")</f>
        <v>1612220001743</v>
      </c>
      <c r="AQ1441" s="83" t="str">
        <f>IFERROR(__xludf.DUMMYFUNCTION("""COMPUTED_VALUE"""),"2310311793")</f>
        <v>2310311793</v>
      </c>
      <c r="AR1441" s="80"/>
      <c r="AS1441" s="80" t="str">
        <f>IFERROR(__xludf.DUMMYFUNCTION("""COMPUTED_VALUE"""),"Ayu Wulandari")</f>
        <v>Ayu Wulandari</v>
      </c>
      <c r="AT1441" s="80" t="str">
        <f>IFERROR(__xludf.DUMMYFUNCTION("""COMPUTED_VALUE"""),"-6,491,774")</f>
        <v>-6,491,774</v>
      </c>
      <c r="AU1441" s="80" t="str">
        <f>IFERROR(__xludf.DUMMYFUNCTION("""COMPUTED_VALUE"""),"1,074,822,109")</f>
        <v>1,074,822,109</v>
      </c>
      <c r="AV1441" s="80"/>
      <c r="AW1441" s="80"/>
      <c r="AX1441" s="80"/>
      <c r="AY1441" s="80"/>
      <c r="AZ1441" s="80"/>
      <c r="BA1441" s="80"/>
      <c r="BB1441" s="80"/>
      <c r="BC1441" s="80"/>
      <c r="BD1441" s="80"/>
      <c r="BE1441" s="80"/>
      <c r="BF1441" s="80"/>
      <c r="BG1441" s="80"/>
      <c r="BH1441" s="80"/>
      <c r="BI1441" s="80"/>
      <c r="BJ1441" s="80"/>
      <c r="BK1441" s="80"/>
      <c r="BL1441" s="80"/>
      <c r="BM1441" s="80"/>
      <c r="BN1441" s="80"/>
      <c r="BO1441" s="80"/>
      <c r="BP1441" s="80"/>
      <c r="BQ1441" s="80"/>
      <c r="BR1441" s="80"/>
      <c r="BS1441" s="80"/>
      <c r="BT1441" s="80"/>
      <c r="BU1441" s="80"/>
      <c r="BV1441" s="80"/>
      <c r="BW1441" s="80"/>
      <c r="BX1441" s="80"/>
      <c r="BY1441" s="80"/>
      <c r="BZ1441" s="80"/>
      <c r="CA1441" s="80"/>
      <c r="CB1441" s="80"/>
      <c r="CC1441" s="80"/>
      <c r="CD1441" s="80"/>
      <c r="CE1441" s="80"/>
      <c r="CF1441" s="80"/>
      <c r="CG1441" s="80"/>
      <c r="CH1441" s="80"/>
      <c r="CI1441" s="80"/>
      <c r="CJ1441" s="80"/>
      <c r="CK1441" s="2"/>
    </row>
    <row r="1442" ht="12.75" customHeight="1">
      <c r="A1442" s="85">
        <f>IFERROR(__xludf.DUMMYFUNCTION("""COMPUTED_VALUE"""),1438.0)</f>
        <v>1438</v>
      </c>
      <c r="B1442" s="85"/>
      <c r="C1442" s="85"/>
      <c r="D1442" s="86">
        <f>IFERROR(__xludf.DUMMYFUNCTION("""COMPUTED_VALUE"""),46269.0)</f>
        <v>46269</v>
      </c>
      <c r="E1442" s="88"/>
      <c r="F1442" s="85"/>
      <c r="G1442" s="86"/>
      <c r="H1442" s="85"/>
      <c r="I1442" s="85"/>
      <c r="J1442" s="85"/>
      <c r="K1442" s="85"/>
      <c r="L1442" s="85"/>
      <c r="M1442" s="85"/>
      <c r="N1442" s="85"/>
      <c r="O1442" s="85"/>
      <c r="P1442" s="85" t="str">
        <f>IFERROR(__xludf.DUMMYFUNCTION("""COMPUTED_VALUE"""),"MUC70247UMKMDDN1")</f>
        <v>MUC70247UMKMDDN1</v>
      </c>
      <c r="Q1442" s="85" t="str">
        <f>IFERROR(__xludf.DUMMYFUNCTION("""COMPUTED_VALUE"""),"MUC SUKAWARGI HADA")</f>
        <v>MUC SUKAWARGI HADA</v>
      </c>
      <c r="R1442" s="85" t="str">
        <f>IFERROR(__xludf.DUMMYFUNCTION("""COMPUTED_VALUE"""),"MUC SUKAWARGI HADA")</f>
        <v>MUC SUKAWARGI HADA</v>
      </c>
      <c r="S1442" s="85" t="str">
        <f>IFERROR(__xludf.DUMMYFUNCTION("""COMPUTED_VALUE"""),"DADAN RAMDHAN")</f>
        <v>DADAN RAMDHAN</v>
      </c>
      <c r="T1442" s="85" t="str">
        <f>IFERROR(__xludf.DUMMYFUNCTION("""COMPUTED_VALUE"""),"JL NUSANTARA VIII NO C 92-22 RT 03 RW 25, CIBABAT, CIMAHI UTARA, CIMAHI")</f>
        <v>JL NUSANTARA VIII NO C 92-22 RT 03 RW 25, CIBABAT, CIMAHI UTARA, CIMAHI</v>
      </c>
      <c r="U1442" s="85" t="str">
        <f>IFERROR(__xludf.DUMMYFUNCTION("""COMPUTED_VALUE"""),"JL. JEND. H. Amir Machmud No.484 GANG HADA RT 01 RW 13")</f>
        <v>JL. JEND. H. Amir Machmud No.484 GANG HADA RT 01 RW 13</v>
      </c>
      <c r="V1442" s="85" t="str">
        <f>IFERROR(__xludf.DUMMYFUNCTION("""COMPUTED_VALUE"""),"RT 03  \ RW 25,")</f>
        <v>RT 03  \ RW 25,</v>
      </c>
      <c r="W1442" s="85" t="str">
        <f>IFERROR(__xludf.DUMMYFUNCTION("""COMPUTED_VALUE"""),"CIBABAT")</f>
        <v>CIBABAT</v>
      </c>
      <c r="X1442" s="85" t="str">
        <f>IFERROR(__xludf.DUMMYFUNCTION("""COMPUTED_VALUE"""),"CIMAHI UTARA")</f>
        <v>CIMAHI UTARA</v>
      </c>
      <c r="Y1442" s="85" t="str">
        <f>IFERROR(__xludf.DUMMYFUNCTION("""COMPUTED_VALUE"""),"CIMAHI")</f>
        <v>CIMAHI</v>
      </c>
      <c r="Z1442" s="85" t="str">
        <f>IFERROR(__xludf.DUMMYFUNCTION("""COMPUTED_VALUE"""),"JAWA BARAT")</f>
        <v>JAWA BARAT</v>
      </c>
      <c r="AA1442" s="85" t="str">
        <f>IFERROR(__xludf.DUMMYFUNCTION("""COMPUTED_VALUE"""),"40523")</f>
        <v>40523</v>
      </c>
      <c r="AB1442" s="85" t="str">
        <f>IFERROR(__xludf.DUMMYFUNCTION("""COMPUTED_VALUE"""),"3277031012700025")</f>
        <v>3277031012700025</v>
      </c>
      <c r="AC1442" s="85" t="str">
        <f>IFERROR(__xludf.DUMMYFUNCTION("""COMPUTED_VALUE"""),"46.706.587.6-421.000")</f>
        <v>46.706.587.6-421.000</v>
      </c>
      <c r="AD1442" s="85" t="str">
        <f>IFERROR(__xludf.DUMMYFUNCTION("""COMPUTED_VALUE"""),"CUM - UNK - DADAN")</f>
        <v>CUM - UNK - DADAN</v>
      </c>
      <c r="AE1442" s="85" t="str">
        <f>IFERROR(__xludf.DUMMYFUNCTION("""COMPUTED_VALUE"""),"CUM - UNK - DADAN")</f>
        <v>CUM - UNK - DADAN</v>
      </c>
      <c r="AF1442" s="85" t="str">
        <f>IFERROR(__xludf.DUMMYFUNCTION("""COMPUTED_VALUE"""),"081223740429")</f>
        <v>081223740429</v>
      </c>
      <c r="AG1442" s="85" t="str">
        <f>IFERROR(__xludf.DUMMYFUNCTION("""COMPUTED_VALUE"""),"081223740429")</f>
        <v>081223740429</v>
      </c>
      <c r="AH1442" s="85" t="str">
        <f>IFERROR(__xludf.DUMMYFUNCTION("""COMPUTED_VALUE"""),"dadanramdhan444@gmail.com")</f>
        <v>dadanramdhan444@gmail.com</v>
      </c>
      <c r="AI1442" s="85"/>
      <c r="AJ1442" s="85"/>
      <c r="AK1442" s="85"/>
      <c r="AL1442" s="85"/>
      <c r="AM1442" s="85" t="str">
        <f>IFERROR(__xludf.DUMMYFUNCTION("""COMPUTED_VALUE"""),"KANTOR REGIONAL III BANDUNG 40004")</f>
        <v>KANTOR REGIONAL III BANDUNG 40004</v>
      </c>
      <c r="AN1442" s="85" t="str">
        <f>IFERROR(__xludf.DUMMYFUNCTION("""COMPUTED_VALUE"""),"KC CIMAHI 40500")</f>
        <v>KC CIMAHI 40500</v>
      </c>
      <c r="AO1442" s="85" t="str">
        <f>IFERROR(__xludf.DUMMYFUNCTION("""COMPUTED_VALUE"""),"0109260040526")</f>
        <v>0109260040526</v>
      </c>
      <c r="AP1442" s="85" t="str">
        <f>IFERROR(__xludf.DUMMYFUNCTION("""COMPUTED_VALUE"""),"0109260040526")</f>
        <v>0109260040526</v>
      </c>
      <c r="AQ1442" s="93" t="str">
        <f>IFERROR(__xludf.DUMMYFUNCTION("""COMPUTED_VALUE"""),"1392750988")</f>
        <v>1392750988</v>
      </c>
      <c r="AR1442" s="85" t="str">
        <f>IFERROR(__xludf.DUMMYFUNCTION("""COMPUTED_VALUE"""),"BCA")</f>
        <v>BCA</v>
      </c>
      <c r="AS1442" s="85" t="str">
        <f>IFERROR(__xludf.DUMMYFUNCTION("""COMPUTED_VALUE"""),"DADAN RAMDHAN")</f>
        <v>DADAN RAMDHAN</v>
      </c>
      <c r="AT1442" s="85" t="str">
        <f>IFERROR(__xludf.DUMMYFUNCTION("""COMPUTED_VALUE"""),"-6.8773663,107.5482365")</f>
        <v>-6.8773663,107.5482365</v>
      </c>
      <c r="AU1442" s="85" t="str">
        <f>IFERROR(__xludf.DUMMYFUNCTION("""COMPUTED_VALUE"""),"-6.8773663,107.5482365")</f>
        <v>-6.8773663,107.5482365</v>
      </c>
      <c r="AV1442" s="85"/>
      <c r="AW1442" s="85"/>
      <c r="AX1442" s="85"/>
      <c r="AY1442" s="85"/>
      <c r="AZ1442" s="85"/>
      <c r="BA1442" s="85"/>
      <c r="BB1442" s="85"/>
      <c r="BC1442" s="85"/>
      <c r="BD1442" s="85"/>
      <c r="BE1442" s="85"/>
      <c r="BF1442" s="85"/>
      <c r="BG1442" s="85"/>
      <c r="BH1442" s="85"/>
      <c r="BI1442" s="85"/>
      <c r="BJ1442" s="85"/>
      <c r="BK1442" s="85"/>
      <c r="BL1442" s="85"/>
      <c r="BM1442" s="85"/>
      <c r="BN1442" s="85"/>
      <c r="BO1442" s="85"/>
      <c r="BP1442" s="85"/>
      <c r="BQ1442" s="85"/>
      <c r="BR1442" s="85"/>
      <c r="BS1442" s="85"/>
      <c r="BT1442" s="85"/>
      <c r="BU1442" s="85"/>
      <c r="BV1442" s="85"/>
      <c r="BW1442" s="85"/>
      <c r="BX1442" s="85"/>
      <c r="BY1442" s="85"/>
      <c r="BZ1442" s="85"/>
      <c r="CA1442" s="85"/>
      <c r="CB1442" s="85"/>
      <c r="CC1442" s="85"/>
      <c r="CD1442" s="85"/>
      <c r="CE1442" s="85"/>
      <c r="CF1442" s="85"/>
      <c r="CG1442" s="85"/>
      <c r="CH1442" s="85"/>
      <c r="CI1442" s="85"/>
      <c r="CJ1442" s="85"/>
      <c r="CK1442" s="2"/>
    </row>
    <row r="1443" ht="12.75" customHeight="1">
      <c r="A1443" s="80">
        <f>IFERROR(__xludf.DUMMYFUNCTION("""COMPUTED_VALUE"""),1439.0)</f>
        <v>1439</v>
      </c>
      <c r="B1443" s="80"/>
      <c r="C1443" s="80"/>
      <c r="D1443" s="81">
        <f>IFERROR(__xludf.DUMMYFUNCTION("""COMPUTED_VALUE"""),46269.0)</f>
        <v>46269</v>
      </c>
      <c r="E1443" s="82"/>
      <c r="F1443" s="80"/>
      <c r="G1443" s="81">
        <f>IFERROR(__xludf.DUMMYFUNCTION("""COMPUTED_VALUE"""),46275.0)</f>
        <v>46275</v>
      </c>
      <c r="H1443" s="80"/>
      <c r="I1443" s="80"/>
      <c r="J1443" s="80"/>
      <c r="K1443" s="80"/>
      <c r="L1443" s="80">
        <f>IFERROR(__xludf.DUMMYFUNCTION("""COMPUTED_VALUE"""),6.0)</f>
        <v>6</v>
      </c>
      <c r="M1443" s="80"/>
      <c r="N1443" s="80"/>
      <c r="O1443" s="80"/>
      <c r="P1443" s="80" t="str">
        <f>IFERROR(__xludf.DUMMYFUNCTION("""COMPUTED_VALUE"""),"MUC70227UMKMMIW1")</f>
        <v>MUC70227UMKMMIW1</v>
      </c>
      <c r="Q1443" s="80" t="str">
        <f>IFERROR(__xludf.DUMMYFUNCTION("""COMPUTED_VALUE"""),"MUC GRIYA IND")</f>
        <v>MUC GRIYA IND</v>
      </c>
      <c r="R1443" s="80" t="str">
        <f>IFERROR(__xludf.DUMMYFUNCTION("""COMPUTED_VALUE"""),"MUC GRIYA IND")</f>
        <v>MUC GRIYA IND</v>
      </c>
      <c r="S1443" s="80" t="str">
        <f>IFERROR(__xludf.DUMMYFUNCTION("""COMPUTED_VALUE"""),"ABDUL LATIF")</f>
        <v>ABDUL LATIF</v>
      </c>
      <c r="T1443" s="80" t="str">
        <f>IFERROR(__xludf.DUMMYFUNCTION("""COMPUTED_VALUE"""),"TAMAN TRIDAYA INDAH RT.009/015 TRIDAYASAKTI TAMBUN SELATAN KAB.BEKASI")</f>
        <v>TAMAN TRIDAYA INDAH RT.009/015 TRIDAYASAKTI TAMBUN SELATAN KAB.BEKASI</v>
      </c>
      <c r="U1443" s="80" t="str">
        <f>IFERROR(__xludf.DUMMYFUNCTION("""COMPUTED_VALUE"""),"Griya Asri 2 Blok B5 No. 30, RT.07 RW.47, Sumber jaya, Tambun Sel., Kab. Bekasi")</f>
        <v>Griya Asri 2 Blok B5 No. 30, RT.07 RW.47, Sumber jaya, Tambun Sel., Kab. Bekasi</v>
      </c>
      <c r="V1443" s="80"/>
      <c r="W1443" s="80" t="str">
        <f>IFERROR(__xludf.DUMMYFUNCTION("""COMPUTED_VALUE"""),"Sumberjaya")</f>
        <v>Sumberjaya</v>
      </c>
      <c r="X1443" s="80" t="str">
        <f>IFERROR(__xludf.DUMMYFUNCTION("""COMPUTED_VALUE"""),"Tambun Selatan")</f>
        <v>Tambun Selatan</v>
      </c>
      <c r="Y1443" s="80" t="str">
        <f>IFERROR(__xludf.DUMMYFUNCTION("""COMPUTED_VALUE"""),"Bekasi")</f>
        <v>Bekasi</v>
      </c>
      <c r="Z1443" s="80" t="str">
        <f>IFERROR(__xludf.DUMMYFUNCTION("""COMPUTED_VALUE"""),"Jawa Barat")</f>
        <v>Jawa Barat</v>
      </c>
      <c r="AA1443" s="80" t="str">
        <f>IFERROR(__xludf.DUMMYFUNCTION("""COMPUTED_VALUE"""),"17530")</f>
        <v>17530</v>
      </c>
      <c r="AB1443" s="80" t="str">
        <f>IFERROR(__xludf.DUMMYFUNCTION("""COMPUTED_VALUE"""),"3216060406740033")</f>
        <v>3216060406740033</v>
      </c>
      <c r="AC1443" s="80" t="str">
        <f>IFERROR(__xludf.DUMMYFUNCTION("""COMPUTED_VALUE"""),"57.328.227.4-435.000")</f>
        <v>57.328.227.4-435.000</v>
      </c>
      <c r="AD1443" s="80" t="str">
        <f>IFERROR(__xludf.DUMMYFUNCTION("""COMPUTED_VALUE"""),"CUM - UNK - SURATNO")</f>
        <v>CUM - UNK - SURATNO</v>
      </c>
      <c r="AE1443" s="80" t="str">
        <f>IFERROR(__xludf.DUMMYFUNCTION("""COMPUTED_VALUE"""),"CUM - UNK - SURATNO")</f>
        <v>CUM - UNK - SURATNO</v>
      </c>
      <c r="AF1443" s="80" t="str">
        <f>IFERROR(__xludf.DUMMYFUNCTION("""COMPUTED_VALUE"""),"085100210944")</f>
        <v>085100210944</v>
      </c>
      <c r="AG1443" s="80" t="str">
        <f>IFERROR(__xludf.DUMMYFUNCTION("""COMPUTED_VALUE"""),"085100210944")</f>
        <v>085100210944</v>
      </c>
      <c r="AH1443" s="80" t="str">
        <f>IFERROR(__xludf.DUMMYFUNCTION("""COMPUTED_VALUE"""),"delatoys@gmail.com")</f>
        <v>delatoys@gmail.com</v>
      </c>
      <c r="AI1443" s="80" t="str">
        <f>IFERROR(__xludf.DUMMYFUNCTION("""COMPUTED_VALUE"""),"17518S6")</f>
        <v>17518S6</v>
      </c>
      <c r="AJ1443" s="80" t="str">
        <f>IFERROR(__xludf.DUMMYFUNCTION("""COMPUTED_VALUE"""),"6aa2563e825ff67a650287e8")</f>
        <v>6aa2563e825ff67a650287e8</v>
      </c>
      <c r="AK1443" s="80" t="str">
        <f>IFERROR(__xludf.DUMMYFUNCTION("""COMPUTED_VALUE"""),"delatoys@gmail.com")</f>
        <v>delatoys@gmail.com</v>
      </c>
      <c r="AL1443" s="80" t="str">
        <f>IFERROR(__xludf.DUMMYFUNCTION("""COMPUTED_VALUE"""),"#Muc17518S6$")</f>
        <v>#Muc17518S6$</v>
      </c>
      <c r="AM1443" s="80" t="str">
        <f>IFERROR(__xludf.DUMMYFUNCTION("""COMPUTED_VALUE"""),"KANTOR REGIONAL II JAKARTA 10004")</f>
        <v>KANTOR REGIONAL II JAKARTA 10004</v>
      </c>
      <c r="AN1443" s="80" t="str">
        <f>IFERROR(__xludf.DUMMYFUNCTION("""COMPUTED_VALUE"""),"KC CIKARANG 17500")</f>
        <v>KC CIKARANG 17500</v>
      </c>
      <c r="AO1443" s="80" t="str">
        <f>IFERROR(__xludf.DUMMYFUNCTION("""COMPUTED_VALUE"""),"1108260025283")</f>
        <v>1108260025283</v>
      </c>
      <c r="AP1443" s="80" t="str">
        <f>IFERROR(__xludf.DUMMYFUNCTION("""COMPUTED_VALUE"""),"1108260025283")</f>
        <v>1108260025283</v>
      </c>
      <c r="AQ1443" s="83" t="str">
        <f>IFERROR(__xludf.DUMMYFUNCTION("""COMPUTED_VALUE"""),"5775020994")</f>
        <v>5775020994</v>
      </c>
      <c r="AR1443" s="80" t="str">
        <f>IFERROR(__xludf.DUMMYFUNCTION("""COMPUTED_VALUE"""),"BCA")</f>
        <v>BCA</v>
      </c>
      <c r="AS1443" s="80" t="str">
        <f>IFERROR(__xludf.DUMMYFUNCTION("""COMPUTED_VALUE"""),"ABDUL LATIF")</f>
        <v>ABDUL LATIF</v>
      </c>
      <c r="AT1443" s="80" t="str">
        <f>IFERROR(__xludf.DUMMYFUNCTION("""COMPUTED_VALUE"""),"-6.2313324,107.0769053")</f>
        <v>-6.2313324,107.0769053</v>
      </c>
      <c r="AU1443" s="80" t="str">
        <f>IFERROR(__xludf.DUMMYFUNCTION("""COMPUTED_VALUE"""),"-6.2313324,107.0769053")</f>
        <v>-6.2313324,107.0769053</v>
      </c>
      <c r="AV1443" s="80"/>
      <c r="AW1443" s="80"/>
      <c r="AX1443" s="80"/>
      <c r="AY1443" s="80"/>
      <c r="AZ1443" s="80"/>
      <c r="BA1443" s="80"/>
      <c r="BB1443" s="80"/>
      <c r="BC1443" s="80"/>
      <c r="BD1443" s="80"/>
      <c r="BE1443" s="80"/>
      <c r="BF1443" s="80"/>
      <c r="BG1443" s="80"/>
      <c r="BH1443" s="80"/>
      <c r="BI1443" s="80"/>
      <c r="BJ1443" s="80"/>
      <c r="BK1443" s="80"/>
      <c r="BL1443" s="80"/>
      <c r="BM1443" s="80"/>
      <c r="BN1443" s="80"/>
      <c r="BO1443" s="80"/>
      <c r="BP1443" s="80"/>
      <c r="BQ1443" s="80"/>
      <c r="BR1443" s="80"/>
      <c r="BS1443" s="80"/>
      <c r="BT1443" s="80"/>
      <c r="BU1443" s="80"/>
      <c r="BV1443" s="80"/>
      <c r="BW1443" s="80"/>
      <c r="BX1443" s="80"/>
      <c r="BY1443" s="80"/>
      <c r="BZ1443" s="80"/>
      <c r="CA1443" s="80"/>
      <c r="CB1443" s="80"/>
      <c r="CC1443" s="80"/>
      <c r="CD1443" s="80"/>
      <c r="CE1443" s="80"/>
      <c r="CF1443" s="80"/>
      <c r="CG1443" s="80"/>
      <c r="CH1443" s="80"/>
      <c r="CI1443" s="80"/>
      <c r="CJ1443" s="80"/>
      <c r="CK1443" s="2"/>
    </row>
    <row r="1444" ht="12.75" customHeight="1">
      <c r="A1444" s="85">
        <f>IFERROR(__xludf.DUMMYFUNCTION("""COMPUTED_VALUE"""),1440.0)</f>
        <v>1440</v>
      </c>
      <c r="B1444" s="85"/>
      <c r="C1444" s="85"/>
      <c r="D1444" s="86">
        <f>IFERROR(__xludf.DUMMYFUNCTION("""COMPUTED_VALUE"""),46269.0)</f>
        <v>46269</v>
      </c>
      <c r="E1444" s="88"/>
      <c r="F1444" s="85"/>
      <c r="G1444" s="86"/>
      <c r="H1444" s="85"/>
      <c r="I1444" s="85"/>
      <c r="J1444" s="85"/>
      <c r="K1444" s="85"/>
      <c r="L1444" s="85"/>
      <c r="M1444" s="85"/>
      <c r="N1444" s="85"/>
      <c r="O1444" s="85"/>
      <c r="P1444" s="85" t="str">
        <f>IFERROR(__xludf.DUMMYFUNCTION("""COMPUTED_VALUE"""),"MUC70218UMKMBGR1")</f>
        <v>MUC70218UMKMBGR1</v>
      </c>
      <c r="Q1444" s="85" t="str">
        <f>IFERROR(__xludf.DUMMYFUNCTION("""COMPUTED_VALUE"""),"MUC RAJA LOGISTIK")</f>
        <v>MUC RAJA LOGISTIK</v>
      </c>
      <c r="R1444" s="85" t="str">
        <f>IFERROR(__xludf.DUMMYFUNCTION("""COMPUTED_VALUE"""),"MUC RAJA LOGISTIK")</f>
        <v>MUC RAJA LOGISTIK</v>
      </c>
      <c r="S1444" s="85" t="str">
        <f>IFERROR(__xludf.DUMMYFUNCTION("""COMPUTED_VALUE"""),"ASEP MARDIYAN SAPRI, SE")</f>
        <v>ASEP MARDIYAN SAPRI, SE</v>
      </c>
      <c r="T1444" s="85" t="str">
        <f>IFERROR(__xludf.DUMMYFUNCTION("""COMPUTED_VALUE"""),"PERUMAHAN CIJAHE LEGACY BLOK E1 RT.007/RW.001 CURUG MEKAR BOGOR BARAT KOTA BOGOR JAWA BARAT")</f>
        <v>PERUMAHAN CIJAHE LEGACY BLOK E1 RT.007/RW.001 CURUG MEKAR BOGOR BARAT KOTA BOGOR JAWA BARAT</v>
      </c>
      <c r="U1444" s="85" t="str">
        <f>IFERROR(__xludf.DUMMYFUNCTION("""COMPUTED_VALUE"""),"Perumahan Cijahe Legacy Blok E1 RT.07 RW.01 Curugmekar Bogor")</f>
        <v>Perumahan Cijahe Legacy Blok E1 RT.07 RW.01 Curugmekar Bogor</v>
      </c>
      <c r="V1444" s="85" t="str">
        <f>IFERROR(__xludf.DUMMYFUNCTION("""COMPUTED_VALUE"""),"RT.007 \ RW.001")</f>
        <v>RT.007 \ RW.001</v>
      </c>
      <c r="W1444" s="85" t="str">
        <f>IFERROR(__xludf.DUMMYFUNCTION("""COMPUTED_VALUE"""),"Curugmekar")</f>
        <v>Curugmekar</v>
      </c>
      <c r="X1444" s="85" t="str">
        <f>IFERROR(__xludf.DUMMYFUNCTION("""COMPUTED_VALUE"""),"Bogor Barat")</f>
        <v>Bogor Barat</v>
      </c>
      <c r="Y1444" s="85" t="str">
        <f>IFERROR(__xludf.DUMMYFUNCTION("""COMPUTED_VALUE"""),"Bogor")</f>
        <v>Bogor</v>
      </c>
      <c r="Z1444" s="85" t="str">
        <f>IFERROR(__xludf.DUMMYFUNCTION("""COMPUTED_VALUE"""),"Jawa Barat")</f>
        <v>Jawa Barat</v>
      </c>
      <c r="AA1444" s="85" t="str">
        <f>IFERROR(__xludf.DUMMYFUNCTION("""COMPUTED_VALUE"""),"16113")</f>
        <v>16113</v>
      </c>
      <c r="AB1444" s="85" t="str">
        <f>IFERROR(__xludf.DUMMYFUNCTION("""COMPUTED_VALUE"""),"3271040607770005")</f>
        <v>3271040607770005</v>
      </c>
      <c r="AC1444" s="85" t="str">
        <f>IFERROR(__xludf.DUMMYFUNCTION("""COMPUTED_VALUE"""),"67.065.468.0-404.000")</f>
        <v>67.065.468.0-404.000</v>
      </c>
      <c r="AD1444" s="85" t="str">
        <f>IFERROR(__xludf.DUMMYFUNCTION("""COMPUTED_VALUE"""),"CUM - UNK - ARIE DUSH")</f>
        <v>CUM - UNK - ARIE DUSH</v>
      </c>
      <c r="AE1444" s="85" t="str">
        <f>IFERROR(__xludf.DUMMYFUNCTION("""COMPUTED_VALUE"""),"CUM - UNK - ARIE DUSH")</f>
        <v>CUM - UNK - ARIE DUSH</v>
      </c>
      <c r="AF1444" s="85" t="str">
        <f>IFERROR(__xludf.DUMMYFUNCTION("""COMPUTED_VALUE"""),"08179007170")</f>
        <v>08179007170</v>
      </c>
      <c r="AG1444" s="85" t="str">
        <f>IFERROR(__xludf.DUMMYFUNCTION("""COMPUTED_VALUE"""),"08179007170")</f>
        <v>08179007170</v>
      </c>
      <c r="AH1444" s="85" t="str">
        <f>IFERROR(__xludf.DUMMYFUNCTION("""COMPUTED_VALUE"""),"mardiyanasep@gmail.com")</f>
        <v>mardiyanasep@gmail.com</v>
      </c>
      <c r="AI1444" s="85"/>
      <c r="AJ1444" s="85"/>
      <c r="AK1444" s="85"/>
      <c r="AL1444" s="85"/>
      <c r="AM1444" s="85" t="str">
        <f>IFERROR(__xludf.DUMMYFUNCTION("""COMPUTED_VALUE"""),"KANTOR REGIONAL II JAKARTA 10004")</f>
        <v>KANTOR REGIONAL II JAKARTA 10004</v>
      </c>
      <c r="AN1444" s="85" t="str">
        <f>IFERROR(__xludf.DUMMYFUNCTION("""COMPUTED_VALUE"""),"KCU BOGOR 16000")</f>
        <v>KCU BOGOR 16000</v>
      </c>
      <c r="AO1444" s="85" t="str">
        <f>IFERROR(__xludf.DUMMYFUNCTION("""COMPUTED_VALUE"""),"0209260028074")</f>
        <v>0209260028074</v>
      </c>
      <c r="AP1444" s="85" t="str">
        <f>IFERROR(__xludf.DUMMYFUNCTION("""COMPUTED_VALUE"""),"0209260028074")</f>
        <v>0209260028074</v>
      </c>
      <c r="AQ1444" s="93" t="str">
        <f>IFERROR(__xludf.DUMMYFUNCTION("""COMPUTED_VALUE"""),"6820984747")</f>
        <v>6820984747</v>
      </c>
      <c r="AR1444" s="85" t="str">
        <f>IFERROR(__xludf.DUMMYFUNCTION("""COMPUTED_VALUE"""),"BCA")</f>
        <v>BCA</v>
      </c>
      <c r="AS1444" s="85" t="str">
        <f>IFERROR(__xludf.DUMMYFUNCTION("""COMPUTED_VALUE"""),"ASEP MARDIYAN SAPRI")</f>
        <v>ASEP MARDIYAN SAPRI</v>
      </c>
      <c r="AT1444" s="85" t="str">
        <f>IFERROR(__xludf.DUMMYFUNCTION("""COMPUTED_VALUE"""),"-6.563433,106.7671161")</f>
        <v>-6.563433,106.7671161</v>
      </c>
      <c r="AU1444" s="85" t="str">
        <f>IFERROR(__xludf.DUMMYFUNCTION("""COMPUTED_VALUE"""),"-6.563433,106.7671161")</f>
        <v>-6.563433,106.7671161</v>
      </c>
      <c r="AV1444" s="85"/>
      <c r="AW1444" s="85"/>
      <c r="AX1444" s="85"/>
      <c r="AY1444" s="85"/>
      <c r="AZ1444" s="85"/>
      <c r="BA1444" s="85"/>
      <c r="BB1444" s="85"/>
      <c r="BC1444" s="85"/>
      <c r="BD1444" s="85"/>
      <c r="BE1444" s="85"/>
      <c r="BF1444" s="85"/>
      <c r="BG1444" s="85"/>
      <c r="BH1444" s="85"/>
      <c r="BI1444" s="85"/>
      <c r="BJ1444" s="85"/>
      <c r="BK1444" s="85"/>
      <c r="BL1444" s="85"/>
      <c r="BM1444" s="85"/>
      <c r="BN1444" s="85"/>
      <c r="BO1444" s="85"/>
      <c r="BP1444" s="85"/>
      <c r="BQ1444" s="85"/>
      <c r="BR1444" s="85"/>
      <c r="BS1444" s="85"/>
      <c r="BT1444" s="85"/>
      <c r="BU1444" s="85"/>
      <c r="BV1444" s="85"/>
      <c r="BW1444" s="85"/>
      <c r="BX1444" s="85"/>
      <c r="BY1444" s="85"/>
      <c r="BZ1444" s="85"/>
      <c r="CA1444" s="85"/>
      <c r="CB1444" s="85"/>
      <c r="CC1444" s="85"/>
      <c r="CD1444" s="85"/>
      <c r="CE1444" s="85"/>
      <c r="CF1444" s="85"/>
      <c r="CG1444" s="85"/>
      <c r="CH1444" s="85"/>
      <c r="CI1444" s="85"/>
      <c r="CJ1444" s="85"/>
      <c r="CK1444" s="2"/>
    </row>
    <row r="1445" ht="12.75" customHeight="1">
      <c r="A1445" s="80">
        <f>IFERROR(__xludf.DUMMYFUNCTION("""COMPUTED_VALUE"""),1441.0)</f>
        <v>1441</v>
      </c>
      <c r="B1445" s="80"/>
      <c r="C1445" s="80"/>
      <c r="D1445" s="81">
        <f>IFERROR(__xludf.DUMMYFUNCTION("""COMPUTED_VALUE"""),46272.0)</f>
        <v>46272</v>
      </c>
      <c r="E1445" s="82"/>
      <c r="F1445" s="80"/>
      <c r="G1445" s="81">
        <f>IFERROR(__xludf.DUMMYFUNCTION("""COMPUTED_VALUE"""),46276.0)</f>
        <v>46276</v>
      </c>
      <c r="H1445" s="80"/>
      <c r="I1445" s="80"/>
      <c r="J1445" s="80"/>
      <c r="K1445" s="80"/>
      <c r="L1445" s="80">
        <f>IFERROR(__xludf.DUMMYFUNCTION("""COMPUTED_VALUE"""),4.0)</f>
        <v>4</v>
      </c>
      <c r="M1445" s="80"/>
      <c r="N1445" s="80"/>
      <c r="O1445" s="80"/>
      <c r="P1445" s="80" t="str">
        <f>IFERROR(__xludf.DUMMYFUNCTION("""COMPUTED_VALUE"""),"MUC70256UMKMDRI1")</f>
        <v>MUC70256UMKMDRI1</v>
      </c>
      <c r="Q1445" s="80" t="str">
        <f>IFERROR(__xludf.DUMMYFUNCTION("""COMPUTED_VALUE"""),"MUC ARYA MEDANS EXPRESS")</f>
        <v>MUC ARYA MEDANS EXPRESS</v>
      </c>
      <c r="R1445" s="80" t="str">
        <f>IFERROR(__xludf.DUMMYFUNCTION("""COMPUTED_VALUE"""),"MUC ARYA MEDANS EXPRESS")</f>
        <v>MUC ARYA MEDANS EXPRESS</v>
      </c>
      <c r="S1445" s="80" t="str">
        <f>IFERROR(__xludf.DUMMYFUNCTION("""COMPUTED_VALUE"""),"ARYA FIRZATULLAH LUBIS")</f>
        <v>ARYA FIRZATULLAH LUBIS</v>
      </c>
      <c r="T1445" s="80" t="str">
        <f>IFERROR(__xludf.DUMMYFUNCTION("""COMPUTED_VALUE"""),"JL. M. YAKUB LUBIS GG. KUTILANG NO. 1, BANDAR KHALIPAH, PERCUT SEI TUAN, KAB.DELI SERDANG")</f>
        <v>JL. M. YAKUB LUBIS GG. KUTILANG NO. 1, BANDAR KHALIPAH, PERCUT SEI TUAN, KAB.DELI SERDANG</v>
      </c>
      <c r="U1445" s="80" t="str">
        <f>IFERROR(__xludf.DUMMYFUNCTION("""COMPUTED_VALUE"""),"JL. M. YAKUB LUBIS GG. KUTILANG DALAM NO. 1")</f>
        <v>JL. M. YAKUB LUBIS GG. KUTILANG DALAM NO. 1</v>
      </c>
      <c r="V1445" s="80"/>
      <c r="W1445" s="80" t="str">
        <f>IFERROR(__xludf.DUMMYFUNCTION("""COMPUTED_VALUE"""),"BANDAR KHALIPAH")</f>
        <v>BANDAR KHALIPAH</v>
      </c>
      <c r="X1445" s="80" t="str">
        <f>IFERROR(__xludf.DUMMYFUNCTION("""COMPUTED_VALUE"""),"PERCUT SEI TUAN")</f>
        <v>PERCUT SEI TUAN</v>
      </c>
      <c r="Y1445" s="80" t="str">
        <f>IFERROR(__xludf.DUMMYFUNCTION("""COMPUTED_VALUE"""),"KAB.DELI SERDANG")</f>
        <v>KAB.DELI SERDANG</v>
      </c>
      <c r="Z1445" s="80" t="str">
        <f>IFERROR(__xludf.DUMMYFUNCTION("""COMPUTED_VALUE"""),"SUMATRA UTARA")</f>
        <v>SUMATRA UTARA</v>
      </c>
      <c r="AA1445" s="80" t="str">
        <f>IFERROR(__xludf.DUMMYFUNCTION("""COMPUTED_VALUE"""),"20371")</f>
        <v>20371</v>
      </c>
      <c r="AB1445" s="80" t="str">
        <f>IFERROR(__xludf.DUMMYFUNCTION("""COMPUTED_VALUE"""),"1207261208050010")</f>
        <v>1207261208050010</v>
      </c>
      <c r="AC1445" s="80" t="str">
        <f>IFERROR(__xludf.DUMMYFUNCTION("""COMPUTED_VALUE"""),"12.072.612.0-805.0010")</f>
        <v>12.072.612.0-805.0010</v>
      </c>
      <c r="AD1445" s="80" t="str">
        <f>IFERROR(__xludf.DUMMYFUNCTION("""COMPUTED_VALUE"""),"CUM - UNK - OPUNG DEWAN REMPAH")</f>
        <v>CUM - UNK - OPUNG DEWAN REMPAH</v>
      </c>
      <c r="AE1445" s="80" t="str">
        <f>IFERROR(__xludf.DUMMYFUNCTION("""COMPUTED_VALUE"""),"CUM - UNK - OPUNG DEWAN REMPAH")</f>
        <v>CUM - UNK - OPUNG DEWAN REMPAH</v>
      </c>
      <c r="AF1445" s="80" t="str">
        <f>IFERROR(__xludf.DUMMYFUNCTION("""COMPUTED_VALUE"""),"081268589417")</f>
        <v>081268589417</v>
      </c>
      <c r="AG1445" s="80" t="str">
        <f>IFERROR(__xludf.DUMMYFUNCTION("""COMPUTED_VALUE"""),"081268589417")</f>
        <v>081268589417</v>
      </c>
      <c r="AH1445" s="80" t="str">
        <f>IFERROR(__xludf.DUMMYFUNCTION("""COMPUTED_VALUE"""),"aryafirzatullah12805@gmail.com")</f>
        <v>aryafirzatullah12805@gmail.com</v>
      </c>
      <c r="AI1445" s="80" t="str">
        <f>IFERROR(__xludf.DUMMYFUNCTION("""COMPUTED_VALUE"""),"20371S9 ")</f>
        <v>20371S9 </v>
      </c>
      <c r="AJ1445" s="80" t="str">
        <f>IFERROR(__xludf.DUMMYFUNCTION("""COMPUTED_VALUE"""),"6aa2b3f986776fcf86082acf ")</f>
        <v>6aa2b3f986776fcf86082acf </v>
      </c>
      <c r="AK1445" s="80" t="str">
        <f>IFERROR(__xludf.DUMMYFUNCTION("""COMPUTED_VALUE"""),"aryafirzatullah12805@gmail.com")</f>
        <v>aryafirzatullah12805@gmail.com</v>
      </c>
      <c r="AL1445" s="80" t="str">
        <f>IFERROR(__xludf.DUMMYFUNCTION("""COMPUTED_VALUE"""),"#Muc20371S9$")</f>
        <v>#Muc20371S9$</v>
      </c>
      <c r="AM1445" s="80" t="str">
        <f>IFERROR(__xludf.DUMMYFUNCTION("""COMPUTED_VALUE"""),"KANTOR REGIONAL I MEDAN 20004")</f>
        <v>KANTOR REGIONAL I MEDAN 20004</v>
      </c>
      <c r="AN1445" s="80" t="str">
        <f>IFERROR(__xludf.DUMMYFUNCTION("""COMPUTED_VALUE"""),"KCU MEDAN 20000")</f>
        <v>KCU MEDAN 20000</v>
      </c>
      <c r="AO1445" s="80" t="str">
        <f>IFERROR(__xludf.DUMMYFUNCTION("""COMPUTED_VALUE"""),"0209260049314")</f>
        <v>0209260049314</v>
      </c>
      <c r="AP1445" s="80" t="str">
        <f>IFERROR(__xludf.DUMMYFUNCTION("""COMPUTED_VALUE"""),"0209260049314")</f>
        <v>0209260049314</v>
      </c>
      <c r="AQ1445" s="83" t="str">
        <f>IFERROR(__xludf.DUMMYFUNCTION("""COMPUTED_VALUE"""),"334401068202530")</f>
        <v>334401068202530</v>
      </c>
      <c r="AR1445" s="80" t="str">
        <f>IFERROR(__xludf.DUMMYFUNCTION("""COMPUTED_VALUE"""),"BRI")</f>
        <v>BRI</v>
      </c>
      <c r="AS1445" s="80" t="str">
        <f>IFERROR(__xludf.DUMMYFUNCTION("""COMPUTED_VALUE"""),"SUSILAWATI NASUTION")</f>
        <v>SUSILAWATI NASUTION</v>
      </c>
      <c r="AT1445" s="80" t="str">
        <f>IFERROR(__xludf.DUMMYFUNCTION("""COMPUTED_VALUE"""),"3.6095506,98.7457127")</f>
        <v>3.6095506,98.7457127</v>
      </c>
      <c r="AU1445" s="80" t="str">
        <f>IFERROR(__xludf.DUMMYFUNCTION("""COMPUTED_VALUE"""),"3.6095506,98.7457127")</f>
        <v>3.6095506,98.7457127</v>
      </c>
      <c r="AV1445" s="80"/>
      <c r="AW1445" s="80"/>
      <c r="AX1445" s="80"/>
      <c r="AY1445" s="80"/>
      <c r="AZ1445" s="80"/>
      <c r="BA1445" s="80"/>
      <c r="BB1445" s="80"/>
      <c r="BC1445" s="80"/>
      <c r="BD1445" s="80"/>
      <c r="BE1445" s="80"/>
      <c r="BF1445" s="80"/>
      <c r="BG1445" s="80"/>
      <c r="BH1445" s="80"/>
      <c r="BI1445" s="80"/>
      <c r="BJ1445" s="80"/>
      <c r="BK1445" s="80"/>
      <c r="BL1445" s="80"/>
      <c r="BM1445" s="80"/>
      <c r="BN1445" s="80"/>
      <c r="BO1445" s="80"/>
      <c r="BP1445" s="80"/>
      <c r="BQ1445" s="80"/>
      <c r="BR1445" s="80"/>
      <c r="BS1445" s="80"/>
      <c r="BT1445" s="80"/>
      <c r="BU1445" s="80"/>
      <c r="BV1445" s="80"/>
      <c r="BW1445" s="80"/>
      <c r="BX1445" s="80"/>
      <c r="BY1445" s="80"/>
      <c r="BZ1445" s="80"/>
      <c r="CA1445" s="80"/>
      <c r="CB1445" s="80"/>
      <c r="CC1445" s="80"/>
      <c r="CD1445" s="80"/>
      <c r="CE1445" s="80"/>
      <c r="CF1445" s="80"/>
      <c r="CG1445" s="80"/>
      <c r="CH1445" s="80"/>
      <c r="CI1445" s="80"/>
      <c r="CJ1445" s="80"/>
      <c r="CK1445" s="2"/>
    </row>
    <row r="1446" ht="12.75" customHeight="1">
      <c r="A1446" s="85">
        <f>IFERROR(__xludf.DUMMYFUNCTION("""COMPUTED_VALUE"""),1442.0)</f>
        <v>1442</v>
      </c>
      <c r="B1446" s="85"/>
      <c r="C1446" s="85"/>
      <c r="D1446" s="86">
        <f>IFERROR(__xludf.DUMMYFUNCTION("""COMPUTED_VALUE"""),46272.0)</f>
        <v>46272</v>
      </c>
      <c r="E1446" s="88"/>
      <c r="F1446" s="85"/>
      <c r="G1446" s="86"/>
      <c r="H1446" s="85"/>
      <c r="I1446" s="85"/>
      <c r="J1446" s="85"/>
      <c r="K1446" s="85"/>
      <c r="L1446" s="85"/>
      <c r="M1446" s="85"/>
      <c r="N1446" s="85"/>
      <c r="O1446" s="85"/>
      <c r="P1446" s="85" t="str">
        <f>IFERROR(__xludf.DUMMYFUNCTION("""COMPUTED_VALUE"""),"MUCSPA63673PSIND")</f>
        <v>MUCSPA63673PSIND</v>
      </c>
      <c r="Q1446" s="85" t="str">
        <f>IFERROR(__xludf.DUMMYFUNCTION("""COMPUTED_VALUE"""),"MUC ARKIPEL")</f>
        <v>MUC ARKIPEL</v>
      </c>
      <c r="R1446" s="85" t="str">
        <f>IFERROR(__xludf.DUMMYFUNCTION("""COMPUTED_VALUE"""),"MUC ARKIPEL")</f>
        <v>MUC ARKIPEL</v>
      </c>
      <c r="S1446" s="85" t="str">
        <f>IFERROR(__xludf.DUMMYFUNCTION("""COMPUTED_VALUE"""),"H. YAN RAZIF FAITA")</f>
        <v>H. YAN RAZIF FAITA</v>
      </c>
      <c r="T1446" s="85" t="str">
        <f>IFERROR(__xludf.DUMMYFUNCTION("""COMPUTED_VALUE"""),"PAMULANG PERMAI I BLOK A 35/11 RT 02 RW 11, PAMULANG BARAT, PAMULANG, TANGSEL")</f>
        <v>PAMULANG PERMAI I BLOK A 35/11 RT 02 RW 11, PAMULANG BARAT, PAMULANG, TANGSEL</v>
      </c>
      <c r="U1446" s="85" t="str">
        <f>IFERROR(__xludf.DUMMYFUNCTION("""COMPUTED_VALUE"""),"JL. R.A. Kartini No.01 RT.09 RW.07 Points Square GF 122-123")</f>
        <v>JL. R.A. Kartini No.01 RT.09 RW.07 Points Square GF 122-123</v>
      </c>
      <c r="V1446" s="85" t="str">
        <f>IFERROR(__xludf.DUMMYFUNCTION("""COMPUTED_VALUE"""),"RT 02  \ RW 11,")</f>
        <v>RT 02  \ RW 11,</v>
      </c>
      <c r="W1446" s="85" t="str">
        <f>IFERROR(__xludf.DUMMYFUNCTION("""COMPUTED_VALUE"""),"LEBAK BULUS")</f>
        <v>LEBAK BULUS</v>
      </c>
      <c r="X1446" s="85" t="str">
        <f>IFERROR(__xludf.DUMMYFUNCTION("""COMPUTED_VALUE"""),"CILANDAK")</f>
        <v>CILANDAK</v>
      </c>
      <c r="Y1446" s="85" t="str">
        <f>IFERROR(__xludf.DUMMYFUNCTION("""COMPUTED_VALUE"""),"JAKARTA SELATAN")</f>
        <v>JAKARTA SELATAN</v>
      </c>
      <c r="Z1446" s="85" t="str">
        <f>IFERROR(__xludf.DUMMYFUNCTION("""COMPUTED_VALUE"""),"DKI JAKARTA")</f>
        <v>DKI JAKARTA</v>
      </c>
      <c r="AA1446" s="85" t="str">
        <f>IFERROR(__xludf.DUMMYFUNCTION("""COMPUTED_VALUE"""),"12440")</f>
        <v>12440</v>
      </c>
      <c r="AB1446" s="85" t="str">
        <f>IFERROR(__xludf.DUMMYFUNCTION("""COMPUTED_VALUE"""),"3674063001650003")</f>
        <v>3674063001650003</v>
      </c>
      <c r="AC1446" s="85" t="str">
        <f>IFERROR(__xludf.DUMMYFUNCTION("""COMPUTED_VALUE"""),"53.830.142.5-453.000")</f>
        <v>53.830.142.5-453.000</v>
      </c>
      <c r="AD1446" s="85" t="str">
        <f>IFERROR(__xludf.DUMMYFUNCTION("""COMPUTED_VALUE"""),"CUM - PS - MIRS")</f>
        <v>CUM - PS - MIRS</v>
      </c>
      <c r="AE1446" s="85" t="str">
        <f>IFERROR(__xludf.DUMMYFUNCTION("""COMPUTED_VALUE"""),"CUM - PS - MIRS")</f>
        <v>CUM - PS - MIRS</v>
      </c>
      <c r="AF1446" s="85" t="str">
        <f>IFERROR(__xludf.DUMMYFUNCTION("""COMPUTED_VALUE"""),"081315280157")</f>
        <v>081315280157</v>
      </c>
      <c r="AG1446" s="85" t="str">
        <f>IFERROR(__xludf.DUMMYFUNCTION("""COMPUTED_VALUE"""),"081315280157")</f>
        <v>081315280157</v>
      </c>
      <c r="AH1446" s="85" t="str">
        <f>IFERROR(__xludf.DUMMYFUNCTION("""COMPUTED_VALUE"""),"janrzf01@gmail.com")</f>
        <v>janrzf01@gmail.com</v>
      </c>
      <c r="AI1446" s="85"/>
      <c r="AJ1446" s="85"/>
      <c r="AK1446" s="85"/>
      <c r="AL1446" s="85"/>
      <c r="AM1446" s="85" t="str">
        <f>IFERROR(__xludf.DUMMYFUNCTION("""COMPUTED_VALUE"""),"KANTOR REGIONAL II JAKARTA 10004")</f>
        <v>KANTOR REGIONAL II JAKARTA 10004</v>
      </c>
      <c r="AN1446" s="85" t="str">
        <f>IFERROR(__xludf.DUMMYFUNCTION("""COMPUTED_VALUE"""),"KCU JAKARTAFLORA 12000")</f>
        <v>KCU JAKARTAFLORA 12000</v>
      </c>
      <c r="AO1446" s="85" t="str">
        <f>IFERROR(__xludf.DUMMYFUNCTION("""COMPUTED_VALUE"""),"0709260052585")</f>
        <v>0709260052585</v>
      </c>
      <c r="AP1446" s="85" t="str">
        <f>IFERROR(__xludf.DUMMYFUNCTION("""COMPUTED_VALUE"""),"0709260052585")</f>
        <v>0709260052585</v>
      </c>
      <c r="AQ1446" s="93" t="str">
        <f>IFERROR(__xludf.DUMMYFUNCTION("""COMPUTED_VALUE"""),"1640007167275")</f>
        <v>1640007167275</v>
      </c>
      <c r="AR1446" s="85" t="str">
        <f>IFERROR(__xludf.DUMMYFUNCTION("""COMPUTED_VALUE"""),"BANK MANDIRI")</f>
        <v>BANK MANDIRI</v>
      </c>
      <c r="AS1446" s="85" t="str">
        <f>IFERROR(__xludf.DUMMYFUNCTION("""COMPUTED_VALUE"""),"YAN RAZIF FAITA")</f>
        <v>YAN RAZIF FAITA</v>
      </c>
      <c r="AT1446" s="85" t="str">
        <f>IFERROR(__xludf.DUMMYFUNCTION("""COMPUTED_VALUE"""),"-6.2894433,106.7769781")</f>
        <v>-6.2894433,106.7769781</v>
      </c>
      <c r="AU1446" s="85" t="str">
        <f>IFERROR(__xludf.DUMMYFUNCTION("""COMPUTED_VALUE"""),"-6.2894433,106.7769781")</f>
        <v>-6.2894433,106.7769781</v>
      </c>
      <c r="AV1446" s="85"/>
      <c r="AW1446" s="85"/>
      <c r="AX1446" s="85"/>
      <c r="AY1446" s="85"/>
      <c r="AZ1446" s="85"/>
      <c r="BA1446" s="85"/>
      <c r="BB1446" s="85"/>
      <c r="BC1446" s="85"/>
      <c r="BD1446" s="85"/>
      <c r="BE1446" s="85"/>
      <c r="BF1446" s="85"/>
      <c r="BG1446" s="85"/>
      <c r="BH1446" s="85"/>
      <c r="BI1446" s="85"/>
      <c r="BJ1446" s="85"/>
      <c r="BK1446" s="85"/>
      <c r="BL1446" s="85"/>
      <c r="BM1446" s="85"/>
      <c r="BN1446" s="85"/>
      <c r="BO1446" s="85"/>
      <c r="BP1446" s="85"/>
      <c r="BQ1446" s="85"/>
      <c r="BR1446" s="85"/>
      <c r="BS1446" s="85"/>
      <c r="BT1446" s="85"/>
      <c r="BU1446" s="85"/>
      <c r="BV1446" s="85"/>
      <c r="BW1446" s="85"/>
      <c r="BX1446" s="85"/>
      <c r="BY1446" s="85"/>
      <c r="BZ1446" s="85"/>
      <c r="CA1446" s="85"/>
      <c r="CB1446" s="85"/>
      <c r="CC1446" s="85"/>
      <c r="CD1446" s="85"/>
      <c r="CE1446" s="85"/>
      <c r="CF1446" s="85"/>
      <c r="CG1446" s="85"/>
      <c r="CH1446" s="85"/>
      <c r="CI1446" s="85"/>
      <c r="CJ1446" s="85"/>
      <c r="CK1446" s="2"/>
    </row>
    <row r="1447" ht="12.75" customHeight="1">
      <c r="A1447" s="80">
        <f>IFERROR(__xludf.DUMMYFUNCTION("""COMPUTED_VALUE"""),1443.0)</f>
        <v>1443</v>
      </c>
      <c r="B1447" s="80"/>
      <c r="C1447" s="80"/>
      <c r="D1447" s="81">
        <f>IFERROR(__xludf.DUMMYFUNCTION("""COMPUTED_VALUE"""),46272.0)</f>
        <v>46272</v>
      </c>
      <c r="E1447" s="82"/>
      <c r="F1447" s="80"/>
      <c r="G1447" s="81"/>
      <c r="H1447" s="80"/>
      <c r="I1447" s="80"/>
      <c r="J1447" s="80"/>
      <c r="K1447" s="80"/>
      <c r="L1447" s="80"/>
      <c r="M1447" s="80"/>
      <c r="N1447" s="80"/>
      <c r="O1447" s="80"/>
      <c r="P1447" s="80" t="str">
        <f>IFERROR(__xludf.DUMMYFUNCTION("""COMPUTED_VALUE"""),"53BSPA17248JBNDS")</f>
        <v>53BSPA17248JBNDS</v>
      </c>
      <c r="Q1447" s="80" t="str">
        <f>IFERROR(__xludf.DUMMYFUNCTION("""COMPUTED_VALUE"""),"MUC Bintang Presisi Nusantara")</f>
        <v>MUC Bintang Presisi Nusantara</v>
      </c>
      <c r="R1447" s="80" t="str">
        <f>IFERROR(__xludf.DUMMYFUNCTION("""COMPUTED_VALUE"""),"MUC Bintang Presisi Nusantara")</f>
        <v>MUC Bintang Presisi Nusantara</v>
      </c>
      <c r="S1447" s="80" t="str">
        <f>IFERROR(__xludf.DUMMYFUNCTION("""COMPUTED_VALUE"""),"HOTIMI")</f>
        <v>HOTIMI</v>
      </c>
      <c r="T1447" s="80" t="str">
        <f>IFERROR(__xludf.DUMMYFUNCTION("""COMPUTED_VALUE"""),"JL. SURAJIM SEMPLAK RT.002/RW.010 SEMPLAK BOGOR BARAT KOTA BOGOR JAWA BARAT")</f>
        <v>JL. SURAJIM SEMPLAK RT.002/RW.010 SEMPLAK BOGOR BARAT KOTA BOGOR JAWA BARAT</v>
      </c>
      <c r="U1447" s="80" t="str">
        <f>IFERROR(__xludf.DUMMYFUNCTION("""COMPUTED_VALUE"""),"Jalan Sunarsari RT.12/05, Desa Leuwilaja Sindangwangi Kab. Majalengka")</f>
        <v>Jalan Sunarsari RT.12/05, Desa Leuwilaja Sindangwangi Kab. Majalengka</v>
      </c>
      <c r="V1447" s="80" t="str">
        <f>IFERROR(__xludf.DUMMYFUNCTION("""COMPUTED_VALUE"""),"RT.002 \ RW.010")</f>
        <v>RT.002 \ RW.010</v>
      </c>
      <c r="W1447" s="80" t="str">
        <f>IFERROR(__xludf.DUMMYFUNCTION("""COMPUTED_VALUE"""),"Leuwilaja")</f>
        <v>Leuwilaja</v>
      </c>
      <c r="X1447" s="80" t="str">
        <f>IFERROR(__xludf.DUMMYFUNCTION("""COMPUTED_VALUE"""),"Sindangwangi")</f>
        <v>Sindangwangi</v>
      </c>
      <c r="Y1447" s="80" t="str">
        <f>IFERROR(__xludf.DUMMYFUNCTION("""COMPUTED_VALUE"""),"Kab. Majalengka")</f>
        <v>Kab. Majalengka</v>
      </c>
      <c r="Z1447" s="80" t="str">
        <f>IFERROR(__xludf.DUMMYFUNCTION("""COMPUTED_VALUE"""),"Jawa Barat")</f>
        <v>Jawa Barat</v>
      </c>
      <c r="AA1447" s="80" t="str">
        <f>IFERROR(__xludf.DUMMYFUNCTION("""COMPUTED_VALUE"""),"45474")</f>
        <v>45474</v>
      </c>
      <c r="AB1447" s="80" t="str">
        <f>IFERROR(__xludf.DUMMYFUNCTION("""COMPUTED_VALUE"""),"3271041502730010")</f>
        <v>3271041502730010</v>
      </c>
      <c r="AC1447" s="80" t="str">
        <f>IFERROR(__xludf.DUMMYFUNCTION("""COMPUTED_VALUE"""),"89.074.567.2-404.000")</f>
        <v>89.074.567.2-404.000</v>
      </c>
      <c r="AD1447" s="80" t="str">
        <f>IFERROR(__xludf.DUMMYFUNCTION("""COMPUTED_VALUE"""),"CUM - NDS")</f>
        <v>CUM - NDS</v>
      </c>
      <c r="AE1447" s="80" t="str">
        <f>IFERROR(__xludf.DUMMYFUNCTION("""COMPUTED_VALUE"""),"CUM - NDS")</f>
        <v>CUM - NDS</v>
      </c>
      <c r="AF1447" s="80" t="str">
        <f>IFERROR(__xludf.DUMMYFUNCTION("""COMPUTED_VALUE"""),"085224272737")</f>
        <v>085224272737</v>
      </c>
      <c r="AG1447" s="80" t="str">
        <f>IFERROR(__xludf.DUMMYFUNCTION("""COMPUTED_VALUE"""),"085224272737")</f>
        <v>085224272737</v>
      </c>
      <c r="AH1447" s="80" t="str">
        <f>IFERROR(__xludf.DUMMYFUNCTION("""COMPUTED_VALUE"""),"khotimibahri41@gmail.com")</f>
        <v>khotimibahri41@gmail.com</v>
      </c>
      <c r="AI1447" s="80"/>
      <c r="AJ1447" s="80"/>
      <c r="AK1447" s="80"/>
      <c r="AL1447" s="80"/>
      <c r="AM1447" s="80" t="str">
        <f>IFERROR(__xludf.DUMMYFUNCTION("""COMPUTED_VALUE"""),"KANTOR REGIONAL III BANDUNG 40004")</f>
        <v>KANTOR REGIONAL III BANDUNG 40004</v>
      </c>
      <c r="AN1447" s="80" t="str">
        <f>IFERROR(__xludf.DUMMYFUNCTION("""COMPUTED_VALUE"""),"KC MAJALENGKA 45400")</f>
        <v>KC MAJALENGKA 45400</v>
      </c>
      <c r="AO1447" s="80" t="str">
        <f>IFERROR(__xludf.DUMMYFUNCTION("""COMPUTED_VALUE"""),"0709260017979")</f>
        <v>0709260017979</v>
      </c>
      <c r="AP1447" s="80" t="str">
        <f>IFERROR(__xludf.DUMMYFUNCTION("""COMPUTED_VALUE"""),"0709260017979")</f>
        <v>0709260017979</v>
      </c>
      <c r="AQ1447" s="83" t="str">
        <f>IFERROR(__xludf.DUMMYFUNCTION("""COMPUTED_VALUE"""),"1201027124531")</f>
        <v>1201027124531</v>
      </c>
      <c r="AR1447" s="80" t="str">
        <f>IFERROR(__xludf.DUMMYFUNCTION("""COMPUTED_VALUE"""),"BRI")</f>
        <v>BRI</v>
      </c>
      <c r="AS1447" s="80" t="str">
        <f>IFERROR(__xludf.DUMMYFUNCTION("""COMPUTED_VALUE"""),"HOTIMI")</f>
        <v>HOTIMI</v>
      </c>
      <c r="AT1447" s="80" t="str">
        <f>IFERROR(__xludf.DUMMYFUNCTION("""COMPUTED_VALUE"""),"-6.7789167,108.3590833")</f>
        <v>-6.7789167,108.3590833</v>
      </c>
      <c r="AU1447" s="80" t="str">
        <f>IFERROR(__xludf.DUMMYFUNCTION("""COMPUTED_VALUE"""),"-6.7789167,108.3590833")</f>
        <v>-6.7789167,108.3590833</v>
      </c>
      <c r="AV1447" s="80"/>
      <c r="AW1447" s="80"/>
      <c r="AX1447" s="80"/>
      <c r="AY1447" s="80"/>
      <c r="AZ1447" s="80"/>
      <c r="BA1447" s="80"/>
      <c r="BB1447" s="80"/>
      <c r="BC1447" s="80"/>
      <c r="BD1447" s="80"/>
      <c r="BE1447" s="80"/>
      <c r="BF1447" s="80"/>
      <c r="BG1447" s="80"/>
      <c r="BH1447" s="80"/>
      <c r="BI1447" s="80"/>
      <c r="BJ1447" s="80"/>
      <c r="BK1447" s="80"/>
      <c r="BL1447" s="80"/>
      <c r="BM1447" s="80"/>
      <c r="BN1447" s="80"/>
      <c r="BO1447" s="80"/>
      <c r="BP1447" s="80"/>
      <c r="BQ1447" s="80"/>
      <c r="BR1447" s="80"/>
      <c r="BS1447" s="80"/>
      <c r="BT1447" s="80"/>
      <c r="BU1447" s="80"/>
      <c r="BV1447" s="80"/>
      <c r="BW1447" s="80"/>
      <c r="BX1447" s="80"/>
      <c r="BY1447" s="80"/>
      <c r="BZ1447" s="80"/>
      <c r="CA1447" s="80"/>
      <c r="CB1447" s="80"/>
      <c r="CC1447" s="80"/>
      <c r="CD1447" s="80"/>
      <c r="CE1447" s="80"/>
      <c r="CF1447" s="80"/>
      <c r="CG1447" s="80"/>
      <c r="CH1447" s="80"/>
      <c r="CI1447" s="80"/>
      <c r="CJ1447" s="80"/>
      <c r="CK1447" s="2"/>
    </row>
    <row r="1448" ht="12.75" customHeight="1">
      <c r="A1448" s="85">
        <f>IFERROR(__xludf.DUMMYFUNCTION("""COMPUTED_VALUE"""),1444.0)</f>
        <v>1444</v>
      </c>
      <c r="B1448" s="85"/>
      <c r="C1448" s="85"/>
      <c r="D1448" s="86">
        <f>IFERROR(__xludf.DUMMYFUNCTION("""COMPUTED_VALUE"""),46272.0)</f>
        <v>46272</v>
      </c>
      <c r="E1448" s="88"/>
      <c r="F1448" s="85"/>
      <c r="G1448" s="86"/>
      <c r="H1448" s="85"/>
      <c r="I1448" s="85"/>
      <c r="J1448" s="85"/>
      <c r="K1448" s="85"/>
      <c r="L1448" s="85"/>
      <c r="M1448" s="85"/>
      <c r="N1448" s="85"/>
      <c r="O1448" s="85"/>
      <c r="P1448" s="85" t="str">
        <f>IFERROR(__xludf.DUMMYFUNCTION("""COMPUTED_VALUE"""),"MUCSPA70131PSAAK")</f>
        <v>MUCSPA70131PSAAK</v>
      </c>
      <c r="Q1448" s="85" t="str">
        <f>IFERROR(__xludf.DUMMYFUNCTION("""COMPUTED_VALUE"""),"MUC EXPRESS 77")</f>
        <v>MUC EXPRESS 77</v>
      </c>
      <c r="R1448" s="85" t="str">
        <f>IFERROR(__xludf.DUMMYFUNCTION("""COMPUTED_VALUE"""),"MUC EXPRESS 77")</f>
        <v>MUC EXPRESS 77</v>
      </c>
      <c r="S1448" s="85" t="str">
        <f>IFERROR(__xludf.DUMMYFUNCTION("""COMPUTED_VALUE"""),"SANDRA LAURENCA")</f>
        <v>SANDRA LAURENCA</v>
      </c>
      <c r="T1448" s="85" t="str">
        <f>IFERROR(__xludf.DUMMYFUNCTION("""COMPUTED_VALUE"""),"KP. MUKA RT.005/RW.004 ANCOL PADEMANGAN, JAKARTA UTARA DKI JAKARTA")</f>
        <v>KP. MUKA RT.005/RW.004 ANCOL PADEMANGAN, JAKARTA UTARA DKI JAKARTA</v>
      </c>
      <c r="U1448" s="85" t="str">
        <f>IFERROR(__xludf.DUMMYFUNCTION("""COMPUTED_VALUE"""),"Gedung Harco Mangga Dua Lantai Dasar Blok A No.26B RT.17/RW.11")</f>
        <v>Gedung Harco Mangga Dua Lantai Dasar Blok A No.26B RT.17/RW.11</v>
      </c>
      <c r="V1448" s="85" t="str">
        <f>IFERROR(__xludf.DUMMYFUNCTION("""COMPUTED_VALUE"""),"RT.005 \ RW.004")</f>
        <v>RT.005 \ RW.004</v>
      </c>
      <c r="W1448" s="85" t="str">
        <f>IFERROR(__xludf.DUMMYFUNCTION("""COMPUTED_VALUE"""),"Mangga Dua Selatan")</f>
        <v>Mangga Dua Selatan</v>
      </c>
      <c r="X1448" s="85" t="str">
        <f>IFERROR(__xludf.DUMMYFUNCTION("""COMPUTED_VALUE"""),"Sawah Besar")</f>
        <v>Sawah Besar</v>
      </c>
      <c r="Y1448" s="85" t="str">
        <f>IFERROR(__xludf.DUMMYFUNCTION("""COMPUTED_VALUE"""),"Jakarta Pusat")</f>
        <v>Jakarta Pusat</v>
      </c>
      <c r="Z1448" s="85" t="str">
        <f>IFERROR(__xludf.DUMMYFUNCTION("""COMPUTED_VALUE"""),"DKI Jakarta")</f>
        <v>DKI Jakarta</v>
      </c>
      <c r="AA1448" s="85" t="str">
        <f>IFERROR(__xludf.DUMMYFUNCTION("""COMPUTED_VALUE"""),"10730")</f>
        <v>10730</v>
      </c>
      <c r="AB1448" s="85" t="str">
        <f>IFERROR(__xludf.DUMMYFUNCTION("""COMPUTED_VALUE"""),"2171105005819011")</f>
        <v>2171105005819011</v>
      </c>
      <c r="AC1448" s="85" t="str">
        <f>IFERROR(__xludf.DUMMYFUNCTION("""COMPUTED_VALUE"""),"69.207.703.5-215.000")</f>
        <v>69.207.703.5-215.000</v>
      </c>
      <c r="AD1448" s="85" t="str">
        <f>IFERROR(__xludf.DUMMYFUNCTION("""COMPUTED_VALUE"""),"CUM - LP - ANGGI")</f>
        <v>CUM - LP - ANGGI</v>
      </c>
      <c r="AE1448" s="85" t="str">
        <f>IFERROR(__xludf.DUMMYFUNCTION("""COMPUTED_VALUE"""),"CUM - LP - ANGGI")</f>
        <v>CUM - LP - ANGGI</v>
      </c>
      <c r="AF1448" s="85" t="str">
        <f>IFERROR(__xludf.DUMMYFUNCTION("""COMPUTED_VALUE"""),"081311216060")</f>
        <v>081311216060</v>
      </c>
      <c r="AG1448" s="85" t="str">
        <f>IFERROR(__xludf.DUMMYFUNCTION("""COMPUTED_VALUE"""),"081311216060")</f>
        <v>081311216060</v>
      </c>
      <c r="AH1448" s="85" t="str">
        <f>IFERROR(__xludf.DUMMYFUNCTION("""COMPUTED_VALUE"""),"sandralaurenca@gmail.com")</f>
        <v>sandralaurenca@gmail.com</v>
      </c>
      <c r="AI1448" s="85"/>
      <c r="AJ1448" s="85"/>
      <c r="AK1448" s="85"/>
      <c r="AL1448" s="85"/>
      <c r="AM1448" s="85" t="str">
        <f>IFERROR(__xludf.DUMMYFUNCTION("""COMPUTED_VALUE"""),"KANTOR REGIONAL II JAKARTA 10004")</f>
        <v>KANTOR REGIONAL II JAKARTA 10004</v>
      </c>
      <c r="AN1448" s="85" t="str">
        <f>IFERROR(__xludf.DUMMYFUNCTION("""COMPUTED_VALUE"""),"KCU JAKARTACENTRUM 10000")</f>
        <v>KCU JAKARTACENTRUM 10000</v>
      </c>
      <c r="AO1448" s="85" t="str">
        <f>IFERROR(__xludf.DUMMYFUNCTION("""COMPUTED_VALUE"""),"0709260036236")</f>
        <v>0709260036236</v>
      </c>
      <c r="AP1448" s="85" t="str">
        <f>IFERROR(__xludf.DUMMYFUNCTION("""COMPUTED_VALUE"""),"0709260036236")</f>
        <v>0709260036236</v>
      </c>
      <c r="AQ1448" s="93" t="str">
        <f>IFERROR(__xludf.DUMMYFUNCTION("""COMPUTED_VALUE"""),"7460350772")</f>
        <v>7460350772</v>
      </c>
      <c r="AR1448" s="85" t="str">
        <f>IFERROR(__xludf.DUMMYFUNCTION("""COMPUTED_VALUE"""),"BCA")</f>
        <v>BCA</v>
      </c>
      <c r="AS1448" s="85" t="str">
        <f>IFERROR(__xludf.DUMMYFUNCTION("""COMPUTED_VALUE"""),"SANDRA LAURENCA")</f>
        <v>SANDRA LAURENCA</v>
      </c>
      <c r="AT1448" s="85" t="str">
        <f>IFERROR(__xludf.DUMMYFUNCTION("""COMPUTED_VALUE"""),"-6.1391071,106.8281546")</f>
        <v>-6.1391071,106.8281546</v>
      </c>
      <c r="AU1448" s="85" t="str">
        <f>IFERROR(__xludf.DUMMYFUNCTION("""COMPUTED_VALUE"""),"-6.1391071,106.8281546")</f>
        <v>-6.1391071,106.8281546</v>
      </c>
      <c r="AV1448" s="85"/>
      <c r="AW1448" s="85"/>
      <c r="AX1448" s="85"/>
      <c r="AY1448" s="85"/>
      <c r="AZ1448" s="85"/>
      <c r="BA1448" s="85"/>
      <c r="BB1448" s="85"/>
      <c r="BC1448" s="85"/>
      <c r="BD1448" s="85"/>
      <c r="BE1448" s="85"/>
      <c r="BF1448" s="85"/>
      <c r="BG1448" s="85"/>
      <c r="BH1448" s="85"/>
      <c r="BI1448" s="85"/>
      <c r="BJ1448" s="85"/>
      <c r="BK1448" s="85"/>
      <c r="BL1448" s="85"/>
      <c r="BM1448" s="85"/>
      <c r="BN1448" s="85"/>
      <c r="BO1448" s="85"/>
      <c r="BP1448" s="85"/>
      <c r="BQ1448" s="85"/>
      <c r="BR1448" s="85"/>
      <c r="BS1448" s="85"/>
      <c r="BT1448" s="85"/>
      <c r="BU1448" s="85"/>
      <c r="BV1448" s="85"/>
      <c r="BW1448" s="85"/>
      <c r="BX1448" s="85"/>
      <c r="BY1448" s="85"/>
      <c r="BZ1448" s="85"/>
      <c r="CA1448" s="85"/>
      <c r="CB1448" s="85"/>
      <c r="CC1448" s="85"/>
      <c r="CD1448" s="85"/>
      <c r="CE1448" s="85"/>
      <c r="CF1448" s="85"/>
      <c r="CG1448" s="85"/>
      <c r="CH1448" s="85"/>
      <c r="CI1448" s="85"/>
      <c r="CJ1448" s="85"/>
      <c r="CK1448" s="2"/>
    </row>
    <row r="1449" ht="12.75" customHeight="1">
      <c r="A1449" s="80">
        <f>IFERROR(__xludf.DUMMYFUNCTION("""COMPUTED_VALUE"""),1445.0)</f>
        <v>1445</v>
      </c>
      <c r="B1449" s="80"/>
      <c r="C1449" s="80"/>
      <c r="D1449" s="81">
        <f>IFERROR(__xludf.DUMMYFUNCTION("""COMPUTED_VALUE"""),46272.0)</f>
        <v>46272</v>
      </c>
      <c r="E1449" s="82"/>
      <c r="F1449" s="80"/>
      <c r="G1449" s="81"/>
      <c r="H1449" s="80"/>
      <c r="I1449" s="80"/>
      <c r="J1449" s="80"/>
      <c r="K1449" s="80"/>
      <c r="L1449" s="80"/>
      <c r="M1449" s="80"/>
      <c r="N1449" s="80"/>
      <c r="O1449" s="80"/>
      <c r="P1449" s="80" t="str">
        <f>IFERROR(__xludf.DUMMYFUNCTION("""COMPUTED_VALUE"""),"MUCSPA70061PSUMK")</f>
        <v>MUCSPA70061PSUMK</v>
      </c>
      <c r="Q1449" s="80" t="str">
        <f>IFERROR(__xludf.DUMMYFUNCTION("""COMPUTED_VALUE"""),"MUC PMI CIBITUNG")</f>
        <v>MUC PMI CIBITUNG</v>
      </c>
      <c r="R1449" s="80" t="str">
        <f>IFERROR(__xludf.DUMMYFUNCTION("""COMPUTED_VALUE"""),"MUC PMI CIBITUNG")</f>
        <v>MUC PMI CIBITUNG</v>
      </c>
      <c r="S1449" s="80" t="str">
        <f>IFERROR(__xludf.DUMMYFUNCTION("""COMPUTED_VALUE"""),"R.R. CAROLINA SUTJIHARTI")</f>
        <v>R.R. CAROLINA SUTJIHARTI</v>
      </c>
      <c r="T1449" s="80" t="str">
        <f>IFERROR(__xludf.DUMMYFUNCTION("""COMPUTED_VALUE"""),"KP. RAWA KEDAUNG RT.007/RW.006 MANGUNJAYA TAMBUN SELATAN KABUPATEN BEKASI JAWA BARAT")</f>
        <v>KP. RAWA KEDAUNG RT.007/RW.006 MANGUNJAYA TAMBUN SELATAN KABUPATEN BEKASI JAWA BARAT</v>
      </c>
      <c r="U1449" s="80" t="str">
        <f>IFERROR(__xludf.DUMMYFUNCTION("""COMPUTED_VALUE"""),"Jalan Teuku Umar Raya RT 04 RW 04 Kp. Bahagia Tambun Bekasi (Depan/Sebrang PMI Cibitung)")</f>
        <v>Jalan Teuku Umar Raya RT 04 RW 04 Kp. Bahagia Tambun Bekasi (Depan/Sebrang PMI Cibitung)</v>
      </c>
      <c r="V1449" s="80" t="str">
        <f>IFERROR(__xludf.DUMMYFUNCTION("""COMPUTED_VALUE"""),"RT.007 \ RW.006")</f>
        <v>RT.007 \ RW.006</v>
      </c>
      <c r="W1449" s="80" t="str">
        <f>IFERROR(__xludf.DUMMYFUNCTION("""COMPUTED_VALUE"""),"Tambun")</f>
        <v>Tambun</v>
      </c>
      <c r="X1449" s="80" t="str">
        <f>IFERROR(__xludf.DUMMYFUNCTION("""COMPUTED_VALUE"""),"Tambun Selatan")</f>
        <v>Tambun Selatan</v>
      </c>
      <c r="Y1449" s="80" t="str">
        <f>IFERROR(__xludf.DUMMYFUNCTION("""COMPUTED_VALUE"""),"Kab. Bekasi")</f>
        <v>Kab. Bekasi</v>
      </c>
      <c r="Z1449" s="80" t="str">
        <f>IFERROR(__xludf.DUMMYFUNCTION("""COMPUTED_VALUE"""),"Jawa Barat")</f>
        <v>Jawa Barat</v>
      </c>
      <c r="AA1449" s="80" t="str">
        <f>IFERROR(__xludf.DUMMYFUNCTION("""COMPUTED_VALUE"""),"17510")</f>
        <v>17510</v>
      </c>
      <c r="AB1449" s="80" t="str">
        <f>IFERROR(__xludf.DUMMYFUNCTION("""COMPUTED_VALUE"""),"3171087007750003")</f>
        <v>3171087007750003</v>
      </c>
      <c r="AC1449" s="80" t="str">
        <f>IFERROR(__xludf.DUMMYFUNCTION("""COMPUTED_VALUE"""),"38.308.327.6-435.000")</f>
        <v>38.308.327.6-435.000</v>
      </c>
      <c r="AD1449" s="80" t="str">
        <f>IFERROR(__xludf.DUMMYFUNCTION("""COMPUTED_VALUE"""),"CUM - UMKMNK - ASEP")</f>
        <v>CUM - UMKMNK - ASEP</v>
      </c>
      <c r="AE1449" s="80" t="str">
        <f>IFERROR(__xludf.DUMMYFUNCTION("""COMPUTED_VALUE"""),"CUM - UMKMNK - ASEP")</f>
        <v>CUM - UMKMNK - ASEP</v>
      </c>
      <c r="AF1449" s="80" t="str">
        <f>IFERROR(__xludf.DUMMYFUNCTION("""COMPUTED_VALUE"""),"087886624322")</f>
        <v>087886624322</v>
      </c>
      <c r="AG1449" s="80" t="str">
        <f>IFERROR(__xludf.DUMMYFUNCTION("""COMPUTED_VALUE"""),"087886624322")</f>
        <v>087886624322</v>
      </c>
      <c r="AH1449" s="80" t="str">
        <f>IFERROR(__xludf.DUMMYFUNCTION("""COMPUTED_VALUE"""),"rrsutjiharti@gmail.co.id")</f>
        <v>rrsutjiharti@gmail.co.id</v>
      </c>
      <c r="AI1449" s="80"/>
      <c r="AJ1449" s="80"/>
      <c r="AK1449" s="80"/>
      <c r="AL1449" s="80"/>
      <c r="AM1449" s="80" t="str">
        <f>IFERROR(__xludf.DUMMYFUNCTION("""COMPUTED_VALUE"""),"KANTOR REGIONAL II JAKARTA 10004")</f>
        <v>KANTOR REGIONAL II JAKARTA 10004</v>
      </c>
      <c r="AN1449" s="80" t="str">
        <f>IFERROR(__xludf.DUMMYFUNCTION("""COMPUTED_VALUE"""),"KC CIKARANG 17500")</f>
        <v>KC CIKARANG 17500</v>
      </c>
      <c r="AO1449" s="80" t="str">
        <f>IFERROR(__xludf.DUMMYFUNCTION("""COMPUTED_VALUE"""),"0205240007557")</f>
        <v>0205240007557</v>
      </c>
      <c r="AP1449" s="80" t="str">
        <f>IFERROR(__xludf.DUMMYFUNCTION("""COMPUTED_VALUE"""),"0205240007557")</f>
        <v>0205240007557</v>
      </c>
      <c r="AQ1449" s="83" t="str">
        <f>IFERROR(__xludf.DUMMYFUNCTION("""COMPUTED_VALUE"""),"722801051821539")</f>
        <v>722801051821539</v>
      </c>
      <c r="AR1449" s="80" t="str">
        <f>IFERROR(__xludf.DUMMYFUNCTION("""COMPUTED_VALUE"""),"BRI")</f>
        <v>BRI</v>
      </c>
      <c r="AS1449" s="80" t="str">
        <f>IFERROR(__xludf.DUMMYFUNCTION("""COMPUTED_VALUE"""),"R.R CAROLINA SUTJIHARTI")</f>
        <v>R.R CAROLINA SUTJIHARTI</v>
      </c>
      <c r="AT1449" s="80" t="str">
        <f>IFERROR(__xludf.DUMMYFUNCTION("""COMPUTED_VALUE"""),"-6.2672969,107.0764216")</f>
        <v>-6.2672969,107.0764216</v>
      </c>
      <c r="AU1449" s="80" t="str">
        <f>IFERROR(__xludf.DUMMYFUNCTION("""COMPUTED_VALUE"""),"-6.2672969,107.0764216")</f>
        <v>-6.2672969,107.0764216</v>
      </c>
      <c r="AV1449" s="80"/>
      <c r="AW1449" s="80"/>
      <c r="AX1449" s="80"/>
      <c r="AY1449" s="80"/>
      <c r="AZ1449" s="80"/>
      <c r="BA1449" s="80"/>
      <c r="BB1449" s="80"/>
      <c r="BC1449" s="80"/>
      <c r="BD1449" s="80"/>
      <c r="BE1449" s="80"/>
      <c r="BF1449" s="80"/>
      <c r="BG1449" s="80"/>
      <c r="BH1449" s="80"/>
      <c r="BI1449" s="80"/>
      <c r="BJ1449" s="80"/>
      <c r="BK1449" s="80"/>
      <c r="BL1449" s="80"/>
      <c r="BM1449" s="80"/>
      <c r="BN1449" s="80"/>
      <c r="BO1449" s="80"/>
      <c r="BP1449" s="80"/>
      <c r="BQ1449" s="80"/>
      <c r="BR1449" s="80"/>
      <c r="BS1449" s="80"/>
      <c r="BT1449" s="80"/>
      <c r="BU1449" s="80"/>
      <c r="BV1449" s="80"/>
      <c r="BW1449" s="80"/>
      <c r="BX1449" s="80"/>
      <c r="BY1449" s="80"/>
      <c r="BZ1449" s="80"/>
      <c r="CA1449" s="80"/>
      <c r="CB1449" s="80"/>
      <c r="CC1449" s="80"/>
      <c r="CD1449" s="80"/>
      <c r="CE1449" s="80"/>
      <c r="CF1449" s="80"/>
      <c r="CG1449" s="80"/>
      <c r="CH1449" s="80"/>
      <c r="CI1449" s="80"/>
      <c r="CJ1449" s="80"/>
      <c r="CK1449" s="2"/>
    </row>
    <row r="1450" ht="12.75" customHeight="1">
      <c r="A1450" s="85">
        <f>IFERROR(__xludf.DUMMYFUNCTION("""COMPUTED_VALUE"""),1446.0)</f>
        <v>1446</v>
      </c>
      <c r="B1450" s="85"/>
      <c r="C1450" s="85"/>
      <c r="D1450" s="86">
        <f>IFERROR(__xludf.DUMMYFUNCTION("""COMPUTED_VALUE"""),46272.0)</f>
        <v>46272</v>
      </c>
      <c r="E1450" s="88"/>
      <c r="F1450" s="85"/>
      <c r="G1450" s="86"/>
      <c r="H1450" s="85"/>
      <c r="I1450" s="85"/>
      <c r="J1450" s="85"/>
      <c r="K1450" s="85"/>
      <c r="L1450" s="85"/>
      <c r="M1450" s="85"/>
      <c r="N1450" s="85"/>
      <c r="O1450" s="85"/>
      <c r="P1450" s="85" t="str">
        <f>IFERROR(__xludf.DUMMYFUNCTION("""COMPUTED_VALUE"""),"52BSPA07676JTAMD")</f>
        <v>52BSPA07676JTAMD</v>
      </c>
      <c r="Q1450" s="85" t="str">
        <f>IFERROR(__xludf.DUMMYFUNCTION("""COMPUTED_VALUE"""),"MUC TAMAN BHAKTI")</f>
        <v>MUC TAMAN BHAKTI</v>
      </c>
      <c r="R1450" s="85" t="str">
        <f>IFERROR(__xludf.DUMMYFUNCTION("""COMPUTED_VALUE"""),"MUC TAMAN BHAKTI")</f>
        <v>MUC TAMAN BHAKTI</v>
      </c>
      <c r="S1450" s="85" t="str">
        <f>IFERROR(__xludf.DUMMYFUNCTION("""COMPUTED_VALUE"""),"RADEN RARA HESTI SUSANTI")</f>
        <v>RADEN RARA HESTI SUSANTI</v>
      </c>
      <c r="T1450" s="85" t="str">
        <f>IFERROR(__xludf.DUMMYFUNCTION("""COMPUTED_VALUE"""),"BUDEGAN II RT.001/RW.011 PIYAMAN WONOSARI, KABUPATEN GUNUNGKIDUL DIY")</f>
        <v>BUDEGAN II RT.001/RW.011 PIYAMAN WONOSARI, KABUPATEN GUNUNGKIDUL DIY</v>
      </c>
      <c r="U1450" s="85" t="str">
        <f>IFERROR(__xludf.DUMMYFUNCTION("""COMPUTED_VALUE"""),"Jl. Taman Bakti Budegan II No.18, RT.001/RW.11, Budengan II")</f>
        <v>Jl. Taman Bakti Budegan II No.18, RT.001/RW.11, Budengan II</v>
      </c>
      <c r="V1450" s="85" t="str">
        <f>IFERROR(__xludf.DUMMYFUNCTION("""COMPUTED_VALUE"""),"RT.001 \ RW.011")</f>
        <v>RT.001 \ RW.011</v>
      </c>
      <c r="W1450" s="85" t="str">
        <f>IFERROR(__xludf.DUMMYFUNCTION("""COMPUTED_VALUE"""),"Piyaman")</f>
        <v>Piyaman</v>
      </c>
      <c r="X1450" s="85" t="str">
        <f>IFERROR(__xludf.DUMMYFUNCTION("""COMPUTED_VALUE"""),"Wonosari")</f>
        <v>Wonosari</v>
      </c>
      <c r="Y1450" s="85" t="str">
        <f>IFERROR(__xludf.DUMMYFUNCTION("""COMPUTED_VALUE"""),"Kab. Gunungkidul")</f>
        <v>Kab. Gunungkidul</v>
      </c>
      <c r="Z1450" s="85" t="str">
        <f>IFERROR(__xludf.DUMMYFUNCTION("""COMPUTED_VALUE"""),"Daerah Istimewa Yogyakarta")</f>
        <v>Daerah Istimewa Yogyakarta</v>
      </c>
      <c r="AA1450" s="85" t="str">
        <f>IFERROR(__xludf.DUMMYFUNCTION("""COMPUTED_VALUE"""),"55813")</f>
        <v>55813</v>
      </c>
      <c r="AB1450" s="85" t="str">
        <f>IFERROR(__xludf.DUMMYFUNCTION("""COMPUTED_VALUE"""),"3403015410850001")</f>
        <v>3403015410850001</v>
      </c>
      <c r="AC1450" s="85" t="str">
        <f>IFERROR(__xludf.DUMMYFUNCTION("""COMPUTED_VALUE"""),"54.231.618.7-545.000")</f>
        <v>54.231.618.7-545.000</v>
      </c>
      <c r="AD1450" s="85" t="str">
        <f>IFERROR(__xludf.DUMMYFUNCTION("""COMPUTED_VALUE"""),"CUM - AMI")</f>
        <v>CUM - AMI</v>
      </c>
      <c r="AE1450" s="85" t="str">
        <f>IFERROR(__xludf.DUMMYFUNCTION("""COMPUTED_VALUE"""),"CUM - AMI")</f>
        <v>CUM - AMI</v>
      </c>
      <c r="AF1450" s="85" t="str">
        <f>IFERROR(__xludf.DUMMYFUNCTION("""COMPUTED_VALUE"""),"081280545587")</f>
        <v>081280545587</v>
      </c>
      <c r="AG1450" s="85" t="str">
        <f>IFERROR(__xludf.DUMMYFUNCTION("""COMPUTED_VALUE"""),"081280545587")</f>
        <v>081280545587</v>
      </c>
      <c r="AH1450" s="85" t="str">
        <f>IFERROR(__xludf.DUMMYFUNCTION("""COMPUTED_VALUE"""),"santishaloom7@gmail.com")</f>
        <v>santishaloom7@gmail.com</v>
      </c>
      <c r="AI1450" s="85"/>
      <c r="AJ1450" s="85"/>
      <c r="AK1450" s="85"/>
      <c r="AL1450" s="85"/>
      <c r="AM1450" s="85" t="str">
        <f>IFERROR(__xludf.DUMMYFUNCTION("""COMPUTED_VALUE"""),"KANTOR REGIONAL IV SEMARANG 50004")</f>
        <v>KANTOR REGIONAL IV SEMARANG 50004</v>
      </c>
      <c r="AN1450" s="85" t="str">
        <f>IFERROR(__xludf.DUMMYFUNCTION("""COMPUTED_VALUE"""),"KC WONOSARIYOGYA 55800")</f>
        <v>KC WONOSARIYOGYA 55800</v>
      </c>
      <c r="AO1450" s="85" t="str">
        <f>IFERROR(__xludf.DUMMYFUNCTION("""COMPUTED_VALUE"""),"0104220035326")</f>
        <v>0104220035326</v>
      </c>
      <c r="AP1450" s="85" t="str">
        <f>IFERROR(__xludf.DUMMYFUNCTION("""COMPUTED_VALUE"""),"0104220035326")</f>
        <v>0104220035326</v>
      </c>
      <c r="AQ1450" s="93" t="str">
        <f>IFERROR(__xludf.DUMMYFUNCTION("""COMPUTED_VALUE"""),"1561487231")</f>
        <v>1561487231</v>
      </c>
      <c r="AR1450" s="85" t="str">
        <f>IFERROR(__xludf.DUMMYFUNCTION("""COMPUTED_VALUE"""),"BCA")</f>
        <v>BCA</v>
      </c>
      <c r="AS1450" s="85" t="str">
        <f>IFERROR(__xludf.DUMMYFUNCTION("""COMPUTED_VALUE"""),"RADEN RARA HESTI SUSANTI")</f>
        <v>RADEN RARA HESTI SUSANTI</v>
      </c>
      <c r="AT1450" s="85" t="str">
        <f>IFERROR(__xludf.DUMMYFUNCTION("""COMPUTED_VALUE"""),"-7.9429545,110.6030398")</f>
        <v>-7.9429545,110.6030398</v>
      </c>
      <c r="AU1450" s="85" t="str">
        <f>IFERROR(__xludf.DUMMYFUNCTION("""COMPUTED_VALUE"""),"-7.9429545,110.6030398")</f>
        <v>-7.9429545,110.6030398</v>
      </c>
      <c r="AV1450" s="85"/>
      <c r="AW1450" s="85"/>
      <c r="AX1450" s="85"/>
      <c r="AY1450" s="85"/>
      <c r="AZ1450" s="85"/>
      <c r="BA1450" s="85"/>
      <c r="BB1450" s="85"/>
      <c r="BC1450" s="85"/>
      <c r="BD1450" s="85"/>
      <c r="BE1450" s="85"/>
      <c r="BF1450" s="85"/>
      <c r="BG1450" s="85"/>
      <c r="BH1450" s="85"/>
      <c r="BI1450" s="85"/>
      <c r="BJ1450" s="85"/>
      <c r="BK1450" s="85"/>
      <c r="BL1450" s="85"/>
      <c r="BM1450" s="85"/>
      <c r="BN1450" s="85"/>
      <c r="BO1450" s="85"/>
      <c r="BP1450" s="85"/>
      <c r="BQ1450" s="85"/>
      <c r="BR1450" s="85"/>
      <c r="BS1450" s="85"/>
      <c r="BT1450" s="85"/>
      <c r="BU1450" s="85"/>
      <c r="BV1450" s="85"/>
      <c r="BW1450" s="85"/>
      <c r="BX1450" s="85"/>
      <c r="BY1450" s="85"/>
      <c r="BZ1450" s="85"/>
      <c r="CA1450" s="85"/>
      <c r="CB1450" s="85"/>
      <c r="CC1450" s="85"/>
      <c r="CD1450" s="85"/>
      <c r="CE1450" s="85"/>
      <c r="CF1450" s="85"/>
      <c r="CG1450" s="85"/>
      <c r="CH1450" s="85"/>
      <c r="CI1450" s="85"/>
      <c r="CJ1450" s="85"/>
      <c r="CK1450" s="2"/>
    </row>
    <row r="1451" ht="12.75" customHeight="1">
      <c r="A1451" s="80">
        <f>IFERROR(__xludf.DUMMYFUNCTION("""COMPUTED_VALUE"""),1447.0)</f>
        <v>1447</v>
      </c>
      <c r="B1451" s="80"/>
      <c r="C1451" s="80"/>
      <c r="D1451" s="81">
        <f>IFERROR(__xludf.DUMMYFUNCTION("""COMPUTED_VALUE"""),46273.0)</f>
        <v>46273</v>
      </c>
      <c r="E1451" s="82"/>
      <c r="F1451" s="80"/>
      <c r="G1451" s="81"/>
      <c r="H1451" s="80"/>
      <c r="I1451" s="80"/>
      <c r="J1451" s="80"/>
      <c r="K1451" s="80"/>
      <c r="L1451" s="80"/>
      <c r="M1451" s="80"/>
      <c r="N1451" s="80"/>
      <c r="O1451" s="80"/>
      <c r="P1451" s="80" t="str">
        <f>IFERROR(__xludf.DUMMYFUNCTION("""COMPUTED_VALUE"""),"MUCSPA70062PSUMK")</f>
        <v>MUCSPA70062PSUMK</v>
      </c>
      <c r="Q1451" s="80" t="str">
        <f>IFERROR(__xludf.DUMMYFUNCTION("""COMPUTED_VALUE"""),"MUC MITRA PERSADA NETWORK")</f>
        <v>MUC MITRA PERSADA NETWORK</v>
      </c>
      <c r="R1451" s="80" t="str">
        <f>IFERROR(__xludf.DUMMYFUNCTION("""COMPUTED_VALUE"""),"MUC MITRA PERSADA NETWORK")</f>
        <v>MUC MITRA PERSADA NETWORK</v>
      </c>
      <c r="S1451" s="80" t="str">
        <f>IFERROR(__xludf.DUMMYFUNCTION("""COMPUTED_VALUE"""),"NASRUDIN SUMITRA PURA")</f>
        <v>NASRUDIN SUMITRA PURA</v>
      </c>
      <c r="T1451" s="80" t="str">
        <f>IFERROR(__xludf.DUMMYFUNCTION("""COMPUTED_VALUE"""),"KP. PASIRANDU RT.001/RW.008 PASIRBARU CISOLOK KABUPATEN SUKABUMI JAWA BARAT")</f>
        <v>KP. PASIRANDU RT.001/RW.008 PASIRBARU CISOLOK KABUPATEN SUKABUMI JAWA BARAT</v>
      </c>
      <c r="U1451" s="80" t="str">
        <f>IFERROR(__xludf.DUMMYFUNCTION("""COMPUTED_VALUE"""),"Ruko Meilia, Jl Nasional III Km.08 Cisolok Kab. Sukabumi")</f>
        <v>Ruko Meilia, Jl Nasional III Km.08 Cisolok Kab. Sukabumi</v>
      </c>
      <c r="V1451" s="80" t="str">
        <f>IFERROR(__xludf.DUMMYFUNCTION("""COMPUTED_VALUE"""),"RT.001 \ RW.008")</f>
        <v>RT.001 \ RW.008</v>
      </c>
      <c r="W1451" s="80" t="str">
        <f>IFERROR(__xludf.DUMMYFUNCTION("""COMPUTED_VALUE"""),"Pasir Baru")</f>
        <v>Pasir Baru</v>
      </c>
      <c r="X1451" s="80" t="str">
        <f>IFERROR(__xludf.DUMMYFUNCTION("""COMPUTED_VALUE"""),"Cisolok")</f>
        <v>Cisolok</v>
      </c>
      <c r="Y1451" s="80" t="str">
        <f>IFERROR(__xludf.DUMMYFUNCTION("""COMPUTED_VALUE"""),"Kab. Sukabumi")</f>
        <v>Kab. Sukabumi</v>
      </c>
      <c r="Z1451" s="80" t="str">
        <f>IFERROR(__xludf.DUMMYFUNCTION("""COMPUTED_VALUE"""),"Jawa Barat")</f>
        <v>Jawa Barat</v>
      </c>
      <c r="AA1451" s="80" t="str">
        <f>IFERROR(__xludf.DUMMYFUNCTION("""COMPUTED_VALUE"""),"43366")</f>
        <v>43366</v>
      </c>
      <c r="AB1451" s="80" t="str">
        <f>IFERROR(__xludf.DUMMYFUNCTION("""COMPUTED_VALUE"""),"3202050204790001")</f>
        <v>3202050204790001</v>
      </c>
      <c r="AC1451" s="80" t="str">
        <f>IFERROR(__xludf.DUMMYFUNCTION("""COMPUTED_VALUE"""),"81.060.746.5-405.000")</f>
        <v>81.060.746.5-405.000</v>
      </c>
      <c r="AD1451" s="80" t="str">
        <f>IFERROR(__xludf.DUMMYFUNCTION("""COMPUTED_VALUE"""),"CUM - UMKMNK - ASEP")</f>
        <v>CUM - UMKMNK - ASEP</v>
      </c>
      <c r="AE1451" s="80" t="str">
        <f>IFERROR(__xludf.DUMMYFUNCTION("""COMPUTED_VALUE"""),"CUM - UMKMNK - ASEP")</f>
        <v>CUM - UMKMNK - ASEP</v>
      </c>
      <c r="AF1451" s="80" t="str">
        <f>IFERROR(__xludf.DUMMYFUNCTION("""COMPUTED_VALUE"""),"081563497972")</f>
        <v>081563497972</v>
      </c>
      <c r="AG1451" s="80" t="str">
        <f>IFERROR(__xludf.DUMMYFUNCTION("""COMPUTED_VALUE"""),"081563497972")</f>
        <v>081563497972</v>
      </c>
      <c r="AH1451" s="80" t="str">
        <f>IFERROR(__xludf.DUMMYFUNCTION("""COMPUTED_VALUE"""),"rudy.sumitra@gmail.com")</f>
        <v>rudy.sumitra@gmail.com</v>
      </c>
      <c r="AI1451" s="80"/>
      <c r="AJ1451" s="80"/>
      <c r="AK1451" s="80"/>
      <c r="AL1451" s="80"/>
      <c r="AM1451" s="80" t="str">
        <f>IFERROR(__xludf.DUMMYFUNCTION("""COMPUTED_VALUE"""),"KANTOR REGIONAL III BANDUNG 40004")</f>
        <v>KANTOR REGIONAL III BANDUNG 40004</v>
      </c>
      <c r="AN1451" s="80" t="str">
        <f>IFERROR(__xludf.DUMMYFUNCTION("""COMPUTED_VALUE"""),"KC SUKABUMI 43100")</f>
        <v>KC SUKABUMI 43100</v>
      </c>
      <c r="AO1451" s="80" t="str">
        <f>IFERROR(__xludf.DUMMYFUNCTION("""COMPUTED_VALUE"""),"0809260015302")</f>
        <v>0809260015302</v>
      </c>
      <c r="AP1451" s="80" t="str">
        <f>IFERROR(__xludf.DUMMYFUNCTION("""COMPUTED_VALUE"""),"0809260015302")</f>
        <v>0809260015302</v>
      </c>
      <c r="AQ1451" s="83" t="str">
        <f>IFERROR(__xludf.DUMMYFUNCTION("""COMPUTED_VALUE"""),"0497282760")</f>
        <v>0497282760</v>
      </c>
      <c r="AR1451" s="80" t="str">
        <f>IFERROR(__xludf.DUMMYFUNCTION("""COMPUTED_VALUE"""),"BNI")</f>
        <v>BNI</v>
      </c>
      <c r="AS1451" s="80" t="str">
        <f>IFERROR(__xludf.DUMMYFUNCTION("""COMPUTED_VALUE"""),"NASRUDIN SUMITRA PURA")</f>
        <v>NASRUDIN SUMITRA PURA</v>
      </c>
      <c r="AT1451" s="80" t="str">
        <f>IFERROR(__xludf.DUMMYFUNCTION("""COMPUTED_VALUE"""),"-6.9665865,106.4026342")</f>
        <v>-6.9665865,106.4026342</v>
      </c>
      <c r="AU1451" s="80" t="str">
        <f>IFERROR(__xludf.DUMMYFUNCTION("""COMPUTED_VALUE"""),"-6.9665865,106.4026342")</f>
        <v>-6.9665865,106.4026342</v>
      </c>
      <c r="AV1451" s="80"/>
      <c r="AW1451" s="80"/>
      <c r="AX1451" s="80"/>
      <c r="AY1451" s="80"/>
      <c r="AZ1451" s="80"/>
      <c r="BA1451" s="80"/>
      <c r="BB1451" s="80"/>
      <c r="BC1451" s="80"/>
      <c r="BD1451" s="80"/>
      <c r="BE1451" s="80"/>
      <c r="BF1451" s="80"/>
      <c r="BG1451" s="80"/>
      <c r="BH1451" s="80"/>
      <c r="BI1451" s="80"/>
      <c r="BJ1451" s="80"/>
      <c r="BK1451" s="80"/>
      <c r="BL1451" s="80"/>
      <c r="BM1451" s="80"/>
      <c r="BN1451" s="80"/>
      <c r="BO1451" s="80"/>
      <c r="BP1451" s="80"/>
      <c r="BQ1451" s="80"/>
      <c r="BR1451" s="80"/>
      <c r="BS1451" s="80"/>
      <c r="BT1451" s="80"/>
      <c r="BU1451" s="80"/>
      <c r="BV1451" s="80"/>
      <c r="BW1451" s="80"/>
      <c r="BX1451" s="80"/>
      <c r="BY1451" s="80"/>
      <c r="BZ1451" s="80"/>
      <c r="CA1451" s="80"/>
      <c r="CB1451" s="80"/>
      <c r="CC1451" s="80"/>
      <c r="CD1451" s="80"/>
      <c r="CE1451" s="80"/>
      <c r="CF1451" s="80"/>
      <c r="CG1451" s="80"/>
      <c r="CH1451" s="80"/>
      <c r="CI1451" s="80"/>
      <c r="CJ1451" s="80"/>
      <c r="CK1451" s="2"/>
    </row>
    <row r="1452" ht="12.75" customHeight="1">
      <c r="A1452" s="85">
        <f>IFERROR(__xludf.DUMMYFUNCTION("""COMPUTED_VALUE"""),1448.0)</f>
        <v>1448</v>
      </c>
      <c r="B1452" s="85"/>
      <c r="C1452" s="85"/>
      <c r="D1452" s="86">
        <f>IFERROR(__xludf.DUMMYFUNCTION("""COMPUTED_VALUE"""),46273.0)</f>
        <v>46273</v>
      </c>
      <c r="E1452" s="88"/>
      <c r="F1452" s="85"/>
      <c r="G1452" s="86"/>
      <c r="H1452" s="85"/>
      <c r="I1452" s="85"/>
      <c r="J1452" s="85"/>
      <c r="K1452" s="85"/>
      <c r="L1452" s="85"/>
      <c r="M1452" s="85"/>
      <c r="N1452" s="85"/>
      <c r="O1452" s="85"/>
      <c r="P1452" s="85" t="str">
        <f>IFERROR(__xludf.DUMMYFUNCTION("""COMPUTED_VALUE"""),"MUCSPA63674PSIND")</f>
        <v>MUCSPA63674PSIND</v>
      </c>
      <c r="Q1452" s="85" t="str">
        <f>IFERROR(__xludf.DUMMYFUNCTION("""COMPUTED_VALUE"""),"MUC GHAFI CELL")</f>
        <v>MUC GHAFI CELL</v>
      </c>
      <c r="R1452" s="85" t="str">
        <f>IFERROR(__xludf.DUMMYFUNCTION("""COMPUTED_VALUE"""),"MUC GHAFI CELL")</f>
        <v>MUC GHAFI CELL</v>
      </c>
      <c r="S1452" s="85" t="str">
        <f>IFERROR(__xludf.DUMMYFUNCTION("""COMPUTED_VALUE"""),"MUHAMMAD PUTRA HANDIKA")</f>
        <v>MUHAMMAD PUTRA HANDIKA</v>
      </c>
      <c r="T1452" s="85" t="str">
        <f>IFERROR(__xludf.DUMMYFUNCTION("""COMPUTED_VALUE"""),"DUSUN II RT.000/RW.000 BINJAI TEBING SYAHBANDAR, KABUPATEN SERDANG BEDAGAI SUMATERA UTARA")</f>
        <v>DUSUN II RT.000/RW.000 BINJAI TEBING SYAHBANDAR, KABUPATEN SERDANG BEDAGAI SUMATERA UTARA</v>
      </c>
      <c r="U1452" s="85" t="str">
        <f>IFERROR(__xludf.DUMMYFUNCTION("""COMPUTED_VALUE"""),"Jl. Lintas Sumatera Dusun II Desa Binjai Kec. Tebing Syahbandar")</f>
        <v>Jl. Lintas Sumatera Dusun II Desa Binjai Kec. Tebing Syahbandar</v>
      </c>
      <c r="V1452" s="85" t="str">
        <f>IFERROR(__xludf.DUMMYFUNCTION("""COMPUTED_VALUE"""),"RT.000 \ RW.000")</f>
        <v>RT.000 \ RW.000</v>
      </c>
      <c r="W1452" s="85" t="str">
        <f>IFERROR(__xludf.DUMMYFUNCTION("""COMPUTED_VALUE"""),"Binjai")</f>
        <v>Binjai</v>
      </c>
      <c r="X1452" s="85" t="str">
        <f>IFERROR(__xludf.DUMMYFUNCTION("""COMPUTED_VALUE"""),"Tebing Syahbandar")</f>
        <v>Tebing Syahbandar</v>
      </c>
      <c r="Y1452" s="85" t="str">
        <f>IFERROR(__xludf.DUMMYFUNCTION("""COMPUTED_VALUE"""),"Kab. Serdang Bedagai")</f>
        <v>Kab. Serdang Bedagai</v>
      </c>
      <c r="Z1452" s="85" t="str">
        <f>IFERROR(__xludf.DUMMYFUNCTION("""COMPUTED_VALUE"""),"Sumatera Utara")</f>
        <v>Sumatera Utara</v>
      </c>
      <c r="AA1452" s="85" t="str">
        <f>IFERROR(__xludf.DUMMYFUNCTION("""COMPUTED_VALUE"""),"20652")</f>
        <v>20652</v>
      </c>
      <c r="AB1452" s="85" t="str">
        <f>IFERROR(__xludf.DUMMYFUNCTION("""COMPUTED_VALUE"""),"1276022607950002")</f>
        <v>1276022607950002</v>
      </c>
      <c r="AC1452" s="85" t="str">
        <f>IFERROR(__xludf.DUMMYFUNCTION("""COMPUTED_VALUE"""),"12.760.226.0-795.0002")</f>
        <v>12.760.226.0-795.0002</v>
      </c>
      <c r="AD1452" s="85" t="str">
        <f>IFERROR(__xludf.DUMMYFUNCTION("""COMPUTED_VALUE"""),"Pak Raffiq Pos KC Tebingtinggi")</f>
        <v>Pak Raffiq Pos KC Tebingtinggi</v>
      </c>
      <c r="AE1452" s="85" t="str">
        <f>IFERROR(__xludf.DUMMYFUNCTION("""COMPUTED_VALUE"""),"Pak Raffiq Pos KC Tebingtinggi")</f>
        <v>Pak Raffiq Pos KC Tebingtinggi</v>
      </c>
      <c r="AF1452" s="85" t="str">
        <f>IFERROR(__xludf.DUMMYFUNCTION("""COMPUTED_VALUE"""),"081213151995")</f>
        <v>081213151995</v>
      </c>
      <c r="AG1452" s="85" t="str">
        <f>IFERROR(__xludf.DUMMYFUNCTION("""COMPUTED_VALUE"""),"081213151995")</f>
        <v>081213151995</v>
      </c>
      <c r="AH1452" s="85" t="str">
        <f>IFERROR(__xludf.DUMMYFUNCTION("""COMPUTED_VALUE"""),"muhammadputrahandika1@gmail.com")</f>
        <v>muhammadputrahandika1@gmail.com</v>
      </c>
      <c r="AI1452" s="85"/>
      <c r="AJ1452" s="85"/>
      <c r="AK1452" s="85"/>
      <c r="AL1452" s="85"/>
      <c r="AM1452" s="85" t="str">
        <f>IFERROR(__xludf.DUMMYFUNCTION("""COMPUTED_VALUE"""),"KANTOR REGIONAL I MEDAN 20004")</f>
        <v>KANTOR REGIONAL I MEDAN 20004</v>
      </c>
      <c r="AN1452" s="85" t="str">
        <f>IFERROR(__xludf.DUMMYFUNCTION("""COMPUTED_VALUE"""),"KC TEBINGTINGGIDELI 20600")</f>
        <v>KC TEBINGTINGGIDELI 20600</v>
      </c>
      <c r="AO1452" s="85" t="str">
        <f>IFERROR(__xludf.DUMMYFUNCTION("""COMPUTED_VALUE"""),"0809260035385")</f>
        <v>0809260035385</v>
      </c>
      <c r="AP1452" s="85" t="str">
        <f>IFERROR(__xludf.DUMMYFUNCTION("""COMPUTED_VALUE"""),"0809260035385")</f>
        <v>0809260035385</v>
      </c>
      <c r="AQ1452" s="93" t="str">
        <f>IFERROR(__xludf.DUMMYFUNCTION("""COMPUTED_VALUE"""),"1860515037")</f>
        <v>1860515037</v>
      </c>
      <c r="AR1452" s="85" t="str">
        <f>IFERROR(__xludf.DUMMYFUNCTION("""COMPUTED_VALUE"""),"BNI")</f>
        <v>BNI</v>
      </c>
      <c r="AS1452" s="85" t="str">
        <f>IFERROR(__xludf.DUMMYFUNCTION("""COMPUTED_VALUE"""),"MUHAMMAD PUTRA HANDIKA")</f>
        <v>MUHAMMAD PUTRA HANDIKA</v>
      </c>
      <c r="AT1452" s="85" t="str">
        <f>IFERROR(__xludf.DUMMYFUNCTION("""COMPUTED_VALUE"""),"3.3351111,99.21425")</f>
        <v>3.3351111,99.21425</v>
      </c>
      <c r="AU1452" s="85" t="str">
        <f>IFERROR(__xludf.DUMMYFUNCTION("""COMPUTED_VALUE"""),"3.3351111,99.21425")</f>
        <v>3.3351111,99.21425</v>
      </c>
      <c r="AV1452" s="85"/>
      <c r="AW1452" s="85"/>
      <c r="AX1452" s="85"/>
      <c r="AY1452" s="85"/>
      <c r="AZ1452" s="85"/>
      <c r="BA1452" s="85"/>
      <c r="BB1452" s="85"/>
      <c r="BC1452" s="85"/>
      <c r="BD1452" s="85"/>
      <c r="BE1452" s="85"/>
      <c r="BF1452" s="85"/>
      <c r="BG1452" s="85"/>
      <c r="BH1452" s="85"/>
      <c r="BI1452" s="85"/>
      <c r="BJ1452" s="85"/>
      <c r="BK1452" s="85"/>
      <c r="BL1452" s="85"/>
      <c r="BM1452" s="85"/>
      <c r="BN1452" s="85"/>
      <c r="BO1452" s="85"/>
      <c r="BP1452" s="85"/>
      <c r="BQ1452" s="85"/>
      <c r="BR1452" s="85"/>
      <c r="BS1452" s="85"/>
      <c r="BT1452" s="85"/>
      <c r="BU1452" s="85"/>
      <c r="BV1452" s="85"/>
      <c r="BW1452" s="85"/>
      <c r="BX1452" s="85"/>
      <c r="BY1452" s="85"/>
      <c r="BZ1452" s="85"/>
      <c r="CA1452" s="85"/>
      <c r="CB1452" s="85"/>
      <c r="CC1452" s="85"/>
      <c r="CD1452" s="85"/>
      <c r="CE1452" s="85"/>
      <c r="CF1452" s="85"/>
      <c r="CG1452" s="85"/>
      <c r="CH1452" s="85"/>
      <c r="CI1452" s="85"/>
      <c r="CJ1452" s="85"/>
      <c r="CK1452" s="2"/>
    </row>
    <row r="1453" ht="12.75" customHeight="1">
      <c r="A1453" s="80">
        <f>IFERROR(__xludf.DUMMYFUNCTION("""COMPUTED_VALUE"""),1449.0)</f>
        <v>1449</v>
      </c>
      <c r="B1453" s="80"/>
      <c r="C1453" s="80"/>
      <c r="D1453" s="81">
        <f>IFERROR(__xludf.DUMMYFUNCTION("""COMPUTED_VALUE"""),46274.0)</f>
        <v>46274</v>
      </c>
      <c r="E1453" s="82"/>
      <c r="F1453" s="80"/>
      <c r="G1453" s="81">
        <f>IFERROR(__xludf.DUMMYFUNCTION("""COMPUTED_VALUE"""),46279.0)</f>
        <v>46279</v>
      </c>
      <c r="H1453" s="80"/>
      <c r="I1453" s="80"/>
      <c r="J1453" s="80"/>
      <c r="K1453" s="80"/>
      <c r="L1453" s="80">
        <f>IFERROR(__xludf.DUMMYFUNCTION("""COMPUTED_VALUE"""),5.0)</f>
        <v>5</v>
      </c>
      <c r="M1453" s="80"/>
      <c r="N1453" s="80"/>
      <c r="O1453" s="80"/>
      <c r="P1453" s="80" t="str">
        <f>IFERROR(__xludf.DUMMYFUNCTION("""COMPUTED_VALUE"""),"MUCSPA63676PSIND")</f>
        <v>MUCSPA63676PSIND</v>
      </c>
      <c r="Q1453" s="80" t="str">
        <f>IFERROR(__xludf.DUMMYFUNCTION("""COMPUTED_VALUE"""),"MUC LILYSA")</f>
        <v>MUC LILYSA</v>
      </c>
      <c r="R1453" s="80" t="str">
        <f>IFERROR(__xludf.DUMMYFUNCTION("""COMPUTED_VALUE"""),"MUC LILYSA")</f>
        <v>MUC LILYSA</v>
      </c>
      <c r="S1453" s="80" t="str">
        <f>IFERROR(__xludf.DUMMYFUNCTION("""COMPUTED_VALUE"""),"NOVI KASARI")</f>
        <v>NOVI KASARI</v>
      </c>
      <c r="T1453" s="80" t="str">
        <f>IFERROR(__xludf.DUMMYFUNCTION("""COMPUTED_VALUE"""),"JL. KH. AGUS SALIM RT.010/RW.008 BEKASI JAYA BEKASI TIMUR KOTA BEKASI JAWA BARAT")</f>
        <v>JL. KH. AGUS SALIM RT.010/RW.008 BEKASI JAYA BEKASI TIMUR KOTA BEKASI JAWA BARAT</v>
      </c>
      <c r="U1453" s="80" t="str">
        <f>IFERROR(__xludf.DUMMYFUNCTION("""COMPUTED_VALUE"""),"Jl. Irigasi, RT.010/RW.008, Bekasi Jaya")</f>
        <v>Jl. Irigasi, RT.010/RW.008, Bekasi Jaya</v>
      </c>
      <c r="V1453" s="80" t="str">
        <f>IFERROR(__xludf.DUMMYFUNCTION("""COMPUTED_VALUE"""),"RT.010 \ RW.008")</f>
        <v>RT.010 \ RW.008</v>
      </c>
      <c r="W1453" s="80" t="str">
        <f>IFERROR(__xludf.DUMMYFUNCTION("""COMPUTED_VALUE"""),"Bekasijaya")</f>
        <v>Bekasijaya</v>
      </c>
      <c r="X1453" s="80" t="str">
        <f>IFERROR(__xludf.DUMMYFUNCTION("""COMPUTED_VALUE"""),"Bekasi Timur")</f>
        <v>Bekasi Timur</v>
      </c>
      <c r="Y1453" s="80" t="str">
        <f>IFERROR(__xludf.DUMMYFUNCTION("""COMPUTED_VALUE"""),"Bekasi")</f>
        <v>Bekasi</v>
      </c>
      <c r="Z1453" s="80" t="str">
        <f>IFERROR(__xludf.DUMMYFUNCTION("""COMPUTED_VALUE"""),"Jawa Barat")</f>
        <v>Jawa Barat</v>
      </c>
      <c r="AA1453" s="80" t="str">
        <f>IFERROR(__xludf.DUMMYFUNCTION("""COMPUTED_VALUE"""),"17112")</f>
        <v>17112</v>
      </c>
      <c r="AB1453" s="80" t="str">
        <f>IFERROR(__xludf.DUMMYFUNCTION("""COMPUTED_VALUE"""),"3275016102800013")</f>
        <v>3275016102800013</v>
      </c>
      <c r="AC1453" s="80" t="str">
        <f>IFERROR(__xludf.DUMMYFUNCTION("""COMPUTED_VALUE"""),"32.750.161.0-280.0013")</f>
        <v>32.750.161.0-280.0013</v>
      </c>
      <c r="AD1453" s="80" t="str">
        <f>IFERROR(__xludf.DUMMYFUNCTION("""COMPUTED_VALUE"""),"CUM - PS - AYS")</f>
        <v>CUM - PS - AYS</v>
      </c>
      <c r="AE1453" s="80" t="str">
        <f>IFERROR(__xludf.DUMMYFUNCTION("""COMPUTED_VALUE"""),"CUM - PS - AYS")</f>
        <v>CUM - PS - AYS</v>
      </c>
      <c r="AF1453" s="80" t="str">
        <f>IFERROR(__xludf.DUMMYFUNCTION("""COMPUTED_VALUE"""),"0881010375554")</f>
        <v>0881010375554</v>
      </c>
      <c r="AG1453" s="80" t="str">
        <f>IFERROR(__xludf.DUMMYFUNCTION("""COMPUTED_VALUE"""),"0881010375554")</f>
        <v>0881010375554</v>
      </c>
      <c r="AH1453" s="80" t="str">
        <f>IFERROR(__xludf.DUMMYFUNCTION("""COMPUTED_VALUE"""),"novikasari.2080@gmail.com")</f>
        <v>novikasari.2080@gmail.com</v>
      </c>
      <c r="AI1453" s="80" t="str">
        <f>IFERROR(__xludf.DUMMYFUNCTION("""COMPUTED_VALUE"""),"17112S7 ")</f>
        <v>17112S7 </v>
      </c>
      <c r="AJ1453" s="80" t="str">
        <f>IFERROR(__xludf.DUMMYFUNCTION("""COMPUTED_VALUE"""),"6aa372b0c4e31b48450292a9 ")</f>
        <v>6aa372b0c4e31b48450292a9 </v>
      </c>
      <c r="AK1453" s="80" t="str">
        <f>IFERROR(__xludf.DUMMYFUNCTION("""COMPUTED_VALUE"""),"novikasari.2080@gmail.com")</f>
        <v>novikasari.2080@gmail.com</v>
      </c>
      <c r="AL1453" s="80" t="str">
        <f>IFERROR(__xludf.DUMMYFUNCTION("""COMPUTED_VALUE"""),"#Muc17112S7$")</f>
        <v>#Muc17112S7$</v>
      </c>
      <c r="AM1453" s="80" t="str">
        <f>IFERROR(__xludf.DUMMYFUNCTION("""COMPUTED_VALUE"""),"KANTOR REGIONAL II JAKARTA 10004")</f>
        <v>KANTOR REGIONAL II JAKARTA 10004</v>
      </c>
      <c r="AN1453" s="80" t="str">
        <f>IFERROR(__xludf.DUMMYFUNCTION("""COMPUTED_VALUE"""),"KCU BEKASI 17000")</f>
        <v>KCU BEKASI 17000</v>
      </c>
      <c r="AO1453" s="80" t="str">
        <f>IFERROR(__xludf.DUMMYFUNCTION("""COMPUTED_VALUE"""),"0909260034745")</f>
        <v>0909260034745</v>
      </c>
      <c r="AP1453" s="80" t="str">
        <f>IFERROR(__xludf.DUMMYFUNCTION("""COMPUTED_VALUE"""),"0909260034745")</f>
        <v>0909260034745</v>
      </c>
      <c r="AQ1453" s="83" t="str">
        <f>IFERROR(__xludf.DUMMYFUNCTION("""COMPUTED_VALUE"""),"1560027940206")</f>
        <v>1560027940206</v>
      </c>
      <c r="AR1453" s="80" t="str">
        <f>IFERROR(__xludf.DUMMYFUNCTION("""COMPUTED_VALUE"""),"MANDIRI")</f>
        <v>MANDIRI</v>
      </c>
      <c r="AS1453" s="80" t="str">
        <f>IFERROR(__xludf.DUMMYFUNCTION("""COMPUTED_VALUE"""),"NOVI KASARI")</f>
        <v>NOVI KASARI</v>
      </c>
      <c r="AT1453" s="80" t="str">
        <f>IFERROR(__xludf.DUMMYFUNCTION("""COMPUTED_VALUE"""),"-6.2258303,107.0249577")</f>
        <v>-6.2258303,107.0249577</v>
      </c>
      <c r="AU1453" s="80" t="str">
        <f>IFERROR(__xludf.DUMMYFUNCTION("""COMPUTED_VALUE"""),"-6.2258303,107.0249577")</f>
        <v>-6.2258303,107.0249577</v>
      </c>
      <c r="AV1453" s="80"/>
      <c r="AW1453" s="80"/>
      <c r="AX1453" s="80"/>
      <c r="AY1453" s="80"/>
      <c r="AZ1453" s="80"/>
      <c r="BA1453" s="80"/>
      <c r="BB1453" s="80"/>
      <c r="BC1453" s="80"/>
      <c r="BD1453" s="80"/>
      <c r="BE1453" s="80"/>
      <c r="BF1453" s="80"/>
      <c r="BG1453" s="80"/>
      <c r="BH1453" s="80"/>
      <c r="BI1453" s="80"/>
      <c r="BJ1453" s="80"/>
      <c r="BK1453" s="80"/>
      <c r="BL1453" s="80"/>
      <c r="BM1453" s="80"/>
      <c r="BN1453" s="80"/>
      <c r="BO1453" s="80"/>
      <c r="BP1453" s="80"/>
      <c r="BQ1453" s="80"/>
      <c r="BR1453" s="80"/>
      <c r="BS1453" s="80"/>
      <c r="BT1453" s="80"/>
      <c r="BU1453" s="80"/>
      <c r="BV1453" s="80"/>
      <c r="BW1453" s="80"/>
      <c r="BX1453" s="80"/>
      <c r="BY1453" s="80"/>
      <c r="BZ1453" s="80"/>
      <c r="CA1453" s="80"/>
      <c r="CB1453" s="80"/>
      <c r="CC1453" s="80"/>
      <c r="CD1453" s="80"/>
      <c r="CE1453" s="80"/>
      <c r="CF1453" s="80"/>
      <c r="CG1453" s="80"/>
      <c r="CH1453" s="80"/>
      <c r="CI1453" s="80"/>
      <c r="CJ1453" s="80"/>
      <c r="CK1453" s="2"/>
    </row>
    <row r="1454" ht="12.75" customHeight="1">
      <c r="A1454" s="85">
        <f>IFERROR(__xludf.DUMMYFUNCTION("""COMPUTED_VALUE"""),1450.0)</f>
        <v>1450</v>
      </c>
      <c r="B1454" s="85"/>
      <c r="C1454" s="85"/>
      <c r="D1454" s="86">
        <f>IFERROR(__xludf.DUMMYFUNCTION("""COMPUTED_VALUE"""),46274.0)</f>
        <v>46274</v>
      </c>
      <c r="E1454" s="88"/>
      <c r="F1454" s="85"/>
      <c r="G1454" s="86"/>
      <c r="H1454" s="85"/>
      <c r="I1454" s="85"/>
      <c r="J1454" s="85"/>
      <c r="K1454" s="85"/>
      <c r="L1454" s="85"/>
      <c r="M1454" s="85"/>
      <c r="N1454" s="85"/>
      <c r="O1454" s="85"/>
      <c r="P1454" s="85" t="str">
        <f>IFERROR(__xludf.DUMMYFUNCTION("""COMPUTED_VALUE"""),"MUCSPA63675PSIND")</f>
        <v>MUCSPA63675PSIND</v>
      </c>
      <c r="Q1454" s="85" t="str">
        <f>IFERROR(__xludf.DUMMYFUNCTION("""COMPUTED_VALUE"""),"MUC DR SOEMARNO LOGISTICS")</f>
        <v>MUC DR SOEMARNO LOGISTICS</v>
      </c>
      <c r="R1454" s="85" t="str">
        <f>IFERROR(__xludf.DUMMYFUNCTION("""COMPUTED_VALUE"""),"MUC DR SOEMARNO LOGISTICS")</f>
        <v>MUC DR SOEMARNO LOGISTICS</v>
      </c>
      <c r="S1454" s="85" t="str">
        <f>IFERROR(__xludf.DUMMYFUNCTION("""COMPUTED_VALUE"""),"AXMAL FAUZA")</f>
        <v>AXMAL FAUZA</v>
      </c>
      <c r="T1454" s="85" t="str">
        <f>IFERROR(__xludf.DUMMYFUNCTION("""COMPUTED_VALUE"""),"JL. H. MERIN NO.7 RT.009/RW.004 MERUYA SELATAN KEMBANGAN JAKARTA BARAT DKI JAKARTA")</f>
        <v>JL. H. MERIN NO.7 RT.009/RW.004 MERUYA SELATAN KEMBANGAN JAKARTA BARAT DKI JAKARTA</v>
      </c>
      <c r="U1454" s="85" t="str">
        <f>IFERROR(__xludf.DUMMYFUNCTION("""COMPUTED_VALUE"""),"Jl. Dr. Sumarno No.04 14, RT.14/RW.04 Penggilingan")</f>
        <v>Jl. Dr. Sumarno No.04 14, RT.14/RW.04 Penggilingan</v>
      </c>
      <c r="V1454" s="85" t="str">
        <f>IFERROR(__xludf.DUMMYFUNCTION("""COMPUTED_VALUE"""),"RT.009 \ RW.004")</f>
        <v>RT.009 \ RW.004</v>
      </c>
      <c r="W1454" s="85" t="str">
        <f>IFERROR(__xludf.DUMMYFUNCTION("""COMPUTED_VALUE"""),"Penggilingan")</f>
        <v>Penggilingan</v>
      </c>
      <c r="X1454" s="85" t="str">
        <f>IFERROR(__xludf.DUMMYFUNCTION("""COMPUTED_VALUE"""),"Cakung")</f>
        <v>Cakung</v>
      </c>
      <c r="Y1454" s="85" t="str">
        <f>IFERROR(__xludf.DUMMYFUNCTION("""COMPUTED_VALUE"""),"Jakarta Timur")</f>
        <v>Jakarta Timur</v>
      </c>
      <c r="Z1454" s="85" t="str">
        <f>IFERROR(__xludf.DUMMYFUNCTION("""COMPUTED_VALUE"""),"DKI Jakarta")</f>
        <v>DKI Jakarta</v>
      </c>
      <c r="AA1454" s="85" t="str">
        <f>IFERROR(__xludf.DUMMYFUNCTION("""COMPUTED_VALUE"""),"13940")</f>
        <v>13940</v>
      </c>
      <c r="AB1454" s="85" t="str">
        <f>IFERROR(__xludf.DUMMYFUNCTION("""COMPUTED_VALUE"""),"3173080101000008")</f>
        <v>3173080101000008</v>
      </c>
      <c r="AC1454" s="85" t="str">
        <f>IFERROR(__xludf.DUMMYFUNCTION("""COMPUTED_VALUE"""),"39.584.854.2-086.000")</f>
        <v>39.584.854.2-086.000</v>
      </c>
      <c r="AD1454" s="85" t="str">
        <f>IFERROR(__xludf.DUMMYFUNCTION("""COMPUTED_VALUE"""),"CUM - PS - ARKT")</f>
        <v>CUM - PS - ARKT</v>
      </c>
      <c r="AE1454" s="85" t="str">
        <f>IFERROR(__xludf.DUMMYFUNCTION("""COMPUTED_VALUE"""),"CUM - PS - ARKT")</f>
        <v>CUM - PS - ARKT</v>
      </c>
      <c r="AF1454" s="85" t="str">
        <f>IFERROR(__xludf.DUMMYFUNCTION("""COMPUTED_VALUE"""),"081285617127")</f>
        <v>081285617127</v>
      </c>
      <c r="AG1454" s="85" t="str">
        <f>IFERROR(__xludf.DUMMYFUNCTION("""COMPUTED_VALUE"""),"081285617127")</f>
        <v>081285617127</v>
      </c>
      <c r="AH1454" s="85" t="str">
        <f>IFERROR(__xludf.DUMMYFUNCTION("""COMPUTED_VALUE"""),"drsoemarnologistics@gmail.com")</f>
        <v>drsoemarnologistics@gmail.com</v>
      </c>
      <c r="AI1454" s="85"/>
      <c r="AJ1454" s="85"/>
      <c r="AK1454" s="85"/>
      <c r="AL1454" s="85"/>
      <c r="AM1454" s="85" t="str">
        <f>IFERROR(__xludf.DUMMYFUNCTION("""COMPUTED_VALUE"""),"KANTOR REGIONAL II JAKARTA 10004")</f>
        <v>KANTOR REGIONAL II JAKARTA 10004</v>
      </c>
      <c r="AN1454" s="85" t="str">
        <f>IFERROR(__xludf.DUMMYFUNCTION("""COMPUTED_VALUE"""),"KCU JAKARTAPREMIER 13000")</f>
        <v>KCU JAKARTAPREMIER 13000</v>
      </c>
      <c r="AO1454" s="85" t="str">
        <f>IFERROR(__xludf.DUMMYFUNCTION("""COMPUTED_VALUE"""),"0909260019287")</f>
        <v>0909260019287</v>
      </c>
      <c r="AP1454" s="85" t="str">
        <f>IFERROR(__xludf.DUMMYFUNCTION("""COMPUTED_VALUE"""),"0909260019287")</f>
        <v>0909260019287</v>
      </c>
      <c r="AQ1454" s="93" t="str">
        <f>IFERROR(__xludf.DUMMYFUNCTION("""COMPUTED_VALUE"""),"006191765")</f>
        <v>006191765</v>
      </c>
      <c r="AR1454" s="85" t="str">
        <f>IFERROR(__xludf.DUMMYFUNCTION("""COMPUTED_VALUE"""),"BCA")</f>
        <v>BCA</v>
      </c>
      <c r="AS1454" s="85" t="str">
        <f>IFERROR(__xludf.DUMMYFUNCTION("""COMPUTED_VALUE"""),"AXMAL FAUZA")</f>
        <v>AXMAL FAUZA</v>
      </c>
      <c r="AT1454" s="85" t="str">
        <f>IFERROR(__xludf.DUMMYFUNCTION("""COMPUTED_VALUE"""),"-6.2126729,106.9422606")</f>
        <v>-6.2126729,106.9422606</v>
      </c>
      <c r="AU1454" s="85" t="str">
        <f>IFERROR(__xludf.DUMMYFUNCTION("""COMPUTED_VALUE"""),"-6.2126729,106.9422606")</f>
        <v>-6.2126729,106.9422606</v>
      </c>
      <c r="AV1454" s="85"/>
      <c r="AW1454" s="85"/>
      <c r="AX1454" s="85"/>
      <c r="AY1454" s="85"/>
      <c r="AZ1454" s="85"/>
      <c r="BA1454" s="85"/>
      <c r="BB1454" s="85"/>
      <c r="BC1454" s="85"/>
      <c r="BD1454" s="85"/>
      <c r="BE1454" s="85"/>
      <c r="BF1454" s="85"/>
      <c r="BG1454" s="85"/>
      <c r="BH1454" s="85"/>
      <c r="BI1454" s="85"/>
      <c r="BJ1454" s="85"/>
      <c r="BK1454" s="85"/>
      <c r="BL1454" s="85"/>
      <c r="BM1454" s="85"/>
      <c r="BN1454" s="85"/>
      <c r="BO1454" s="85"/>
      <c r="BP1454" s="85"/>
      <c r="BQ1454" s="85"/>
      <c r="BR1454" s="85"/>
      <c r="BS1454" s="85"/>
      <c r="BT1454" s="85"/>
      <c r="BU1454" s="85"/>
      <c r="BV1454" s="85"/>
      <c r="BW1454" s="85"/>
      <c r="BX1454" s="85"/>
      <c r="BY1454" s="85"/>
      <c r="BZ1454" s="85"/>
      <c r="CA1454" s="85"/>
      <c r="CB1454" s="85"/>
      <c r="CC1454" s="85"/>
      <c r="CD1454" s="85"/>
      <c r="CE1454" s="85"/>
      <c r="CF1454" s="85"/>
      <c r="CG1454" s="85"/>
      <c r="CH1454" s="85"/>
      <c r="CI1454" s="85"/>
      <c r="CJ1454" s="85"/>
      <c r="CK1454" s="2"/>
    </row>
    <row r="1455" ht="12.75" customHeight="1">
      <c r="A1455" s="80">
        <f>IFERROR(__xludf.DUMMYFUNCTION("""COMPUTED_VALUE"""),1451.0)</f>
        <v>1451</v>
      </c>
      <c r="B1455" s="80"/>
      <c r="C1455" s="80"/>
      <c r="D1455" s="81">
        <f>IFERROR(__xludf.DUMMYFUNCTION("""COMPUTED_VALUE"""),46274.0)</f>
        <v>46274</v>
      </c>
      <c r="E1455" s="82"/>
      <c r="F1455" s="80"/>
      <c r="G1455" s="81"/>
      <c r="H1455" s="80"/>
      <c r="I1455" s="80"/>
      <c r="J1455" s="80"/>
      <c r="K1455" s="80"/>
      <c r="L1455" s="80"/>
      <c r="M1455" s="80"/>
      <c r="N1455" s="80"/>
      <c r="O1455" s="80"/>
      <c r="P1455" s="80" t="str">
        <f>IFERROR(__xludf.DUMMYFUNCTION("""COMPUTED_VALUE"""),"53BSPA17234JBEEN")</f>
        <v>53BSPA17234JBEEN</v>
      </c>
      <c r="Q1455" s="80" t="str">
        <f>IFERROR(__xludf.DUMMYFUNCTION("""COMPUTED_VALUE"""),"MUC ABISAVIRA GARUDA")</f>
        <v>MUC ABISAVIRA GARUDA</v>
      </c>
      <c r="R1455" s="80" t="str">
        <f>IFERROR(__xludf.DUMMYFUNCTION("""COMPUTED_VALUE"""),"MUC ABISAVIRA GARUDA")</f>
        <v>MUC ABISAVIRA GARUDA</v>
      </c>
      <c r="S1455" s="80" t="str">
        <f>IFERROR(__xludf.DUMMYFUNCTION("""COMPUTED_VALUE"""),"AJI PUJENDRO PRIYOSUDEWO")</f>
        <v>AJI PUJENDRO PRIYOSUDEWO</v>
      </c>
      <c r="T1455" s="80" t="str">
        <f>IFERROR(__xludf.DUMMYFUNCTION("""COMPUTED_VALUE"""),"KOMP. MABES HANKAM JL. TELERAMA 1 Κ.45/4 RT.011/RW.002 PASIR GUNUNG SELATAN CIMANGGIS KOTA DEPOK JAWA BARAT")</f>
        <v>KOMP. MABES HANKAM JL. TELERAMA 1 Κ.45/4 RT.011/RW.002 PASIR GUNUNG SELATAN CIMANGGIS KOTA DEPOK JAWA BARAT</v>
      </c>
      <c r="U1455" s="80" t="str">
        <f>IFERROR(__xludf.DUMMYFUNCTION("""COMPUTED_VALUE"""),"Jl. Garuda 1 No.37, RT.12/RW.9, Pasir Gn. Selatan")</f>
        <v>Jl. Garuda 1 No.37, RT.12/RW.9, Pasir Gn. Selatan</v>
      </c>
      <c r="V1455" s="80" t="str">
        <f>IFERROR(__xludf.DUMMYFUNCTION("""COMPUTED_VALUE"""),"RT.011 \ RW.002")</f>
        <v>RT.011 \ RW.002</v>
      </c>
      <c r="W1455" s="80" t="str">
        <f>IFERROR(__xludf.DUMMYFUNCTION("""COMPUTED_VALUE"""),"Pasir Gunung Selatan")</f>
        <v>Pasir Gunung Selatan</v>
      </c>
      <c r="X1455" s="80" t="str">
        <f>IFERROR(__xludf.DUMMYFUNCTION("""COMPUTED_VALUE"""),"Cimanggis")</f>
        <v>Cimanggis</v>
      </c>
      <c r="Y1455" s="80" t="str">
        <f>IFERROR(__xludf.DUMMYFUNCTION("""COMPUTED_VALUE"""),"Depok")</f>
        <v>Depok</v>
      </c>
      <c r="Z1455" s="80" t="str">
        <f>IFERROR(__xludf.DUMMYFUNCTION("""COMPUTED_VALUE"""),"Jawa Barat")</f>
        <v>Jawa Barat</v>
      </c>
      <c r="AA1455" s="80" t="str">
        <f>IFERROR(__xludf.DUMMYFUNCTION("""COMPUTED_VALUE"""),"16451")</f>
        <v>16451</v>
      </c>
      <c r="AB1455" s="80" t="str">
        <f>IFERROR(__xludf.DUMMYFUNCTION("""COMPUTED_VALUE"""),"3276022607920005")</f>
        <v>3276022607920005</v>
      </c>
      <c r="AC1455" s="80" t="str">
        <f>IFERROR(__xludf.DUMMYFUNCTION("""COMPUTED_VALUE"""),"32.419.772.2-412.000")</f>
        <v>32.419.772.2-412.000</v>
      </c>
      <c r="AD1455" s="80" t="str">
        <f>IFERROR(__xludf.DUMMYFUNCTION("""COMPUTED_VALUE"""),"CUM - EEN")</f>
        <v>CUM - EEN</v>
      </c>
      <c r="AE1455" s="80" t="str">
        <f>IFERROR(__xludf.DUMMYFUNCTION("""COMPUTED_VALUE"""),"CUM - EEN")</f>
        <v>CUM - EEN</v>
      </c>
      <c r="AF1455" s="80" t="str">
        <f>IFERROR(__xludf.DUMMYFUNCTION("""COMPUTED_VALUE"""),"0895347941800")</f>
        <v>0895347941800</v>
      </c>
      <c r="AG1455" s="80" t="str">
        <f>IFERROR(__xludf.DUMMYFUNCTION("""COMPUTED_VALUE"""),"0895347941800")</f>
        <v>0895347941800</v>
      </c>
      <c r="AH1455" s="80" t="str">
        <f>IFERROR(__xludf.DUMMYFUNCTION("""COMPUTED_VALUE"""),"pujendro37@gmail.com")</f>
        <v>pujendro37@gmail.com</v>
      </c>
      <c r="AI1455" s="80"/>
      <c r="AJ1455" s="80"/>
      <c r="AK1455" s="80"/>
      <c r="AL1455" s="80"/>
      <c r="AM1455" s="80" t="str">
        <f>IFERROR(__xludf.DUMMYFUNCTION("""COMPUTED_VALUE"""),"KANTOR REGIONAL II JAKARTA 10004")</f>
        <v>KANTOR REGIONAL II JAKARTA 10004</v>
      </c>
      <c r="AN1455" s="80" t="str">
        <f>IFERROR(__xludf.DUMMYFUNCTION("""COMPUTED_VALUE"""),"KC DEPOK 16400")</f>
        <v>KC DEPOK 16400</v>
      </c>
      <c r="AO1455" s="80" t="str">
        <f>IFERROR(__xludf.DUMMYFUNCTION("""COMPUTED_VALUE"""),"2405240022817")</f>
        <v>2405240022817</v>
      </c>
      <c r="AP1455" s="80" t="str">
        <f>IFERROR(__xludf.DUMMYFUNCTION("""COMPUTED_VALUE"""),"2405240022817")</f>
        <v>2405240022817</v>
      </c>
      <c r="AQ1455" s="83" t="str">
        <f>IFERROR(__xludf.DUMMYFUNCTION("""COMPUTED_VALUE"""),"1660171769")</f>
        <v>1660171769</v>
      </c>
      <c r="AR1455" s="80" t="str">
        <f>IFERROR(__xludf.DUMMYFUNCTION("""COMPUTED_VALUE"""),"BCA")</f>
        <v>BCA</v>
      </c>
      <c r="AS1455" s="80" t="str">
        <f>IFERROR(__xludf.DUMMYFUNCTION("""COMPUTED_VALUE"""),"AJI PUJENDRO PRIYOSUDEWO")</f>
        <v>AJI PUJENDRO PRIYOSUDEWO</v>
      </c>
      <c r="AT1455" s="80" t="str">
        <f>IFERROR(__xludf.DUMMYFUNCTION("""COMPUTED_VALUE"""),"-6.3450738,106.8487491")</f>
        <v>-6.3450738,106.8487491</v>
      </c>
      <c r="AU1455" s="80" t="str">
        <f>IFERROR(__xludf.DUMMYFUNCTION("""COMPUTED_VALUE"""),"-6.3450738,106.8487491")</f>
        <v>-6.3450738,106.8487491</v>
      </c>
      <c r="AV1455" s="80"/>
      <c r="AW1455" s="80"/>
      <c r="AX1455" s="80"/>
      <c r="AY1455" s="80"/>
      <c r="AZ1455" s="80"/>
      <c r="BA1455" s="80"/>
      <c r="BB1455" s="80"/>
      <c r="BC1455" s="80"/>
      <c r="BD1455" s="80"/>
      <c r="BE1455" s="80"/>
      <c r="BF1455" s="80"/>
      <c r="BG1455" s="80"/>
      <c r="BH1455" s="80"/>
      <c r="BI1455" s="80"/>
      <c r="BJ1455" s="80"/>
      <c r="BK1455" s="80"/>
      <c r="BL1455" s="80"/>
      <c r="BM1455" s="80"/>
      <c r="BN1455" s="80"/>
      <c r="BO1455" s="80"/>
      <c r="BP1455" s="80"/>
      <c r="BQ1455" s="80"/>
      <c r="BR1455" s="80"/>
      <c r="BS1455" s="80"/>
      <c r="BT1455" s="80"/>
      <c r="BU1455" s="80"/>
      <c r="BV1455" s="80"/>
      <c r="BW1455" s="80"/>
      <c r="BX1455" s="80"/>
      <c r="BY1455" s="80"/>
      <c r="BZ1455" s="80"/>
      <c r="CA1455" s="80"/>
      <c r="CB1455" s="80"/>
      <c r="CC1455" s="80"/>
      <c r="CD1455" s="80"/>
      <c r="CE1455" s="80"/>
      <c r="CF1455" s="80"/>
      <c r="CG1455" s="80"/>
      <c r="CH1455" s="80"/>
      <c r="CI1455" s="80"/>
      <c r="CJ1455" s="80"/>
      <c r="CK1455" s="2"/>
    </row>
    <row r="1456" ht="12.75" customHeight="1">
      <c r="A1456" s="85">
        <f>IFERROR(__xludf.DUMMYFUNCTION("""COMPUTED_VALUE"""),1452.0)</f>
        <v>1452</v>
      </c>
      <c r="B1456" s="85"/>
      <c r="C1456" s="85"/>
      <c r="D1456" s="86">
        <f>IFERROR(__xludf.DUMMYFUNCTION("""COMPUTED_VALUE"""),46274.0)</f>
        <v>46274</v>
      </c>
      <c r="E1456" s="88"/>
      <c r="F1456" s="85"/>
      <c r="G1456" s="86"/>
      <c r="H1456" s="85"/>
      <c r="I1456" s="85"/>
      <c r="J1456" s="85"/>
      <c r="K1456" s="85"/>
      <c r="L1456" s="85"/>
      <c r="M1456" s="85"/>
      <c r="N1456" s="85"/>
      <c r="O1456" s="85"/>
      <c r="P1456" s="85" t="str">
        <f>IFERROR(__xludf.DUMMYFUNCTION("""COMPUTED_VALUE"""),"MUCSPA63677PSIND")</f>
        <v>MUCSPA63677PSIND</v>
      </c>
      <c r="Q1456" s="85" t="str">
        <f>IFERROR(__xludf.DUMMYFUNCTION("""COMPUTED_VALUE"""),"MUC B9 EXPRESS")</f>
        <v>MUC B9 EXPRESS</v>
      </c>
      <c r="R1456" s="85" t="str">
        <f>IFERROR(__xludf.DUMMYFUNCTION("""COMPUTED_VALUE"""),"MUC B9 EXPRESS")</f>
        <v>MUC B9 EXPRESS</v>
      </c>
      <c r="S1456" s="85" t="str">
        <f>IFERROR(__xludf.DUMMYFUNCTION("""COMPUTED_VALUE"""),"DESY MUZDAWIYAH AN NISSA")</f>
        <v>DESY MUZDAWIYAH AN NISSA</v>
      </c>
      <c r="T1456" s="85" t="str">
        <f>IFERROR(__xludf.DUMMYFUNCTION("""COMPUTED_VALUE"""),"BLOK 01 RT.005/RW.001 PABUARAN KIDUL PABUARAN KABUPATEN CIREBON JAWA BARAT")</f>
        <v>BLOK 01 RT.005/RW.001 PABUARAN KIDUL PABUARAN KABUPATEN CIREBON JAWA BARAT</v>
      </c>
      <c r="U1456" s="85" t="str">
        <f>IFERROR(__xludf.DUMMYFUNCTION("""COMPUTED_VALUE"""),"Perumahan Pabuaran Kedaton B9/37 Pabuaran Kidul")</f>
        <v>Perumahan Pabuaran Kedaton B9/37 Pabuaran Kidul</v>
      </c>
      <c r="V1456" s="85" t="str">
        <f>IFERROR(__xludf.DUMMYFUNCTION("""COMPUTED_VALUE"""),"RT.005 \ RW.001")</f>
        <v>RT.005 \ RW.001</v>
      </c>
      <c r="W1456" s="85" t="str">
        <f>IFERROR(__xludf.DUMMYFUNCTION("""COMPUTED_VALUE"""),"Pabuaran Kidul")</f>
        <v>Pabuaran Kidul</v>
      </c>
      <c r="X1456" s="85" t="str">
        <f>IFERROR(__xludf.DUMMYFUNCTION("""COMPUTED_VALUE"""),"Pabuaran")</f>
        <v>Pabuaran</v>
      </c>
      <c r="Y1456" s="85" t="str">
        <f>IFERROR(__xludf.DUMMYFUNCTION("""COMPUTED_VALUE"""),"Kab. Cirebon")</f>
        <v>Kab. Cirebon</v>
      </c>
      <c r="Z1456" s="85" t="str">
        <f>IFERROR(__xludf.DUMMYFUNCTION("""COMPUTED_VALUE"""),"Jawa Barat")</f>
        <v>Jawa Barat</v>
      </c>
      <c r="AA1456" s="85" t="str">
        <f>IFERROR(__xludf.DUMMYFUNCTION("""COMPUTED_VALUE"""),"45696")</f>
        <v>45696</v>
      </c>
      <c r="AB1456" s="85" t="str">
        <f>IFERROR(__xludf.DUMMYFUNCTION("""COMPUTED_VALUE"""),"3274035412780002")</f>
        <v>3274035412780002</v>
      </c>
      <c r="AC1456" s="85" t="str">
        <f>IFERROR(__xludf.DUMMYFUNCTION("""COMPUTED_VALUE"""),"77.522.913.1-426.000")</f>
        <v>77.522.913.1-426.000</v>
      </c>
      <c r="AD1456" s="85" t="str">
        <f>IFERROR(__xludf.DUMMYFUNCTION("""COMPUTED_VALUE"""),"Bu Lia BM karangsembung")</f>
        <v>Bu Lia BM karangsembung</v>
      </c>
      <c r="AE1456" s="85" t="str">
        <f>IFERROR(__xludf.DUMMYFUNCTION("""COMPUTED_VALUE"""),"Bu Lia BM karangsembung")</f>
        <v>Bu Lia BM karangsembung</v>
      </c>
      <c r="AF1456" s="85" t="str">
        <f>IFERROR(__xludf.DUMMYFUNCTION("""COMPUTED_VALUE"""),"081222768283")</f>
        <v>081222768283</v>
      </c>
      <c r="AG1456" s="85" t="str">
        <f>IFERROR(__xludf.DUMMYFUNCTION("""COMPUTED_VALUE"""),"081222768283")</f>
        <v>081222768283</v>
      </c>
      <c r="AH1456" s="85" t="str">
        <f>IFERROR(__xludf.DUMMYFUNCTION("""COMPUTED_VALUE"""),"desy.annisaa11@gmail.com")</f>
        <v>desy.annisaa11@gmail.com</v>
      </c>
      <c r="AI1456" s="85"/>
      <c r="AJ1456" s="85"/>
      <c r="AK1456" s="85"/>
      <c r="AL1456" s="85"/>
      <c r="AM1456" s="85" t="str">
        <f>IFERROR(__xludf.DUMMYFUNCTION("""COMPUTED_VALUE"""),"KANTOR REGIONAL III BANDUNG 40004")</f>
        <v>KANTOR REGIONAL III BANDUNG 40004</v>
      </c>
      <c r="AN1456" s="85" t="str">
        <f>IFERROR(__xludf.DUMMYFUNCTION("""COMPUTED_VALUE"""),"KCU CIREBON 45100")</f>
        <v>KCU CIREBON 45100</v>
      </c>
      <c r="AO1456" s="85" t="str">
        <f>IFERROR(__xludf.DUMMYFUNCTION("""COMPUTED_VALUE"""),"0909260067821")</f>
        <v>0909260067821</v>
      </c>
      <c r="AP1456" s="85" t="str">
        <f>IFERROR(__xludf.DUMMYFUNCTION("""COMPUTED_VALUE"""),"0909260067821")</f>
        <v>0909260067821</v>
      </c>
      <c r="AQ1456" s="93" t="str">
        <f>IFERROR(__xludf.DUMMYFUNCTION("""COMPUTED_VALUE"""),"7165068011")</f>
        <v>7165068011</v>
      </c>
      <c r="AR1456" s="85" t="str">
        <f>IFERROR(__xludf.DUMMYFUNCTION("""COMPUTED_VALUE"""),"BANK SYARIAH MANDIRI")</f>
        <v>BANK SYARIAH MANDIRI</v>
      </c>
      <c r="AS1456" s="85" t="str">
        <f>IFERROR(__xludf.DUMMYFUNCTION("""COMPUTED_VALUE"""),"DESY MUZDAWIYAH ANNISAA")</f>
        <v>DESY MUZDAWIYAH ANNISAA</v>
      </c>
      <c r="AT1456" s="85" t="str">
        <f>IFERROR(__xludf.DUMMYFUNCTION("""COMPUTED_VALUE"""),"-6.9079181,108.7295924")</f>
        <v>-6.9079181,108.7295924</v>
      </c>
      <c r="AU1456" s="85" t="str">
        <f>IFERROR(__xludf.DUMMYFUNCTION("""COMPUTED_VALUE"""),"-6.9079181,108.7295924")</f>
        <v>-6.9079181,108.7295924</v>
      </c>
      <c r="AV1456" s="85"/>
      <c r="AW1456" s="85"/>
      <c r="AX1456" s="85"/>
      <c r="AY1456" s="85"/>
      <c r="AZ1456" s="85"/>
      <c r="BA1456" s="85"/>
      <c r="BB1456" s="85"/>
      <c r="BC1456" s="85"/>
      <c r="BD1456" s="85"/>
      <c r="BE1456" s="85"/>
      <c r="BF1456" s="85"/>
      <c r="BG1456" s="85"/>
      <c r="BH1456" s="85"/>
      <c r="BI1456" s="85"/>
      <c r="BJ1456" s="85"/>
      <c r="BK1456" s="85"/>
      <c r="BL1456" s="85"/>
      <c r="BM1456" s="85"/>
      <c r="BN1456" s="85"/>
      <c r="BO1456" s="85"/>
      <c r="BP1456" s="85"/>
      <c r="BQ1456" s="85"/>
      <c r="BR1456" s="85"/>
      <c r="BS1456" s="85"/>
      <c r="BT1456" s="85"/>
      <c r="BU1456" s="85"/>
      <c r="BV1456" s="85"/>
      <c r="BW1456" s="85"/>
      <c r="BX1456" s="85"/>
      <c r="BY1456" s="85"/>
      <c r="BZ1456" s="85"/>
      <c r="CA1456" s="85"/>
      <c r="CB1456" s="85"/>
      <c r="CC1456" s="85"/>
      <c r="CD1456" s="85"/>
      <c r="CE1456" s="85"/>
      <c r="CF1456" s="85"/>
      <c r="CG1456" s="85"/>
      <c r="CH1456" s="85"/>
      <c r="CI1456" s="85"/>
      <c r="CJ1456" s="85"/>
      <c r="CK1456" s="2"/>
    </row>
    <row r="1457" ht="12.75" customHeight="1">
      <c r="A1457" s="80">
        <f>IFERROR(__xludf.DUMMYFUNCTION("""COMPUTED_VALUE"""),1453.0)</f>
        <v>1453</v>
      </c>
      <c r="B1457" s="80"/>
      <c r="C1457" s="80"/>
      <c r="D1457" s="81">
        <f>IFERROR(__xludf.DUMMYFUNCTION("""COMPUTED_VALUE"""),46275.0)</f>
        <v>46275</v>
      </c>
      <c r="E1457" s="82"/>
      <c r="F1457" s="80"/>
      <c r="G1457" s="81"/>
      <c r="H1457" s="80"/>
      <c r="I1457" s="80"/>
      <c r="J1457" s="80"/>
      <c r="K1457" s="80"/>
      <c r="L1457" s="80"/>
      <c r="M1457" s="80"/>
      <c r="N1457" s="80"/>
      <c r="O1457" s="80"/>
      <c r="P1457" s="80" t="str">
        <f>IFERROR(__xludf.DUMMYFUNCTION("""COMPUTED_VALUE"""),"MUC70186UMKMDSN1")</f>
        <v>MUC70186UMKMDSN1</v>
      </c>
      <c r="Q1457" s="80" t="str">
        <f>IFERROR(__xludf.DUMMYFUNCTION("""COMPUTED_VALUE"""),"MUC JATITENGAH")</f>
        <v>MUC JATITENGAH</v>
      </c>
      <c r="R1457" s="80" t="str">
        <f>IFERROR(__xludf.DUMMYFUNCTION("""COMPUTED_VALUE"""),"MUC JATITENGAH")</f>
        <v>MUC JATITENGAH</v>
      </c>
      <c r="S1457" s="80" t="str">
        <f>IFERROR(__xludf.DUMMYFUNCTION("""COMPUTED_VALUE"""),"ASMADI")</f>
        <v>ASMADI</v>
      </c>
      <c r="T1457" s="80" t="str">
        <f>IFERROR(__xludf.DUMMYFUNCTION("""COMPUTED_VALUE"""),"JATITENGAH RT 12 RW 00, JATITENGAH, SUKODONO, KAB.SRAGEN")</f>
        <v>JATITENGAH RT 12 RW 00, JATITENGAH, SUKODONO, KAB.SRAGEN</v>
      </c>
      <c r="U1457" s="80" t="str">
        <f>IFERROR(__xludf.DUMMYFUNCTION("""COMPUTED_VALUE"""),"JL. RAYA GESI SRAGEN JATITENGAH RT 12 RW 00")</f>
        <v>JL. RAYA GESI SRAGEN JATITENGAH RT 12 RW 00</v>
      </c>
      <c r="V1457" s="80" t="str">
        <f>IFERROR(__xludf.DUMMYFUNCTION("""COMPUTED_VALUE"""),"RT 12  \ RW 00,")</f>
        <v>RT 12  \ RW 00,</v>
      </c>
      <c r="W1457" s="80" t="str">
        <f>IFERROR(__xludf.DUMMYFUNCTION("""COMPUTED_VALUE"""),"JATITENGAH")</f>
        <v>JATITENGAH</v>
      </c>
      <c r="X1457" s="80" t="str">
        <f>IFERROR(__xludf.DUMMYFUNCTION("""COMPUTED_VALUE"""),"SUKODONO")</f>
        <v>SUKODONO</v>
      </c>
      <c r="Y1457" s="80" t="str">
        <f>IFERROR(__xludf.DUMMYFUNCTION("""COMPUTED_VALUE"""),"KAB.SRAGEN")</f>
        <v>KAB.SRAGEN</v>
      </c>
      <c r="Z1457" s="80" t="str">
        <f>IFERROR(__xludf.DUMMYFUNCTION("""COMPUTED_VALUE"""),"JAWA TENGAH")</f>
        <v>JAWA TENGAH</v>
      </c>
      <c r="AA1457" s="80" t="str">
        <f>IFERROR(__xludf.DUMMYFUNCTION("""COMPUTED_VALUE"""),"57263")</f>
        <v>57263</v>
      </c>
      <c r="AB1457" s="80" t="str">
        <f>IFERROR(__xludf.DUMMYFUNCTION("""COMPUTED_VALUE"""),"3314172202700002")</f>
        <v>3314172202700002</v>
      </c>
      <c r="AC1457" s="80" t="str">
        <f>IFERROR(__xludf.DUMMYFUNCTION("""COMPUTED_VALUE"""),"34.162.420.3-528.000")</f>
        <v>34.162.420.3-528.000</v>
      </c>
      <c r="AD1457" s="80" t="str">
        <f>IFERROR(__xludf.DUMMYFUNCTION("""COMPUTED_VALUE"""),"CUM - UNK - DEKOPIN SITI")</f>
        <v>CUM - UNK - DEKOPIN SITI</v>
      </c>
      <c r="AE1457" s="80" t="str">
        <f>IFERROR(__xludf.DUMMYFUNCTION("""COMPUTED_VALUE"""),"CUM - UNK - DEKOPIN SITI")</f>
        <v>CUM - UNK - DEKOPIN SITI</v>
      </c>
      <c r="AF1457" s="80" t="str">
        <f>IFERROR(__xludf.DUMMYFUNCTION("""COMPUTED_VALUE"""),"081289662934")</f>
        <v>081289662934</v>
      </c>
      <c r="AG1457" s="80" t="str">
        <f>IFERROR(__xludf.DUMMYFUNCTION("""COMPUTED_VALUE"""),"081289662934")</f>
        <v>081289662934</v>
      </c>
      <c r="AH1457" s="80" t="str">
        <f>IFERROR(__xludf.DUMMYFUNCTION("""COMPUTED_VALUE"""),"candradewialjayati@gmail.com")</f>
        <v>candradewialjayati@gmail.com</v>
      </c>
      <c r="AI1457" s="80"/>
      <c r="AJ1457" s="80"/>
      <c r="AK1457" s="80"/>
      <c r="AL1457" s="80"/>
      <c r="AM1457" s="80" t="str">
        <f>IFERROR(__xludf.DUMMYFUNCTION("""COMPUTED_VALUE"""),"KANTOR REGIONAL IV SEMARANG 50004")</f>
        <v>KANTOR REGIONAL IV SEMARANG 50004</v>
      </c>
      <c r="AN1457" s="80" t="str">
        <f>IFERROR(__xludf.DUMMYFUNCTION("""COMPUTED_VALUE"""),"KC SRAGEN 57200")</f>
        <v>KC SRAGEN 57200</v>
      </c>
      <c r="AO1457" s="80" t="str">
        <f>IFERROR(__xludf.DUMMYFUNCTION("""COMPUTED_VALUE"""),"0606220034505")</f>
        <v>0606220034505</v>
      </c>
      <c r="AP1457" s="80" t="str">
        <f>IFERROR(__xludf.DUMMYFUNCTION("""COMPUTED_VALUE"""),"0606220034505")</f>
        <v>0606220034505</v>
      </c>
      <c r="AQ1457" s="83" t="str">
        <f>IFERROR(__xludf.DUMMYFUNCTION("""COMPUTED_VALUE"""),"055901018000538")</f>
        <v>055901018000538</v>
      </c>
      <c r="AR1457" s="80" t="str">
        <f>IFERROR(__xludf.DUMMYFUNCTION("""COMPUTED_VALUE"""),"BRI")</f>
        <v>BRI</v>
      </c>
      <c r="AS1457" s="80" t="str">
        <f>IFERROR(__xludf.DUMMYFUNCTION("""COMPUTED_VALUE"""),"ASMADI")</f>
        <v>ASMADI</v>
      </c>
      <c r="AT1457" s="80" t="str">
        <f>IFERROR(__xludf.DUMMYFUNCTION("""COMPUTED_VALUE"""),"-7.3674666,110.985781")</f>
        <v>-7.3674666,110.985781</v>
      </c>
      <c r="AU1457" s="80" t="str">
        <f>IFERROR(__xludf.DUMMYFUNCTION("""COMPUTED_VALUE"""),"-7.3674666,110.985781")</f>
        <v>-7.3674666,110.985781</v>
      </c>
      <c r="AV1457" s="80"/>
      <c r="AW1457" s="80"/>
      <c r="AX1457" s="80"/>
      <c r="AY1457" s="80"/>
      <c r="AZ1457" s="80"/>
      <c r="BA1457" s="80"/>
      <c r="BB1457" s="80"/>
      <c r="BC1457" s="80"/>
      <c r="BD1457" s="80"/>
      <c r="BE1457" s="80"/>
      <c r="BF1457" s="80"/>
      <c r="BG1457" s="80"/>
      <c r="BH1457" s="80"/>
      <c r="BI1457" s="80"/>
      <c r="BJ1457" s="80"/>
      <c r="BK1457" s="80"/>
      <c r="BL1457" s="80"/>
      <c r="BM1457" s="80"/>
      <c r="BN1457" s="80"/>
      <c r="BO1457" s="80"/>
      <c r="BP1457" s="80"/>
      <c r="BQ1457" s="80"/>
      <c r="BR1457" s="80"/>
      <c r="BS1457" s="80"/>
      <c r="BT1457" s="80"/>
      <c r="BU1457" s="80"/>
      <c r="BV1457" s="80"/>
      <c r="BW1457" s="80"/>
      <c r="BX1457" s="80"/>
      <c r="BY1457" s="80"/>
      <c r="BZ1457" s="80"/>
      <c r="CA1457" s="80"/>
      <c r="CB1457" s="80"/>
      <c r="CC1457" s="80"/>
      <c r="CD1457" s="80"/>
      <c r="CE1457" s="80"/>
      <c r="CF1457" s="80"/>
      <c r="CG1457" s="80"/>
      <c r="CH1457" s="80"/>
      <c r="CI1457" s="80"/>
      <c r="CJ1457" s="80"/>
      <c r="CK1457" s="2"/>
    </row>
    <row r="1458" ht="12.75" customHeight="1">
      <c r="A1458" s="85">
        <f>IFERROR(__xludf.DUMMYFUNCTION("""COMPUTED_VALUE"""),1454.0)</f>
        <v>1454</v>
      </c>
      <c r="B1458" s="85"/>
      <c r="C1458" s="85"/>
      <c r="D1458" s="86">
        <f>IFERROR(__xludf.DUMMYFUNCTION("""COMPUTED_VALUE"""),46275.0)</f>
        <v>46275</v>
      </c>
      <c r="E1458" s="88"/>
      <c r="F1458" s="85"/>
      <c r="G1458" s="86">
        <f>IFERROR(__xludf.DUMMYFUNCTION("""COMPUTED_VALUE"""),46279.0)</f>
        <v>46279</v>
      </c>
      <c r="H1458" s="85"/>
      <c r="I1458" s="85"/>
      <c r="J1458" s="85"/>
      <c r="K1458" s="85"/>
      <c r="L1458" s="85">
        <f>IFERROR(__xludf.DUMMYFUNCTION("""COMPUTED_VALUE"""),4.0)</f>
        <v>4</v>
      </c>
      <c r="M1458" s="85"/>
      <c r="N1458" s="85"/>
      <c r="O1458" s="85"/>
      <c r="P1458" s="85" t="str">
        <f>IFERROR(__xludf.DUMMYFUNCTION("""COMPUTED_VALUE"""),"MUCSPA63678PSIND")</f>
        <v>MUCSPA63678PSIND</v>
      </c>
      <c r="Q1458" s="85" t="str">
        <f>IFERROR(__xludf.DUMMYFUNCTION("""COMPUTED_VALUE"""),"MUC UD FAMAERI DIGITAL")</f>
        <v>MUC UD FAMAERI DIGITAL</v>
      </c>
      <c r="R1458" s="85" t="str">
        <f>IFERROR(__xludf.DUMMYFUNCTION("""COMPUTED_VALUE"""),"MUC UD FAMAERI DIGITAL")</f>
        <v>MUC UD FAMAERI DIGITAL</v>
      </c>
      <c r="S1458" s="85" t="str">
        <f>IFERROR(__xludf.DUMMYFUNCTION("""COMPUTED_VALUE"""),"MERI KRISTIANI TELAUMBANUA")</f>
        <v>MERI KRISTIANI TELAUMBANUA</v>
      </c>
      <c r="T1458" s="85" t="str">
        <f>IFERROR(__xludf.DUMMYFUNCTION("""COMPUTED_VALUE"""),"HILIHAMBAWA RT 11 RW 06,ONOZITOLI SAWO, SAWO, KAB.NIAS UTARA")</f>
        <v>HILIHAMBAWA RT 11 RW 06,ONOZITOLI SAWO, SAWO, KAB.NIAS UTARA</v>
      </c>
      <c r="U1458" s="85" t="str">
        <f>IFERROR(__xludf.DUMMYFUNCTION("""COMPUTED_VALUE"""),"JL. ARAH GUNUNGSITOLI LAHEWA NO.87")</f>
        <v>JL. ARAH GUNUNGSITOLI LAHEWA NO.87</v>
      </c>
      <c r="V1458" s="85" t="str">
        <f>IFERROR(__xludf.DUMMYFUNCTION("""COMPUTED_VALUE"""),"RT 11  \ RW 06,")</f>
        <v>RT 11  \ RW 06,</v>
      </c>
      <c r="W1458" s="85" t="str">
        <f>IFERROR(__xludf.DUMMYFUNCTION("""COMPUTED_VALUE"""),"SAWO")</f>
        <v>SAWO</v>
      </c>
      <c r="X1458" s="85" t="str">
        <f>IFERROR(__xludf.DUMMYFUNCTION("""COMPUTED_VALUE"""),"SAWO")</f>
        <v>SAWO</v>
      </c>
      <c r="Y1458" s="85" t="str">
        <f>IFERROR(__xludf.DUMMYFUNCTION("""COMPUTED_VALUE"""),"KAB.NIAS UTARA")</f>
        <v>KAB.NIAS UTARA</v>
      </c>
      <c r="Z1458" s="85" t="str">
        <f>IFERROR(__xludf.DUMMYFUNCTION("""COMPUTED_VALUE"""),"SUMATERA UTARA")</f>
        <v>SUMATERA UTARA</v>
      </c>
      <c r="AA1458" s="85" t="str">
        <f>IFERROR(__xludf.DUMMYFUNCTION("""COMPUTED_VALUE"""),"22852")</f>
        <v>22852</v>
      </c>
      <c r="AB1458" s="85" t="str">
        <f>IFERROR(__xludf.DUMMYFUNCTION("""COMPUTED_VALUE"""),"1204324507930001")</f>
        <v>1204324507930001</v>
      </c>
      <c r="AC1458" s="85" t="str">
        <f>IFERROR(__xludf.DUMMYFUNCTION("""COMPUTED_VALUE"""),"41.410.671.6-126.000")</f>
        <v>41.410.671.6-126.000</v>
      </c>
      <c r="AD1458" s="85" t="str">
        <f>IFERROR(__xludf.DUMMYFUNCTION("""COMPUTED_VALUE"""),"Pak Rendra Pos KC Gunungsitoli")</f>
        <v>Pak Rendra Pos KC Gunungsitoli</v>
      </c>
      <c r="AE1458" s="85" t="str">
        <f>IFERROR(__xludf.DUMMYFUNCTION("""COMPUTED_VALUE"""),"Pak Rendra Pos KC Gunungsitoli")</f>
        <v>Pak Rendra Pos KC Gunungsitoli</v>
      </c>
      <c r="AF1458" s="85" t="str">
        <f>IFERROR(__xludf.DUMMYFUNCTION("""COMPUTED_VALUE"""),"082271506581")</f>
        <v>082271506581</v>
      </c>
      <c r="AG1458" s="85" t="str">
        <f>IFERROR(__xludf.DUMMYFUNCTION("""COMPUTED_VALUE"""),"082271506581")</f>
        <v>082271506581</v>
      </c>
      <c r="AH1458" s="85" t="str">
        <f>IFERROR(__xludf.DUMMYFUNCTION("""COMPUTED_VALUE"""),"famaeridigital@gmail.com")</f>
        <v>famaeridigital@gmail.com</v>
      </c>
      <c r="AI1458" s="85" t="str">
        <f>IFERROR(__xludf.DUMMYFUNCTION("""COMPUTED_VALUE"""),"22845S1 ")</f>
        <v>22845S1 </v>
      </c>
      <c r="AJ1458" s="85" t="str">
        <f>IFERROR(__xludf.DUMMYFUNCTION("""COMPUTED_VALUE"""),"6aa76e3743d507e45709e458 ")</f>
        <v>6aa76e3743d507e45709e458 </v>
      </c>
      <c r="AK1458" s="85" t="str">
        <f>IFERROR(__xludf.DUMMYFUNCTION("""COMPUTED_VALUE"""),"famaeridigital@gmail.com")</f>
        <v>famaeridigital@gmail.com</v>
      </c>
      <c r="AL1458" s="85" t="str">
        <f>IFERROR(__xludf.DUMMYFUNCTION("""COMPUTED_VALUE"""),"#Muc22845S1$")</f>
        <v>#Muc22845S1$</v>
      </c>
      <c r="AM1458" s="85" t="str">
        <f>IFERROR(__xludf.DUMMYFUNCTION("""COMPUTED_VALUE"""),"KANTOR REGIONAL I MEDAN 20004")</f>
        <v>KANTOR REGIONAL I MEDAN 20004</v>
      </c>
      <c r="AN1458" s="85" t="str">
        <f>IFERROR(__xludf.DUMMYFUNCTION("""COMPUTED_VALUE"""),"KC GUNUNGSITOLI 22800")</f>
        <v>KC GUNUNGSITOLI 22800</v>
      </c>
      <c r="AO1458" s="85" t="str">
        <f>IFERROR(__xludf.DUMMYFUNCTION("""COMPUTED_VALUE"""),"1244000211515")</f>
        <v>1244000211515</v>
      </c>
      <c r="AP1458" s="85" t="str">
        <f>IFERROR(__xludf.DUMMYFUNCTION("""COMPUTED_VALUE"""),"1244000211515")</f>
        <v>1244000211515</v>
      </c>
      <c r="AQ1458" s="93" t="str">
        <f>IFERROR(__xludf.DUMMYFUNCTION("""COMPUTED_VALUE"""),"27202040136390")</f>
        <v>27202040136390</v>
      </c>
      <c r="AR1458" s="85" t="str">
        <f>IFERROR(__xludf.DUMMYFUNCTION("""COMPUTED_VALUE"""),"BANK SUMUT")</f>
        <v>BANK SUMUT</v>
      </c>
      <c r="AS1458" s="85" t="str">
        <f>IFERROR(__xludf.DUMMYFUNCTION("""COMPUTED_VALUE"""),"MERI KRISTIANI TELAUMBANUA")</f>
        <v>MERI KRISTIANI TELAUMBANUA</v>
      </c>
      <c r="AT1458" s="85" t="str">
        <f>IFERROR(__xludf.DUMMYFUNCTION("""COMPUTED_VALUE"""),"1.4966579,97.3989147")</f>
        <v>1.4966579,97.3989147</v>
      </c>
      <c r="AU1458" s="85" t="str">
        <f>IFERROR(__xludf.DUMMYFUNCTION("""COMPUTED_VALUE"""),"1.4966579,97.3989147")</f>
        <v>1.4966579,97.3989147</v>
      </c>
      <c r="AV1458" s="85"/>
      <c r="AW1458" s="85"/>
      <c r="AX1458" s="85"/>
      <c r="AY1458" s="85"/>
      <c r="AZ1458" s="85"/>
      <c r="BA1458" s="85"/>
      <c r="BB1458" s="85"/>
      <c r="BC1458" s="85"/>
      <c r="BD1458" s="85"/>
      <c r="BE1458" s="85"/>
      <c r="BF1458" s="85"/>
      <c r="BG1458" s="85"/>
      <c r="BH1458" s="85"/>
      <c r="BI1458" s="85"/>
      <c r="BJ1458" s="85"/>
      <c r="BK1458" s="85"/>
      <c r="BL1458" s="85"/>
      <c r="BM1458" s="85"/>
      <c r="BN1458" s="85"/>
      <c r="BO1458" s="85"/>
      <c r="BP1458" s="85"/>
      <c r="BQ1458" s="85"/>
      <c r="BR1458" s="85"/>
      <c r="BS1458" s="85"/>
      <c r="BT1458" s="85"/>
      <c r="BU1458" s="85"/>
      <c r="BV1458" s="85"/>
      <c r="BW1458" s="85"/>
      <c r="BX1458" s="85"/>
      <c r="BY1458" s="85"/>
      <c r="BZ1458" s="85"/>
      <c r="CA1458" s="85"/>
      <c r="CB1458" s="85"/>
      <c r="CC1458" s="85"/>
      <c r="CD1458" s="85"/>
      <c r="CE1458" s="85"/>
      <c r="CF1458" s="85"/>
      <c r="CG1458" s="85"/>
      <c r="CH1458" s="85"/>
      <c r="CI1458" s="85"/>
      <c r="CJ1458" s="85"/>
      <c r="CK1458" s="2"/>
    </row>
    <row r="1459" ht="12.75" customHeight="1">
      <c r="A1459" s="80">
        <f>IFERROR(__xludf.DUMMYFUNCTION("""COMPUTED_VALUE"""),1455.0)</f>
        <v>1455</v>
      </c>
      <c r="B1459" s="80"/>
      <c r="C1459" s="80"/>
      <c r="D1459" s="81">
        <f>IFERROR(__xludf.DUMMYFUNCTION("""COMPUTED_VALUE"""),46275.0)</f>
        <v>46275</v>
      </c>
      <c r="E1459" s="82"/>
      <c r="F1459" s="80"/>
      <c r="G1459" s="81"/>
      <c r="H1459" s="80"/>
      <c r="I1459" s="80"/>
      <c r="J1459" s="80"/>
      <c r="K1459" s="80"/>
      <c r="L1459" s="80"/>
      <c r="M1459" s="80"/>
      <c r="N1459" s="80"/>
      <c r="O1459" s="80"/>
      <c r="P1459" s="80" t="str">
        <f>IFERROR(__xludf.DUMMYFUNCTION("""COMPUTED_VALUE"""),"MUC70237UMKMKKP1")</f>
        <v>MUC70237UMKMKKP1</v>
      </c>
      <c r="Q1459" s="80" t="str">
        <f>IFERROR(__xludf.DUMMYFUNCTION("""COMPUTED_VALUE"""),"MUC FAQI EXPRESS")</f>
        <v>MUC FAQI EXPRESS</v>
      </c>
      <c r="R1459" s="80" t="str">
        <f>IFERROR(__xludf.DUMMYFUNCTION("""COMPUTED_VALUE"""),"MUC FAQI EXPRESS")</f>
        <v>MUC FAQI EXPRESS</v>
      </c>
      <c r="S1459" s="80" t="str">
        <f>IFERROR(__xludf.DUMMYFUNCTION("""COMPUTED_VALUE"""),"DEDI M. BUAMONA")</f>
        <v>DEDI M. BUAMONA</v>
      </c>
      <c r="T1459" s="80" t="str">
        <f>IFERROR(__xludf.DUMMYFUNCTION("""COMPUTED_VALUE"""),"LINGK. JATI KECIL RT 12 RW 05, MANGGA DUA UTARA, KOTA TERNATE SELATAN, TERNATE")</f>
        <v>LINGK. JATI KECIL RT 12 RW 05, MANGGA DUA UTARA, KOTA TERNATE SELATAN, TERNATE</v>
      </c>
      <c r="U1459" s="80" t="str">
        <f>IFERROR(__xludf.DUMMYFUNCTION("""COMPUTED_VALUE"""),"JL. JATI INPRES LINGK. JATI KECIL RT 12 RW 05")</f>
        <v>JL. JATI INPRES LINGK. JATI KECIL RT 12 RW 05</v>
      </c>
      <c r="V1459" s="80" t="str">
        <f>IFERROR(__xludf.DUMMYFUNCTION("""COMPUTED_VALUE"""),"RT 12  \ RW 05,")</f>
        <v>RT 12  \ RW 05,</v>
      </c>
      <c r="W1459" s="80" t="str">
        <f>IFERROR(__xludf.DUMMYFUNCTION("""COMPUTED_VALUE"""),"MANGGA DUA UTARA")</f>
        <v>MANGGA DUA UTARA</v>
      </c>
      <c r="X1459" s="80" t="str">
        <f>IFERROR(__xludf.DUMMYFUNCTION("""COMPUTED_VALUE"""),"KOTA TERNATE SELATAN")</f>
        <v>KOTA TERNATE SELATAN</v>
      </c>
      <c r="Y1459" s="80" t="str">
        <f>IFERROR(__xludf.DUMMYFUNCTION("""COMPUTED_VALUE"""),"TERNATE")</f>
        <v>TERNATE</v>
      </c>
      <c r="Z1459" s="80" t="str">
        <f>IFERROR(__xludf.DUMMYFUNCTION("""COMPUTED_VALUE"""),"MALUKU UTARA")</f>
        <v>MALUKU UTARA</v>
      </c>
      <c r="AA1459" s="80" t="str">
        <f>IFERROR(__xludf.DUMMYFUNCTION("""COMPUTED_VALUE"""),"97713")</f>
        <v>97713</v>
      </c>
      <c r="AB1459" s="80" t="str">
        <f>IFERROR(__xludf.DUMMYFUNCTION("""COMPUTED_VALUE"""),"8271022008860001")</f>
        <v>8271022008860001</v>
      </c>
      <c r="AC1459" s="80" t="str">
        <f>IFERROR(__xludf.DUMMYFUNCTION("""COMPUTED_VALUE"""),"82.710.220.0-886.0001")</f>
        <v>82.710.220.0-886.0001</v>
      </c>
      <c r="AD1459" s="80" t="str">
        <f>IFERROR(__xludf.DUMMYFUNCTION("""COMPUTED_VALUE"""),"CUM - UNK - KRING KRING POS")</f>
        <v>CUM - UNK - KRING KRING POS</v>
      </c>
      <c r="AE1459" s="80" t="str">
        <f>IFERROR(__xludf.DUMMYFUNCTION("""COMPUTED_VALUE"""),"CUM - UNK - KRING KRING POS")</f>
        <v>CUM - UNK - KRING KRING POS</v>
      </c>
      <c r="AF1459" s="80" t="str">
        <f>IFERROR(__xludf.DUMMYFUNCTION("""COMPUTED_VALUE"""),"082292355392")</f>
        <v>082292355392</v>
      </c>
      <c r="AG1459" s="80" t="str">
        <f>IFERROR(__xludf.DUMMYFUNCTION("""COMPUTED_VALUE"""),"082292355392")</f>
        <v>082292355392</v>
      </c>
      <c r="AH1459" s="80" t="str">
        <f>IFERROR(__xludf.DUMMYFUNCTION("""COMPUTED_VALUE"""),"dedibuamona86@gmail.com")</f>
        <v>dedibuamona86@gmail.com</v>
      </c>
      <c r="AI1459" s="80"/>
      <c r="AJ1459" s="80"/>
      <c r="AK1459" s="80"/>
      <c r="AL1459" s="80"/>
      <c r="AM1459" s="80" t="str">
        <f>IFERROR(__xludf.DUMMYFUNCTION("""COMPUTED_VALUE"""),"KANTOR REGIONAL VI MAKASAR 90004")</f>
        <v>KANTOR REGIONAL VI MAKASAR 90004</v>
      </c>
      <c r="AN1459" s="80" t="str">
        <f>IFERROR(__xludf.DUMMYFUNCTION("""COMPUTED_VALUE"""),"KC TERNATE 97700")</f>
        <v>KC TERNATE 97700</v>
      </c>
      <c r="AO1459" s="80" t="str">
        <f>IFERROR(__xludf.DUMMYFUNCTION("""COMPUTED_VALUE"""),"1009260054263")</f>
        <v>1009260054263</v>
      </c>
      <c r="AP1459" s="80" t="str">
        <f>IFERROR(__xludf.DUMMYFUNCTION("""COMPUTED_VALUE"""),"1009260054263")</f>
        <v>1009260054263</v>
      </c>
      <c r="AQ1459" s="83" t="str">
        <f>IFERROR(__xludf.DUMMYFUNCTION("""COMPUTED_VALUE"""),"010301122851503")</f>
        <v>010301122851503</v>
      </c>
      <c r="AR1459" s="80" t="str">
        <f>IFERROR(__xludf.DUMMYFUNCTION("""COMPUTED_VALUE"""),"BANK BRI")</f>
        <v>BANK BRI</v>
      </c>
      <c r="AS1459" s="80" t="str">
        <f>IFERROR(__xludf.DUMMYFUNCTION("""COMPUTED_VALUE"""),"DEDI M. BUAMONA")</f>
        <v>DEDI M. BUAMONA</v>
      </c>
      <c r="AT1459" s="80" t="str">
        <f>IFERROR(__xludf.DUMMYFUNCTION("""COMPUTED_VALUE"""),"0.7757576,127.3775093")</f>
        <v>0.7757576,127.3775093</v>
      </c>
      <c r="AU1459" s="80" t="str">
        <f>IFERROR(__xludf.DUMMYFUNCTION("""COMPUTED_VALUE"""),"0.7757576,127.3775093")</f>
        <v>0.7757576,127.3775093</v>
      </c>
      <c r="AV1459" s="80"/>
      <c r="AW1459" s="80"/>
      <c r="AX1459" s="80"/>
      <c r="AY1459" s="80"/>
      <c r="AZ1459" s="80"/>
      <c r="BA1459" s="80"/>
      <c r="BB1459" s="80"/>
      <c r="BC1459" s="80"/>
      <c r="BD1459" s="80"/>
      <c r="BE1459" s="80"/>
      <c r="BF1459" s="80"/>
      <c r="BG1459" s="80"/>
      <c r="BH1459" s="80"/>
      <c r="BI1459" s="80"/>
      <c r="BJ1459" s="80"/>
      <c r="BK1459" s="80"/>
      <c r="BL1459" s="80"/>
      <c r="BM1459" s="80"/>
      <c r="BN1459" s="80"/>
      <c r="BO1459" s="80"/>
      <c r="BP1459" s="80"/>
      <c r="BQ1459" s="80"/>
      <c r="BR1459" s="80"/>
      <c r="BS1459" s="80"/>
      <c r="BT1459" s="80"/>
      <c r="BU1459" s="80"/>
      <c r="BV1459" s="80"/>
      <c r="BW1459" s="80"/>
      <c r="BX1459" s="80"/>
      <c r="BY1459" s="80"/>
      <c r="BZ1459" s="80"/>
      <c r="CA1459" s="80"/>
      <c r="CB1459" s="80"/>
      <c r="CC1459" s="80"/>
      <c r="CD1459" s="80"/>
      <c r="CE1459" s="80"/>
      <c r="CF1459" s="80"/>
      <c r="CG1459" s="80"/>
      <c r="CH1459" s="80"/>
      <c r="CI1459" s="80"/>
      <c r="CJ1459" s="80"/>
      <c r="CK1459" s="2"/>
    </row>
    <row r="1460" ht="12.75" customHeight="1">
      <c r="A1460" s="85">
        <f>IFERROR(__xludf.DUMMYFUNCTION("""COMPUTED_VALUE"""),1456.0)</f>
        <v>1456</v>
      </c>
      <c r="B1460" s="85"/>
      <c r="C1460" s="85"/>
      <c r="D1460" s="86">
        <f>IFERROR(__xludf.DUMMYFUNCTION("""COMPUTED_VALUE"""),46276.0)</f>
        <v>46276</v>
      </c>
      <c r="E1460" s="88"/>
      <c r="F1460" s="85"/>
      <c r="G1460" s="86"/>
      <c r="H1460" s="85"/>
      <c r="I1460" s="85"/>
      <c r="J1460" s="85"/>
      <c r="K1460" s="85"/>
      <c r="L1460" s="85"/>
      <c r="M1460" s="85"/>
      <c r="N1460" s="85"/>
      <c r="O1460" s="85"/>
      <c r="P1460" s="85" t="str">
        <f>IFERROR(__xludf.DUMMYFUNCTION("""COMPUTED_VALUE"""),"MUCSPA70063PSUMK")</f>
        <v>MUCSPA70063PSUMK</v>
      </c>
      <c r="Q1460" s="85" t="str">
        <f>IFERROR(__xludf.DUMMYFUNCTION("""COMPUTED_VALUE"""),"MUC AR RAYYAN GROUP")</f>
        <v>MUC AR RAYYAN GROUP</v>
      </c>
      <c r="R1460" s="85" t="str">
        <f>IFERROR(__xludf.DUMMYFUNCTION("""COMPUTED_VALUE"""),"MUC AR RAYYAN GROUP")</f>
        <v>MUC AR RAYYAN GROUP</v>
      </c>
      <c r="S1460" s="85" t="str">
        <f>IFERROR(__xludf.DUMMYFUNCTION("""COMPUTED_VALUE"""),"INDRAWAN")</f>
        <v>INDRAWAN</v>
      </c>
      <c r="T1460" s="85" t="str">
        <f>IFERROR(__xludf.DUMMYFUNCTION("""COMPUTED_VALUE"""),"JL. GARUDA II RT 03 RW 04, BIRO BULI UTARA, PALU SELATAN, PALU")</f>
        <v>JL. GARUDA II RT 03 RW 04, BIRO BULI UTARA, PALU SELATAN, PALU</v>
      </c>
      <c r="U1460" s="85" t="str">
        <f>IFERROR(__xludf.DUMMYFUNCTION("""COMPUTED_VALUE"""),"JL. JABAL RAHMAH NO. UJUNG RT 05 RW 04")</f>
        <v>JL. JABAL RAHMAH NO. UJUNG RT 05 RW 04</v>
      </c>
      <c r="V1460" s="85" t="str">
        <f>IFERROR(__xludf.DUMMYFUNCTION("""COMPUTED_VALUE"""),"RT 03  \ RW 04,")</f>
        <v>RT 03  \ RW 04,</v>
      </c>
      <c r="W1460" s="85" t="str">
        <f>IFERROR(__xludf.DUMMYFUNCTION("""COMPUTED_VALUE"""),"TALISE")</f>
        <v>TALISE</v>
      </c>
      <c r="X1460" s="85" t="str">
        <f>IFERROR(__xludf.DUMMYFUNCTION("""COMPUTED_VALUE"""),"MANTIKULORE")</f>
        <v>MANTIKULORE</v>
      </c>
      <c r="Y1460" s="85" t="str">
        <f>IFERROR(__xludf.DUMMYFUNCTION("""COMPUTED_VALUE"""),"PALU")</f>
        <v>PALU</v>
      </c>
      <c r="Z1460" s="85" t="str">
        <f>IFERROR(__xludf.DUMMYFUNCTION("""COMPUTED_VALUE"""),"SULAWESI TENGAH")</f>
        <v>SULAWESI TENGAH</v>
      </c>
      <c r="AA1460" s="85" t="str">
        <f>IFERROR(__xludf.DUMMYFUNCTION("""COMPUTED_VALUE"""),"94118")</f>
        <v>94118</v>
      </c>
      <c r="AB1460" s="85" t="str">
        <f>IFERROR(__xludf.DUMMYFUNCTION("""COMPUTED_VALUE"""),"7208131207910003")</f>
        <v>7208131207910003</v>
      </c>
      <c r="AC1460" s="85" t="str">
        <f>IFERROR(__xludf.DUMMYFUNCTION("""COMPUTED_VALUE"""),"72.081.312.0-791.0003")</f>
        <v>72.081.312.0-791.0003</v>
      </c>
      <c r="AD1460" s="85" t="str">
        <f>IFERROR(__xludf.DUMMYFUNCTION("""COMPUTED_VALUE"""),"CUM - UMKMNK - ASEP")</f>
        <v>CUM - UMKMNK - ASEP</v>
      </c>
      <c r="AE1460" s="85" t="str">
        <f>IFERROR(__xludf.DUMMYFUNCTION("""COMPUTED_VALUE"""),"CUM - UMKMNK - ASEP")</f>
        <v>CUM - UMKMNK - ASEP</v>
      </c>
      <c r="AF1460" s="85" t="str">
        <f>IFERROR(__xludf.DUMMYFUNCTION("""COMPUTED_VALUE"""),"082187500233")</f>
        <v>082187500233</v>
      </c>
      <c r="AG1460" s="85" t="str">
        <f>IFERROR(__xludf.DUMMYFUNCTION("""COMPUTED_VALUE"""),"082187500233")</f>
        <v>082187500233</v>
      </c>
      <c r="AH1460" s="85" t="str">
        <f>IFERROR(__xludf.DUMMYFUNCTION("""COMPUTED_VALUE"""),"sofyan.lanonchi15@gmail.com")</f>
        <v>sofyan.lanonchi15@gmail.com</v>
      </c>
      <c r="AI1460" s="85"/>
      <c r="AJ1460" s="85"/>
      <c r="AK1460" s="85"/>
      <c r="AL1460" s="85"/>
      <c r="AM1460" s="85" t="str">
        <f>IFERROR(__xludf.DUMMYFUNCTION("""COMPUTED_VALUE"""),"KANTOR REGIONAL VI MAKASAR 90004")</f>
        <v>KANTOR REGIONAL VI MAKASAR 90004</v>
      </c>
      <c r="AN1460" s="85" t="str">
        <f>IFERROR(__xludf.DUMMYFUNCTION("""COMPUTED_VALUE"""),"KCU PALU 94000")</f>
        <v>KCU PALU 94000</v>
      </c>
      <c r="AO1460" s="85" t="str">
        <f>IFERROR(__xludf.DUMMYFUNCTION("""COMPUTED_VALUE"""),"1009260082556")</f>
        <v>1009260082556</v>
      </c>
      <c r="AP1460" s="85" t="str">
        <f>IFERROR(__xludf.DUMMYFUNCTION("""COMPUTED_VALUE"""),"1009260082556")</f>
        <v>1009260082556</v>
      </c>
      <c r="AQ1460" s="93" t="str">
        <f>IFERROR(__xludf.DUMMYFUNCTION("""COMPUTED_VALUE"""),"7373055551")</f>
        <v>7373055551</v>
      </c>
      <c r="AR1460" s="85" t="str">
        <f>IFERROR(__xludf.DUMMYFUNCTION("""COMPUTED_VALUE"""),"BSI")</f>
        <v>BSI</v>
      </c>
      <c r="AS1460" s="85" t="str">
        <f>IFERROR(__xludf.DUMMYFUNCTION("""COMPUTED_VALUE"""),"SOFYAN")</f>
        <v>SOFYAN</v>
      </c>
      <c r="AT1460" s="85" t="str">
        <f>IFERROR(__xludf.DUMMYFUNCTION("""COMPUTED_VALUE"""),"-0.8802499,119.8824637")</f>
        <v>-0.8802499,119.8824637</v>
      </c>
      <c r="AU1460" s="85" t="str">
        <f>IFERROR(__xludf.DUMMYFUNCTION("""COMPUTED_VALUE"""),"-0.8802499,119.8824637")</f>
        <v>-0.8802499,119.8824637</v>
      </c>
      <c r="AV1460" s="85"/>
      <c r="AW1460" s="85"/>
      <c r="AX1460" s="85"/>
      <c r="AY1460" s="85"/>
      <c r="AZ1460" s="85"/>
      <c r="BA1460" s="85"/>
      <c r="BB1460" s="85"/>
      <c r="BC1460" s="85"/>
      <c r="BD1460" s="85"/>
      <c r="BE1460" s="85"/>
      <c r="BF1460" s="85"/>
      <c r="BG1460" s="85"/>
      <c r="BH1460" s="85"/>
      <c r="BI1460" s="85"/>
      <c r="BJ1460" s="85"/>
      <c r="BK1460" s="85"/>
      <c r="BL1460" s="85"/>
      <c r="BM1460" s="85"/>
      <c r="BN1460" s="85"/>
      <c r="BO1460" s="85"/>
      <c r="BP1460" s="85"/>
      <c r="BQ1460" s="85"/>
      <c r="BR1460" s="85"/>
      <c r="BS1460" s="85"/>
      <c r="BT1460" s="85"/>
      <c r="BU1460" s="85"/>
      <c r="BV1460" s="85"/>
      <c r="BW1460" s="85"/>
      <c r="BX1460" s="85"/>
      <c r="BY1460" s="85"/>
      <c r="BZ1460" s="85"/>
      <c r="CA1460" s="85"/>
      <c r="CB1460" s="85"/>
      <c r="CC1460" s="85"/>
      <c r="CD1460" s="85"/>
      <c r="CE1460" s="85"/>
      <c r="CF1460" s="85"/>
      <c r="CG1460" s="85"/>
      <c r="CH1460" s="85"/>
      <c r="CI1460" s="85"/>
      <c r="CJ1460" s="85"/>
      <c r="CK1460" s="2"/>
    </row>
    <row r="1461" ht="12.75" customHeight="1">
      <c r="A1461" s="80">
        <f>IFERROR(__xludf.DUMMYFUNCTION("""COMPUTED_VALUE"""),1457.0)</f>
        <v>1457</v>
      </c>
      <c r="B1461" s="80"/>
      <c r="C1461" s="80"/>
      <c r="D1461" s="81">
        <f>IFERROR(__xludf.DUMMYFUNCTION("""COMPUTED_VALUE"""),46276.0)</f>
        <v>46276</v>
      </c>
      <c r="E1461" s="82"/>
      <c r="F1461" s="80"/>
      <c r="G1461" s="81"/>
      <c r="H1461" s="80"/>
      <c r="I1461" s="80"/>
      <c r="J1461" s="80"/>
      <c r="K1461" s="80"/>
      <c r="L1461" s="80"/>
      <c r="M1461" s="80"/>
      <c r="N1461" s="80"/>
      <c r="O1461" s="80"/>
      <c r="P1461" s="80" t="str">
        <f>IFERROR(__xludf.DUMMYFUNCTION("""COMPUTED_VALUE"""),"MUCSPA63679PSIND")</f>
        <v>MUCSPA63679PSIND</v>
      </c>
      <c r="Q1461" s="80" t="str">
        <f>IFERROR(__xludf.DUMMYFUNCTION("""COMPUTED_VALUE"""),"MUC NGAWI POERBA")</f>
        <v>MUC NGAWI POERBA</v>
      </c>
      <c r="R1461" s="80" t="str">
        <f>IFERROR(__xludf.DUMMYFUNCTION("""COMPUTED_VALUE"""),"MUC NGAWI POERBA")</f>
        <v>MUC NGAWI POERBA</v>
      </c>
      <c r="S1461" s="80" t="str">
        <f>IFERROR(__xludf.DUMMYFUNCTION("""COMPUTED_VALUE"""),"PUJI YUNIARTI")</f>
        <v>PUJI YUNIARTI</v>
      </c>
      <c r="T1461" s="80" t="str">
        <f>IFERROR(__xludf.DUMMYFUNCTION("""COMPUTED_VALUE"""),"JETIS RT 02 RW 02, NGAWI, NGAWI, KAB.NGAWI")</f>
        <v>JETIS RT 02 RW 02, NGAWI, NGAWI, KAB.NGAWI</v>
      </c>
      <c r="U1461" s="80" t="str">
        <f>IFERROR(__xludf.DUMMYFUNCTION("""COMPUTED_VALUE"""),"JL. NASIONAL 20 JETIS")</f>
        <v>JL. NASIONAL 20 JETIS</v>
      </c>
      <c r="V1461" s="80" t="str">
        <f>IFERROR(__xludf.DUMMYFUNCTION("""COMPUTED_VALUE"""),"RT 02  \ RW 02,")</f>
        <v>RT 02  \ RW 02,</v>
      </c>
      <c r="W1461" s="80" t="str">
        <f>IFERROR(__xludf.DUMMYFUNCTION("""COMPUTED_VALUE"""),"NGAWI")</f>
        <v>NGAWI</v>
      </c>
      <c r="X1461" s="80" t="str">
        <f>IFERROR(__xludf.DUMMYFUNCTION("""COMPUTED_VALUE"""),"NGAWI")</f>
        <v>NGAWI</v>
      </c>
      <c r="Y1461" s="80" t="str">
        <f>IFERROR(__xludf.DUMMYFUNCTION("""COMPUTED_VALUE"""),"KAB.NGAWI")</f>
        <v>KAB.NGAWI</v>
      </c>
      <c r="Z1461" s="80" t="str">
        <f>IFERROR(__xludf.DUMMYFUNCTION("""COMPUTED_VALUE"""),"JAWA TIMUR")</f>
        <v>JAWA TIMUR</v>
      </c>
      <c r="AA1461" s="80" t="str">
        <f>IFERROR(__xludf.DUMMYFUNCTION("""COMPUTED_VALUE"""),"63218")</f>
        <v>63218</v>
      </c>
      <c r="AB1461" s="80" t="str">
        <f>IFERROR(__xludf.DUMMYFUNCTION("""COMPUTED_VALUE"""),"3521096806890002")</f>
        <v>3521096806890002</v>
      </c>
      <c r="AC1461" s="80" t="str">
        <f>IFERROR(__xludf.DUMMYFUNCTION("""COMPUTED_VALUE"""),"84.771.162.9-646.000")</f>
        <v>84.771.162.9-646.000</v>
      </c>
      <c r="AD1461" s="80" t="str">
        <f>IFERROR(__xludf.DUMMYFUNCTION("""COMPUTED_VALUE"""),"CUM - PS - EKO")</f>
        <v>CUM - PS - EKO</v>
      </c>
      <c r="AE1461" s="80" t="str">
        <f>IFERROR(__xludf.DUMMYFUNCTION("""COMPUTED_VALUE"""),"CUM - PS - EKO")</f>
        <v>CUM - PS - EKO</v>
      </c>
      <c r="AF1461" s="80" t="str">
        <f>IFERROR(__xludf.DUMMYFUNCTION("""COMPUTED_VALUE"""),"085649684848")</f>
        <v>085649684848</v>
      </c>
      <c r="AG1461" s="80" t="str">
        <f>IFERROR(__xludf.DUMMYFUNCTION("""COMPUTED_VALUE"""),"085649684848")</f>
        <v>085649684848</v>
      </c>
      <c r="AH1461" s="80" t="str">
        <f>IFERROR(__xludf.DUMMYFUNCTION("""COMPUTED_VALUE"""),"thifa.dian@gmail.com")</f>
        <v>thifa.dian@gmail.com</v>
      </c>
      <c r="AI1461" s="80"/>
      <c r="AJ1461" s="80"/>
      <c r="AK1461" s="80"/>
      <c r="AL1461" s="80"/>
      <c r="AM1461" s="80" t="str">
        <f>IFERROR(__xludf.DUMMYFUNCTION("""COMPUTED_VALUE"""),"KANTOR REGIONAL V SURABAYA 60004")</f>
        <v>KANTOR REGIONAL V SURABAYA 60004</v>
      </c>
      <c r="AN1461" s="80" t="str">
        <f>IFERROR(__xludf.DUMMYFUNCTION("""COMPUTED_VALUE"""),"KC NGAWI 63200")</f>
        <v>KC NGAWI 63200</v>
      </c>
      <c r="AO1461" s="80" t="str">
        <f>IFERROR(__xludf.DUMMYFUNCTION("""COMPUTED_VALUE"""),"1606260006206")</f>
        <v>1606260006206</v>
      </c>
      <c r="AP1461" s="80" t="str">
        <f>IFERROR(__xludf.DUMMYFUNCTION("""COMPUTED_VALUE"""),"1606260006206")</f>
        <v>1606260006206</v>
      </c>
      <c r="AQ1461" s="83" t="str">
        <f>IFERROR(__xludf.DUMMYFUNCTION("""COMPUTED_VALUE"""),"0200007136")</f>
        <v>0200007136</v>
      </c>
      <c r="AR1461" s="80" t="str">
        <f>IFERROR(__xludf.DUMMYFUNCTION("""COMPUTED_VALUE"""),"POSPAY")</f>
        <v>POSPAY</v>
      </c>
      <c r="AS1461" s="80" t="str">
        <f>IFERROR(__xludf.DUMMYFUNCTION("""COMPUTED_VALUE"""),"PUJI YUNIARTI")</f>
        <v>PUJI YUNIARTI</v>
      </c>
      <c r="AT1461" s="80" t="str">
        <f>IFERROR(__xludf.DUMMYFUNCTION("""COMPUTED_VALUE"""),"-7.3904622,111.460602")</f>
        <v>-7.3904622,111.460602</v>
      </c>
      <c r="AU1461" s="80" t="str">
        <f>IFERROR(__xludf.DUMMYFUNCTION("""COMPUTED_VALUE"""),"-7.3904622,111.460602")</f>
        <v>-7.3904622,111.460602</v>
      </c>
      <c r="AV1461" s="80"/>
      <c r="AW1461" s="80"/>
      <c r="AX1461" s="80"/>
      <c r="AY1461" s="80"/>
      <c r="AZ1461" s="80"/>
      <c r="BA1461" s="80"/>
      <c r="BB1461" s="80"/>
      <c r="BC1461" s="80"/>
      <c r="BD1461" s="80"/>
      <c r="BE1461" s="80"/>
      <c r="BF1461" s="80"/>
      <c r="BG1461" s="80"/>
      <c r="BH1461" s="80"/>
      <c r="BI1461" s="80"/>
      <c r="BJ1461" s="80"/>
      <c r="BK1461" s="80"/>
      <c r="BL1461" s="80"/>
      <c r="BM1461" s="80"/>
      <c r="BN1461" s="80"/>
      <c r="BO1461" s="80"/>
      <c r="BP1461" s="80"/>
      <c r="BQ1461" s="80"/>
      <c r="BR1461" s="80"/>
      <c r="BS1461" s="80"/>
      <c r="BT1461" s="80"/>
      <c r="BU1461" s="80"/>
      <c r="BV1461" s="80"/>
      <c r="BW1461" s="80"/>
      <c r="BX1461" s="80"/>
      <c r="BY1461" s="80"/>
      <c r="BZ1461" s="80"/>
      <c r="CA1461" s="80"/>
      <c r="CB1461" s="80"/>
      <c r="CC1461" s="80"/>
      <c r="CD1461" s="80"/>
      <c r="CE1461" s="80"/>
      <c r="CF1461" s="80"/>
      <c r="CG1461" s="80"/>
      <c r="CH1461" s="80"/>
      <c r="CI1461" s="80"/>
      <c r="CJ1461" s="80"/>
      <c r="CK1461" s="2"/>
    </row>
    <row r="1462" ht="12.75" customHeight="1">
      <c r="A1462" s="85">
        <f>IFERROR(__xludf.DUMMYFUNCTION("""COMPUTED_VALUE"""),1458.0)</f>
        <v>1458</v>
      </c>
      <c r="B1462" s="85"/>
      <c r="C1462" s="85"/>
      <c r="D1462" s="86">
        <f>IFERROR(__xludf.DUMMYFUNCTION("""COMPUTED_VALUE"""),46276.0)</f>
        <v>46276</v>
      </c>
      <c r="E1462" s="88"/>
      <c r="F1462" s="85"/>
      <c r="G1462" s="86"/>
      <c r="H1462" s="85"/>
      <c r="I1462" s="85"/>
      <c r="J1462" s="85"/>
      <c r="K1462" s="85"/>
      <c r="L1462" s="85"/>
      <c r="M1462" s="85"/>
      <c r="N1462" s="85"/>
      <c r="O1462" s="85"/>
      <c r="P1462" s="85" t="str">
        <f>IFERROR(__xludf.DUMMYFUNCTION("""COMPUTED_VALUE"""),"MUC70248UMKMDDN1")</f>
        <v>MUC70248UMKMDDN1</v>
      </c>
      <c r="Q1462" s="85" t="str">
        <f>IFERROR(__xludf.DUMMYFUNCTION("""COMPUTED_VALUE"""),"MUC RIANTI")</f>
        <v>MUC RIANTI</v>
      </c>
      <c r="R1462" s="85" t="str">
        <f>IFERROR(__xludf.DUMMYFUNCTION("""COMPUTED_VALUE"""),"MUC RIANTI")</f>
        <v>MUC RIANTI</v>
      </c>
      <c r="S1462" s="85" t="str">
        <f>IFERROR(__xludf.DUMMYFUNCTION("""COMPUTED_VALUE"""),"ALEXANDER ADRIAN TANGALAYUK")</f>
        <v>ALEXANDER ADRIAN TANGALAYUK</v>
      </c>
      <c r="T1462" s="85" t="str">
        <f>IFERROR(__xludf.DUMMYFUNCTION("""COMPUTED_VALUE"""),"JALAN RAYA ADIBAY RT.004/RW.002 ANJAREUW SAMOFA KABUPATEN BIAK NUMFOR PAPUA")</f>
        <v>JALAN RAYA ADIBAY RT.004/RW.002 ANJAREUW SAMOFA KABUPATEN BIAK NUMFOR PAPUA</v>
      </c>
      <c r="U1462" s="85" t="str">
        <f>IFERROR(__xludf.DUMMYFUNCTION("""COMPUTED_VALUE"""),"Jalan Raya Adibay RT.004 RW.002")</f>
        <v>Jalan Raya Adibay RT.004 RW.002</v>
      </c>
      <c r="V1462" s="85" t="str">
        <f>IFERROR(__xludf.DUMMYFUNCTION("""COMPUTED_VALUE"""),"RT.004 \ RW.002")</f>
        <v>RT.004 \ RW.002</v>
      </c>
      <c r="W1462" s="85" t="str">
        <f>IFERROR(__xludf.DUMMYFUNCTION("""COMPUTED_VALUE"""),"Anjareuw")</f>
        <v>Anjareuw</v>
      </c>
      <c r="X1462" s="85" t="str">
        <f>IFERROR(__xludf.DUMMYFUNCTION("""COMPUTED_VALUE"""),"Samofa")</f>
        <v>Samofa</v>
      </c>
      <c r="Y1462" s="85" t="str">
        <f>IFERROR(__xludf.DUMMYFUNCTION("""COMPUTED_VALUE"""),"Kab. Biak Numfor")</f>
        <v>Kab. Biak Numfor</v>
      </c>
      <c r="Z1462" s="85" t="str">
        <f>IFERROR(__xludf.DUMMYFUNCTION("""COMPUTED_VALUE"""),"Papua")</f>
        <v>Papua</v>
      </c>
      <c r="AA1462" s="85" t="str">
        <f>IFERROR(__xludf.DUMMYFUNCTION("""COMPUTED_VALUE"""),"98156")</f>
        <v>98156</v>
      </c>
      <c r="AB1462" s="85" t="str">
        <f>IFERROR(__xludf.DUMMYFUNCTION("""COMPUTED_VALUE"""),"9106122903900001")</f>
        <v>9106122903900001</v>
      </c>
      <c r="AC1462" s="85" t="str">
        <f>IFERROR(__xludf.DUMMYFUNCTION("""COMPUTED_VALUE"""),"62.845.826.7-954.000")</f>
        <v>62.845.826.7-954.000</v>
      </c>
      <c r="AD1462" s="85" t="str">
        <f>IFERROR(__xludf.DUMMYFUNCTION("""COMPUTED_VALUE"""),"CUM - UNK - DADAN")</f>
        <v>CUM - UNK - DADAN</v>
      </c>
      <c r="AE1462" s="85" t="str">
        <f>IFERROR(__xludf.DUMMYFUNCTION("""COMPUTED_VALUE"""),"CUM - UNK - DADAN")</f>
        <v>CUM - UNK - DADAN</v>
      </c>
      <c r="AF1462" s="85" t="str">
        <f>IFERROR(__xludf.DUMMYFUNCTION("""COMPUTED_VALUE"""),"081272307577")</f>
        <v>081272307577</v>
      </c>
      <c r="AG1462" s="85" t="str">
        <f>IFERROR(__xludf.DUMMYFUNCTION("""COMPUTED_VALUE"""),"081272307577")</f>
        <v>081272307577</v>
      </c>
      <c r="AH1462" s="85" t="str">
        <f>IFERROR(__xludf.DUMMYFUNCTION("""COMPUTED_VALUE"""),"rhyandtangalayuk@gmail.com")</f>
        <v>rhyandtangalayuk@gmail.com</v>
      </c>
      <c r="AI1462" s="85"/>
      <c r="AJ1462" s="85"/>
      <c r="AK1462" s="85"/>
      <c r="AL1462" s="85"/>
      <c r="AM1462" s="85" t="str">
        <f>IFERROR(__xludf.DUMMYFUNCTION("""COMPUTED_VALUE"""),"KANTOR REGIONAL VI MAKASAR 90004")</f>
        <v>KANTOR REGIONAL VI MAKASAR 90004</v>
      </c>
      <c r="AN1462" s="85" t="str">
        <f>IFERROR(__xludf.DUMMYFUNCTION("""COMPUTED_VALUE"""),"KC BIAK 98100")</f>
        <v>KC BIAK 98100</v>
      </c>
      <c r="AO1462" s="85" t="str">
        <f>IFERROR(__xludf.DUMMYFUNCTION("""COMPUTED_VALUE"""),"1109260034872")</f>
        <v>1109260034872</v>
      </c>
      <c r="AP1462" s="85" t="str">
        <f>IFERROR(__xludf.DUMMYFUNCTION("""COMPUTED_VALUE"""),"1109260034872")</f>
        <v>1109260034872</v>
      </c>
      <c r="AQ1462" s="93" t="str">
        <f>IFERROR(__xludf.DUMMYFUNCTION("""COMPUTED_VALUE"""),"030801066091504")</f>
        <v>030801066091504</v>
      </c>
      <c r="AR1462" s="85" t="str">
        <f>IFERROR(__xludf.DUMMYFUNCTION("""COMPUTED_VALUE"""),"BRI")</f>
        <v>BRI</v>
      </c>
      <c r="AS1462" s="85" t="str">
        <f>IFERROR(__xludf.DUMMYFUNCTION("""COMPUTED_VALUE"""),"ALEXSANDER ADRIAN TANGALAYUK")</f>
        <v>ALEXSANDER ADRIAN TANGALAYUK</v>
      </c>
      <c r="AT1462" s="85" t="str">
        <f>IFERROR(__xludf.DUMMYFUNCTION("""COMPUTED_VALUE"""),"-1.1583908,136.0964579")</f>
        <v>-1.1583908,136.0964579</v>
      </c>
      <c r="AU1462" s="85" t="str">
        <f>IFERROR(__xludf.DUMMYFUNCTION("""COMPUTED_VALUE"""),"-1.1583908,136.0964579")</f>
        <v>-1.1583908,136.0964579</v>
      </c>
      <c r="AV1462" s="85"/>
      <c r="AW1462" s="85"/>
      <c r="AX1462" s="85"/>
      <c r="AY1462" s="85"/>
      <c r="AZ1462" s="85"/>
      <c r="BA1462" s="85"/>
      <c r="BB1462" s="85"/>
      <c r="BC1462" s="85"/>
      <c r="BD1462" s="85"/>
      <c r="BE1462" s="85"/>
      <c r="BF1462" s="85"/>
      <c r="BG1462" s="85"/>
      <c r="BH1462" s="85"/>
      <c r="BI1462" s="85"/>
      <c r="BJ1462" s="85"/>
      <c r="BK1462" s="85"/>
      <c r="BL1462" s="85"/>
      <c r="BM1462" s="85"/>
      <c r="BN1462" s="85"/>
      <c r="BO1462" s="85"/>
      <c r="BP1462" s="85"/>
      <c r="BQ1462" s="85"/>
      <c r="BR1462" s="85"/>
      <c r="BS1462" s="85"/>
      <c r="BT1462" s="85"/>
      <c r="BU1462" s="85"/>
      <c r="BV1462" s="85"/>
      <c r="BW1462" s="85"/>
      <c r="BX1462" s="85"/>
      <c r="BY1462" s="85"/>
      <c r="BZ1462" s="85"/>
      <c r="CA1462" s="85"/>
      <c r="CB1462" s="85"/>
      <c r="CC1462" s="85"/>
      <c r="CD1462" s="85"/>
      <c r="CE1462" s="85"/>
      <c r="CF1462" s="85"/>
      <c r="CG1462" s="85"/>
      <c r="CH1462" s="85"/>
      <c r="CI1462" s="85"/>
      <c r="CJ1462" s="85"/>
      <c r="CK1462" s="2"/>
    </row>
    <row r="1463" ht="12.75" customHeight="1">
      <c r="A1463" s="80">
        <f>IFERROR(__xludf.DUMMYFUNCTION("""COMPUTED_VALUE"""),1459.0)</f>
        <v>1459</v>
      </c>
      <c r="B1463" s="80"/>
      <c r="C1463" s="80"/>
      <c r="D1463" s="81">
        <f>IFERROR(__xludf.DUMMYFUNCTION("""COMPUTED_VALUE"""),46279.0)</f>
        <v>46279</v>
      </c>
      <c r="E1463" s="82"/>
      <c r="F1463" s="80"/>
      <c r="G1463" s="81"/>
      <c r="H1463" s="80"/>
      <c r="I1463" s="80"/>
      <c r="J1463" s="80"/>
      <c r="K1463" s="80"/>
      <c r="L1463" s="80"/>
      <c r="M1463" s="80"/>
      <c r="N1463" s="80"/>
      <c r="O1463" s="80"/>
      <c r="P1463" s="80" t="str">
        <f>IFERROR(__xludf.DUMMYFUNCTION("""COMPUTED_VALUE"""),"53BSPA17236JBEEN")</f>
        <v>53BSPA17236JBEEN</v>
      </c>
      <c r="Q1463" s="80" t="str">
        <f>IFERROR(__xludf.DUMMYFUNCTION("""COMPUTED_VALUE"""),"MUC ZAHIRA EXPRESS 1")</f>
        <v>MUC ZAHIRA EXPRESS 1</v>
      </c>
      <c r="R1463" s="80" t="str">
        <f>IFERROR(__xludf.DUMMYFUNCTION("""COMPUTED_VALUE"""),"MUC ZAHIRA EXPRESS 1")</f>
        <v>MUC ZAHIRA EXPRESS 1</v>
      </c>
      <c r="S1463" s="80" t="str">
        <f>IFERROR(__xludf.DUMMYFUNCTION("""COMPUTED_VALUE"""),"AJID ABDUL MAJID")</f>
        <v>AJID ABDUL MAJID</v>
      </c>
      <c r="T1463" s="80" t="str">
        <f>IFERROR(__xludf.DUMMYFUNCTION("""COMPUTED_VALUE"""),"KP. CIMANGLID RT.004/RW.003 SUKAMANTRI TAMANSARI KABUPATEN BOGOR JAWA BARAT")</f>
        <v>KP. CIMANGLID RT.004/RW.003 SUKAMANTRI TAMANSARI KABUPATEN BOGOR JAWA BARAT</v>
      </c>
      <c r="U1463" s="80" t="str">
        <f>IFERROR(__xludf.DUMMYFUNCTION("""COMPUTED_VALUE"""),"Kp. Cimanglid, Sukamantri, Tamansari, Kab. Bogor Jawa Barat")</f>
        <v>Kp. Cimanglid, Sukamantri, Tamansari, Kab. Bogor Jawa Barat</v>
      </c>
      <c r="V1463" s="80" t="str">
        <f>IFERROR(__xludf.DUMMYFUNCTION("""COMPUTED_VALUE"""),"RT.004 \ RW.003")</f>
        <v>RT.004 \ RW.003</v>
      </c>
      <c r="W1463" s="80" t="str">
        <f>IFERROR(__xludf.DUMMYFUNCTION("""COMPUTED_VALUE"""),"Sukamantri")</f>
        <v>Sukamantri</v>
      </c>
      <c r="X1463" s="80" t="str">
        <f>IFERROR(__xludf.DUMMYFUNCTION("""COMPUTED_VALUE"""),"Tamansari")</f>
        <v>Tamansari</v>
      </c>
      <c r="Y1463" s="80" t="str">
        <f>IFERROR(__xludf.DUMMYFUNCTION("""COMPUTED_VALUE"""),"Kab. Bogor")</f>
        <v>Kab. Bogor</v>
      </c>
      <c r="Z1463" s="80" t="str">
        <f>IFERROR(__xludf.DUMMYFUNCTION("""COMPUTED_VALUE"""),"Jawa Barat")</f>
        <v>Jawa Barat</v>
      </c>
      <c r="AA1463" s="80" t="str">
        <f>IFERROR(__xludf.DUMMYFUNCTION("""COMPUTED_VALUE"""),"16265")</f>
        <v>16265</v>
      </c>
      <c r="AB1463" s="80" t="str">
        <f>IFERROR(__xludf.DUMMYFUNCTION("""COMPUTED_VALUE"""),"3206021903930004")</f>
        <v>3206021903930004</v>
      </c>
      <c r="AC1463" s="80" t="str">
        <f>IFERROR(__xludf.DUMMYFUNCTION("""COMPUTED_VALUE"""),"90.195.061.8-434.000")</f>
        <v>90.195.061.8-434.000</v>
      </c>
      <c r="AD1463" s="80" t="str">
        <f>IFERROR(__xludf.DUMMYFUNCTION("""COMPUTED_VALUE"""),"CUM - EEN")</f>
        <v>CUM - EEN</v>
      </c>
      <c r="AE1463" s="80" t="str">
        <f>IFERROR(__xludf.DUMMYFUNCTION("""COMPUTED_VALUE"""),"CUM - EEN")</f>
        <v>CUM - EEN</v>
      </c>
      <c r="AF1463" s="80" t="str">
        <f>IFERROR(__xludf.DUMMYFUNCTION("""COMPUTED_VALUE"""),"085780764015")</f>
        <v>085780764015</v>
      </c>
      <c r="AG1463" s="80" t="str">
        <f>IFERROR(__xludf.DUMMYFUNCTION("""COMPUTED_VALUE"""),"085780764015")</f>
        <v>085780764015</v>
      </c>
      <c r="AH1463" s="80" t="str">
        <f>IFERROR(__xludf.DUMMYFUNCTION("""COMPUTED_VALUE"""),"dmery333@gmail.com")</f>
        <v>dmery333@gmail.com</v>
      </c>
      <c r="AI1463" s="80"/>
      <c r="AJ1463" s="80"/>
      <c r="AK1463" s="80"/>
      <c r="AL1463" s="80"/>
      <c r="AM1463" s="80" t="str">
        <f>IFERROR(__xludf.DUMMYFUNCTION("""COMPUTED_VALUE"""),"KANTOR REGIONAL II JAKARTA 10004")</f>
        <v>KANTOR REGIONAL II JAKARTA 10004</v>
      </c>
      <c r="AN1463" s="80" t="str">
        <f>IFERROR(__xludf.DUMMYFUNCTION("""COMPUTED_VALUE"""),"KCU BOGOR 16000")</f>
        <v>KCU BOGOR 16000</v>
      </c>
      <c r="AO1463" s="80" t="str">
        <f>IFERROR(__xludf.DUMMYFUNCTION("""COMPUTED_VALUE"""),"1603240039661")</f>
        <v>1603240039661</v>
      </c>
      <c r="AP1463" s="80" t="str">
        <f>IFERROR(__xludf.DUMMYFUNCTION("""COMPUTED_VALUE"""),"1603240039661")</f>
        <v>1603240039661</v>
      </c>
      <c r="AQ1463" s="83" t="str">
        <f>IFERROR(__xludf.DUMMYFUNCTION("""COMPUTED_VALUE"""),"7370502239")</f>
        <v>7370502239</v>
      </c>
      <c r="AR1463" s="80" t="str">
        <f>IFERROR(__xludf.DUMMYFUNCTION("""COMPUTED_VALUE"""),"BCA")</f>
        <v>BCA</v>
      </c>
      <c r="AS1463" s="80" t="str">
        <f>IFERROR(__xludf.DUMMYFUNCTION("""COMPUTED_VALUE"""),"AJID ABDUL MAJID")</f>
        <v>AJID ABDUL MAJID</v>
      </c>
      <c r="AT1463" s="80" t="str">
        <f>IFERROR(__xludf.DUMMYFUNCTION("""COMPUTED_VALUE"""),"-6.6358331,106.774644")</f>
        <v>-6.6358331,106.774644</v>
      </c>
      <c r="AU1463" s="80" t="str">
        <f>IFERROR(__xludf.DUMMYFUNCTION("""COMPUTED_VALUE"""),"-6.6358331,106.774644")</f>
        <v>-6.6358331,106.774644</v>
      </c>
      <c r="AV1463" s="80"/>
      <c r="AW1463" s="80"/>
      <c r="AX1463" s="80"/>
      <c r="AY1463" s="80"/>
      <c r="AZ1463" s="80"/>
      <c r="BA1463" s="80"/>
      <c r="BB1463" s="80"/>
      <c r="BC1463" s="80"/>
      <c r="BD1463" s="80"/>
      <c r="BE1463" s="80"/>
      <c r="BF1463" s="80"/>
      <c r="BG1463" s="80"/>
      <c r="BH1463" s="80"/>
      <c r="BI1463" s="80"/>
      <c r="BJ1463" s="80"/>
      <c r="BK1463" s="80"/>
      <c r="BL1463" s="80"/>
      <c r="BM1463" s="80"/>
      <c r="BN1463" s="80"/>
      <c r="BO1463" s="80"/>
      <c r="BP1463" s="80"/>
      <c r="BQ1463" s="80"/>
      <c r="BR1463" s="80"/>
      <c r="BS1463" s="80"/>
      <c r="BT1463" s="80"/>
      <c r="BU1463" s="80"/>
      <c r="BV1463" s="80"/>
      <c r="BW1463" s="80"/>
      <c r="BX1463" s="80"/>
      <c r="BY1463" s="80"/>
      <c r="BZ1463" s="80"/>
      <c r="CA1463" s="80"/>
      <c r="CB1463" s="80"/>
      <c r="CC1463" s="80"/>
      <c r="CD1463" s="80"/>
      <c r="CE1463" s="80"/>
      <c r="CF1463" s="80"/>
      <c r="CG1463" s="80"/>
      <c r="CH1463" s="80"/>
      <c r="CI1463" s="80"/>
      <c r="CJ1463" s="80"/>
      <c r="CK1463" s="2"/>
    </row>
    <row r="1464" ht="12.75" customHeight="1">
      <c r="A1464" s="85">
        <f>IFERROR(__xludf.DUMMYFUNCTION("""COMPUTED_VALUE"""),1460.0)</f>
        <v>1460</v>
      </c>
      <c r="B1464" s="85"/>
      <c r="C1464" s="85"/>
      <c r="D1464" s="86">
        <f>IFERROR(__xludf.DUMMYFUNCTION("""COMPUTED_VALUE"""),46280.0)</f>
        <v>46280</v>
      </c>
      <c r="E1464" s="88"/>
      <c r="F1464" s="85"/>
      <c r="G1464" s="86"/>
      <c r="H1464" s="85"/>
      <c r="I1464" s="85"/>
      <c r="J1464" s="85"/>
      <c r="K1464" s="85"/>
      <c r="L1464" s="85"/>
      <c r="M1464" s="85"/>
      <c r="N1464" s="85"/>
      <c r="O1464" s="85"/>
      <c r="P1464" s="85" t="str">
        <f>IFERROR(__xludf.DUMMYFUNCTION("""COMPUTED_VALUE"""),"MUCSPA70064PSUMK")</f>
        <v>MUCSPA70064PSUMK</v>
      </c>
      <c r="Q1464" s="85" t="str">
        <f>IFERROR(__xludf.DUMMYFUNCTION("""COMPUTED_VALUE"""),"MUC YAYAK")</f>
        <v>MUC YAYAK</v>
      </c>
      <c r="R1464" s="85" t="str">
        <f>IFERROR(__xludf.DUMMYFUNCTION("""COMPUTED_VALUE"""),"MUC YAYAK")</f>
        <v>MUC YAYAK</v>
      </c>
      <c r="S1464" s="85" t="str">
        <f>IFERROR(__xludf.DUMMYFUNCTION("""COMPUTED_VALUE"""),"IDA SURYATI")</f>
        <v>IDA SURYATI</v>
      </c>
      <c r="T1464" s="85" t="str">
        <f>IFERROR(__xludf.DUMMYFUNCTION("""COMPUTED_VALUE"""),"RANDU AGUNG 1/11-A RT.007/RW.010 SIDOTOPO WETAN KENJERAN, KOTA SURABAYA JAWA TIMUR")</f>
        <v>RANDU AGUNG 1/11-A RT.007/RW.010 SIDOTOPO WETAN KENJERAN, KOTA SURABAYA JAWA TIMUR</v>
      </c>
      <c r="U1464" s="85" t="str">
        <f>IFERROR(__xludf.DUMMYFUNCTION("""COMPUTED_VALUE"""),"Jalan Randu Agung 1/11-B Sidotopo Wetan Surabaya")</f>
        <v>Jalan Randu Agung 1/11-B Sidotopo Wetan Surabaya</v>
      </c>
      <c r="V1464" s="85" t="str">
        <f>IFERROR(__xludf.DUMMYFUNCTION("""COMPUTED_VALUE"""),"RT.007 \ RW.010")</f>
        <v>RT.007 \ RW.010</v>
      </c>
      <c r="W1464" s="85" t="str">
        <f>IFERROR(__xludf.DUMMYFUNCTION("""COMPUTED_VALUE"""),"Sidotopo Wetan")</f>
        <v>Sidotopo Wetan</v>
      </c>
      <c r="X1464" s="85" t="str">
        <f>IFERROR(__xludf.DUMMYFUNCTION("""COMPUTED_VALUE"""),"Kenjeran")</f>
        <v>Kenjeran</v>
      </c>
      <c r="Y1464" s="85" t="str">
        <f>IFERROR(__xludf.DUMMYFUNCTION("""COMPUTED_VALUE"""),"Surabaya")</f>
        <v>Surabaya</v>
      </c>
      <c r="Z1464" s="85" t="str">
        <f>IFERROR(__xludf.DUMMYFUNCTION("""COMPUTED_VALUE"""),"Jawa Timur")</f>
        <v>Jawa Timur</v>
      </c>
      <c r="AA1464" s="85" t="str">
        <f>IFERROR(__xludf.DUMMYFUNCTION("""COMPUTED_VALUE"""),"60128")</f>
        <v>60128</v>
      </c>
      <c r="AB1464" s="85" t="str">
        <f>IFERROR(__xludf.DUMMYFUNCTION("""COMPUTED_VALUE"""),"3578175807720002")</f>
        <v>3578175807720002</v>
      </c>
      <c r="AC1464" s="85" t="str">
        <f>IFERROR(__xludf.DUMMYFUNCTION("""COMPUTED_VALUE"""),"90.270.708.2-619.000")</f>
        <v>90.270.708.2-619.000</v>
      </c>
      <c r="AD1464" s="85" t="str">
        <f>IFERROR(__xludf.DUMMYFUNCTION("""COMPUTED_VALUE"""),"CUM - UMKMNK - ASEP")</f>
        <v>CUM - UMKMNK - ASEP</v>
      </c>
      <c r="AE1464" s="85" t="str">
        <f>IFERROR(__xludf.DUMMYFUNCTION("""COMPUTED_VALUE"""),"CUM - UMKMNK - ASEP")</f>
        <v>CUM - UMKMNK - ASEP</v>
      </c>
      <c r="AF1464" s="85" t="str">
        <f>IFERROR(__xludf.DUMMYFUNCTION("""COMPUTED_VALUE"""),"085748307619")</f>
        <v>085748307619</v>
      </c>
      <c r="AG1464" s="85" t="str">
        <f>IFERROR(__xludf.DUMMYFUNCTION("""COMPUTED_VALUE"""),"085748307619")</f>
        <v>085748307619</v>
      </c>
      <c r="AH1464" s="85" t="str">
        <f>IFERROR(__xludf.DUMMYFUNCTION("""COMPUTED_VALUE"""),"idasuryatirara11@gmail.com")</f>
        <v>idasuryatirara11@gmail.com</v>
      </c>
      <c r="AI1464" s="85"/>
      <c r="AJ1464" s="85"/>
      <c r="AK1464" s="85"/>
      <c r="AL1464" s="85"/>
      <c r="AM1464" s="85" t="str">
        <f>IFERROR(__xludf.DUMMYFUNCTION("""COMPUTED_VALUE"""),"KANTOR REGIONAL V SURABAYA 60004")</f>
        <v>KANTOR REGIONAL V SURABAYA 60004</v>
      </c>
      <c r="AN1464" s="85" t="str">
        <f>IFERROR(__xludf.DUMMYFUNCTION("""COMPUTED_VALUE"""),"KCU SURABAYA 60000")</f>
        <v>KCU SURABAYA 60000</v>
      </c>
      <c r="AO1464" s="85" t="str">
        <f>IFERROR(__xludf.DUMMYFUNCTION("""COMPUTED_VALUE"""),"0903220051818")</f>
        <v>0903220051818</v>
      </c>
      <c r="AP1464" s="85" t="str">
        <f>IFERROR(__xludf.DUMMYFUNCTION("""COMPUTED_VALUE"""),"0903220051818")</f>
        <v>0903220051818</v>
      </c>
      <c r="AQ1464" s="93" t="str">
        <f>IFERROR(__xludf.DUMMYFUNCTION("""COMPUTED_VALUE"""),"1400020154796")</f>
        <v>1400020154796</v>
      </c>
      <c r="AR1464" s="85" t="str">
        <f>IFERROR(__xludf.DUMMYFUNCTION("""COMPUTED_VALUE"""),"BANK MANDIRI SURABAYA")</f>
        <v>BANK MANDIRI SURABAYA</v>
      </c>
      <c r="AS1464" s="85" t="str">
        <f>IFERROR(__xludf.DUMMYFUNCTION("""COMPUTED_VALUE"""),"IDA SURYATI")</f>
        <v>IDA SURYATI</v>
      </c>
      <c r="AT1464" s="85" t="str">
        <f>IFERROR(__xludf.DUMMYFUNCTION("""COMPUTED_VALUE"""),"-7.2258828,112.7643349")</f>
        <v>-7.2258828,112.7643349</v>
      </c>
      <c r="AU1464" s="85" t="str">
        <f>IFERROR(__xludf.DUMMYFUNCTION("""COMPUTED_VALUE"""),"-7.2258828,112.7643349")</f>
        <v>-7.2258828,112.7643349</v>
      </c>
      <c r="AV1464" s="85"/>
      <c r="AW1464" s="85"/>
      <c r="AX1464" s="85"/>
      <c r="AY1464" s="85"/>
      <c r="AZ1464" s="85"/>
      <c r="BA1464" s="85"/>
      <c r="BB1464" s="85"/>
      <c r="BC1464" s="85"/>
      <c r="BD1464" s="85"/>
      <c r="BE1464" s="85"/>
      <c r="BF1464" s="85"/>
      <c r="BG1464" s="85"/>
      <c r="BH1464" s="85"/>
      <c r="BI1464" s="85"/>
      <c r="BJ1464" s="85"/>
      <c r="BK1464" s="85"/>
      <c r="BL1464" s="85"/>
      <c r="BM1464" s="85"/>
      <c r="BN1464" s="85"/>
      <c r="BO1464" s="85"/>
      <c r="BP1464" s="85"/>
      <c r="BQ1464" s="85"/>
      <c r="BR1464" s="85"/>
      <c r="BS1464" s="85"/>
      <c r="BT1464" s="85"/>
      <c r="BU1464" s="85"/>
      <c r="BV1464" s="85"/>
      <c r="BW1464" s="85"/>
      <c r="BX1464" s="85"/>
      <c r="BY1464" s="85"/>
      <c r="BZ1464" s="85"/>
      <c r="CA1464" s="85"/>
      <c r="CB1464" s="85"/>
      <c r="CC1464" s="85"/>
      <c r="CD1464" s="85"/>
      <c r="CE1464" s="85"/>
      <c r="CF1464" s="85"/>
      <c r="CG1464" s="85"/>
      <c r="CH1464" s="85"/>
      <c r="CI1464" s="85"/>
      <c r="CJ1464" s="85"/>
      <c r="CK1464" s="2"/>
    </row>
    <row r="1465" ht="12.75" customHeight="1">
      <c r="A1465" s="80">
        <f>IFERROR(__xludf.DUMMYFUNCTION("""COMPUTED_VALUE"""),1461.0)</f>
        <v>1461</v>
      </c>
      <c r="B1465" s="80"/>
      <c r="C1465" s="80"/>
      <c r="D1465" s="81">
        <f>IFERROR(__xludf.DUMMYFUNCTION("""COMPUTED_VALUE"""),46280.0)</f>
        <v>46280</v>
      </c>
      <c r="E1465" s="82"/>
      <c r="F1465" s="80"/>
      <c r="G1465" s="81"/>
      <c r="H1465" s="80"/>
      <c r="I1465" s="80"/>
      <c r="J1465" s="80"/>
      <c r="K1465" s="80"/>
      <c r="L1465" s="80"/>
      <c r="M1465" s="80"/>
      <c r="N1465" s="80"/>
      <c r="O1465" s="80"/>
      <c r="P1465" s="80" t="str">
        <f>IFERROR(__xludf.DUMMYFUNCTION("""COMPUTED_VALUE"""),"MUC70266UMKMAMC1")</f>
        <v>MUC70266UMKMAMC1</v>
      </c>
      <c r="Q1465" s="80" t="str">
        <f>IFERROR(__xludf.DUMMYFUNCTION("""COMPUTED_VALUE"""),"MUC AMBAR EKSPEDISI")</f>
        <v>MUC AMBAR EKSPEDISI</v>
      </c>
      <c r="R1465" s="80" t="str">
        <f>IFERROR(__xludf.DUMMYFUNCTION("""COMPUTED_VALUE"""),"MUC AMBAR EKSPEDISI")</f>
        <v>MUC AMBAR EKSPEDISI</v>
      </c>
      <c r="S1465" s="80" t="str">
        <f>IFERROR(__xludf.DUMMYFUNCTION("""COMPUTED_VALUE"""),"RESTU FAUZY")</f>
        <v>RESTU FAUZY</v>
      </c>
      <c r="T1465" s="80" t="str">
        <f>IFERROR(__xludf.DUMMYFUNCTION("""COMPUTED_VALUE"""),"KP. RAKSABALA RT.003/RW.003 RAMASARI HAURWANGI KABUPATEN CIANJUR JAWA BARAT")</f>
        <v>KP. RAKSABALA RT.003/RW.003 RAMASARI HAURWANGI KABUPATEN CIANJUR JAWA BARAT</v>
      </c>
      <c r="U1465" s="80" t="str">
        <f>IFERROR(__xludf.DUMMYFUNCTION("""COMPUTED_VALUE"""),"Kp. Pasir Junti RT.001 RW.003 Desa Mekarwangi, Haurwangi, Kab. Cianjur")</f>
        <v>Kp. Pasir Junti RT.001 RW.003 Desa Mekarwangi, Haurwangi, Kab. Cianjur</v>
      </c>
      <c r="V1465" s="80" t="str">
        <f>IFERROR(__xludf.DUMMYFUNCTION("""COMPUTED_VALUE"""),"RT.003 \ RW.003")</f>
        <v>RT.003 \ RW.003</v>
      </c>
      <c r="W1465" s="80" t="str">
        <f>IFERROR(__xludf.DUMMYFUNCTION("""COMPUTED_VALUE"""),"Mekarwangi")</f>
        <v>Mekarwangi</v>
      </c>
      <c r="X1465" s="80" t="str">
        <f>IFERROR(__xludf.DUMMYFUNCTION("""COMPUTED_VALUE"""),"Haurwangi")</f>
        <v>Haurwangi</v>
      </c>
      <c r="Y1465" s="80" t="str">
        <f>IFERROR(__xludf.DUMMYFUNCTION("""COMPUTED_VALUE"""),"Kab. Cianjur")</f>
        <v>Kab. Cianjur</v>
      </c>
      <c r="Z1465" s="80" t="str">
        <f>IFERROR(__xludf.DUMMYFUNCTION("""COMPUTED_VALUE"""),"Jawa Barat")</f>
        <v>Jawa Barat</v>
      </c>
      <c r="AA1465" s="80" t="str">
        <f>IFERROR(__xludf.DUMMYFUNCTION("""COMPUTED_VALUE"""),"43280")</f>
        <v>43280</v>
      </c>
      <c r="AB1465" s="80" t="str">
        <f>IFERROR(__xludf.DUMMYFUNCTION("""COMPUTED_VALUE"""),"3201043006910003")</f>
        <v>3201043006910003</v>
      </c>
      <c r="AC1465" s="80" t="str">
        <f>IFERROR(__xludf.DUMMYFUNCTION("""COMPUTED_VALUE"""),"47.320.454.3-403.000")</f>
        <v>47.320.454.3-403.000</v>
      </c>
      <c r="AD1465" s="80" t="str">
        <f>IFERROR(__xludf.DUMMYFUNCTION("""COMPUTED_VALUE"""),"CUM - PS - NON KORGEN")</f>
        <v>CUM - PS - NON KORGEN</v>
      </c>
      <c r="AE1465" s="80" t="str">
        <f>IFERROR(__xludf.DUMMYFUNCTION("""COMPUTED_VALUE"""),"CUM - PS - NON KORGEN")</f>
        <v>CUM - PS - NON KORGEN</v>
      </c>
      <c r="AF1465" s="80" t="str">
        <f>IFERROR(__xludf.DUMMYFUNCTION("""COMPUTED_VALUE"""),"087873057415")</f>
        <v>087873057415</v>
      </c>
      <c r="AG1465" s="80" t="str">
        <f>IFERROR(__xludf.DUMMYFUNCTION("""COMPUTED_VALUE"""),"087873057415")</f>
        <v>087873057415</v>
      </c>
      <c r="AH1465" s="80" t="str">
        <f>IFERROR(__xludf.DUMMYFUNCTION("""COMPUTED_VALUE"""),"restufauzy.rf@gmail.com")</f>
        <v>restufauzy.rf@gmail.com</v>
      </c>
      <c r="AI1465" s="80"/>
      <c r="AJ1465" s="80"/>
      <c r="AK1465" s="80"/>
      <c r="AL1465" s="80"/>
      <c r="AM1465" s="80" t="str">
        <f>IFERROR(__xludf.DUMMYFUNCTION("""COMPUTED_VALUE"""),"KANTOR REGIONAL III BANDUNG 40004")</f>
        <v>KANTOR REGIONAL III BANDUNG 40004</v>
      </c>
      <c r="AN1465" s="80" t="str">
        <f>IFERROR(__xludf.DUMMYFUNCTION("""COMPUTED_VALUE"""),"KC CIANJUR 43200")</f>
        <v>KC CIANJUR 43200</v>
      </c>
      <c r="AO1465" s="80" t="str">
        <f>IFERROR(__xludf.DUMMYFUNCTION("""COMPUTED_VALUE"""),"1409260023623")</f>
        <v>1409260023623</v>
      </c>
      <c r="AP1465" s="80" t="str">
        <f>IFERROR(__xludf.DUMMYFUNCTION("""COMPUTED_VALUE"""),"1409260023623")</f>
        <v>1409260023623</v>
      </c>
      <c r="AQ1465" s="83" t="str">
        <f>IFERROR(__xludf.DUMMYFUNCTION("""COMPUTED_VALUE"""),"1280811234")</f>
        <v>1280811234</v>
      </c>
      <c r="AR1465" s="80" t="str">
        <f>IFERROR(__xludf.DUMMYFUNCTION("""COMPUTED_VALUE"""),"BCA")</f>
        <v>BCA</v>
      </c>
      <c r="AS1465" s="80" t="str">
        <f>IFERROR(__xludf.DUMMYFUNCTION("""COMPUTED_VALUE"""),"RESTU FAUZY")</f>
        <v>RESTU FAUZY</v>
      </c>
      <c r="AT1465" s="80" t="str">
        <f>IFERROR(__xludf.DUMMYFUNCTION("""COMPUTED_VALUE"""),"-6.8200873,107.2942487")</f>
        <v>-6.8200873,107.2942487</v>
      </c>
      <c r="AU1465" s="80" t="str">
        <f>IFERROR(__xludf.DUMMYFUNCTION("""COMPUTED_VALUE"""),"-6.8200873,107.2942487")</f>
        <v>-6.8200873,107.2942487</v>
      </c>
      <c r="AV1465" s="80"/>
      <c r="AW1465" s="80"/>
      <c r="AX1465" s="80"/>
      <c r="AY1465" s="80"/>
      <c r="AZ1465" s="80"/>
      <c r="BA1465" s="80"/>
      <c r="BB1465" s="80"/>
      <c r="BC1465" s="80"/>
      <c r="BD1465" s="80"/>
      <c r="BE1465" s="80"/>
      <c r="BF1465" s="80"/>
      <c r="BG1465" s="80"/>
      <c r="BH1465" s="80"/>
      <c r="BI1465" s="80"/>
      <c r="BJ1465" s="80"/>
      <c r="BK1465" s="80"/>
      <c r="BL1465" s="80"/>
      <c r="BM1465" s="80"/>
      <c r="BN1465" s="80"/>
      <c r="BO1465" s="80"/>
      <c r="BP1465" s="80"/>
      <c r="BQ1465" s="80"/>
      <c r="BR1465" s="80"/>
      <c r="BS1465" s="80"/>
      <c r="BT1465" s="80"/>
      <c r="BU1465" s="80"/>
      <c r="BV1465" s="80"/>
      <c r="BW1465" s="80"/>
      <c r="BX1465" s="80"/>
      <c r="BY1465" s="80"/>
      <c r="BZ1465" s="80"/>
      <c r="CA1465" s="80"/>
      <c r="CB1465" s="80"/>
      <c r="CC1465" s="80"/>
      <c r="CD1465" s="80"/>
      <c r="CE1465" s="80"/>
      <c r="CF1465" s="80"/>
      <c r="CG1465" s="80"/>
      <c r="CH1465" s="80"/>
      <c r="CI1465" s="80"/>
      <c r="CJ1465" s="80"/>
      <c r="CK1465" s="2"/>
    </row>
    <row r="1466" ht="12.75" customHeight="1">
      <c r="A1466" s="85">
        <f>IFERROR(__xludf.DUMMYFUNCTION("""COMPUTED_VALUE"""),1462.0)</f>
        <v>1462</v>
      </c>
      <c r="B1466" s="85"/>
      <c r="C1466" s="85"/>
      <c r="D1466" s="86">
        <f>IFERROR(__xludf.DUMMYFUNCTION("""COMPUTED_VALUE"""),46280.0)</f>
        <v>46280</v>
      </c>
      <c r="E1466" s="88"/>
      <c r="F1466" s="85"/>
      <c r="G1466" s="86"/>
      <c r="H1466" s="85"/>
      <c r="I1466" s="85"/>
      <c r="J1466" s="85"/>
      <c r="K1466" s="85"/>
      <c r="L1466" s="85"/>
      <c r="M1466" s="85"/>
      <c r="N1466" s="85"/>
      <c r="O1466" s="85"/>
      <c r="P1466" s="85" t="str">
        <f>IFERROR(__xludf.DUMMYFUNCTION("""COMPUTED_VALUE"""),"MUCSPA63671PSIND")</f>
        <v>MUCSPA63671PSIND</v>
      </c>
      <c r="Q1466" s="85" t="str">
        <f>IFERROR(__xludf.DUMMYFUNCTION("""COMPUTED_VALUE"""),"MUC YAN TRADING LOGISTICS")</f>
        <v>MUC YAN TRADING LOGISTICS</v>
      </c>
      <c r="R1466" s="85" t="str">
        <f>IFERROR(__xludf.DUMMYFUNCTION("""COMPUTED_VALUE"""),"MUC YAN TRADING LOGISTICS")</f>
        <v>MUC YAN TRADING LOGISTICS</v>
      </c>
      <c r="S1466" s="85" t="str">
        <f>IFERROR(__xludf.DUMMYFUNCTION("""COMPUTED_VALUE"""),"PUTRIANA KHOIRUN NISAA")</f>
        <v>PUTRIANA KHOIRUN NISAA</v>
      </c>
      <c r="T1466" s="85" t="str">
        <f>IFERROR(__xludf.DUMMYFUNCTION("""COMPUTED_VALUE"""),"KP.GEDONG RT 01 RW 08, BOJONEGARA, BOJONEGARA, KAB.SERANG")</f>
        <v>KP.GEDONG RT 01 RW 08, BOJONEGARA, BOJONEGARA, KAB.SERANG</v>
      </c>
      <c r="U1466" s="85" t="str">
        <f>IFERROR(__xludf.DUMMYFUNCTION("""COMPUTED_VALUE"""),"JL. HOKAIDO NO.72, BIZPOINT CITRA RAYA")</f>
        <v>JL. HOKAIDO NO.72, BIZPOINT CITRA RAYA</v>
      </c>
      <c r="V1466" s="85" t="str">
        <f>IFERROR(__xludf.DUMMYFUNCTION("""COMPUTED_VALUE"""),"RT 01  \ RW 08,")</f>
        <v>RT 01  \ RW 08,</v>
      </c>
      <c r="W1466" s="85" t="str">
        <f>IFERROR(__xludf.DUMMYFUNCTION("""COMPUTED_VALUE"""),"SUKAMULYA")</f>
        <v>SUKAMULYA</v>
      </c>
      <c r="X1466" s="85" t="str">
        <f>IFERROR(__xludf.DUMMYFUNCTION("""COMPUTED_VALUE"""),"CIKUPA")</f>
        <v>CIKUPA</v>
      </c>
      <c r="Y1466" s="85" t="str">
        <f>IFERROR(__xludf.DUMMYFUNCTION("""COMPUTED_VALUE"""),"KAB.TANGERANG")</f>
        <v>KAB.TANGERANG</v>
      </c>
      <c r="Z1466" s="85" t="str">
        <f>IFERROR(__xludf.DUMMYFUNCTION("""COMPUTED_VALUE"""),"BANTEN")</f>
        <v>BANTEN</v>
      </c>
      <c r="AA1466" s="85" t="str">
        <f>IFERROR(__xludf.DUMMYFUNCTION("""COMPUTED_VALUE"""),"15710")</f>
        <v>15710</v>
      </c>
      <c r="AB1466" s="85" t="str">
        <f>IFERROR(__xludf.DUMMYFUNCTION("""COMPUTED_VALUE"""),"3604076108940001")</f>
        <v>3604076108940001</v>
      </c>
      <c r="AC1466" s="85" t="str">
        <f>IFERROR(__xludf.DUMMYFUNCTION("""COMPUTED_VALUE"""),"92.640.709.9-454.000")</f>
        <v>92.640.709.9-454.000</v>
      </c>
      <c r="AD1466" s="85" t="str">
        <f>IFERROR(__xludf.DUMMYFUNCTION("""COMPUTED_VALUE"""),"CUM - PS - DWIH")</f>
        <v>CUM - PS - DWIH</v>
      </c>
      <c r="AE1466" s="85" t="str">
        <f>IFERROR(__xludf.DUMMYFUNCTION("""COMPUTED_VALUE"""),"CUM - PS - DWIH")</f>
        <v>CUM - PS - DWIH</v>
      </c>
      <c r="AF1466" s="85" t="str">
        <f>IFERROR(__xludf.DUMMYFUNCTION("""COMPUTED_VALUE"""),"087880757495")</f>
        <v>087880757495</v>
      </c>
      <c r="AG1466" s="85" t="str">
        <f>IFERROR(__xludf.DUMMYFUNCTION("""COMPUTED_VALUE"""),"087880757495")</f>
        <v>087880757495</v>
      </c>
      <c r="AH1466" s="85" t="str">
        <f>IFERROR(__xludf.DUMMYFUNCTION("""COMPUTED_VALUE"""),"sapit@indoraajje.id")</f>
        <v>sapit@indoraajje.id</v>
      </c>
      <c r="AI1466" s="85"/>
      <c r="AJ1466" s="85"/>
      <c r="AK1466" s="85"/>
      <c r="AL1466" s="85"/>
      <c r="AM1466" s="85"/>
      <c r="AN1466" s="85"/>
      <c r="AO1466" s="85" t="str">
        <f>IFERROR(__xludf.DUMMYFUNCTION("""COMPUTED_VALUE"""),"1509260051816")</f>
        <v>1509260051816</v>
      </c>
      <c r="AP1466" s="85" t="str">
        <f>IFERROR(__xludf.DUMMYFUNCTION("""COMPUTED_VALUE"""),"1509260051816")</f>
        <v>1509260051816</v>
      </c>
      <c r="AQ1466" s="93" t="str">
        <f>IFERROR(__xludf.DUMMYFUNCTION("""COMPUTED_VALUE"""),"8880888219")</f>
        <v>8880888219</v>
      </c>
      <c r="AR1466" s="85" t="str">
        <f>IFERROR(__xludf.DUMMYFUNCTION("""COMPUTED_VALUE"""),"BCA")</f>
        <v>BCA</v>
      </c>
      <c r="AS1466" s="85" t="str">
        <f>IFERROR(__xludf.DUMMYFUNCTION("""COMPUTED_VALUE"""),"PT. YAN TRADING AND LOGISTICS")</f>
        <v>PT. YAN TRADING AND LOGISTICS</v>
      </c>
      <c r="AT1466" s="85" t="str">
        <f>IFERROR(__xludf.DUMMYFUNCTION("""COMPUTED_VALUE"""),"-6.2350715,106.5013971")</f>
        <v>-6.2350715,106.5013971</v>
      </c>
      <c r="AU1466" s="85" t="str">
        <f>IFERROR(__xludf.DUMMYFUNCTION("""COMPUTED_VALUE"""),"-6.2350715,106.5013971")</f>
        <v>-6.2350715,106.5013971</v>
      </c>
      <c r="AV1466" s="85"/>
      <c r="AW1466" s="85"/>
      <c r="AX1466" s="85"/>
      <c r="AY1466" s="85"/>
      <c r="AZ1466" s="85"/>
      <c r="BA1466" s="85"/>
      <c r="BB1466" s="85"/>
      <c r="BC1466" s="85"/>
      <c r="BD1466" s="85"/>
      <c r="BE1466" s="85"/>
      <c r="BF1466" s="85"/>
      <c r="BG1466" s="85"/>
      <c r="BH1466" s="85"/>
      <c r="BI1466" s="85"/>
      <c r="BJ1466" s="85"/>
      <c r="BK1466" s="85"/>
      <c r="BL1466" s="85"/>
      <c r="BM1466" s="85"/>
      <c r="BN1466" s="85"/>
      <c r="BO1466" s="85"/>
      <c r="BP1466" s="85"/>
      <c r="BQ1466" s="85"/>
      <c r="BR1466" s="85"/>
      <c r="BS1466" s="85"/>
      <c r="BT1466" s="85"/>
      <c r="BU1466" s="85"/>
      <c r="BV1466" s="85"/>
      <c r="BW1466" s="85"/>
      <c r="BX1466" s="85"/>
      <c r="BY1466" s="85"/>
      <c r="BZ1466" s="85"/>
      <c r="CA1466" s="85"/>
      <c r="CB1466" s="85"/>
      <c r="CC1466" s="85"/>
      <c r="CD1466" s="85"/>
      <c r="CE1466" s="85"/>
      <c r="CF1466" s="85"/>
      <c r="CG1466" s="85"/>
      <c r="CH1466" s="85"/>
      <c r="CI1466" s="85"/>
      <c r="CJ1466" s="85"/>
      <c r="CK1466" s="2"/>
    </row>
    <row r="1467" ht="12.75" customHeight="1">
      <c r="A1467" s="80">
        <f>IFERROR(__xludf.DUMMYFUNCTION("""COMPUTED_VALUE"""),1463.0)</f>
        <v>1463</v>
      </c>
      <c r="B1467" s="80"/>
      <c r="C1467" s="80"/>
      <c r="D1467" s="81">
        <f>IFERROR(__xludf.DUMMYFUNCTION("""COMPUTED_VALUE"""),46281.0)</f>
        <v>46281</v>
      </c>
      <c r="E1467" s="82"/>
      <c r="F1467" s="80"/>
      <c r="G1467" s="81"/>
      <c r="H1467" s="80"/>
      <c r="I1467" s="80"/>
      <c r="J1467" s="80"/>
      <c r="K1467" s="80"/>
      <c r="L1467" s="80"/>
      <c r="M1467" s="80"/>
      <c r="N1467" s="80"/>
      <c r="O1467" s="80"/>
      <c r="P1467" s="80" t="str">
        <f>IFERROR(__xludf.DUMMYFUNCTION("""COMPUTED_VALUE"""),"53BSPA17249JBNDS")</f>
        <v>53BSPA17249JBNDS</v>
      </c>
      <c r="Q1467" s="80" t="str">
        <f>IFERROR(__xludf.DUMMYFUNCTION("""COMPUTED_VALUE"""),"MUC BRATANG 61")</f>
        <v>MUC BRATANG 61</v>
      </c>
      <c r="R1467" s="80" t="str">
        <f>IFERROR(__xludf.DUMMYFUNCTION("""COMPUTED_VALUE"""),"MUC BRATANG 61")</f>
        <v>MUC BRATANG 61</v>
      </c>
      <c r="S1467" s="80" t="str">
        <f>IFERROR(__xludf.DUMMYFUNCTION("""COMPUTED_VALUE"""),"RIEZKY INDRAYANA")</f>
        <v>RIEZKY INDRAYANA</v>
      </c>
      <c r="T1467" s="80" t="str">
        <f>IFERROR(__xludf.DUMMYFUNCTION("""COMPUTED_VALUE"""),"MANYAR MUKTI 4 SURABAYA RT.002/RW.008 MANYAR SABRANGAN MULYOREJO KOTA SURABAYA JAWA TIMUR")</f>
        <v>MANYAR MUKTI 4 SURABAYA RT.002/RW.008 MANYAR SABRANGAN MULYOREJO KOTA SURABAYA JAWA TIMUR</v>
      </c>
      <c r="U1467" s="80" t="str">
        <f>IFERROR(__xludf.DUMMYFUNCTION("""COMPUTED_VALUE"""),"JL. BRATANG BINANGUN I NO. 61")</f>
        <v>JL. BRATANG BINANGUN I NO. 61</v>
      </c>
      <c r="V1467" s="80" t="str">
        <f>IFERROR(__xludf.DUMMYFUNCTION("""COMPUTED_VALUE"""),"RT.002 \ RW.008")</f>
        <v>RT.002 \ RW.008</v>
      </c>
      <c r="W1467" s="80" t="str">
        <f>IFERROR(__xludf.DUMMYFUNCTION("""COMPUTED_VALUE"""),"Baratajaya")</f>
        <v>Baratajaya</v>
      </c>
      <c r="X1467" s="80" t="str">
        <f>IFERROR(__xludf.DUMMYFUNCTION("""COMPUTED_VALUE"""),"Gubeng")</f>
        <v>Gubeng</v>
      </c>
      <c r="Y1467" s="80" t="str">
        <f>IFERROR(__xludf.DUMMYFUNCTION("""COMPUTED_VALUE"""),"Surabaya")</f>
        <v>Surabaya</v>
      </c>
      <c r="Z1467" s="80" t="str">
        <f>IFERROR(__xludf.DUMMYFUNCTION("""COMPUTED_VALUE"""),"Jawa Timur")</f>
        <v>Jawa Timur</v>
      </c>
      <c r="AA1467" s="80" t="str">
        <f>IFERROR(__xludf.DUMMYFUNCTION("""COMPUTED_VALUE"""),"60284")</f>
        <v>60284</v>
      </c>
      <c r="AB1467" s="80" t="str">
        <f>IFERROR(__xludf.DUMMYFUNCTION("""COMPUTED_VALUE"""),"3578262104760001")</f>
        <v>3578262104760001</v>
      </c>
      <c r="AC1467" s="80" t="str">
        <f>IFERROR(__xludf.DUMMYFUNCTION("""COMPUTED_VALUE"""),"35.782.621.0-476.0001")</f>
        <v>35.782.621.0-476.0001</v>
      </c>
      <c r="AD1467" s="80" t="str">
        <f>IFERROR(__xludf.DUMMYFUNCTION("""COMPUTED_VALUE"""),"CUM - NDS")</f>
        <v>CUM - NDS</v>
      </c>
      <c r="AE1467" s="80" t="str">
        <f>IFERROR(__xludf.DUMMYFUNCTION("""COMPUTED_VALUE"""),"CUM - NDS")</f>
        <v>CUM - NDS</v>
      </c>
      <c r="AF1467" s="80" t="str">
        <f>IFERROR(__xludf.DUMMYFUNCTION("""COMPUTED_VALUE"""),"081382028676")</f>
        <v>081382028676</v>
      </c>
      <c r="AG1467" s="80" t="str">
        <f>IFERROR(__xludf.DUMMYFUNCTION("""COMPUTED_VALUE"""),"081382028676")</f>
        <v>081382028676</v>
      </c>
      <c r="AH1467" s="80" t="str">
        <f>IFERROR(__xludf.DUMMYFUNCTION("""COMPUTED_VALUE"""),"mm4multiusaha@gmail.com")</f>
        <v>mm4multiusaha@gmail.com</v>
      </c>
      <c r="AI1467" s="80"/>
      <c r="AJ1467" s="80"/>
      <c r="AK1467" s="80"/>
      <c r="AL1467" s="80"/>
      <c r="AM1467" s="80"/>
      <c r="AN1467" s="80"/>
      <c r="AO1467" s="80" t="str">
        <f>IFERROR(__xludf.DUMMYFUNCTION("""COMPUTED_VALUE"""),"1409260066566")</f>
        <v>1409260066566</v>
      </c>
      <c r="AP1467" s="80" t="str">
        <f>IFERROR(__xludf.DUMMYFUNCTION("""COMPUTED_VALUE"""),"1409260066566")</f>
        <v>1409260066566</v>
      </c>
      <c r="AQ1467" s="83" t="str">
        <f>IFERROR(__xludf.DUMMYFUNCTION("""COMPUTED_VALUE"""),"088301029524532")</f>
        <v>088301029524532</v>
      </c>
      <c r="AR1467" s="80" t="str">
        <f>IFERROR(__xludf.DUMMYFUNCTION("""COMPUTED_VALUE"""),"BRI")</f>
        <v>BRI</v>
      </c>
      <c r="AS1467" s="80" t="str">
        <f>IFERROR(__xludf.DUMMYFUNCTION("""COMPUTED_VALUE"""),"RIEZKY INDRAYANA")</f>
        <v>RIEZKY INDRAYANA</v>
      </c>
      <c r="AT1467" s="80" t="str">
        <f>IFERROR(__xludf.DUMMYFUNCTION("""COMPUTED_VALUE"""),"-7.2954358,112.7564483")</f>
        <v>-7.2954358,112.7564483</v>
      </c>
      <c r="AU1467" s="80" t="str">
        <f>IFERROR(__xludf.DUMMYFUNCTION("""COMPUTED_VALUE"""),"-7.2954358,112.7564483")</f>
        <v>-7.2954358,112.7564483</v>
      </c>
      <c r="AV1467" s="80"/>
      <c r="AW1467" s="80"/>
      <c r="AX1467" s="80"/>
      <c r="AY1467" s="80"/>
      <c r="AZ1467" s="80"/>
      <c r="BA1467" s="80"/>
      <c r="BB1467" s="80"/>
      <c r="BC1467" s="80"/>
      <c r="BD1467" s="80"/>
      <c r="BE1467" s="80"/>
      <c r="BF1467" s="80"/>
      <c r="BG1467" s="80"/>
      <c r="BH1467" s="80"/>
      <c r="BI1467" s="80"/>
      <c r="BJ1467" s="80"/>
      <c r="BK1467" s="80"/>
      <c r="BL1467" s="80"/>
      <c r="BM1467" s="80"/>
      <c r="BN1467" s="80"/>
      <c r="BO1467" s="80"/>
      <c r="BP1467" s="80"/>
      <c r="BQ1467" s="80"/>
      <c r="BR1467" s="80"/>
      <c r="BS1467" s="80"/>
      <c r="BT1467" s="80"/>
      <c r="BU1467" s="80"/>
      <c r="BV1467" s="80"/>
      <c r="BW1467" s="80"/>
      <c r="BX1467" s="80"/>
      <c r="BY1467" s="80"/>
      <c r="BZ1467" s="80"/>
      <c r="CA1467" s="80"/>
      <c r="CB1467" s="80"/>
      <c r="CC1467" s="80"/>
      <c r="CD1467" s="80"/>
      <c r="CE1467" s="80"/>
      <c r="CF1467" s="80"/>
      <c r="CG1467" s="80"/>
      <c r="CH1467" s="80"/>
      <c r="CI1467" s="80"/>
      <c r="CJ1467" s="80"/>
      <c r="CK1467" s="2"/>
    </row>
    <row r="1468" ht="12.75" customHeight="1">
      <c r="A1468" s="85">
        <f>IFERROR(__xludf.DUMMYFUNCTION("""COMPUTED_VALUE"""),1464.0)</f>
        <v>1464</v>
      </c>
      <c r="B1468" s="85"/>
      <c r="C1468" s="85"/>
      <c r="D1468" s="86">
        <f>IFERROR(__xludf.DUMMYFUNCTION("""COMPUTED_VALUE"""),46281.0)</f>
        <v>46281</v>
      </c>
      <c r="E1468" s="88"/>
      <c r="F1468" s="85"/>
      <c r="G1468" s="86"/>
      <c r="H1468" s="85"/>
      <c r="I1468" s="85"/>
      <c r="J1468" s="85"/>
      <c r="K1468" s="85"/>
      <c r="L1468" s="85"/>
      <c r="M1468" s="85"/>
      <c r="N1468" s="85"/>
      <c r="O1468" s="85"/>
      <c r="P1468" s="85" t="str">
        <f>IFERROR(__xludf.DUMMYFUNCTION("""COMPUTED_VALUE"""),"MUCSPA63681PSIND")</f>
        <v>MUCSPA63681PSIND</v>
      </c>
      <c r="Q1468" s="85" t="str">
        <f>IFERROR(__xludf.DUMMYFUNCTION("""COMPUTED_VALUE"""),"MUC MAFAZ XAVIER")</f>
        <v>MUC MAFAZ XAVIER</v>
      </c>
      <c r="R1468" s="85" t="str">
        <f>IFERROR(__xludf.DUMMYFUNCTION("""COMPUTED_VALUE"""),"MUC MAFAZ XAVIER")</f>
        <v>MUC MAFAZ XAVIER</v>
      </c>
      <c r="S1468" s="85" t="str">
        <f>IFERROR(__xludf.DUMMYFUNCTION("""COMPUTED_VALUE"""),"DONI SEPTYA MAULANA")</f>
        <v>DONI SEPTYA MAULANA</v>
      </c>
      <c r="T1468" s="85" t="str">
        <f>IFERROR(__xludf.DUMMYFUNCTION("""COMPUTED_VALUE"""),"PURI PERMAI BLOK I.1 NO.21 RT.003/RW.005 PEMATANG TIGARAKSA, KABUPATEN TANGERANG BANTEN")</f>
        <v>PURI PERMAI BLOK I.1 NO.21 RT.003/RW.005 PEMATANG TIGARAKSA, KABUPATEN TANGERANG BANTEN</v>
      </c>
      <c r="U1468" s="85" t="str">
        <f>IFERROR(__xludf.DUMMYFUNCTION("""COMPUTED_VALUE"""),"Jl. Winong Dalam No.64 RT.003/RW.006, Sudimara Timur, Tangerang, Banten")</f>
        <v>Jl. Winong Dalam No.64 RT.003/RW.006, Sudimara Timur, Tangerang, Banten</v>
      </c>
      <c r="V1468" s="85" t="str">
        <f>IFERROR(__xludf.DUMMYFUNCTION("""COMPUTED_VALUE"""),"RT.003 \ RW.005")</f>
        <v>RT.003 \ RW.005</v>
      </c>
      <c r="W1468" s="85" t="str">
        <f>IFERROR(__xludf.DUMMYFUNCTION("""COMPUTED_VALUE"""),"Sudimara Timur")</f>
        <v>Sudimara Timur</v>
      </c>
      <c r="X1468" s="85" t="str">
        <f>IFERROR(__xludf.DUMMYFUNCTION("""COMPUTED_VALUE"""),"Ciledug")</f>
        <v>Ciledug</v>
      </c>
      <c r="Y1468" s="85" t="str">
        <f>IFERROR(__xludf.DUMMYFUNCTION("""COMPUTED_VALUE"""),"Tangerang")</f>
        <v>Tangerang</v>
      </c>
      <c r="Z1468" s="85" t="str">
        <f>IFERROR(__xludf.DUMMYFUNCTION("""COMPUTED_VALUE"""),"Banten")</f>
        <v>Banten</v>
      </c>
      <c r="AA1468" s="85" t="str">
        <f>IFERROR(__xludf.DUMMYFUNCTION("""COMPUTED_VALUE"""),"15151")</f>
        <v>15151</v>
      </c>
      <c r="AB1468" s="85" t="str">
        <f>IFERROR(__xludf.DUMMYFUNCTION("""COMPUTED_VALUE"""),"3603030709000002")</f>
        <v>3603030709000002</v>
      </c>
      <c r="AC1468" s="85" t="str">
        <f>IFERROR(__xludf.DUMMYFUNCTION("""COMPUTED_VALUE"""),"42.044.270.9-451.000")</f>
        <v>42.044.270.9-451.000</v>
      </c>
      <c r="AD1468" s="85" t="str">
        <f>IFERROR(__xludf.DUMMYFUNCTION("""COMPUTED_VALUE"""),"CUM - PS - DWIH")</f>
        <v>CUM - PS - DWIH</v>
      </c>
      <c r="AE1468" s="85" t="str">
        <f>IFERROR(__xludf.DUMMYFUNCTION("""COMPUTED_VALUE"""),"CUM - PS - DWIH")</f>
        <v>CUM - PS - DWIH</v>
      </c>
      <c r="AF1468" s="85" t="str">
        <f>IFERROR(__xludf.DUMMYFUNCTION("""COMPUTED_VALUE"""),"089659526620")</f>
        <v>089659526620</v>
      </c>
      <c r="AG1468" s="85" t="str">
        <f>IFERROR(__xludf.DUMMYFUNCTION("""COMPUTED_VALUE"""),"089659526620")</f>
        <v>089659526620</v>
      </c>
      <c r="AH1468" s="85" t="str">
        <f>IFERROR(__xludf.DUMMYFUNCTION("""COMPUTED_VALUE"""),"doniseptya46@gmail.com")</f>
        <v>doniseptya46@gmail.com</v>
      </c>
      <c r="AI1468" s="85"/>
      <c r="AJ1468" s="85"/>
      <c r="AK1468" s="85"/>
      <c r="AL1468" s="85"/>
      <c r="AM1468" s="85"/>
      <c r="AN1468" s="85"/>
      <c r="AO1468" s="85" t="str">
        <f>IFERROR(__xludf.DUMMYFUNCTION("""COMPUTED_VALUE"""),"1509260070819")</f>
        <v>1509260070819</v>
      </c>
      <c r="AP1468" s="85" t="str">
        <f>IFERROR(__xludf.DUMMYFUNCTION("""COMPUTED_VALUE"""),"1509260070819")</f>
        <v>1509260070819</v>
      </c>
      <c r="AQ1468" s="93" t="str">
        <f>IFERROR(__xludf.DUMMYFUNCTION("""COMPUTED_VALUE"""),"0103267381")</f>
        <v>0103267381</v>
      </c>
      <c r="AR1468" s="85" t="str">
        <f>IFERROR(__xludf.DUMMYFUNCTION("""COMPUTED_VALUE"""),"POSPAY")</f>
        <v>POSPAY</v>
      </c>
      <c r="AS1468" s="85" t="str">
        <f>IFERROR(__xludf.DUMMYFUNCTION("""COMPUTED_VALUE"""),"DONI SEPTYA MAULANA")</f>
        <v>DONI SEPTYA MAULANA</v>
      </c>
      <c r="AT1468" s="85" t="str">
        <f>IFERROR(__xludf.DUMMYFUNCTION("""COMPUTED_VALUE"""),"-6.2347826,106.7116121")</f>
        <v>-6.2347826,106.7116121</v>
      </c>
      <c r="AU1468" s="85" t="str">
        <f>IFERROR(__xludf.DUMMYFUNCTION("""COMPUTED_VALUE"""),"-6.2347826,106.7116121")</f>
        <v>-6.2347826,106.7116121</v>
      </c>
      <c r="AV1468" s="85"/>
      <c r="AW1468" s="85"/>
      <c r="AX1468" s="85"/>
      <c r="AY1468" s="85"/>
      <c r="AZ1468" s="85"/>
      <c r="BA1468" s="85"/>
      <c r="BB1468" s="85"/>
      <c r="BC1468" s="85"/>
      <c r="BD1468" s="85"/>
      <c r="BE1468" s="85"/>
      <c r="BF1468" s="85"/>
      <c r="BG1468" s="85"/>
      <c r="BH1468" s="85"/>
      <c r="BI1468" s="85"/>
      <c r="BJ1468" s="85"/>
      <c r="BK1468" s="85"/>
      <c r="BL1468" s="85"/>
      <c r="BM1468" s="85"/>
      <c r="BN1468" s="85"/>
      <c r="BO1468" s="85"/>
      <c r="BP1468" s="85"/>
      <c r="BQ1468" s="85"/>
      <c r="BR1468" s="85"/>
      <c r="BS1468" s="85"/>
      <c r="BT1468" s="85"/>
      <c r="BU1468" s="85"/>
      <c r="BV1468" s="85"/>
      <c r="BW1468" s="85"/>
      <c r="BX1468" s="85"/>
      <c r="BY1468" s="85"/>
      <c r="BZ1468" s="85"/>
      <c r="CA1468" s="85"/>
      <c r="CB1468" s="85"/>
      <c r="CC1468" s="85"/>
      <c r="CD1468" s="85"/>
      <c r="CE1468" s="85"/>
      <c r="CF1468" s="85"/>
      <c r="CG1468" s="85"/>
      <c r="CH1468" s="85"/>
      <c r="CI1468" s="85"/>
      <c r="CJ1468" s="85"/>
      <c r="CK1468" s="2"/>
    </row>
    <row r="1469" ht="12.75" customHeight="1">
      <c r="A1469" s="80">
        <f>IFERROR(__xludf.DUMMYFUNCTION("""COMPUTED_VALUE"""),1465.0)</f>
        <v>1465</v>
      </c>
      <c r="B1469" s="80"/>
      <c r="C1469" s="80"/>
      <c r="D1469" s="81">
        <f>IFERROR(__xludf.DUMMYFUNCTION("""COMPUTED_VALUE"""),46281.0)</f>
        <v>46281</v>
      </c>
      <c r="E1469" s="82"/>
      <c r="F1469" s="80"/>
      <c r="G1469" s="81"/>
      <c r="H1469" s="80"/>
      <c r="I1469" s="80"/>
      <c r="J1469" s="80"/>
      <c r="K1469" s="80"/>
      <c r="L1469" s="80"/>
      <c r="M1469" s="80"/>
      <c r="N1469" s="80"/>
      <c r="O1469" s="80"/>
      <c r="P1469" s="80" t="str">
        <f>IFERROR(__xludf.DUMMYFUNCTION("""COMPUTED_VALUE"""),"MUCSPA70117PSLDI")</f>
        <v>MUCSPA70117PSLDI</v>
      </c>
      <c r="Q1469" s="80" t="str">
        <f>IFERROR(__xludf.DUMMYFUNCTION("""COMPUTED_VALUE"""),"MUC MIRACLE")</f>
        <v>MUC MIRACLE</v>
      </c>
      <c r="R1469" s="80" t="str">
        <f>IFERROR(__xludf.DUMMYFUNCTION("""COMPUTED_VALUE"""),"MUC MIRACLE")</f>
        <v>MUC MIRACLE</v>
      </c>
      <c r="S1469" s="80" t="str">
        <f>IFERROR(__xludf.DUMMYFUNCTION("""COMPUTED_VALUE"""),"NADZAR IMAM MUJAHID RACHMAN")</f>
        <v>NADZAR IMAM MUJAHID RACHMAN</v>
      </c>
      <c r="T1469" s="80" t="str">
        <f>IFERROR(__xludf.DUMMYFUNCTION("""COMPUTED_VALUE"""),"PERUM CEMPAKA INDAH B5 RT.004/RW.014 LEBAKJAYA KARANGPAWITAN KABUPATEN GARUT JAWA BARAT")</f>
        <v>PERUM CEMPAKA INDAH B5 RT.004/RW.014 LEBAKJAYA KARANGPAWITAN KABUPATEN GARUT JAWA BARAT</v>
      </c>
      <c r="U1469" s="80" t="str">
        <f>IFERROR(__xludf.DUMMYFUNCTION("""COMPUTED_VALUE"""),"Perum Cempaka Indah B5 No.25 RT.004 RW.014")</f>
        <v>Perum Cempaka Indah B5 No.25 RT.004 RW.014</v>
      </c>
      <c r="V1469" s="80" t="str">
        <f>IFERROR(__xludf.DUMMYFUNCTION("""COMPUTED_VALUE"""),"RT.004 \ RW.014")</f>
        <v>RT.004 \ RW.014</v>
      </c>
      <c r="W1469" s="80" t="str">
        <f>IFERROR(__xludf.DUMMYFUNCTION("""COMPUTED_VALUE"""),"Lebakjaya")</f>
        <v>Lebakjaya</v>
      </c>
      <c r="X1469" s="80" t="str">
        <f>IFERROR(__xludf.DUMMYFUNCTION("""COMPUTED_VALUE"""),"Karangpawitan")</f>
        <v>Karangpawitan</v>
      </c>
      <c r="Y1469" s="80" t="str">
        <f>IFERROR(__xludf.DUMMYFUNCTION("""COMPUTED_VALUE"""),"Garut")</f>
        <v>Garut</v>
      </c>
      <c r="Z1469" s="80" t="str">
        <f>IFERROR(__xludf.DUMMYFUNCTION("""COMPUTED_VALUE"""),"Jawa Barat")</f>
        <v>Jawa Barat</v>
      </c>
      <c r="AA1469" s="80" t="str">
        <f>IFERROR(__xludf.DUMMYFUNCTION("""COMPUTED_VALUE"""),"44182")</f>
        <v>44182</v>
      </c>
      <c r="AB1469" s="80" t="str">
        <f>IFERROR(__xludf.DUMMYFUNCTION("""COMPUTED_VALUE"""),"3205021312960002")</f>
        <v>3205021312960002</v>
      </c>
      <c r="AC1469" s="80" t="str">
        <f>IFERROR(__xludf.DUMMYFUNCTION("""COMPUTED_VALUE"""),"86.343.190.4-443.000")</f>
        <v>86.343.190.4-443.000</v>
      </c>
      <c r="AD1469" s="80" t="str">
        <f>IFERROR(__xludf.DUMMYFUNCTION("""COMPUTED_VALUE"""),"CUM - LDI - KOPUBGBS")</f>
        <v>CUM - LDI - KOPUBGBS</v>
      </c>
      <c r="AE1469" s="80" t="str">
        <f>IFERROR(__xludf.DUMMYFUNCTION("""COMPUTED_VALUE"""),"CUM - LDI - KOPUBGBS")</f>
        <v>CUM - LDI - KOPUBGBS</v>
      </c>
      <c r="AF1469" s="80" t="str">
        <f>IFERROR(__xludf.DUMMYFUNCTION("""COMPUTED_VALUE"""),"089524383868")</f>
        <v>089524383868</v>
      </c>
      <c r="AG1469" s="80" t="str">
        <f>IFERROR(__xludf.DUMMYFUNCTION("""COMPUTED_VALUE"""),"089524383868")</f>
        <v>089524383868</v>
      </c>
      <c r="AH1469" s="80" t="str">
        <f>IFERROR(__xludf.DUMMYFUNCTION("""COMPUTED_VALUE"""),"nadzarimr42@gmail.com")</f>
        <v>nadzarimr42@gmail.com</v>
      </c>
      <c r="AI1469" s="80"/>
      <c r="AJ1469" s="80"/>
      <c r="AK1469" s="80"/>
      <c r="AL1469" s="80"/>
      <c r="AM1469" s="80"/>
      <c r="AN1469" s="80"/>
      <c r="AO1469" s="80" t="str">
        <f>IFERROR(__xludf.DUMMYFUNCTION("""COMPUTED_VALUE"""),"1509260045426")</f>
        <v>1509260045426</v>
      </c>
      <c r="AP1469" s="80" t="str">
        <f>IFERROR(__xludf.DUMMYFUNCTION("""COMPUTED_VALUE"""),"1509260045426")</f>
        <v>1509260045426</v>
      </c>
      <c r="AQ1469" s="83" t="str">
        <f>IFERROR(__xludf.DUMMYFUNCTION("""COMPUTED_VALUE"""),"4461450665")</f>
        <v>4461450665</v>
      </c>
      <c r="AR1469" s="80" t="str">
        <f>IFERROR(__xludf.DUMMYFUNCTION("""COMPUTED_VALUE"""),"BCA")</f>
        <v>BCA</v>
      </c>
      <c r="AS1469" s="80" t="str">
        <f>IFERROR(__xludf.DUMMYFUNCTION("""COMPUTED_VALUE"""),"NADZAR IMAM MUJAHID RACHMAN")</f>
        <v>NADZAR IMAM MUJAHID RACHMAN</v>
      </c>
      <c r="AT1469" s="80" t="str">
        <f>IFERROR(__xludf.DUMMYFUNCTION("""COMPUTED_VALUE"""),"-7.2269812,107.9310301")</f>
        <v>-7.2269812,107.9310301</v>
      </c>
      <c r="AU1469" s="80" t="str">
        <f>IFERROR(__xludf.DUMMYFUNCTION("""COMPUTED_VALUE"""),"-7.2269812,107.9310301")</f>
        <v>-7.2269812,107.9310301</v>
      </c>
      <c r="AV1469" s="80"/>
      <c r="AW1469" s="80"/>
      <c r="AX1469" s="80"/>
      <c r="AY1469" s="80"/>
      <c r="AZ1469" s="80"/>
      <c r="BA1469" s="80"/>
      <c r="BB1469" s="80"/>
      <c r="BC1469" s="80"/>
      <c r="BD1469" s="80"/>
      <c r="BE1469" s="80"/>
      <c r="BF1469" s="80"/>
      <c r="BG1469" s="80"/>
      <c r="BH1469" s="80"/>
      <c r="BI1469" s="80"/>
      <c r="BJ1469" s="80"/>
      <c r="BK1469" s="80"/>
      <c r="BL1469" s="80"/>
      <c r="BM1469" s="80"/>
      <c r="BN1469" s="80"/>
      <c r="BO1469" s="80"/>
      <c r="BP1469" s="80"/>
      <c r="BQ1469" s="80"/>
      <c r="BR1469" s="80"/>
      <c r="BS1469" s="80"/>
      <c r="BT1469" s="80"/>
      <c r="BU1469" s="80"/>
      <c r="BV1469" s="80"/>
      <c r="BW1469" s="80"/>
      <c r="BX1469" s="80"/>
      <c r="BY1469" s="80"/>
      <c r="BZ1469" s="80"/>
      <c r="CA1469" s="80"/>
      <c r="CB1469" s="80"/>
      <c r="CC1469" s="80"/>
      <c r="CD1469" s="80"/>
      <c r="CE1469" s="80"/>
      <c r="CF1469" s="80"/>
      <c r="CG1469" s="80"/>
      <c r="CH1469" s="80"/>
      <c r="CI1469" s="80"/>
      <c r="CJ1469" s="80"/>
      <c r="CK1469" s="2"/>
    </row>
    <row r="1470" ht="12.75" customHeight="1">
      <c r="A1470" s="85">
        <f>IFERROR(__xludf.DUMMYFUNCTION("""COMPUTED_VALUE"""),1466.0)</f>
        <v>1466</v>
      </c>
      <c r="B1470" s="85"/>
      <c r="C1470" s="85"/>
      <c r="D1470" s="86">
        <f>IFERROR(__xludf.DUMMYFUNCTION("""COMPUTED_VALUE"""),46281.0)</f>
        <v>46281</v>
      </c>
      <c r="E1470" s="88"/>
      <c r="F1470" s="85"/>
      <c r="G1470" s="86"/>
      <c r="H1470" s="85"/>
      <c r="I1470" s="85"/>
      <c r="J1470" s="85"/>
      <c r="K1470" s="85"/>
      <c r="L1470" s="85"/>
      <c r="M1470" s="85"/>
      <c r="N1470" s="85"/>
      <c r="O1470" s="85"/>
      <c r="P1470" s="85" t="str">
        <f>IFERROR(__xludf.DUMMYFUNCTION("""COMPUTED_VALUE"""),"MUCSPA63682PSIND")</f>
        <v>MUCSPA63682PSIND</v>
      </c>
      <c r="Q1470" s="85" t="str">
        <f>IFERROR(__xludf.DUMMYFUNCTION("""COMPUTED_VALUE"""),"MUC SKY 6 BEKASI")</f>
        <v>MUC SKY 6 BEKASI</v>
      </c>
      <c r="R1470" s="85" t="str">
        <f>IFERROR(__xludf.DUMMYFUNCTION("""COMPUTED_VALUE"""),"MUC SKY 6 BEKASI")</f>
        <v>MUC SKY 6 BEKASI</v>
      </c>
      <c r="S1470" s="85" t="str">
        <f>IFERROR(__xludf.DUMMYFUNCTION("""COMPUTED_VALUE"""),"RELLUS MANURUNG")</f>
        <v>RELLUS MANURUNG</v>
      </c>
      <c r="T1470" s="85" t="str">
        <f>IFERROR(__xludf.DUMMYFUNCTION("""COMPUTED_VALUE"""),"JL. RAYA JATIWARINGIN GG.DAMAI II NO.32 RT.006/RW.015 JATIWARINGIN PONDOK GEDE, KOTA BEKASI JAWA BARAT")</f>
        <v>JL. RAYA JATIWARINGIN GG.DAMAI II NO.32 RT.006/RW.015 JATIWARINGIN PONDOK GEDE, KOTA BEKASI JAWA BARAT</v>
      </c>
      <c r="U1470" s="85" t="str">
        <f>IFERROR(__xludf.DUMMYFUNCTION("""COMPUTED_VALUE"""),"Jl. Wadas Raya Ujung No.38 Jaticempaka, Pondok Gede, Bekasi")</f>
        <v>Jl. Wadas Raya Ujung No.38 Jaticempaka, Pondok Gede, Bekasi</v>
      </c>
      <c r="V1470" s="85" t="str">
        <f>IFERROR(__xludf.DUMMYFUNCTION("""COMPUTED_VALUE"""),"RT.006 \ RW.015")</f>
        <v>RT.006 \ RW.015</v>
      </c>
      <c r="W1470" s="85" t="str">
        <f>IFERROR(__xludf.DUMMYFUNCTION("""COMPUTED_VALUE"""),"Jaticempaka")</f>
        <v>Jaticempaka</v>
      </c>
      <c r="X1470" s="85" t="str">
        <f>IFERROR(__xludf.DUMMYFUNCTION("""COMPUTED_VALUE"""),"Pondok Gede")</f>
        <v>Pondok Gede</v>
      </c>
      <c r="Y1470" s="85" t="str">
        <f>IFERROR(__xludf.DUMMYFUNCTION("""COMPUTED_VALUE"""),"Bekasi")</f>
        <v>Bekasi</v>
      </c>
      <c r="Z1470" s="85" t="str">
        <f>IFERROR(__xludf.DUMMYFUNCTION("""COMPUTED_VALUE"""),"Jawa Barat")</f>
        <v>Jawa Barat</v>
      </c>
      <c r="AA1470" s="85" t="str">
        <f>IFERROR(__xludf.DUMMYFUNCTION("""COMPUTED_VALUE"""),"17416")</f>
        <v>17416</v>
      </c>
      <c r="AB1470" s="85" t="str">
        <f>IFERROR(__xludf.DUMMYFUNCTION("""COMPUTED_VALUE"""),"3275081703690021")</f>
        <v>3275081703690021</v>
      </c>
      <c r="AC1470" s="85" t="str">
        <f>IFERROR(__xludf.DUMMYFUNCTION("""COMPUTED_VALUE"""),"69.602.764.8-432.000")</f>
        <v>69.602.764.8-432.000</v>
      </c>
      <c r="AD1470" s="85" t="str">
        <f>IFERROR(__xludf.DUMMYFUNCTION("""COMPUTED_VALUE"""),"CUM - PS - AYS")</f>
        <v>CUM - PS - AYS</v>
      </c>
      <c r="AE1470" s="85" t="str">
        <f>IFERROR(__xludf.DUMMYFUNCTION("""COMPUTED_VALUE"""),"CUM - PS - AYS")</f>
        <v>CUM - PS - AYS</v>
      </c>
      <c r="AF1470" s="85" t="str">
        <f>IFERROR(__xludf.DUMMYFUNCTION("""COMPUTED_VALUE"""),"081382778052")</f>
        <v>081382778052</v>
      </c>
      <c r="AG1470" s="85" t="str">
        <f>IFERROR(__xludf.DUMMYFUNCTION("""COMPUTED_VALUE"""),"081382778052")</f>
        <v>081382778052</v>
      </c>
      <c r="AH1470" s="85" t="str">
        <f>IFERROR(__xludf.DUMMYFUNCTION("""COMPUTED_VALUE"""),"sky6.bekasi@gmail.com")</f>
        <v>sky6.bekasi@gmail.com</v>
      </c>
      <c r="AI1470" s="85"/>
      <c r="AJ1470" s="85"/>
      <c r="AK1470" s="85"/>
      <c r="AL1470" s="85"/>
      <c r="AM1470" s="85"/>
      <c r="AN1470" s="85"/>
      <c r="AO1470" s="85" t="str">
        <f>IFERROR(__xludf.DUMMYFUNCTION("""COMPUTED_VALUE"""),"1509260073405")</f>
        <v>1509260073405</v>
      </c>
      <c r="AP1470" s="85" t="str">
        <f>IFERROR(__xludf.DUMMYFUNCTION("""COMPUTED_VALUE"""),"1509260073405")</f>
        <v>1509260073405</v>
      </c>
      <c r="AQ1470" s="93" t="str">
        <f>IFERROR(__xludf.DUMMYFUNCTION("""COMPUTED_VALUE"""),"1784784824")</f>
        <v>1784784824</v>
      </c>
      <c r="AR1470" s="85" t="str">
        <f>IFERROR(__xludf.DUMMYFUNCTION("""COMPUTED_VALUE"""),"BNI")</f>
        <v>BNI</v>
      </c>
      <c r="AS1470" s="85" t="str">
        <f>IFERROR(__xludf.DUMMYFUNCTION("""COMPUTED_VALUE"""),"RELLUS MANURUNG")</f>
        <v>RELLUS MANURUNG</v>
      </c>
      <c r="AT1470" s="85" t="str">
        <f>IFERROR(__xludf.DUMMYFUNCTION("""COMPUTED_VALUE"""),"-6.2644634,106.916598")</f>
        <v>-6.2644634,106.916598</v>
      </c>
      <c r="AU1470" s="85" t="str">
        <f>IFERROR(__xludf.DUMMYFUNCTION("""COMPUTED_VALUE"""),"-6.2644634,106.916598")</f>
        <v>-6.2644634,106.916598</v>
      </c>
      <c r="AV1470" s="85"/>
      <c r="AW1470" s="85"/>
      <c r="AX1470" s="85"/>
      <c r="AY1470" s="85"/>
      <c r="AZ1470" s="85"/>
      <c r="BA1470" s="85"/>
      <c r="BB1470" s="85"/>
      <c r="BC1470" s="85"/>
      <c r="BD1470" s="85"/>
      <c r="BE1470" s="85"/>
      <c r="BF1470" s="85"/>
      <c r="BG1470" s="85"/>
      <c r="BH1470" s="85"/>
      <c r="BI1470" s="85"/>
      <c r="BJ1470" s="85"/>
      <c r="BK1470" s="85"/>
      <c r="BL1470" s="85"/>
      <c r="BM1470" s="85"/>
      <c r="BN1470" s="85"/>
      <c r="BO1470" s="85"/>
      <c r="BP1470" s="85"/>
      <c r="BQ1470" s="85"/>
      <c r="BR1470" s="85"/>
      <c r="BS1470" s="85"/>
      <c r="BT1470" s="85"/>
      <c r="BU1470" s="85"/>
      <c r="BV1470" s="85"/>
      <c r="BW1470" s="85"/>
      <c r="BX1470" s="85"/>
      <c r="BY1470" s="85"/>
      <c r="BZ1470" s="85"/>
      <c r="CA1470" s="85"/>
      <c r="CB1470" s="85"/>
      <c r="CC1470" s="85"/>
      <c r="CD1470" s="85"/>
      <c r="CE1470" s="85"/>
      <c r="CF1470" s="85"/>
      <c r="CG1470" s="85"/>
      <c r="CH1470" s="85"/>
      <c r="CI1470" s="85"/>
      <c r="CJ1470" s="85"/>
      <c r="CK1470" s="2"/>
    </row>
    <row r="1471" ht="12.75" customHeight="1">
      <c r="A1471" s="80">
        <f>IFERROR(__xludf.DUMMYFUNCTION("""COMPUTED_VALUE"""),1467.0)</f>
        <v>1467</v>
      </c>
      <c r="B1471" s="80"/>
      <c r="C1471" s="80"/>
      <c r="D1471" s="81">
        <f>IFERROR(__xludf.DUMMYFUNCTION("""COMPUTED_VALUE"""),46281.0)</f>
        <v>46281</v>
      </c>
      <c r="E1471" s="82"/>
      <c r="F1471" s="80"/>
      <c r="G1471" s="81"/>
      <c r="H1471" s="80"/>
      <c r="I1471" s="80"/>
      <c r="J1471" s="80"/>
      <c r="K1471" s="80"/>
      <c r="L1471" s="80"/>
      <c r="M1471" s="80"/>
      <c r="N1471" s="80"/>
      <c r="O1471" s="80"/>
      <c r="P1471" s="80" t="str">
        <f>IFERROR(__xludf.DUMMYFUNCTION("""COMPUTED_VALUE"""),"53BSPA17131JBTRK")</f>
        <v>53BSPA17131JBTRK</v>
      </c>
      <c r="Q1471" s="80" t="str">
        <f>IFERROR(__xludf.DUMMYFUNCTION("""COMPUTED_VALUE"""),"MUC RADIAN CORPORINDO EKSPRES")</f>
        <v>MUC RADIAN CORPORINDO EKSPRES</v>
      </c>
      <c r="R1471" s="80" t="str">
        <f>IFERROR(__xludf.DUMMYFUNCTION("""COMPUTED_VALUE"""),"MUC RADIAN CORPORINDO EKSPRES")</f>
        <v>MUC RADIAN CORPORINDO EKSPRES</v>
      </c>
      <c r="S1471" s="80" t="str">
        <f>IFERROR(__xludf.DUMMYFUNCTION("""COMPUTED_VALUE"""),"MARTINUS YAN RADITYA")</f>
        <v>MARTINUS YAN RADITYA</v>
      </c>
      <c r="T1471" s="80" t="str">
        <f>IFERROR(__xludf.DUMMYFUNCTION("""COMPUTED_VALUE"""),"SENDANG RT.002/RW.002 PENANGGUNGAN TRAWAS, KABUPATEN MOJOKERTO JAWA TIMUR")</f>
        <v>SENDANG RT.002/RW.002 PENANGGUNGAN TRAWAS, KABUPATEN MOJOKERTO JAWA TIMUR</v>
      </c>
      <c r="U1471" s="80" t="str">
        <f>IFERROR(__xludf.DUMMYFUNCTION("""COMPUTED_VALUE"""),"FRONTAGE AHMAD YANI JL. ASPAL NO.009")</f>
        <v>FRONTAGE AHMAD YANI JL. ASPAL NO.009</v>
      </c>
      <c r="V1471" s="80" t="str">
        <f>IFERROR(__xludf.DUMMYFUNCTION("""COMPUTED_VALUE"""),"RT.002 \ RW.002")</f>
        <v>RT.002 \ RW.002</v>
      </c>
      <c r="W1471" s="80" t="str">
        <f>IFERROR(__xludf.DUMMYFUNCTION("""COMPUTED_VALUE"""),"Siwalankerto")</f>
        <v>Siwalankerto</v>
      </c>
      <c r="X1471" s="80" t="str">
        <f>IFERROR(__xludf.DUMMYFUNCTION("""COMPUTED_VALUE"""),"Wonocolo")</f>
        <v>Wonocolo</v>
      </c>
      <c r="Y1471" s="80" t="str">
        <f>IFERROR(__xludf.DUMMYFUNCTION("""COMPUTED_VALUE"""),"Surabaya")</f>
        <v>Surabaya</v>
      </c>
      <c r="Z1471" s="80" t="str">
        <f>IFERROR(__xludf.DUMMYFUNCTION("""COMPUTED_VALUE"""),"Jawa Timur")</f>
        <v>Jawa Timur</v>
      </c>
      <c r="AA1471" s="80" t="str">
        <f>IFERROR(__xludf.DUMMYFUNCTION("""COMPUTED_VALUE"""),"60236")</f>
        <v>60236</v>
      </c>
      <c r="AB1471" s="80" t="str">
        <f>IFERROR(__xludf.DUMMYFUNCTION("""COMPUTED_VALUE"""),"3516040303880001")</f>
        <v>3516040303880001</v>
      </c>
      <c r="AC1471" s="80" t="str">
        <f>IFERROR(__xludf.DUMMYFUNCTION("""COMPUTED_VALUE"""),"83.349.841.3-602.000")</f>
        <v>83.349.841.3-602.000</v>
      </c>
      <c r="AD1471" s="80" t="str">
        <f>IFERROR(__xludf.DUMMYFUNCTION("""COMPUTED_VALUE"""),"CUM - TORIKIN")</f>
        <v>CUM - TORIKIN</v>
      </c>
      <c r="AE1471" s="80" t="str">
        <f>IFERROR(__xludf.DUMMYFUNCTION("""COMPUTED_VALUE"""),"CUM - TORIKIN")</f>
        <v>CUM - TORIKIN</v>
      </c>
      <c r="AF1471" s="80" t="str">
        <f>IFERROR(__xludf.DUMMYFUNCTION("""COMPUTED_VALUE"""),"081938153660")</f>
        <v>081938153660</v>
      </c>
      <c r="AG1471" s="80" t="str">
        <f>IFERROR(__xludf.DUMMYFUNCTION("""COMPUTED_VALUE"""),"081938153660")</f>
        <v>081938153660</v>
      </c>
      <c r="AH1471" s="80" t="str">
        <f>IFERROR(__xludf.DUMMYFUNCTION("""COMPUTED_VALUE"""),"yanradit@gmail.com")</f>
        <v>yanradit@gmail.com</v>
      </c>
      <c r="AI1471" s="80"/>
      <c r="AJ1471" s="80"/>
      <c r="AK1471" s="80"/>
      <c r="AL1471" s="80"/>
      <c r="AM1471" s="80"/>
      <c r="AN1471" s="80"/>
      <c r="AO1471" s="80" t="str">
        <f>IFERROR(__xludf.DUMMYFUNCTION("""COMPUTED_VALUE"""),"1232000542249")</f>
        <v>1232000542249</v>
      </c>
      <c r="AP1471" s="80" t="str">
        <f>IFERROR(__xludf.DUMMYFUNCTION("""COMPUTED_VALUE"""),"1232000542249")</f>
        <v>1232000542249</v>
      </c>
      <c r="AQ1471" s="83" t="str">
        <f>IFERROR(__xludf.DUMMYFUNCTION("""COMPUTED_VALUE"""),"0887334238")</f>
        <v>0887334238</v>
      </c>
      <c r="AR1471" s="80" t="str">
        <f>IFERROR(__xludf.DUMMYFUNCTION("""COMPUTED_VALUE"""),"BCA")</f>
        <v>BCA</v>
      </c>
      <c r="AS1471" s="80" t="str">
        <f>IFERROR(__xludf.DUMMYFUNCTION("""COMPUTED_VALUE"""),"MARTINUS YAN RADITYA")</f>
        <v>MARTINUS YAN RADITYA</v>
      </c>
      <c r="AT1471" s="80" t="str">
        <f>IFERROR(__xludf.DUMMYFUNCTION("""COMPUTED_VALUE"""),"-7.3348724,112.7279835")</f>
        <v>-7.3348724,112.7279835</v>
      </c>
      <c r="AU1471" s="80" t="str">
        <f>IFERROR(__xludf.DUMMYFUNCTION("""COMPUTED_VALUE"""),"-7.3348724,112.7279835")</f>
        <v>-7.3348724,112.7279835</v>
      </c>
      <c r="AV1471" s="80"/>
      <c r="AW1471" s="80"/>
      <c r="AX1471" s="80"/>
      <c r="AY1471" s="80"/>
      <c r="AZ1471" s="80"/>
      <c r="BA1471" s="80"/>
      <c r="BB1471" s="80"/>
      <c r="BC1471" s="80"/>
      <c r="BD1471" s="80"/>
      <c r="BE1471" s="80"/>
      <c r="BF1471" s="80"/>
      <c r="BG1471" s="80"/>
      <c r="BH1471" s="80"/>
      <c r="BI1471" s="80"/>
      <c r="BJ1471" s="80"/>
      <c r="BK1471" s="80"/>
      <c r="BL1471" s="80"/>
      <c r="BM1471" s="80"/>
      <c r="BN1471" s="80"/>
      <c r="BO1471" s="80"/>
      <c r="BP1471" s="80"/>
      <c r="BQ1471" s="80"/>
      <c r="BR1471" s="80"/>
      <c r="BS1471" s="80"/>
      <c r="BT1471" s="80"/>
      <c r="BU1471" s="80"/>
      <c r="BV1471" s="80"/>
      <c r="BW1471" s="80"/>
      <c r="BX1471" s="80"/>
      <c r="BY1471" s="80"/>
      <c r="BZ1471" s="80"/>
      <c r="CA1471" s="80"/>
      <c r="CB1471" s="80"/>
      <c r="CC1471" s="80"/>
      <c r="CD1471" s="80"/>
      <c r="CE1471" s="80"/>
      <c r="CF1471" s="80"/>
      <c r="CG1471" s="80"/>
      <c r="CH1471" s="80"/>
      <c r="CI1471" s="80"/>
      <c r="CJ1471" s="80"/>
      <c r="CK1471" s="2"/>
    </row>
    <row r="1472" ht="12.75" customHeight="1">
      <c r="A1472" s="85">
        <f>IFERROR(__xludf.DUMMYFUNCTION("""COMPUTED_VALUE"""),1468.0)</f>
        <v>1468</v>
      </c>
      <c r="B1472" s="85"/>
      <c r="C1472" s="85"/>
      <c r="D1472" s="86">
        <f>IFERROR(__xludf.DUMMYFUNCTION("""COMPUTED_VALUE"""),46281.0)</f>
        <v>46281</v>
      </c>
      <c r="E1472" s="88"/>
      <c r="F1472" s="85"/>
      <c r="G1472" s="86"/>
      <c r="H1472" s="85"/>
      <c r="I1472" s="85"/>
      <c r="J1472" s="85"/>
      <c r="K1472" s="85"/>
      <c r="L1472" s="85"/>
      <c r="M1472" s="85"/>
      <c r="N1472" s="85"/>
      <c r="O1472" s="85"/>
      <c r="P1472" s="85" t="str">
        <f>IFERROR(__xludf.DUMMYFUNCTION("""COMPUTED_VALUE"""),"52BSPA07964JTAMD")</f>
        <v>52BSPA07964JTAMD</v>
      </c>
      <c r="Q1472" s="85" t="str">
        <f>IFERROR(__xludf.DUMMYFUNCTION("""COMPUTED_VALUE"""),"MUC BANYUMILI")</f>
        <v>MUC BANYUMILI</v>
      </c>
      <c r="R1472" s="85" t="str">
        <f>IFERROR(__xludf.DUMMYFUNCTION("""COMPUTED_VALUE"""),"MUC BANYUMILI")</f>
        <v>MUC BANYUMILI</v>
      </c>
      <c r="S1472" s="85" t="str">
        <f>IFERROR(__xludf.DUMMYFUNCTION("""COMPUTED_VALUE"""),"MASYHURI,PROF.DR.IR")</f>
        <v>MASYHURI,PROF.DR.IR</v>
      </c>
      <c r="T1472" s="85" t="str">
        <f>IFERROR(__xludf.DUMMYFUNCTION("""COMPUTED_VALUE"""),"JL. TENGIRI RAYA NO.8 RT.013/RW.003 MINOMARTANI NGAGLIK, KABUPATEN SLEMAN PROVINSI DIY")</f>
        <v>JL. TENGIRI RAYA NO.8 RT.013/RW.003 MINOMARTANI NGAGLIK, KABUPATEN SLEMAN PROVINSI DIY</v>
      </c>
      <c r="U1472" s="85" t="str">
        <f>IFERROR(__xludf.DUMMYFUNCTION("""COMPUTED_VALUE"""),"JL. TIMBULREJO NO. 3 KRODAN MAGUWOHARJO DEPOK SLEMAN DIY")</f>
        <v>JL. TIMBULREJO NO. 3 KRODAN MAGUWOHARJO DEPOK SLEMAN DIY</v>
      </c>
      <c r="V1472" s="85" t="str">
        <f>IFERROR(__xludf.DUMMYFUNCTION("""COMPUTED_VALUE"""),"RT.013 \ RW.003")</f>
        <v>RT.013 \ RW.003</v>
      </c>
      <c r="W1472" s="85" t="str">
        <f>IFERROR(__xludf.DUMMYFUNCTION("""COMPUTED_VALUE"""),"Maguwoharjo")</f>
        <v>Maguwoharjo</v>
      </c>
      <c r="X1472" s="85" t="str">
        <f>IFERROR(__xludf.DUMMYFUNCTION("""COMPUTED_VALUE"""),"Depok")</f>
        <v>Depok</v>
      </c>
      <c r="Y1472" s="85" t="str">
        <f>IFERROR(__xludf.DUMMYFUNCTION("""COMPUTED_VALUE"""),"Kab. Sleman")</f>
        <v>Kab. Sleman</v>
      </c>
      <c r="Z1472" s="85" t="str">
        <f>IFERROR(__xludf.DUMMYFUNCTION("""COMPUTED_VALUE"""),"Daerah Istimewa Yogyakarta")</f>
        <v>Daerah Istimewa Yogyakarta</v>
      </c>
      <c r="AA1472" s="85" t="str">
        <f>IFERROR(__xludf.DUMMYFUNCTION("""COMPUTED_VALUE"""),"55282")</f>
        <v>55282</v>
      </c>
      <c r="AB1472" s="85" t="str">
        <f>IFERROR(__xludf.DUMMYFUNCTION("""COMPUTED_VALUE"""),"3404123112540007")</f>
        <v>3404123112540007</v>
      </c>
      <c r="AC1472" s="85" t="str">
        <f>IFERROR(__xludf.DUMMYFUNCTION("""COMPUTED_VALUE"""),"05.842.876.4-542.000")</f>
        <v>05.842.876.4-542.000</v>
      </c>
      <c r="AD1472" s="85" t="str">
        <f>IFERROR(__xludf.DUMMYFUNCTION("""COMPUTED_VALUE"""),"CUM - AMI")</f>
        <v>CUM - AMI</v>
      </c>
      <c r="AE1472" s="85" t="str">
        <f>IFERROR(__xludf.DUMMYFUNCTION("""COMPUTED_VALUE"""),"CUM - AMI")</f>
        <v>CUM - AMI</v>
      </c>
      <c r="AF1472" s="85" t="str">
        <f>IFERROR(__xludf.DUMMYFUNCTION("""COMPUTED_VALUE"""),"0811282890")</f>
        <v>0811282890</v>
      </c>
      <c r="AG1472" s="85" t="str">
        <f>IFERROR(__xludf.DUMMYFUNCTION("""COMPUTED_VALUE"""),"0811282890")</f>
        <v>0811282890</v>
      </c>
      <c r="AH1472" s="85" t="str">
        <f>IFERROR(__xludf.DUMMYFUNCTION("""COMPUTED_VALUE"""),"dr.masyhuri@gmail.com")</f>
        <v>dr.masyhuri@gmail.com</v>
      </c>
      <c r="AI1472" s="85"/>
      <c r="AJ1472" s="85"/>
      <c r="AK1472" s="85"/>
      <c r="AL1472" s="85"/>
      <c r="AM1472" s="85"/>
      <c r="AN1472" s="85"/>
      <c r="AO1472" s="85" t="str">
        <f>IFERROR(__xludf.DUMMYFUNCTION("""COMPUTED_VALUE"""),"1609260025201")</f>
        <v>1609260025201</v>
      </c>
      <c r="AP1472" s="85" t="str">
        <f>IFERROR(__xludf.DUMMYFUNCTION("""COMPUTED_VALUE"""),"1609260025201")</f>
        <v>1609260025201</v>
      </c>
      <c r="AQ1472" s="93" t="str">
        <f>IFERROR(__xludf.DUMMYFUNCTION("""COMPUTED_VALUE"""),"0371112188")</f>
        <v>0371112188</v>
      </c>
      <c r="AR1472" s="85" t="str">
        <f>IFERROR(__xludf.DUMMYFUNCTION("""COMPUTED_VALUE"""),"BCA")</f>
        <v>BCA</v>
      </c>
      <c r="AS1472" s="85" t="str">
        <f>IFERROR(__xludf.DUMMYFUNCTION("""COMPUTED_VALUE"""),"MASYHURI PROF DR IR")</f>
        <v>MASYHURI PROF DR IR</v>
      </c>
      <c r="AT1472" s="85" t="str">
        <f>IFERROR(__xludf.DUMMYFUNCTION("""COMPUTED_VALUE"""),"-7.7593637,110.4229245")</f>
        <v>-7.7593637,110.4229245</v>
      </c>
      <c r="AU1472" s="85" t="str">
        <f>IFERROR(__xludf.DUMMYFUNCTION("""COMPUTED_VALUE"""),"-7.7593637,110.4229245")</f>
        <v>-7.7593637,110.4229245</v>
      </c>
      <c r="AV1472" s="85"/>
      <c r="AW1472" s="85"/>
      <c r="AX1472" s="85"/>
      <c r="AY1472" s="85"/>
      <c r="AZ1472" s="85"/>
      <c r="BA1472" s="85"/>
      <c r="BB1472" s="85"/>
      <c r="BC1472" s="85"/>
      <c r="BD1472" s="85"/>
      <c r="BE1472" s="85"/>
      <c r="BF1472" s="85"/>
      <c r="BG1472" s="85"/>
      <c r="BH1472" s="85"/>
      <c r="BI1472" s="85"/>
      <c r="BJ1472" s="85"/>
      <c r="BK1472" s="85"/>
      <c r="BL1472" s="85"/>
      <c r="BM1472" s="85"/>
      <c r="BN1472" s="85"/>
      <c r="BO1472" s="85"/>
      <c r="BP1472" s="85"/>
      <c r="BQ1472" s="85"/>
      <c r="BR1472" s="85"/>
      <c r="BS1472" s="85"/>
      <c r="BT1472" s="85"/>
      <c r="BU1472" s="85"/>
      <c r="BV1472" s="85"/>
      <c r="BW1472" s="85"/>
      <c r="BX1472" s="85"/>
      <c r="BY1472" s="85"/>
      <c r="BZ1472" s="85"/>
      <c r="CA1472" s="85"/>
      <c r="CB1472" s="85"/>
      <c r="CC1472" s="85"/>
      <c r="CD1472" s="85"/>
      <c r="CE1472" s="85"/>
      <c r="CF1472" s="85"/>
      <c r="CG1472" s="85"/>
      <c r="CH1472" s="85"/>
      <c r="CI1472" s="85"/>
      <c r="CJ1472" s="85"/>
      <c r="CK1472" s="2"/>
    </row>
    <row r="1473" ht="12.75" customHeight="1">
      <c r="A1473" s="80">
        <f>IFERROR(__xludf.DUMMYFUNCTION("""COMPUTED_VALUE"""),1469.0)</f>
        <v>1469</v>
      </c>
      <c r="B1473" s="80"/>
      <c r="C1473" s="80"/>
      <c r="D1473" s="81">
        <f>IFERROR(__xludf.DUMMYFUNCTION("""COMPUTED_VALUE"""),46281.0)</f>
        <v>46281</v>
      </c>
      <c r="E1473" s="82"/>
      <c r="F1473" s="80"/>
      <c r="G1473" s="81"/>
      <c r="H1473" s="80"/>
      <c r="I1473" s="80"/>
      <c r="J1473" s="80"/>
      <c r="K1473" s="80"/>
      <c r="L1473" s="80"/>
      <c r="M1473" s="80"/>
      <c r="N1473" s="80"/>
      <c r="O1473" s="80"/>
      <c r="P1473" s="80" t="str">
        <f>IFERROR(__xludf.DUMMYFUNCTION("""COMPUTED_VALUE"""),"MUC70238UMKMKKP1")</f>
        <v>MUC70238UMKMKKP1</v>
      </c>
      <c r="Q1473" s="80" t="str">
        <f>IFERROR(__xludf.DUMMYFUNCTION("""COMPUTED_VALUE"""),"MUC TUNAS MANDIRI")</f>
        <v>MUC TUNAS MANDIRI</v>
      </c>
      <c r="R1473" s="80" t="str">
        <f>IFERROR(__xludf.DUMMYFUNCTION("""COMPUTED_VALUE"""),"MUC TUNAS MANDIRI")</f>
        <v>MUC TUNAS MANDIRI</v>
      </c>
      <c r="S1473" s="80" t="str">
        <f>IFERROR(__xludf.DUMMYFUNCTION("""COMPUTED_VALUE"""),"ABDUL MUKHIT")</f>
        <v>ABDUL MUKHIT</v>
      </c>
      <c r="T1473" s="80" t="str">
        <f>IFERROR(__xludf.DUMMYFUNCTION("""COMPUTED_VALUE"""),"DUKUH JINGKANG RT.010/RW.002 KEDUNGWUNGU JATINEGARA, KABUPATEN TEGAL JAWA TENGAH")</f>
        <v>DUKUH JINGKANG RT.010/RW.002 KEDUNGWUNGU JATINEGARA, KABUPATEN TEGAL JAWA TENGAH</v>
      </c>
      <c r="U1473" s="80" t="str">
        <f>IFERROR(__xludf.DUMMYFUNCTION("""COMPUTED_VALUE"""),"DUKUH JINGKANG RT.010/RW.002 KEDUNGWUNGU")</f>
        <v>DUKUH JINGKANG RT.010/RW.002 KEDUNGWUNGU</v>
      </c>
      <c r="V1473" s="80" t="str">
        <f>IFERROR(__xludf.DUMMYFUNCTION("""COMPUTED_VALUE"""),"RT.010 \ RW.002")</f>
        <v>RT.010 \ RW.002</v>
      </c>
      <c r="W1473" s="80" t="str">
        <f>IFERROR(__xludf.DUMMYFUNCTION("""COMPUTED_VALUE"""),"Kedungwungu")</f>
        <v>Kedungwungu</v>
      </c>
      <c r="X1473" s="80" t="str">
        <f>IFERROR(__xludf.DUMMYFUNCTION("""COMPUTED_VALUE"""),"Jatinegara")</f>
        <v>Jatinegara</v>
      </c>
      <c r="Y1473" s="80" t="str">
        <f>IFERROR(__xludf.DUMMYFUNCTION("""COMPUTED_VALUE"""),"Kab. Tegal")</f>
        <v>Kab. Tegal</v>
      </c>
      <c r="Z1473" s="80" t="str">
        <f>IFERROR(__xludf.DUMMYFUNCTION("""COMPUTED_VALUE"""),"Jawa Tengah")</f>
        <v>Jawa Tengah</v>
      </c>
      <c r="AA1473" s="80" t="str">
        <f>IFERROR(__xludf.DUMMYFUNCTION("""COMPUTED_VALUE"""),"52473")</f>
        <v>52473</v>
      </c>
      <c r="AB1473" s="80" t="str">
        <f>IFERROR(__xludf.DUMMYFUNCTION("""COMPUTED_VALUE"""),"3328070107860133")</f>
        <v>3328070107860133</v>
      </c>
      <c r="AC1473" s="80" t="str">
        <f>IFERROR(__xludf.DUMMYFUNCTION("""COMPUTED_VALUE"""),"44.379.144.7-501.000")</f>
        <v>44.379.144.7-501.000</v>
      </c>
      <c r="AD1473" s="80" t="str">
        <f>IFERROR(__xludf.DUMMYFUNCTION("""COMPUTED_VALUE"""),"CUM - UNK - KRING KRING POS")</f>
        <v>CUM - UNK - KRING KRING POS</v>
      </c>
      <c r="AE1473" s="80" t="str">
        <f>IFERROR(__xludf.DUMMYFUNCTION("""COMPUTED_VALUE"""),"CUM - UNK - KRING KRING POS")</f>
        <v>CUM - UNK - KRING KRING POS</v>
      </c>
      <c r="AF1473" s="80" t="str">
        <f>IFERROR(__xludf.DUMMYFUNCTION("""COMPUTED_VALUE"""),"087882833874")</f>
        <v>087882833874</v>
      </c>
      <c r="AG1473" s="80" t="str">
        <f>IFERROR(__xludf.DUMMYFUNCTION("""COMPUTED_VALUE"""),"087882833874")</f>
        <v>087882833874</v>
      </c>
      <c r="AH1473" s="80" t="str">
        <f>IFERROR(__xludf.DUMMYFUNCTION("""COMPUTED_VALUE"""),"muhitabdul@gmail.com")</f>
        <v>muhitabdul@gmail.com</v>
      </c>
      <c r="AI1473" s="80"/>
      <c r="AJ1473" s="80"/>
      <c r="AK1473" s="80"/>
      <c r="AL1473" s="80"/>
      <c r="AM1473" s="80"/>
      <c r="AN1473" s="80"/>
      <c r="AO1473" s="80" t="str">
        <f>IFERROR(__xludf.DUMMYFUNCTION("""COMPUTED_VALUE"""),"1609260045925")</f>
        <v>1609260045925</v>
      </c>
      <c r="AP1473" s="80" t="str">
        <f>IFERROR(__xludf.DUMMYFUNCTION("""COMPUTED_VALUE"""),"1609260045925")</f>
        <v>1609260045925</v>
      </c>
      <c r="AQ1473" s="83" t="str">
        <f>IFERROR(__xludf.DUMMYFUNCTION("""COMPUTED_VALUE"""),"608001000153504")</f>
        <v>608001000153504</v>
      </c>
      <c r="AR1473" s="80" t="str">
        <f>IFERROR(__xludf.DUMMYFUNCTION("""COMPUTED_VALUE"""),"BRI")</f>
        <v>BRI</v>
      </c>
      <c r="AS1473" s="80" t="str">
        <f>IFERROR(__xludf.DUMMYFUNCTION("""COMPUTED_VALUE"""),"ASTUTI")</f>
        <v>ASTUTI</v>
      </c>
      <c r="AT1473" s="80" t="str">
        <f>IFERROR(__xludf.DUMMYFUNCTION("""COMPUTED_VALUE"""),"-7.0747617,109.1758623")</f>
        <v>-7.0747617,109.1758623</v>
      </c>
      <c r="AU1473" s="80" t="str">
        <f>IFERROR(__xludf.DUMMYFUNCTION("""COMPUTED_VALUE"""),"-7.0747617,109.1758623")</f>
        <v>-7.0747617,109.1758623</v>
      </c>
      <c r="AV1473" s="80"/>
      <c r="AW1473" s="80"/>
      <c r="AX1473" s="80"/>
      <c r="AY1473" s="80"/>
      <c r="AZ1473" s="80"/>
      <c r="BA1473" s="80"/>
      <c r="BB1473" s="80"/>
      <c r="BC1473" s="80"/>
      <c r="BD1473" s="80"/>
      <c r="BE1473" s="80"/>
      <c r="BF1473" s="80"/>
      <c r="BG1473" s="80"/>
      <c r="BH1473" s="80"/>
      <c r="BI1473" s="80"/>
      <c r="BJ1473" s="80"/>
      <c r="BK1473" s="80"/>
      <c r="BL1473" s="80"/>
      <c r="BM1473" s="80"/>
      <c r="BN1473" s="80"/>
      <c r="BO1473" s="80"/>
      <c r="BP1473" s="80"/>
      <c r="BQ1473" s="80"/>
      <c r="BR1473" s="80"/>
      <c r="BS1473" s="80"/>
      <c r="BT1473" s="80"/>
      <c r="BU1473" s="80"/>
      <c r="BV1473" s="80"/>
      <c r="BW1473" s="80"/>
      <c r="BX1473" s="80"/>
      <c r="BY1473" s="80"/>
      <c r="BZ1473" s="80"/>
      <c r="CA1473" s="80"/>
      <c r="CB1473" s="80"/>
      <c r="CC1473" s="80"/>
      <c r="CD1473" s="80"/>
      <c r="CE1473" s="80"/>
      <c r="CF1473" s="80"/>
      <c r="CG1473" s="80"/>
      <c r="CH1473" s="80"/>
      <c r="CI1473" s="80"/>
      <c r="CJ1473" s="80"/>
      <c r="CK1473" s="2"/>
    </row>
    <row r="1474" ht="12.75" customHeight="1">
      <c r="A1474" s="85"/>
      <c r="B1474" s="85"/>
      <c r="C1474" s="85"/>
      <c r="D1474" s="85"/>
      <c r="E1474" s="85"/>
      <c r="F1474" s="85"/>
      <c r="G1474" s="85"/>
      <c r="H1474" s="85"/>
      <c r="I1474" s="85"/>
      <c r="J1474" s="85"/>
      <c r="K1474" s="85"/>
      <c r="L1474" s="85"/>
      <c r="M1474" s="85"/>
      <c r="N1474" s="85"/>
      <c r="O1474" s="85"/>
      <c r="P1474" s="85"/>
      <c r="Q1474" s="85"/>
      <c r="R1474" s="85"/>
      <c r="S1474" s="85"/>
      <c r="T1474" s="85"/>
      <c r="U1474" s="85"/>
      <c r="V1474" s="85"/>
      <c r="W1474" s="85"/>
      <c r="X1474" s="85"/>
      <c r="Y1474" s="85"/>
      <c r="Z1474" s="85"/>
      <c r="AA1474" s="85"/>
      <c r="AB1474" s="85"/>
      <c r="AC1474" s="85"/>
      <c r="AD1474" s="85"/>
      <c r="AE1474" s="85"/>
      <c r="AF1474" s="85"/>
      <c r="AG1474" s="85"/>
      <c r="AH1474" s="85"/>
      <c r="AI1474" s="85"/>
      <c r="AJ1474" s="85"/>
      <c r="AK1474" s="85"/>
      <c r="AL1474" s="85"/>
      <c r="AM1474" s="85"/>
      <c r="AN1474" s="85"/>
      <c r="AO1474" s="85"/>
      <c r="AP1474" s="85"/>
      <c r="AQ1474" s="93"/>
      <c r="AR1474" s="85"/>
      <c r="AS1474" s="85"/>
      <c r="AT1474" s="85"/>
      <c r="AU1474" s="85"/>
      <c r="AV1474" s="85"/>
      <c r="AW1474" s="85"/>
      <c r="AX1474" s="85"/>
      <c r="AY1474" s="85"/>
      <c r="AZ1474" s="85"/>
      <c r="BA1474" s="85"/>
      <c r="BB1474" s="85"/>
      <c r="BC1474" s="85"/>
      <c r="BD1474" s="85"/>
      <c r="BE1474" s="85"/>
      <c r="BF1474" s="85"/>
      <c r="BG1474" s="85"/>
      <c r="BH1474" s="85"/>
      <c r="BI1474" s="85"/>
      <c r="BJ1474" s="85"/>
      <c r="BK1474" s="85"/>
      <c r="BL1474" s="85"/>
      <c r="BM1474" s="85"/>
      <c r="BN1474" s="85"/>
      <c r="BO1474" s="85"/>
      <c r="BP1474" s="85"/>
      <c r="BQ1474" s="85"/>
      <c r="BR1474" s="85"/>
      <c r="BS1474" s="85"/>
      <c r="BT1474" s="85"/>
      <c r="BU1474" s="85"/>
      <c r="BV1474" s="85"/>
      <c r="BW1474" s="85"/>
      <c r="BX1474" s="85"/>
      <c r="BY1474" s="85"/>
      <c r="BZ1474" s="85"/>
      <c r="CA1474" s="85"/>
      <c r="CB1474" s="85"/>
      <c r="CC1474" s="85"/>
      <c r="CD1474" s="85"/>
      <c r="CE1474" s="85"/>
      <c r="CF1474" s="85"/>
      <c r="CG1474" s="85"/>
      <c r="CH1474" s="85"/>
      <c r="CI1474" s="85"/>
      <c r="CJ1474" s="85"/>
    </row>
    <row r="1475" ht="12.75" customHeight="1">
      <c r="A1475" s="80"/>
      <c r="B1475" s="80"/>
      <c r="C1475" s="80"/>
      <c r="D1475" s="80"/>
      <c r="E1475" s="80"/>
      <c r="F1475" s="80"/>
      <c r="G1475" s="80"/>
      <c r="H1475" s="80"/>
      <c r="I1475" s="80"/>
      <c r="J1475" s="80"/>
      <c r="K1475" s="80"/>
      <c r="L1475" s="80"/>
      <c r="M1475" s="80"/>
      <c r="N1475" s="80"/>
      <c r="O1475" s="80"/>
      <c r="P1475" s="80"/>
      <c r="Q1475" s="80"/>
      <c r="R1475" s="80"/>
      <c r="S1475" s="80"/>
      <c r="T1475" s="80"/>
      <c r="U1475" s="80"/>
      <c r="V1475" s="80"/>
      <c r="W1475" s="80"/>
      <c r="X1475" s="80"/>
      <c r="Y1475" s="80"/>
      <c r="Z1475" s="80"/>
      <c r="AA1475" s="80"/>
      <c r="AB1475" s="80"/>
      <c r="AC1475" s="80"/>
      <c r="AD1475" s="80"/>
      <c r="AE1475" s="80"/>
      <c r="AF1475" s="80"/>
      <c r="AG1475" s="80"/>
      <c r="AH1475" s="80"/>
      <c r="AI1475" s="80"/>
      <c r="AJ1475" s="80"/>
      <c r="AK1475" s="80"/>
      <c r="AL1475" s="80"/>
      <c r="AM1475" s="80"/>
      <c r="AN1475" s="80"/>
      <c r="AO1475" s="80"/>
      <c r="AP1475" s="80"/>
      <c r="AQ1475" s="83"/>
      <c r="AR1475" s="80"/>
      <c r="AS1475" s="80"/>
      <c r="AT1475" s="80"/>
      <c r="AU1475" s="80"/>
      <c r="AV1475" s="80"/>
      <c r="AW1475" s="80"/>
      <c r="AX1475" s="80"/>
      <c r="AY1475" s="80"/>
      <c r="AZ1475" s="80"/>
      <c r="BA1475" s="80"/>
      <c r="BB1475" s="80"/>
      <c r="BC1475" s="80"/>
      <c r="BD1475" s="80"/>
      <c r="BE1475" s="80"/>
      <c r="BF1475" s="80"/>
      <c r="BG1475" s="80"/>
      <c r="BH1475" s="80"/>
      <c r="BI1475" s="80"/>
      <c r="BJ1475" s="80"/>
      <c r="BK1475" s="80"/>
      <c r="BL1475" s="80"/>
      <c r="BM1475" s="80"/>
      <c r="BN1475" s="80"/>
      <c r="BO1475" s="80"/>
      <c r="BP1475" s="80"/>
      <c r="BQ1475" s="80"/>
      <c r="BR1475" s="80"/>
      <c r="BS1475" s="80"/>
      <c r="BT1475" s="80"/>
      <c r="BU1475" s="80"/>
      <c r="BV1475" s="80"/>
      <c r="BW1475" s="80"/>
      <c r="BX1475" s="80"/>
      <c r="BY1475" s="80"/>
      <c r="BZ1475" s="80"/>
      <c r="CA1475" s="80"/>
      <c r="CB1475" s="80"/>
      <c r="CC1475" s="80"/>
      <c r="CD1475" s="80"/>
      <c r="CE1475" s="80"/>
      <c r="CF1475" s="80"/>
      <c r="CG1475" s="80"/>
      <c r="CH1475" s="80"/>
      <c r="CI1475" s="80"/>
      <c r="CJ1475" s="80"/>
    </row>
    <row r="1476" ht="12.75" customHeight="1">
      <c r="A1476" s="85"/>
      <c r="B1476" s="85"/>
      <c r="C1476" s="85"/>
      <c r="D1476" s="85"/>
      <c r="E1476" s="85"/>
      <c r="F1476" s="85"/>
      <c r="G1476" s="85"/>
      <c r="H1476" s="85"/>
      <c r="I1476" s="85"/>
      <c r="J1476" s="85"/>
      <c r="K1476" s="85"/>
      <c r="L1476" s="85"/>
      <c r="M1476" s="85"/>
      <c r="N1476" s="85"/>
      <c r="O1476" s="85"/>
      <c r="P1476" s="85"/>
      <c r="Q1476" s="85"/>
      <c r="R1476" s="85"/>
      <c r="S1476" s="85"/>
      <c r="T1476" s="85"/>
      <c r="U1476" s="85"/>
      <c r="V1476" s="85"/>
      <c r="W1476" s="85"/>
      <c r="X1476" s="85"/>
      <c r="Y1476" s="85"/>
      <c r="Z1476" s="85"/>
      <c r="AA1476" s="85"/>
      <c r="AB1476" s="85"/>
      <c r="AC1476" s="85"/>
      <c r="AD1476" s="85"/>
      <c r="AE1476" s="85"/>
      <c r="AF1476" s="85"/>
      <c r="AG1476" s="85"/>
      <c r="AH1476" s="85"/>
      <c r="AI1476" s="85"/>
      <c r="AJ1476" s="85"/>
      <c r="AK1476" s="85"/>
      <c r="AL1476" s="85"/>
      <c r="AM1476" s="85"/>
      <c r="AN1476" s="85"/>
      <c r="AO1476" s="85"/>
      <c r="AP1476" s="85"/>
      <c r="AQ1476" s="93"/>
      <c r="AR1476" s="85"/>
      <c r="AS1476" s="85"/>
      <c r="AT1476" s="85"/>
      <c r="AU1476" s="85"/>
      <c r="AV1476" s="85"/>
      <c r="AW1476" s="85"/>
      <c r="AX1476" s="85"/>
      <c r="AY1476" s="85"/>
      <c r="AZ1476" s="85"/>
      <c r="BA1476" s="85"/>
      <c r="BB1476" s="85"/>
      <c r="BC1476" s="85"/>
      <c r="BD1476" s="85"/>
      <c r="BE1476" s="85"/>
      <c r="BF1476" s="85"/>
      <c r="BG1476" s="85"/>
      <c r="BH1476" s="85"/>
      <c r="BI1476" s="85"/>
      <c r="BJ1476" s="85"/>
      <c r="BK1476" s="85"/>
      <c r="BL1476" s="85"/>
      <c r="BM1476" s="85"/>
      <c r="BN1476" s="85"/>
      <c r="BO1476" s="85"/>
      <c r="BP1476" s="85"/>
      <c r="BQ1476" s="85"/>
      <c r="BR1476" s="85"/>
      <c r="BS1476" s="85"/>
      <c r="BT1476" s="85"/>
      <c r="BU1476" s="85"/>
      <c r="BV1476" s="85"/>
      <c r="BW1476" s="85"/>
      <c r="BX1476" s="85"/>
      <c r="BY1476" s="85"/>
      <c r="BZ1476" s="85"/>
      <c r="CA1476" s="85"/>
      <c r="CB1476" s="85"/>
      <c r="CC1476" s="85"/>
      <c r="CD1476" s="85"/>
      <c r="CE1476" s="85"/>
      <c r="CF1476" s="85"/>
      <c r="CG1476" s="85"/>
      <c r="CH1476" s="85"/>
      <c r="CI1476" s="85"/>
      <c r="CJ1476" s="85"/>
    </row>
    <row r="1477" ht="12.75" customHeight="1">
      <c r="A1477" s="80"/>
      <c r="B1477" s="80"/>
      <c r="C1477" s="80"/>
      <c r="D1477" s="80"/>
      <c r="E1477" s="80"/>
      <c r="F1477" s="80"/>
      <c r="G1477" s="80"/>
      <c r="H1477" s="80"/>
      <c r="I1477" s="80"/>
      <c r="J1477" s="80"/>
      <c r="K1477" s="80"/>
      <c r="L1477" s="80"/>
      <c r="M1477" s="80"/>
      <c r="N1477" s="80"/>
      <c r="O1477" s="80"/>
      <c r="P1477" s="80"/>
      <c r="Q1477" s="80"/>
      <c r="R1477" s="80"/>
      <c r="S1477" s="80"/>
      <c r="T1477" s="80"/>
      <c r="U1477" s="80"/>
      <c r="V1477" s="80"/>
      <c r="W1477" s="80"/>
      <c r="X1477" s="80"/>
      <c r="Y1477" s="80"/>
      <c r="Z1477" s="80"/>
      <c r="AA1477" s="80"/>
      <c r="AB1477" s="80"/>
      <c r="AC1477" s="80"/>
      <c r="AD1477" s="80"/>
      <c r="AE1477" s="80"/>
      <c r="AF1477" s="80"/>
      <c r="AG1477" s="80"/>
      <c r="AH1477" s="80"/>
      <c r="AI1477" s="80"/>
      <c r="AJ1477" s="80"/>
      <c r="AK1477" s="80"/>
      <c r="AL1477" s="80"/>
      <c r="AM1477" s="80"/>
      <c r="AN1477" s="80"/>
      <c r="AO1477" s="80"/>
      <c r="AP1477" s="80"/>
      <c r="AQ1477" s="83"/>
      <c r="AR1477" s="80"/>
      <c r="AS1477" s="80"/>
      <c r="AT1477" s="80"/>
      <c r="AU1477" s="80"/>
      <c r="AV1477" s="80"/>
      <c r="AW1477" s="80"/>
      <c r="AX1477" s="80"/>
      <c r="AY1477" s="80"/>
      <c r="AZ1477" s="80"/>
      <c r="BA1477" s="80"/>
      <c r="BB1477" s="80"/>
      <c r="BC1477" s="80"/>
      <c r="BD1477" s="80"/>
      <c r="BE1477" s="80"/>
      <c r="BF1477" s="80"/>
      <c r="BG1477" s="80"/>
      <c r="BH1477" s="80"/>
      <c r="BI1477" s="80"/>
      <c r="BJ1477" s="80"/>
      <c r="BK1477" s="80"/>
      <c r="BL1477" s="80"/>
      <c r="BM1477" s="80"/>
      <c r="BN1477" s="80"/>
      <c r="BO1477" s="80"/>
      <c r="BP1477" s="80"/>
      <c r="BQ1477" s="80"/>
      <c r="BR1477" s="80"/>
      <c r="BS1477" s="80"/>
      <c r="BT1477" s="80"/>
      <c r="BU1477" s="80"/>
      <c r="BV1477" s="80"/>
      <c r="BW1477" s="80"/>
      <c r="BX1477" s="80"/>
      <c r="BY1477" s="80"/>
      <c r="BZ1477" s="80"/>
      <c r="CA1477" s="80"/>
      <c r="CB1477" s="80"/>
      <c r="CC1477" s="80"/>
      <c r="CD1477" s="80"/>
      <c r="CE1477" s="80"/>
      <c r="CF1477" s="80"/>
      <c r="CG1477" s="80"/>
      <c r="CH1477" s="80"/>
      <c r="CI1477" s="80"/>
      <c r="CJ1477" s="80"/>
    </row>
    <row r="1478" ht="12.75" customHeight="1">
      <c r="A1478" s="85"/>
      <c r="B1478" s="85"/>
      <c r="C1478" s="85"/>
      <c r="D1478" s="85"/>
      <c r="E1478" s="85"/>
      <c r="F1478" s="85"/>
      <c r="G1478" s="85"/>
      <c r="H1478" s="85"/>
      <c r="I1478" s="85"/>
      <c r="J1478" s="85"/>
      <c r="K1478" s="85"/>
      <c r="L1478" s="85"/>
      <c r="M1478" s="85"/>
      <c r="N1478" s="85"/>
      <c r="O1478" s="85"/>
      <c r="P1478" s="85"/>
      <c r="Q1478" s="85"/>
      <c r="R1478" s="85"/>
      <c r="S1478" s="85"/>
      <c r="T1478" s="85"/>
      <c r="U1478" s="85"/>
      <c r="V1478" s="85"/>
      <c r="W1478" s="85"/>
      <c r="X1478" s="85"/>
      <c r="Y1478" s="85"/>
      <c r="Z1478" s="85"/>
      <c r="AA1478" s="85"/>
      <c r="AB1478" s="85"/>
      <c r="AC1478" s="85"/>
      <c r="AD1478" s="85"/>
      <c r="AE1478" s="85"/>
      <c r="AF1478" s="85"/>
      <c r="AG1478" s="85"/>
      <c r="AH1478" s="85"/>
      <c r="AI1478" s="85"/>
      <c r="AJ1478" s="85"/>
      <c r="AK1478" s="85"/>
      <c r="AL1478" s="85"/>
      <c r="AM1478" s="85"/>
      <c r="AN1478" s="85"/>
      <c r="AO1478" s="85"/>
      <c r="AP1478" s="85"/>
      <c r="AQ1478" s="93"/>
      <c r="AR1478" s="85"/>
      <c r="AS1478" s="85"/>
      <c r="AT1478" s="85"/>
      <c r="AU1478" s="85"/>
      <c r="AV1478" s="85"/>
      <c r="AW1478" s="85"/>
      <c r="AX1478" s="85"/>
      <c r="AY1478" s="85"/>
      <c r="AZ1478" s="85"/>
      <c r="BA1478" s="85"/>
      <c r="BB1478" s="85"/>
      <c r="BC1478" s="85"/>
      <c r="BD1478" s="85"/>
      <c r="BE1478" s="85"/>
      <c r="BF1478" s="85"/>
      <c r="BG1478" s="85"/>
      <c r="BH1478" s="85"/>
      <c r="BI1478" s="85"/>
      <c r="BJ1478" s="85"/>
      <c r="BK1478" s="85"/>
      <c r="BL1478" s="85"/>
      <c r="BM1478" s="85"/>
      <c r="BN1478" s="85"/>
      <c r="BO1478" s="85"/>
      <c r="BP1478" s="85"/>
      <c r="BQ1478" s="85"/>
      <c r="BR1478" s="85"/>
      <c r="BS1478" s="85"/>
      <c r="BT1478" s="85"/>
      <c r="BU1478" s="85"/>
      <c r="BV1478" s="85"/>
      <c r="BW1478" s="85"/>
      <c r="BX1478" s="85"/>
      <c r="BY1478" s="85"/>
      <c r="BZ1478" s="85"/>
      <c r="CA1478" s="85"/>
      <c r="CB1478" s="85"/>
      <c r="CC1478" s="85"/>
      <c r="CD1478" s="85"/>
      <c r="CE1478" s="85"/>
      <c r="CF1478" s="85"/>
      <c r="CG1478" s="85"/>
      <c r="CH1478" s="85"/>
      <c r="CI1478" s="85"/>
      <c r="CJ1478" s="85"/>
    </row>
    <row r="1479" ht="12.75" customHeight="1">
      <c r="A1479" s="80"/>
      <c r="B1479" s="80"/>
      <c r="C1479" s="80"/>
      <c r="D1479" s="80"/>
      <c r="E1479" s="80"/>
      <c r="F1479" s="80"/>
      <c r="G1479" s="80"/>
      <c r="H1479" s="80"/>
      <c r="I1479" s="80"/>
      <c r="J1479" s="80"/>
      <c r="K1479" s="80"/>
      <c r="L1479" s="80"/>
      <c r="M1479" s="80"/>
      <c r="N1479" s="80"/>
      <c r="O1479" s="80"/>
      <c r="P1479" s="80"/>
      <c r="Q1479" s="80"/>
      <c r="R1479" s="80"/>
      <c r="S1479" s="80"/>
      <c r="T1479" s="80"/>
      <c r="U1479" s="80"/>
      <c r="V1479" s="80"/>
      <c r="W1479" s="80"/>
      <c r="X1479" s="80"/>
      <c r="Y1479" s="80"/>
      <c r="Z1479" s="80"/>
      <c r="AA1479" s="80"/>
      <c r="AB1479" s="80"/>
      <c r="AC1479" s="80"/>
      <c r="AD1479" s="80"/>
      <c r="AE1479" s="80"/>
      <c r="AF1479" s="80"/>
      <c r="AG1479" s="80"/>
      <c r="AH1479" s="80"/>
      <c r="AI1479" s="80"/>
      <c r="AJ1479" s="80"/>
      <c r="AK1479" s="80"/>
      <c r="AL1479" s="80"/>
      <c r="AM1479" s="80"/>
      <c r="AN1479" s="80"/>
      <c r="AO1479" s="80"/>
      <c r="AP1479" s="80"/>
      <c r="AQ1479" s="83"/>
      <c r="AR1479" s="80"/>
      <c r="AS1479" s="80"/>
      <c r="AT1479" s="80"/>
      <c r="AU1479" s="80"/>
      <c r="AV1479" s="80"/>
      <c r="AW1479" s="80"/>
      <c r="AX1479" s="80"/>
      <c r="AY1479" s="80"/>
      <c r="AZ1479" s="80"/>
      <c r="BA1479" s="80"/>
      <c r="BB1479" s="80"/>
      <c r="BC1479" s="80"/>
      <c r="BD1479" s="80"/>
      <c r="BE1479" s="80"/>
      <c r="BF1479" s="80"/>
      <c r="BG1479" s="80"/>
      <c r="BH1479" s="80"/>
      <c r="BI1479" s="80"/>
      <c r="BJ1479" s="80"/>
      <c r="BK1479" s="80"/>
      <c r="BL1479" s="80"/>
      <c r="BM1479" s="80"/>
      <c r="BN1479" s="80"/>
      <c r="BO1479" s="80"/>
      <c r="BP1479" s="80"/>
      <c r="BQ1479" s="80"/>
      <c r="BR1479" s="80"/>
      <c r="BS1479" s="80"/>
      <c r="BT1479" s="80"/>
      <c r="BU1479" s="80"/>
      <c r="BV1479" s="80"/>
      <c r="BW1479" s="80"/>
      <c r="BX1479" s="80"/>
      <c r="BY1479" s="80"/>
      <c r="BZ1479" s="80"/>
      <c r="CA1479" s="80"/>
      <c r="CB1479" s="80"/>
      <c r="CC1479" s="80"/>
      <c r="CD1479" s="80"/>
      <c r="CE1479" s="80"/>
      <c r="CF1479" s="80"/>
      <c r="CG1479" s="80"/>
      <c r="CH1479" s="80"/>
      <c r="CI1479" s="80"/>
      <c r="CJ1479" s="80"/>
    </row>
    <row r="1480" ht="12.75" customHeight="1">
      <c r="A1480" s="85"/>
      <c r="B1480" s="85"/>
      <c r="C1480" s="85"/>
      <c r="D1480" s="85"/>
      <c r="E1480" s="85"/>
      <c r="F1480" s="85"/>
      <c r="G1480" s="85"/>
      <c r="H1480" s="85"/>
      <c r="I1480" s="85"/>
      <c r="J1480" s="85"/>
      <c r="K1480" s="85"/>
      <c r="L1480" s="85"/>
      <c r="M1480" s="85"/>
      <c r="N1480" s="85"/>
      <c r="O1480" s="85"/>
      <c r="P1480" s="85"/>
      <c r="Q1480" s="85"/>
      <c r="R1480" s="85"/>
      <c r="S1480" s="85"/>
      <c r="T1480" s="85"/>
      <c r="U1480" s="85"/>
      <c r="V1480" s="85"/>
      <c r="W1480" s="85"/>
      <c r="X1480" s="85"/>
      <c r="Y1480" s="85"/>
      <c r="Z1480" s="85"/>
      <c r="AA1480" s="85"/>
      <c r="AB1480" s="85"/>
      <c r="AC1480" s="85"/>
      <c r="AD1480" s="85"/>
      <c r="AE1480" s="85"/>
      <c r="AF1480" s="85"/>
      <c r="AG1480" s="85"/>
      <c r="AH1480" s="85"/>
      <c r="AI1480" s="85"/>
      <c r="AJ1480" s="85"/>
      <c r="AK1480" s="85"/>
      <c r="AL1480" s="85"/>
      <c r="AM1480" s="85"/>
      <c r="AN1480" s="85"/>
      <c r="AO1480" s="85"/>
      <c r="AP1480" s="85"/>
      <c r="AQ1480" s="93"/>
      <c r="AR1480" s="85"/>
      <c r="AS1480" s="85"/>
      <c r="AT1480" s="85"/>
      <c r="AU1480" s="85"/>
      <c r="AV1480" s="85"/>
      <c r="AW1480" s="85"/>
      <c r="AX1480" s="85"/>
      <c r="AY1480" s="85"/>
      <c r="AZ1480" s="85"/>
      <c r="BA1480" s="85"/>
      <c r="BB1480" s="85"/>
      <c r="BC1480" s="85"/>
      <c r="BD1480" s="85"/>
      <c r="BE1480" s="85"/>
      <c r="BF1480" s="85"/>
      <c r="BG1480" s="85"/>
      <c r="BH1480" s="85"/>
      <c r="BI1480" s="85"/>
      <c r="BJ1480" s="85"/>
      <c r="BK1480" s="85"/>
      <c r="BL1480" s="85"/>
      <c r="BM1480" s="85"/>
      <c r="BN1480" s="85"/>
      <c r="BO1480" s="85"/>
      <c r="BP1480" s="85"/>
      <c r="BQ1480" s="85"/>
      <c r="BR1480" s="85"/>
      <c r="BS1480" s="85"/>
      <c r="BT1480" s="85"/>
      <c r="BU1480" s="85"/>
      <c r="BV1480" s="85"/>
      <c r="BW1480" s="85"/>
      <c r="BX1480" s="85"/>
      <c r="BY1480" s="85"/>
      <c r="BZ1480" s="85"/>
      <c r="CA1480" s="85"/>
      <c r="CB1480" s="85"/>
      <c r="CC1480" s="85"/>
      <c r="CD1480" s="85"/>
      <c r="CE1480" s="85"/>
      <c r="CF1480" s="85"/>
      <c r="CG1480" s="85"/>
      <c r="CH1480" s="85"/>
      <c r="CI1480" s="85"/>
      <c r="CJ1480" s="85"/>
    </row>
    <row r="1481" ht="12.75" customHeight="1">
      <c r="A1481" s="80"/>
      <c r="B1481" s="80"/>
      <c r="C1481" s="80"/>
      <c r="D1481" s="80"/>
      <c r="E1481" s="80"/>
      <c r="F1481" s="80"/>
      <c r="G1481" s="80"/>
      <c r="H1481" s="80"/>
      <c r="I1481" s="80"/>
      <c r="J1481" s="80"/>
      <c r="K1481" s="80"/>
      <c r="L1481" s="80"/>
      <c r="M1481" s="80"/>
      <c r="N1481" s="80"/>
      <c r="O1481" s="80"/>
      <c r="P1481" s="80"/>
      <c r="Q1481" s="80"/>
      <c r="R1481" s="80"/>
      <c r="S1481" s="80"/>
      <c r="T1481" s="80"/>
      <c r="U1481" s="80"/>
      <c r="V1481" s="80"/>
      <c r="W1481" s="80"/>
      <c r="X1481" s="80"/>
      <c r="Y1481" s="80"/>
      <c r="Z1481" s="80"/>
      <c r="AA1481" s="80"/>
      <c r="AB1481" s="80"/>
      <c r="AC1481" s="80"/>
      <c r="AD1481" s="80"/>
      <c r="AE1481" s="80"/>
      <c r="AF1481" s="80"/>
      <c r="AG1481" s="80"/>
      <c r="AH1481" s="80"/>
      <c r="AI1481" s="80"/>
      <c r="AJ1481" s="80"/>
      <c r="AK1481" s="80"/>
      <c r="AL1481" s="80"/>
      <c r="AM1481" s="80"/>
      <c r="AN1481" s="80"/>
      <c r="AO1481" s="80"/>
      <c r="AP1481" s="80"/>
      <c r="AQ1481" s="83"/>
      <c r="AR1481" s="80"/>
      <c r="AS1481" s="80"/>
      <c r="AT1481" s="80"/>
      <c r="AU1481" s="80"/>
      <c r="AV1481" s="80"/>
      <c r="AW1481" s="80"/>
      <c r="AX1481" s="80"/>
      <c r="AY1481" s="80"/>
      <c r="AZ1481" s="80"/>
      <c r="BA1481" s="80"/>
      <c r="BB1481" s="80"/>
      <c r="BC1481" s="80"/>
      <c r="BD1481" s="80"/>
      <c r="BE1481" s="80"/>
      <c r="BF1481" s="80"/>
      <c r="BG1481" s="80"/>
      <c r="BH1481" s="80"/>
      <c r="BI1481" s="80"/>
      <c r="BJ1481" s="80"/>
      <c r="BK1481" s="80"/>
      <c r="BL1481" s="80"/>
      <c r="BM1481" s="80"/>
      <c r="BN1481" s="80"/>
      <c r="BO1481" s="80"/>
      <c r="BP1481" s="80"/>
      <c r="BQ1481" s="80"/>
      <c r="BR1481" s="80"/>
      <c r="BS1481" s="80"/>
      <c r="BT1481" s="80"/>
      <c r="BU1481" s="80"/>
      <c r="BV1481" s="80"/>
      <c r="BW1481" s="80"/>
      <c r="BX1481" s="80"/>
      <c r="BY1481" s="80"/>
      <c r="BZ1481" s="80"/>
      <c r="CA1481" s="80"/>
      <c r="CB1481" s="80"/>
      <c r="CC1481" s="80"/>
      <c r="CD1481" s="80"/>
      <c r="CE1481" s="80"/>
      <c r="CF1481" s="80"/>
      <c r="CG1481" s="80"/>
      <c r="CH1481" s="80"/>
      <c r="CI1481" s="80"/>
      <c r="CJ1481" s="80"/>
    </row>
    <row r="1482" ht="12.75" customHeight="1">
      <c r="A1482" s="85"/>
      <c r="B1482" s="85"/>
      <c r="C1482" s="85"/>
      <c r="D1482" s="85"/>
      <c r="E1482" s="85"/>
      <c r="F1482" s="85"/>
      <c r="G1482" s="85"/>
      <c r="H1482" s="85"/>
      <c r="I1482" s="85"/>
      <c r="J1482" s="85"/>
      <c r="K1482" s="85"/>
      <c r="L1482" s="85"/>
      <c r="M1482" s="85"/>
      <c r="N1482" s="85"/>
      <c r="O1482" s="85"/>
      <c r="P1482" s="85"/>
      <c r="Q1482" s="85"/>
      <c r="R1482" s="85"/>
      <c r="S1482" s="85"/>
      <c r="T1482" s="85"/>
      <c r="U1482" s="85"/>
      <c r="V1482" s="85"/>
      <c r="W1482" s="85"/>
      <c r="X1482" s="85"/>
      <c r="Y1482" s="85"/>
      <c r="Z1482" s="85"/>
      <c r="AA1482" s="85"/>
      <c r="AB1482" s="85"/>
      <c r="AC1482" s="85"/>
      <c r="AD1482" s="85"/>
      <c r="AE1482" s="85"/>
      <c r="AF1482" s="85"/>
      <c r="AG1482" s="85"/>
      <c r="AH1482" s="85"/>
      <c r="AI1482" s="85"/>
      <c r="AJ1482" s="85"/>
      <c r="AK1482" s="85"/>
      <c r="AL1482" s="85"/>
      <c r="AM1482" s="85"/>
      <c r="AN1482" s="85"/>
      <c r="AO1482" s="85"/>
      <c r="AP1482" s="85"/>
      <c r="AQ1482" s="93"/>
      <c r="AR1482" s="85"/>
      <c r="AS1482" s="85"/>
      <c r="AT1482" s="85"/>
      <c r="AU1482" s="85"/>
      <c r="AV1482" s="85"/>
      <c r="AW1482" s="85"/>
      <c r="AX1482" s="85"/>
      <c r="AY1482" s="85"/>
      <c r="AZ1482" s="85"/>
      <c r="BA1482" s="85"/>
      <c r="BB1482" s="85"/>
      <c r="BC1482" s="85"/>
      <c r="BD1482" s="85"/>
      <c r="BE1482" s="85"/>
      <c r="BF1482" s="85"/>
      <c r="BG1482" s="85"/>
      <c r="BH1482" s="85"/>
      <c r="BI1482" s="85"/>
      <c r="BJ1482" s="85"/>
      <c r="BK1482" s="85"/>
      <c r="BL1482" s="85"/>
      <c r="BM1482" s="85"/>
      <c r="BN1482" s="85"/>
      <c r="BO1482" s="85"/>
      <c r="BP1482" s="85"/>
      <c r="BQ1482" s="85"/>
      <c r="BR1482" s="85"/>
      <c r="BS1482" s="85"/>
      <c r="BT1482" s="85"/>
      <c r="BU1482" s="85"/>
      <c r="BV1482" s="85"/>
      <c r="BW1482" s="85"/>
      <c r="BX1482" s="85"/>
      <c r="BY1482" s="85"/>
      <c r="BZ1482" s="85"/>
      <c r="CA1482" s="85"/>
      <c r="CB1482" s="85"/>
      <c r="CC1482" s="85"/>
      <c r="CD1482" s="85"/>
      <c r="CE1482" s="85"/>
      <c r="CF1482" s="85"/>
      <c r="CG1482" s="85"/>
      <c r="CH1482" s="85"/>
      <c r="CI1482" s="85"/>
      <c r="CJ1482" s="85"/>
    </row>
    <row r="1483" ht="12.75" customHeight="1">
      <c r="A1483" s="80"/>
      <c r="B1483" s="80"/>
      <c r="C1483" s="80"/>
      <c r="D1483" s="80"/>
      <c r="E1483" s="80"/>
      <c r="F1483" s="80"/>
      <c r="G1483" s="80"/>
      <c r="H1483" s="80"/>
      <c r="I1483" s="80"/>
      <c r="J1483" s="80"/>
      <c r="K1483" s="80"/>
      <c r="L1483" s="80"/>
      <c r="M1483" s="80"/>
      <c r="N1483" s="80"/>
      <c r="O1483" s="80"/>
      <c r="P1483" s="80"/>
      <c r="Q1483" s="80"/>
      <c r="R1483" s="80"/>
      <c r="S1483" s="80"/>
      <c r="T1483" s="80"/>
      <c r="U1483" s="80"/>
      <c r="V1483" s="80"/>
      <c r="W1483" s="80"/>
      <c r="X1483" s="80"/>
      <c r="Y1483" s="80"/>
      <c r="Z1483" s="80"/>
      <c r="AA1483" s="80"/>
      <c r="AB1483" s="80"/>
      <c r="AC1483" s="80"/>
      <c r="AD1483" s="80"/>
      <c r="AE1483" s="80"/>
      <c r="AF1483" s="80"/>
      <c r="AG1483" s="80"/>
      <c r="AH1483" s="80"/>
      <c r="AI1483" s="80"/>
      <c r="AJ1483" s="80"/>
      <c r="AK1483" s="80"/>
      <c r="AL1483" s="80"/>
      <c r="AM1483" s="80"/>
      <c r="AN1483" s="80"/>
      <c r="AO1483" s="80"/>
      <c r="AP1483" s="80"/>
      <c r="AQ1483" s="83"/>
      <c r="AR1483" s="80"/>
      <c r="AS1483" s="80"/>
      <c r="AT1483" s="80"/>
      <c r="AU1483" s="80"/>
      <c r="AV1483" s="80"/>
      <c r="AW1483" s="80"/>
      <c r="AX1483" s="80"/>
      <c r="AY1483" s="80"/>
      <c r="AZ1483" s="80"/>
      <c r="BA1483" s="80"/>
      <c r="BB1483" s="80"/>
      <c r="BC1483" s="80"/>
      <c r="BD1483" s="80"/>
      <c r="BE1483" s="80"/>
      <c r="BF1483" s="80"/>
      <c r="BG1483" s="80"/>
      <c r="BH1483" s="80"/>
      <c r="BI1483" s="80"/>
      <c r="BJ1483" s="80"/>
      <c r="BK1483" s="80"/>
      <c r="BL1483" s="80"/>
      <c r="BM1483" s="80"/>
      <c r="BN1483" s="80"/>
      <c r="BO1483" s="80"/>
      <c r="BP1483" s="80"/>
      <c r="BQ1483" s="80"/>
      <c r="BR1483" s="80"/>
      <c r="BS1483" s="80"/>
      <c r="BT1483" s="80"/>
      <c r="BU1483" s="80"/>
      <c r="BV1483" s="80"/>
      <c r="BW1483" s="80"/>
      <c r="BX1483" s="80"/>
      <c r="BY1483" s="80"/>
      <c r="BZ1483" s="80"/>
      <c r="CA1483" s="80"/>
      <c r="CB1483" s="80"/>
      <c r="CC1483" s="80"/>
      <c r="CD1483" s="80"/>
      <c r="CE1483" s="80"/>
      <c r="CF1483" s="80"/>
      <c r="CG1483" s="80"/>
      <c r="CH1483" s="80"/>
      <c r="CI1483" s="80"/>
      <c r="CJ1483" s="80"/>
    </row>
    <row r="1484" ht="12.75" customHeight="1">
      <c r="A1484" s="85"/>
      <c r="B1484" s="85"/>
      <c r="C1484" s="85"/>
      <c r="D1484" s="85"/>
      <c r="E1484" s="85"/>
      <c r="F1484" s="85"/>
      <c r="G1484" s="85"/>
      <c r="H1484" s="85"/>
      <c r="I1484" s="85"/>
      <c r="J1484" s="85"/>
      <c r="K1484" s="85"/>
      <c r="L1484" s="85"/>
      <c r="M1484" s="85"/>
      <c r="N1484" s="85"/>
      <c r="O1484" s="85"/>
      <c r="P1484" s="85"/>
      <c r="Q1484" s="85"/>
      <c r="R1484" s="85"/>
      <c r="S1484" s="85"/>
      <c r="T1484" s="85"/>
      <c r="U1484" s="85"/>
      <c r="V1484" s="85"/>
      <c r="W1484" s="85"/>
      <c r="X1484" s="85"/>
      <c r="Y1484" s="85"/>
      <c r="Z1484" s="85"/>
      <c r="AA1484" s="85"/>
      <c r="AB1484" s="85"/>
      <c r="AC1484" s="85"/>
      <c r="AD1484" s="85"/>
      <c r="AE1484" s="85"/>
      <c r="AF1484" s="85"/>
      <c r="AG1484" s="85"/>
      <c r="AH1484" s="85"/>
      <c r="AI1484" s="85"/>
      <c r="AJ1484" s="85"/>
      <c r="AK1484" s="85"/>
      <c r="AL1484" s="85"/>
      <c r="AM1484" s="85"/>
      <c r="AN1484" s="85"/>
      <c r="AO1484" s="85"/>
      <c r="AP1484" s="85"/>
      <c r="AQ1484" s="93"/>
      <c r="AR1484" s="85"/>
      <c r="AS1484" s="85"/>
      <c r="AT1484" s="85"/>
      <c r="AU1484" s="85"/>
      <c r="AV1484" s="85"/>
      <c r="AW1484" s="85"/>
      <c r="AX1484" s="85"/>
      <c r="AY1484" s="85"/>
      <c r="AZ1484" s="85"/>
      <c r="BA1484" s="85"/>
      <c r="BB1484" s="85"/>
      <c r="BC1484" s="85"/>
      <c r="BD1484" s="85"/>
      <c r="BE1484" s="85"/>
      <c r="BF1484" s="85"/>
      <c r="BG1484" s="85"/>
      <c r="BH1484" s="85"/>
      <c r="BI1484" s="85"/>
      <c r="BJ1484" s="85"/>
      <c r="BK1484" s="85"/>
      <c r="BL1484" s="85"/>
      <c r="BM1484" s="85"/>
      <c r="BN1484" s="85"/>
      <c r="BO1484" s="85"/>
      <c r="BP1484" s="85"/>
      <c r="BQ1484" s="85"/>
      <c r="BR1484" s="85"/>
      <c r="BS1484" s="85"/>
      <c r="BT1484" s="85"/>
      <c r="BU1484" s="85"/>
      <c r="BV1484" s="85"/>
      <c r="BW1484" s="85"/>
      <c r="BX1484" s="85"/>
      <c r="BY1484" s="85"/>
      <c r="BZ1484" s="85"/>
      <c r="CA1484" s="85"/>
      <c r="CB1484" s="85"/>
      <c r="CC1484" s="85"/>
      <c r="CD1484" s="85"/>
      <c r="CE1484" s="85"/>
      <c r="CF1484" s="85"/>
      <c r="CG1484" s="85"/>
      <c r="CH1484" s="85"/>
      <c r="CI1484" s="85"/>
      <c r="CJ1484" s="85"/>
    </row>
    <row r="1485" ht="12.75" customHeight="1">
      <c r="A1485" s="80"/>
      <c r="B1485" s="80"/>
      <c r="C1485" s="80"/>
      <c r="D1485" s="80"/>
      <c r="E1485" s="80"/>
      <c r="F1485" s="80"/>
      <c r="G1485" s="80"/>
      <c r="H1485" s="80"/>
      <c r="I1485" s="80"/>
      <c r="J1485" s="80"/>
      <c r="K1485" s="80"/>
      <c r="L1485" s="80"/>
      <c r="M1485" s="80"/>
      <c r="N1485" s="80"/>
      <c r="O1485" s="80"/>
      <c r="P1485" s="80"/>
      <c r="Q1485" s="80"/>
      <c r="R1485" s="80"/>
      <c r="S1485" s="80"/>
      <c r="T1485" s="80"/>
      <c r="U1485" s="80"/>
      <c r="V1485" s="80"/>
      <c r="W1485" s="80"/>
      <c r="X1485" s="80"/>
      <c r="Y1485" s="80"/>
      <c r="Z1485" s="80"/>
      <c r="AA1485" s="80"/>
      <c r="AB1485" s="80"/>
      <c r="AC1485" s="80"/>
      <c r="AD1485" s="80"/>
      <c r="AE1485" s="80"/>
      <c r="AF1485" s="80"/>
      <c r="AG1485" s="80"/>
      <c r="AH1485" s="80"/>
      <c r="AI1485" s="80"/>
      <c r="AJ1485" s="80"/>
      <c r="AK1485" s="80"/>
      <c r="AL1485" s="80"/>
      <c r="AM1485" s="80"/>
      <c r="AN1485" s="80"/>
      <c r="AO1485" s="80"/>
      <c r="AP1485" s="80"/>
      <c r="AQ1485" s="83"/>
      <c r="AR1485" s="80"/>
      <c r="AS1485" s="80"/>
      <c r="AT1485" s="80"/>
      <c r="AU1485" s="80"/>
      <c r="AV1485" s="80"/>
      <c r="AW1485" s="80"/>
      <c r="AX1485" s="80"/>
      <c r="AY1485" s="80"/>
      <c r="AZ1485" s="80"/>
      <c r="BA1485" s="80"/>
      <c r="BB1485" s="80"/>
      <c r="BC1485" s="80"/>
      <c r="BD1485" s="80"/>
      <c r="BE1485" s="80"/>
      <c r="BF1485" s="80"/>
      <c r="BG1485" s="80"/>
      <c r="BH1485" s="80"/>
      <c r="BI1485" s="80"/>
      <c r="BJ1485" s="80"/>
      <c r="BK1485" s="80"/>
      <c r="BL1485" s="80"/>
      <c r="BM1485" s="80"/>
      <c r="BN1485" s="80"/>
      <c r="BO1485" s="80"/>
      <c r="BP1485" s="80"/>
      <c r="BQ1485" s="80"/>
      <c r="BR1485" s="80"/>
      <c r="BS1485" s="80"/>
      <c r="BT1485" s="80"/>
      <c r="BU1485" s="80"/>
      <c r="BV1485" s="80"/>
      <c r="BW1485" s="80"/>
      <c r="BX1485" s="80"/>
      <c r="BY1485" s="80"/>
      <c r="BZ1485" s="80"/>
      <c r="CA1485" s="80"/>
      <c r="CB1485" s="80"/>
      <c r="CC1485" s="80"/>
      <c r="CD1485" s="80"/>
      <c r="CE1485" s="80"/>
      <c r="CF1485" s="80"/>
      <c r="CG1485" s="80"/>
      <c r="CH1485" s="80"/>
      <c r="CI1485" s="80"/>
      <c r="CJ1485" s="80"/>
    </row>
    <row r="1486" ht="12.75" customHeight="1">
      <c r="A1486" s="85"/>
      <c r="B1486" s="85"/>
      <c r="C1486" s="85"/>
      <c r="D1486" s="85"/>
      <c r="E1486" s="85"/>
      <c r="F1486" s="85"/>
      <c r="G1486" s="85"/>
      <c r="H1486" s="85"/>
      <c r="I1486" s="85"/>
      <c r="J1486" s="85"/>
      <c r="K1486" s="85"/>
      <c r="L1486" s="85"/>
      <c r="M1486" s="85"/>
      <c r="N1486" s="85"/>
      <c r="O1486" s="85"/>
      <c r="P1486" s="85"/>
      <c r="Q1486" s="85"/>
      <c r="R1486" s="85"/>
      <c r="S1486" s="85"/>
      <c r="T1486" s="85"/>
      <c r="U1486" s="85"/>
      <c r="V1486" s="85"/>
      <c r="W1486" s="85"/>
      <c r="X1486" s="85"/>
      <c r="Y1486" s="85"/>
      <c r="Z1486" s="85"/>
      <c r="AA1486" s="85"/>
      <c r="AB1486" s="85"/>
      <c r="AC1486" s="85"/>
      <c r="AD1486" s="85"/>
      <c r="AE1486" s="85"/>
      <c r="AF1486" s="85"/>
      <c r="AG1486" s="85"/>
      <c r="AH1486" s="85"/>
      <c r="AI1486" s="85"/>
      <c r="AJ1486" s="85"/>
      <c r="AK1486" s="85"/>
      <c r="AL1486" s="85"/>
      <c r="AM1486" s="85"/>
      <c r="AN1486" s="85"/>
      <c r="AO1486" s="85"/>
      <c r="AP1486" s="85"/>
      <c r="AQ1486" s="93"/>
      <c r="AR1486" s="85"/>
      <c r="AS1486" s="85"/>
      <c r="AT1486" s="85"/>
      <c r="AU1486" s="85"/>
      <c r="AV1486" s="85"/>
      <c r="AW1486" s="85"/>
      <c r="AX1486" s="85"/>
      <c r="AY1486" s="85"/>
      <c r="AZ1486" s="85"/>
      <c r="BA1486" s="85"/>
      <c r="BB1486" s="85"/>
      <c r="BC1486" s="85"/>
      <c r="BD1486" s="85"/>
      <c r="BE1486" s="85"/>
      <c r="BF1486" s="85"/>
      <c r="BG1486" s="85"/>
      <c r="BH1486" s="85"/>
      <c r="BI1486" s="85"/>
      <c r="BJ1486" s="85"/>
      <c r="BK1486" s="85"/>
      <c r="BL1486" s="85"/>
      <c r="BM1486" s="85"/>
      <c r="BN1486" s="85"/>
      <c r="BO1486" s="85"/>
      <c r="BP1486" s="85"/>
      <c r="BQ1486" s="85"/>
      <c r="BR1486" s="85"/>
      <c r="BS1486" s="85"/>
      <c r="BT1486" s="85"/>
      <c r="BU1486" s="85"/>
      <c r="BV1486" s="85"/>
      <c r="BW1486" s="85"/>
      <c r="BX1486" s="85"/>
      <c r="BY1486" s="85"/>
      <c r="BZ1486" s="85"/>
      <c r="CA1486" s="85"/>
      <c r="CB1486" s="85"/>
      <c r="CC1486" s="85"/>
      <c r="CD1486" s="85"/>
      <c r="CE1486" s="85"/>
      <c r="CF1486" s="85"/>
      <c r="CG1486" s="85"/>
      <c r="CH1486" s="85"/>
      <c r="CI1486" s="85"/>
      <c r="CJ1486" s="85"/>
    </row>
    <row r="1487" ht="12.75" customHeight="1">
      <c r="A1487" s="80"/>
      <c r="B1487" s="80"/>
      <c r="C1487" s="80"/>
      <c r="D1487" s="80"/>
      <c r="E1487" s="80"/>
      <c r="F1487" s="80"/>
      <c r="G1487" s="80"/>
      <c r="H1487" s="80"/>
      <c r="I1487" s="80"/>
      <c r="J1487" s="80"/>
      <c r="K1487" s="80"/>
      <c r="L1487" s="80"/>
      <c r="M1487" s="80"/>
      <c r="N1487" s="80"/>
      <c r="O1487" s="80"/>
      <c r="P1487" s="80"/>
      <c r="Q1487" s="80"/>
      <c r="R1487" s="80"/>
      <c r="S1487" s="80"/>
      <c r="T1487" s="80"/>
      <c r="U1487" s="80"/>
      <c r="V1487" s="80"/>
      <c r="W1487" s="80"/>
      <c r="X1487" s="80"/>
      <c r="Y1487" s="80"/>
      <c r="Z1487" s="80"/>
      <c r="AA1487" s="80"/>
      <c r="AB1487" s="80"/>
      <c r="AC1487" s="80"/>
      <c r="AD1487" s="80"/>
      <c r="AE1487" s="80"/>
      <c r="AF1487" s="80"/>
      <c r="AG1487" s="80"/>
      <c r="AH1487" s="80"/>
      <c r="AI1487" s="80"/>
      <c r="AJ1487" s="80"/>
      <c r="AK1487" s="80"/>
      <c r="AL1487" s="80"/>
      <c r="AM1487" s="80"/>
      <c r="AN1487" s="80"/>
      <c r="AO1487" s="80"/>
      <c r="AP1487" s="80"/>
      <c r="AQ1487" s="83"/>
      <c r="AR1487" s="80"/>
      <c r="AS1487" s="80"/>
      <c r="AT1487" s="80"/>
      <c r="AU1487" s="80"/>
      <c r="AV1487" s="80"/>
      <c r="AW1487" s="80"/>
      <c r="AX1487" s="80"/>
      <c r="AY1487" s="80"/>
      <c r="AZ1487" s="80"/>
      <c r="BA1487" s="80"/>
      <c r="BB1487" s="80"/>
      <c r="BC1487" s="80"/>
      <c r="BD1487" s="80"/>
      <c r="BE1487" s="80"/>
      <c r="BF1487" s="80"/>
      <c r="BG1487" s="80"/>
      <c r="BH1487" s="80"/>
      <c r="BI1487" s="80"/>
      <c r="BJ1487" s="80"/>
      <c r="BK1487" s="80"/>
      <c r="BL1487" s="80"/>
      <c r="BM1487" s="80"/>
      <c r="BN1487" s="80"/>
      <c r="BO1487" s="80"/>
      <c r="BP1487" s="80"/>
      <c r="BQ1487" s="80"/>
      <c r="BR1487" s="80"/>
      <c r="BS1487" s="80"/>
      <c r="BT1487" s="80"/>
      <c r="BU1487" s="80"/>
      <c r="BV1487" s="80"/>
      <c r="BW1487" s="80"/>
      <c r="BX1487" s="80"/>
      <c r="BY1487" s="80"/>
      <c r="BZ1487" s="80"/>
      <c r="CA1487" s="80"/>
      <c r="CB1487" s="80"/>
      <c r="CC1487" s="80"/>
      <c r="CD1487" s="80"/>
      <c r="CE1487" s="80"/>
      <c r="CF1487" s="80"/>
      <c r="CG1487" s="80"/>
      <c r="CH1487" s="80"/>
      <c r="CI1487" s="80"/>
      <c r="CJ1487" s="80"/>
    </row>
    <row r="1488" ht="12.75" customHeight="1">
      <c r="A1488" s="85"/>
      <c r="B1488" s="85"/>
      <c r="C1488" s="85"/>
      <c r="D1488" s="85"/>
      <c r="E1488" s="85"/>
      <c r="F1488" s="85"/>
      <c r="G1488" s="85"/>
      <c r="H1488" s="85"/>
      <c r="I1488" s="85"/>
      <c r="J1488" s="85"/>
      <c r="K1488" s="85"/>
      <c r="L1488" s="85"/>
      <c r="M1488" s="85"/>
      <c r="N1488" s="85"/>
      <c r="O1488" s="85"/>
      <c r="P1488" s="85"/>
      <c r="Q1488" s="85"/>
      <c r="R1488" s="85"/>
      <c r="S1488" s="85"/>
      <c r="T1488" s="85"/>
      <c r="U1488" s="85"/>
      <c r="V1488" s="85"/>
      <c r="W1488" s="85"/>
      <c r="X1488" s="85"/>
      <c r="Y1488" s="85"/>
      <c r="Z1488" s="85"/>
      <c r="AA1488" s="85"/>
      <c r="AB1488" s="85"/>
      <c r="AC1488" s="85"/>
      <c r="AD1488" s="85"/>
      <c r="AE1488" s="85"/>
      <c r="AF1488" s="85"/>
      <c r="AG1488" s="85"/>
      <c r="AH1488" s="85"/>
      <c r="AI1488" s="85"/>
      <c r="AJ1488" s="85"/>
      <c r="AK1488" s="85"/>
      <c r="AL1488" s="85"/>
      <c r="AM1488" s="85"/>
      <c r="AN1488" s="85"/>
      <c r="AO1488" s="85"/>
      <c r="AP1488" s="85"/>
      <c r="AQ1488" s="93"/>
      <c r="AR1488" s="85"/>
      <c r="AS1488" s="85"/>
      <c r="AT1488" s="85"/>
      <c r="AU1488" s="85"/>
      <c r="AV1488" s="85"/>
      <c r="AW1488" s="85"/>
      <c r="AX1488" s="85"/>
      <c r="AY1488" s="85"/>
      <c r="AZ1488" s="85"/>
      <c r="BA1488" s="85"/>
      <c r="BB1488" s="85"/>
      <c r="BC1488" s="85"/>
      <c r="BD1488" s="85"/>
      <c r="BE1488" s="85"/>
      <c r="BF1488" s="85"/>
      <c r="BG1488" s="85"/>
      <c r="BH1488" s="85"/>
      <c r="BI1488" s="85"/>
      <c r="BJ1488" s="85"/>
      <c r="BK1488" s="85"/>
      <c r="BL1488" s="85"/>
      <c r="BM1488" s="85"/>
      <c r="BN1488" s="85"/>
      <c r="BO1488" s="85"/>
      <c r="BP1488" s="85"/>
      <c r="BQ1488" s="85"/>
      <c r="BR1488" s="85"/>
      <c r="BS1488" s="85"/>
      <c r="BT1488" s="85"/>
      <c r="BU1488" s="85"/>
      <c r="BV1488" s="85"/>
      <c r="BW1488" s="85"/>
      <c r="BX1488" s="85"/>
      <c r="BY1488" s="85"/>
      <c r="BZ1488" s="85"/>
      <c r="CA1488" s="85"/>
      <c r="CB1488" s="85"/>
      <c r="CC1488" s="85"/>
      <c r="CD1488" s="85"/>
      <c r="CE1488" s="85"/>
      <c r="CF1488" s="85"/>
      <c r="CG1488" s="85"/>
      <c r="CH1488" s="85"/>
      <c r="CI1488" s="85"/>
      <c r="CJ1488" s="85"/>
    </row>
    <row r="1489" ht="12.75" customHeight="1">
      <c r="A1489" s="80"/>
      <c r="B1489" s="80"/>
      <c r="C1489" s="80"/>
      <c r="D1489" s="80"/>
      <c r="E1489" s="80"/>
      <c r="F1489" s="80"/>
      <c r="G1489" s="80"/>
      <c r="H1489" s="80"/>
      <c r="I1489" s="80"/>
      <c r="J1489" s="80"/>
      <c r="K1489" s="80"/>
      <c r="L1489" s="80"/>
      <c r="M1489" s="80"/>
      <c r="N1489" s="80"/>
      <c r="O1489" s="80"/>
      <c r="P1489" s="80"/>
      <c r="Q1489" s="80"/>
      <c r="R1489" s="80"/>
      <c r="S1489" s="80"/>
      <c r="T1489" s="80"/>
      <c r="U1489" s="80"/>
      <c r="V1489" s="80"/>
      <c r="W1489" s="80"/>
      <c r="X1489" s="80"/>
      <c r="Y1489" s="80"/>
      <c r="Z1489" s="80"/>
      <c r="AA1489" s="80"/>
      <c r="AB1489" s="80"/>
      <c r="AC1489" s="80"/>
      <c r="AD1489" s="80"/>
      <c r="AE1489" s="80"/>
      <c r="AF1489" s="80"/>
      <c r="AG1489" s="80"/>
      <c r="AH1489" s="80"/>
      <c r="AI1489" s="80"/>
      <c r="AJ1489" s="80"/>
      <c r="AK1489" s="80"/>
      <c r="AL1489" s="80"/>
      <c r="AM1489" s="80"/>
      <c r="AN1489" s="80"/>
      <c r="AO1489" s="80"/>
      <c r="AP1489" s="80"/>
      <c r="AQ1489" s="83"/>
      <c r="AR1489" s="80"/>
      <c r="AS1489" s="80"/>
      <c r="AT1489" s="80"/>
      <c r="AU1489" s="80"/>
      <c r="AV1489" s="80"/>
      <c r="AW1489" s="80"/>
      <c r="AX1489" s="80"/>
      <c r="AY1489" s="80"/>
      <c r="AZ1489" s="80"/>
      <c r="BA1489" s="80"/>
      <c r="BB1489" s="80"/>
      <c r="BC1489" s="80"/>
      <c r="BD1489" s="80"/>
      <c r="BE1489" s="80"/>
      <c r="BF1489" s="80"/>
      <c r="BG1489" s="80"/>
      <c r="BH1489" s="80"/>
      <c r="BI1489" s="80"/>
      <c r="BJ1489" s="80"/>
      <c r="BK1489" s="80"/>
      <c r="BL1489" s="80"/>
      <c r="BM1489" s="80"/>
      <c r="BN1489" s="80"/>
      <c r="BO1489" s="80"/>
      <c r="BP1489" s="80"/>
      <c r="BQ1489" s="80"/>
      <c r="BR1489" s="80"/>
      <c r="BS1489" s="80"/>
      <c r="BT1489" s="80"/>
      <c r="BU1489" s="80"/>
      <c r="BV1489" s="80"/>
      <c r="BW1489" s="80"/>
      <c r="BX1489" s="80"/>
      <c r="BY1489" s="80"/>
      <c r="BZ1489" s="80"/>
      <c r="CA1489" s="80"/>
      <c r="CB1489" s="80"/>
      <c r="CC1489" s="80"/>
      <c r="CD1489" s="80"/>
      <c r="CE1489" s="80"/>
      <c r="CF1489" s="80"/>
      <c r="CG1489" s="80"/>
      <c r="CH1489" s="80"/>
      <c r="CI1489" s="80"/>
      <c r="CJ1489" s="80"/>
    </row>
    <row r="1490" ht="12.75" customHeight="1">
      <c r="A1490" s="85"/>
      <c r="B1490" s="85"/>
      <c r="C1490" s="85"/>
      <c r="D1490" s="85"/>
      <c r="E1490" s="85"/>
      <c r="F1490" s="85"/>
      <c r="G1490" s="85"/>
      <c r="H1490" s="85"/>
      <c r="I1490" s="85"/>
      <c r="J1490" s="85"/>
      <c r="K1490" s="85"/>
      <c r="L1490" s="85"/>
      <c r="M1490" s="85"/>
      <c r="N1490" s="85"/>
      <c r="O1490" s="85"/>
      <c r="P1490" s="85"/>
      <c r="Q1490" s="85"/>
      <c r="R1490" s="85"/>
      <c r="S1490" s="85"/>
      <c r="T1490" s="85"/>
      <c r="U1490" s="85"/>
      <c r="V1490" s="85"/>
      <c r="W1490" s="85"/>
      <c r="X1490" s="85"/>
      <c r="Y1490" s="85"/>
      <c r="Z1490" s="85"/>
      <c r="AA1490" s="85"/>
      <c r="AB1490" s="85"/>
      <c r="AC1490" s="85"/>
      <c r="AD1490" s="85"/>
      <c r="AE1490" s="85"/>
      <c r="AF1490" s="85"/>
      <c r="AG1490" s="85"/>
      <c r="AH1490" s="85"/>
      <c r="AI1490" s="85"/>
      <c r="AJ1490" s="85"/>
      <c r="AK1490" s="85"/>
      <c r="AL1490" s="85"/>
      <c r="AM1490" s="85"/>
      <c r="AN1490" s="85"/>
      <c r="AO1490" s="85"/>
      <c r="AP1490" s="85"/>
      <c r="AQ1490" s="93"/>
      <c r="AR1490" s="85"/>
      <c r="AS1490" s="85"/>
      <c r="AT1490" s="85"/>
      <c r="AU1490" s="85"/>
      <c r="AV1490" s="85"/>
      <c r="AW1490" s="85"/>
      <c r="AX1490" s="85"/>
      <c r="AY1490" s="85"/>
      <c r="AZ1490" s="85"/>
      <c r="BA1490" s="85"/>
      <c r="BB1490" s="85"/>
      <c r="BC1490" s="85"/>
      <c r="BD1490" s="85"/>
      <c r="BE1490" s="85"/>
      <c r="BF1490" s="85"/>
      <c r="BG1490" s="85"/>
      <c r="BH1490" s="85"/>
      <c r="BI1490" s="85"/>
      <c r="BJ1490" s="85"/>
      <c r="BK1490" s="85"/>
      <c r="BL1490" s="85"/>
      <c r="BM1490" s="85"/>
      <c r="BN1490" s="85"/>
      <c r="BO1490" s="85"/>
      <c r="BP1490" s="85"/>
      <c r="BQ1490" s="85"/>
      <c r="BR1490" s="85"/>
      <c r="BS1490" s="85"/>
      <c r="BT1490" s="85"/>
      <c r="BU1490" s="85"/>
      <c r="BV1490" s="85"/>
      <c r="BW1490" s="85"/>
      <c r="BX1490" s="85"/>
      <c r="BY1490" s="85"/>
      <c r="BZ1490" s="85"/>
      <c r="CA1490" s="85"/>
      <c r="CB1490" s="85"/>
      <c r="CC1490" s="85"/>
      <c r="CD1490" s="85"/>
      <c r="CE1490" s="85"/>
      <c r="CF1490" s="85"/>
      <c r="CG1490" s="85"/>
      <c r="CH1490" s="85"/>
      <c r="CI1490" s="85"/>
      <c r="CJ1490" s="85"/>
    </row>
    <row r="1491" ht="12.75" customHeight="1">
      <c r="A1491" s="80"/>
      <c r="B1491" s="80"/>
      <c r="C1491" s="80"/>
      <c r="D1491" s="80"/>
      <c r="E1491" s="80"/>
      <c r="F1491" s="80"/>
      <c r="G1491" s="80"/>
      <c r="H1491" s="80"/>
      <c r="I1491" s="80"/>
      <c r="J1491" s="80"/>
      <c r="K1491" s="80"/>
      <c r="L1491" s="80"/>
      <c r="M1491" s="80"/>
      <c r="N1491" s="80"/>
      <c r="O1491" s="80"/>
      <c r="P1491" s="80"/>
      <c r="Q1491" s="80"/>
      <c r="R1491" s="80"/>
      <c r="S1491" s="80"/>
      <c r="T1491" s="80"/>
      <c r="U1491" s="80"/>
      <c r="V1491" s="80"/>
      <c r="W1491" s="80"/>
      <c r="X1491" s="80"/>
      <c r="Y1491" s="80"/>
      <c r="Z1491" s="80"/>
      <c r="AA1491" s="80"/>
      <c r="AB1491" s="80"/>
      <c r="AC1491" s="80"/>
      <c r="AD1491" s="80"/>
      <c r="AE1491" s="80"/>
      <c r="AF1491" s="80"/>
      <c r="AG1491" s="80"/>
      <c r="AH1491" s="80"/>
      <c r="AI1491" s="80"/>
      <c r="AJ1491" s="80"/>
      <c r="AK1491" s="80"/>
      <c r="AL1491" s="80"/>
      <c r="AM1491" s="80"/>
      <c r="AN1491" s="80"/>
      <c r="AO1491" s="80"/>
      <c r="AP1491" s="80"/>
      <c r="AQ1491" s="83"/>
      <c r="AR1491" s="80"/>
      <c r="AS1491" s="80"/>
      <c r="AT1491" s="80"/>
      <c r="AU1491" s="80"/>
      <c r="AV1491" s="80"/>
      <c r="AW1491" s="80"/>
      <c r="AX1491" s="80"/>
      <c r="AY1491" s="80"/>
      <c r="AZ1491" s="80"/>
      <c r="BA1491" s="80"/>
      <c r="BB1491" s="80"/>
      <c r="BC1491" s="80"/>
      <c r="BD1491" s="80"/>
      <c r="BE1491" s="80"/>
      <c r="BF1491" s="80"/>
      <c r="BG1491" s="80"/>
      <c r="BH1491" s="80"/>
      <c r="BI1491" s="80"/>
      <c r="BJ1491" s="80"/>
      <c r="BK1491" s="80"/>
      <c r="BL1491" s="80"/>
      <c r="BM1491" s="80"/>
      <c r="BN1491" s="80"/>
      <c r="BO1491" s="80"/>
      <c r="BP1491" s="80"/>
      <c r="BQ1491" s="80"/>
      <c r="BR1491" s="80"/>
      <c r="BS1491" s="80"/>
      <c r="BT1491" s="80"/>
      <c r="BU1491" s="80"/>
      <c r="BV1491" s="80"/>
      <c r="BW1491" s="80"/>
      <c r="BX1491" s="80"/>
      <c r="BY1491" s="80"/>
      <c r="BZ1491" s="80"/>
      <c r="CA1491" s="80"/>
      <c r="CB1491" s="80"/>
      <c r="CC1491" s="80"/>
      <c r="CD1491" s="80"/>
      <c r="CE1491" s="80"/>
      <c r="CF1491" s="80"/>
      <c r="CG1491" s="80"/>
      <c r="CH1491" s="80"/>
      <c r="CI1491" s="80"/>
      <c r="CJ1491" s="80"/>
    </row>
    <row r="1492" ht="12.75" customHeight="1">
      <c r="A1492" s="85"/>
      <c r="B1492" s="85"/>
      <c r="C1492" s="85"/>
      <c r="D1492" s="85"/>
      <c r="E1492" s="85"/>
      <c r="F1492" s="85"/>
      <c r="G1492" s="85"/>
      <c r="H1492" s="85"/>
      <c r="I1492" s="85"/>
      <c r="J1492" s="85"/>
      <c r="K1492" s="85"/>
      <c r="L1492" s="85"/>
      <c r="M1492" s="85"/>
      <c r="N1492" s="85"/>
      <c r="O1492" s="85"/>
      <c r="P1492" s="85"/>
      <c r="Q1492" s="85"/>
      <c r="R1492" s="85"/>
      <c r="S1492" s="85"/>
      <c r="T1492" s="85"/>
      <c r="U1492" s="85"/>
      <c r="V1492" s="85"/>
      <c r="W1492" s="85"/>
      <c r="X1492" s="85"/>
      <c r="Y1492" s="85"/>
      <c r="Z1492" s="85"/>
      <c r="AA1492" s="85"/>
      <c r="AB1492" s="85"/>
      <c r="AC1492" s="85"/>
      <c r="AD1492" s="85"/>
      <c r="AE1492" s="85"/>
      <c r="AF1492" s="85"/>
      <c r="AG1492" s="85"/>
      <c r="AH1492" s="85"/>
      <c r="AI1492" s="85"/>
      <c r="AJ1492" s="85"/>
      <c r="AK1492" s="85"/>
      <c r="AL1492" s="85"/>
      <c r="AM1492" s="85"/>
      <c r="AN1492" s="85"/>
      <c r="AO1492" s="85"/>
      <c r="AP1492" s="85"/>
      <c r="AQ1492" s="93"/>
      <c r="AR1492" s="85"/>
      <c r="AS1492" s="85"/>
      <c r="AT1492" s="85"/>
      <c r="AU1492" s="85"/>
      <c r="AV1492" s="85"/>
      <c r="AW1492" s="85"/>
      <c r="AX1492" s="85"/>
      <c r="AY1492" s="85"/>
      <c r="AZ1492" s="85"/>
      <c r="BA1492" s="85"/>
      <c r="BB1492" s="85"/>
      <c r="BC1492" s="85"/>
      <c r="BD1492" s="85"/>
      <c r="BE1492" s="85"/>
      <c r="BF1492" s="85"/>
      <c r="BG1492" s="85"/>
      <c r="BH1492" s="85"/>
      <c r="BI1492" s="85"/>
      <c r="BJ1492" s="85"/>
      <c r="BK1492" s="85"/>
      <c r="BL1492" s="85"/>
      <c r="BM1492" s="85"/>
      <c r="BN1492" s="85"/>
      <c r="BO1492" s="85"/>
      <c r="BP1492" s="85"/>
      <c r="BQ1492" s="85"/>
      <c r="BR1492" s="85"/>
      <c r="BS1492" s="85"/>
      <c r="BT1492" s="85"/>
      <c r="BU1492" s="85"/>
      <c r="BV1492" s="85"/>
      <c r="BW1492" s="85"/>
      <c r="BX1492" s="85"/>
      <c r="BY1492" s="85"/>
      <c r="BZ1492" s="85"/>
      <c r="CA1492" s="85"/>
      <c r="CB1492" s="85"/>
      <c r="CC1492" s="85"/>
      <c r="CD1492" s="85"/>
      <c r="CE1492" s="85"/>
      <c r="CF1492" s="85"/>
      <c r="CG1492" s="85"/>
      <c r="CH1492" s="85"/>
      <c r="CI1492" s="85"/>
      <c r="CJ1492" s="85"/>
    </row>
    <row r="1493" ht="12.75" customHeight="1">
      <c r="A1493" s="80"/>
      <c r="B1493" s="80"/>
      <c r="C1493" s="80"/>
      <c r="D1493" s="80"/>
      <c r="E1493" s="80"/>
      <c r="F1493" s="80"/>
      <c r="G1493" s="80"/>
      <c r="H1493" s="80"/>
      <c r="I1493" s="80"/>
      <c r="J1493" s="80"/>
      <c r="K1493" s="80"/>
      <c r="L1493" s="80"/>
      <c r="M1493" s="80"/>
      <c r="N1493" s="80"/>
      <c r="O1493" s="80"/>
      <c r="P1493" s="80"/>
      <c r="Q1493" s="80"/>
      <c r="R1493" s="80"/>
      <c r="S1493" s="80"/>
      <c r="T1493" s="80"/>
      <c r="U1493" s="80"/>
      <c r="V1493" s="80"/>
      <c r="W1493" s="80"/>
      <c r="X1493" s="80"/>
      <c r="Y1493" s="80"/>
      <c r="Z1493" s="80"/>
      <c r="AA1493" s="80"/>
      <c r="AB1493" s="80"/>
      <c r="AC1493" s="80"/>
      <c r="AD1493" s="80"/>
      <c r="AE1493" s="80"/>
      <c r="AF1493" s="80"/>
      <c r="AG1493" s="80"/>
      <c r="AH1493" s="80"/>
      <c r="AI1493" s="80"/>
      <c r="AJ1493" s="80"/>
      <c r="AK1493" s="80"/>
      <c r="AL1493" s="80"/>
      <c r="AM1493" s="80"/>
      <c r="AN1493" s="80"/>
      <c r="AO1493" s="80"/>
      <c r="AP1493" s="80"/>
      <c r="AQ1493" s="83"/>
      <c r="AR1493" s="80"/>
      <c r="AS1493" s="80"/>
      <c r="AT1493" s="80"/>
      <c r="AU1493" s="80"/>
      <c r="AV1493" s="80"/>
      <c r="AW1493" s="80"/>
      <c r="AX1493" s="80"/>
      <c r="AY1493" s="80"/>
      <c r="AZ1493" s="80"/>
      <c r="BA1493" s="80"/>
      <c r="BB1493" s="80"/>
      <c r="BC1493" s="80"/>
      <c r="BD1493" s="80"/>
      <c r="BE1493" s="80"/>
      <c r="BF1493" s="80"/>
      <c r="BG1493" s="80"/>
      <c r="BH1493" s="80"/>
      <c r="BI1493" s="80"/>
      <c r="BJ1493" s="80"/>
      <c r="BK1493" s="80"/>
      <c r="BL1493" s="80"/>
      <c r="BM1493" s="80"/>
      <c r="BN1493" s="80"/>
      <c r="BO1493" s="80"/>
      <c r="BP1493" s="80"/>
      <c r="BQ1493" s="80"/>
      <c r="BR1493" s="80"/>
      <c r="BS1493" s="80"/>
      <c r="BT1493" s="80"/>
      <c r="BU1493" s="80"/>
      <c r="BV1493" s="80"/>
      <c r="BW1493" s="80"/>
      <c r="BX1493" s="80"/>
      <c r="BY1493" s="80"/>
      <c r="BZ1493" s="80"/>
      <c r="CA1493" s="80"/>
      <c r="CB1493" s="80"/>
      <c r="CC1493" s="80"/>
      <c r="CD1493" s="80"/>
      <c r="CE1493" s="80"/>
      <c r="CF1493" s="80"/>
      <c r="CG1493" s="80"/>
      <c r="CH1493" s="80"/>
      <c r="CI1493" s="80"/>
      <c r="CJ1493" s="80"/>
    </row>
    <row r="1494" ht="12.75" customHeight="1">
      <c r="A1494" s="85"/>
      <c r="B1494" s="85"/>
      <c r="C1494" s="85"/>
      <c r="D1494" s="85"/>
      <c r="E1494" s="85"/>
      <c r="F1494" s="85"/>
      <c r="G1494" s="85"/>
      <c r="H1494" s="85"/>
      <c r="I1494" s="85"/>
      <c r="J1494" s="85"/>
      <c r="K1494" s="85"/>
      <c r="L1494" s="85"/>
      <c r="M1494" s="85"/>
      <c r="N1494" s="85"/>
      <c r="O1494" s="85"/>
      <c r="P1494" s="85"/>
      <c r="Q1494" s="85"/>
      <c r="R1494" s="85"/>
      <c r="S1494" s="85"/>
      <c r="T1494" s="85"/>
      <c r="U1494" s="85"/>
      <c r="V1494" s="85"/>
      <c r="W1494" s="85"/>
      <c r="X1494" s="85"/>
      <c r="Y1494" s="85"/>
      <c r="Z1494" s="85"/>
      <c r="AA1494" s="85"/>
      <c r="AB1494" s="85"/>
      <c r="AC1494" s="85"/>
      <c r="AD1494" s="85"/>
      <c r="AE1494" s="85"/>
      <c r="AF1494" s="85"/>
      <c r="AG1494" s="85"/>
      <c r="AH1494" s="85"/>
      <c r="AI1494" s="85"/>
      <c r="AJ1494" s="85"/>
      <c r="AK1494" s="85"/>
      <c r="AL1494" s="85"/>
      <c r="AM1494" s="85"/>
      <c r="AN1494" s="85"/>
      <c r="AO1494" s="85"/>
      <c r="AP1494" s="85"/>
      <c r="AQ1494" s="93"/>
      <c r="AR1494" s="85"/>
      <c r="AS1494" s="85"/>
      <c r="AT1494" s="85"/>
      <c r="AU1494" s="85"/>
      <c r="AV1494" s="85"/>
      <c r="AW1494" s="85"/>
      <c r="AX1494" s="85"/>
      <c r="AY1494" s="85"/>
      <c r="AZ1494" s="85"/>
      <c r="BA1494" s="85"/>
      <c r="BB1494" s="85"/>
      <c r="BC1494" s="85"/>
      <c r="BD1494" s="85"/>
      <c r="BE1494" s="85"/>
      <c r="BF1494" s="85"/>
      <c r="BG1494" s="85"/>
      <c r="BH1494" s="85"/>
      <c r="BI1494" s="85"/>
      <c r="BJ1494" s="85"/>
      <c r="BK1494" s="85"/>
      <c r="BL1494" s="85"/>
      <c r="BM1494" s="85"/>
      <c r="BN1494" s="85"/>
      <c r="BO1494" s="85"/>
      <c r="BP1494" s="85"/>
      <c r="BQ1494" s="85"/>
      <c r="BR1494" s="85"/>
      <c r="BS1494" s="85"/>
      <c r="BT1494" s="85"/>
      <c r="BU1494" s="85"/>
      <c r="BV1494" s="85"/>
      <c r="BW1494" s="85"/>
      <c r="BX1494" s="85"/>
      <c r="BY1494" s="85"/>
      <c r="BZ1494" s="85"/>
      <c r="CA1494" s="85"/>
      <c r="CB1494" s="85"/>
      <c r="CC1494" s="85"/>
      <c r="CD1494" s="85"/>
      <c r="CE1494" s="85"/>
      <c r="CF1494" s="85"/>
      <c r="CG1494" s="85"/>
      <c r="CH1494" s="85"/>
      <c r="CI1494" s="85"/>
      <c r="CJ1494" s="85"/>
    </row>
    <row r="1495" ht="12.75" customHeight="1">
      <c r="A1495" s="80"/>
      <c r="B1495" s="80"/>
      <c r="C1495" s="80"/>
      <c r="D1495" s="80"/>
      <c r="E1495" s="80"/>
      <c r="F1495" s="80"/>
      <c r="G1495" s="80"/>
      <c r="H1495" s="80"/>
      <c r="I1495" s="80"/>
      <c r="J1495" s="80"/>
      <c r="K1495" s="80"/>
      <c r="L1495" s="80"/>
      <c r="M1495" s="80"/>
      <c r="N1495" s="80"/>
      <c r="O1495" s="80"/>
      <c r="P1495" s="80"/>
      <c r="Q1495" s="80"/>
      <c r="R1495" s="80"/>
      <c r="S1495" s="80"/>
      <c r="T1495" s="80"/>
      <c r="U1495" s="80"/>
      <c r="V1495" s="80"/>
      <c r="W1495" s="80"/>
      <c r="X1495" s="80"/>
      <c r="Y1495" s="80"/>
      <c r="Z1495" s="80"/>
      <c r="AA1495" s="80"/>
      <c r="AB1495" s="80"/>
      <c r="AC1495" s="80"/>
      <c r="AD1495" s="80"/>
      <c r="AE1495" s="80"/>
      <c r="AF1495" s="80"/>
      <c r="AG1495" s="80"/>
      <c r="AH1495" s="80"/>
      <c r="AI1495" s="80"/>
      <c r="AJ1495" s="80"/>
      <c r="AK1495" s="80"/>
      <c r="AL1495" s="80"/>
      <c r="AM1495" s="80"/>
      <c r="AN1495" s="80"/>
      <c r="AO1495" s="80"/>
      <c r="AP1495" s="80"/>
      <c r="AQ1495" s="83"/>
      <c r="AR1495" s="80"/>
      <c r="AS1495" s="80"/>
      <c r="AT1495" s="80"/>
      <c r="AU1495" s="80"/>
      <c r="AV1495" s="80"/>
      <c r="AW1495" s="80"/>
      <c r="AX1495" s="80"/>
      <c r="AY1495" s="80"/>
      <c r="AZ1495" s="80"/>
      <c r="BA1495" s="80"/>
      <c r="BB1495" s="80"/>
      <c r="BC1495" s="80"/>
      <c r="BD1495" s="80"/>
      <c r="BE1495" s="80"/>
      <c r="BF1495" s="80"/>
      <c r="BG1495" s="80"/>
      <c r="BH1495" s="80"/>
      <c r="BI1495" s="80"/>
      <c r="BJ1495" s="80"/>
      <c r="BK1495" s="80"/>
      <c r="BL1495" s="80"/>
      <c r="BM1495" s="80"/>
      <c r="BN1495" s="80"/>
      <c r="BO1495" s="80"/>
      <c r="BP1495" s="80"/>
      <c r="BQ1495" s="80"/>
      <c r="BR1495" s="80"/>
      <c r="BS1495" s="80"/>
      <c r="BT1495" s="80"/>
      <c r="BU1495" s="80"/>
      <c r="BV1495" s="80"/>
      <c r="BW1495" s="80"/>
      <c r="BX1495" s="80"/>
      <c r="BY1495" s="80"/>
      <c r="BZ1495" s="80"/>
      <c r="CA1495" s="80"/>
      <c r="CB1495" s="80"/>
      <c r="CC1495" s="80"/>
      <c r="CD1495" s="80"/>
      <c r="CE1495" s="80"/>
      <c r="CF1495" s="80"/>
      <c r="CG1495" s="80"/>
      <c r="CH1495" s="80"/>
      <c r="CI1495" s="80"/>
      <c r="CJ1495" s="80"/>
    </row>
    <row r="1496" ht="12.75" customHeight="1">
      <c r="A1496" s="85"/>
      <c r="B1496" s="85"/>
      <c r="C1496" s="85"/>
      <c r="D1496" s="85"/>
      <c r="E1496" s="85"/>
      <c r="F1496" s="85"/>
      <c r="G1496" s="85"/>
      <c r="H1496" s="85"/>
      <c r="I1496" s="85"/>
      <c r="J1496" s="85"/>
      <c r="K1496" s="85"/>
      <c r="L1496" s="85"/>
      <c r="M1496" s="85"/>
      <c r="N1496" s="85"/>
      <c r="O1496" s="85"/>
      <c r="P1496" s="85"/>
      <c r="Q1496" s="85"/>
      <c r="R1496" s="85"/>
      <c r="S1496" s="85"/>
      <c r="T1496" s="85"/>
      <c r="U1496" s="85"/>
      <c r="V1496" s="85"/>
      <c r="W1496" s="85"/>
      <c r="X1496" s="85"/>
      <c r="Y1496" s="85"/>
      <c r="Z1496" s="85"/>
      <c r="AA1496" s="85"/>
      <c r="AB1496" s="85"/>
      <c r="AC1496" s="85"/>
      <c r="AD1496" s="85"/>
      <c r="AE1496" s="85"/>
      <c r="AF1496" s="85"/>
      <c r="AG1496" s="85"/>
      <c r="AH1496" s="85"/>
      <c r="AI1496" s="85"/>
      <c r="AJ1496" s="85"/>
      <c r="AK1496" s="85"/>
      <c r="AL1496" s="85"/>
      <c r="AM1496" s="85"/>
      <c r="AN1496" s="85"/>
      <c r="AO1496" s="85"/>
      <c r="AP1496" s="85"/>
      <c r="AQ1496" s="93"/>
      <c r="AR1496" s="85"/>
      <c r="AS1496" s="85"/>
      <c r="AT1496" s="85"/>
      <c r="AU1496" s="85"/>
      <c r="AV1496" s="85"/>
      <c r="AW1496" s="85"/>
      <c r="AX1496" s="85"/>
      <c r="AY1496" s="85"/>
      <c r="AZ1496" s="85"/>
      <c r="BA1496" s="85"/>
      <c r="BB1496" s="85"/>
      <c r="BC1496" s="85"/>
      <c r="BD1496" s="85"/>
      <c r="BE1496" s="85"/>
      <c r="BF1496" s="85"/>
      <c r="BG1496" s="85"/>
      <c r="BH1496" s="85"/>
      <c r="BI1496" s="85"/>
      <c r="BJ1496" s="85"/>
      <c r="BK1496" s="85"/>
      <c r="BL1496" s="85"/>
      <c r="BM1496" s="85"/>
      <c r="BN1496" s="85"/>
      <c r="BO1496" s="85"/>
      <c r="BP1496" s="85"/>
      <c r="BQ1496" s="85"/>
      <c r="BR1496" s="85"/>
      <c r="BS1496" s="85"/>
      <c r="BT1496" s="85"/>
      <c r="BU1496" s="85"/>
      <c r="BV1496" s="85"/>
      <c r="BW1496" s="85"/>
      <c r="BX1496" s="85"/>
      <c r="BY1496" s="85"/>
      <c r="BZ1496" s="85"/>
      <c r="CA1496" s="85"/>
      <c r="CB1496" s="85"/>
      <c r="CC1496" s="85"/>
      <c r="CD1496" s="85"/>
      <c r="CE1496" s="85"/>
      <c r="CF1496" s="85"/>
      <c r="CG1496" s="85"/>
      <c r="CH1496" s="85"/>
      <c r="CI1496" s="85"/>
      <c r="CJ1496" s="85"/>
    </row>
    <row r="1497" ht="12.75" customHeight="1">
      <c r="A1497" s="80"/>
      <c r="B1497" s="80"/>
      <c r="C1497" s="80"/>
      <c r="D1497" s="80"/>
      <c r="E1497" s="80"/>
      <c r="F1497" s="80"/>
      <c r="G1497" s="80"/>
      <c r="H1497" s="80"/>
      <c r="I1497" s="80"/>
      <c r="J1497" s="80"/>
      <c r="K1497" s="80"/>
      <c r="L1497" s="80"/>
      <c r="M1497" s="80"/>
      <c r="N1497" s="80"/>
      <c r="O1497" s="80"/>
      <c r="P1497" s="80"/>
      <c r="Q1497" s="80"/>
      <c r="R1497" s="80"/>
      <c r="S1497" s="80"/>
      <c r="T1497" s="80"/>
      <c r="U1497" s="80"/>
      <c r="V1497" s="80"/>
      <c r="W1497" s="80"/>
      <c r="X1497" s="80"/>
      <c r="Y1497" s="80"/>
      <c r="Z1497" s="80"/>
      <c r="AA1497" s="80"/>
      <c r="AB1497" s="80"/>
      <c r="AC1497" s="80"/>
      <c r="AD1497" s="80"/>
      <c r="AE1497" s="80"/>
      <c r="AF1497" s="80"/>
      <c r="AG1497" s="80"/>
      <c r="AH1497" s="80"/>
      <c r="AI1497" s="80"/>
      <c r="AJ1497" s="80"/>
      <c r="AK1497" s="80"/>
      <c r="AL1497" s="80"/>
      <c r="AM1497" s="80"/>
      <c r="AN1497" s="80"/>
      <c r="AO1497" s="80"/>
      <c r="AP1497" s="80"/>
      <c r="AQ1497" s="83"/>
      <c r="AR1497" s="80"/>
      <c r="AS1497" s="80"/>
      <c r="AT1497" s="80"/>
      <c r="AU1497" s="80"/>
      <c r="AV1497" s="80"/>
      <c r="AW1497" s="80"/>
      <c r="AX1497" s="80"/>
      <c r="AY1497" s="80"/>
      <c r="AZ1497" s="80"/>
      <c r="BA1497" s="80"/>
      <c r="BB1497" s="80"/>
      <c r="BC1497" s="80"/>
      <c r="BD1497" s="80"/>
      <c r="BE1497" s="80"/>
      <c r="BF1497" s="80"/>
      <c r="BG1497" s="80"/>
      <c r="BH1497" s="80"/>
      <c r="BI1497" s="80"/>
      <c r="BJ1497" s="80"/>
      <c r="BK1497" s="80"/>
      <c r="BL1497" s="80"/>
      <c r="BM1497" s="80"/>
      <c r="BN1497" s="80"/>
      <c r="BO1497" s="80"/>
      <c r="BP1497" s="80"/>
      <c r="BQ1497" s="80"/>
      <c r="BR1497" s="80"/>
      <c r="BS1497" s="80"/>
      <c r="BT1497" s="80"/>
      <c r="BU1497" s="80"/>
      <c r="BV1497" s="80"/>
      <c r="BW1497" s="80"/>
      <c r="BX1497" s="80"/>
      <c r="BY1497" s="80"/>
      <c r="BZ1497" s="80"/>
      <c r="CA1497" s="80"/>
      <c r="CB1497" s="80"/>
      <c r="CC1497" s="80"/>
      <c r="CD1497" s="80"/>
      <c r="CE1497" s="80"/>
      <c r="CF1497" s="80"/>
      <c r="CG1497" s="80"/>
      <c r="CH1497" s="80"/>
      <c r="CI1497" s="80"/>
      <c r="CJ1497" s="80"/>
    </row>
    <row r="1498" ht="12.75" customHeight="1">
      <c r="A1498" s="85"/>
      <c r="B1498" s="85"/>
      <c r="C1498" s="85"/>
      <c r="D1498" s="85"/>
      <c r="E1498" s="85"/>
      <c r="F1498" s="85"/>
      <c r="G1498" s="85"/>
      <c r="H1498" s="85"/>
      <c r="I1498" s="85"/>
      <c r="J1498" s="85"/>
      <c r="K1498" s="85"/>
      <c r="L1498" s="85"/>
      <c r="M1498" s="85"/>
      <c r="N1498" s="85"/>
      <c r="O1498" s="85"/>
      <c r="P1498" s="85"/>
      <c r="Q1498" s="85"/>
      <c r="R1498" s="85"/>
      <c r="S1498" s="85"/>
      <c r="T1498" s="85"/>
      <c r="U1498" s="85"/>
      <c r="V1498" s="85"/>
      <c r="W1498" s="85"/>
      <c r="X1498" s="85"/>
      <c r="Y1498" s="85"/>
      <c r="Z1498" s="85"/>
      <c r="AA1498" s="85"/>
      <c r="AB1498" s="85"/>
      <c r="AC1498" s="85"/>
      <c r="AD1498" s="85"/>
      <c r="AE1498" s="85"/>
      <c r="AF1498" s="85"/>
      <c r="AG1498" s="85"/>
      <c r="AH1498" s="85"/>
      <c r="AI1498" s="85"/>
      <c r="AJ1498" s="85"/>
      <c r="AK1498" s="85"/>
      <c r="AL1498" s="85"/>
      <c r="AM1498" s="85"/>
      <c r="AN1498" s="85"/>
      <c r="AO1498" s="85"/>
      <c r="AP1498" s="85"/>
      <c r="AQ1498" s="93"/>
      <c r="AR1498" s="85"/>
      <c r="AS1498" s="85"/>
      <c r="AT1498" s="85"/>
      <c r="AU1498" s="85"/>
      <c r="AV1498" s="85"/>
      <c r="AW1498" s="85"/>
      <c r="AX1498" s="85"/>
      <c r="AY1498" s="85"/>
      <c r="AZ1498" s="85"/>
      <c r="BA1498" s="85"/>
      <c r="BB1498" s="85"/>
      <c r="BC1498" s="85"/>
      <c r="BD1498" s="85"/>
      <c r="BE1498" s="85"/>
      <c r="BF1498" s="85"/>
      <c r="BG1498" s="85"/>
      <c r="BH1498" s="85"/>
      <c r="BI1498" s="85"/>
      <c r="BJ1498" s="85"/>
      <c r="BK1498" s="85"/>
      <c r="BL1498" s="85"/>
      <c r="BM1498" s="85"/>
      <c r="BN1498" s="85"/>
      <c r="BO1498" s="85"/>
      <c r="BP1498" s="85"/>
      <c r="BQ1498" s="85"/>
      <c r="BR1498" s="85"/>
      <c r="BS1498" s="85"/>
      <c r="BT1498" s="85"/>
      <c r="BU1498" s="85"/>
      <c r="BV1498" s="85"/>
      <c r="BW1498" s="85"/>
      <c r="BX1498" s="85"/>
      <c r="BY1498" s="85"/>
      <c r="BZ1498" s="85"/>
      <c r="CA1498" s="85"/>
      <c r="CB1498" s="85"/>
      <c r="CC1498" s="85"/>
      <c r="CD1498" s="85"/>
      <c r="CE1498" s="85"/>
      <c r="CF1498" s="85"/>
      <c r="CG1498" s="85"/>
      <c r="CH1498" s="85"/>
      <c r="CI1498" s="85"/>
      <c r="CJ1498" s="85"/>
    </row>
    <row r="1499" ht="12.75" customHeight="1">
      <c r="A1499" s="80"/>
      <c r="B1499" s="80"/>
      <c r="C1499" s="80"/>
      <c r="D1499" s="80"/>
      <c r="E1499" s="80"/>
      <c r="F1499" s="80"/>
      <c r="G1499" s="80"/>
      <c r="H1499" s="80"/>
      <c r="I1499" s="80"/>
      <c r="J1499" s="80"/>
      <c r="K1499" s="80"/>
      <c r="L1499" s="80"/>
      <c r="M1499" s="80"/>
      <c r="N1499" s="80"/>
      <c r="O1499" s="80"/>
      <c r="P1499" s="80"/>
      <c r="Q1499" s="80"/>
      <c r="R1499" s="80"/>
      <c r="S1499" s="80"/>
      <c r="T1499" s="80"/>
      <c r="U1499" s="80"/>
      <c r="V1499" s="80"/>
      <c r="W1499" s="80"/>
      <c r="X1499" s="80"/>
      <c r="Y1499" s="80"/>
      <c r="Z1499" s="80"/>
      <c r="AA1499" s="80"/>
      <c r="AB1499" s="80"/>
      <c r="AC1499" s="80"/>
      <c r="AD1499" s="80"/>
      <c r="AE1499" s="80"/>
      <c r="AF1499" s="80"/>
      <c r="AG1499" s="80"/>
      <c r="AH1499" s="80"/>
      <c r="AI1499" s="80"/>
      <c r="AJ1499" s="80"/>
      <c r="AK1499" s="80"/>
      <c r="AL1499" s="80"/>
      <c r="AM1499" s="80"/>
      <c r="AN1499" s="80"/>
      <c r="AO1499" s="80"/>
      <c r="AP1499" s="80"/>
      <c r="AQ1499" s="83"/>
      <c r="AR1499" s="80"/>
      <c r="AS1499" s="80"/>
      <c r="AT1499" s="80"/>
      <c r="AU1499" s="80"/>
      <c r="AV1499" s="80"/>
      <c r="AW1499" s="80"/>
      <c r="AX1499" s="80"/>
      <c r="AY1499" s="80"/>
      <c r="AZ1499" s="80"/>
      <c r="BA1499" s="80"/>
      <c r="BB1499" s="80"/>
      <c r="BC1499" s="80"/>
      <c r="BD1499" s="80"/>
      <c r="BE1499" s="80"/>
      <c r="BF1499" s="80"/>
      <c r="BG1499" s="80"/>
      <c r="BH1499" s="80"/>
      <c r="BI1499" s="80"/>
      <c r="BJ1499" s="80"/>
      <c r="BK1499" s="80"/>
      <c r="BL1499" s="80"/>
      <c r="BM1499" s="80"/>
      <c r="BN1499" s="80"/>
      <c r="BO1499" s="80"/>
      <c r="BP1499" s="80"/>
      <c r="BQ1499" s="80"/>
      <c r="BR1499" s="80"/>
      <c r="BS1499" s="80"/>
      <c r="BT1499" s="80"/>
      <c r="BU1499" s="80"/>
      <c r="BV1499" s="80"/>
      <c r="BW1499" s="80"/>
      <c r="BX1499" s="80"/>
      <c r="BY1499" s="80"/>
      <c r="BZ1499" s="80"/>
      <c r="CA1499" s="80"/>
      <c r="CB1499" s="80"/>
      <c r="CC1499" s="80"/>
      <c r="CD1499" s="80"/>
      <c r="CE1499" s="80"/>
      <c r="CF1499" s="80"/>
      <c r="CG1499" s="80"/>
      <c r="CH1499" s="80"/>
      <c r="CI1499" s="80"/>
      <c r="CJ1499" s="80"/>
    </row>
    <row r="1500" ht="12.75" customHeight="1">
      <c r="A1500" s="85"/>
      <c r="B1500" s="85"/>
      <c r="C1500" s="85"/>
      <c r="D1500" s="85"/>
      <c r="E1500" s="85"/>
      <c r="F1500" s="85"/>
      <c r="G1500" s="85"/>
      <c r="H1500" s="85"/>
      <c r="I1500" s="85"/>
      <c r="J1500" s="85"/>
      <c r="K1500" s="85"/>
      <c r="L1500" s="85"/>
      <c r="M1500" s="85"/>
      <c r="N1500" s="85"/>
      <c r="O1500" s="85"/>
      <c r="P1500" s="85"/>
      <c r="Q1500" s="85"/>
      <c r="R1500" s="85"/>
      <c r="S1500" s="85"/>
      <c r="T1500" s="85"/>
      <c r="U1500" s="85"/>
      <c r="V1500" s="85"/>
      <c r="W1500" s="85"/>
      <c r="X1500" s="85"/>
      <c r="Y1500" s="85"/>
      <c r="Z1500" s="85"/>
      <c r="AA1500" s="85"/>
      <c r="AB1500" s="85"/>
      <c r="AC1500" s="85"/>
      <c r="AD1500" s="85"/>
      <c r="AE1500" s="85"/>
      <c r="AF1500" s="85"/>
      <c r="AG1500" s="85"/>
      <c r="AH1500" s="85"/>
      <c r="AI1500" s="85"/>
      <c r="AJ1500" s="85"/>
      <c r="AK1500" s="85"/>
      <c r="AL1500" s="85"/>
      <c r="AM1500" s="85"/>
      <c r="AN1500" s="85"/>
      <c r="AO1500" s="85"/>
      <c r="AP1500" s="85"/>
      <c r="AQ1500" s="93"/>
      <c r="AR1500" s="85"/>
      <c r="AS1500" s="85"/>
      <c r="AT1500" s="85"/>
      <c r="AU1500" s="85"/>
      <c r="AV1500" s="85"/>
      <c r="AW1500" s="85"/>
      <c r="AX1500" s="85"/>
      <c r="AY1500" s="85"/>
      <c r="AZ1500" s="85"/>
      <c r="BA1500" s="85"/>
      <c r="BB1500" s="85"/>
      <c r="BC1500" s="85"/>
      <c r="BD1500" s="85"/>
      <c r="BE1500" s="85"/>
      <c r="BF1500" s="85"/>
      <c r="BG1500" s="85"/>
      <c r="BH1500" s="85"/>
      <c r="BI1500" s="85"/>
      <c r="BJ1500" s="85"/>
      <c r="BK1500" s="85"/>
      <c r="BL1500" s="85"/>
      <c r="BM1500" s="85"/>
      <c r="BN1500" s="85"/>
      <c r="BO1500" s="85"/>
      <c r="BP1500" s="85"/>
      <c r="BQ1500" s="85"/>
      <c r="BR1500" s="85"/>
      <c r="BS1500" s="85"/>
      <c r="BT1500" s="85"/>
      <c r="BU1500" s="85"/>
      <c r="BV1500" s="85"/>
      <c r="BW1500" s="85"/>
      <c r="BX1500" s="85"/>
      <c r="BY1500" s="85"/>
      <c r="BZ1500" s="85"/>
      <c r="CA1500" s="85"/>
      <c r="CB1500" s="85"/>
      <c r="CC1500" s="85"/>
      <c r="CD1500" s="85"/>
      <c r="CE1500" s="85"/>
      <c r="CF1500" s="85"/>
      <c r="CG1500" s="85"/>
      <c r="CH1500" s="85"/>
      <c r="CI1500" s="85"/>
      <c r="CJ1500" s="85"/>
    </row>
    <row r="1501" ht="12.75" customHeight="1">
      <c r="A1501" s="80"/>
      <c r="B1501" s="80"/>
      <c r="C1501" s="80"/>
      <c r="D1501" s="80"/>
      <c r="E1501" s="80"/>
      <c r="F1501" s="80"/>
      <c r="G1501" s="80"/>
      <c r="H1501" s="80"/>
      <c r="I1501" s="80"/>
      <c r="J1501" s="80"/>
      <c r="K1501" s="80"/>
      <c r="L1501" s="80"/>
      <c r="M1501" s="80"/>
      <c r="N1501" s="80"/>
      <c r="O1501" s="80"/>
      <c r="P1501" s="80"/>
      <c r="Q1501" s="80"/>
      <c r="R1501" s="80"/>
      <c r="S1501" s="80"/>
      <c r="T1501" s="80"/>
      <c r="U1501" s="80"/>
      <c r="V1501" s="80"/>
      <c r="W1501" s="80"/>
      <c r="X1501" s="80"/>
      <c r="Y1501" s="80"/>
      <c r="Z1501" s="80"/>
      <c r="AA1501" s="80"/>
      <c r="AB1501" s="80"/>
      <c r="AC1501" s="80"/>
      <c r="AD1501" s="80"/>
      <c r="AE1501" s="80"/>
      <c r="AF1501" s="80"/>
      <c r="AG1501" s="80"/>
      <c r="AH1501" s="80"/>
      <c r="AI1501" s="80"/>
      <c r="AJ1501" s="80"/>
      <c r="AK1501" s="80"/>
      <c r="AL1501" s="80"/>
      <c r="AM1501" s="80"/>
      <c r="AN1501" s="80"/>
      <c r="AO1501" s="80"/>
      <c r="AP1501" s="80"/>
      <c r="AQ1501" s="83"/>
      <c r="AR1501" s="80"/>
      <c r="AS1501" s="80"/>
      <c r="AT1501" s="80"/>
      <c r="AU1501" s="80"/>
      <c r="AV1501" s="80"/>
      <c r="AW1501" s="80"/>
      <c r="AX1501" s="80"/>
      <c r="AY1501" s="80"/>
      <c r="AZ1501" s="80"/>
      <c r="BA1501" s="80"/>
      <c r="BB1501" s="80"/>
      <c r="BC1501" s="80"/>
      <c r="BD1501" s="80"/>
      <c r="BE1501" s="80"/>
      <c r="BF1501" s="80"/>
      <c r="BG1501" s="80"/>
      <c r="BH1501" s="80"/>
      <c r="BI1501" s="80"/>
      <c r="BJ1501" s="80"/>
      <c r="BK1501" s="80"/>
      <c r="BL1501" s="80"/>
      <c r="BM1501" s="80"/>
      <c r="BN1501" s="80"/>
      <c r="BO1501" s="80"/>
      <c r="BP1501" s="80"/>
      <c r="BQ1501" s="80"/>
      <c r="BR1501" s="80"/>
      <c r="BS1501" s="80"/>
      <c r="BT1501" s="80"/>
      <c r="BU1501" s="80"/>
      <c r="BV1501" s="80"/>
      <c r="BW1501" s="80"/>
      <c r="BX1501" s="80"/>
      <c r="BY1501" s="80"/>
      <c r="BZ1501" s="80"/>
      <c r="CA1501" s="80"/>
      <c r="CB1501" s="80"/>
      <c r="CC1501" s="80"/>
      <c r="CD1501" s="80"/>
      <c r="CE1501" s="80"/>
      <c r="CF1501" s="80"/>
      <c r="CG1501" s="80"/>
      <c r="CH1501" s="80"/>
      <c r="CI1501" s="80"/>
      <c r="CJ1501" s="80"/>
    </row>
    <row r="1502" ht="12.75" customHeight="1">
      <c r="A1502" s="85"/>
      <c r="B1502" s="85"/>
      <c r="C1502" s="85"/>
      <c r="D1502" s="85"/>
      <c r="E1502" s="85"/>
      <c r="F1502" s="85"/>
      <c r="G1502" s="85"/>
      <c r="H1502" s="85"/>
      <c r="I1502" s="85"/>
      <c r="J1502" s="85"/>
      <c r="K1502" s="85"/>
      <c r="L1502" s="85"/>
      <c r="M1502" s="85"/>
      <c r="N1502" s="85"/>
      <c r="O1502" s="85"/>
      <c r="P1502" s="85"/>
      <c r="Q1502" s="85"/>
      <c r="R1502" s="85"/>
      <c r="S1502" s="85"/>
      <c r="T1502" s="85"/>
      <c r="U1502" s="85"/>
      <c r="V1502" s="85"/>
      <c r="W1502" s="85"/>
      <c r="X1502" s="85"/>
      <c r="Y1502" s="85"/>
      <c r="Z1502" s="85"/>
      <c r="AA1502" s="85"/>
      <c r="AB1502" s="85"/>
      <c r="AC1502" s="85"/>
      <c r="AD1502" s="85"/>
      <c r="AE1502" s="85"/>
      <c r="AF1502" s="85"/>
      <c r="AG1502" s="85"/>
      <c r="AH1502" s="85"/>
      <c r="AI1502" s="85"/>
      <c r="AJ1502" s="85"/>
      <c r="AK1502" s="85"/>
      <c r="AL1502" s="85"/>
      <c r="AM1502" s="85"/>
      <c r="AN1502" s="85"/>
      <c r="AO1502" s="85"/>
      <c r="AP1502" s="85"/>
      <c r="AQ1502" s="93"/>
      <c r="AR1502" s="85"/>
      <c r="AS1502" s="85"/>
      <c r="AT1502" s="85"/>
      <c r="AU1502" s="85"/>
      <c r="AV1502" s="85"/>
      <c r="AW1502" s="85"/>
      <c r="AX1502" s="85"/>
      <c r="AY1502" s="85"/>
      <c r="AZ1502" s="85"/>
      <c r="BA1502" s="85"/>
      <c r="BB1502" s="85"/>
      <c r="BC1502" s="85"/>
      <c r="BD1502" s="85"/>
      <c r="BE1502" s="85"/>
      <c r="BF1502" s="85"/>
      <c r="BG1502" s="85"/>
      <c r="BH1502" s="85"/>
      <c r="BI1502" s="85"/>
      <c r="BJ1502" s="85"/>
      <c r="BK1502" s="85"/>
      <c r="BL1502" s="85"/>
      <c r="BM1502" s="85"/>
      <c r="BN1502" s="85"/>
      <c r="BO1502" s="85"/>
      <c r="BP1502" s="85"/>
      <c r="BQ1502" s="85"/>
      <c r="BR1502" s="85"/>
      <c r="BS1502" s="85"/>
      <c r="BT1502" s="85"/>
      <c r="BU1502" s="85"/>
      <c r="BV1502" s="85"/>
      <c r="BW1502" s="85"/>
      <c r="BX1502" s="85"/>
      <c r="BY1502" s="85"/>
      <c r="BZ1502" s="85"/>
      <c r="CA1502" s="85"/>
      <c r="CB1502" s="85"/>
      <c r="CC1502" s="85"/>
      <c r="CD1502" s="85"/>
      <c r="CE1502" s="85"/>
      <c r="CF1502" s="85"/>
      <c r="CG1502" s="85"/>
      <c r="CH1502" s="85"/>
      <c r="CI1502" s="85"/>
      <c r="CJ1502" s="85"/>
    </row>
    <row r="1503" ht="12.75" customHeight="1">
      <c r="A1503" s="80"/>
      <c r="B1503" s="80"/>
      <c r="C1503" s="80"/>
      <c r="D1503" s="80"/>
      <c r="E1503" s="80"/>
      <c r="F1503" s="80"/>
      <c r="G1503" s="80"/>
      <c r="H1503" s="80"/>
      <c r="I1503" s="80"/>
      <c r="J1503" s="80"/>
      <c r="K1503" s="80"/>
      <c r="L1503" s="80"/>
      <c r="M1503" s="80"/>
      <c r="N1503" s="80"/>
      <c r="O1503" s="80"/>
      <c r="P1503" s="80"/>
      <c r="Q1503" s="80"/>
      <c r="R1503" s="80"/>
      <c r="S1503" s="80"/>
      <c r="T1503" s="80"/>
      <c r="U1503" s="80"/>
      <c r="V1503" s="80"/>
      <c r="W1503" s="80"/>
      <c r="X1503" s="80"/>
      <c r="Y1503" s="80"/>
      <c r="Z1503" s="80"/>
      <c r="AA1503" s="80"/>
      <c r="AB1503" s="80"/>
      <c r="AC1503" s="80"/>
      <c r="AD1503" s="80"/>
      <c r="AE1503" s="80"/>
      <c r="AF1503" s="80"/>
      <c r="AG1503" s="80"/>
      <c r="AH1503" s="80"/>
      <c r="AI1503" s="80"/>
      <c r="AJ1503" s="80"/>
      <c r="AK1503" s="80"/>
      <c r="AL1503" s="80"/>
      <c r="AM1503" s="80"/>
      <c r="AN1503" s="80"/>
      <c r="AO1503" s="80"/>
      <c r="AP1503" s="80"/>
      <c r="AQ1503" s="83"/>
      <c r="AR1503" s="80"/>
      <c r="AS1503" s="80"/>
      <c r="AT1503" s="80"/>
      <c r="AU1503" s="80"/>
      <c r="AV1503" s="80"/>
      <c r="AW1503" s="80"/>
      <c r="AX1503" s="80"/>
      <c r="AY1503" s="80"/>
      <c r="AZ1503" s="80"/>
      <c r="BA1503" s="80"/>
      <c r="BB1503" s="80"/>
      <c r="BC1503" s="80"/>
      <c r="BD1503" s="80"/>
      <c r="BE1503" s="80"/>
      <c r="BF1503" s="80"/>
      <c r="BG1503" s="80"/>
      <c r="BH1503" s="80"/>
      <c r="BI1503" s="80"/>
      <c r="BJ1503" s="80"/>
      <c r="BK1503" s="80"/>
      <c r="BL1503" s="80"/>
      <c r="BM1503" s="80"/>
      <c r="BN1503" s="80"/>
      <c r="BO1503" s="80"/>
      <c r="BP1503" s="80"/>
      <c r="BQ1503" s="80"/>
      <c r="BR1503" s="80"/>
      <c r="BS1503" s="80"/>
      <c r="BT1503" s="80"/>
      <c r="BU1503" s="80"/>
      <c r="BV1503" s="80"/>
      <c r="BW1503" s="80"/>
      <c r="BX1503" s="80"/>
      <c r="BY1503" s="80"/>
      <c r="BZ1503" s="80"/>
      <c r="CA1503" s="80"/>
      <c r="CB1503" s="80"/>
      <c r="CC1503" s="80"/>
      <c r="CD1503" s="80"/>
      <c r="CE1503" s="80"/>
      <c r="CF1503" s="80"/>
      <c r="CG1503" s="80"/>
      <c r="CH1503" s="80"/>
      <c r="CI1503" s="80"/>
      <c r="CJ1503" s="80"/>
    </row>
    <row r="1504" ht="12.75" customHeight="1">
      <c r="A1504" s="85"/>
      <c r="B1504" s="85"/>
      <c r="C1504" s="85"/>
      <c r="D1504" s="85"/>
      <c r="E1504" s="85"/>
      <c r="F1504" s="85"/>
      <c r="G1504" s="85"/>
      <c r="H1504" s="85"/>
      <c r="I1504" s="85"/>
      <c r="J1504" s="85"/>
      <c r="K1504" s="85"/>
      <c r="L1504" s="85"/>
      <c r="M1504" s="85"/>
      <c r="N1504" s="85"/>
      <c r="O1504" s="85"/>
      <c r="P1504" s="85"/>
      <c r="Q1504" s="85"/>
      <c r="R1504" s="85"/>
      <c r="S1504" s="85"/>
      <c r="T1504" s="85"/>
      <c r="U1504" s="85"/>
      <c r="V1504" s="85"/>
      <c r="W1504" s="85"/>
      <c r="X1504" s="85"/>
      <c r="Y1504" s="85"/>
      <c r="Z1504" s="85"/>
      <c r="AA1504" s="85"/>
      <c r="AB1504" s="85"/>
      <c r="AC1504" s="85"/>
      <c r="AD1504" s="85"/>
      <c r="AE1504" s="85"/>
      <c r="AF1504" s="85"/>
      <c r="AG1504" s="85"/>
      <c r="AH1504" s="85"/>
      <c r="AI1504" s="85"/>
      <c r="AJ1504" s="85"/>
      <c r="AK1504" s="85"/>
      <c r="AL1504" s="85"/>
      <c r="AM1504" s="85"/>
      <c r="AN1504" s="85"/>
      <c r="AO1504" s="85"/>
      <c r="AP1504" s="85"/>
      <c r="AQ1504" s="93"/>
      <c r="AR1504" s="85"/>
      <c r="AS1504" s="85"/>
      <c r="AT1504" s="85"/>
      <c r="AU1504" s="85"/>
      <c r="AV1504" s="85"/>
      <c r="AW1504" s="85"/>
      <c r="AX1504" s="85"/>
      <c r="AY1504" s="85"/>
      <c r="AZ1504" s="85"/>
      <c r="BA1504" s="85"/>
      <c r="BB1504" s="85"/>
      <c r="BC1504" s="85"/>
      <c r="BD1504" s="85"/>
      <c r="BE1504" s="85"/>
      <c r="BF1504" s="85"/>
      <c r="BG1504" s="85"/>
      <c r="BH1504" s="85"/>
      <c r="BI1504" s="85"/>
      <c r="BJ1504" s="85"/>
      <c r="BK1504" s="85"/>
      <c r="BL1504" s="85"/>
      <c r="BM1504" s="85"/>
      <c r="BN1504" s="85"/>
      <c r="BO1504" s="85"/>
      <c r="BP1504" s="85"/>
      <c r="BQ1504" s="85"/>
      <c r="BR1504" s="85"/>
      <c r="BS1504" s="85"/>
      <c r="BT1504" s="85"/>
      <c r="BU1504" s="85"/>
      <c r="BV1504" s="85"/>
      <c r="BW1504" s="85"/>
      <c r="BX1504" s="85"/>
      <c r="BY1504" s="85"/>
      <c r="BZ1504" s="85"/>
      <c r="CA1504" s="85"/>
      <c r="CB1504" s="85"/>
      <c r="CC1504" s="85"/>
      <c r="CD1504" s="85"/>
      <c r="CE1504" s="85"/>
      <c r="CF1504" s="85"/>
      <c r="CG1504" s="85"/>
      <c r="CH1504" s="85"/>
      <c r="CI1504" s="85"/>
      <c r="CJ1504" s="85"/>
    </row>
    <row r="1505" ht="12.75" customHeight="1">
      <c r="A1505" s="80"/>
      <c r="B1505" s="80"/>
      <c r="C1505" s="80"/>
      <c r="D1505" s="80"/>
      <c r="E1505" s="80"/>
      <c r="F1505" s="80"/>
      <c r="G1505" s="80"/>
      <c r="H1505" s="80"/>
      <c r="I1505" s="80"/>
      <c r="J1505" s="80"/>
      <c r="K1505" s="80"/>
      <c r="L1505" s="80"/>
      <c r="M1505" s="80"/>
      <c r="N1505" s="80"/>
      <c r="O1505" s="80"/>
      <c r="P1505" s="80"/>
      <c r="Q1505" s="80"/>
      <c r="R1505" s="80"/>
      <c r="S1505" s="80"/>
      <c r="T1505" s="80"/>
      <c r="U1505" s="80"/>
      <c r="V1505" s="80"/>
      <c r="W1505" s="80"/>
      <c r="X1505" s="80"/>
      <c r="Y1505" s="80"/>
      <c r="Z1505" s="80"/>
      <c r="AA1505" s="80"/>
      <c r="AB1505" s="80"/>
      <c r="AC1505" s="80"/>
      <c r="AD1505" s="80"/>
      <c r="AE1505" s="80"/>
      <c r="AF1505" s="80"/>
      <c r="AG1505" s="80"/>
      <c r="AH1505" s="80"/>
      <c r="AI1505" s="80"/>
      <c r="AJ1505" s="80"/>
      <c r="AK1505" s="80"/>
      <c r="AL1505" s="80"/>
      <c r="AM1505" s="80"/>
      <c r="AN1505" s="80"/>
      <c r="AO1505" s="80"/>
      <c r="AP1505" s="80"/>
      <c r="AQ1505" s="83"/>
      <c r="AR1505" s="80"/>
      <c r="AS1505" s="80"/>
      <c r="AT1505" s="80"/>
      <c r="AU1505" s="80"/>
      <c r="AV1505" s="80"/>
      <c r="AW1505" s="80"/>
      <c r="AX1505" s="80"/>
      <c r="AY1505" s="80"/>
      <c r="AZ1505" s="80"/>
      <c r="BA1505" s="80"/>
      <c r="BB1505" s="80"/>
      <c r="BC1505" s="80"/>
      <c r="BD1505" s="80"/>
      <c r="BE1505" s="80"/>
      <c r="BF1505" s="80"/>
      <c r="BG1505" s="80"/>
      <c r="BH1505" s="80"/>
      <c r="BI1505" s="80"/>
      <c r="BJ1505" s="80"/>
      <c r="BK1505" s="80"/>
      <c r="BL1505" s="80"/>
      <c r="BM1505" s="80"/>
      <c r="BN1505" s="80"/>
      <c r="BO1505" s="80"/>
      <c r="BP1505" s="80"/>
      <c r="BQ1505" s="80"/>
      <c r="BR1505" s="80"/>
      <c r="BS1505" s="80"/>
      <c r="BT1505" s="80"/>
      <c r="BU1505" s="80"/>
      <c r="BV1505" s="80"/>
      <c r="BW1505" s="80"/>
      <c r="BX1505" s="80"/>
      <c r="BY1505" s="80"/>
      <c r="BZ1505" s="80"/>
      <c r="CA1505" s="80"/>
      <c r="CB1505" s="80"/>
      <c r="CC1505" s="80"/>
      <c r="CD1505" s="80"/>
      <c r="CE1505" s="80"/>
      <c r="CF1505" s="80"/>
      <c r="CG1505" s="80"/>
      <c r="CH1505" s="80"/>
      <c r="CI1505" s="80"/>
      <c r="CJ1505" s="80"/>
    </row>
    <row r="1506" ht="12.75" customHeight="1">
      <c r="A1506" s="85"/>
      <c r="B1506" s="85"/>
      <c r="C1506" s="85"/>
      <c r="D1506" s="85"/>
      <c r="E1506" s="85"/>
      <c r="F1506" s="85"/>
      <c r="G1506" s="85"/>
      <c r="H1506" s="85"/>
      <c r="I1506" s="85"/>
      <c r="J1506" s="85"/>
      <c r="K1506" s="85"/>
      <c r="L1506" s="85"/>
      <c r="M1506" s="85"/>
      <c r="N1506" s="85"/>
      <c r="O1506" s="85"/>
      <c r="P1506" s="85"/>
      <c r="Q1506" s="85"/>
      <c r="R1506" s="85"/>
      <c r="S1506" s="85"/>
      <c r="T1506" s="85"/>
      <c r="U1506" s="85"/>
      <c r="V1506" s="85"/>
      <c r="W1506" s="85"/>
      <c r="X1506" s="85"/>
      <c r="Y1506" s="85"/>
      <c r="Z1506" s="85"/>
      <c r="AA1506" s="85"/>
      <c r="AB1506" s="85"/>
      <c r="AC1506" s="85"/>
      <c r="AD1506" s="85"/>
      <c r="AE1506" s="85"/>
      <c r="AF1506" s="85"/>
      <c r="AG1506" s="85"/>
      <c r="AH1506" s="85"/>
      <c r="AI1506" s="85"/>
      <c r="AJ1506" s="85"/>
      <c r="AK1506" s="85"/>
      <c r="AL1506" s="85"/>
      <c r="AM1506" s="85"/>
      <c r="AN1506" s="85"/>
      <c r="AO1506" s="85"/>
      <c r="AP1506" s="85"/>
      <c r="AQ1506" s="93"/>
      <c r="AR1506" s="85"/>
      <c r="AS1506" s="85"/>
      <c r="AT1506" s="85"/>
      <c r="AU1506" s="85"/>
      <c r="AV1506" s="85"/>
      <c r="AW1506" s="85"/>
      <c r="AX1506" s="85"/>
      <c r="AY1506" s="85"/>
      <c r="AZ1506" s="85"/>
      <c r="BA1506" s="85"/>
      <c r="BB1506" s="85"/>
      <c r="BC1506" s="85"/>
      <c r="BD1506" s="85"/>
      <c r="BE1506" s="85"/>
      <c r="BF1506" s="85"/>
      <c r="BG1506" s="85"/>
      <c r="BH1506" s="85"/>
      <c r="BI1506" s="85"/>
      <c r="BJ1506" s="85"/>
      <c r="BK1506" s="85"/>
      <c r="BL1506" s="85"/>
      <c r="BM1506" s="85"/>
      <c r="BN1506" s="85"/>
      <c r="BO1506" s="85"/>
      <c r="BP1506" s="85"/>
      <c r="BQ1506" s="85"/>
      <c r="BR1506" s="85"/>
      <c r="BS1506" s="85"/>
      <c r="BT1506" s="85"/>
      <c r="BU1506" s="85"/>
      <c r="BV1506" s="85"/>
      <c r="BW1506" s="85"/>
      <c r="BX1506" s="85"/>
      <c r="BY1506" s="85"/>
      <c r="BZ1506" s="85"/>
      <c r="CA1506" s="85"/>
      <c r="CB1506" s="85"/>
      <c r="CC1506" s="85"/>
      <c r="CD1506" s="85"/>
      <c r="CE1506" s="85"/>
      <c r="CF1506" s="85"/>
      <c r="CG1506" s="85"/>
      <c r="CH1506" s="85"/>
      <c r="CI1506" s="85"/>
      <c r="CJ1506" s="85"/>
    </row>
    <row r="1507" ht="12.75" customHeight="1">
      <c r="A1507" s="80"/>
      <c r="B1507" s="80"/>
      <c r="C1507" s="80"/>
      <c r="D1507" s="80"/>
      <c r="E1507" s="80"/>
      <c r="F1507" s="80"/>
      <c r="G1507" s="80"/>
      <c r="H1507" s="80"/>
      <c r="I1507" s="80"/>
      <c r="J1507" s="80"/>
      <c r="K1507" s="80"/>
      <c r="L1507" s="80"/>
      <c r="M1507" s="80"/>
      <c r="N1507" s="80"/>
      <c r="O1507" s="80"/>
      <c r="P1507" s="80"/>
      <c r="Q1507" s="80"/>
      <c r="R1507" s="80"/>
      <c r="S1507" s="80"/>
      <c r="T1507" s="80"/>
      <c r="U1507" s="80"/>
      <c r="V1507" s="80"/>
      <c r="W1507" s="80"/>
      <c r="X1507" s="80"/>
      <c r="Y1507" s="80"/>
      <c r="Z1507" s="80"/>
      <c r="AA1507" s="80"/>
      <c r="AB1507" s="80"/>
      <c r="AC1507" s="80"/>
      <c r="AD1507" s="80"/>
      <c r="AE1507" s="80"/>
      <c r="AF1507" s="80"/>
      <c r="AG1507" s="80"/>
      <c r="AH1507" s="80"/>
      <c r="AI1507" s="80"/>
      <c r="AJ1507" s="80"/>
      <c r="AK1507" s="80"/>
      <c r="AL1507" s="80"/>
      <c r="AM1507" s="80"/>
      <c r="AN1507" s="80"/>
      <c r="AO1507" s="80"/>
      <c r="AP1507" s="80"/>
      <c r="AQ1507" s="83"/>
      <c r="AR1507" s="80"/>
      <c r="AS1507" s="80"/>
      <c r="AT1507" s="80"/>
      <c r="AU1507" s="80"/>
      <c r="AV1507" s="80"/>
      <c r="AW1507" s="80"/>
      <c r="AX1507" s="80"/>
      <c r="AY1507" s="80"/>
      <c r="AZ1507" s="80"/>
      <c r="BA1507" s="80"/>
      <c r="BB1507" s="80"/>
      <c r="BC1507" s="80"/>
      <c r="BD1507" s="80"/>
      <c r="BE1507" s="80"/>
      <c r="BF1507" s="80"/>
      <c r="BG1507" s="80"/>
      <c r="BH1507" s="80"/>
      <c r="BI1507" s="80"/>
      <c r="BJ1507" s="80"/>
      <c r="BK1507" s="80"/>
      <c r="BL1507" s="80"/>
      <c r="BM1507" s="80"/>
      <c r="BN1507" s="80"/>
      <c r="BO1507" s="80"/>
      <c r="BP1507" s="80"/>
      <c r="BQ1507" s="80"/>
      <c r="BR1507" s="80"/>
      <c r="BS1507" s="80"/>
      <c r="BT1507" s="80"/>
      <c r="BU1507" s="80"/>
      <c r="BV1507" s="80"/>
      <c r="BW1507" s="80"/>
      <c r="BX1507" s="80"/>
      <c r="BY1507" s="80"/>
      <c r="BZ1507" s="80"/>
      <c r="CA1507" s="80"/>
      <c r="CB1507" s="80"/>
      <c r="CC1507" s="80"/>
      <c r="CD1507" s="80"/>
      <c r="CE1507" s="80"/>
      <c r="CF1507" s="80"/>
      <c r="CG1507" s="80"/>
      <c r="CH1507" s="80"/>
      <c r="CI1507" s="80"/>
      <c r="CJ1507" s="80"/>
    </row>
    <row r="1508" ht="12.75" customHeight="1">
      <c r="A1508" s="85"/>
      <c r="B1508" s="85"/>
      <c r="C1508" s="85"/>
      <c r="D1508" s="85"/>
      <c r="E1508" s="85"/>
      <c r="F1508" s="85"/>
      <c r="G1508" s="85"/>
      <c r="H1508" s="85"/>
      <c r="I1508" s="85"/>
      <c r="J1508" s="85"/>
      <c r="K1508" s="85"/>
      <c r="L1508" s="85"/>
      <c r="M1508" s="85"/>
      <c r="N1508" s="85"/>
      <c r="O1508" s="85"/>
      <c r="P1508" s="85"/>
      <c r="Q1508" s="85"/>
      <c r="R1508" s="85"/>
      <c r="S1508" s="85"/>
      <c r="T1508" s="85"/>
      <c r="U1508" s="85"/>
      <c r="V1508" s="85"/>
      <c r="W1508" s="85"/>
      <c r="X1508" s="85"/>
      <c r="Y1508" s="85"/>
      <c r="Z1508" s="85"/>
      <c r="AA1508" s="85"/>
      <c r="AB1508" s="85"/>
      <c r="AC1508" s="85"/>
      <c r="AD1508" s="85"/>
      <c r="AE1508" s="85"/>
      <c r="AF1508" s="85"/>
      <c r="AG1508" s="85"/>
      <c r="AH1508" s="85"/>
      <c r="AI1508" s="85"/>
      <c r="AJ1508" s="85"/>
      <c r="AK1508" s="85"/>
      <c r="AL1508" s="85"/>
      <c r="AM1508" s="85"/>
      <c r="AN1508" s="85"/>
      <c r="AO1508" s="85"/>
      <c r="AP1508" s="85"/>
      <c r="AQ1508" s="93"/>
      <c r="AR1508" s="85"/>
      <c r="AS1508" s="85"/>
      <c r="AT1508" s="85"/>
      <c r="AU1508" s="85"/>
      <c r="AV1508" s="85"/>
      <c r="AW1508" s="85"/>
      <c r="AX1508" s="85"/>
      <c r="AY1508" s="85"/>
      <c r="AZ1508" s="85"/>
      <c r="BA1508" s="85"/>
      <c r="BB1508" s="85"/>
      <c r="BC1508" s="85"/>
      <c r="BD1508" s="85"/>
      <c r="BE1508" s="85"/>
      <c r="BF1508" s="85"/>
      <c r="BG1508" s="85"/>
      <c r="BH1508" s="85"/>
      <c r="BI1508" s="85"/>
      <c r="BJ1508" s="85"/>
      <c r="BK1508" s="85"/>
      <c r="BL1508" s="85"/>
      <c r="BM1508" s="85"/>
      <c r="BN1508" s="85"/>
      <c r="BO1508" s="85"/>
      <c r="BP1508" s="85"/>
      <c r="BQ1508" s="85"/>
      <c r="BR1508" s="85"/>
      <c r="BS1508" s="85"/>
      <c r="BT1508" s="85"/>
      <c r="BU1508" s="85"/>
      <c r="BV1508" s="85"/>
      <c r="BW1508" s="85"/>
      <c r="BX1508" s="85"/>
      <c r="BY1508" s="85"/>
      <c r="BZ1508" s="85"/>
      <c r="CA1508" s="85"/>
      <c r="CB1508" s="85"/>
      <c r="CC1508" s="85"/>
      <c r="CD1508" s="85"/>
      <c r="CE1508" s="85"/>
      <c r="CF1508" s="85"/>
      <c r="CG1508" s="85"/>
      <c r="CH1508" s="85"/>
      <c r="CI1508" s="85"/>
      <c r="CJ1508" s="85"/>
    </row>
    <row r="1509" ht="12.75" customHeight="1">
      <c r="A1509" s="80"/>
      <c r="B1509" s="80"/>
      <c r="C1509" s="80"/>
      <c r="D1509" s="80"/>
      <c r="E1509" s="80"/>
      <c r="F1509" s="80"/>
      <c r="G1509" s="80"/>
      <c r="H1509" s="80"/>
      <c r="I1509" s="80"/>
      <c r="J1509" s="80"/>
      <c r="K1509" s="80"/>
      <c r="L1509" s="80"/>
      <c r="M1509" s="80"/>
      <c r="N1509" s="80"/>
      <c r="O1509" s="80"/>
      <c r="P1509" s="80"/>
      <c r="Q1509" s="80"/>
      <c r="R1509" s="80"/>
      <c r="S1509" s="80"/>
      <c r="T1509" s="80"/>
      <c r="U1509" s="80"/>
      <c r="V1509" s="80"/>
      <c r="W1509" s="80"/>
      <c r="X1509" s="80"/>
      <c r="Y1509" s="80"/>
      <c r="Z1509" s="80"/>
      <c r="AA1509" s="80"/>
      <c r="AB1509" s="80"/>
      <c r="AC1509" s="80"/>
      <c r="AD1509" s="80"/>
      <c r="AE1509" s="80"/>
      <c r="AF1509" s="80"/>
      <c r="AG1509" s="80"/>
      <c r="AH1509" s="80"/>
      <c r="AI1509" s="80"/>
      <c r="AJ1509" s="80"/>
      <c r="AK1509" s="80"/>
      <c r="AL1509" s="80"/>
      <c r="AM1509" s="80"/>
      <c r="AN1509" s="80"/>
      <c r="AO1509" s="80"/>
      <c r="AP1509" s="80"/>
      <c r="AQ1509" s="83"/>
      <c r="AR1509" s="80"/>
      <c r="AS1509" s="80"/>
      <c r="AT1509" s="80"/>
      <c r="AU1509" s="80"/>
      <c r="AV1509" s="80"/>
      <c r="AW1509" s="80"/>
      <c r="AX1509" s="80"/>
      <c r="AY1509" s="80"/>
      <c r="AZ1509" s="80"/>
      <c r="BA1509" s="80"/>
      <c r="BB1509" s="80"/>
      <c r="BC1509" s="80"/>
      <c r="BD1509" s="80"/>
      <c r="BE1509" s="80"/>
      <c r="BF1509" s="80"/>
      <c r="BG1509" s="80"/>
      <c r="BH1509" s="80"/>
      <c r="BI1509" s="80"/>
      <c r="BJ1509" s="80"/>
      <c r="BK1509" s="80"/>
      <c r="BL1509" s="80"/>
      <c r="BM1509" s="80"/>
      <c r="BN1509" s="80"/>
      <c r="BO1509" s="80"/>
      <c r="BP1509" s="80"/>
      <c r="BQ1509" s="80"/>
      <c r="BR1509" s="80"/>
      <c r="BS1509" s="80"/>
      <c r="BT1509" s="80"/>
      <c r="BU1509" s="80"/>
      <c r="BV1509" s="80"/>
      <c r="BW1509" s="80"/>
      <c r="BX1509" s="80"/>
      <c r="BY1509" s="80"/>
      <c r="BZ1509" s="80"/>
      <c r="CA1509" s="80"/>
      <c r="CB1509" s="80"/>
      <c r="CC1509" s="80"/>
      <c r="CD1509" s="80"/>
      <c r="CE1509" s="80"/>
      <c r="CF1509" s="80"/>
      <c r="CG1509" s="80"/>
      <c r="CH1509" s="80"/>
      <c r="CI1509" s="80"/>
      <c r="CJ1509" s="80"/>
    </row>
    <row r="1510" ht="12.75" customHeight="1">
      <c r="A1510" s="85"/>
      <c r="B1510" s="85"/>
      <c r="C1510" s="85"/>
      <c r="D1510" s="85"/>
      <c r="E1510" s="85"/>
      <c r="F1510" s="85"/>
      <c r="G1510" s="85"/>
      <c r="H1510" s="85"/>
      <c r="I1510" s="85"/>
      <c r="J1510" s="85"/>
      <c r="K1510" s="85"/>
      <c r="L1510" s="85"/>
      <c r="M1510" s="85"/>
      <c r="N1510" s="85"/>
      <c r="O1510" s="85"/>
      <c r="P1510" s="85"/>
      <c r="Q1510" s="85"/>
      <c r="R1510" s="85"/>
      <c r="S1510" s="85"/>
      <c r="T1510" s="85"/>
      <c r="U1510" s="85"/>
      <c r="V1510" s="85"/>
      <c r="W1510" s="85"/>
      <c r="X1510" s="85"/>
      <c r="Y1510" s="85"/>
      <c r="Z1510" s="85"/>
      <c r="AA1510" s="85"/>
      <c r="AB1510" s="85"/>
      <c r="AC1510" s="85"/>
      <c r="AD1510" s="85"/>
      <c r="AE1510" s="85"/>
      <c r="AF1510" s="85"/>
      <c r="AG1510" s="85"/>
      <c r="AH1510" s="85"/>
      <c r="AI1510" s="85"/>
      <c r="AJ1510" s="85"/>
      <c r="AK1510" s="85"/>
      <c r="AL1510" s="85"/>
      <c r="AM1510" s="85"/>
      <c r="AN1510" s="85"/>
      <c r="AO1510" s="85"/>
      <c r="AP1510" s="85"/>
      <c r="AQ1510" s="93"/>
      <c r="AR1510" s="85"/>
      <c r="AS1510" s="85"/>
      <c r="AT1510" s="85"/>
      <c r="AU1510" s="85"/>
      <c r="AV1510" s="85"/>
      <c r="AW1510" s="85"/>
      <c r="AX1510" s="85"/>
      <c r="AY1510" s="85"/>
      <c r="AZ1510" s="85"/>
      <c r="BA1510" s="85"/>
      <c r="BB1510" s="85"/>
      <c r="BC1510" s="85"/>
      <c r="BD1510" s="85"/>
      <c r="BE1510" s="85"/>
      <c r="BF1510" s="85"/>
      <c r="BG1510" s="85"/>
      <c r="BH1510" s="85"/>
      <c r="BI1510" s="85"/>
      <c r="BJ1510" s="85"/>
      <c r="BK1510" s="85"/>
      <c r="BL1510" s="85"/>
      <c r="BM1510" s="85"/>
      <c r="BN1510" s="85"/>
      <c r="BO1510" s="85"/>
      <c r="BP1510" s="85"/>
      <c r="BQ1510" s="85"/>
      <c r="BR1510" s="85"/>
      <c r="BS1510" s="85"/>
      <c r="BT1510" s="85"/>
      <c r="BU1510" s="85"/>
      <c r="BV1510" s="85"/>
      <c r="BW1510" s="85"/>
      <c r="BX1510" s="85"/>
      <c r="BY1510" s="85"/>
      <c r="BZ1510" s="85"/>
      <c r="CA1510" s="85"/>
      <c r="CB1510" s="85"/>
      <c r="CC1510" s="85"/>
      <c r="CD1510" s="85"/>
      <c r="CE1510" s="85"/>
      <c r="CF1510" s="85"/>
      <c r="CG1510" s="85"/>
      <c r="CH1510" s="85"/>
      <c r="CI1510" s="85"/>
      <c r="CJ1510" s="85"/>
    </row>
    <row r="1511" ht="12.75" customHeight="1">
      <c r="A1511" s="80"/>
      <c r="B1511" s="80"/>
      <c r="C1511" s="80"/>
      <c r="D1511" s="80"/>
      <c r="E1511" s="80"/>
      <c r="F1511" s="80"/>
      <c r="G1511" s="80"/>
      <c r="H1511" s="80"/>
      <c r="I1511" s="80"/>
      <c r="J1511" s="80"/>
      <c r="K1511" s="80"/>
      <c r="L1511" s="80"/>
      <c r="M1511" s="80"/>
      <c r="N1511" s="80"/>
      <c r="O1511" s="80"/>
      <c r="P1511" s="80"/>
      <c r="Q1511" s="80"/>
      <c r="R1511" s="80"/>
      <c r="S1511" s="80"/>
      <c r="T1511" s="80"/>
      <c r="U1511" s="80"/>
      <c r="V1511" s="80"/>
      <c r="W1511" s="80"/>
      <c r="X1511" s="80"/>
      <c r="Y1511" s="80"/>
      <c r="Z1511" s="80"/>
      <c r="AA1511" s="80"/>
      <c r="AB1511" s="80"/>
      <c r="AC1511" s="80"/>
      <c r="AD1511" s="80"/>
      <c r="AE1511" s="80"/>
      <c r="AF1511" s="80"/>
      <c r="AG1511" s="80"/>
      <c r="AH1511" s="80"/>
      <c r="AI1511" s="80"/>
      <c r="AJ1511" s="80"/>
      <c r="AK1511" s="80"/>
      <c r="AL1511" s="80"/>
      <c r="AM1511" s="80"/>
      <c r="AN1511" s="80"/>
      <c r="AO1511" s="80"/>
      <c r="AP1511" s="80"/>
      <c r="AQ1511" s="83"/>
      <c r="AR1511" s="80"/>
      <c r="AS1511" s="80"/>
      <c r="AT1511" s="80"/>
      <c r="AU1511" s="80"/>
      <c r="AV1511" s="80"/>
      <c r="AW1511" s="80"/>
      <c r="AX1511" s="80"/>
      <c r="AY1511" s="80"/>
      <c r="AZ1511" s="80"/>
      <c r="BA1511" s="80"/>
      <c r="BB1511" s="80"/>
      <c r="BC1511" s="80"/>
      <c r="BD1511" s="80"/>
      <c r="BE1511" s="80"/>
      <c r="BF1511" s="80"/>
      <c r="BG1511" s="80"/>
      <c r="BH1511" s="80"/>
      <c r="BI1511" s="80"/>
      <c r="BJ1511" s="80"/>
      <c r="BK1511" s="80"/>
      <c r="BL1511" s="80"/>
      <c r="BM1511" s="80"/>
      <c r="BN1511" s="80"/>
      <c r="BO1511" s="80"/>
      <c r="BP1511" s="80"/>
      <c r="BQ1511" s="80"/>
      <c r="BR1511" s="80"/>
      <c r="BS1511" s="80"/>
      <c r="BT1511" s="80"/>
      <c r="BU1511" s="80"/>
      <c r="BV1511" s="80"/>
      <c r="BW1511" s="80"/>
      <c r="BX1511" s="80"/>
      <c r="BY1511" s="80"/>
      <c r="BZ1511" s="80"/>
      <c r="CA1511" s="80"/>
      <c r="CB1511" s="80"/>
      <c r="CC1511" s="80"/>
      <c r="CD1511" s="80"/>
      <c r="CE1511" s="80"/>
      <c r="CF1511" s="80"/>
      <c r="CG1511" s="80"/>
      <c r="CH1511" s="80"/>
      <c r="CI1511" s="80"/>
      <c r="CJ1511" s="80"/>
    </row>
    <row r="1512" ht="12.75" customHeight="1">
      <c r="A1512" s="85"/>
      <c r="B1512" s="85"/>
      <c r="C1512" s="85"/>
      <c r="D1512" s="85"/>
      <c r="E1512" s="85"/>
      <c r="F1512" s="85"/>
      <c r="G1512" s="85"/>
      <c r="H1512" s="85"/>
      <c r="I1512" s="85"/>
      <c r="J1512" s="85"/>
      <c r="K1512" s="85"/>
      <c r="L1512" s="85"/>
      <c r="M1512" s="85"/>
      <c r="N1512" s="85"/>
      <c r="O1512" s="85"/>
      <c r="P1512" s="85"/>
      <c r="Q1512" s="85"/>
      <c r="R1512" s="85"/>
      <c r="S1512" s="85"/>
      <c r="T1512" s="85"/>
      <c r="U1512" s="85"/>
      <c r="V1512" s="85"/>
      <c r="W1512" s="85"/>
      <c r="X1512" s="85"/>
      <c r="Y1512" s="85"/>
      <c r="Z1512" s="85"/>
      <c r="AA1512" s="85"/>
      <c r="AB1512" s="85"/>
      <c r="AC1512" s="85"/>
      <c r="AD1512" s="85"/>
      <c r="AE1512" s="85"/>
      <c r="AF1512" s="85"/>
      <c r="AG1512" s="85"/>
      <c r="AH1512" s="85"/>
      <c r="AI1512" s="85"/>
      <c r="AJ1512" s="85"/>
      <c r="AK1512" s="85"/>
      <c r="AL1512" s="85"/>
      <c r="AM1512" s="85"/>
      <c r="AN1512" s="85"/>
      <c r="AO1512" s="85"/>
      <c r="AP1512" s="85"/>
      <c r="AQ1512" s="93"/>
      <c r="AR1512" s="85"/>
      <c r="AS1512" s="85"/>
      <c r="AT1512" s="85"/>
      <c r="AU1512" s="85"/>
      <c r="AV1512" s="85"/>
      <c r="AW1512" s="85"/>
      <c r="AX1512" s="85"/>
      <c r="AY1512" s="85"/>
      <c r="AZ1512" s="85"/>
      <c r="BA1512" s="85"/>
      <c r="BB1512" s="85"/>
      <c r="BC1512" s="85"/>
      <c r="BD1512" s="85"/>
      <c r="BE1512" s="85"/>
      <c r="BF1512" s="85"/>
      <c r="BG1512" s="85"/>
      <c r="BH1512" s="85"/>
      <c r="BI1512" s="85"/>
      <c r="BJ1512" s="85"/>
      <c r="BK1512" s="85"/>
      <c r="BL1512" s="85"/>
      <c r="BM1512" s="85"/>
      <c r="BN1512" s="85"/>
      <c r="BO1512" s="85"/>
      <c r="BP1512" s="85"/>
      <c r="BQ1512" s="85"/>
      <c r="BR1512" s="85"/>
      <c r="BS1512" s="85"/>
      <c r="BT1512" s="85"/>
      <c r="BU1512" s="85"/>
      <c r="BV1512" s="85"/>
      <c r="BW1512" s="85"/>
      <c r="BX1512" s="85"/>
      <c r="BY1512" s="85"/>
      <c r="BZ1512" s="85"/>
      <c r="CA1512" s="85"/>
      <c r="CB1512" s="85"/>
      <c r="CC1512" s="85"/>
      <c r="CD1512" s="85"/>
      <c r="CE1512" s="85"/>
      <c r="CF1512" s="85"/>
      <c r="CG1512" s="85"/>
      <c r="CH1512" s="85"/>
      <c r="CI1512" s="85"/>
      <c r="CJ1512" s="85"/>
    </row>
    <row r="1513" ht="12.75" customHeight="1">
      <c r="A1513" s="80"/>
      <c r="B1513" s="80"/>
      <c r="C1513" s="80"/>
      <c r="D1513" s="80"/>
      <c r="E1513" s="80"/>
      <c r="F1513" s="80"/>
      <c r="G1513" s="80"/>
      <c r="H1513" s="80"/>
      <c r="I1513" s="80"/>
      <c r="J1513" s="80"/>
      <c r="K1513" s="80"/>
      <c r="L1513" s="80"/>
      <c r="M1513" s="80"/>
      <c r="N1513" s="80"/>
      <c r="O1513" s="80"/>
      <c r="P1513" s="80"/>
      <c r="Q1513" s="80"/>
      <c r="R1513" s="80"/>
      <c r="S1513" s="80"/>
      <c r="T1513" s="80"/>
      <c r="U1513" s="80"/>
      <c r="V1513" s="80"/>
      <c r="W1513" s="80"/>
      <c r="X1513" s="80"/>
      <c r="Y1513" s="80"/>
      <c r="Z1513" s="80"/>
      <c r="AA1513" s="80"/>
      <c r="AB1513" s="80"/>
      <c r="AC1513" s="80"/>
      <c r="AD1513" s="80"/>
      <c r="AE1513" s="80"/>
      <c r="AF1513" s="80"/>
      <c r="AG1513" s="80"/>
      <c r="AH1513" s="80"/>
      <c r="AI1513" s="80"/>
      <c r="AJ1513" s="80"/>
      <c r="AK1513" s="80"/>
      <c r="AL1513" s="80"/>
      <c r="AM1513" s="80"/>
      <c r="AN1513" s="80"/>
      <c r="AO1513" s="80"/>
      <c r="AP1513" s="80"/>
      <c r="AQ1513" s="83"/>
      <c r="AR1513" s="80"/>
      <c r="AS1513" s="80"/>
      <c r="AT1513" s="80"/>
      <c r="AU1513" s="80"/>
      <c r="AV1513" s="80"/>
      <c r="AW1513" s="80"/>
      <c r="AX1513" s="80"/>
      <c r="AY1513" s="80"/>
      <c r="AZ1513" s="80"/>
      <c r="BA1513" s="80"/>
      <c r="BB1513" s="80"/>
      <c r="BC1513" s="80"/>
      <c r="BD1513" s="80"/>
      <c r="BE1513" s="80"/>
      <c r="BF1513" s="80"/>
      <c r="BG1513" s="80"/>
      <c r="BH1513" s="80"/>
      <c r="BI1513" s="80"/>
      <c r="BJ1513" s="80"/>
      <c r="BK1513" s="80"/>
      <c r="BL1513" s="80"/>
      <c r="BM1513" s="80"/>
      <c r="BN1513" s="80"/>
      <c r="BO1513" s="80"/>
      <c r="BP1513" s="80"/>
      <c r="BQ1513" s="80"/>
      <c r="BR1513" s="80"/>
      <c r="BS1513" s="80"/>
      <c r="BT1513" s="80"/>
      <c r="BU1513" s="80"/>
      <c r="BV1513" s="80"/>
      <c r="BW1513" s="80"/>
      <c r="BX1513" s="80"/>
      <c r="BY1513" s="80"/>
      <c r="BZ1513" s="80"/>
      <c r="CA1513" s="80"/>
      <c r="CB1513" s="80"/>
      <c r="CC1513" s="80"/>
      <c r="CD1513" s="80"/>
      <c r="CE1513" s="80"/>
      <c r="CF1513" s="80"/>
      <c r="CG1513" s="80"/>
      <c r="CH1513" s="80"/>
      <c r="CI1513" s="80"/>
      <c r="CJ1513" s="80"/>
    </row>
    <row r="1514" ht="12.75" customHeight="1">
      <c r="A1514" s="85"/>
      <c r="B1514" s="85"/>
      <c r="C1514" s="85"/>
      <c r="D1514" s="85"/>
      <c r="E1514" s="85"/>
      <c r="F1514" s="85"/>
      <c r="G1514" s="85"/>
      <c r="H1514" s="85"/>
      <c r="I1514" s="85"/>
      <c r="J1514" s="85"/>
      <c r="K1514" s="85"/>
      <c r="L1514" s="85"/>
      <c r="M1514" s="85"/>
      <c r="N1514" s="85"/>
      <c r="O1514" s="85"/>
      <c r="P1514" s="85"/>
      <c r="Q1514" s="85"/>
      <c r="R1514" s="85"/>
      <c r="S1514" s="85"/>
      <c r="T1514" s="85"/>
      <c r="U1514" s="85"/>
      <c r="V1514" s="85"/>
      <c r="W1514" s="85"/>
      <c r="X1514" s="85"/>
      <c r="Y1514" s="85"/>
      <c r="Z1514" s="85"/>
      <c r="AA1514" s="85"/>
      <c r="AB1514" s="85"/>
      <c r="AC1514" s="85"/>
      <c r="AD1514" s="85"/>
      <c r="AE1514" s="85"/>
      <c r="AF1514" s="85"/>
      <c r="AG1514" s="85"/>
      <c r="AH1514" s="85"/>
      <c r="AI1514" s="85"/>
      <c r="AJ1514" s="85"/>
      <c r="AK1514" s="85"/>
      <c r="AL1514" s="85"/>
      <c r="AM1514" s="85"/>
      <c r="AN1514" s="85"/>
      <c r="AO1514" s="85"/>
      <c r="AP1514" s="85"/>
      <c r="AQ1514" s="93"/>
      <c r="AR1514" s="85"/>
      <c r="AS1514" s="85"/>
      <c r="AT1514" s="85"/>
      <c r="AU1514" s="85"/>
      <c r="AV1514" s="85"/>
      <c r="AW1514" s="85"/>
      <c r="AX1514" s="85"/>
      <c r="AY1514" s="85"/>
      <c r="AZ1514" s="85"/>
      <c r="BA1514" s="85"/>
      <c r="BB1514" s="85"/>
      <c r="BC1514" s="85"/>
      <c r="BD1514" s="85"/>
      <c r="BE1514" s="85"/>
      <c r="BF1514" s="85"/>
      <c r="BG1514" s="85"/>
      <c r="BH1514" s="85"/>
      <c r="BI1514" s="85"/>
      <c r="BJ1514" s="85"/>
      <c r="BK1514" s="85"/>
      <c r="BL1514" s="85"/>
      <c r="BM1514" s="85"/>
      <c r="BN1514" s="85"/>
      <c r="BO1514" s="85"/>
      <c r="BP1514" s="85"/>
      <c r="BQ1514" s="85"/>
      <c r="BR1514" s="85"/>
      <c r="BS1514" s="85"/>
      <c r="BT1514" s="85"/>
      <c r="BU1514" s="85"/>
      <c r="BV1514" s="85"/>
      <c r="BW1514" s="85"/>
      <c r="BX1514" s="85"/>
      <c r="BY1514" s="85"/>
      <c r="BZ1514" s="85"/>
      <c r="CA1514" s="85"/>
      <c r="CB1514" s="85"/>
      <c r="CC1514" s="85"/>
      <c r="CD1514" s="85"/>
      <c r="CE1514" s="85"/>
      <c r="CF1514" s="85"/>
      <c r="CG1514" s="85"/>
      <c r="CH1514" s="85"/>
      <c r="CI1514" s="85"/>
      <c r="CJ1514" s="85"/>
    </row>
    <row r="1515" ht="12.75" customHeight="1">
      <c r="A1515" s="80"/>
      <c r="B1515" s="80"/>
      <c r="C1515" s="80"/>
      <c r="D1515" s="80"/>
      <c r="E1515" s="80"/>
      <c r="F1515" s="80"/>
      <c r="G1515" s="80"/>
      <c r="H1515" s="80"/>
      <c r="I1515" s="80"/>
      <c r="J1515" s="80"/>
      <c r="K1515" s="80"/>
      <c r="L1515" s="80"/>
      <c r="M1515" s="80"/>
      <c r="N1515" s="80"/>
      <c r="O1515" s="80"/>
      <c r="P1515" s="80"/>
      <c r="Q1515" s="80"/>
      <c r="R1515" s="80"/>
      <c r="S1515" s="80"/>
      <c r="T1515" s="80"/>
      <c r="U1515" s="80"/>
      <c r="V1515" s="80"/>
      <c r="W1515" s="80"/>
      <c r="X1515" s="80"/>
      <c r="Y1515" s="80"/>
      <c r="Z1515" s="80"/>
      <c r="AA1515" s="80"/>
      <c r="AB1515" s="80"/>
      <c r="AC1515" s="80"/>
      <c r="AD1515" s="80"/>
      <c r="AE1515" s="80"/>
      <c r="AF1515" s="80"/>
      <c r="AG1515" s="80"/>
      <c r="AH1515" s="80"/>
      <c r="AI1515" s="80"/>
      <c r="AJ1515" s="80"/>
      <c r="AK1515" s="80"/>
      <c r="AL1515" s="80"/>
      <c r="AM1515" s="80"/>
      <c r="AN1515" s="80"/>
      <c r="AO1515" s="80"/>
      <c r="AP1515" s="80"/>
      <c r="AQ1515" s="83"/>
      <c r="AR1515" s="80"/>
      <c r="AS1515" s="80"/>
      <c r="AT1515" s="80"/>
      <c r="AU1515" s="80"/>
      <c r="AV1515" s="80"/>
      <c r="AW1515" s="80"/>
      <c r="AX1515" s="80"/>
      <c r="AY1515" s="80"/>
      <c r="AZ1515" s="80"/>
      <c r="BA1515" s="80"/>
      <c r="BB1515" s="80"/>
      <c r="BC1515" s="80"/>
      <c r="BD1515" s="80"/>
      <c r="BE1515" s="80"/>
      <c r="BF1515" s="80"/>
      <c r="BG1515" s="80"/>
      <c r="BH1515" s="80"/>
      <c r="BI1515" s="80"/>
      <c r="BJ1515" s="80"/>
      <c r="BK1515" s="80"/>
      <c r="BL1515" s="80"/>
      <c r="BM1515" s="80"/>
      <c r="BN1515" s="80"/>
      <c r="BO1515" s="80"/>
      <c r="BP1515" s="80"/>
      <c r="BQ1515" s="80"/>
      <c r="BR1515" s="80"/>
      <c r="BS1515" s="80"/>
      <c r="BT1515" s="80"/>
      <c r="BU1515" s="80"/>
      <c r="BV1515" s="80"/>
      <c r="BW1515" s="80"/>
      <c r="BX1515" s="80"/>
      <c r="BY1515" s="80"/>
      <c r="BZ1515" s="80"/>
      <c r="CA1515" s="80"/>
      <c r="CB1515" s="80"/>
      <c r="CC1515" s="80"/>
      <c r="CD1515" s="80"/>
      <c r="CE1515" s="80"/>
      <c r="CF1515" s="80"/>
      <c r="CG1515" s="80"/>
      <c r="CH1515" s="80"/>
      <c r="CI1515" s="80"/>
      <c r="CJ1515" s="80"/>
    </row>
    <row r="1516" ht="12.75" customHeight="1">
      <c r="A1516" s="85"/>
      <c r="B1516" s="85"/>
      <c r="C1516" s="85"/>
      <c r="D1516" s="85"/>
      <c r="E1516" s="85"/>
      <c r="F1516" s="85"/>
      <c r="G1516" s="85"/>
      <c r="H1516" s="85"/>
      <c r="I1516" s="85"/>
      <c r="J1516" s="85"/>
      <c r="K1516" s="85"/>
      <c r="L1516" s="85"/>
      <c r="M1516" s="85"/>
      <c r="N1516" s="85"/>
      <c r="O1516" s="85"/>
      <c r="P1516" s="85"/>
      <c r="Q1516" s="85"/>
      <c r="R1516" s="85"/>
      <c r="S1516" s="85"/>
      <c r="T1516" s="85"/>
      <c r="U1516" s="85"/>
      <c r="V1516" s="85"/>
      <c r="W1516" s="85"/>
      <c r="X1516" s="85"/>
      <c r="Y1516" s="85"/>
      <c r="Z1516" s="85"/>
      <c r="AA1516" s="85"/>
      <c r="AB1516" s="85"/>
      <c r="AC1516" s="85"/>
      <c r="AD1516" s="85"/>
      <c r="AE1516" s="85"/>
      <c r="AF1516" s="85"/>
      <c r="AG1516" s="85"/>
      <c r="AH1516" s="85"/>
      <c r="AI1516" s="85"/>
      <c r="AJ1516" s="85"/>
      <c r="AK1516" s="85"/>
      <c r="AL1516" s="85"/>
      <c r="AM1516" s="85"/>
      <c r="AN1516" s="85"/>
      <c r="AO1516" s="85"/>
      <c r="AP1516" s="85"/>
      <c r="AQ1516" s="93"/>
      <c r="AR1516" s="85"/>
      <c r="AS1516" s="85"/>
      <c r="AT1516" s="85"/>
      <c r="AU1516" s="85"/>
      <c r="AV1516" s="85"/>
      <c r="AW1516" s="85"/>
      <c r="AX1516" s="85"/>
      <c r="AY1516" s="85"/>
      <c r="AZ1516" s="85"/>
      <c r="BA1516" s="85"/>
      <c r="BB1516" s="85"/>
      <c r="BC1516" s="85"/>
      <c r="BD1516" s="85"/>
      <c r="BE1516" s="85"/>
      <c r="BF1516" s="85"/>
      <c r="BG1516" s="85"/>
      <c r="BH1516" s="85"/>
      <c r="BI1516" s="85"/>
      <c r="BJ1516" s="85"/>
      <c r="BK1516" s="85"/>
      <c r="BL1516" s="85"/>
      <c r="BM1516" s="85"/>
      <c r="BN1516" s="85"/>
      <c r="BO1516" s="85"/>
      <c r="BP1516" s="85"/>
      <c r="BQ1516" s="85"/>
      <c r="BR1516" s="85"/>
      <c r="BS1516" s="85"/>
      <c r="BT1516" s="85"/>
      <c r="BU1516" s="85"/>
      <c r="BV1516" s="85"/>
      <c r="BW1516" s="85"/>
      <c r="BX1516" s="85"/>
      <c r="BY1516" s="85"/>
      <c r="BZ1516" s="85"/>
      <c r="CA1516" s="85"/>
      <c r="CB1516" s="85"/>
      <c r="CC1516" s="85"/>
      <c r="CD1516" s="85"/>
      <c r="CE1516" s="85"/>
      <c r="CF1516" s="85"/>
      <c r="CG1516" s="85"/>
      <c r="CH1516" s="85"/>
      <c r="CI1516" s="85"/>
      <c r="CJ1516" s="85"/>
    </row>
    <row r="1517" ht="12.75" customHeight="1">
      <c r="A1517" s="80"/>
      <c r="B1517" s="80"/>
      <c r="C1517" s="80"/>
      <c r="D1517" s="80"/>
      <c r="E1517" s="80"/>
      <c r="F1517" s="80"/>
      <c r="G1517" s="80"/>
      <c r="H1517" s="80"/>
      <c r="I1517" s="80"/>
      <c r="J1517" s="80"/>
      <c r="K1517" s="80"/>
      <c r="L1517" s="80"/>
      <c r="M1517" s="80"/>
      <c r="N1517" s="80"/>
      <c r="O1517" s="80"/>
      <c r="P1517" s="80"/>
      <c r="Q1517" s="80"/>
      <c r="R1517" s="80"/>
      <c r="S1517" s="80"/>
      <c r="T1517" s="80"/>
      <c r="U1517" s="80"/>
      <c r="V1517" s="80"/>
      <c r="W1517" s="80"/>
      <c r="X1517" s="80"/>
      <c r="Y1517" s="80"/>
      <c r="Z1517" s="80"/>
      <c r="AA1517" s="80"/>
      <c r="AB1517" s="80"/>
      <c r="AC1517" s="80"/>
      <c r="AD1517" s="80"/>
      <c r="AE1517" s="80"/>
      <c r="AF1517" s="80"/>
      <c r="AG1517" s="80"/>
      <c r="AH1517" s="80"/>
      <c r="AI1517" s="80"/>
      <c r="AJ1517" s="80"/>
      <c r="AK1517" s="80"/>
      <c r="AL1517" s="80"/>
      <c r="AM1517" s="80"/>
      <c r="AN1517" s="80"/>
      <c r="AO1517" s="80"/>
      <c r="AP1517" s="80"/>
      <c r="AQ1517" s="83"/>
      <c r="AR1517" s="80"/>
      <c r="AS1517" s="80"/>
      <c r="AT1517" s="80"/>
      <c r="AU1517" s="80"/>
      <c r="AV1517" s="80"/>
      <c r="AW1517" s="80"/>
      <c r="AX1517" s="80"/>
      <c r="AY1517" s="80"/>
      <c r="AZ1517" s="80"/>
      <c r="BA1517" s="80"/>
      <c r="BB1517" s="80"/>
      <c r="BC1517" s="80"/>
      <c r="BD1517" s="80"/>
      <c r="BE1517" s="80"/>
      <c r="BF1517" s="80"/>
      <c r="BG1517" s="80"/>
      <c r="BH1517" s="80"/>
      <c r="BI1517" s="80"/>
      <c r="BJ1517" s="80"/>
      <c r="BK1517" s="80"/>
      <c r="BL1517" s="80"/>
      <c r="BM1517" s="80"/>
      <c r="BN1517" s="80"/>
      <c r="BO1517" s="80"/>
      <c r="BP1517" s="80"/>
      <c r="BQ1517" s="80"/>
      <c r="BR1517" s="80"/>
      <c r="BS1517" s="80"/>
      <c r="BT1517" s="80"/>
      <c r="BU1517" s="80"/>
      <c r="BV1517" s="80"/>
      <c r="BW1517" s="80"/>
      <c r="BX1517" s="80"/>
      <c r="BY1517" s="80"/>
      <c r="BZ1517" s="80"/>
      <c r="CA1517" s="80"/>
      <c r="CB1517" s="80"/>
      <c r="CC1517" s="80"/>
      <c r="CD1517" s="80"/>
      <c r="CE1517" s="80"/>
      <c r="CF1517" s="80"/>
      <c r="CG1517" s="80"/>
      <c r="CH1517" s="80"/>
      <c r="CI1517" s="80"/>
      <c r="CJ1517" s="80"/>
    </row>
    <row r="1518" ht="12.75" customHeight="1">
      <c r="A1518" s="85"/>
      <c r="B1518" s="85"/>
      <c r="C1518" s="85"/>
      <c r="D1518" s="85"/>
      <c r="E1518" s="85"/>
      <c r="F1518" s="85"/>
      <c r="G1518" s="85"/>
      <c r="H1518" s="85"/>
      <c r="I1518" s="85"/>
      <c r="J1518" s="85"/>
      <c r="K1518" s="85"/>
      <c r="L1518" s="85"/>
      <c r="M1518" s="85"/>
      <c r="N1518" s="85"/>
      <c r="O1518" s="85"/>
      <c r="P1518" s="85"/>
      <c r="Q1518" s="85"/>
      <c r="R1518" s="85"/>
      <c r="S1518" s="85"/>
      <c r="T1518" s="85"/>
      <c r="U1518" s="85"/>
      <c r="V1518" s="85"/>
      <c r="W1518" s="85"/>
      <c r="X1518" s="85"/>
      <c r="Y1518" s="85"/>
      <c r="Z1518" s="85"/>
      <c r="AA1518" s="85"/>
      <c r="AB1518" s="85"/>
      <c r="AC1518" s="85"/>
      <c r="AD1518" s="85"/>
      <c r="AE1518" s="85"/>
      <c r="AF1518" s="85"/>
      <c r="AG1518" s="85"/>
      <c r="AH1518" s="85"/>
      <c r="AI1518" s="85"/>
      <c r="AJ1518" s="85"/>
      <c r="AK1518" s="85"/>
      <c r="AL1518" s="85"/>
      <c r="AM1518" s="85"/>
      <c r="AN1518" s="85"/>
      <c r="AO1518" s="85"/>
      <c r="AP1518" s="85"/>
      <c r="AQ1518" s="93"/>
      <c r="AR1518" s="85"/>
      <c r="AS1518" s="85"/>
      <c r="AT1518" s="85"/>
      <c r="AU1518" s="85"/>
      <c r="AV1518" s="85"/>
      <c r="AW1518" s="85"/>
      <c r="AX1518" s="85"/>
      <c r="AY1518" s="85"/>
      <c r="AZ1518" s="85"/>
      <c r="BA1518" s="85"/>
      <c r="BB1518" s="85"/>
      <c r="BC1518" s="85"/>
      <c r="BD1518" s="85"/>
      <c r="BE1518" s="85"/>
      <c r="BF1518" s="85"/>
      <c r="BG1518" s="85"/>
      <c r="BH1518" s="85"/>
      <c r="BI1518" s="85"/>
      <c r="BJ1518" s="85"/>
      <c r="BK1518" s="85"/>
      <c r="BL1518" s="85"/>
      <c r="BM1518" s="85"/>
      <c r="BN1518" s="85"/>
      <c r="BO1518" s="85"/>
      <c r="BP1518" s="85"/>
      <c r="BQ1518" s="85"/>
      <c r="BR1518" s="85"/>
      <c r="BS1518" s="85"/>
      <c r="BT1518" s="85"/>
      <c r="BU1518" s="85"/>
      <c r="BV1518" s="85"/>
      <c r="BW1518" s="85"/>
      <c r="BX1518" s="85"/>
      <c r="BY1518" s="85"/>
      <c r="BZ1518" s="85"/>
      <c r="CA1518" s="85"/>
      <c r="CB1518" s="85"/>
      <c r="CC1518" s="85"/>
      <c r="CD1518" s="85"/>
      <c r="CE1518" s="85"/>
      <c r="CF1518" s="85"/>
      <c r="CG1518" s="85"/>
      <c r="CH1518" s="85"/>
      <c r="CI1518" s="85"/>
      <c r="CJ1518" s="85"/>
    </row>
    <row r="1519" ht="12.75" customHeight="1">
      <c r="A1519" s="80"/>
      <c r="B1519" s="80"/>
      <c r="C1519" s="80"/>
      <c r="D1519" s="80"/>
      <c r="E1519" s="80"/>
      <c r="F1519" s="80"/>
      <c r="G1519" s="80"/>
      <c r="H1519" s="80"/>
      <c r="I1519" s="80"/>
      <c r="J1519" s="80"/>
      <c r="K1519" s="80"/>
      <c r="L1519" s="80"/>
      <c r="M1519" s="80"/>
      <c r="N1519" s="80"/>
      <c r="O1519" s="80"/>
      <c r="P1519" s="80"/>
      <c r="Q1519" s="80"/>
      <c r="R1519" s="80"/>
      <c r="S1519" s="80"/>
      <c r="T1519" s="80"/>
      <c r="U1519" s="80"/>
      <c r="V1519" s="80"/>
      <c r="W1519" s="80"/>
      <c r="X1519" s="80"/>
      <c r="Y1519" s="80"/>
      <c r="Z1519" s="80"/>
      <c r="AA1519" s="80"/>
      <c r="AB1519" s="80"/>
      <c r="AC1519" s="80"/>
      <c r="AD1519" s="80"/>
      <c r="AE1519" s="80"/>
      <c r="AF1519" s="80"/>
      <c r="AG1519" s="80"/>
      <c r="AH1519" s="80"/>
      <c r="AI1519" s="80"/>
      <c r="AJ1519" s="80"/>
      <c r="AK1519" s="80"/>
      <c r="AL1519" s="80"/>
      <c r="AM1519" s="80"/>
      <c r="AN1519" s="80"/>
      <c r="AO1519" s="80"/>
      <c r="AP1519" s="80"/>
      <c r="AQ1519" s="83"/>
      <c r="AR1519" s="80"/>
      <c r="AS1519" s="80"/>
      <c r="AT1519" s="80"/>
      <c r="AU1519" s="80"/>
      <c r="AV1519" s="80"/>
      <c r="AW1519" s="80"/>
      <c r="AX1519" s="80"/>
      <c r="AY1519" s="80"/>
      <c r="AZ1519" s="80"/>
      <c r="BA1519" s="80"/>
      <c r="BB1519" s="80"/>
      <c r="BC1519" s="80"/>
      <c r="BD1519" s="80"/>
      <c r="BE1519" s="80"/>
      <c r="BF1519" s="80"/>
      <c r="BG1519" s="80"/>
      <c r="BH1519" s="80"/>
      <c r="BI1519" s="80"/>
      <c r="BJ1519" s="80"/>
      <c r="BK1519" s="80"/>
      <c r="BL1519" s="80"/>
      <c r="BM1519" s="80"/>
      <c r="BN1519" s="80"/>
      <c r="BO1519" s="80"/>
      <c r="BP1519" s="80"/>
      <c r="BQ1519" s="80"/>
      <c r="BR1519" s="80"/>
      <c r="BS1519" s="80"/>
      <c r="BT1519" s="80"/>
      <c r="BU1519" s="80"/>
      <c r="BV1519" s="80"/>
      <c r="BW1519" s="80"/>
      <c r="BX1519" s="80"/>
      <c r="BY1519" s="80"/>
      <c r="BZ1519" s="80"/>
      <c r="CA1519" s="80"/>
      <c r="CB1519" s="80"/>
      <c r="CC1519" s="80"/>
      <c r="CD1519" s="80"/>
      <c r="CE1519" s="80"/>
      <c r="CF1519" s="80"/>
      <c r="CG1519" s="80"/>
      <c r="CH1519" s="80"/>
      <c r="CI1519" s="80"/>
      <c r="CJ1519" s="80"/>
    </row>
    <row r="1520" ht="12.75" customHeight="1">
      <c r="A1520" s="85"/>
      <c r="B1520" s="85"/>
      <c r="C1520" s="85"/>
      <c r="D1520" s="85"/>
      <c r="E1520" s="85"/>
      <c r="F1520" s="85"/>
      <c r="G1520" s="85"/>
      <c r="H1520" s="85"/>
      <c r="I1520" s="85"/>
      <c r="J1520" s="85"/>
      <c r="K1520" s="85"/>
      <c r="L1520" s="85"/>
      <c r="M1520" s="85"/>
      <c r="N1520" s="85"/>
      <c r="O1520" s="85"/>
      <c r="P1520" s="85"/>
      <c r="Q1520" s="85"/>
      <c r="R1520" s="85"/>
      <c r="S1520" s="85"/>
      <c r="T1520" s="85"/>
      <c r="U1520" s="85"/>
      <c r="V1520" s="85"/>
      <c r="W1520" s="85"/>
      <c r="X1520" s="85"/>
      <c r="Y1520" s="85"/>
      <c r="Z1520" s="85"/>
      <c r="AA1520" s="85"/>
      <c r="AB1520" s="85"/>
      <c r="AC1520" s="85"/>
      <c r="AD1520" s="85"/>
      <c r="AE1520" s="85"/>
      <c r="AF1520" s="85"/>
      <c r="AG1520" s="85"/>
      <c r="AH1520" s="85"/>
      <c r="AI1520" s="85"/>
      <c r="AJ1520" s="85"/>
      <c r="AK1520" s="85"/>
      <c r="AL1520" s="85"/>
      <c r="AM1520" s="85"/>
      <c r="AN1520" s="85"/>
      <c r="AO1520" s="85"/>
      <c r="AP1520" s="85"/>
      <c r="AQ1520" s="93"/>
      <c r="AR1520" s="85"/>
      <c r="AS1520" s="85"/>
      <c r="AT1520" s="85"/>
      <c r="AU1520" s="85"/>
      <c r="AV1520" s="85"/>
      <c r="AW1520" s="85"/>
      <c r="AX1520" s="85"/>
      <c r="AY1520" s="85"/>
      <c r="AZ1520" s="85"/>
      <c r="BA1520" s="85"/>
      <c r="BB1520" s="85"/>
      <c r="BC1520" s="85"/>
      <c r="BD1520" s="85"/>
      <c r="BE1520" s="85"/>
      <c r="BF1520" s="85"/>
      <c r="BG1520" s="85"/>
      <c r="BH1520" s="85"/>
      <c r="BI1520" s="85"/>
      <c r="BJ1520" s="85"/>
      <c r="BK1520" s="85"/>
      <c r="BL1520" s="85"/>
      <c r="BM1520" s="85"/>
      <c r="BN1520" s="85"/>
      <c r="BO1520" s="85"/>
      <c r="BP1520" s="85"/>
      <c r="BQ1520" s="85"/>
      <c r="BR1520" s="85"/>
      <c r="BS1520" s="85"/>
      <c r="BT1520" s="85"/>
      <c r="BU1520" s="85"/>
      <c r="BV1520" s="85"/>
      <c r="BW1520" s="85"/>
      <c r="BX1520" s="85"/>
      <c r="BY1520" s="85"/>
      <c r="BZ1520" s="85"/>
      <c r="CA1520" s="85"/>
      <c r="CB1520" s="85"/>
      <c r="CC1520" s="85"/>
      <c r="CD1520" s="85"/>
      <c r="CE1520" s="85"/>
      <c r="CF1520" s="85"/>
      <c r="CG1520" s="85"/>
      <c r="CH1520" s="85"/>
      <c r="CI1520" s="85"/>
      <c r="CJ1520" s="85"/>
    </row>
    <row r="1521" ht="12.75" customHeight="1">
      <c r="A1521" s="80"/>
      <c r="B1521" s="80"/>
      <c r="C1521" s="80"/>
      <c r="D1521" s="80"/>
      <c r="E1521" s="80"/>
      <c r="F1521" s="80"/>
      <c r="G1521" s="80"/>
      <c r="H1521" s="80"/>
      <c r="I1521" s="80"/>
      <c r="J1521" s="80"/>
      <c r="K1521" s="80"/>
      <c r="L1521" s="80"/>
      <c r="M1521" s="80"/>
      <c r="N1521" s="80"/>
      <c r="O1521" s="80"/>
      <c r="P1521" s="80"/>
      <c r="Q1521" s="80"/>
      <c r="R1521" s="80"/>
      <c r="S1521" s="80"/>
      <c r="T1521" s="80"/>
      <c r="U1521" s="80"/>
      <c r="V1521" s="80"/>
      <c r="W1521" s="80"/>
      <c r="X1521" s="80"/>
      <c r="Y1521" s="80"/>
      <c r="Z1521" s="80"/>
      <c r="AA1521" s="80"/>
      <c r="AB1521" s="80"/>
      <c r="AC1521" s="80"/>
      <c r="AD1521" s="80"/>
      <c r="AE1521" s="80"/>
      <c r="AF1521" s="80"/>
      <c r="AG1521" s="80"/>
      <c r="AH1521" s="80"/>
      <c r="AI1521" s="80"/>
      <c r="AJ1521" s="80"/>
      <c r="AK1521" s="80"/>
      <c r="AL1521" s="80"/>
      <c r="AM1521" s="80"/>
      <c r="AN1521" s="80"/>
      <c r="AO1521" s="80"/>
      <c r="AP1521" s="80"/>
      <c r="AQ1521" s="83"/>
      <c r="AR1521" s="80"/>
      <c r="AS1521" s="80"/>
      <c r="AT1521" s="80"/>
      <c r="AU1521" s="80"/>
      <c r="AV1521" s="80"/>
      <c r="AW1521" s="80"/>
      <c r="AX1521" s="80"/>
      <c r="AY1521" s="80"/>
      <c r="AZ1521" s="80"/>
      <c r="BA1521" s="80"/>
      <c r="BB1521" s="80"/>
      <c r="BC1521" s="80"/>
      <c r="BD1521" s="80"/>
      <c r="BE1521" s="80"/>
      <c r="BF1521" s="80"/>
      <c r="BG1521" s="80"/>
      <c r="BH1521" s="80"/>
      <c r="BI1521" s="80"/>
      <c r="BJ1521" s="80"/>
      <c r="BK1521" s="80"/>
      <c r="BL1521" s="80"/>
      <c r="BM1521" s="80"/>
      <c r="BN1521" s="80"/>
      <c r="BO1521" s="80"/>
      <c r="BP1521" s="80"/>
      <c r="BQ1521" s="80"/>
      <c r="BR1521" s="80"/>
      <c r="BS1521" s="80"/>
      <c r="BT1521" s="80"/>
      <c r="BU1521" s="80"/>
      <c r="BV1521" s="80"/>
      <c r="BW1521" s="80"/>
      <c r="BX1521" s="80"/>
      <c r="BY1521" s="80"/>
      <c r="BZ1521" s="80"/>
      <c r="CA1521" s="80"/>
      <c r="CB1521" s="80"/>
      <c r="CC1521" s="80"/>
      <c r="CD1521" s="80"/>
      <c r="CE1521" s="80"/>
      <c r="CF1521" s="80"/>
      <c r="CG1521" s="80"/>
      <c r="CH1521" s="80"/>
      <c r="CI1521" s="80"/>
      <c r="CJ1521" s="80"/>
    </row>
    <row r="1522" ht="12.75" customHeight="1">
      <c r="A1522" s="85"/>
      <c r="B1522" s="85"/>
      <c r="C1522" s="85"/>
      <c r="D1522" s="85"/>
      <c r="E1522" s="85"/>
      <c r="F1522" s="85"/>
      <c r="G1522" s="85"/>
      <c r="H1522" s="85"/>
      <c r="I1522" s="85"/>
      <c r="J1522" s="85"/>
      <c r="K1522" s="85"/>
      <c r="L1522" s="85"/>
      <c r="M1522" s="85"/>
      <c r="N1522" s="85"/>
      <c r="O1522" s="85"/>
      <c r="P1522" s="85"/>
      <c r="Q1522" s="85"/>
      <c r="R1522" s="85"/>
      <c r="S1522" s="85"/>
      <c r="T1522" s="85"/>
      <c r="U1522" s="85"/>
      <c r="V1522" s="85"/>
      <c r="W1522" s="85"/>
      <c r="X1522" s="85"/>
      <c r="Y1522" s="85"/>
      <c r="Z1522" s="85"/>
      <c r="AA1522" s="85"/>
      <c r="AB1522" s="85"/>
      <c r="AC1522" s="85"/>
      <c r="AD1522" s="85"/>
      <c r="AE1522" s="85"/>
      <c r="AF1522" s="85"/>
      <c r="AG1522" s="85"/>
      <c r="AH1522" s="85"/>
      <c r="AI1522" s="85"/>
      <c r="AJ1522" s="85"/>
      <c r="AK1522" s="85"/>
      <c r="AL1522" s="85"/>
      <c r="AM1522" s="85"/>
      <c r="AN1522" s="85"/>
      <c r="AO1522" s="85"/>
      <c r="AP1522" s="85"/>
      <c r="AQ1522" s="93"/>
      <c r="AR1522" s="85"/>
      <c r="AS1522" s="85"/>
      <c r="AT1522" s="85"/>
      <c r="AU1522" s="85"/>
      <c r="AV1522" s="85"/>
      <c r="AW1522" s="85"/>
      <c r="AX1522" s="85"/>
      <c r="AY1522" s="85"/>
      <c r="AZ1522" s="85"/>
      <c r="BA1522" s="85"/>
      <c r="BB1522" s="85"/>
      <c r="BC1522" s="85"/>
      <c r="BD1522" s="85"/>
      <c r="BE1522" s="85"/>
      <c r="BF1522" s="85"/>
      <c r="BG1522" s="85"/>
      <c r="BH1522" s="85"/>
      <c r="BI1522" s="85"/>
      <c r="BJ1522" s="85"/>
      <c r="BK1522" s="85"/>
      <c r="BL1522" s="85"/>
      <c r="BM1522" s="85"/>
      <c r="BN1522" s="85"/>
      <c r="BO1522" s="85"/>
      <c r="BP1522" s="85"/>
      <c r="BQ1522" s="85"/>
      <c r="BR1522" s="85"/>
      <c r="BS1522" s="85"/>
      <c r="BT1522" s="85"/>
      <c r="BU1522" s="85"/>
      <c r="BV1522" s="85"/>
      <c r="BW1522" s="85"/>
      <c r="BX1522" s="85"/>
      <c r="BY1522" s="85"/>
      <c r="BZ1522" s="85"/>
      <c r="CA1522" s="85"/>
      <c r="CB1522" s="85"/>
      <c r="CC1522" s="85"/>
      <c r="CD1522" s="85"/>
      <c r="CE1522" s="85"/>
      <c r="CF1522" s="85"/>
      <c r="CG1522" s="85"/>
      <c r="CH1522" s="85"/>
      <c r="CI1522" s="85"/>
      <c r="CJ1522" s="85"/>
    </row>
    <row r="1523" ht="12.75" customHeight="1">
      <c r="A1523" s="80"/>
      <c r="B1523" s="80"/>
      <c r="C1523" s="80"/>
      <c r="D1523" s="80"/>
      <c r="E1523" s="80"/>
      <c r="F1523" s="80"/>
      <c r="G1523" s="80"/>
      <c r="H1523" s="80"/>
      <c r="I1523" s="80"/>
      <c r="J1523" s="80"/>
      <c r="K1523" s="80"/>
      <c r="L1523" s="80"/>
      <c r="M1523" s="80"/>
      <c r="N1523" s="80"/>
      <c r="O1523" s="80"/>
      <c r="P1523" s="80"/>
      <c r="Q1523" s="80"/>
      <c r="R1523" s="80"/>
      <c r="S1523" s="80"/>
      <c r="T1523" s="80"/>
      <c r="U1523" s="80"/>
      <c r="V1523" s="80"/>
      <c r="W1523" s="80"/>
      <c r="X1523" s="80"/>
      <c r="Y1523" s="80"/>
      <c r="Z1523" s="80"/>
      <c r="AA1523" s="80"/>
      <c r="AB1523" s="80"/>
      <c r="AC1523" s="80"/>
      <c r="AD1523" s="80"/>
      <c r="AE1523" s="80"/>
      <c r="AF1523" s="80"/>
      <c r="AG1523" s="80"/>
      <c r="AH1523" s="80"/>
      <c r="AI1523" s="80"/>
      <c r="AJ1523" s="80"/>
      <c r="AK1523" s="80"/>
      <c r="AL1523" s="80"/>
      <c r="AM1523" s="80"/>
      <c r="AN1523" s="80"/>
      <c r="AO1523" s="80"/>
      <c r="AP1523" s="80"/>
      <c r="AQ1523" s="83"/>
      <c r="AR1523" s="80"/>
      <c r="AS1523" s="80"/>
      <c r="AT1523" s="80"/>
      <c r="AU1523" s="80"/>
      <c r="AV1523" s="80"/>
      <c r="AW1523" s="80"/>
      <c r="AX1523" s="80"/>
      <c r="AY1523" s="80"/>
      <c r="AZ1523" s="80"/>
      <c r="BA1523" s="80"/>
      <c r="BB1523" s="80"/>
      <c r="BC1523" s="80"/>
      <c r="BD1523" s="80"/>
      <c r="BE1523" s="80"/>
      <c r="BF1523" s="80"/>
      <c r="BG1523" s="80"/>
      <c r="BH1523" s="80"/>
      <c r="BI1523" s="80"/>
      <c r="BJ1523" s="80"/>
      <c r="BK1523" s="80"/>
      <c r="BL1523" s="80"/>
      <c r="BM1523" s="80"/>
      <c r="BN1523" s="80"/>
      <c r="BO1523" s="80"/>
      <c r="BP1523" s="80"/>
      <c r="BQ1523" s="80"/>
      <c r="BR1523" s="80"/>
      <c r="BS1523" s="80"/>
      <c r="BT1523" s="80"/>
      <c r="BU1523" s="80"/>
      <c r="BV1523" s="80"/>
      <c r="BW1523" s="80"/>
      <c r="BX1523" s="80"/>
      <c r="BY1523" s="80"/>
      <c r="BZ1523" s="80"/>
      <c r="CA1523" s="80"/>
      <c r="CB1523" s="80"/>
      <c r="CC1523" s="80"/>
      <c r="CD1523" s="80"/>
      <c r="CE1523" s="80"/>
      <c r="CF1523" s="80"/>
      <c r="CG1523" s="80"/>
      <c r="CH1523" s="80"/>
      <c r="CI1523" s="80"/>
      <c r="CJ1523" s="80"/>
    </row>
    <row r="1524" ht="12.75" customHeight="1">
      <c r="A1524" s="85"/>
      <c r="B1524" s="85"/>
      <c r="C1524" s="85"/>
      <c r="D1524" s="85"/>
      <c r="E1524" s="85"/>
      <c r="F1524" s="85"/>
      <c r="G1524" s="85"/>
      <c r="H1524" s="85"/>
      <c r="I1524" s="85"/>
      <c r="J1524" s="85"/>
      <c r="K1524" s="85"/>
      <c r="L1524" s="85"/>
      <c r="M1524" s="85"/>
      <c r="N1524" s="85"/>
      <c r="O1524" s="85"/>
      <c r="P1524" s="85"/>
      <c r="Q1524" s="85"/>
      <c r="R1524" s="85"/>
      <c r="S1524" s="85"/>
      <c r="T1524" s="85"/>
      <c r="U1524" s="85"/>
      <c r="V1524" s="85"/>
      <c r="W1524" s="85"/>
      <c r="X1524" s="85"/>
      <c r="Y1524" s="85"/>
      <c r="Z1524" s="85"/>
      <c r="AA1524" s="85"/>
      <c r="AB1524" s="85"/>
      <c r="AC1524" s="85"/>
      <c r="AD1524" s="85"/>
      <c r="AE1524" s="85"/>
      <c r="AF1524" s="85"/>
      <c r="AG1524" s="85"/>
      <c r="AH1524" s="85"/>
      <c r="AI1524" s="85"/>
      <c r="AJ1524" s="85"/>
      <c r="AK1524" s="85"/>
      <c r="AL1524" s="85"/>
      <c r="AM1524" s="85"/>
      <c r="AN1524" s="85"/>
      <c r="AO1524" s="85"/>
      <c r="AP1524" s="85"/>
      <c r="AQ1524" s="93"/>
      <c r="AR1524" s="85"/>
      <c r="AS1524" s="85"/>
      <c r="AT1524" s="85"/>
      <c r="AU1524" s="85"/>
      <c r="AV1524" s="85"/>
      <c r="AW1524" s="85"/>
      <c r="AX1524" s="85"/>
      <c r="AY1524" s="85"/>
      <c r="AZ1524" s="85"/>
      <c r="BA1524" s="85"/>
      <c r="BB1524" s="85"/>
      <c r="BC1524" s="85"/>
      <c r="BD1524" s="85"/>
      <c r="BE1524" s="85"/>
      <c r="BF1524" s="85"/>
      <c r="BG1524" s="85"/>
      <c r="BH1524" s="85"/>
      <c r="BI1524" s="85"/>
      <c r="BJ1524" s="85"/>
      <c r="BK1524" s="85"/>
      <c r="BL1524" s="85"/>
      <c r="BM1524" s="85"/>
      <c r="BN1524" s="85"/>
      <c r="BO1524" s="85"/>
      <c r="BP1524" s="85"/>
      <c r="BQ1524" s="85"/>
      <c r="BR1524" s="85"/>
      <c r="BS1524" s="85"/>
      <c r="BT1524" s="85"/>
      <c r="BU1524" s="85"/>
      <c r="BV1524" s="85"/>
      <c r="BW1524" s="85"/>
      <c r="BX1524" s="85"/>
      <c r="BY1524" s="85"/>
      <c r="BZ1524" s="85"/>
      <c r="CA1524" s="85"/>
      <c r="CB1524" s="85"/>
      <c r="CC1524" s="85"/>
      <c r="CD1524" s="85"/>
      <c r="CE1524" s="85"/>
      <c r="CF1524" s="85"/>
      <c r="CG1524" s="85"/>
      <c r="CH1524" s="85"/>
      <c r="CI1524" s="85"/>
      <c r="CJ1524" s="85"/>
    </row>
    <row r="1525" ht="12.75" customHeight="1">
      <c r="A1525" s="80"/>
      <c r="B1525" s="80"/>
      <c r="C1525" s="80"/>
      <c r="D1525" s="80"/>
      <c r="E1525" s="80"/>
      <c r="F1525" s="80"/>
      <c r="G1525" s="80"/>
      <c r="H1525" s="80"/>
      <c r="I1525" s="80"/>
      <c r="J1525" s="80"/>
      <c r="K1525" s="80"/>
      <c r="L1525" s="80"/>
      <c r="M1525" s="80"/>
      <c r="N1525" s="80"/>
      <c r="O1525" s="80"/>
      <c r="P1525" s="80"/>
      <c r="Q1525" s="80"/>
      <c r="R1525" s="80"/>
      <c r="S1525" s="80"/>
      <c r="T1525" s="80"/>
      <c r="U1525" s="80"/>
      <c r="V1525" s="80"/>
      <c r="W1525" s="80"/>
      <c r="X1525" s="80"/>
      <c r="Y1525" s="80"/>
      <c r="Z1525" s="80"/>
      <c r="AA1525" s="80"/>
      <c r="AB1525" s="80"/>
      <c r="AC1525" s="80"/>
      <c r="AD1525" s="80"/>
      <c r="AE1525" s="80"/>
      <c r="AF1525" s="80"/>
      <c r="AG1525" s="80"/>
      <c r="AH1525" s="80"/>
      <c r="AI1525" s="80"/>
      <c r="AJ1525" s="80"/>
      <c r="AK1525" s="80"/>
      <c r="AL1525" s="80"/>
      <c r="AM1525" s="80"/>
      <c r="AN1525" s="80"/>
      <c r="AO1525" s="80"/>
      <c r="AP1525" s="80"/>
      <c r="AQ1525" s="83"/>
      <c r="AR1525" s="80"/>
      <c r="AS1525" s="80"/>
      <c r="AT1525" s="80"/>
      <c r="AU1525" s="80"/>
      <c r="AV1525" s="80"/>
      <c r="AW1525" s="80"/>
      <c r="AX1525" s="80"/>
      <c r="AY1525" s="80"/>
      <c r="AZ1525" s="80"/>
      <c r="BA1525" s="80"/>
      <c r="BB1525" s="80"/>
      <c r="BC1525" s="80"/>
      <c r="BD1525" s="80"/>
      <c r="BE1525" s="80"/>
      <c r="BF1525" s="80"/>
      <c r="BG1525" s="80"/>
      <c r="BH1525" s="80"/>
      <c r="BI1525" s="80"/>
      <c r="BJ1525" s="80"/>
      <c r="BK1525" s="80"/>
      <c r="BL1525" s="80"/>
      <c r="BM1525" s="80"/>
      <c r="BN1525" s="80"/>
      <c r="BO1525" s="80"/>
      <c r="BP1525" s="80"/>
      <c r="BQ1525" s="80"/>
      <c r="BR1525" s="80"/>
      <c r="BS1525" s="80"/>
      <c r="BT1525" s="80"/>
      <c r="BU1525" s="80"/>
      <c r="BV1525" s="80"/>
      <c r="BW1525" s="80"/>
      <c r="BX1525" s="80"/>
      <c r="BY1525" s="80"/>
      <c r="BZ1525" s="80"/>
      <c r="CA1525" s="80"/>
      <c r="CB1525" s="80"/>
      <c r="CC1525" s="80"/>
      <c r="CD1525" s="80"/>
      <c r="CE1525" s="80"/>
      <c r="CF1525" s="80"/>
      <c r="CG1525" s="80"/>
      <c r="CH1525" s="80"/>
      <c r="CI1525" s="80"/>
      <c r="CJ1525" s="80"/>
    </row>
    <row r="1526" ht="12.75" customHeight="1">
      <c r="A1526" s="85"/>
      <c r="B1526" s="85"/>
      <c r="C1526" s="85"/>
      <c r="D1526" s="85"/>
      <c r="E1526" s="85"/>
      <c r="F1526" s="85"/>
      <c r="G1526" s="85"/>
      <c r="H1526" s="85"/>
      <c r="I1526" s="85"/>
      <c r="J1526" s="85"/>
      <c r="K1526" s="85"/>
      <c r="L1526" s="85"/>
      <c r="M1526" s="85"/>
      <c r="N1526" s="85"/>
      <c r="O1526" s="85"/>
      <c r="P1526" s="85"/>
      <c r="Q1526" s="85"/>
      <c r="R1526" s="85"/>
      <c r="S1526" s="85"/>
      <c r="T1526" s="85"/>
      <c r="U1526" s="85"/>
      <c r="V1526" s="85"/>
      <c r="W1526" s="85"/>
      <c r="X1526" s="85"/>
      <c r="Y1526" s="85"/>
      <c r="Z1526" s="85"/>
      <c r="AA1526" s="85"/>
      <c r="AB1526" s="85"/>
      <c r="AC1526" s="85"/>
      <c r="AD1526" s="85"/>
      <c r="AE1526" s="85"/>
      <c r="AF1526" s="85"/>
      <c r="AG1526" s="85"/>
      <c r="AH1526" s="85"/>
      <c r="AI1526" s="85"/>
      <c r="AJ1526" s="85"/>
      <c r="AK1526" s="85"/>
      <c r="AL1526" s="85"/>
      <c r="AM1526" s="85"/>
      <c r="AN1526" s="85"/>
      <c r="AO1526" s="85"/>
      <c r="AP1526" s="85"/>
      <c r="AQ1526" s="93"/>
      <c r="AR1526" s="85"/>
      <c r="AS1526" s="85"/>
      <c r="AT1526" s="85"/>
      <c r="AU1526" s="85"/>
      <c r="AV1526" s="85"/>
      <c r="AW1526" s="85"/>
      <c r="AX1526" s="85"/>
      <c r="AY1526" s="85"/>
      <c r="AZ1526" s="85"/>
      <c r="BA1526" s="85"/>
      <c r="BB1526" s="85"/>
      <c r="BC1526" s="85"/>
      <c r="BD1526" s="85"/>
      <c r="BE1526" s="85"/>
      <c r="BF1526" s="85"/>
      <c r="BG1526" s="85"/>
      <c r="BH1526" s="85"/>
      <c r="BI1526" s="85"/>
      <c r="BJ1526" s="85"/>
      <c r="BK1526" s="85"/>
      <c r="BL1526" s="85"/>
      <c r="BM1526" s="85"/>
      <c r="BN1526" s="85"/>
      <c r="BO1526" s="85"/>
      <c r="BP1526" s="85"/>
      <c r="BQ1526" s="85"/>
      <c r="BR1526" s="85"/>
      <c r="BS1526" s="85"/>
      <c r="BT1526" s="85"/>
      <c r="BU1526" s="85"/>
      <c r="BV1526" s="85"/>
      <c r="BW1526" s="85"/>
      <c r="BX1526" s="85"/>
      <c r="BY1526" s="85"/>
      <c r="BZ1526" s="85"/>
      <c r="CA1526" s="85"/>
      <c r="CB1526" s="85"/>
      <c r="CC1526" s="85"/>
      <c r="CD1526" s="85"/>
      <c r="CE1526" s="85"/>
      <c r="CF1526" s="85"/>
      <c r="CG1526" s="85"/>
      <c r="CH1526" s="85"/>
      <c r="CI1526" s="85"/>
      <c r="CJ1526" s="85"/>
    </row>
    <row r="1527" ht="12.75" customHeight="1">
      <c r="A1527" s="80"/>
      <c r="B1527" s="80"/>
      <c r="C1527" s="80"/>
      <c r="D1527" s="80"/>
      <c r="E1527" s="80"/>
      <c r="F1527" s="80"/>
      <c r="G1527" s="80"/>
      <c r="H1527" s="80"/>
      <c r="I1527" s="80"/>
      <c r="J1527" s="80"/>
      <c r="K1527" s="80"/>
      <c r="L1527" s="80"/>
      <c r="M1527" s="80"/>
      <c r="N1527" s="80"/>
      <c r="O1527" s="80"/>
      <c r="P1527" s="80"/>
      <c r="Q1527" s="80"/>
      <c r="R1527" s="80"/>
      <c r="S1527" s="80"/>
      <c r="T1527" s="80"/>
      <c r="U1527" s="80"/>
      <c r="V1527" s="80"/>
      <c r="W1527" s="80"/>
      <c r="X1527" s="80"/>
      <c r="Y1527" s="80"/>
      <c r="Z1527" s="80"/>
      <c r="AA1527" s="80"/>
      <c r="AB1527" s="80"/>
      <c r="AC1527" s="80"/>
      <c r="AD1527" s="80"/>
      <c r="AE1527" s="80"/>
      <c r="AF1527" s="80"/>
      <c r="AG1527" s="80"/>
      <c r="AH1527" s="80"/>
      <c r="AI1527" s="80"/>
      <c r="AJ1527" s="80"/>
      <c r="AK1527" s="80"/>
      <c r="AL1527" s="80"/>
      <c r="AM1527" s="80"/>
      <c r="AN1527" s="80"/>
      <c r="AO1527" s="80"/>
      <c r="AP1527" s="80"/>
      <c r="AQ1527" s="83"/>
      <c r="AR1527" s="80"/>
      <c r="AS1527" s="80"/>
      <c r="AT1527" s="80"/>
      <c r="AU1527" s="80"/>
      <c r="AV1527" s="80"/>
      <c r="AW1527" s="80"/>
      <c r="AX1527" s="80"/>
      <c r="AY1527" s="80"/>
      <c r="AZ1527" s="80"/>
      <c r="BA1527" s="80"/>
      <c r="BB1527" s="80"/>
      <c r="BC1527" s="80"/>
      <c r="BD1527" s="80"/>
      <c r="BE1527" s="80"/>
      <c r="BF1527" s="80"/>
      <c r="BG1527" s="80"/>
      <c r="BH1527" s="80"/>
      <c r="BI1527" s="80"/>
      <c r="BJ1527" s="80"/>
      <c r="BK1527" s="80"/>
      <c r="BL1527" s="80"/>
      <c r="BM1527" s="80"/>
      <c r="BN1527" s="80"/>
      <c r="BO1527" s="80"/>
      <c r="BP1527" s="80"/>
      <c r="BQ1527" s="80"/>
      <c r="BR1527" s="80"/>
      <c r="BS1527" s="80"/>
      <c r="BT1527" s="80"/>
      <c r="BU1527" s="80"/>
      <c r="BV1527" s="80"/>
      <c r="BW1527" s="80"/>
      <c r="BX1527" s="80"/>
      <c r="BY1527" s="80"/>
      <c r="BZ1527" s="80"/>
      <c r="CA1527" s="80"/>
      <c r="CB1527" s="80"/>
      <c r="CC1527" s="80"/>
      <c r="CD1527" s="80"/>
      <c r="CE1527" s="80"/>
      <c r="CF1527" s="80"/>
      <c r="CG1527" s="80"/>
      <c r="CH1527" s="80"/>
      <c r="CI1527" s="80"/>
      <c r="CJ1527" s="80"/>
    </row>
    <row r="1528" ht="12.75" customHeight="1">
      <c r="A1528" s="85"/>
      <c r="B1528" s="85"/>
      <c r="C1528" s="85"/>
      <c r="D1528" s="85"/>
      <c r="E1528" s="85"/>
      <c r="F1528" s="85"/>
      <c r="G1528" s="85"/>
      <c r="H1528" s="85"/>
      <c r="I1528" s="85"/>
      <c r="J1528" s="85"/>
      <c r="K1528" s="85"/>
      <c r="L1528" s="85"/>
      <c r="M1528" s="85"/>
      <c r="N1528" s="85"/>
      <c r="O1528" s="85"/>
      <c r="P1528" s="85"/>
      <c r="Q1528" s="85"/>
      <c r="R1528" s="85"/>
      <c r="S1528" s="85"/>
      <c r="T1528" s="85"/>
      <c r="U1528" s="85"/>
      <c r="V1528" s="85"/>
      <c r="W1528" s="85"/>
      <c r="X1528" s="85"/>
      <c r="Y1528" s="85"/>
      <c r="Z1528" s="85"/>
      <c r="AA1528" s="85"/>
      <c r="AB1528" s="85"/>
      <c r="AC1528" s="85"/>
      <c r="AD1528" s="85"/>
      <c r="AE1528" s="85"/>
      <c r="AF1528" s="85"/>
      <c r="AG1528" s="85"/>
      <c r="AH1528" s="85"/>
      <c r="AI1528" s="85"/>
      <c r="AJ1528" s="85"/>
      <c r="AK1528" s="85"/>
      <c r="AL1528" s="85"/>
      <c r="AM1528" s="85"/>
      <c r="AN1528" s="85"/>
      <c r="AO1528" s="85"/>
      <c r="AP1528" s="85"/>
      <c r="AQ1528" s="93"/>
      <c r="AR1528" s="85"/>
      <c r="AS1528" s="85"/>
      <c r="AT1528" s="85"/>
      <c r="AU1528" s="85"/>
      <c r="AV1528" s="85"/>
      <c r="AW1528" s="85"/>
      <c r="AX1528" s="85"/>
      <c r="AY1528" s="85"/>
      <c r="AZ1528" s="85"/>
      <c r="BA1528" s="85"/>
      <c r="BB1528" s="85"/>
      <c r="BC1528" s="85"/>
      <c r="BD1528" s="85"/>
      <c r="BE1528" s="85"/>
      <c r="BF1528" s="85"/>
      <c r="BG1528" s="85"/>
      <c r="BH1528" s="85"/>
      <c r="BI1528" s="85"/>
      <c r="BJ1528" s="85"/>
      <c r="BK1528" s="85"/>
      <c r="BL1528" s="85"/>
      <c r="BM1528" s="85"/>
      <c r="BN1528" s="85"/>
      <c r="BO1528" s="85"/>
      <c r="BP1528" s="85"/>
      <c r="BQ1528" s="85"/>
      <c r="BR1528" s="85"/>
      <c r="BS1528" s="85"/>
      <c r="BT1528" s="85"/>
      <c r="BU1528" s="85"/>
      <c r="BV1528" s="85"/>
      <c r="BW1528" s="85"/>
      <c r="BX1528" s="85"/>
      <c r="BY1528" s="85"/>
      <c r="BZ1528" s="85"/>
      <c r="CA1528" s="85"/>
      <c r="CB1528" s="85"/>
      <c r="CC1528" s="85"/>
      <c r="CD1528" s="85"/>
      <c r="CE1528" s="85"/>
      <c r="CF1528" s="85"/>
      <c r="CG1528" s="85"/>
      <c r="CH1528" s="85"/>
      <c r="CI1528" s="85"/>
      <c r="CJ1528" s="85"/>
    </row>
    <row r="1529" ht="12.75" customHeight="1">
      <c r="A1529" s="80"/>
      <c r="B1529" s="80"/>
      <c r="C1529" s="80"/>
      <c r="D1529" s="80"/>
      <c r="E1529" s="80"/>
      <c r="F1529" s="80"/>
      <c r="G1529" s="80"/>
      <c r="H1529" s="80"/>
      <c r="I1529" s="80"/>
      <c r="J1529" s="80"/>
      <c r="K1529" s="80"/>
      <c r="L1529" s="80"/>
      <c r="M1529" s="80"/>
      <c r="N1529" s="80"/>
      <c r="O1529" s="80"/>
      <c r="P1529" s="80"/>
      <c r="Q1529" s="80"/>
      <c r="R1529" s="80"/>
      <c r="S1529" s="80"/>
      <c r="T1529" s="80"/>
      <c r="U1529" s="80"/>
      <c r="V1529" s="80"/>
      <c r="W1529" s="80"/>
      <c r="X1529" s="80"/>
      <c r="Y1529" s="80"/>
      <c r="Z1529" s="80"/>
      <c r="AA1529" s="80"/>
      <c r="AB1529" s="80"/>
      <c r="AC1529" s="80"/>
      <c r="AD1529" s="80"/>
      <c r="AE1529" s="80"/>
      <c r="AF1529" s="80"/>
      <c r="AG1529" s="80"/>
      <c r="AH1529" s="80"/>
      <c r="AI1529" s="80"/>
      <c r="AJ1529" s="80"/>
      <c r="AK1529" s="80"/>
      <c r="AL1529" s="80"/>
      <c r="AM1529" s="80"/>
      <c r="AN1529" s="80"/>
      <c r="AO1529" s="80"/>
      <c r="AP1529" s="80"/>
      <c r="AQ1529" s="83"/>
      <c r="AR1529" s="80"/>
      <c r="AS1529" s="80"/>
      <c r="AT1529" s="80"/>
      <c r="AU1529" s="80"/>
      <c r="AV1529" s="80"/>
      <c r="AW1529" s="80"/>
      <c r="AX1529" s="80"/>
      <c r="AY1529" s="80"/>
      <c r="AZ1529" s="80"/>
      <c r="BA1529" s="80"/>
      <c r="BB1529" s="80"/>
      <c r="BC1529" s="80"/>
      <c r="BD1529" s="80"/>
      <c r="BE1529" s="80"/>
      <c r="BF1529" s="80"/>
      <c r="BG1529" s="80"/>
      <c r="BH1529" s="80"/>
      <c r="BI1529" s="80"/>
      <c r="BJ1529" s="80"/>
      <c r="BK1529" s="80"/>
      <c r="BL1529" s="80"/>
      <c r="BM1529" s="80"/>
      <c r="BN1529" s="80"/>
      <c r="BO1529" s="80"/>
      <c r="BP1529" s="80"/>
      <c r="BQ1529" s="80"/>
      <c r="BR1529" s="80"/>
      <c r="BS1529" s="80"/>
      <c r="BT1529" s="80"/>
      <c r="BU1529" s="80"/>
      <c r="BV1529" s="80"/>
      <c r="BW1529" s="80"/>
      <c r="BX1529" s="80"/>
      <c r="BY1529" s="80"/>
      <c r="BZ1529" s="80"/>
      <c r="CA1529" s="80"/>
      <c r="CB1529" s="80"/>
      <c r="CC1529" s="80"/>
      <c r="CD1529" s="80"/>
      <c r="CE1529" s="80"/>
      <c r="CF1529" s="80"/>
      <c r="CG1529" s="80"/>
      <c r="CH1529" s="80"/>
      <c r="CI1529" s="80"/>
      <c r="CJ1529" s="80"/>
    </row>
    <row r="1530" ht="12.75" customHeight="1">
      <c r="A1530" s="85"/>
      <c r="B1530" s="85"/>
      <c r="C1530" s="85"/>
      <c r="D1530" s="85"/>
      <c r="E1530" s="85"/>
      <c r="F1530" s="85"/>
      <c r="G1530" s="85"/>
      <c r="H1530" s="85"/>
      <c r="I1530" s="85"/>
      <c r="J1530" s="85"/>
      <c r="K1530" s="85"/>
      <c r="L1530" s="85"/>
      <c r="M1530" s="85"/>
      <c r="N1530" s="85"/>
      <c r="O1530" s="85"/>
      <c r="P1530" s="85"/>
      <c r="Q1530" s="85"/>
      <c r="R1530" s="85"/>
      <c r="S1530" s="85"/>
      <c r="T1530" s="85"/>
      <c r="U1530" s="85"/>
      <c r="V1530" s="85"/>
      <c r="W1530" s="85"/>
      <c r="X1530" s="85"/>
      <c r="Y1530" s="85"/>
      <c r="Z1530" s="85"/>
      <c r="AA1530" s="85"/>
      <c r="AB1530" s="85"/>
      <c r="AC1530" s="85"/>
      <c r="AD1530" s="85"/>
      <c r="AE1530" s="85"/>
      <c r="AF1530" s="85"/>
      <c r="AG1530" s="85"/>
      <c r="AH1530" s="85"/>
      <c r="AI1530" s="85"/>
      <c r="AJ1530" s="85"/>
      <c r="AK1530" s="85"/>
      <c r="AL1530" s="85"/>
      <c r="AM1530" s="85"/>
      <c r="AN1530" s="85"/>
      <c r="AO1530" s="85"/>
      <c r="AP1530" s="85"/>
      <c r="AQ1530" s="93"/>
      <c r="AR1530" s="85"/>
      <c r="AS1530" s="85"/>
      <c r="AT1530" s="85"/>
      <c r="AU1530" s="85"/>
      <c r="AV1530" s="85"/>
      <c r="AW1530" s="85"/>
      <c r="AX1530" s="85"/>
      <c r="AY1530" s="85"/>
      <c r="AZ1530" s="85"/>
      <c r="BA1530" s="85"/>
      <c r="BB1530" s="85"/>
      <c r="BC1530" s="85"/>
      <c r="BD1530" s="85"/>
      <c r="BE1530" s="85"/>
      <c r="BF1530" s="85"/>
      <c r="BG1530" s="85"/>
      <c r="BH1530" s="85"/>
      <c r="BI1530" s="85"/>
      <c r="BJ1530" s="85"/>
      <c r="BK1530" s="85"/>
      <c r="BL1530" s="85"/>
      <c r="BM1530" s="85"/>
      <c r="BN1530" s="85"/>
      <c r="BO1530" s="85"/>
      <c r="BP1530" s="85"/>
      <c r="BQ1530" s="85"/>
      <c r="BR1530" s="85"/>
      <c r="BS1530" s="85"/>
      <c r="BT1530" s="85"/>
      <c r="BU1530" s="85"/>
      <c r="BV1530" s="85"/>
      <c r="BW1530" s="85"/>
      <c r="BX1530" s="85"/>
      <c r="BY1530" s="85"/>
      <c r="BZ1530" s="85"/>
      <c r="CA1530" s="85"/>
      <c r="CB1530" s="85"/>
      <c r="CC1530" s="85"/>
      <c r="CD1530" s="85"/>
      <c r="CE1530" s="85"/>
      <c r="CF1530" s="85"/>
      <c r="CG1530" s="85"/>
      <c r="CH1530" s="85"/>
      <c r="CI1530" s="85"/>
      <c r="CJ1530" s="85"/>
    </row>
    <row r="1531" ht="12.75" customHeight="1">
      <c r="A1531" s="80"/>
      <c r="B1531" s="80"/>
      <c r="C1531" s="80"/>
      <c r="D1531" s="80"/>
      <c r="E1531" s="80"/>
      <c r="F1531" s="80"/>
      <c r="G1531" s="80"/>
      <c r="H1531" s="80"/>
      <c r="I1531" s="80"/>
      <c r="J1531" s="80"/>
      <c r="K1531" s="80"/>
      <c r="L1531" s="80"/>
      <c r="M1531" s="80"/>
      <c r="N1531" s="80"/>
      <c r="O1531" s="80"/>
      <c r="P1531" s="80"/>
      <c r="Q1531" s="80"/>
      <c r="R1531" s="80"/>
      <c r="S1531" s="80"/>
      <c r="T1531" s="80"/>
      <c r="U1531" s="80"/>
      <c r="V1531" s="80"/>
      <c r="W1531" s="80"/>
      <c r="X1531" s="80"/>
      <c r="Y1531" s="80"/>
      <c r="Z1531" s="80"/>
      <c r="AA1531" s="80"/>
      <c r="AB1531" s="80"/>
      <c r="AC1531" s="80"/>
      <c r="AD1531" s="80"/>
      <c r="AE1531" s="80"/>
      <c r="AF1531" s="80"/>
      <c r="AG1531" s="80"/>
      <c r="AH1531" s="80"/>
      <c r="AI1531" s="80"/>
      <c r="AJ1531" s="80"/>
      <c r="AK1531" s="80"/>
      <c r="AL1531" s="80"/>
      <c r="AM1531" s="80"/>
      <c r="AN1531" s="80"/>
      <c r="AO1531" s="80"/>
      <c r="AP1531" s="80"/>
      <c r="AQ1531" s="83"/>
      <c r="AR1531" s="80"/>
      <c r="AS1531" s="80"/>
      <c r="AT1531" s="80"/>
      <c r="AU1531" s="80"/>
      <c r="AV1531" s="80"/>
      <c r="AW1531" s="80"/>
      <c r="AX1531" s="80"/>
      <c r="AY1531" s="80"/>
      <c r="AZ1531" s="80"/>
      <c r="BA1531" s="80"/>
      <c r="BB1531" s="80"/>
      <c r="BC1531" s="80"/>
      <c r="BD1531" s="80"/>
      <c r="BE1531" s="80"/>
      <c r="BF1531" s="80"/>
      <c r="BG1531" s="80"/>
      <c r="BH1531" s="80"/>
      <c r="BI1531" s="80"/>
      <c r="BJ1531" s="80"/>
      <c r="BK1531" s="80"/>
      <c r="BL1531" s="80"/>
      <c r="BM1531" s="80"/>
      <c r="BN1531" s="80"/>
      <c r="BO1531" s="80"/>
      <c r="BP1531" s="80"/>
      <c r="BQ1531" s="80"/>
      <c r="BR1531" s="80"/>
      <c r="BS1531" s="80"/>
      <c r="BT1531" s="80"/>
      <c r="BU1531" s="80"/>
      <c r="BV1531" s="80"/>
      <c r="BW1531" s="80"/>
      <c r="BX1531" s="80"/>
      <c r="BY1531" s="80"/>
      <c r="BZ1531" s="80"/>
      <c r="CA1531" s="80"/>
      <c r="CB1531" s="80"/>
      <c r="CC1531" s="80"/>
      <c r="CD1531" s="80"/>
      <c r="CE1531" s="80"/>
      <c r="CF1531" s="80"/>
      <c r="CG1531" s="80"/>
      <c r="CH1531" s="80"/>
      <c r="CI1531" s="80"/>
      <c r="CJ1531" s="80"/>
    </row>
    <row r="1532" ht="12.75" customHeight="1">
      <c r="A1532" s="85"/>
      <c r="B1532" s="85"/>
      <c r="C1532" s="85"/>
      <c r="D1532" s="85"/>
      <c r="E1532" s="85"/>
      <c r="F1532" s="85"/>
      <c r="G1532" s="85"/>
      <c r="H1532" s="85"/>
      <c r="I1532" s="85"/>
      <c r="J1532" s="85"/>
      <c r="K1532" s="85"/>
      <c r="L1532" s="85"/>
      <c r="M1532" s="85"/>
      <c r="N1532" s="85"/>
      <c r="O1532" s="85"/>
      <c r="P1532" s="85"/>
      <c r="Q1532" s="85"/>
      <c r="R1532" s="85"/>
      <c r="S1532" s="85"/>
      <c r="T1532" s="85"/>
      <c r="U1532" s="85"/>
      <c r="V1532" s="85"/>
      <c r="W1532" s="85"/>
      <c r="X1532" s="85"/>
      <c r="Y1532" s="85"/>
      <c r="Z1532" s="85"/>
      <c r="AA1532" s="85"/>
      <c r="AB1532" s="85"/>
      <c r="AC1532" s="85"/>
      <c r="AD1532" s="85"/>
      <c r="AE1532" s="85"/>
      <c r="AF1532" s="85"/>
      <c r="AG1532" s="85"/>
      <c r="AH1532" s="85"/>
      <c r="AI1532" s="85"/>
      <c r="AJ1532" s="85"/>
      <c r="AK1532" s="85"/>
      <c r="AL1532" s="85"/>
      <c r="AM1532" s="85"/>
      <c r="AN1532" s="85"/>
      <c r="AO1532" s="85"/>
      <c r="AP1532" s="85"/>
      <c r="AQ1532" s="93"/>
      <c r="AR1532" s="85"/>
      <c r="AS1532" s="85"/>
      <c r="AT1532" s="85"/>
      <c r="AU1532" s="85"/>
      <c r="AV1532" s="85"/>
      <c r="AW1532" s="85"/>
      <c r="AX1532" s="85"/>
      <c r="AY1532" s="85"/>
      <c r="AZ1532" s="85"/>
      <c r="BA1532" s="85"/>
      <c r="BB1532" s="85"/>
      <c r="BC1532" s="85"/>
      <c r="BD1532" s="85"/>
      <c r="BE1532" s="85"/>
      <c r="BF1532" s="85"/>
      <c r="BG1532" s="85"/>
      <c r="BH1532" s="85"/>
      <c r="BI1532" s="85"/>
      <c r="BJ1532" s="85"/>
      <c r="BK1532" s="85"/>
      <c r="BL1532" s="85"/>
      <c r="BM1532" s="85"/>
      <c r="BN1532" s="85"/>
      <c r="BO1532" s="85"/>
      <c r="BP1532" s="85"/>
      <c r="BQ1532" s="85"/>
      <c r="BR1532" s="85"/>
      <c r="BS1532" s="85"/>
      <c r="BT1532" s="85"/>
      <c r="BU1532" s="85"/>
      <c r="BV1532" s="85"/>
      <c r="BW1532" s="85"/>
      <c r="BX1532" s="85"/>
      <c r="BY1532" s="85"/>
      <c r="BZ1532" s="85"/>
      <c r="CA1532" s="85"/>
      <c r="CB1532" s="85"/>
      <c r="CC1532" s="85"/>
      <c r="CD1532" s="85"/>
      <c r="CE1532" s="85"/>
      <c r="CF1532" s="85"/>
      <c r="CG1532" s="85"/>
      <c r="CH1532" s="85"/>
      <c r="CI1532" s="85"/>
      <c r="CJ1532" s="85"/>
    </row>
    <row r="1533" ht="12.75" customHeight="1">
      <c r="A1533" s="80"/>
      <c r="B1533" s="80"/>
      <c r="C1533" s="80"/>
      <c r="D1533" s="80"/>
      <c r="E1533" s="80"/>
      <c r="F1533" s="80"/>
      <c r="G1533" s="80"/>
      <c r="H1533" s="80"/>
      <c r="I1533" s="80"/>
      <c r="J1533" s="80"/>
      <c r="K1533" s="80"/>
      <c r="L1533" s="80"/>
      <c r="M1533" s="80"/>
      <c r="N1533" s="80"/>
      <c r="O1533" s="80"/>
      <c r="P1533" s="80"/>
      <c r="Q1533" s="80"/>
      <c r="R1533" s="80"/>
      <c r="S1533" s="80"/>
      <c r="T1533" s="80"/>
      <c r="U1533" s="80"/>
      <c r="V1533" s="80"/>
      <c r="W1533" s="80"/>
      <c r="X1533" s="80"/>
      <c r="Y1533" s="80"/>
      <c r="Z1533" s="80"/>
      <c r="AA1533" s="80"/>
      <c r="AB1533" s="80"/>
      <c r="AC1533" s="80"/>
      <c r="AD1533" s="80"/>
      <c r="AE1533" s="80"/>
      <c r="AF1533" s="80"/>
      <c r="AG1533" s="80"/>
      <c r="AH1533" s="80"/>
      <c r="AI1533" s="80"/>
      <c r="AJ1533" s="80"/>
      <c r="AK1533" s="80"/>
      <c r="AL1533" s="80"/>
      <c r="AM1533" s="80"/>
      <c r="AN1533" s="80"/>
      <c r="AO1533" s="80"/>
      <c r="AP1533" s="80"/>
      <c r="AQ1533" s="83"/>
      <c r="AR1533" s="80"/>
      <c r="AS1533" s="80"/>
      <c r="AT1533" s="80"/>
      <c r="AU1533" s="80"/>
      <c r="AV1533" s="80"/>
      <c r="AW1533" s="80"/>
      <c r="AX1533" s="80"/>
      <c r="AY1533" s="80"/>
      <c r="AZ1533" s="80"/>
      <c r="BA1533" s="80"/>
      <c r="BB1533" s="80"/>
      <c r="BC1533" s="80"/>
      <c r="BD1533" s="80"/>
      <c r="BE1533" s="80"/>
      <c r="BF1533" s="80"/>
      <c r="BG1533" s="80"/>
      <c r="BH1533" s="80"/>
      <c r="BI1533" s="80"/>
      <c r="BJ1533" s="80"/>
      <c r="BK1533" s="80"/>
      <c r="BL1533" s="80"/>
      <c r="BM1533" s="80"/>
      <c r="BN1533" s="80"/>
      <c r="BO1533" s="80"/>
      <c r="BP1533" s="80"/>
      <c r="BQ1533" s="80"/>
      <c r="BR1533" s="80"/>
      <c r="BS1533" s="80"/>
      <c r="BT1533" s="80"/>
      <c r="BU1533" s="80"/>
      <c r="BV1533" s="80"/>
      <c r="BW1533" s="80"/>
      <c r="BX1533" s="80"/>
      <c r="BY1533" s="80"/>
      <c r="BZ1533" s="80"/>
      <c r="CA1533" s="80"/>
      <c r="CB1533" s="80"/>
      <c r="CC1533" s="80"/>
      <c r="CD1533" s="80"/>
      <c r="CE1533" s="80"/>
      <c r="CF1533" s="80"/>
      <c r="CG1533" s="80"/>
      <c r="CH1533" s="80"/>
      <c r="CI1533" s="80"/>
      <c r="CJ1533" s="80"/>
    </row>
    <row r="1534" ht="12.75" customHeight="1">
      <c r="A1534" s="85"/>
      <c r="B1534" s="85"/>
      <c r="C1534" s="85"/>
      <c r="D1534" s="85"/>
      <c r="E1534" s="85"/>
      <c r="F1534" s="85"/>
      <c r="G1534" s="85"/>
      <c r="H1534" s="85"/>
      <c r="I1534" s="85"/>
      <c r="J1534" s="85"/>
      <c r="K1534" s="85"/>
      <c r="L1534" s="85"/>
      <c r="M1534" s="85"/>
      <c r="N1534" s="85"/>
      <c r="O1534" s="85"/>
      <c r="P1534" s="85"/>
      <c r="Q1534" s="85"/>
      <c r="R1534" s="85"/>
      <c r="S1534" s="85"/>
      <c r="T1534" s="85"/>
      <c r="U1534" s="85"/>
      <c r="V1534" s="85"/>
      <c r="W1534" s="85"/>
      <c r="X1534" s="85"/>
      <c r="Y1534" s="85"/>
      <c r="Z1534" s="85"/>
      <c r="AA1534" s="85"/>
      <c r="AB1534" s="85"/>
      <c r="AC1534" s="85"/>
      <c r="AD1534" s="85"/>
      <c r="AE1534" s="85"/>
      <c r="AF1534" s="85"/>
      <c r="AG1534" s="85"/>
      <c r="AH1534" s="85"/>
      <c r="AI1534" s="85"/>
      <c r="AJ1534" s="85"/>
      <c r="AK1534" s="85"/>
      <c r="AL1534" s="85"/>
      <c r="AM1534" s="85"/>
      <c r="AN1534" s="85"/>
      <c r="AO1534" s="85"/>
      <c r="AP1534" s="85"/>
      <c r="AQ1534" s="93"/>
      <c r="AR1534" s="85"/>
      <c r="AS1534" s="85"/>
      <c r="AT1534" s="85"/>
      <c r="AU1534" s="85"/>
      <c r="AV1534" s="85"/>
      <c r="AW1534" s="85"/>
      <c r="AX1534" s="85"/>
      <c r="AY1534" s="85"/>
      <c r="AZ1534" s="85"/>
      <c r="BA1534" s="85"/>
      <c r="BB1534" s="85"/>
      <c r="BC1534" s="85"/>
      <c r="BD1534" s="85"/>
      <c r="BE1534" s="85"/>
      <c r="BF1534" s="85"/>
      <c r="BG1534" s="85"/>
      <c r="BH1534" s="85"/>
      <c r="BI1534" s="85"/>
      <c r="BJ1534" s="85"/>
      <c r="BK1534" s="85"/>
      <c r="BL1534" s="85"/>
      <c r="BM1534" s="85"/>
      <c r="BN1534" s="85"/>
      <c r="BO1534" s="85"/>
      <c r="BP1534" s="85"/>
      <c r="BQ1534" s="85"/>
      <c r="BR1534" s="85"/>
      <c r="BS1534" s="85"/>
      <c r="BT1534" s="85"/>
      <c r="BU1534" s="85"/>
      <c r="BV1534" s="85"/>
      <c r="BW1534" s="85"/>
      <c r="BX1534" s="85"/>
      <c r="BY1534" s="85"/>
      <c r="BZ1534" s="85"/>
      <c r="CA1534" s="85"/>
      <c r="CB1534" s="85"/>
      <c r="CC1534" s="85"/>
      <c r="CD1534" s="85"/>
      <c r="CE1534" s="85"/>
      <c r="CF1534" s="85"/>
      <c r="CG1534" s="85"/>
      <c r="CH1534" s="85"/>
      <c r="CI1534" s="85"/>
      <c r="CJ1534" s="85"/>
    </row>
    <row r="1535" ht="12.75" customHeight="1">
      <c r="A1535" s="80"/>
      <c r="B1535" s="80"/>
      <c r="C1535" s="80"/>
      <c r="D1535" s="80"/>
      <c r="E1535" s="80"/>
      <c r="F1535" s="80"/>
      <c r="G1535" s="80"/>
      <c r="H1535" s="80"/>
      <c r="I1535" s="80"/>
      <c r="J1535" s="80"/>
      <c r="K1535" s="80"/>
      <c r="L1535" s="80"/>
      <c r="M1535" s="80"/>
      <c r="N1535" s="80"/>
      <c r="O1535" s="80"/>
      <c r="P1535" s="80"/>
      <c r="Q1535" s="80"/>
      <c r="R1535" s="80"/>
      <c r="S1535" s="80"/>
      <c r="T1535" s="80"/>
      <c r="U1535" s="80"/>
      <c r="V1535" s="80"/>
      <c r="W1535" s="80"/>
      <c r="X1535" s="80"/>
      <c r="Y1535" s="80"/>
      <c r="Z1535" s="80"/>
      <c r="AA1535" s="80"/>
      <c r="AB1535" s="80"/>
      <c r="AC1535" s="80"/>
      <c r="AD1535" s="80"/>
      <c r="AE1535" s="80"/>
      <c r="AF1535" s="80"/>
      <c r="AG1535" s="80"/>
      <c r="AH1535" s="80"/>
      <c r="AI1535" s="80"/>
      <c r="AJ1535" s="80"/>
      <c r="AK1535" s="80"/>
      <c r="AL1535" s="80"/>
      <c r="AM1535" s="80"/>
      <c r="AN1535" s="80"/>
      <c r="AO1535" s="80"/>
      <c r="AP1535" s="80"/>
      <c r="AQ1535" s="83"/>
      <c r="AR1535" s="80"/>
      <c r="AS1535" s="80"/>
      <c r="AT1535" s="80"/>
      <c r="AU1535" s="80"/>
      <c r="AV1535" s="80"/>
      <c r="AW1535" s="80"/>
      <c r="AX1535" s="80"/>
      <c r="AY1535" s="80"/>
      <c r="AZ1535" s="80"/>
      <c r="BA1535" s="80"/>
      <c r="BB1535" s="80"/>
      <c r="BC1535" s="80"/>
      <c r="BD1535" s="80"/>
      <c r="BE1535" s="80"/>
      <c r="BF1535" s="80"/>
      <c r="BG1535" s="80"/>
      <c r="BH1535" s="80"/>
      <c r="BI1535" s="80"/>
      <c r="BJ1535" s="80"/>
      <c r="BK1535" s="80"/>
      <c r="BL1535" s="80"/>
      <c r="BM1535" s="80"/>
      <c r="BN1535" s="80"/>
      <c r="BO1535" s="80"/>
      <c r="BP1535" s="80"/>
      <c r="BQ1535" s="80"/>
      <c r="BR1535" s="80"/>
      <c r="BS1535" s="80"/>
      <c r="BT1535" s="80"/>
      <c r="BU1535" s="80"/>
      <c r="BV1535" s="80"/>
      <c r="BW1535" s="80"/>
      <c r="BX1535" s="80"/>
      <c r="BY1535" s="80"/>
      <c r="BZ1535" s="80"/>
      <c r="CA1535" s="80"/>
      <c r="CB1535" s="80"/>
      <c r="CC1535" s="80"/>
      <c r="CD1535" s="80"/>
      <c r="CE1535" s="80"/>
      <c r="CF1535" s="80"/>
      <c r="CG1535" s="80"/>
      <c r="CH1535" s="80"/>
      <c r="CI1535" s="80"/>
      <c r="CJ1535" s="80"/>
    </row>
    <row r="1536" ht="12.75" customHeight="1">
      <c r="A1536" s="85"/>
      <c r="B1536" s="85"/>
      <c r="C1536" s="85"/>
      <c r="D1536" s="85"/>
      <c r="E1536" s="85"/>
      <c r="F1536" s="85"/>
      <c r="G1536" s="85"/>
      <c r="H1536" s="85"/>
      <c r="I1536" s="85"/>
      <c r="J1536" s="85"/>
      <c r="K1536" s="85"/>
      <c r="L1536" s="85"/>
      <c r="M1536" s="85"/>
      <c r="N1536" s="85"/>
      <c r="O1536" s="85"/>
      <c r="P1536" s="85"/>
      <c r="Q1536" s="85"/>
      <c r="R1536" s="85"/>
      <c r="S1536" s="85"/>
      <c r="T1536" s="85"/>
      <c r="U1536" s="85"/>
      <c r="V1536" s="85"/>
      <c r="W1536" s="85"/>
      <c r="X1536" s="85"/>
      <c r="Y1536" s="85"/>
      <c r="Z1536" s="85"/>
      <c r="AA1536" s="85"/>
      <c r="AB1536" s="85"/>
      <c r="AC1536" s="85"/>
      <c r="AD1536" s="85"/>
      <c r="AE1536" s="85"/>
      <c r="AF1536" s="85"/>
      <c r="AG1536" s="85"/>
      <c r="AH1536" s="85"/>
      <c r="AI1536" s="85"/>
      <c r="AJ1536" s="85"/>
      <c r="AK1536" s="85"/>
      <c r="AL1536" s="85"/>
      <c r="AM1536" s="85"/>
      <c r="AN1536" s="85"/>
      <c r="AO1536" s="85"/>
      <c r="AP1536" s="85"/>
      <c r="AQ1536" s="93"/>
      <c r="AR1536" s="85"/>
      <c r="AS1536" s="85"/>
      <c r="AT1536" s="85"/>
      <c r="AU1536" s="85"/>
      <c r="AV1536" s="85"/>
      <c r="AW1536" s="85"/>
      <c r="AX1536" s="85"/>
      <c r="AY1536" s="85"/>
      <c r="AZ1536" s="85"/>
      <c r="BA1536" s="85"/>
      <c r="BB1536" s="85"/>
      <c r="BC1536" s="85"/>
      <c r="BD1536" s="85"/>
      <c r="BE1536" s="85"/>
      <c r="BF1536" s="85"/>
      <c r="BG1536" s="85"/>
      <c r="BH1536" s="85"/>
      <c r="BI1536" s="85"/>
      <c r="BJ1536" s="85"/>
      <c r="BK1536" s="85"/>
      <c r="BL1536" s="85"/>
      <c r="BM1536" s="85"/>
      <c r="BN1536" s="85"/>
      <c r="BO1536" s="85"/>
      <c r="BP1536" s="85"/>
      <c r="BQ1536" s="85"/>
      <c r="BR1536" s="85"/>
      <c r="BS1536" s="85"/>
      <c r="BT1536" s="85"/>
      <c r="BU1536" s="85"/>
      <c r="BV1536" s="85"/>
      <c r="BW1536" s="85"/>
      <c r="BX1536" s="85"/>
      <c r="BY1536" s="85"/>
      <c r="BZ1536" s="85"/>
      <c r="CA1536" s="85"/>
      <c r="CB1536" s="85"/>
      <c r="CC1536" s="85"/>
      <c r="CD1536" s="85"/>
      <c r="CE1536" s="85"/>
      <c r="CF1536" s="85"/>
      <c r="CG1536" s="85"/>
      <c r="CH1536" s="85"/>
      <c r="CI1536" s="85"/>
      <c r="CJ1536" s="85"/>
    </row>
    <row r="1537" ht="12.75" customHeight="1">
      <c r="A1537" s="80"/>
      <c r="B1537" s="80"/>
      <c r="C1537" s="80"/>
      <c r="D1537" s="80"/>
      <c r="E1537" s="80"/>
      <c r="F1537" s="80"/>
      <c r="G1537" s="80"/>
      <c r="H1537" s="80"/>
      <c r="I1537" s="80"/>
      <c r="J1537" s="80"/>
      <c r="K1537" s="80"/>
      <c r="L1537" s="80"/>
      <c r="M1537" s="80"/>
      <c r="N1537" s="80"/>
      <c r="O1537" s="80"/>
      <c r="P1537" s="80"/>
      <c r="Q1537" s="80"/>
      <c r="R1537" s="80"/>
      <c r="S1537" s="80"/>
      <c r="T1537" s="80"/>
      <c r="U1537" s="80"/>
      <c r="V1537" s="80"/>
      <c r="W1537" s="80"/>
      <c r="X1537" s="80"/>
      <c r="Y1537" s="80"/>
      <c r="Z1537" s="80"/>
      <c r="AA1537" s="80"/>
      <c r="AB1537" s="80"/>
      <c r="AC1537" s="80"/>
      <c r="AD1537" s="80"/>
      <c r="AE1537" s="80"/>
      <c r="AF1537" s="80"/>
      <c r="AG1537" s="80"/>
      <c r="AH1537" s="80"/>
      <c r="AI1537" s="80"/>
      <c r="AJ1537" s="80"/>
      <c r="AK1537" s="80"/>
      <c r="AL1537" s="80"/>
      <c r="AM1537" s="80"/>
      <c r="AN1537" s="80"/>
      <c r="AO1537" s="80"/>
      <c r="AP1537" s="80"/>
      <c r="AQ1537" s="83"/>
      <c r="AR1537" s="80"/>
      <c r="AS1537" s="80"/>
      <c r="AT1537" s="80"/>
      <c r="AU1537" s="80"/>
      <c r="AV1537" s="80"/>
      <c r="AW1537" s="80"/>
      <c r="AX1537" s="80"/>
      <c r="AY1537" s="80"/>
      <c r="AZ1537" s="80"/>
      <c r="BA1537" s="80"/>
      <c r="BB1537" s="80"/>
      <c r="BC1537" s="80"/>
      <c r="BD1537" s="80"/>
      <c r="BE1537" s="80"/>
      <c r="BF1537" s="80"/>
      <c r="BG1537" s="80"/>
      <c r="BH1537" s="80"/>
      <c r="BI1537" s="80"/>
      <c r="BJ1537" s="80"/>
      <c r="BK1537" s="80"/>
      <c r="BL1537" s="80"/>
      <c r="BM1537" s="80"/>
      <c r="BN1537" s="80"/>
      <c r="BO1537" s="80"/>
      <c r="BP1537" s="80"/>
      <c r="BQ1537" s="80"/>
      <c r="BR1537" s="80"/>
      <c r="BS1537" s="80"/>
      <c r="BT1537" s="80"/>
      <c r="BU1537" s="80"/>
      <c r="BV1537" s="80"/>
      <c r="BW1537" s="80"/>
      <c r="BX1537" s="80"/>
      <c r="BY1537" s="80"/>
      <c r="BZ1537" s="80"/>
      <c r="CA1537" s="80"/>
      <c r="CB1537" s="80"/>
      <c r="CC1537" s="80"/>
      <c r="CD1537" s="80"/>
      <c r="CE1537" s="80"/>
      <c r="CF1537" s="80"/>
      <c r="CG1537" s="80"/>
      <c r="CH1537" s="80"/>
      <c r="CI1537" s="80"/>
      <c r="CJ1537" s="80"/>
    </row>
    <row r="1538" ht="12.75" customHeight="1">
      <c r="A1538" s="85"/>
      <c r="B1538" s="85"/>
      <c r="C1538" s="85"/>
      <c r="D1538" s="85"/>
      <c r="E1538" s="85"/>
      <c r="F1538" s="85"/>
      <c r="G1538" s="85"/>
      <c r="H1538" s="85"/>
      <c r="I1538" s="85"/>
      <c r="J1538" s="85"/>
      <c r="K1538" s="85"/>
      <c r="L1538" s="85"/>
      <c r="M1538" s="85"/>
      <c r="N1538" s="85"/>
      <c r="O1538" s="85"/>
      <c r="P1538" s="85"/>
      <c r="Q1538" s="85"/>
      <c r="R1538" s="85"/>
      <c r="S1538" s="85"/>
      <c r="T1538" s="85"/>
      <c r="U1538" s="85"/>
      <c r="V1538" s="85"/>
      <c r="W1538" s="85"/>
      <c r="X1538" s="85"/>
      <c r="Y1538" s="85"/>
      <c r="Z1538" s="85"/>
      <c r="AA1538" s="85"/>
      <c r="AB1538" s="85"/>
      <c r="AC1538" s="85"/>
      <c r="AD1538" s="85"/>
      <c r="AE1538" s="85"/>
      <c r="AF1538" s="85"/>
      <c r="AG1538" s="85"/>
      <c r="AH1538" s="85"/>
      <c r="AI1538" s="85"/>
      <c r="AJ1538" s="85"/>
      <c r="AK1538" s="85"/>
      <c r="AL1538" s="85"/>
      <c r="AM1538" s="85"/>
      <c r="AN1538" s="85"/>
      <c r="AO1538" s="85"/>
      <c r="AP1538" s="85"/>
      <c r="AQ1538" s="93"/>
      <c r="AR1538" s="85"/>
      <c r="AS1538" s="85"/>
      <c r="AT1538" s="85"/>
      <c r="AU1538" s="85"/>
      <c r="AV1538" s="85"/>
      <c r="AW1538" s="85"/>
      <c r="AX1538" s="85"/>
      <c r="AY1538" s="85"/>
      <c r="AZ1538" s="85"/>
      <c r="BA1538" s="85"/>
      <c r="BB1538" s="85"/>
      <c r="BC1538" s="85"/>
      <c r="BD1538" s="85"/>
      <c r="BE1538" s="85"/>
      <c r="BF1538" s="85"/>
      <c r="BG1538" s="85"/>
      <c r="BH1538" s="85"/>
      <c r="BI1538" s="85"/>
      <c r="BJ1538" s="85"/>
      <c r="BK1538" s="85"/>
      <c r="BL1538" s="85"/>
      <c r="BM1538" s="85"/>
      <c r="BN1538" s="85"/>
      <c r="BO1538" s="85"/>
      <c r="BP1538" s="85"/>
      <c r="BQ1538" s="85"/>
      <c r="BR1538" s="85"/>
      <c r="BS1538" s="85"/>
      <c r="BT1538" s="85"/>
      <c r="BU1538" s="85"/>
      <c r="BV1538" s="85"/>
      <c r="BW1538" s="85"/>
      <c r="BX1538" s="85"/>
      <c r="BY1538" s="85"/>
      <c r="BZ1538" s="85"/>
      <c r="CA1538" s="85"/>
      <c r="CB1538" s="85"/>
      <c r="CC1538" s="85"/>
      <c r="CD1538" s="85"/>
      <c r="CE1538" s="85"/>
      <c r="CF1538" s="85"/>
      <c r="CG1538" s="85"/>
      <c r="CH1538" s="85"/>
      <c r="CI1538" s="85"/>
      <c r="CJ1538" s="85"/>
    </row>
    <row r="1539" ht="12.75" customHeight="1">
      <c r="A1539" s="80"/>
      <c r="B1539" s="80"/>
      <c r="C1539" s="80"/>
      <c r="D1539" s="80"/>
      <c r="E1539" s="80"/>
      <c r="F1539" s="80"/>
      <c r="G1539" s="80"/>
      <c r="H1539" s="80"/>
      <c r="I1539" s="80"/>
      <c r="J1539" s="80"/>
      <c r="K1539" s="80"/>
      <c r="L1539" s="80"/>
      <c r="M1539" s="80"/>
      <c r="N1539" s="80"/>
      <c r="O1539" s="80"/>
      <c r="P1539" s="80"/>
      <c r="Q1539" s="80"/>
      <c r="R1539" s="80"/>
      <c r="S1539" s="80"/>
      <c r="T1539" s="80"/>
      <c r="U1539" s="80"/>
      <c r="V1539" s="80"/>
      <c r="W1539" s="80"/>
      <c r="X1539" s="80"/>
      <c r="Y1539" s="80"/>
      <c r="Z1539" s="80"/>
      <c r="AA1539" s="80"/>
      <c r="AB1539" s="80"/>
      <c r="AC1539" s="80"/>
      <c r="AD1539" s="80"/>
      <c r="AE1539" s="80"/>
      <c r="AF1539" s="80"/>
      <c r="AG1539" s="80"/>
      <c r="AH1539" s="80"/>
      <c r="AI1539" s="80"/>
      <c r="AJ1539" s="80"/>
      <c r="AK1539" s="80"/>
      <c r="AL1539" s="80"/>
      <c r="AM1539" s="80"/>
      <c r="AN1539" s="80"/>
      <c r="AO1539" s="80"/>
      <c r="AP1539" s="80"/>
      <c r="AQ1539" s="83"/>
      <c r="AR1539" s="80"/>
      <c r="AS1539" s="80"/>
      <c r="AT1539" s="80"/>
      <c r="AU1539" s="80"/>
      <c r="AV1539" s="80"/>
      <c r="AW1539" s="80"/>
      <c r="AX1539" s="80"/>
      <c r="AY1539" s="80"/>
      <c r="AZ1539" s="80"/>
      <c r="BA1539" s="80"/>
      <c r="BB1539" s="80"/>
      <c r="BC1539" s="80"/>
      <c r="BD1539" s="80"/>
      <c r="BE1539" s="80"/>
      <c r="BF1539" s="80"/>
      <c r="BG1539" s="80"/>
      <c r="BH1539" s="80"/>
      <c r="BI1539" s="80"/>
      <c r="BJ1539" s="80"/>
      <c r="BK1539" s="80"/>
      <c r="BL1539" s="80"/>
      <c r="BM1539" s="80"/>
      <c r="BN1539" s="80"/>
      <c r="BO1539" s="80"/>
      <c r="BP1539" s="80"/>
      <c r="BQ1539" s="80"/>
      <c r="BR1539" s="80"/>
      <c r="BS1539" s="80"/>
      <c r="BT1539" s="80"/>
      <c r="BU1539" s="80"/>
      <c r="BV1539" s="80"/>
      <c r="BW1539" s="80"/>
      <c r="BX1539" s="80"/>
      <c r="BY1539" s="80"/>
      <c r="BZ1539" s="80"/>
      <c r="CA1539" s="80"/>
      <c r="CB1539" s="80"/>
      <c r="CC1539" s="80"/>
      <c r="CD1539" s="80"/>
      <c r="CE1539" s="80"/>
      <c r="CF1539" s="80"/>
      <c r="CG1539" s="80"/>
      <c r="CH1539" s="80"/>
      <c r="CI1539" s="80"/>
      <c r="CJ1539" s="80"/>
    </row>
    <row r="1540" ht="12.75" customHeight="1">
      <c r="A1540" s="85"/>
      <c r="B1540" s="85"/>
      <c r="C1540" s="85"/>
      <c r="D1540" s="85"/>
      <c r="E1540" s="85"/>
      <c r="F1540" s="85"/>
      <c r="G1540" s="85"/>
      <c r="H1540" s="85"/>
      <c r="I1540" s="85"/>
      <c r="J1540" s="85"/>
      <c r="K1540" s="85"/>
      <c r="L1540" s="85"/>
      <c r="M1540" s="85"/>
      <c r="N1540" s="85"/>
      <c r="O1540" s="85"/>
      <c r="P1540" s="85"/>
      <c r="Q1540" s="85"/>
      <c r="R1540" s="85"/>
      <c r="S1540" s="85"/>
      <c r="T1540" s="85"/>
      <c r="U1540" s="85"/>
      <c r="V1540" s="85"/>
      <c r="W1540" s="85"/>
      <c r="X1540" s="85"/>
      <c r="Y1540" s="85"/>
      <c r="Z1540" s="85"/>
      <c r="AA1540" s="85"/>
      <c r="AB1540" s="85"/>
      <c r="AC1540" s="85"/>
      <c r="AD1540" s="85"/>
      <c r="AE1540" s="85"/>
      <c r="AF1540" s="85"/>
      <c r="AG1540" s="85"/>
      <c r="AH1540" s="85"/>
      <c r="AI1540" s="85"/>
      <c r="AJ1540" s="85"/>
      <c r="AK1540" s="85"/>
      <c r="AL1540" s="85"/>
      <c r="AM1540" s="85"/>
      <c r="AN1540" s="85"/>
      <c r="AO1540" s="85"/>
      <c r="AP1540" s="85"/>
      <c r="AQ1540" s="93"/>
      <c r="AR1540" s="85"/>
      <c r="AS1540" s="85"/>
      <c r="AT1540" s="85"/>
      <c r="AU1540" s="85"/>
      <c r="AV1540" s="85"/>
      <c r="AW1540" s="85"/>
      <c r="AX1540" s="85"/>
      <c r="AY1540" s="85"/>
      <c r="AZ1540" s="85"/>
      <c r="BA1540" s="85"/>
      <c r="BB1540" s="85"/>
      <c r="BC1540" s="85"/>
      <c r="BD1540" s="85"/>
      <c r="BE1540" s="85"/>
      <c r="BF1540" s="85"/>
      <c r="BG1540" s="85"/>
      <c r="BH1540" s="85"/>
      <c r="BI1540" s="85"/>
      <c r="BJ1540" s="85"/>
      <c r="BK1540" s="85"/>
      <c r="BL1540" s="85"/>
      <c r="BM1540" s="85"/>
      <c r="BN1540" s="85"/>
      <c r="BO1540" s="85"/>
      <c r="BP1540" s="85"/>
      <c r="BQ1540" s="85"/>
      <c r="BR1540" s="85"/>
      <c r="BS1540" s="85"/>
      <c r="BT1540" s="85"/>
      <c r="BU1540" s="85"/>
      <c r="BV1540" s="85"/>
      <c r="BW1540" s="85"/>
      <c r="BX1540" s="85"/>
      <c r="BY1540" s="85"/>
      <c r="BZ1540" s="85"/>
      <c r="CA1540" s="85"/>
      <c r="CB1540" s="85"/>
      <c r="CC1540" s="85"/>
      <c r="CD1540" s="85"/>
      <c r="CE1540" s="85"/>
      <c r="CF1540" s="85"/>
      <c r="CG1540" s="85"/>
      <c r="CH1540" s="85"/>
      <c r="CI1540" s="85"/>
      <c r="CJ1540" s="85"/>
    </row>
    <row r="1541" ht="12.75" customHeight="1">
      <c r="A1541" s="80"/>
      <c r="B1541" s="80"/>
      <c r="C1541" s="80"/>
      <c r="D1541" s="80"/>
      <c r="E1541" s="80"/>
      <c r="F1541" s="80"/>
      <c r="G1541" s="80"/>
      <c r="H1541" s="80"/>
      <c r="I1541" s="80"/>
      <c r="J1541" s="80"/>
      <c r="K1541" s="80"/>
      <c r="L1541" s="80"/>
      <c r="M1541" s="80"/>
      <c r="N1541" s="80"/>
      <c r="O1541" s="80"/>
      <c r="P1541" s="80"/>
      <c r="Q1541" s="80"/>
      <c r="R1541" s="80"/>
      <c r="S1541" s="80"/>
      <c r="T1541" s="80"/>
      <c r="U1541" s="80"/>
      <c r="V1541" s="80"/>
      <c r="W1541" s="80"/>
      <c r="X1541" s="80"/>
      <c r="Y1541" s="80"/>
      <c r="Z1541" s="80"/>
      <c r="AA1541" s="80"/>
      <c r="AB1541" s="80"/>
      <c r="AC1541" s="80"/>
      <c r="AD1541" s="80"/>
      <c r="AE1541" s="80"/>
      <c r="AF1541" s="80"/>
      <c r="AG1541" s="80"/>
      <c r="AH1541" s="80"/>
      <c r="AI1541" s="80"/>
      <c r="AJ1541" s="80"/>
      <c r="AK1541" s="80"/>
      <c r="AL1541" s="80"/>
      <c r="AM1541" s="80"/>
      <c r="AN1541" s="80"/>
      <c r="AO1541" s="80"/>
      <c r="AP1541" s="80"/>
      <c r="AQ1541" s="83"/>
      <c r="AR1541" s="80"/>
      <c r="AS1541" s="80"/>
      <c r="AT1541" s="80"/>
      <c r="AU1541" s="80"/>
      <c r="AV1541" s="80"/>
      <c r="AW1541" s="80"/>
      <c r="AX1541" s="80"/>
      <c r="AY1541" s="80"/>
      <c r="AZ1541" s="80"/>
      <c r="BA1541" s="80"/>
      <c r="BB1541" s="80"/>
      <c r="BC1541" s="80"/>
      <c r="BD1541" s="80"/>
      <c r="BE1541" s="80"/>
      <c r="BF1541" s="80"/>
      <c r="BG1541" s="80"/>
      <c r="BH1541" s="80"/>
      <c r="BI1541" s="80"/>
      <c r="BJ1541" s="80"/>
      <c r="BK1541" s="80"/>
      <c r="BL1541" s="80"/>
      <c r="BM1541" s="80"/>
      <c r="BN1541" s="80"/>
      <c r="BO1541" s="80"/>
      <c r="BP1541" s="80"/>
      <c r="BQ1541" s="80"/>
      <c r="BR1541" s="80"/>
      <c r="BS1541" s="80"/>
      <c r="BT1541" s="80"/>
      <c r="BU1541" s="80"/>
      <c r="BV1541" s="80"/>
      <c r="BW1541" s="80"/>
      <c r="BX1541" s="80"/>
      <c r="BY1541" s="80"/>
      <c r="BZ1541" s="80"/>
      <c r="CA1541" s="80"/>
      <c r="CB1541" s="80"/>
      <c r="CC1541" s="80"/>
      <c r="CD1541" s="80"/>
      <c r="CE1541" s="80"/>
      <c r="CF1541" s="80"/>
      <c r="CG1541" s="80"/>
      <c r="CH1541" s="80"/>
      <c r="CI1541" s="80"/>
      <c r="CJ1541" s="80"/>
    </row>
    <row r="1542" ht="12.75" customHeight="1">
      <c r="A1542" s="85"/>
      <c r="B1542" s="85"/>
      <c r="C1542" s="85"/>
      <c r="D1542" s="85"/>
      <c r="E1542" s="85"/>
      <c r="F1542" s="85"/>
      <c r="G1542" s="85"/>
      <c r="H1542" s="85"/>
      <c r="I1542" s="85"/>
      <c r="J1542" s="85"/>
      <c r="K1542" s="85"/>
      <c r="L1542" s="85"/>
      <c r="M1542" s="85"/>
      <c r="N1542" s="85"/>
      <c r="O1542" s="85"/>
      <c r="P1542" s="85"/>
      <c r="Q1542" s="85"/>
      <c r="R1542" s="85"/>
      <c r="S1542" s="85"/>
      <c r="T1542" s="85"/>
      <c r="U1542" s="85"/>
      <c r="V1542" s="85"/>
      <c r="W1542" s="85"/>
      <c r="X1542" s="85"/>
      <c r="Y1542" s="85"/>
      <c r="Z1542" s="85"/>
      <c r="AA1542" s="85"/>
      <c r="AB1542" s="85"/>
      <c r="AC1542" s="85"/>
      <c r="AD1542" s="85"/>
      <c r="AE1542" s="85"/>
      <c r="AF1542" s="85"/>
      <c r="AG1542" s="85"/>
      <c r="AH1542" s="85"/>
      <c r="AI1542" s="85"/>
      <c r="AJ1542" s="85"/>
      <c r="AK1542" s="85"/>
      <c r="AL1542" s="85"/>
      <c r="AM1542" s="85"/>
      <c r="AN1542" s="85"/>
      <c r="AO1542" s="85"/>
      <c r="AP1542" s="85"/>
      <c r="AQ1542" s="93"/>
      <c r="AR1542" s="85"/>
      <c r="AS1542" s="85"/>
      <c r="AT1542" s="85"/>
      <c r="AU1542" s="85"/>
      <c r="AV1542" s="85"/>
      <c r="AW1542" s="85"/>
      <c r="AX1542" s="85"/>
      <c r="AY1542" s="85"/>
      <c r="AZ1542" s="85"/>
      <c r="BA1542" s="85"/>
      <c r="BB1542" s="85"/>
      <c r="BC1542" s="85"/>
      <c r="BD1542" s="85"/>
      <c r="BE1542" s="85"/>
      <c r="BF1542" s="85"/>
      <c r="BG1542" s="85"/>
      <c r="BH1542" s="85"/>
      <c r="BI1542" s="85"/>
      <c r="BJ1542" s="85"/>
      <c r="BK1542" s="85"/>
      <c r="BL1542" s="85"/>
      <c r="BM1542" s="85"/>
      <c r="BN1542" s="85"/>
      <c r="BO1542" s="85"/>
      <c r="BP1542" s="85"/>
      <c r="BQ1542" s="85"/>
      <c r="BR1542" s="85"/>
      <c r="BS1542" s="85"/>
      <c r="BT1542" s="85"/>
      <c r="BU1542" s="85"/>
      <c r="BV1542" s="85"/>
      <c r="BW1542" s="85"/>
      <c r="BX1542" s="85"/>
      <c r="BY1542" s="85"/>
      <c r="BZ1542" s="85"/>
      <c r="CA1542" s="85"/>
      <c r="CB1542" s="85"/>
      <c r="CC1542" s="85"/>
      <c r="CD1542" s="85"/>
      <c r="CE1542" s="85"/>
      <c r="CF1542" s="85"/>
      <c r="CG1542" s="85"/>
      <c r="CH1542" s="85"/>
      <c r="CI1542" s="85"/>
      <c r="CJ1542" s="85"/>
    </row>
    <row r="1543" ht="12.75" customHeight="1">
      <c r="A1543" s="80"/>
      <c r="B1543" s="80"/>
      <c r="C1543" s="80"/>
      <c r="D1543" s="80"/>
      <c r="E1543" s="80"/>
      <c r="F1543" s="80"/>
      <c r="G1543" s="80"/>
      <c r="H1543" s="80"/>
      <c r="I1543" s="80"/>
      <c r="J1543" s="80"/>
      <c r="K1543" s="80"/>
      <c r="L1543" s="80"/>
      <c r="M1543" s="80"/>
      <c r="N1543" s="80"/>
      <c r="O1543" s="80"/>
      <c r="P1543" s="80"/>
      <c r="Q1543" s="80"/>
      <c r="R1543" s="80"/>
      <c r="S1543" s="80"/>
      <c r="T1543" s="80"/>
      <c r="U1543" s="80"/>
      <c r="V1543" s="80"/>
      <c r="W1543" s="80"/>
      <c r="X1543" s="80"/>
      <c r="Y1543" s="80"/>
      <c r="Z1543" s="80"/>
      <c r="AA1543" s="80"/>
      <c r="AB1543" s="80"/>
      <c r="AC1543" s="80"/>
      <c r="AD1543" s="80"/>
      <c r="AE1543" s="80"/>
      <c r="AF1543" s="80"/>
      <c r="AG1543" s="80"/>
      <c r="AH1543" s="80"/>
      <c r="AI1543" s="80"/>
      <c r="AJ1543" s="80"/>
      <c r="AK1543" s="80"/>
      <c r="AL1543" s="80"/>
      <c r="AM1543" s="80"/>
      <c r="AN1543" s="80"/>
      <c r="AO1543" s="80"/>
      <c r="AP1543" s="80"/>
      <c r="AQ1543" s="83"/>
      <c r="AR1543" s="80"/>
      <c r="AS1543" s="80"/>
      <c r="AT1543" s="80"/>
      <c r="AU1543" s="80"/>
      <c r="AV1543" s="80"/>
      <c r="AW1543" s="80"/>
      <c r="AX1543" s="80"/>
      <c r="AY1543" s="80"/>
      <c r="AZ1543" s="80"/>
      <c r="BA1543" s="80"/>
      <c r="BB1543" s="80"/>
      <c r="BC1543" s="80"/>
      <c r="BD1543" s="80"/>
      <c r="BE1543" s="80"/>
      <c r="BF1543" s="80"/>
      <c r="BG1543" s="80"/>
      <c r="BH1543" s="80"/>
      <c r="BI1543" s="80"/>
      <c r="BJ1543" s="80"/>
      <c r="BK1543" s="80"/>
      <c r="BL1543" s="80"/>
      <c r="BM1543" s="80"/>
      <c r="BN1543" s="80"/>
      <c r="BO1543" s="80"/>
      <c r="BP1543" s="80"/>
      <c r="BQ1543" s="80"/>
      <c r="BR1543" s="80"/>
      <c r="BS1543" s="80"/>
      <c r="BT1543" s="80"/>
      <c r="BU1543" s="80"/>
      <c r="BV1543" s="80"/>
      <c r="BW1543" s="80"/>
      <c r="BX1543" s="80"/>
      <c r="BY1543" s="80"/>
      <c r="BZ1543" s="80"/>
      <c r="CA1543" s="80"/>
      <c r="CB1543" s="80"/>
      <c r="CC1543" s="80"/>
      <c r="CD1543" s="80"/>
      <c r="CE1543" s="80"/>
      <c r="CF1543" s="80"/>
      <c r="CG1543" s="80"/>
      <c r="CH1543" s="80"/>
      <c r="CI1543" s="80"/>
      <c r="CJ1543" s="80"/>
    </row>
    <row r="1544" ht="12.75" customHeight="1">
      <c r="A1544" s="85"/>
      <c r="B1544" s="85"/>
      <c r="C1544" s="85"/>
      <c r="D1544" s="85"/>
      <c r="E1544" s="85"/>
      <c r="F1544" s="85"/>
      <c r="G1544" s="85"/>
      <c r="H1544" s="85"/>
      <c r="I1544" s="85"/>
      <c r="J1544" s="85"/>
      <c r="K1544" s="85"/>
      <c r="L1544" s="85"/>
      <c r="M1544" s="85"/>
      <c r="N1544" s="85"/>
      <c r="O1544" s="85"/>
      <c r="P1544" s="85"/>
      <c r="Q1544" s="85"/>
      <c r="R1544" s="85"/>
      <c r="S1544" s="85"/>
      <c r="T1544" s="85"/>
      <c r="U1544" s="85"/>
      <c r="V1544" s="85"/>
      <c r="W1544" s="85"/>
      <c r="X1544" s="85"/>
      <c r="Y1544" s="85"/>
      <c r="Z1544" s="85"/>
      <c r="AA1544" s="85"/>
      <c r="AB1544" s="85"/>
      <c r="AC1544" s="85"/>
      <c r="AD1544" s="85"/>
      <c r="AE1544" s="85"/>
      <c r="AF1544" s="85"/>
      <c r="AG1544" s="85"/>
      <c r="AH1544" s="85"/>
      <c r="AI1544" s="85"/>
      <c r="AJ1544" s="85"/>
      <c r="AK1544" s="85"/>
      <c r="AL1544" s="85"/>
      <c r="AM1544" s="85"/>
      <c r="AN1544" s="85"/>
      <c r="AO1544" s="85"/>
      <c r="AP1544" s="85"/>
      <c r="AQ1544" s="93"/>
      <c r="AR1544" s="85"/>
      <c r="AS1544" s="85"/>
      <c r="AT1544" s="85"/>
      <c r="AU1544" s="85"/>
      <c r="AV1544" s="85"/>
      <c r="AW1544" s="85"/>
      <c r="AX1544" s="85"/>
      <c r="AY1544" s="85"/>
      <c r="AZ1544" s="85"/>
      <c r="BA1544" s="85"/>
      <c r="BB1544" s="85"/>
      <c r="BC1544" s="85"/>
      <c r="BD1544" s="85"/>
      <c r="BE1544" s="85"/>
      <c r="BF1544" s="85"/>
      <c r="BG1544" s="85"/>
      <c r="BH1544" s="85"/>
      <c r="BI1544" s="85"/>
      <c r="BJ1544" s="85"/>
      <c r="BK1544" s="85"/>
      <c r="BL1544" s="85"/>
      <c r="BM1544" s="85"/>
      <c r="BN1544" s="85"/>
      <c r="BO1544" s="85"/>
      <c r="BP1544" s="85"/>
      <c r="BQ1544" s="85"/>
      <c r="BR1544" s="85"/>
      <c r="BS1544" s="85"/>
      <c r="BT1544" s="85"/>
      <c r="BU1544" s="85"/>
      <c r="BV1544" s="85"/>
      <c r="BW1544" s="85"/>
      <c r="BX1544" s="85"/>
      <c r="BY1544" s="85"/>
      <c r="BZ1544" s="85"/>
      <c r="CA1544" s="85"/>
      <c r="CB1544" s="85"/>
      <c r="CC1544" s="85"/>
      <c r="CD1544" s="85"/>
      <c r="CE1544" s="85"/>
      <c r="CF1544" s="85"/>
      <c r="CG1544" s="85"/>
      <c r="CH1544" s="85"/>
      <c r="CI1544" s="85"/>
      <c r="CJ1544" s="85"/>
    </row>
    <row r="1545" ht="12.75" customHeight="1">
      <c r="A1545" s="80"/>
      <c r="B1545" s="80"/>
      <c r="C1545" s="80"/>
      <c r="D1545" s="80"/>
      <c r="E1545" s="80"/>
      <c r="F1545" s="80"/>
      <c r="G1545" s="80"/>
      <c r="H1545" s="80"/>
      <c r="I1545" s="80"/>
      <c r="J1545" s="80"/>
      <c r="K1545" s="80"/>
      <c r="L1545" s="80"/>
      <c r="M1545" s="80"/>
      <c r="N1545" s="80"/>
      <c r="O1545" s="80"/>
      <c r="P1545" s="80"/>
      <c r="Q1545" s="80"/>
      <c r="R1545" s="80"/>
      <c r="S1545" s="80"/>
      <c r="T1545" s="80"/>
      <c r="U1545" s="80"/>
      <c r="V1545" s="80"/>
      <c r="W1545" s="80"/>
      <c r="X1545" s="80"/>
      <c r="Y1545" s="80"/>
      <c r="Z1545" s="80"/>
      <c r="AA1545" s="80"/>
      <c r="AB1545" s="80"/>
      <c r="AC1545" s="80"/>
      <c r="AD1545" s="80"/>
      <c r="AE1545" s="80"/>
      <c r="AF1545" s="80"/>
      <c r="AG1545" s="80"/>
      <c r="AH1545" s="80"/>
      <c r="AI1545" s="80"/>
      <c r="AJ1545" s="80"/>
      <c r="AK1545" s="80"/>
      <c r="AL1545" s="80"/>
      <c r="AM1545" s="80"/>
      <c r="AN1545" s="80"/>
      <c r="AO1545" s="80"/>
      <c r="AP1545" s="80"/>
      <c r="AQ1545" s="83"/>
      <c r="AR1545" s="80"/>
      <c r="AS1545" s="80"/>
      <c r="AT1545" s="80"/>
      <c r="AU1545" s="80"/>
      <c r="AV1545" s="80"/>
      <c r="AW1545" s="80"/>
      <c r="AX1545" s="80"/>
      <c r="AY1545" s="80"/>
      <c r="AZ1545" s="80"/>
      <c r="BA1545" s="80"/>
      <c r="BB1545" s="80"/>
      <c r="BC1545" s="80"/>
      <c r="BD1545" s="80"/>
      <c r="BE1545" s="80"/>
      <c r="BF1545" s="80"/>
      <c r="BG1545" s="80"/>
      <c r="BH1545" s="80"/>
      <c r="BI1545" s="80"/>
      <c r="BJ1545" s="80"/>
      <c r="BK1545" s="80"/>
      <c r="BL1545" s="80"/>
      <c r="BM1545" s="80"/>
      <c r="BN1545" s="80"/>
      <c r="BO1545" s="80"/>
      <c r="BP1545" s="80"/>
      <c r="BQ1545" s="80"/>
      <c r="BR1545" s="80"/>
      <c r="BS1545" s="80"/>
      <c r="BT1545" s="80"/>
      <c r="BU1545" s="80"/>
      <c r="BV1545" s="80"/>
      <c r="BW1545" s="80"/>
      <c r="BX1545" s="80"/>
      <c r="BY1545" s="80"/>
      <c r="BZ1545" s="80"/>
      <c r="CA1545" s="80"/>
      <c r="CB1545" s="80"/>
      <c r="CC1545" s="80"/>
      <c r="CD1545" s="80"/>
      <c r="CE1545" s="80"/>
      <c r="CF1545" s="80"/>
      <c r="CG1545" s="80"/>
      <c r="CH1545" s="80"/>
      <c r="CI1545" s="80"/>
      <c r="CJ1545" s="80"/>
    </row>
    <row r="1546" ht="12.75" customHeight="1">
      <c r="A1546" s="85"/>
      <c r="B1546" s="85"/>
      <c r="C1546" s="85"/>
      <c r="D1546" s="85"/>
      <c r="E1546" s="85"/>
      <c r="F1546" s="85"/>
      <c r="G1546" s="85"/>
      <c r="H1546" s="85"/>
      <c r="I1546" s="85"/>
      <c r="J1546" s="85"/>
      <c r="K1546" s="85"/>
      <c r="L1546" s="85"/>
      <c r="M1546" s="85"/>
      <c r="N1546" s="85"/>
      <c r="O1546" s="85"/>
      <c r="P1546" s="85"/>
      <c r="Q1546" s="85"/>
      <c r="R1546" s="85"/>
      <c r="S1546" s="85"/>
      <c r="T1546" s="85"/>
      <c r="U1546" s="85"/>
      <c r="V1546" s="85"/>
      <c r="W1546" s="85"/>
      <c r="X1546" s="85"/>
      <c r="Y1546" s="85"/>
      <c r="Z1546" s="85"/>
      <c r="AA1546" s="85"/>
      <c r="AB1546" s="85"/>
      <c r="AC1546" s="85"/>
      <c r="AD1546" s="85"/>
      <c r="AE1546" s="85"/>
      <c r="AF1546" s="85"/>
      <c r="AG1546" s="85"/>
      <c r="AH1546" s="85"/>
      <c r="AI1546" s="85"/>
      <c r="AJ1546" s="85"/>
      <c r="AK1546" s="85"/>
      <c r="AL1546" s="85"/>
      <c r="AM1546" s="85"/>
      <c r="AN1546" s="85"/>
      <c r="AO1546" s="85"/>
      <c r="AP1546" s="85"/>
      <c r="AQ1546" s="93"/>
      <c r="AR1546" s="85"/>
      <c r="AS1546" s="85"/>
      <c r="AT1546" s="85"/>
      <c r="AU1546" s="85"/>
      <c r="AV1546" s="85"/>
      <c r="AW1546" s="85"/>
      <c r="AX1546" s="85"/>
      <c r="AY1546" s="85"/>
      <c r="AZ1546" s="85"/>
      <c r="BA1546" s="85"/>
      <c r="BB1546" s="85"/>
      <c r="BC1546" s="85"/>
      <c r="BD1546" s="85"/>
      <c r="BE1546" s="85"/>
      <c r="BF1546" s="85"/>
      <c r="BG1546" s="85"/>
      <c r="BH1546" s="85"/>
      <c r="BI1546" s="85"/>
      <c r="BJ1546" s="85"/>
      <c r="BK1546" s="85"/>
      <c r="BL1546" s="85"/>
      <c r="BM1546" s="85"/>
      <c r="BN1546" s="85"/>
      <c r="BO1546" s="85"/>
      <c r="BP1546" s="85"/>
      <c r="BQ1546" s="85"/>
      <c r="BR1546" s="85"/>
      <c r="BS1546" s="85"/>
      <c r="BT1546" s="85"/>
      <c r="BU1546" s="85"/>
      <c r="BV1546" s="85"/>
      <c r="BW1546" s="85"/>
      <c r="BX1546" s="85"/>
      <c r="BY1546" s="85"/>
      <c r="BZ1546" s="85"/>
      <c r="CA1546" s="85"/>
      <c r="CB1546" s="85"/>
      <c r="CC1546" s="85"/>
      <c r="CD1546" s="85"/>
      <c r="CE1546" s="85"/>
      <c r="CF1546" s="85"/>
      <c r="CG1546" s="85"/>
      <c r="CH1546" s="85"/>
      <c r="CI1546" s="85"/>
      <c r="CJ1546" s="85"/>
    </row>
    <row r="1547" ht="12.75" customHeight="1">
      <c r="A1547" s="80"/>
      <c r="B1547" s="80"/>
      <c r="C1547" s="80"/>
      <c r="D1547" s="80"/>
      <c r="E1547" s="80"/>
      <c r="F1547" s="80"/>
      <c r="G1547" s="80"/>
      <c r="H1547" s="80"/>
      <c r="I1547" s="80"/>
      <c r="J1547" s="80"/>
      <c r="K1547" s="80"/>
      <c r="L1547" s="80"/>
      <c r="M1547" s="80"/>
      <c r="N1547" s="80"/>
      <c r="O1547" s="80"/>
      <c r="P1547" s="80"/>
      <c r="Q1547" s="80"/>
      <c r="R1547" s="80"/>
      <c r="S1547" s="80"/>
      <c r="T1547" s="80"/>
      <c r="U1547" s="80"/>
      <c r="V1547" s="80"/>
      <c r="W1547" s="80"/>
      <c r="X1547" s="80"/>
      <c r="Y1547" s="80"/>
      <c r="Z1547" s="80"/>
      <c r="AA1547" s="80"/>
      <c r="AB1547" s="80"/>
      <c r="AC1547" s="80"/>
      <c r="AD1547" s="80"/>
      <c r="AE1547" s="80"/>
      <c r="AF1547" s="80"/>
      <c r="AG1547" s="80"/>
      <c r="AH1547" s="80"/>
      <c r="AI1547" s="80"/>
      <c r="AJ1547" s="80"/>
      <c r="AK1547" s="80"/>
      <c r="AL1547" s="80"/>
      <c r="AM1547" s="80"/>
      <c r="AN1547" s="80"/>
      <c r="AO1547" s="80"/>
      <c r="AP1547" s="80"/>
      <c r="AQ1547" s="83"/>
      <c r="AR1547" s="80"/>
      <c r="AS1547" s="80"/>
      <c r="AT1547" s="80"/>
      <c r="AU1547" s="80"/>
      <c r="AV1547" s="80"/>
      <c r="AW1547" s="80"/>
      <c r="AX1547" s="80"/>
      <c r="AY1547" s="80"/>
      <c r="AZ1547" s="80"/>
      <c r="BA1547" s="80"/>
      <c r="BB1547" s="80"/>
      <c r="BC1547" s="80"/>
      <c r="BD1547" s="80"/>
      <c r="BE1547" s="80"/>
      <c r="BF1547" s="80"/>
      <c r="BG1547" s="80"/>
      <c r="BH1547" s="80"/>
      <c r="BI1547" s="80"/>
      <c r="BJ1547" s="80"/>
      <c r="BK1547" s="80"/>
      <c r="BL1547" s="80"/>
      <c r="BM1547" s="80"/>
      <c r="BN1547" s="80"/>
      <c r="BO1547" s="80"/>
      <c r="BP1547" s="80"/>
      <c r="BQ1547" s="80"/>
      <c r="BR1547" s="80"/>
      <c r="BS1547" s="80"/>
      <c r="BT1547" s="80"/>
      <c r="BU1547" s="80"/>
      <c r="BV1547" s="80"/>
      <c r="BW1547" s="80"/>
      <c r="BX1547" s="80"/>
      <c r="BY1547" s="80"/>
      <c r="BZ1547" s="80"/>
      <c r="CA1547" s="80"/>
      <c r="CB1547" s="80"/>
      <c r="CC1547" s="80"/>
      <c r="CD1547" s="80"/>
      <c r="CE1547" s="80"/>
      <c r="CF1547" s="80"/>
      <c r="CG1547" s="80"/>
      <c r="CH1547" s="80"/>
      <c r="CI1547" s="80"/>
      <c r="CJ1547" s="80"/>
    </row>
    <row r="1548" ht="12.75" customHeight="1">
      <c r="A1548" s="85"/>
      <c r="B1548" s="85"/>
      <c r="C1548" s="85"/>
      <c r="D1548" s="85"/>
      <c r="E1548" s="85"/>
      <c r="F1548" s="85"/>
      <c r="G1548" s="85"/>
      <c r="H1548" s="85"/>
      <c r="I1548" s="85"/>
      <c r="J1548" s="85"/>
      <c r="K1548" s="85"/>
      <c r="L1548" s="85"/>
      <c r="M1548" s="85"/>
      <c r="N1548" s="85"/>
      <c r="O1548" s="85"/>
      <c r="P1548" s="85"/>
      <c r="Q1548" s="85"/>
      <c r="R1548" s="85"/>
      <c r="S1548" s="85"/>
      <c r="T1548" s="85"/>
      <c r="U1548" s="85"/>
      <c r="V1548" s="85"/>
      <c r="W1548" s="85"/>
      <c r="X1548" s="85"/>
      <c r="Y1548" s="85"/>
      <c r="Z1548" s="85"/>
      <c r="AA1548" s="85"/>
      <c r="AB1548" s="85"/>
      <c r="AC1548" s="85"/>
      <c r="AD1548" s="85"/>
      <c r="AE1548" s="85"/>
      <c r="AF1548" s="85"/>
      <c r="AG1548" s="85"/>
      <c r="AH1548" s="85"/>
      <c r="AI1548" s="85"/>
      <c r="AJ1548" s="85"/>
      <c r="AK1548" s="85"/>
      <c r="AL1548" s="85"/>
      <c r="AM1548" s="85"/>
      <c r="AN1548" s="85"/>
      <c r="AO1548" s="85"/>
      <c r="AP1548" s="85"/>
      <c r="AQ1548" s="93"/>
      <c r="AR1548" s="85"/>
      <c r="AS1548" s="85"/>
      <c r="AT1548" s="85"/>
      <c r="AU1548" s="85"/>
      <c r="AV1548" s="85"/>
      <c r="AW1548" s="85"/>
      <c r="AX1548" s="85"/>
      <c r="AY1548" s="85"/>
      <c r="AZ1548" s="85"/>
      <c r="BA1548" s="85"/>
      <c r="BB1548" s="85"/>
      <c r="BC1548" s="85"/>
      <c r="BD1548" s="85"/>
      <c r="BE1548" s="85"/>
      <c r="BF1548" s="85"/>
      <c r="BG1548" s="85"/>
      <c r="BH1548" s="85"/>
      <c r="BI1548" s="85"/>
      <c r="BJ1548" s="85"/>
      <c r="BK1548" s="85"/>
      <c r="BL1548" s="85"/>
      <c r="BM1548" s="85"/>
      <c r="BN1548" s="85"/>
      <c r="BO1548" s="85"/>
      <c r="BP1548" s="85"/>
      <c r="BQ1548" s="85"/>
      <c r="BR1548" s="85"/>
      <c r="BS1548" s="85"/>
      <c r="BT1548" s="85"/>
      <c r="BU1548" s="85"/>
      <c r="BV1548" s="85"/>
      <c r="BW1548" s="85"/>
      <c r="BX1548" s="85"/>
      <c r="BY1548" s="85"/>
      <c r="BZ1548" s="85"/>
      <c r="CA1548" s="85"/>
      <c r="CB1548" s="85"/>
      <c r="CC1548" s="85"/>
      <c r="CD1548" s="85"/>
      <c r="CE1548" s="85"/>
      <c r="CF1548" s="85"/>
      <c r="CG1548" s="85"/>
      <c r="CH1548" s="85"/>
      <c r="CI1548" s="85"/>
      <c r="CJ1548" s="85"/>
    </row>
    <row r="1549" ht="12.75" customHeight="1">
      <c r="A1549" s="80"/>
      <c r="B1549" s="80"/>
      <c r="C1549" s="80"/>
      <c r="D1549" s="80"/>
      <c r="E1549" s="80"/>
      <c r="F1549" s="80"/>
      <c r="G1549" s="80"/>
      <c r="H1549" s="80"/>
      <c r="I1549" s="80"/>
      <c r="J1549" s="80"/>
      <c r="K1549" s="80"/>
      <c r="L1549" s="80"/>
      <c r="M1549" s="80"/>
      <c r="N1549" s="80"/>
      <c r="O1549" s="80"/>
      <c r="P1549" s="80"/>
      <c r="Q1549" s="80"/>
      <c r="R1549" s="80"/>
      <c r="S1549" s="80"/>
      <c r="T1549" s="80"/>
      <c r="U1549" s="80"/>
      <c r="V1549" s="80"/>
      <c r="W1549" s="80"/>
      <c r="X1549" s="80"/>
      <c r="Y1549" s="80"/>
      <c r="Z1549" s="80"/>
      <c r="AA1549" s="80"/>
      <c r="AB1549" s="80"/>
      <c r="AC1549" s="80"/>
      <c r="AD1549" s="80"/>
      <c r="AE1549" s="80"/>
      <c r="AF1549" s="80"/>
      <c r="AG1549" s="80"/>
      <c r="AH1549" s="80"/>
      <c r="AI1549" s="80"/>
      <c r="AJ1549" s="80"/>
      <c r="AK1549" s="80"/>
      <c r="AL1549" s="80"/>
      <c r="AM1549" s="80"/>
      <c r="AN1549" s="80"/>
      <c r="AO1549" s="80"/>
      <c r="AP1549" s="80"/>
      <c r="AQ1549" s="83"/>
      <c r="AR1549" s="80"/>
      <c r="AS1549" s="80"/>
      <c r="AT1549" s="80"/>
      <c r="AU1549" s="80"/>
      <c r="AV1549" s="80"/>
      <c r="AW1549" s="80"/>
      <c r="AX1549" s="80"/>
      <c r="AY1549" s="80"/>
      <c r="AZ1549" s="80"/>
      <c r="BA1549" s="80"/>
      <c r="BB1549" s="80"/>
      <c r="BC1549" s="80"/>
      <c r="BD1549" s="80"/>
      <c r="BE1549" s="80"/>
      <c r="BF1549" s="80"/>
      <c r="BG1549" s="80"/>
      <c r="BH1549" s="80"/>
      <c r="BI1549" s="80"/>
      <c r="BJ1549" s="80"/>
      <c r="BK1549" s="80"/>
      <c r="BL1549" s="80"/>
      <c r="BM1549" s="80"/>
      <c r="BN1549" s="80"/>
      <c r="BO1549" s="80"/>
      <c r="BP1549" s="80"/>
      <c r="BQ1549" s="80"/>
      <c r="BR1549" s="80"/>
      <c r="BS1549" s="80"/>
      <c r="BT1549" s="80"/>
      <c r="BU1549" s="80"/>
      <c r="BV1549" s="80"/>
      <c r="BW1549" s="80"/>
      <c r="BX1549" s="80"/>
      <c r="BY1549" s="80"/>
      <c r="BZ1549" s="80"/>
      <c r="CA1549" s="80"/>
      <c r="CB1549" s="80"/>
      <c r="CC1549" s="80"/>
      <c r="CD1549" s="80"/>
      <c r="CE1549" s="80"/>
      <c r="CF1549" s="80"/>
      <c r="CG1549" s="80"/>
      <c r="CH1549" s="80"/>
      <c r="CI1549" s="80"/>
      <c r="CJ1549" s="80"/>
    </row>
    <row r="1550" ht="12.75" customHeight="1">
      <c r="A1550" s="85"/>
      <c r="B1550" s="85"/>
      <c r="C1550" s="85"/>
      <c r="D1550" s="85"/>
      <c r="E1550" s="85"/>
      <c r="F1550" s="85"/>
      <c r="G1550" s="85"/>
      <c r="H1550" s="85"/>
      <c r="I1550" s="85"/>
      <c r="J1550" s="85"/>
      <c r="K1550" s="85"/>
      <c r="L1550" s="85"/>
      <c r="M1550" s="85"/>
      <c r="N1550" s="85"/>
      <c r="O1550" s="85"/>
      <c r="P1550" s="85"/>
      <c r="Q1550" s="85"/>
      <c r="R1550" s="85"/>
      <c r="S1550" s="85"/>
      <c r="T1550" s="85"/>
      <c r="U1550" s="85"/>
      <c r="V1550" s="85"/>
      <c r="W1550" s="85"/>
      <c r="X1550" s="85"/>
      <c r="Y1550" s="85"/>
      <c r="Z1550" s="85"/>
      <c r="AA1550" s="85"/>
      <c r="AB1550" s="85"/>
      <c r="AC1550" s="85"/>
      <c r="AD1550" s="85"/>
      <c r="AE1550" s="85"/>
      <c r="AF1550" s="85"/>
      <c r="AG1550" s="85"/>
      <c r="AH1550" s="85"/>
      <c r="AI1550" s="85"/>
      <c r="AJ1550" s="85"/>
      <c r="AK1550" s="85"/>
      <c r="AL1550" s="85"/>
      <c r="AM1550" s="85"/>
      <c r="AN1550" s="85"/>
      <c r="AO1550" s="85"/>
      <c r="AP1550" s="85"/>
      <c r="AQ1550" s="93"/>
      <c r="AR1550" s="85"/>
      <c r="AS1550" s="85"/>
      <c r="AT1550" s="85"/>
      <c r="AU1550" s="85"/>
      <c r="AV1550" s="85"/>
      <c r="AW1550" s="85"/>
      <c r="AX1550" s="85"/>
      <c r="AY1550" s="85"/>
      <c r="AZ1550" s="85"/>
      <c r="BA1550" s="85"/>
      <c r="BB1550" s="85"/>
      <c r="BC1550" s="85"/>
      <c r="BD1550" s="85"/>
      <c r="BE1550" s="85"/>
      <c r="BF1550" s="85"/>
      <c r="BG1550" s="85"/>
      <c r="BH1550" s="85"/>
      <c r="BI1550" s="85"/>
      <c r="BJ1550" s="85"/>
      <c r="BK1550" s="85"/>
      <c r="BL1550" s="85"/>
      <c r="BM1550" s="85"/>
      <c r="BN1550" s="85"/>
      <c r="BO1550" s="85"/>
      <c r="BP1550" s="85"/>
      <c r="BQ1550" s="85"/>
      <c r="BR1550" s="85"/>
      <c r="BS1550" s="85"/>
      <c r="BT1550" s="85"/>
      <c r="BU1550" s="85"/>
      <c r="BV1550" s="85"/>
      <c r="BW1550" s="85"/>
      <c r="BX1550" s="85"/>
      <c r="BY1550" s="85"/>
      <c r="BZ1550" s="85"/>
      <c r="CA1550" s="85"/>
      <c r="CB1550" s="85"/>
      <c r="CC1550" s="85"/>
      <c r="CD1550" s="85"/>
      <c r="CE1550" s="85"/>
      <c r="CF1550" s="85"/>
      <c r="CG1550" s="85"/>
      <c r="CH1550" s="85"/>
      <c r="CI1550" s="85"/>
      <c r="CJ1550" s="85"/>
    </row>
    <row r="1551" ht="12.75" customHeight="1">
      <c r="A1551" s="80"/>
      <c r="B1551" s="80"/>
      <c r="C1551" s="80"/>
      <c r="D1551" s="80"/>
      <c r="E1551" s="80"/>
      <c r="F1551" s="80"/>
      <c r="G1551" s="80"/>
      <c r="H1551" s="80"/>
      <c r="I1551" s="80"/>
      <c r="J1551" s="80"/>
      <c r="K1551" s="80"/>
      <c r="L1551" s="80"/>
      <c r="M1551" s="80"/>
      <c r="N1551" s="80"/>
      <c r="O1551" s="80"/>
      <c r="P1551" s="80"/>
      <c r="Q1551" s="80"/>
      <c r="R1551" s="80"/>
      <c r="S1551" s="80"/>
      <c r="T1551" s="80"/>
      <c r="U1551" s="80"/>
      <c r="V1551" s="80"/>
      <c r="W1551" s="80"/>
      <c r="X1551" s="80"/>
      <c r="Y1551" s="80"/>
      <c r="Z1551" s="80"/>
      <c r="AA1551" s="80"/>
      <c r="AB1551" s="80"/>
      <c r="AC1551" s="80"/>
      <c r="AD1551" s="80"/>
      <c r="AE1551" s="80"/>
      <c r="AF1551" s="80"/>
      <c r="AG1551" s="80"/>
      <c r="AH1551" s="80"/>
      <c r="AI1551" s="80"/>
      <c r="AJ1551" s="80"/>
      <c r="AK1551" s="80"/>
      <c r="AL1551" s="80"/>
      <c r="AM1551" s="80"/>
      <c r="AN1551" s="80"/>
      <c r="AO1551" s="80"/>
      <c r="AP1551" s="80"/>
      <c r="AQ1551" s="83"/>
      <c r="AR1551" s="80"/>
      <c r="AS1551" s="80"/>
      <c r="AT1551" s="80"/>
      <c r="AU1551" s="80"/>
      <c r="AV1551" s="80"/>
      <c r="AW1551" s="80"/>
      <c r="AX1551" s="80"/>
      <c r="AY1551" s="80"/>
      <c r="AZ1551" s="80"/>
      <c r="BA1551" s="80"/>
      <c r="BB1551" s="80"/>
      <c r="BC1551" s="80"/>
      <c r="BD1551" s="80"/>
      <c r="BE1551" s="80"/>
      <c r="BF1551" s="80"/>
      <c r="BG1551" s="80"/>
      <c r="BH1551" s="80"/>
      <c r="BI1551" s="80"/>
      <c r="BJ1551" s="80"/>
      <c r="BK1551" s="80"/>
      <c r="BL1551" s="80"/>
      <c r="BM1551" s="80"/>
      <c r="BN1551" s="80"/>
      <c r="BO1551" s="80"/>
      <c r="BP1551" s="80"/>
      <c r="BQ1551" s="80"/>
      <c r="BR1551" s="80"/>
      <c r="BS1551" s="80"/>
      <c r="BT1551" s="80"/>
      <c r="BU1551" s="80"/>
      <c r="BV1551" s="80"/>
      <c r="BW1551" s="80"/>
      <c r="BX1551" s="80"/>
      <c r="BY1551" s="80"/>
      <c r="BZ1551" s="80"/>
      <c r="CA1551" s="80"/>
      <c r="CB1551" s="80"/>
      <c r="CC1551" s="80"/>
      <c r="CD1551" s="80"/>
      <c r="CE1551" s="80"/>
      <c r="CF1551" s="80"/>
      <c r="CG1551" s="80"/>
      <c r="CH1551" s="80"/>
      <c r="CI1551" s="80"/>
      <c r="CJ1551" s="80"/>
    </row>
    <row r="1552" ht="12.75" customHeight="1">
      <c r="A1552" s="85"/>
      <c r="B1552" s="85"/>
      <c r="C1552" s="85"/>
      <c r="D1552" s="85"/>
      <c r="E1552" s="85"/>
      <c r="F1552" s="85"/>
      <c r="G1552" s="85"/>
      <c r="H1552" s="85"/>
      <c r="I1552" s="85"/>
      <c r="J1552" s="85"/>
      <c r="K1552" s="85"/>
      <c r="L1552" s="85"/>
      <c r="M1552" s="85"/>
      <c r="N1552" s="85"/>
      <c r="O1552" s="85"/>
      <c r="P1552" s="85"/>
      <c r="Q1552" s="85"/>
      <c r="R1552" s="85"/>
      <c r="S1552" s="85"/>
      <c r="T1552" s="85"/>
      <c r="U1552" s="85"/>
      <c r="V1552" s="85"/>
      <c r="W1552" s="85"/>
      <c r="X1552" s="85"/>
      <c r="Y1552" s="85"/>
      <c r="Z1552" s="85"/>
      <c r="AA1552" s="85"/>
      <c r="AB1552" s="85"/>
      <c r="AC1552" s="85"/>
      <c r="AD1552" s="85"/>
      <c r="AE1552" s="85"/>
      <c r="AF1552" s="85"/>
      <c r="AG1552" s="85"/>
      <c r="AH1552" s="85"/>
      <c r="AI1552" s="85"/>
      <c r="AJ1552" s="85"/>
      <c r="AK1552" s="85"/>
      <c r="AL1552" s="85"/>
      <c r="AM1552" s="85"/>
      <c r="AN1552" s="85"/>
      <c r="AO1552" s="85"/>
      <c r="AP1552" s="85"/>
      <c r="AQ1552" s="93"/>
      <c r="AR1552" s="85"/>
      <c r="AS1552" s="85"/>
      <c r="AT1552" s="85"/>
      <c r="AU1552" s="85"/>
      <c r="AV1552" s="85"/>
      <c r="AW1552" s="85"/>
      <c r="AX1552" s="85"/>
      <c r="AY1552" s="85"/>
      <c r="AZ1552" s="85"/>
      <c r="BA1552" s="85"/>
      <c r="BB1552" s="85"/>
      <c r="BC1552" s="85"/>
      <c r="BD1552" s="85"/>
      <c r="BE1552" s="85"/>
      <c r="BF1552" s="85"/>
      <c r="BG1552" s="85"/>
      <c r="BH1552" s="85"/>
      <c r="BI1552" s="85"/>
      <c r="BJ1552" s="85"/>
      <c r="BK1552" s="85"/>
      <c r="BL1552" s="85"/>
      <c r="BM1552" s="85"/>
      <c r="BN1552" s="85"/>
      <c r="BO1552" s="85"/>
      <c r="BP1552" s="85"/>
      <c r="BQ1552" s="85"/>
      <c r="BR1552" s="85"/>
      <c r="BS1552" s="85"/>
      <c r="BT1552" s="85"/>
      <c r="BU1552" s="85"/>
      <c r="BV1552" s="85"/>
      <c r="BW1552" s="85"/>
      <c r="BX1552" s="85"/>
      <c r="BY1552" s="85"/>
      <c r="BZ1552" s="85"/>
      <c r="CA1552" s="85"/>
      <c r="CB1552" s="85"/>
      <c r="CC1552" s="85"/>
      <c r="CD1552" s="85"/>
      <c r="CE1552" s="85"/>
      <c r="CF1552" s="85"/>
      <c r="CG1552" s="85"/>
      <c r="CH1552" s="85"/>
      <c r="CI1552" s="85"/>
      <c r="CJ1552" s="85"/>
    </row>
    <row r="1553" ht="12.75" customHeight="1">
      <c r="A1553" s="80"/>
      <c r="B1553" s="80"/>
      <c r="C1553" s="80"/>
      <c r="D1553" s="80"/>
      <c r="E1553" s="80"/>
      <c r="F1553" s="80"/>
      <c r="G1553" s="80"/>
      <c r="H1553" s="80"/>
      <c r="I1553" s="80"/>
      <c r="J1553" s="80"/>
      <c r="K1553" s="80"/>
      <c r="L1553" s="80"/>
      <c r="M1553" s="80"/>
      <c r="N1553" s="80"/>
      <c r="O1553" s="80"/>
      <c r="P1553" s="80"/>
      <c r="Q1553" s="80"/>
      <c r="R1553" s="80"/>
      <c r="S1553" s="80"/>
      <c r="T1553" s="80"/>
      <c r="U1553" s="80"/>
      <c r="V1553" s="80"/>
      <c r="W1553" s="80"/>
      <c r="X1553" s="80"/>
      <c r="Y1553" s="80"/>
      <c r="Z1553" s="80"/>
      <c r="AA1553" s="80"/>
      <c r="AB1553" s="80"/>
      <c r="AC1553" s="80"/>
      <c r="AD1553" s="80"/>
      <c r="AE1553" s="80"/>
      <c r="AF1553" s="80"/>
      <c r="AG1553" s="80"/>
      <c r="AH1553" s="80"/>
      <c r="AI1553" s="80"/>
      <c r="AJ1553" s="80"/>
      <c r="AK1553" s="80"/>
      <c r="AL1553" s="80"/>
      <c r="AM1553" s="80"/>
      <c r="AN1553" s="80"/>
      <c r="AO1553" s="80"/>
      <c r="AP1553" s="80"/>
      <c r="AQ1553" s="83"/>
      <c r="AR1553" s="80"/>
      <c r="AS1553" s="80"/>
      <c r="AT1553" s="80"/>
      <c r="AU1553" s="80"/>
      <c r="AV1553" s="80"/>
      <c r="AW1553" s="80"/>
      <c r="AX1553" s="80"/>
      <c r="AY1553" s="80"/>
      <c r="AZ1553" s="80"/>
      <c r="BA1553" s="80"/>
      <c r="BB1553" s="80"/>
      <c r="BC1553" s="80"/>
      <c r="BD1553" s="80"/>
      <c r="BE1553" s="80"/>
      <c r="BF1553" s="80"/>
      <c r="BG1553" s="80"/>
      <c r="BH1553" s="80"/>
      <c r="BI1553" s="80"/>
      <c r="BJ1553" s="80"/>
      <c r="BK1553" s="80"/>
      <c r="BL1553" s="80"/>
      <c r="BM1553" s="80"/>
      <c r="BN1553" s="80"/>
      <c r="BO1553" s="80"/>
      <c r="BP1553" s="80"/>
      <c r="BQ1553" s="80"/>
      <c r="BR1553" s="80"/>
      <c r="BS1553" s="80"/>
      <c r="BT1553" s="80"/>
      <c r="BU1553" s="80"/>
      <c r="BV1553" s="80"/>
      <c r="BW1553" s="80"/>
      <c r="BX1553" s="80"/>
      <c r="BY1553" s="80"/>
      <c r="BZ1553" s="80"/>
      <c r="CA1553" s="80"/>
      <c r="CB1553" s="80"/>
      <c r="CC1553" s="80"/>
      <c r="CD1553" s="80"/>
      <c r="CE1553" s="80"/>
      <c r="CF1553" s="80"/>
      <c r="CG1553" s="80"/>
      <c r="CH1553" s="80"/>
      <c r="CI1553" s="80"/>
      <c r="CJ1553" s="80"/>
    </row>
    <row r="1554" ht="12.75" customHeight="1">
      <c r="A1554" s="85"/>
      <c r="B1554" s="85"/>
      <c r="C1554" s="85"/>
      <c r="D1554" s="85"/>
      <c r="E1554" s="85"/>
      <c r="F1554" s="85"/>
      <c r="G1554" s="85"/>
      <c r="H1554" s="85"/>
      <c r="I1554" s="85"/>
      <c r="J1554" s="85"/>
      <c r="K1554" s="85"/>
      <c r="L1554" s="85"/>
      <c r="M1554" s="85"/>
      <c r="N1554" s="85"/>
      <c r="O1554" s="85"/>
      <c r="P1554" s="85"/>
      <c r="Q1554" s="85"/>
      <c r="R1554" s="85"/>
      <c r="S1554" s="85"/>
      <c r="T1554" s="85"/>
      <c r="U1554" s="85"/>
      <c r="V1554" s="85"/>
      <c r="W1554" s="85"/>
      <c r="X1554" s="85"/>
      <c r="Y1554" s="85"/>
      <c r="Z1554" s="85"/>
      <c r="AA1554" s="85"/>
      <c r="AB1554" s="85"/>
      <c r="AC1554" s="85"/>
      <c r="AD1554" s="85"/>
      <c r="AE1554" s="85"/>
      <c r="AF1554" s="85"/>
      <c r="AG1554" s="85"/>
      <c r="AH1554" s="85"/>
      <c r="AI1554" s="85"/>
      <c r="AJ1554" s="85"/>
      <c r="AK1554" s="85"/>
      <c r="AL1554" s="85"/>
      <c r="AM1554" s="85"/>
      <c r="AN1554" s="85"/>
      <c r="AO1554" s="85"/>
      <c r="AP1554" s="85"/>
      <c r="AQ1554" s="93"/>
      <c r="AR1554" s="85"/>
      <c r="AS1554" s="85"/>
      <c r="AT1554" s="85"/>
      <c r="AU1554" s="85"/>
      <c r="AV1554" s="85"/>
      <c r="AW1554" s="85"/>
      <c r="AX1554" s="85"/>
      <c r="AY1554" s="85"/>
      <c r="AZ1554" s="85"/>
      <c r="BA1554" s="85"/>
      <c r="BB1554" s="85"/>
      <c r="BC1554" s="85"/>
      <c r="BD1554" s="85"/>
      <c r="BE1554" s="85"/>
      <c r="BF1554" s="85"/>
      <c r="BG1554" s="85"/>
      <c r="BH1554" s="85"/>
      <c r="BI1554" s="85"/>
      <c r="BJ1554" s="85"/>
      <c r="BK1554" s="85"/>
      <c r="BL1554" s="85"/>
      <c r="BM1554" s="85"/>
      <c r="BN1554" s="85"/>
      <c r="BO1554" s="85"/>
      <c r="BP1554" s="85"/>
      <c r="BQ1554" s="85"/>
      <c r="BR1554" s="85"/>
      <c r="BS1554" s="85"/>
      <c r="BT1554" s="85"/>
      <c r="BU1554" s="85"/>
      <c r="BV1554" s="85"/>
      <c r="BW1554" s="85"/>
      <c r="BX1554" s="85"/>
      <c r="BY1554" s="85"/>
      <c r="BZ1554" s="85"/>
      <c r="CA1554" s="85"/>
      <c r="CB1554" s="85"/>
      <c r="CC1554" s="85"/>
      <c r="CD1554" s="85"/>
      <c r="CE1554" s="85"/>
      <c r="CF1554" s="85"/>
      <c r="CG1554" s="85"/>
      <c r="CH1554" s="85"/>
      <c r="CI1554" s="85"/>
      <c r="CJ1554" s="85"/>
    </row>
    <row r="1555" ht="12.75" customHeight="1">
      <c r="A1555" s="80"/>
      <c r="B1555" s="80"/>
      <c r="C1555" s="80"/>
      <c r="D1555" s="80"/>
      <c r="E1555" s="80"/>
      <c r="F1555" s="80"/>
      <c r="G1555" s="80"/>
      <c r="H1555" s="80"/>
      <c r="I1555" s="80"/>
      <c r="J1555" s="80"/>
      <c r="K1555" s="80"/>
      <c r="L1555" s="80"/>
      <c r="M1555" s="80"/>
      <c r="N1555" s="80"/>
      <c r="O1555" s="80"/>
      <c r="P1555" s="80"/>
      <c r="Q1555" s="80"/>
      <c r="R1555" s="80"/>
      <c r="S1555" s="80"/>
      <c r="T1555" s="80"/>
      <c r="U1555" s="80"/>
      <c r="V1555" s="80"/>
      <c r="W1555" s="80"/>
      <c r="X1555" s="80"/>
      <c r="Y1555" s="80"/>
      <c r="Z1555" s="80"/>
      <c r="AA1555" s="80"/>
      <c r="AB1555" s="80"/>
      <c r="AC1555" s="80"/>
      <c r="AD1555" s="80"/>
      <c r="AE1555" s="80"/>
      <c r="AF1555" s="80"/>
      <c r="AG1555" s="80"/>
      <c r="AH1555" s="80"/>
      <c r="AI1555" s="80"/>
      <c r="AJ1555" s="80"/>
      <c r="AK1555" s="80"/>
      <c r="AL1555" s="80"/>
      <c r="AM1555" s="80"/>
      <c r="AN1555" s="80"/>
      <c r="AO1555" s="80"/>
      <c r="AP1555" s="80"/>
      <c r="AQ1555" s="83"/>
      <c r="AR1555" s="80"/>
      <c r="AS1555" s="80"/>
      <c r="AT1555" s="80"/>
      <c r="AU1555" s="80"/>
      <c r="AV1555" s="80"/>
      <c r="AW1555" s="80"/>
      <c r="AX1555" s="80"/>
      <c r="AY1555" s="80"/>
      <c r="AZ1555" s="80"/>
      <c r="BA1555" s="80"/>
      <c r="BB1555" s="80"/>
      <c r="BC1555" s="80"/>
      <c r="BD1555" s="80"/>
      <c r="BE1555" s="80"/>
      <c r="BF1555" s="80"/>
      <c r="BG1555" s="80"/>
      <c r="BH1555" s="80"/>
      <c r="BI1555" s="80"/>
      <c r="BJ1555" s="80"/>
      <c r="BK1555" s="80"/>
      <c r="BL1555" s="80"/>
      <c r="BM1555" s="80"/>
      <c r="BN1555" s="80"/>
      <c r="BO1555" s="80"/>
      <c r="BP1555" s="80"/>
      <c r="BQ1555" s="80"/>
      <c r="BR1555" s="80"/>
      <c r="BS1555" s="80"/>
      <c r="BT1555" s="80"/>
      <c r="BU1555" s="80"/>
      <c r="BV1555" s="80"/>
      <c r="BW1555" s="80"/>
      <c r="BX1555" s="80"/>
      <c r="BY1555" s="80"/>
      <c r="BZ1555" s="80"/>
      <c r="CA1555" s="80"/>
      <c r="CB1555" s="80"/>
      <c r="CC1555" s="80"/>
      <c r="CD1555" s="80"/>
      <c r="CE1555" s="80"/>
      <c r="CF1555" s="80"/>
      <c r="CG1555" s="80"/>
      <c r="CH1555" s="80"/>
      <c r="CI1555" s="80"/>
      <c r="CJ1555" s="80"/>
    </row>
    <row r="1556" ht="12.75" customHeight="1">
      <c r="A1556" s="85"/>
      <c r="B1556" s="85"/>
      <c r="C1556" s="85"/>
      <c r="D1556" s="85"/>
      <c r="E1556" s="85"/>
      <c r="F1556" s="85"/>
      <c r="G1556" s="85"/>
      <c r="H1556" s="85"/>
      <c r="I1556" s="85"/>
      <c r="J1556" s="85"/>
      <c r="K1556" s="85"/>
      <c r="L1556" s="85"/>
      <c r="M1556" s="85"/>
      <c r="N1556" s="85"/>
      <c r="O1556" s="85"/>
      <c r="P1556" s="85"/>
      <c r="Q1556" s="85"/>
      <c r="R1556" s="85"/>
      <c r="S1556" s="85"/>
      <c r="T1556" s="85"/>
      <c r="U1556" s="85"/>
      <c r="V1556" s="85"/>
      <c r="W1556" s="85"/>
      <c r="X1556" s="85"/>
      <c r="Y1556" s="85"/>
      <c r="Z1556" s="85"/>
      <c r="AA1556" s="85"/>
      <c r="AB1556" s="85"/>
      <c r="AC1556" s="85"/>
      <c r="AD1556" s="85"/>
      <c r="AE1556" s="85"/>
      <c r="AF1556" s="85"/>
      <c r="AG1556" s="85"/>
      <c r="AH1556" s="85"/>
      <c r="AI1556" s="85"/>
      <c r="AJ1556" s="85"/>
      <c r="AK1556" s="85"/>
      <c r="AL1556" s="85"/>
      <c r="AM1556" s="85"/>
      <c r="AN1556" s="85"/>
      <c r="AO1556" s="85"/>
      <c r="AP1556" s="85"/>
      <c r="AQ1556" s="93"/>
      <c r="AR1556" s="85"/>
      <c r="AS1556" s="85"/>
      <c r="AT1556" s="85"/>
      <c r="AU1556" s="85"/>
      <c r="AV1556" s="85"/>
      <c r="AW1556" s="85"/>
      <c r="AX1556" s="85"/>
      <c r="AY1556" s="85"/>
      <c r="AZ1556" s="85"/>
      <c r="BA1556" s="85"/>
      <c r="BB1556" s="85"/>
      <c r="BC1556" s="85"/>
      <c r="BD1556" s="85"/>
      <c r="BE1556" s="85"/>
      <c r="BF1556" s="85"/>
      <c r="BG1556" s="85"/>
      <c r="BH1556" s="85"/>
      <c r="BI1556" s="85"/>
      <c r="BJ1556" s="85"/>
      <c r="BK1556" s="85"/>
      <c r="BL1556" s="85"/>
      <c r="BM1556" s="85"/>
      <c r="BN1556" s="85"/>
      <c r="BO1556" s="85"/>
      <c r="BP1556" s="85"/>
      <c r="BQ1556" s="85"/>
      <c r="BR1556" s="85"/>
      <c r="BS1556" s="85"/>
      <c r="BT1556" s="85"/>
      <c r="BU1556" s="85"/>
      <c r="BV1556" s="85"/>
      <c r="BW1556" s="85"/>
      <c r="BX1556" s="85"/>
      <c r="BY1556" s="85"/>
      <c r="BZ1556" s="85"/>
      <c r="CA1556" s="85"/>
      <c r="CB1556" s="85"/>
      <c r="CC1556" s="85"/>
      <c r="CD1556" s="85"/>
      <c r="CE1556" s="85"/>
      <c r="CF1556" s="85"/>
      <c r="CG1556" s="85"/>
      <c r="CH1556" s="85"/>
      <c r="CI1556" s="85"/>
      <c r="CJ1556" s="85"/>
    </row>
    <row r="1557" ht="12.75" customHeight="1">
      <c r="A1557" s="80"/>
      <c r="B1557" s="80"/>
      <c r="C1557" s="80"/>
      <c r="D1557" s="80"/>
      <c r="E1557" s="80"/>
      <c r="F1557" s="80"/>
      <c r="G1557" s="80"/>
      <c r="H1557" s="80"/>
      <c r="I1557" s="80"/>
      <c r="J1557" s="80"/>
      <c r="K1557" s="80"/>
      <c r="L1557" s="80"/>
      <c r="M1557" s="80"/>
      <c r="N1557" s="80"/>
      <c r="O1557" s="80"/>
      <c r="P1557" s="80"/>
      <c r="Q1557" s="80"/>
      <c r="R1557" s="80"/>
      <c r="S1557" s="80"/>
      <c r="T1557" s="80"/>
      <c r="U1557" s="80"/>
      <c r="V1557" s="80"/>
      <c r="W1557" s="80"/>
      <c r="X1557" s="80"/>
      <c r="Y1557" s="80"/>
      <c r="Z1557" s="80"/>
      <c r="AA1557" s="80"/>
      <c r="AB1557" s="80"/>
      <c r="AC1557" s="80"/>
      <c r="AD1557" s="80"/>
      <c r="AE1557" s="80"/>
      <c r="AF1557" s="80"/>
      <c r="AG1557" s="80"/>
      <c r="AH1557" s="80"/>
      <c r="AI1557" s="80"/>
      <c r="AJ1557" s="80"/>
      <c r="AK1557" s="80"/>
      <c r="AL1557" s="80"/>
      <c r="AM1557" s="80"/>
      <c r="AN1557" s="80"/>
      <c r="AO1557" s="80"/>
      <c r="AP1557" s="80"/>
      <c r="AQ1557" s="83"/>
      <c r="AR1557" s="80"/>
      <c r="AS1557" s="80"/>
      <c r="AT1557" s="80"/>
      <c r="AU1557" s="80"/>
      <c r="AV1557" s="80"/>
      <c r="AW1557" s="80"/>
      <c r="AX1557" s="80"/>
      <c r="AY1557" s="80"/>
      <c r="AZ1557" s="80"/>
      <c r="BA1557" s="80"/>
      <c r="BB1557" s="80"/>
      <c r="BC1557" s="80"/>
      <c r="BD1557" s="80"/>
      <c r="BE1557" s="80"/>
      <c r="BF1557" s="80"/>
      <c r="BG1557" s="80"/>
      <c r="BH1557" s="80"/>
      <c r="BI1557" s="80"/>
      <c r="BJ1557" s="80"/>
      <c r="BK1557" s="80"/>
      <c r="BL1557" s="80"/>
      <c r="BM1557" s="80"/>
      <c r="BN1557" s="80"/>
      <c r="BO1557" s="80"/>
      <c r="BP1557" s="80"/>
      <c r="BQ1557" s="80"/>
      <c r="BR1557" s="80"/>
      <c r="BS1557" s="80"/>
      <c r="BT1557" s="80"/>
      <c r="BU1557" s="80"/>
      <c r="BV1557" s="80"/>
      <c r="BW1557" s="80"/>
      <c r="BX1557" s="80"/>
      <c r="BY1557" s="80"/>
      <c r="BZ1557" s="80"/>
      <c r="CA1557" s="80"/>
      <c r="CB1557" s="80"/>
      <c r="CC1557" s="80"/>
      <c r="CD1557" s="80"/>
      <c r="CE1557" s="80"/>
      <c r="CF1557" s="80"/>
      <c r="CG1557" s="80"/>
      <c r="CH1557" s="80"/>
      <c r="CI1557" s="80"/>
      <c r="CJ1557" s="80"/>
    </row>
    <row r="1558" ht="12.75" customHeight="1">
      <c r="A1558" s="85"/>
      <c r="B1558" s="85"/>
      <c r="C1558" s="85"/>
      <c r="D1558" s="85"/>
      <c r="E1558" s="85"/>
      <c r="F1558" s="85"/>
      <c r="G1558" s="85"/>
      <c r="H1558" s="85"/>
      <c r="I1558" s="85"/>
      <c r="J1558" s="85"/>
      <c r="K1558" s="85"/>
      <c r="L1558" s="85"/>
      <c r="M1558" s="85"/>
      <c r="N1558" s="85"/>
      <c r="O1558" s="85"/>
      <c r="P1558" s="85"/>
      <c r="Q1558" s="85"/>
      <c r="R1558" s="85"/>
      <c r="S1558" s="85"/>
      <c r="T1558" s="85"/>
      <c r="U1558" s="85"/>
      <c r="V1558" s="85"/>
      <c r="W1558" s="85"/>
      <c r="X1558" s="85"/>
      <c r="Y1558" s="85"/>
      <c r="Z1558" s="85"/>
      <c r="AA1558" s="85"/>
      <c r="AB1558" s="85"/>
      <c r="AC1558" s="85"/>
      <c r="AD1558" s="85"/>
      <c r="AE1558" s="85"/>
      <c r="AF1558" s="85"/>
      <c r="AG1558" s="85"/>
      <c r="AH1558" s="85"/>
      <c r="AI1558" s="85"/>
      <c r="AJ1558" s="85"/>
      <c r="AK1558" s="85"/>
      <c r="AL1558" s="85"/>
      <c r="AM1558" s="85"/>
      <c r="AN1558" s="85"/>
      <c r="AO1558" s="85"/>
      <c r="AP1558" s="85"/>
      <c r="AQ1558" s="93"/>
      <c r="AR1558" s="85"/>
      <c r="AS1558" s="85"/>
      <c r="AT1558" s="85"/>
      <c r="AU1558" s="85"/>
      <c r="AV1558" s="85"/>
      <c r="AW1558" s="85"/>
      <c r="AX1558" s="85"/>
      <c r="AY1558" s="85"/>
      <c r="AZ1558" s="85"/>
      <c r="BA1558" s="85"/>
      <c r="BB1558" s="85"/>
      <c r="BC1558" s="85"/>
      <c r="BD1558" s="85"/>
      <c r="BE1558" s="85"/>
      <c r="BF1558" s="85"/>
      <c r="BG1558" s="85"/>
      <c r="BH1558" s="85"/>
      <c r="BI1558" s="85"/>
      <c r="BJ1558" s="85"/>
      <c r="BK1558" s="85"/>
      <c r="BL1558" s="85"/>
      <c r="BM1558" s="85"/>
      <c r="BN1558" s="85"/>
      <c r="BO1558" s="85"/>
      <c r="BP1558" s="85"/>
      <c r="BQ1558" s="85"/>
      <c r="BR1558" s="85"/>
      <c r="BS1558" s="85"/>
      <c r="BT1558" s="85"/>
      <c r="BU1558" s="85"/>
      <c r="BV1558" s="85"/>
      <c r="BW1558" s="85"/>
      <c r="BX1558" s="85"/>
      <c r="BY1558" s="85"/>
      <c r="BZ1558" s="85"/>
      <c r="CA1558" s="85"/>
      <c r="CB1558" s="85"/>
      <c r="CC1558" s="85"/>
      <c r="CD1558" s="85"/>
      <c r="CE1558" s="85"/>
      <c r="CF1558" s="85"/>
      <c r="CG1558" s="85"/>
      <c r="CH1558" s="85"/>
      <c r="CI1558" s="85"/>
      <c r="CJ1558" s="85"/>
    </row>
    <row r="1559" ht="12.75" customHeight="1">
      <c r="A1559" s="80"/>
      <c r="B1559" s="80"/>
      <c r="C1559" s="80"/>
      <c r="D1559" s="80"/>
      <c r="E1559" s="80"/>
      <c r="F1559" s="80"/>
      <c r="G1559" s="80"/>
      <c r="H1559" s="80"/>
      <c r="I1559" s="80"/>
      <c r="J1559" s="80"/>
      <c r="K1559" s="80"/>
      <c r="L1559" s="80"/>
      <c r="M1559" s="80"/>
      <c r="N1559" s="80"/>
      <c r="O1559" s="80"/>
      <c r="P1559" s="80"/>
      <c r="Q1559" s="80"/>
      <c r="R1559" s="80"/>
      <c r="S1559" s="80"/>
      <c r="T1559" s="80"/>
      <c r="U1559" s="80"/>
      <c r="V1559" s="80"/>
      <c r="W1559" s="80"/>
      <c r="X1559" s="80"/>
      <c r="Y1559" s="80"/>
      <c r="Z1559" s="80"/>
      <c r="AA1559" s="80"/>
      <c r="AB1559" s="80"/>
      <c r="AC1559" s="80"/>
      <c r="AD1559" s="80"/>
      <c r="AE1559" s="80"/>
      <c r="AF1559" s="80"/>
      <c r="AG1559" s="80"/>
      <c r="AH1559" s="80"/>
      <c r="AI1559" s="80"/>
      <c r="AJ1559" s="80"/>
      <c r="AK1559" s="80"/>
      <c r="AL1559" s="80"/>
      <c r="AM1559" s="80"/>
      <c r="AN1559" s="80"/>
      <c r="AO1559" s="80"/>
      <c r="AP1559" s="80"/>
      <c r="AQ1559" s="83"/>
      <c r="AR1559" s="80"/>
      <c r="AS1559" s="80"/>
      <c r="AT1559" s="80"/>
      <c r="AU1559" s="80"/>
      <c r="AV1559" s="80"/>
      <c r="AW1559" s="80"/>
      <c r="AX1559" s="80"/>
      <c r="AY1559" s="80"/>
      <c r="AZ1559" s="80"/>
      <c r="BA1559" s="80"/>
      <c r="BB1559" s="80"/>
      <c r="BC1559" s="80"/>
      <c r="BD1559" s="80"/>
      <c r="BE1559" s="80"/>
      <c r="BF1559" s="80"/>
      <c r="BG1559" s="80"/>
      <c r="BH1559" s="80"/>
      <c r="BI1559" s="80"/>
      <c r="BJ1559" s="80"/>
      <c r="BK1559" s="80"/>
      <c r="BL1559" s="80"/>
      <c r="BM1559" s="80"/>
      <c r="BN1559" s="80"/>
      <c r="BO1559" s="80"/>
      <c r="BP1559" s="80"/>
      <c r="BQ1559" s="80"/>
      <c r="BR1559" s="80"/>
      <c r="BS1559" s="80"/>
      <c r="BT1559" s="80"/>
      <c r="BU1559" s="80"/>
      <c r="BV1559" s="80"/>
      <c r="BW1559" s="80"/>
      <c r="BX1559" s="80"/>
      <c r="BY1559" s="80"/>
      <c r="BZ1559" s="80"/>
      <c r="CA1559" s="80"/>
      <c r="CB1559" s="80"/>
      <c r="CC1559" s="80"/>
      <c r="CD1559" s="80"/>
      <c r="CE1559" s="80"/>
      <c r="CF1559" s="80"/>
      <c r="CG1559" s="80"/>
      <c r="CH1559" s="80"/>
      <c r="CI1559" s="80"/>
      <c r="CJ1559" s="80"/>
    </row>
    <row r="1560" ht="12.75" customHeight="1">
      <c r="A1560" s="85"/>
      <c r="B1560" s="85"/>
      <c r="C1560" s="85"/>
      <c r="D1560" s="85"/>
      <c r="E1560" s="85"/>
      <c r="F1560" s="85"/>
      <c r="G1560" s="85"/>
      <c r="H1560" s="85"/>
      <c r="I1560" s="85"/>
      <c r="J1560" s="85"/>
      <c r="K1560" s="85"/>
      <c r="L1560" s="85"/>
      <c r="M1560" s="85"/>
      <c r="N1560" s="85"/>
      <c r="O1560" s="85"/>
      <c r="P1560" s="85"/>
      <c r="Q1560" s="85"/>
      <c r="R1560" s="85"/>
      <c r="S1560" s="85"/>
      <c r="T1560" s="85"/>
      <c r="U1560" s="85"/>
      <c r="V1560" s="85"/>
      <c r="W1560" s="85"/>
      <c r="X1560" s="85"/>
      <c r="Y1560" s="85"/>
      <c r="Z1560" s="85"/>
      <c r="AA1560" s="85"/>
      <c r="AB1560" s="85"/>
      <c r="AC1560" s="85"/>
      <c r="AD1560" s="85"/>
      <c r="AE1560" s="85"/>
      <c r="AF1560" s="85"/>
      <c r="AG1560" s="85"/>
      <c r="AH1560" s="85"/>
      <c r="AI1560" s="85"/>
      <c r="AJ1560" s="85"/>
      <c r="AK1560" s="85"/>
      <c r="AL1560" s="85"/>
      <c r="AM1560" s="85"/>
      <c r="AN1560" s="85"/>
      <c r="AO1560" s="85"/>
      <c r="AP1560" s="85"/>
      <c r="AQ1560" s="93"/>
      <c r="AR1560" s="85"/>
      <c r="AS1560" s="85"/>
      <c r="AT1560" s="85"/>
      <c r="AU1560" s="85"/>
      <c r="AV1560" s="85"/>
      <c r="AW1560" s="85"/>
      <c r="AX1560" s="85"/>
      <c r="AY1560" s="85"/>
      <c r="AZ1560" s="85"/>
      <c r="BA1560" s="85"/>
      <c r="BB1560" s="85"/>
      <c r="BC1560" s="85"/>
      <c r="BD1560" s="85"/>
      <c r="BE1560" s="85"/>
      <c r="BF1560" s="85"/>
      <c r="BG1560" s="85"/>
      <c r="BH1560" s="85"/>
      <c r="BI1560" s="85"/>
      <c r="BJ1560" s="85"/>
      <c r="BK1560" s="85"/>
      <c r="BL1560" s="85"/>
      <c r="BM1560" s="85"/>
      <c r="BN1560" s="85"/>
      <c r="BO1560" s="85"/>
      <c r="BP1560" s="85"/>
      <c r="BQ1560" s="85"/>
      <c r="BR1560" s="85"/>
      <c r="BS1560" s="85"/>
      <c r="BT1560" s="85"/>
      <c r="BU1560" s="85"/>
      <c r="BV1560" s="85"/>
      <c r="BW1560" s="85"/>
      <c r="BX1560" s="85"/>
      <c r="BY1560" s="85"/>
      <c r="BZ1560" s="85"/>
      <c r="CA1560" s="85"/>
      <c r="CB1560" s="85"/>
      <c r="CC1560" s="85"/>
      <c r="CD1560" s="85"/>
      <c r="CE1560" s="85"/>
      <c r="CF1560" s="85"/>
      <c r="CG1560" s="85"/>
      <c r="CH1560" s="85"/>
      <c r="CI1560" s="85"/>
      <c r="CJ1560" s="85"/>
    </row>
    <row r="1561" ht="12.75" customHeight="1">
      <c r="A1561" s="80"/>
      <c r="B1561" s="80"/>
      <c r="C1561" s="80"/>
      <c r="D1561" s="80"/>
      <c r="E1561" s="80"/>
      <c r="F1561" s="80"/>
      <c r="G1561" s="80"/>
      <c r="H1561" s="80"/>
      <c r="I1561" s="80"/>
      <c r="J1561" s="80"/>
      <c r="K1561" s="80"/>
      <c r="L1561" s="80"/>
      <c r="M1561" s="80"/>
      <c r="N1561" s="80"/>
      <c r="O1561" s="80"/>
      <c r="P1561" s="80"/>
      <c r="Q1561" s="80"/>
      <c r="R1561" s="80"/>
      <c r="S1561" s="80"/>
      <c r="T1561" s="80"/>
      <c r="U1561" s="80"/>
      <c r="V1561" s="80"/>
      <c r="W1561" s="80"/>
      <c r="X1561" s="80"/>
      <c r="Y1561" s="80"/>
      <c r="Z1561" s="80"/>
      <c r="AA1561" s="80"/>
      <c r="AB1561" s="80"/>
      <c r="AC1561" s="80"/>
      <c r="AD1561" s="80"/>
      <c r="AE1561" s="80"/>
      <c r="AF1561" s="80"/>
      <c r="AG1561" s="80"/>
      <c r="AH1561" s="80"/>
      <c r="AI1561" s="80"/>
      <c r="AJ1561" s="80"/>
      <c r="AK1561" s="80"/>
      <c r="AL1561" s="80"/>
      <c r="AM1561" s="80"/>
      <c r="AN1561" s="80"/>
      <c r="AO1561" s="80"/>
      <c r="AP1561" s="80"/>
      <c r="AQ1561" s="83"/>
      <c r="AR1561" s="80"/>
      <c r="AS1561" s="80"/>
      <c r="AT1561" s="80"/>
      <c r="AU1561" s="80"/>
      <c r="AV1561" s="80"/>
      <c r="AW1561" s="80"/>
      <c r="AX1561" s="80"/>
      <c r="AY1561" s="80"/>
      <c r="AZ1561" s="80"/>
      <c r="BA1561" s="80"/>
      <c r="BB1561" s="80"/>
      <c r="BC1561" s="80"/>
      <c r="BD1561" s="80"/>
      <c r="BE1561" s="80"/>
      <c r="BF1561" s="80"/>
      <c r="BG1561" s="80"/>
      <c r="BH1561" s="80"/>
      <c r="BI1561" s="80"/>
      <c r="BJ1561" s="80"/>
      <c r="BK1561" s="80"/>
      <c r="BL1561" s="80"/>
      <c r="BM1561" s="80"/>
      <c r="BN1561" s="80"/>
      <c r="BO1561" s="80"/>
      <c r="BP1561" s="80"/>
      <c r="BQ1561" s="80"/>
      <c r="BR1561" s="80"/>
      <c r="BS1561" s="80"/>
      <c r="BT1561" s="80"/>
      <c r="BU1561" s="80"/>
      <c r="BV1561" s="80"/>
      <c r="BW1561" s="80"/>
      <c r="BX1561" s="80"/>
      <c r="BY1561" s="80"/>
      <c r="BZ1561" s="80"/>
      <c r="CA1561" s="80"/>
      <c r="CB1561" s="80"/>
      <c r="CC1561" s="80"/>
      <c r="CD1561" s="80"/>
      <c r="CE1561" s="80"/>
      <c r="CF1561" s="80"/>
      <c r="CG1561" s="80"/>
      <c r="CH1561" s="80"/>
      <c r="CI1561" s="80"/>
      <c r="CJ1561" s="80"/>
    </row>
    <row r="1562" ht="12.75" customHeight="1">
      <c r="A1562" s="85"/>
      <c r="B1562" s="85"/>
      <c r="C1562" s="85"/>
      <c r="D1562" s="85"/>
      <c r="E1562" s="85"/>
      <c r="F1562" s="85"/>
      <c r="G1562" s="85"/>
      <c r="H1562" s="85"/>
      <c r="I1562" s="85"/>
      <c r="J1562" s="85"/>
      <c r="K1562" s="85"/>
      <c r="L1562" s="85"/>
      <c r="M1562" s="85"/>
      <c r="N1562" s="85"/>
      <c r="O1562" s="85"/>
      <c r="P1562" s="85"/>
      <c r="Q1562" s="85"/>
      <c r="R1562" s="85"/>
      <c r="S1562" s="85"/>
      <c r="T1562" s="85"/>
      <c r="U1562" s="85"/>
      <c r="V1562" s="85"/>
      <c r="W1562" s="85"/>
      <c r="X1562" s="85"/>
      <c r="Y1562" s="85"/>
      <c r="Z1562" s="85"/>
      <c r="AA1562" s="85"/>
      <c r="AB1562" s="85"/>
      <c r="AC1562" s="85"/>
      <c r="AD1562" s="85"/>
      <c r="AE1562" s="85"/>
      <c r="AF1562" s="85"/>
      <c r="AG1562" s="85"/>
      <c r="AH1562" s="85"/>
      <c r="AI1562" s="85"/>
      <c r="AJ1562" s="85"/>
      <c r="AK1562" s="85"/>
      <c r="AL1562" s="85"/>
      <c r="AM1562" s="85"/>
      <c r="AN1562" s="85"/>
      <c r="AO1562" s="85"/>
      <c r="AP1562" s="85"/>
      <c r="AQ1562" s="93"/>
      <c r="AR1562" s="85"/>
      <c r="AS1562" s="85"/>
      <c r="AT1562" s="85"/>
      <c r="AU1562" s="85"/>
      <c r="AV1562" s="85"/>
      <c r="AW1562" s="85"/>
      <c r="AX1562" s="85"/>
      <c r="AY1562" s="85"/>
      <c r="AZ1562" s="85"/>
      <c r="BA1562" s="85"/>
      <c r="BB1562" s="85"/>
      <c r="BC1562" s="85"/>
      <c r="BD1562" s="85"/>
      <c r="BE1562" s="85"/>
      <c r="BF1562" s="85"/>
      <c r="BG1562" s="85"/>
      <c r="BH1562" s="85"/>
      <c r="BI1562" s="85"/>
      <c r="BJ1562" s="85"/>
      <c r="BK1562" s="85"/>
      <c r="BL1562" s="85"/>
      <c r="BM1562" s="85"/>
      <c r="BN1562" s="85"/>
      <c r="BO1562" s="85"/>
      <c r="BP1562" s="85"/>
      <c r="BQ1562" s="85"/>
      <c r="BR1562" s="85"/>
      <c r="BS1562" s="85"/>
      <c r="BT1562" s="85"/>
      <c r="BU1562" s="85"/>
      <c r="BV1562" s="85"/>
      <c r="BW1562" s="85"/>
      <c r="BX1562" s="85"/>
      <c r="BY1562" s="85"/>
      <c r="BZ1562" s="85"/>
      <c r="CA1562" s="85"/>
      <c r="CB1562" s="85"/>
      <c r="CC1562" s="85"/>
      <c r="CD1562" s="85"/>
      <c r="CE1562" s="85"/>
      <c r="CF1562" s="85"/>
      <c r="CG1562" s="85"/>
      <c r="CH1562" s="85"/>
      <c r="CI1562" s="85"/>
      <c r="CJ1562" s="85"/>
    </row>
    <row r="1563" ht="12.75" customHeight="1">
      <c r="A1563" s="80"/>
      <c r="B1563" s="80"/>
      <c r="C1563" s="80"/>
      <c r="D1563" s="80"/>
      <c r="E1563" s="80"/>
      <c r="F1563" s="80"/>
      <c r="G1563" s="80"/>
      <c r="H1563" s="80"/>
      <c r="I1563" s="80"/>
      <c r="J1563" s="80"/>
      <c r="K1563" s="80"/>
      <c r="L1563" s="80"/>
      <c r="M1563" s="80"/>
      <c r="N1563" s="80"/>
      <c r="O1563" s="80"/>
      <c r="P1563" s="80"/>
      <c r="Q1563" s="80"/>
      <c r="R1563" s="80"/>
      <c r="S1563" s="80"/>
      <c r="T1563" s="80"/>
      <c r="U1563" s="80"/>
      <c r="V1563" s="80"/>
      <c r="W1563" s="80"/>
      <c r="X1563" s="80"/>
      <c r="Y1563" s="80"/>
      <c r="Z1563" s="80"/>
      <c r="AA1563" s="80"/>
      <c r="AB1563" s="80"/>
      <c r="AC1563" s="80"/>
      <c r="AD1563" s="80"/>
      <c r="AE1563" s="80"/>
      <c r="AF1563" s="80"/>
      <c r="AG1563" s="80"/>
      <c r="AH1563" s="80"/>
      <c r="AI1563" s="80"/>
      <c r="AJ1563" s="80"/>
      <c r="AK1563" s="80"/>
      <c r="AL1563" s="80"/>
      <c r="AM1563" s="80"/>
      <c r="AN1563" s="80"/>
      <c r="AO1563" s="80"/>
      <c r="AP1563" s="80"/>
      <c r="AQ1563" s="83"/>
      <c r="AR1563" s="80"/>
      <c r="AS1563" s="80"/>
      <c r="AT1563" s="80"/>
      <c r="AU1563" s="80"/>
      <c r="AV1563" s="80"/>
      <c r="AW1563" s="80"/>
      <c r="AX1563" s="80"/>
      <c r="AY1563" s="80"/>
      <c r="AZ1563" s="80"/>
      <c r="BA1563" s="80"/>
      <c r="BB1563" s="80"/>
      <c r="BC1563" s="80"/>
      <c r="BD1563" s="80"/>
      <c r="BE1563" s="80"/>
      <c r="BF1563" s="80"/>
      <c r="BG1563" s="80"/>
      <c r="BH1563" s="80"/>
      <c r="BI1563" s="80"/>
      <c r="BJ1563" s="80"/>
      <c r="BK1563" s="80"/>
      <c r="BL1563" s="80"/>
      <c r="BM1563" s="80"/>
      <c r="BN1563" s="80"/>
      <c r="BO1563" s="80"/>
      <c r="BP1563" s="80"/>
      <c r="BQ1563" s="80"/>
      <c r="BR1563" s="80"/>
      <c r="BS1563" s="80"/>
      <c r="BT1563" s="80"/>
      <c r="BU1563" s="80"/>
      <c r="BV1563" s="80"/>
      <c r="BW1563" s="80"/>
      <c r="BX1563" s="80"/>
      <c r="BY1563" s="80"/>
      <c r="BZ1563" s="80"/>
      <c r="CA1563" s="80"/>
      <c r="CB1563" s="80"/>
      <c r="CC1563" s="80"/>
      <c r="CD1563" s="80"/>
      <c r="CE1563" s="80"/>
      <c r="CF1563" s="80"/>
      <c r="CG1563" s="80"/>
      <c r="CH1563" s="80"/>
      <c r="CI1563" s="80"/>
      <c r="CJ1563" s="80"/>
    </row>
    <row r="1564" ht="12.75" customHeight="1">
      <c r="A1564" s="85"/>
      <c r="B1564" s="85"/>
      <c r="C1564" s="85"/>
      <c r="D1564" s="85"/>
      <c r="E1564" s="85"/>
      <c r="F1564" s="85"/>
      <c r="G1564" s="85"/>
      <c r="H1564" s="85"/>
      <c r="I1564" s="85"/>
      <c r="J1564" s="85"/>
      <c r="K1564" s="85"/>
      <c r="L1564" s="85"/>
      <c r="M1564" s="85"/>
      <c r="N1564" s="85"/>
      <c r="O1564" s="85"/>
      <c r="P1564" s="85"/>
      <c r="Q1564" s="85"/>
      <c r="R1564" s="85"/>
      <c r="S1564" s="85"/>
      <c r="T1564" s="85"/>
      <c r="U1564" s="85"/>
      <c r="V1564" s="85"/>
      <c r="W1564" s="85"/>
      <c r="X1564" s="85"/>
      <c r="Y1564" s="85"/>
      <c r="Z1564" s="85"/>
      <c r="AA1564" s="85"/>
      <c r="AB1564" s="85"/>
      <c r="AC1564" s="85"/>
      <c r="AD1564" s="85"/>
      <c r="AE1564" s="85"/>
      <c r="AF1564" s="85"/>
      <c r="AG1564" s="85"/>
      <c r="AH1564" s="85"/>
      <c r="AI1564" s="85"/>
      <c r="AJ1564" s="85"/>
      <c r="AK1564" s="85"/>
      <c r="AL1564" s="85"/>
      <c r="AM1564" s="85"/>
      <c r="AN1564" s="85"/>
      <c r="AO1564" s="85"/>
      <c r="AP1564" s="85"/>
      <c r="AQ1564" s="93"/>
      <c r="AR1564" s="85"/>
      <c r="AS1564" s="85"/>
      <c r="AT1564" s="85"/>
      <c r="AU1564" s="85"/>
      <c r="AV1564" s="85"/>
      <c r="AW1564" s="85"/>
      <c r="AX1564" s="85"/>
      <c r="AY1564" s="85"/>
      <c r="AZ1564" s="85"/>
      <c r="BA1564" s="85"/>
      <c r="BB1564" s="85"/>
      <c r="BC1564" s="85"/>
      <c r="BD1564" s="85"/>
      <c r="BE1564" s="85"/>
      <c r="BF1564" s="85"/>
      <c r="BG1564" s="85"/>
      <c r="BH1564" s="85"/>
      <c r="BI1564" s="85"/>
      <c r="BJ1564" s="85"/>
      <c r="BK1564" s="85"/>
      <c r="BL1564" s="85"/>
      <c r="BM1564" s="85"/>
      <c r="BN1564" s="85"/>
      <c r="BO1564" s="85"/>
      <c r="BP1564" s="85"/>
      <c r="BQ1564" s="85"/>
      <c r="BR1564" s="85"/>
      <c r="BS1564" s="85"/>
      <c r="BT1564" s="85"/>
      <c r="BU1564" s="85"/>
      <c r="BV1564" s="85"/>
      <c r="BW1564" s="85"/>
      <c r="BX1564" s="85"/>
      <c r="BY1564" s="85"/>
      <c r="BZ1564" s="85"/>
      <c r="CA1564" s="85"/>
      <c r="CB1564" s="85"/>
      <c r="CC1564" s="85"/>
      <c r="CD1564" s="85"/>
      <c r="CE1564" s="85"/>
      <c r="CF1564" s="85"/>
      <c r="CG1564" s="85"/>
      <c r="CH1564" s="85"/>
      <c r="CI1564" s="85"/>
      <c r="CJ1564" s="85"/>
    </row>
    <row r="1565" ht="12.75" customHeight="1">
      <c r="A1565" s="80"/>
      <c r="B1565" s="80"/>
      <c r="C1565" s="80"/>
      <c r="D1565" s="80"/>
      <c r="E1565" s="80"/>
      <c r="F1565" s="80"/>
      <c r="G1565" s="80"/>
      <c r="H1565" s="80"/>
      <c r="I1565" s="80"/>
      <c r="J1565" s="80"/>
      <c r="K1565" s="80"/>
      <c r="L1565" s="80"/>
      <c r="M1565" s="80"/>
      <c r="N1565" s="80"/>
      <c r="O1565" s="80"/>
      <c r="P1565" s="80"/>
      <c r="Q1565" s="80"/>
      <c r="R1565" s="80"/>
      <c r="S1565" s="80"/>
      <c r="T1565" s="80"/>
      <c r="U1565" s="80"/>
      <c r="V1565" s="80"/>
      <c r="W1565" s="80"/>
      <c r="X1565" s="80"/>
      <c r="Y1565" s="80"/>
      <c r="Z1565" s="80"/>
      <c r="AA1565" s="80"/>
      <c r="AB1565" s="80"/>
      <c r="AC1565" s="80"/>
      <c r="AD1565" s="80"/>
      <c r="AE1565" s="80"/>
      <c r="AF1565" s="80"/>
      <c r="AG1565" s="80"/>
      <c r="AH1565" s="80"/>
      <c r="AI1565" s="80"/>
      <c r="AJ1565" s="80"/>
      <c r="AK1565" s="80"/>
      <c r="AL1565" s="80"/>
      <c r="AM1565" s="80"/>
      <c r="AN1565" s="80"/>
      <c r="AO1565" s="80"/>
      <c r="AP1565" s="80"/>
      <c r="AQ1565" s="83"/>
      <c r="AR1565" s="80"/>
      <c r="AS1565" s="80"/>
      <c r="AT1565" s="80"/>
      <c r="AU1565" s="80"/>
      <c r="AV1565" s="80"/>
      <c r="AW1565" s="80"/>
      <c r="AX1565" s="80"/>
      <c r="AY1565" s="80"/>
      <c r="AZ1565" s="80"/>
      <c r="BA1565" s="80"/>
      <c r="BB1565" s="80"/>
      <c r="BC1565" s="80"/>
      <c r="BD1565" s="80"/>
      <c r="BE1565" s="80"/>
      <c r="BF1565" s="80"/>
      <c r="BG1565" s="80"/>
      <c r="BH1565" s="80"/>
      <c r="BI1565" s="80"/>
      <c r="BJ1565" s="80"/>
      <c r="BK1565" s="80"/>
      <c r="BL1565" s="80"/>
      <c r="BM1565" s="80"/>
      <c r="BN1565" s="80"/>
      <c r="BO1565" s="80"/>
      <c r="BP1565" s="80"/>
      <c r="BQ1565" s="80"/>
      <c r="BR1565" s="80"/>
      <c r="BS1565" s="80"/>
      <c r="BT1565" s="80"/>
      <c r="BU1565" s="80"/>
      <c r="BV1565" s="80"/>
      <c r="BW1565" s="80"/>
      <c r="BX1565" s="80"/>
      <c r="BY1565" s="80"/>
      <c r="BZ1565" s="80"/>
      <c r="CA1565" s="80"/>
      <c r="CB1565" s="80"/>
      <c r="CC1565" s="80"/>
      <c r="CD1565" s="80"/>
      <c r="CE1565" s="80"/>
      <c r="CF1565" s="80"/>
      <c r="CG1565" s="80"/>
      <c r="CH1565" s="80"/>
      <c r="CI1565" s="80"/>
      <c r="CJ1565" s="80"/>
    </row>
    <row r="1566" ht="12.75" customHeight="1">
      <c r="A1566" s="85"/>
      <c r="B1566" s="85"/>
      <c r="C1566" s="85"/>
      <c r="D1566" s="85"/>
      <c r="E1566" s="85"/>
      <c r="F1566" s="85"/>
      <c r="G1566" s="85"/>
      <c r="H1566" s="85"/>
      <c r="I1566" s="85"/>
      <c r="J1566" s="85"/>
      <c r="K1566" s="85"/>
      <c r="L1566" s="85"/>
      <c r="M1566" s="85"/>
      <c r="N1566" s="85"/>
      <c r="O1566" s="85"/>
      <c r="P1566" s="85"/>
      <c r="Q1566" s="85"/>
      <c r="R1566" s="85"/>
      <c r="S1566" s="85"/>
      <c r="T1566" s="85"/>
      <c r="U1566" s="85"/>
      <c r="V1566" s="85"/>
      <c r="W1566" s="85"/>
      <c r="X1566" s="85"/>
      <c r="Y1566" s="85"/>
      <c r="Z1566" s="85"/>
      <c r="AA1566" s="85"/>
      <c r="AB1566" s="85"/>
      <c r="AC1566" s="85"/>
      <c r="AD1566" s="85"/>
      <c r="AE1566" s="85"/>
      <c r="AF1566" s="85"/>
      <c r="AG1566" s="85"/>
      <c r="AH1566" s="85"/>
      <c r="AI1566" s="85"/>
      <c r="AJ1566" s="85"/>
      <c r="AK1566" s="85"/>
      <c r="AL1566" s="85"/>
      <c r="AM1566" s="85"/>
      <c r="AN1566" s="85"/>
      <c r="AO1566" s="85"/>
      <c r="AP1566" s="85"/>
      <c r="AQ1566" s="93"/>
      <c r="AR1566" s="85"/>
      <c r="AS1566" s="85"/>
      <c r="AT1566" s="85"/>
      <c r="AU1566" s="85"/>
      <c r="AV1566" s="85"/>
      <c r="AW1566" s="85"/>
      <c r="AX1566" s="85"/>
      <c r="AY1566" s="85"/>
      <c r="AZ1566" s="85"/>
      <c r="BA1566" s="85"/>
      <c r="BB1566" s="85"/>
      <c r="BC1566" s="85"/>
      <c r="BD1566" s="85"/>
      <c r="BE1566" s="85"/>
      <c r="BF1566" s="85"/>
      <c r="BG1566" s="85"/>
      <c r="BH1566" s="85"/>
      <c r="BI1566" s="85"/>
      <c r="BJ1566" s="85"/>
      <c r="BK1566" s="85"/>
      <c r="BL1566" s="85"/>
      <c r="BM1566" s="85"/>
      <c r="BN1566" s="85"/>
      <c r="BO1566" s="85"/>
      <c r="BP1566" s="85"/>
      <c r="BQ1566" s="85"/>
      <c r="BR1566" s="85"/>
      <c r="BS1566" s="85"/>
      <c r="BT1566" s="85"/>
      <c r="BU1566" s="85"/>
      <c r="BV1566" s="85"/>
      <c r="BW1566" s="85"/>
      <c r="BX1566" s="85"/>
      <c r="BY1566" s="85"/>
      <c r="BZ1566" s="85"/>
      <c r="CA1566" s="85"/>
      <c r="CB1566" s="85"/>
      <c r="CC1566" s="85"/>
      <c r="CD1566" s="85"/>
      <c r="CE1566" s="85"/>
      <c r="CF1566" s="85"/>
      <c r="CG1566" s="85"/>
      <c r="CH1566" s="85"/>
      <c r="CI1566" s="85"/>
      <c r="CJ1566" s="85"/>
    </row>
    <row r="1567" ht="12.75" customHeight="1">
      <c r="A1567" s="80"/>
      <c r="B1567" s="80"/>
      <c r="C1567" s="80"/>
      <c r="D1567" s="80"/>
      <c r="E1567" s="80"/>
      <c r="F1567" s="80"/>
      <c r="G1567" s="80"/>
      <c r="H1567" s="80"/>
      <c r="I1567" s="80"/>
      <c r="J1567" s="80"/>
      <c r="K1567" s="80"/>
      <c r="L1567" s="80"/>
      <c r="M1567" s="80"/>
      <c r="N1567" s="80"/>
      <c r="O1567" s="80"/>
      <c r="P1567" s="80"/>
      <c r="Q1567" s="80"/>
      <c r="R1567" s="80"/>
      <c r="S1567" s="80"/>
      <c r="T1567" s="80"/>
      <c r="U1567" s="80"/>
      <c r="V1567" s="80"/>
      <c r="W1567" s="80"/>
      <c r="X1567" s="80"/>
      <c r="Y1567" s="80"/>
      <c r="Z1567" s="80"/>
      <c r="AA1567" s="80"/>
      <c r="AB1567" s="80"/>
      <c r="AC1567" s="80"/>
      <c r="AD1567" s="80"/>
      <c r="AE1567" s="80"/>
      <c r="AF1567" s="80"/>
      <c r="AG1567" s="80"/>
      <c r="AH1567" s="80"/>
      <c r="AI1567" s="80"/>
      <c r="AJ1567" s="80"/>
      <c r="AK1567" s="80"/>
      <c r="AL1567" s="80"/>
      <c r="AM1567" s="80"/>
      <c r="AN1567" s="80"/>
      <c r="AO1567" s="80"/>
      <c r="AP1567" s="80"/>
      <c r="AQ1567" s="83"/>
      <c r="AR1567" s="80"/>
      <c r="AS1567" s="80"/>
      <c r="AT1567" s="80"/>
      <c r="AU1567" s="80"/>
      <c r="AV1567" s="80"/>
      <c r="AW1567" s="80"/>
      <c r="AX1567" s="80"/>
      <c r="AY1567" s="80"/>
      <c r="AZ1567" s="80"/>
      <c r="BA1567" s="80"/>
      <c r="BB1567" s="80"/>
      <c r="BC1567" s="80"/>
      <c r="BD1567" s="80"/>
      <c r="BE1567" s="80"/>
      <c r="BF1567" s="80"/>
      <c r="BG1567" s="80"/>
      <c r="BH1567" s="80"/>
      <c r="BI1567" s="80"/>
      <c r="BJ1567" s="80"/>
      <c r="BK1567" s="80"/>
      <c r="BL1567" s="80"/>
      <c r="BM1567" s="80"/>
      <c r="BN1567" s="80"/>
      <c r="BO1567" s="80"/>
      <c r="BP1567" s="80"/>
      <c r="BQ1567" s="80"/>
      <c r="BR1567" s="80"/>
      <c r="BS1567" s="80"/>
      <c r="BT1567" s="80"/>
      <c r="BU1567" s="80"/>
      <c r="BV1567" s="80"/>
      <c r="BW1567" s="80"/>
      <c r="BX1567" s="80"/>
      <c r="BY1567" s="80"/>
      <c r="BZ1567" s="80"/>
      <c r="CA1567" s="80"/>
      <c r="CB1567" s="80"/>
      <c r="CC1567" s="80"/>
      <c r="CD1567" s="80"/>
      <c r="CE1567" s="80"/>
      <c r="CF1567" s="80"/>
      <c r="CG1567" s="80"/>
      <c r="CH1567" s="80"/>
      <c r="CI1567" s="80"/>
      <c r="CJ1567" s="80"/>
    </row>
    <row r="1568" ht="12.75" customHeight="1">
      <c r="A1568" s="85"/>
      <c r="B1568" s="85"/>
      <c r="C1568" s="85"/>
      <c r="D1568" s="85"/>
      <c r="E1568" s="85"/>
      <c r="F1568" s="85"/>
      <c r="G1568" s="85"/>
      <c r="H1568" s="85"/>
      <c r="I1568" s="85"/>
      <c r="J1568" s="85"/>
      <c r="K1568" s="85"/>
      <c r="L1568" s="85"/>
      <c r="M1568" s="85"/>
      <c r="N1568" s="85"/>
      <c r="O1568" s="85"/>
      <c r="P1568" s="85"/>
      <c r="Q1568" s="85"/>
      <c r="R1568" s="85"/>
      <c r="S1568" s="85"/>
      <c r="T1568" s="85"/>
      <c r="U1568" s="85"/>
      <c r="V1568" s="85"/>
      <c r="W1568" s="85"/>
      <c r="X1568" s="85"/>
      <c r="Y1568" s="85"/>
      <c r="Z1568" s="85"/>
      <c r="AA1568" s="85"/>
      <c r="AB1568" s="85"/>
      <c r="AC1568" s="85"/>
      <c r="AD1568" s="85"/>
      <c r="AE1568" s="85"/>
      <c r="AF1568" s="85"/>
      <c r="AG1568" s="85"/>
      <c r="AH1568" s="85"/>
      <c r="AI1568" s="85"/>
      <c r="AJ1568" s="85"/>
      <c r="AK1568" s="85"/>
      <c r="AL1568" s="85"/>
      <c r="AM1568" s="85"/>
      <c r="AN1568" s="85"/>
      <c r="AO1568" s="85"/>
      <c r="AP1568" s="85"/>
      <c r="AQ1568" s="93"/>
      <c r="AR1568" s="85"/>
      <c r="AS1568" s="85"/>
      <c r="AT1568" s="85"/>
      <c r="AU1568" s="85"/>
      <c r="AV1568" s="85"/>
      <c r="AW1568" s="85"/>
      <c r="AX1568" s="85"/>
      <c r="AY1568" s="85"/>
      <c r="AZ1568" s="85"/>
      <c r="BA1568" s="85"/>
      <c r="BB1568" s="85"/>
      <c r="BC1568" s="85"/>
      <c r="BD1568" s="85"/>
      <c r="BE1568" s="85"/>
      <c r="BF1568" s="85"/>
      <c r="BG1568" s="85"/>
      <c r="BH1568" s="85"/>
      <c r="BI1568" s="85"/>
      <c r="BJ1568" s="85"/>
      <c r="BK1568" s="85"/>
      <c r="BL1568" s="85"/>
      <c r="BM1568" s="85"/>
      <c r="BN1568" s="85"/>
      <c r="BO1568" s="85"/>
      <c r="BP1568" s="85"/>
      <c r="BQ1568" s="85"/>
      <c r="BR1568" s="85"/>
      <c r="BS1568" s="85"/>
      <c r="BT1568" s="85"/>
      <c r="BU1568" s="85"/>
      <c r="BV1568" s="85"/>
      <c r="BW1568" s="85"/>
      <c r="BX1568" s="85"/>
      <c r="BY1568" s="85"/>
      <c r="BZ1568" s="85"/>
      <c r="CA1568" s="85"/>
      <c r="CB1568" s="85"/>
      <c r="CC1568" s="85"/>
      <c r="CD1568" s="85"/>
      <c r="CE1568" s="85"/>
      <c r="CF1568" s="85"/>
      <c r="CG1568" s="85"/>
      <c r="CH1568" s="85"/>
      <c r="CI1568" s="85"/>
      <c r="CJ1568" s="85"/>
    </row>
    <row r="1569" ht="12.75" customHeight="1">
      <c r="A1569" s="80"/>
      <c r="B1569" s="80"/>
      <c r="C1569" s="80"/>
      <c r="D1569" s="80"/>
      <c r="E1569" s="80"/>
      <c r="F1569" s="80"/>
      <c r="G1569" s="80"/>
      <c r="H1569" s="80"/>
      <c r="I1569" s="80"/>
      <c r="J1569" s="80"/>
      <c r="K1569" s="80"/>
      <c r="L1569" s="80"/>
      <c r="M1569" s="80"/>
      <c r="N1569" s="80"/>
      <c r="O1569" s="80"/>
      <c r="P1569" s="80"/>
      <c r="Q1569" s="80"/>
      <c r="R1569" s="80"/>
      <c r="S1569" s="80"/>
      <c r="T1569" s="80"/>
      <c r="U1569" s="80"/>
      <c r="V1569" s="80"/>
      <c r="W1569" s="80"/>
      <c r="X1569" s="80"/>
      <c r="Y1569" s="80"/>
      <c r="Z1569" s="80"/>
      <c r="AA1569" s="80"/>
      <c r="AB1569" s="80"/>
      <c r="AC1569" s="80"/>
      <c r="AD1569" s="80"/>
      <c r="AE1569" s="80"/>
      <c r="AF1569" s="80"/>
      <c r="AG1569" s="80"/>
      <c r="AH1569" s="80"/>
      <c r="AI1569" s="80"/>
      <c r="AJ1569" s="80"/>
      <c r="AK1569" s="80"/>
      <c r="AL1569" s="80"/>
      <c r="AM1569" s="80"/>
      <c r="AN1569" s="80"/>
      <c r="AO1569" s="80"/>
      <c r="AP1569" s="80"/>
      <c r="AQ1569" s="83"/>
      <c r="AR1569" s="80"/>
      <c r="AS1569" s="80"/>
      <c r="AT1569" s="80"/>
      <c r="AU1569" s="80"/>
      <c r="AV1569" s="80"/>
      <c r="AW1569" s="80"/>
      <c r="AX1569" s="80"/>
      <c r="AY1569" s="80"/>
      <c r="AZ1569" s="80"/>
      <c r="BA1569" s="80"/>
      <c r="BB1569" s="80"/>
      <c r="BC1569" s="80"/>
      <c r="BD1569" s="80"/>
      <c r="BE1569" s="80"/>
      <c r="BF1569" s="80"/>
      <c r="BG1569" s="80"/>
      <c r="BH1569" s="80"/>
      <c r="BI1569" s="80"/>
      <c r="BJ1569" s="80"/>
      <c r="BK1569" s="80"/>
      <c r="BL1569" s="80"/>
      <c r="BM1569" s="80"/>
      <c r="BN1569" s="80"/>
      <c r="BO1569" s="80"/>
      <c r="BP1569" s="80"/>
      <c r="BQ1569" s="80"/>
      <c r="BR1569" s="80"/>
      <c r="BS1569" s="80"/>
      <c r="BT1569" s="80"/>
      <c r="BU1569" s="80"/>
      <c r="BV1569" s="80"/>
      <c r="BW1569" s="80"/>
      <c r="BX1569" s="80"/>
      <c r="BY1569" s="80"/>
      <c r="BZ1569" s="80"/>
      <c r="CA1569" s="80"/>
      <c r="CB1569" s="80"/>
      <c r="CC1569" s="80"/>
      <c r="CD1569" s="80"/>
      <c r="CE1569" s="80"/>
      <c r="CF1569" s="80"/>
      <c r="CG1569" s="80"/>
      <c r="CH1569" s="80"/>
      <c r="CI1569" s="80"/>
      <c r="CJ1569" s="80"/>
    </row>
    <row r="1570" ht="12.75" customHeight="1">
      <c r="A1570" s="85"/>
      <c r="B1570" s="85"/>
      <c r="C1570" s="85"/>
      <c r="D1570" s="85"/>
      <c r="E1570" s="85"/>
      <c r="F1570" s="85"/>
      <c r="G1570" s="85"/>
      <c r="H1570" s="85"/>
      <c r="I1570" s="85"/>
      <c r="J1570" s="85"/>
      <c r="K1570" s="85"/>
      <c r="L1570" s="85"/>
      <c r="M1570" s="85"/>
      <c r="N1570" s="85"/>
      <c r="O1570" s="85"/>
      <c r="P1570" s="85"/>
      <c r="Q1570" s="85"/>
      <c r="R1570" s="85"/>
      <c r="S1570" s="85"/>
      <c r="T1570" s="85"/>
      <c r="U1570" s="85"/>
      <c r="V1570" s="85"/>
      <c r="W1570" s="85"/>
      <c r="X1570" s="85"/>
      <c r="Y1570" s="85"/>
      <c r="Z1570" s="85"/>
      <c r="AA1570" s="85"/>
      <c r="AB1570" s="85"/>
      <c r="AC1570" s="85"/>
      <c r="AD1570" s="85"/>
      <c r="AE1570" s="85"/>
      <c r="AF1570" s="85"/>
      <c r="AG1570" s="85"/>
      <c r="AH1570" s="85"/>
      <c r="AI1570" s="85"/>
      <c r="AJ1570" s="85"/>
      <c r="AK1570" s="85"/>
      <c r="AL1570" s="85"/>
      <c r="AM1570" s="85"/>
      <c r="AN1570" s="85"/>
      <c r="AO1570" s="85"/>
      <c r="AP1570" s="85"/>
      <c r="AQ1570" s="93"/>
      <c r="AR1570" s="85"/>
      <c r="AS1570" s="85"/>
      <c r="AT1570" s="85"/>
      <c r="AU1570" s="85"/>
      <c r="AV1570" s="85"/>
      <c r="AW1570" s="85"/>
      <c r="AX1570" s="85"/>
      <c r="AY1570" s="85"/>
      <c r="AZ1570" s="85"/>
      <c r="BA1570" s="85"/>
      <c r="BB1570" s="85"/>
      <c r="BC1570" s="85"/>
      <c r="BD1570" s="85"/>
      <c r="BE1570" s="85"/>
      <c r="BF1570" s="85"/>
      <c r="BG1570" s="85"/>
      <c r="BH1570" s="85"/>
      <c r="BI1570" s="85"/>
      <c r="BJ1570" s="85"/>
      <c r="BK1570" s="85"/>
      <c r="BL1570" s="85"/>
      <c r="BM1570" s="85"/>
      <c r="BN1570" s="85"/>
      <c r="BO1570" s="85"/>
      <c r="BP1570" s="85"/>
      <c r="BQ1570" s="85"/>
      <c r="BR1570" s="85"/>
      <c r="BS1570" s="85"/>
      <c r="BT1570" s="85"/>
      <c r="BU1570" s="85"/>
      <c r="BV1570" s="85"/>
      <c r="BW1570" s="85"/>
      <c r="BX1570" s="85"/>
      <c r="BY1570" s="85"/>
      <c r="BZ1570" s="85"/>
      <c r="CA1570" s="85"/>
      <c r="CB1570" s="85"/>
      <c r="CC1570" s="85"/>
      <c r="CD1570" s="85"/>
      <c r="CE1570" s="85"/>
      <c r="CF1570" s="85"/>
      <c r="CG1570" s="85"/>
      <c r="CH1570" s="85"/>
      <c r="CI1570" s="85"/>
      <c r="CJ1570" s="85"/>
    </row>
    <row r="1571" ht="12.75" customHeight="1">
      <c r="A1571" s="80"/>
      <c r="B1571" s="80"/>
      <c r="C1571" s="80"/>
      <c r="D1571" s="80"/>
      <c r="E1571" s="80"/>
      <c r="F1571" s="80"/>
      <c r="G1571" s="80"/>
      <c r="H1571" s="80"/>
      <c r="I1571" s="80"/>
      <c r="J1571" s="80"/>
      <c r="K1571" s="80"/>
      <c r="L1571" s="80"/>
      <c r="M1571" s="80"/>
      <c r="N1571" s="80"/>
      <c r="O1571" s="80"/>
      <c r="P1571" s="80"/>
      <c r="Q1571" s="80"/>
      <c r="R1571" s="80"/>
      <c r="S1571" s="80"/>
      <c r="T1571" s="80"/>
      <c r="U1571" s="80"/>
      <c r="V1571" s="80"/>
      <c r="W1571" s="80"/>
      <c r="X1571" s="80"/>
      <c r="Y1571" s="80"/>
      <c r="Z1571" s="80"/>
      <c r="AA1571" s="80"/>
      <c r="AB1571" s="80"/>
      <c r="AC1571" s="80"/>
      <c r="AD1571" s="80"/>
      <c r="AE1571" s="80"/>
      <c r="AF1571" s="80"/>
      <c r="AG1571" s="80"/>
      <c r="AH1571" s="80"/>
      <c r="AI1571" s="80"/>
      <c r="AJ1571" s="80"/>
      <c r="AK1571" s="80"/>
      <c r="AL1571" s="80"/>
      <c r="AM1571" s="80"/>
      <c r="AN1571" s="80"/>
      <c r="AO1571" s="80"/>
      <c r="AP1571" s="80"/>
      <c r="AQ1571" s="83"/>
      <c r="AR1571" s="80"/>
      <c r="AS1571" s="80"/>
      <c r="AT1571" s="80"/>
      <c r="AU1571" s="80"/>
      <c r="AV1571" s="80"/>
      <c r="AW1571" s="80"/>
      <c r="AX1571" s="80"/>
      <c r="AY1571" s="80"/>
      <c r="AZ1571" s="80"/>
      <c r="BA1571" s="80"/>
      <c r="BB1571" s="80"/>
      <c r="BC1571" s="80"/>
      <c r="BD1571" s="80"/>
      <c r="BE1571" s="80"/>
      <c r="BF1571" s="80"/>
      <c r="BG1571" s="80"/>
      <c r="BH1571" s="80"/>
      <c r="BI1571" s="80"/>
      <c r="BJ1571" s="80"/>
      <c r="BK1571" s="80"/>
      <c r="BL1571" s="80"/>
      <c r="BM1571" s="80"/>
      <c r="BN1571" s="80"/>
      <c r="BO1571" s="80"/>
      <c r="BP1571" s="80"/>
      <c r="BQ1571" s="80"/>
      <c r="BR1571" s="80"/>
      <c r="BS1571" s="80"/>
      <c r="BT1571" s="80"/>
      <c r="BU1571" s="80"/>
      <c r="BV1571" s="80"/>
      <c r="BW1571" s="80"/>
      <c r="BX1571" s="80"/>
      <c r="BY1571" s="80"/>
      <c r="BZ1571" s="80"/>
      <c r="CA1571" s="80"/>
      <c r="CB1571" s="80"/>
      <c r="CC1571" s="80"/>
      <c r="CD1571" s="80"/>
      <c r="CE1571" s="80"/>
      <c r="CF1571" s="80"/>
      <c r="CG1571" s="80"/>
      <c r="CH1571" s="80"/>
      <c r="CI1571" s="80"/>
      <c r="CJ1571" s="80"/>
    </row>
    <row r="1572" ht="12.75" customHeight="1">
      <c r="A1572" s="85"/>
      <c r="B1572" s="85"/>
      <c r="C1572" s="85"/>
      <c r="D1572" s="85"/>
      <c r="E1572" s="85"/>
      <c r="F1572" s="85"/>
      <c r="G1572" s="85"/>
      <c r="H1572" s="85"/>
      <c r="I1572" s="85"/>
      <c r="J1572" s="85"/>
      <c r="K1572" s="85"/>
      <c r="L1572" s="85"/>
      <c r="M1572" s="85"/>
      <c r="N1572" s="85"/>
      <c r="O1572" s="85"/>
      <c r="P1572" s="85"/>
      <c r="Q1572" s="85"/>
      <c r="R1572" s="85"/>
      <c r="S1572" s="85"/>
      <c r="T1572" s="85"/>
      <c r="U1572" s="85"/>
      <c r="V1572" s="85"/>
      <c r="W1572" s="85"/>
      <c r="X1572" s="85"/>
      <c r="Y1572" s="85"/>
      <c r="Z1572" s="85"/>
      <c r="AA1572" s="85"/>
      <c r="AB1572" s="85"/>
      <c r="AC1572" s="85"/>
      <c r="AD1572" s="85"/>
      <c r="AE1572" s="85"/>
      <c r="AF1572" s="85"/>
      <c r="AG1572" s="85"/>
      <c r="AH1572" s="85"/>
      <c r="AI1572" s="85"/>
      <c r="AJ1572" s="85"/>
      <c r="AK1572" s="85"/>
      <c r="AL1572" s="85"/>
      <c r="AM1572" s="85"/>
      <c r="AN1572" s="85"/>
      <c r="AO1572" s="85"/>
      <c r="AP1572" s="85"/>
      <c r="AQ1572" s="93"/>
      <c r="AR1572" s="85"/>
      <c r="AS1572" s="85"/>
      <c r="AT1572" s="85"/>
      <c r="AU1572" s="85"/>
      <c r="AV1572" s="85"/>
      <c r="AW1572" s="85"/>
      <c r="AX1572" s="85"/>
      <c r="AY1572" s="85"/>
      <c r="AZ1572" s="85"/>
      <c r="BA1572" s="85"/>
      <c r="BB1572" s="85"/>
      <c r="BC1572" s="85"/>
      <c r="BD1572" s="85"/>
      <c r="BE1572" s="85"/>
      <c r="BF1572" s="85"/>
      <c r="BG1572" s="85"/>
      <c r="BH1572" s="85"/>
      <c r="BI1572" s="85"/>
      <c r="BJ1572" s="85"/>
      <c r="BK1572" s="85"/>
      <c r="BL1572" s="85"/>
      <c r="BM1572" s="85"/>
      <c r="BN1572" s="85"/>
      <c r="BO1572" s="85"/>
      <c r="BP1572" s="85"/>
      <c r="BQ1572" s="85"/>
      <c r="BR1572" s="85"/>
      <c r="BS1572" s="85"/>
      <c r="BT1572" s="85"/>
      <c r="BU1572" s="85"/>
      <c r="BV1572" s="85"/>
      <c r="BW1572" s="85"/>
      <c r="BX1572" s="85"/>
      <c r="BY1572" s="85"/>
      <c r="BZ1572" s="85"/>
      <c r="CA1572" s="85"/>
      <c r="CB1572" s="85"/>
      <c r="CC1572" s="85"/>
      <c r="CD1572" s="85"/>
      <c r="CE1572" s="85"/>
      <c r="CF1572" s="85"/>
      <c r="CG1572" s="85"/>
      <c r="CH1572" s="85"/>
      <c r="CI1572" s="85"/>
      <c r="CJ1572" s="85"/>
    </row>
    <row r="1573" ht="12.75" customHeight="1">
      <c r="A1573" s="80"/>
      <c r="B1573" s="80"/>
      <c r="C1573" s="80"/>
      <c r="D1573" s="80"/>
      <c r="E1573" s="80"/>
      <c r="F1573" s="80"/>
      <c r="G1573" s="80"/>
      <c r="H1573" s="80"/>
      <c r="I1573" s="80"/>
      <c r="J1573" s="80"/>
      <c r="K1573" s="80"/>
      <c r="L1573" s="80"/>
      <c r="M1573" s="80"/>
      <c r="N1573" s="80"/>
      <c r="O1573" s="80"/>
      <c r="P1573" s="80"/>
      <c r="Q1573" s="80"/>
      <c r="R1573" s="80"/>
      <c r="S1573" s="80"/>
      <c r="T1573" s="80"/>
      <c r="U1573" s="80"/>
      <c r="V1573" s="80"/>
      <c r="W1573" s="80"/>
      <c r="X1573" s="80"/>
      <c r="Y1573" s="80"/>
      <c r="Z1573" s="80"/>
      <c r="AA1573" s="80"/>
      <c r="AB1573" s="80"/>
      <c r="AC1573" s="80"/>
      <c r="AD1573" s="80"/>
      <c r="AE1573" s="80"/>
      <c r="AF1573" s="80"/>
      <c r="AG1573" s="80"/>
      <c r="AH1573" s="80"/>
      <c r="AI1573" s="80"/>
      <c r="AJ1573" s="80"/>
      <c r="AK1573" s="80"/>
      <c r="AL1573" s="80"/>
      <c r="AM1573" s="80"/>
      <c r="AN1573" s="80"/>
      <c r="AO1573" s="80"/>
      <c r="AP1573" s="80"/>
      <c r="AQ1573" s="83"/>
      <c r="AR1573" s="80"/>
      <c r="AS1573" s="80"/>
      <c r="AT1573" s="80"/>
      <c r="AU1573" s="80"/>
      <c r="AV1573" s="80"/>
      <c r="AW1573" s="80"/>
      <c r="AX1573" s="80"/>
      <c r="AY1573" s="80"/>
      <c r="AZ1573" s="80"/>
      <c r="BA1573" s="80"/>
      <c r="BB1573" s="80"/>
      <c r="BC1573" s="80"/>
      <c r="BD1573" s="80"/>
      <c r="BE1573" s="80"/>
      <c r="BF1573" s="80"/>
      <c r="BG1573" s="80"/>
      <c r="BH1573" s="80"/>
      <c r="BI1573" s="80"/>
      <c r="BJ1573" s="80"/>
      <c r="BK1573" s="80"/>
      <c r="BL1573" s="80"/>
      <c r="BM1573" s="80"/>
      <c r="BN1573" s="80"/>
      <c r="BO1573" s="80"/>
      <c r="BP1573" s="80"/>
      <c r="BQ1573" s="80"/>
      <c r="BR1573" s="80"/>
      <c r="BS1573" s="80"/>
      <c r="BT1573" s="80"/>
      <c r="BU1573" s="80"/>
      <c r="BV1573" s="80"/>
      <c r="BW1573" s="80"/>
      <c r="BX1573" s="80"/>
      <c r="BY1573" s="80"/>
      <c r="BZ1573" s="80"/>
      <c r="CA1573" s="80"/>
      <c r="CB1573" s="80"/>
      <c r="CC1573" s="80"/>
      <c r="CD1573" s="80"/>
      <c r="CE1573" s="80"/>
      <c r="CF1573" s="80"/>
      <c r="CG1573" s="80"/>
      <c r="CH1573" s="80"/>
      <c r="CI1573" s="80"/>
      <c r="CJ1573" s="80"/>
    </row>
    <row r="1574" ht="12.75" customHeight="1">
      <c r="A1574" s="85"/>
      <c r="B1574" s="85"/>
      <c r="C1574" s="85"/>
      <c r="D1574" s="85"/>
      <c r="E1574" s="85"/>
      <c r="F1574" s="85"/>
      <c r="G1574" s="85"/>
      <c r="H1574" s="85"/>
      <c r="I1574" s="85"/>
      <c r="J1574" s="85"/>
      <c r="K1574" s="85"/>
      <c r="L1574" s="85"/>
      <c r="M1574" s="85"/>
      <c r="N1574" s="85"/>
      <c r="O1574" s="85"/>
      <c r="P1574" s="85"/>
      <c r="Q1574" s="85"/>
      <c r="R1574" s="85"/>
      <c r="S1574" s="85"/>
      <c r="T1574" s="85"/>
      <c r="U1574" s="85"/>
      <c r="V1574" s="85"/>
      <c r="W1574" s="85"/>
      <c r="X1574" s="85"/>
      <c r="Y1574" s="85"/>
      <c r="Z1574" s="85"/>
      <c r="AA1574" s="85"/>
      <c r="AB1574" s="85"/>
      <c r="AC1574" s="85"/>
      <c r="AD1574" s="85"/>
      <c r="AE1574" s="85"/>
      <c r="AF1574" s="85"/>
      <c r="AG1574" s="85"/>
      <c r="AH1574" s="85"/>
      <c r="AI1574" s="85"/>
      <c r="AJ1574" s="85"/>
      <c r="AK1574" s="85"/>
      <c r="AL1574" s="85"/>
      <c r="AM1574" s="85"/>
      <c r="AN1574" s="85"/>
      <c r="AO1574" s="85"/>
      <c r="AP1574" s="85"/>
      <c r="AQ1574" s="93"/>
      <c r="AR1574" s="85"/>
      <c r="AS1574" s="85"/>
      <c r="AT1574" s="85"/>
      <c r="AU1574" s="85"/>
      <c r="AV1574" s="85"/>
      <c r="AW1574" s="85"/>
      <c r="AX1574" s="85"/>
      <c r="AY1574" s="85"/>
      <c r="AZ1574" s="85"/>
      <c r="BA1574" s="85"/>
      <c r="BB1574" s="85"/>
      <c r="BC1574" s="85"/>
      <c r="BD1574" s="85"/>
      <c r="BE1574" s="85"/>
      <c r="BF1574" s="85"/>
      <c r="BG1574" s="85"/>
      <c r="BH1574" s="85"/>
      <c r="BI1574" s="85"/>
      <c r="BJ1574" s="85"/>
      <c r="BK1574" s="85"/>
      <c r="BL1574" s="85"/>
      <c r="BM1574" s="85"/>
      <c r="BN1574" s="85"/>
      <c r="BO1574" s="85"/>
      <c r="BP1574" s="85"/>
      <c r="BQ1574" s="85"/>
      <c r="BR1574" s="85"/>
      <c r="BS1574" s="85"/>
      <c r="BT1574" s="85"/>
      <c r="BU1574" s="85"/>
      <c r="BV1574" s="85"/>
      <c r="BW1574" s="85"/>
      <c r="BX1574" s="85"/>
      <c r="BY1574" s="85"/>
      <c r="BZ1574" s="85"/>
      <c r="CA1574" s="85"/>
      <c r="CB1574" s="85"/>
      <c r="CC1574" s="85"/>
      <c r="CD1574" s="85"/>
      <c r="CE1574" s="85"/>
      <c r="CF1574" s="85"/>
      <c r="CG1574" s="85"/>
      <c r="CH1574" s="85"/>
      <c r="CI1574" s="85"/>
      <c r="CJ1574" s="85"/>
    </row>
    <row r="1575" ht="12.75" customHeight="1">
      <c r="A1575" s="80"/>
      <c r="B1575" s="80"/>
      <c r="C1575" s="80"/>
      <c r="D1575" s="80"/>
      <c r="E1575" s="80"/>
      <c r="F1575" s="80"/>
      <c r="G1575" s="80"/>
      <c r="H1575" s="80"/>
      <c r="I1575" s="80"/>
      <c r="J1575" s="80"/>
      <c r="K1575" s="80"/>
      <c r="L1575" s="80"/>
      <c r="M1575" s="80"/>
      <c r="N1575" s="80"/>
      <c r="O1575" s="80"/>
      <c r="P1575" s="80"/>
      <c r="Q1575" s="80"/>
      <c r="R1575" s="80"/>
      <c r="S1575" s="80"/>
      <c r="T1575" s="80"/>
      <c r="U1575" s="80"/>
      <c r="V1575" s="80"/>
      <c r="W1575" s="80"/>
      <c r="X1575" s="80"/>
      <c r="Y1575" s="80"/>
      <c r="Z1575" s="80"/>
      <c r="AA1575" s="80"/>
      <c r="AB1575" s="80"/>
      <c r="AC1575" s="80"/>
      <c r="AD1575" s="80"/>
      <c r="AE1575" s="80"/>
      <c r="AF1575" s="80"/>
      <c r="AG1575" s="80"/>
      <c r="AH1575" s="80"/>
      <c r="AI1575" s="80"/>
      <c r="AJ1575" s="80"/>
      <c r="AK1575" s="80"/>
      <c r="AL1575" s="80"/>
      <c r="AM1575" s="80"/>
      <c r="AN1575" s="80"/>
      <c r="AO1575" s="80"/>
      <c r="AP1575" s="80"/>
      <c r="AQ1575" s="83"/>
      <c r="AR1575" s="80"/>
      <c r="AS1575" s="80"/>
      <c r="AT1575" s="80"/>
      <c r="AU1575" s="80"/>
      <c r="AV1575" s="80"/>
      <c r="AW1575" s="80"/>
      <c r="AX1575" s="80"/>
      <c r="AY1575" s="80"/>
      <c r="AZ1575" s="80"/>
      <c r="BA1575" s="80"/>
      <c r="BB1575" s="80"/>
      <c r="BC1575" s="80"/>
      <c r="BD1575" s="80"/>
      <c r="BE1575" s="80"/>
      <c r="BF1575" s="80"/>
      <c r="BG1575" s="80"/>
      <c r="BH1575" s="80"/>
      <c r="BI1575" s="80"/>
      <c r="BJ1575" s="80"/>
      <c r="BK1575" s="80"/>
      <c r="BL1575" s="80"/>
      <c r="BM1575" s="80"/>
      <c r="BN1575" s="80"/>
      <c r="BO1575" s="80"/>
      <c r="BP1575" s="80"/>
      <c r="BQ1575" s="80"/>
      <c r="BR1575" s="80"/>
      <c r="BS1575" s="80"/>
      <c r="BT1575" s="80"/>
      <c r="BU1575" s="80"/>
      <c r="BV1575" s="80"/>
      <c r="BW1575" s="80"/>
      <c r="BX1575" s="80"/>
      <c r="BY1575" s="80"/>
      <c r="BZ1575" s="80"/>
      <c r="CA1575" s="80"/>
      <c r="CB1575" s="80"/>
      <c r="CC1575" s="80"/>
      <c r="CD1575" s="80"/>
      <c r="CE1575" s="80"/>
      <c r="CF1575" s="80"/>
      <c r="CG1575" s="80"/>
      <c r="CH1575" s="80"/>
      <c r="CI1575" s="80"/>
      <c r="CJ1575" s="80"/>
    </row>
    <row r="1576" ht="12.75" customHeight="1">
      <c r="A1576" s="85"/>
      <c r="B1576" s="85"/>
      <c r="C1576" s="85"/>
      <c r="D1576" s="85"/>
      <c r="E1576" s="85"/>
      <c r="F1576" s="85"/>
      <c r="G1576" s="85"/>
      <c r="H1576" s="85"/>
      <c r="I1576" s="85"/>
      <c r="J1576" s="85"/>
      <c r="K1576" s="85"/>
      <c r="L1576" s="85"/>
      <c r="M1576" s="85"/>
      <c r="N1576" s="85"/>
      <c r="O1576" s="85"/>
      <c r="P1576" s="85"/>
      <c r="Q1576" s="85"/>
      <c r="R1576" s="85"/>
      <c r="S1576" s="85"/>
      <c r="T1576" s="85"/>
      <c r="U1576" s="85"/>
      <c r="V1576" s="85"/>
      <c r="W1576" s="85"/>
      <c r="X1576" s="85"/>
      <c r="Y1576" s="85"/>
      <c r="Z1576" s="85"/>
      <c r="AA1576" s="85"/>
      <c r="AB1576" s="85"/>
      <c r="AC1576" s="85"/>
      <c r="AD1576" s="85"/>
      <c r="AE1576" s="85"/>
      <c r="AF1576" s="85"/>
      <c r="AG1576" s="85"/>
      <c r="AH1576" s="85"/>
      <c r="AI1576" s="85"/>
      <c r="AJ1576" s="85"/>
      <c r="AK1576" s="85"/>
      <c r="AL1576" s="85"/>
      <c r="AM1576" s="85"/>
      <c r="AN1576" s="85"/>
      <c r="AO1576" s="85"/>
      <c r="AP1576" s="85"/>
      <c r="AQ1576" s="93"/>
      <c r="AR1576" s="85"/>
      <c r="AS1576" s="85"/>
      <c r="AT1576" s="85"/>
      <c r="AU1576" s="85"/>
      <c r="AV1576" s="85"/>
      <c r="AW1576" s="85"/>
      <c r="AX1576" s="85"/>
      <c r="AY1576" s="85"/>
      <c r="AZ1576" s="85"/>
      <c r="BA1576" s="85"/>
      <c r="BB1576" s="85"/>
      <c r="BC1576" s="85"/>
      <c r="BD1576" s="85"/>
      <c r="BE1576" s="85"/>
      <c r="BF1576" s="85"/>
      <c r="BG1576" s="85"/>
      <c r="BH1576" s="85"/>
      <c r="BI1576" s="85"/>
      <c r="BJ1576" s="85"/>
      <c r="BK1576" s="85"/>
      <c r="BL1576" s="85"/>
      <c r="BM1576" s="85"/>
      <c r="BN1576" s="85"/>
      <c r="BO1576" s="85"/>
      <c r="BP1576" s="85"/>
      <c r="BQ1576" s="85"/>
      <c r="BR1576" s="85"/>
      <c r="BS1576" s="85"/>
      <c r="BT1576" s="85"/>
      <c r="BU1576" s="85"/>
      <c r="BV1576" s="85"/>
      <c r="BW1576" s="85"/>
      <c r="BX1576" s="85"/>
      <c r="BY1576" s="85"/>
      <c r="BZ1576" s="85"/>
      <c r="CA1576" s="85"/>
      <c r="CB1576" s="85"/>
      <c r="CC1576" s="85"/>
      <c r="CD1576" s="85"/>
      <c r="CE1576" s="85"/>
      <c r="CF1576" s="85"/>
      <c r="CG1576" s="85"/>
      <c r="CH1576" s="85"/>
      <c r="CI1576" s="85"/>
      <c r="CJ1576" s="85"/>
    </row>
    <row r="1577" ht="12.75" customHeight="1">
      <c r="A1577" s="80"/>
      <c r="B1577" s="80"/>
      <c r="C1577" s="80"/>
      <c r="D1577" s="80"/>
      <c r="E1577" s="80"/>
      <c r="F1577" s="80"/>
      <c r="G1577" s="80"/>
      <c r="H1577" s="80"/>
      <c r="I1577" s="80"/>
      <c r="J1577" s="80"/>
      <c r="K1577" s="80"/>
      <c r="L1577" s="80"/>
      <c r="M1577" s="80"/>
      <c r="N1577" s="80"/>
      <c r="O1577" s="80"/>
      <c r="P1577" s="80"/>
      <c r="Q1577" s="80"/>
      <c r="R1577" s="80"/>
      <c r="S1577" s="80"/>
      <c r="T1577" s="80"/>
      <c r="U1577" s="80"/>
      <c r="V1577" s="80"/>
      <c r="W1577" s="80"/>
      <c r="X1577" s="80"/>
      <c r="Y1577" s="80"/>
      <c r="Z1577" s="80"/>
      <c r="AA1577" s="80"/>
      <c r="AB1577" s="80"/>
      <c r="AC1577" s="80"/>
      <c r="AD1577" s="80"/>
      <c r="AE1577" s="80"/>
      <c r="AF1577" s="80"/>
      <c r="AG1577" s="80"/>
      <c r="AH1577" s="80"/>
      <c r="AI1577" s="80"/>
      <c r="AJ1577" s="80"/>
      <c r="AK1577" s="80"/>
      <c r="AL1577" s="80"/>
      <c r="AM1577" s="80"/>
      <c r="AN1577" s="80"/>
      <c r="AO1577" s="80"/>
      <c r="AP1577" s="80"/>
      <c r="AQ1577" s="83"/>
      <c r="AR1577" s="80"/>
      <c r="AS1577" s="80"/>
      <c r="AT1577" s="80"/>
      <c r="AU1577" s="80"/>
      <c r="AV1577" s="80"/>
      <c r="AW1577" s="80"/>
      <c r="AX1577" s="80"/>
      <c r="AY1577" s="80"/>
      <c r="AZ1577" s="80"/>
      <c r="BA1577" s="80"/>
      <c r="BB1577" s="80"/>
      <c r="BC1577" s="80"/>
      <c r="BD1577" s="80"/>
      <c r="BE1577" s="80"/>
      <c r="BF1577" s="80"/>
      <c r="BG1577" s="80"/>
      <c r="BH1577" s="80"/>
      <c r="BI1577" s="80"/>
      <c r="BJ1577" s="80"/>
      <c r="BK1577" s="80"/>
      <c r="BL1577" s="80"/>
      <c r="BM1577" s="80"/>
      <c r="BN1577" s="80"/>
      <c r="BO1577" s="80"/>
      <c r="BP1577" s="80"/>
      <c r="BQ1577" s="80"/>
      <c r="BR1577" s="80"/>
      <c r="BS1577" s="80"/>
      <c r="BT1577" s="80"/>
      <c r="BU1577" s="80"/>
      <c r="BV1577" s="80"/>
      <c r="BW1577" s="80"/>
      <c r="BX1577" s="80"/>
      <c r="BY1577" s="80"/>
      <c r="BZ1577" s="80"/>
      <c r="CA1577" s="80"/>
      <c r="CB1577" s="80"/>
      <c r="CC1577" s="80"/>
      <c r="CD1577" s="80"/>
      <c r="CE1577" s="80"/>
      <c r="CF1577" s="80"/>
      <c r="CG1577" s="80"/>
      <c r="CH1577" s="80"/>
      <c r="CI1577" s="80"/>
      <c r="CJ1577" s="80"/>
    </row>
    <row r="1578" ht="12.75" customHeight="1">
      <c r="A1578" s="85"/>
      <c r="B1578" s="85"/>
      <c r="C1578" s="85"/>
      <c r="D1578" s="85"/>
      <c r="E1578" s="85"/>
      <c r="F1578" s="85"/>
      <c r="G1578" s="85"/>
      <c r="H1578" s="85"/>
      <c r="I1578" s="85"/>
      <c r="J1578" s="85"/>
      <c r="K1578" s="85"/>
      <c r="L1578" s="85"/>
      <c r="M1578" s="85"/>
      <c r="N1578" s="85"/>
      <c r="O1578" s="85"/>
      <c r="P1578" s="85"/>
      <c r="Q1578" s="85"/>
      <c r="R1578" s="85"/>
      <c r="S1578" s="85"/>
      <c r="T1578" s="85"/>
      <c r="U1578" s="85"/>
      <c r="V1578" s="85"/>
      <c r="W1578" s="85"/>
      <c r="X1578" s="85"/>
      <c r="Y1578" s="85"/>
      <c r="Z1578" s="85"/>
      <c r="AA1578" s="85"/>
      <c r="AB1578" s="85"/>
      <c r="AC1578" s="85"/>
      <c r="AD1578" s="85"/>
      <c r="AE1578" s="85"/>
      <c r="AF1578" s="85"/>
      <c r="AG1578" s="85"/>
      <c r="AH1578" s="85"/>
      <c r="AI1578" s="85"/>
      <c r="AJ1578" s="85"/>
      <c r="AK1578" s="85"/>
      <c r="AL1578" s="85"/>
      <c r="AM1578" s="85"/>
      <c r="AN1578" s="85"/>
      <c r="AO1578" s="85"/>
      <c r="AP1578" s="85"/>
      <c r="AQ1578" s="93"/>
      <c r="AR1578" s="85"/>
      <c r="AS1578" s="85"/>
      <c r="AT1578" s="85"/>
      <c r="AU1578" s="85"/>
      <c r="AV1578" s="85"/>
      <c r="AW1578" s="85"/>
      <c r="AX1578" s="85"/>
      <c r="AY1578" s="85"/>
      <c r="AZ1578" s="85"/>
      <c r="BA1578" s="85"/>
      <c r="BB1578" s="85"/>
      <c r="BC1578" s="85"/>
      <c r="BD1578" s="85"/>
      <c r="BE1578" s="85"/>
      <c r="BF1578" s="85"/>
      <c r="BG1578" s="85"/>
      <c r="BH1578" s="85"/>
      <c r="BI1578" s="85"/>
      <c r="BJ1578" s="85"/>
      <c r="BK1578" s="85"/>
      <c r="BL1578" s="85"/>
      <c r="BM1578" s="85"/>
      <c r="BN1578" s="85"/>
      <c r="BO1578" s="85"/>
      <c r="BP1578" s="85"/>
      <c r="BQ1578" s="85"/>
      <c r="BR1578" s="85"/>
      <c r="BS1578" s="85"/>
      <c r="BT1578" s="85"/>
      <c r="BU1578" s="85"/>
      <c r="BV1578" s="85"/>
      <c r="BW1578" s="85"/>
      <c r="BX1578" s="85"/>
      <c r="BY1578" s="85"/>
      <c r="BZ1578" s="85"/>
      <c r="CA1578" s="85"/>
      <c r="CB1578" s="85"/>
      <c r="CC1578" s="85"/>
      <c r="CD1578" s="85"/>
      <c r="CE1578" s="85"/>
      <c r="CF1578" s="85"/>
      <c r="CG1578" s="85"/>
      <c r="CH1578" s="85"/>
      <c r="CI1578" s="85"/>
      <c r="CJ1578" s="85"/>
    </row>
    <row r="1579" ht="12.75" customHeight="1">
      <c r="A1579" s="80"/>
      <c r="B1579" s="80"/>
      <c r="C1579" s="80"/>
      <c r="D1579" s="80"/>
      <c r="E1579" s="80"/>
      <c r="F1579" s="80"/>
      <c r="G1579" s="80"/>
      <c r="H1579" s="80"/>
      <c r="I1579" s="80"/>
      <c r="J1579" s="80"/>
      <c r="K1579" s="80"/>
      <c r="L1579" s="80"/>
      <c r="M1579" s="80"/>
      <c r="N1579" s="80"/>
      <c r="O1579" s="80"/>
      <c r="P1579" s="80"/>
      <c r="Q1579" s="80"/>
      <c r="R1579" s="80"/>
      <c r="S1579" s="80"/>
      <c r="T1579" s="80"/>
      <c r="U1579" s="80"/>
      <c r="V1579" s="80"/>
      <c r="W1579" s="80"/>
      <c r="X1579" s="80"/>
      <c r="Y1579" s="80"/>
      <c r="Z1579" s="80"/>
      <c r="AA1579" s="80"/>
      <c r="AB1579" s="80"/>
      <c r="AC1579" s="80"/>
      <c r="AD1579" s="80"/>
      <c r="AE1579" s="80"/>
      <c r="AF1579" s="80"/>
      <c r="AG1579" s="80"/>
      <c r="AH1579" s="80"/>
      <c r="AI1579" s="80"/>
      <c r="AJ1579" s="80"/>
      <c r="AK1579" s="80"/>
      <c r="AL1579" s="80"/>
      <c r="AM1579" s="80"/>
      <c r="AN1579" s="80"/>
      <c r="AO1579" s="80"/>
      <c r="AP1579" s="80"/>
      <c r="AQ1579" s="83"/>
      <c r="AR1579" s="80"/>
      <c r="AS1579" s="80"/>
      <c r="AT1579" s="80"/>
      <c r="AU1579" s="80"/>
      <c r="AV1579" s="80"/>
      <c r="AW1579" s="80"/>
      <c r="AX1579" s="80"/>
      <c r="AY1579" s="80"/>
      <c r="AZ1579" s="80"/>
      <c r="BA1579" s="80"/>
      <c r="BB1579" s="80"/>
      <c r="BC1579" s="80"/>
      <c r="BD1579" s="80"/>
      <c r="BE1579" s="80"/>
      <c r="BF1579" s="80"/>
      <c r="BG1579" s="80"/>
      <c r="BH1579" s="80"/>
      <c r="BI1579" s="80"/>
      <c r="BJ1579" s="80"/>
      <c r="BK1579" s="80"/>
      <c r="BL1579" s="80"/>
      <c r="BM1579" s="80"/>
      <c r="BN1579" s="80"/>
      <c r="BO1579" s="80"/>
      <c r="BP1579" s="80"/>
      <c r="BQ1579" s="80"/>
      <c r="BR1579" s="80"/>
      <c r="BS1579" s="80"/>
      <c r="BT1579" s="80"/>
      <c r="BU1579" s="80"/>
      <c r="BV1579" s="80"/>
      <c r="BW1579" s="80"/>
      <c r="BX1579" s="80"/>
      <c r="BY1579" s="80"/>
      <c r="BZ1579" s="80"/>
      <c r="CA1579" s="80"/>
      <c r="CB1579" s="80"/>
      <c r="CC1579" s="80"/>
      <c r="CD1579" s="80"/>
      <c r="CE1579" s="80"/>
      <c r="CF1579" s="80"/>
      <c r="CG1579" s="80"/>
      <c r="CH1579" s="80"/>
      <c r="CI1579" s="80"/>
      <c r="CJ1579" s="80"/>
    </row>
    <row r="1580" ht="12.75" customHeight="1">
      <c r="A1580" s="85"/>
      <c r="B1580" s="85"/>
      <c r="C1580" s="85"/>
      <c r="D1580" s="85"/>
      <c r="E1580" s="85"/>
      <c r="F1580" s="85"/>
      <c r="G1580" s="85"/>
      <c r="H1580" s="85"/>
      <c r="I1580" s="85"/>
      <c r="J1580" s="85"/>
      <c r="K1580" s="85"/>
      <c r="L1580" s="85"/>
      <c r="M1580" s="85"/>
      <c r="N1580" s="85"/>
      <c r="O1580" s="85"/>
      <c r="P1580" s="85"/>
      <c r="Q1580" s="85"/>
      <c r="R1580" s="85"/>
      <c r="S1580" s="85"/>
      <c r="T1580" s="85"/>
      <c r="U1580" s="85"/>
      <c r="V1580" s="85"/>
      <c r="W1580" s="85"/>
      <c r="X1580" s="85"/>
      <c r="Y1580" s="85"/>
      <c r="Z1580" s="85"/>
      <c r="AA1580" s="85"/>
      <c r="AB1580" s="85"/>
      <c r="AC1580" s="85"/>
      <c r="AD1580" s="85"/>
      <c r="AE1580" s="85"/>
      <c r="AF1580" s="85"/>
      <c r="AG1580" s="85"/>
      <c r="AH1580" s="85"/>
      <c r="AI1580" s="85"/>
      <c r="AJ1580" s="85"/>
      <c r="AK1580" s="85"/>
      <c r="AL1580" s="85"/>
      <c r="AM1580" s="85"/>
      <c r="AN1580" s="85"/>
      <c r="AO1580" s="85"/>
      <c r="AP1580" s="85"/>
      <c r="AQ1580" s="93"/>
      <c r="AR1580" s="85"/>
      <c r="AS1580" s="85"/>
      <c r="AT1580" s="85"/>
      <c r="AU1580" s="85"/>
      <c r="AV1580" s="85"/>
      <c r="AW1580" s="85"/>
      <c r="AX1580" s="85"/>
      <c r="AY1580" s="85"/>
      <c r="AZ1580" s="85"/>
      <c r="BA1580" s="85"/>
      <c r="BB1580" s="85"/>
      <c r="BC1580" s="85"/>
      <c r="BD1580" s="85"/>
      <c r="BE1580" s="85"/>
      <c r="BF1580" s="85"/>
      <c r="BG1580" s="85"/>
      <c r="BH1580" s="85"/>
      <c r="BI1580" s="85"/>
      <c r="BJ1580" s="85"/>
      <c r="BK1580" s="85"/>
      <c r="BL1580" s="85"/>
      <c r="BM1580" s="85"/>
      <c r="BN1580" s="85"/>
      <c r="BO1580" s="85"/>
      <c r="BP1580" s="85"/>
      <c r="BQ1580" s="85"/>
      <c r="BR1580" s="85"/>
      <c r="BS1580" s="85"/>
      <c r="BT1580" s="85"/>
      <c r="BU1580" s="85"/>
      <c r="BV1580" s="85"/>
      <c r="BW1580" s="85"/>
      <c r="BX1580" s="85"/>
      <c r="BY1580" s="85"/>
      <c r="BZ1580" s="85"/>
      <c r="CA1580" s="85"/>
      <c r="CB1580" s="85"/>
      <c r="CC1580" s="85"/>
      <c r="CD1580" s="85"/>
      <c r="CE1580" s="85"/>
      <c r="CF1580" s="85"/>
      <c r="CG1580" s="85"/>
      <c r="CH1580" s="85"/>
      <c r="CI1580" s="85"/>
      <c r="CJ1580" s="85"/>
    </row>
    <row r="1581" ht="12.75" customHeight="1">
      <c r="A1581" s="80"/>
      <c r="B1581" s="80"/>
      <c r="C1581" s="80"/>
      <c r="D1581" s="80"/>
      <c r="E1581" s="80"/>
      <c r="F1581" s="80"/>
      <c r="G1581" s="80"/>
      <c r="H1581" s="80"/>
      <c r="I1581" s="80"/>
      <c r="J1581" s="80"/>
      <c r="K1581" s="80"/>
      <c r="L1581" s="80"/>
      <c r="M1581" s="80"/>
      <c r="N1581" s="80"/>
      <c r="O1581" s="80"/>
      <c r="P1581" s="80"/>
      <c r="Q1581" s="80"/>
      <c r="R1581" s="80"/>
      <c r="S1581" s="80"/>
      <c r="T1581" s="80"/>
      <c r="U1581" s="80"/>
      <c r="V1581" s="80"/>
      <c r="W1581" s="80"/>
      <c r="X1581" s="80"/>
      <c r="Y1581" s="80"/>
      <c r="Z1581" s="80"/>
      <c r="AA1581" s="80"/>
      <c r="AB1581" s="80"/>
      <c r="AC1581" s="80"/>
      <c r="AD1581" s="80"/>
      <c r="AE1581" s="80"/>
      <c r="AF1581" s="80"/>
      <c r="AG1581" s="80"/>
      <c r="AH1581" s="80"/>
      <c r="AI1581" s="80"/>
      <c r="AJ1581" s="80"/>
      <c r="AK1581" s="80"/>
      <c r="AL1581" s="80"/>
      <c r="AM1581" s="80"/>
      <c r="AN1581" s="80"/>
      <c r="AO1581" s="80"/>
      <c r="AP1581" s="80"/>
      <c r="AQ1581" s="83"/>
      <c r="AR1581" s="80"/>
      <c r="AS1581" s="80"/>
      <c r="AT1581" s="80"/>
      <c r="AU1581" s="80"/>
      <c r="AV1581" s="80"/>
      <c r="AW1581" s="80"/>
      <c r="AX1581" s="80"/>
      <c r="AY1581" s="80"/>
      <c r="AZ1581" s="80"/>
      <c r="BA1581" s="80"/>
      <c r="BB1581" s="80"/>
      <c r="BC1581" s="80"/>
      <c r="BD1581" s="80"/>
      <c r="BE1581" s="80"/>
      <c r="BF1581" s="80"/>
      <c r="BG1581" s="80"/>
      <c r="BH1581" s="80"/>
      <c r="BI1581" s="80"/>
      <c r="BJ1581" s="80"/>
      <c r="BK1581" s="80"/>
      <c r="BL1581" s="80"/>
      <c r="BM1581" s="80"/>
      <c r="BN1581" s="80"/>
      <c r="BO1581" s="80"/>
      <c r="BP1581" s="80"/>
      <c r="BQ1581" s="80"/>
      <c r="BR1581" s="80"/>
      <c r="BS1581" s="80"/>
      <c r="BT1581" s="80"/>
      <c r="BU1581" s="80"/>
      <c r="BV1581" s="80"/>
      <c r="BW1581" s="80"/>
      <c r="BX1581" s="80"/>
      <c r="BY1581" s="80"/>
      <c r="BZ1581" s="80"/>
      <c r="CA1581" s="80"/>
      <c r="CB1581" s="80"/>
      <c r="CC1581" s="80"/>
      <c r="CD1581" s="80"/>
      <c r="CE1581" s="80"/>
      <c r="CF1581" s="80"/>
      <c r="CG1581" s="80"/>
      <c r="CH1581" s="80"/>
      <c r="CI1581" s="80"/>
      <c r="CJ1581" s="80"/>
    </row>
    <row r="1582" ht="12.75" customHeight="1">
      <c r="A1582" s="85"/>
      <c r="B1582" s="85"/>
      <c r="C1582" s="85"/>
      <c r="D1582" s="85"/>
      <c r="E1582" s="85"/>
      <c r="F1582" s="85"/>
      <c r="G1582" s="85"/>
      <c r="H1582" s="85"/>
      <c r="I1582" s="85"/>
      <c r="J1582" s="85"/>
      <c r="K1582" s="85"/>
      <c r="L1582" s="85"/>
      <c r="M1582" s="85"/>
      <c r="N1582" s="85"/>
      <c r="O1582" s="85"/>
      <c r="P1582" s="85"/>
      <c r="Q1582" s="85"/>
      <c r="R1582" s="85"/>
      <c r="S1582" s="85"/>
      <c r="T1582" s="85"/>
      <c r="U1582" s="85"/>
      <c r="V1582" s="85"/>
      <c r="W1582" s="85"/>
      <c r="X1582" s="85"/>
      <c r="Y1582" s="85"/>
      <c r="Z1582" s="85"/>
      <c r="AA1582" s="85"/>
      <c r="AB1582" s="85"/>
      <c r="AC1582" s="85"/>
      <c r="AD1582" s="85"/>
      <c r="AE1582" s="85"/>
      <c r="AF1582" s="85"/>
      <c r="AG1582" s="85"/>
      <c r="AH1582" s="85"/>
      <c r="AI1582" s="85"/>
      <c r="AJ1582" s="85"/>
      <c r="AK1582" s="85"/>
      <c r="AL1582" s="85"/>
      <c r="AM1582" s="85"/>
      <c r="AN1582" s="85"/>
      <c r="AO1582" s="85"/>
      <c r="AP1582" s="85"/>
      <c r="AQ1582" s="93"/>
      <c r="AR1582" s="85"/>
      <c r="AS1582" s="85"/>
      <c r="AT1582" s="85"/>
      <c r="AU1582" s="85"/>
      <c r="AV1582" s="85"/>
      <c r="AW1582" s="85"/>
      <c r="AX1582" s="85"/>
      <c r="AY1582" s="85"/>
      <c r="AZ1582" s="85"/>
      <c r="BA1582" s="85"/>
      <c r="BB1582" s="85"/>
      <c r="BC1582" s="85"/>
      <c r="BD1582" s="85"/>
      <c r="BE1582" s="85"/>
      <c r="BF1582" s="85"/>
      <c r="BG1582" s="85"/>
      <c r="BH1582" s="85"/>
      <c r="BI1582" s="85"/>
      <c r="BJ1582" s="85"/>
      <c r="BK1582" s="85"/>
      <c r="BL1582" s="85"/>
      <c r="BM1582" s="85"/>
      <c r="BN1582" s="85"/>
      <c r="BO1582" s="85"/>
      <c r="BP1582" s="85"/>
      <c r="BQ1582" s="85"/>
      <c r="BR1582" s="85"/>
      <c r="BS1582" s="85"/>
      <c r="BT1582" s="85"/>
      <c r="BU1582" s="85"/>
      <c r="BV1582" s="85"/>
      <c r="BW1582" s="85"/>
      <c r="BX1582" s="85"/>
      <c r="BY1582" s="85"/>
      <c r="BZ1582" s="85"/>
      <c r="CA1582" s="85"/>
      <c r="CB1582" s="85"/>
      <c r="CC1582" s="85"/>
      <c r="CD1582" s="85"/>
      <c r="CE1582" s="85"/>
      <c r="CF1582" s="85"/>
      <c r="CG1582" s="85"/>
      <c r="CH1582" s="85"/>
      <c r="CI1582" s="85"/>
      <c r="CJ1582" s="85"/>
    </row>
    <row r="1583" ht="12.75" customHeight="1">
      <c r="A1583" s="80"/>
      <c r="B1583" s="80"/>
      <c r="C1583" s="80"/>
      <c r="D1583" s="80"/>
      <c r="E1583" s="80"/>
      <c r="F1583" s="80"/>
      <c r="G1583" s="80"/>
      <c r="H1583" s="80"/>
      <c r="I1583" s="80"/>
      <c r="J1583" s="80"/>
      <c r="K1583" s="80"/>
      <c r="L1583" s="80"/>
      <c r="M1583" s="80"/>
      <c r="N1583" s="80"/>
      <c r="O1583" s="80"/>
      <c r="P1583" s="80"/>
      <c r="Q1583" s="80"/>
      <c r="R1583" s="80"/>
      <c r="S1583" s="80"/>
      <c r="T1583" s="80"/>
      <c r="U1583" s="80"/>
      <c r="V1583" s="80"/>
      <c r="W1583" s="80"/>
      <c r="X1583" s="80"/>
      <c r="Y1583" s="80"/>
      <c r="Z1583" s="80"/>
      <c r="AA1583" s="80"/>
      <c r="AB1583" s="80"/>
      <c r="AC1583" s="80"/>
      <c r="AD1583" s="80"/>
      <c r="AE1583" s="80"/>
      <c r="AF1583" s="80"/>
      <c r="AG1583" s="80"/>
      <c r="AH1583" s="80"/>
      <c r="AI1583" s="80"/>
      <c r="AJ1583" s="80"/>
      <c r="AK1583" s="80"/>
      <c r="AL1583" s="80"/>
      <c r="AM1583" s="80"/>
      <c r="AN1583" s="80"/>
      <c r="AO1583" s="80"/>
      <c r="AP1583" s="80"/>
      <c r="AQ1583" s="83"/>
      <c r="AR1583" s="80"/>
      <c r="AS1583" s="80"/>
      <c r="AT1583" s="80"/>
      <c r="AU1583" s="80"/>
      <c r="AV1583" s="80"/>
      <c r="AW1583" s="80"/>
      <c r="AX1583" s="80"/>
      <c r="AY1583" s="80"/>
      <c r="AZ1583" s="80"/>
      <c r="BA1583" s="80"/>
      <c r="BB1583" s="80"/>
      <c r="BC1583" s="80"/>
      <c r="BD1583" s="80"/>
      <c r="BE1583" s="80"/>
      <c r="BF1583" s="80"/>
      <c r="BG1583" s="80"/>
      <c r="BH1583" s="80"/>
      <c r="BI1583" s="80"/>
      <c r="BJ1583" s="80"/>
      <c r="BK1583" s="80"/>
      <c r="BL1583" s="80"/>
      <c r="BM1583" s="80"/>
      <c r="BN1583" s="80"/>
      <c r="BO1583" s="80"/>
      <c r="BP1583" s="80"/>
      <c r="BQ1583" s="80"/>
      <c r="BR1583" s="80"/>
      <c r="BS1583" s="80"/>
      <c r="BT1583" s="80"/>
      <c r="BU1583" s="80"/>
      <c r="BV1583" s="80"/>
      <c r="BW1583" s="80"/>
      <c r="BX1583" s="80"/>
      <c r="BY1583" s="80"/>
      <c r="BZ1583" s="80"/>
      <c r="CA1583" s="80"/>
      <c r="CB1583" s="80"/>
      <c r="CC1583" s="80"/>
      <c r="CD1583" s="80"/>
      <c r="CE1583" s="80"/>
      <c r="CF1583" s="80"/>
      <c r="CG1583" s="80"/>
      <c r="CH1583" s="80"/>
      <c r="CI1583" s="80"/>
      <c r="CJ1583" s="80"/>
    </row>
    <row r="1584" ht="12.75" customHeight="1">
      <c r="A1584" s="85"/>
      <c r="B1584" s="85"/>
      <c r="C1584" s="85"/>
      <c r="D1584" s="85"/>
      <c r="E1584" s="85"/>
      <c r="F1584" s="85"/>
      <c r="G1584" s="85"/>
      <c r="H1584" s="85"/>
      <c r="I1584" s="85"/>
      <c r="J1584" s="85"/>
      <c r="K1584" s="85"/>
      <c r="L1584" s="85"/>
      <c r="M1584" s="85"/>
      <c r="N1584" s="85"/>
      <c r="O1584" s="85"/>
      <c r="P1584" s="85"/>
      <c r="Q1584" s="85"/>
      <c r="R1584" s="85"/>
      <c r="S1584" s="85"/>
      <c r="T1584" s="85"/>
      <c r="U1584" s="85"/>
      <c r="V1584" s="85"/>
      <c r="W1584" s="85"/>
      <c r="X1584" s="85"/>
      <c r="Y1584" s="85"/>
      <c r="Z1584" s="85"/>
      <c r="AA1584" s="85"/>
      <c r="AB1584" s="85"/>
      <c r="AC1584" s="85"/>
      <c r="AD1584" s="85"/>
      <c r="AE1584" s="85"/>
      <c r="AF1584" s="85"/>
      <c r="AG1584" s="85"/>
      <c r="AH1584" s="85"/>
      <c r="AI1584" s="85"/>
      <c r="AJ1584" s="85"/>
      <c r="AK1584" s="85"/>
      <c r="AL1584" s="85"/>
      <c r="AM1584" s="85"/>
      <c r="AN1584" s="85"/>
      <c r="AO1584" s="85"/>
      <c r="AP1584" s="85"/>
      <c r="AQ1584" s="93"/>
      <c r="AR1584" s="85"/>
      <c r="AS1584" s="85"/>
      <c r="AT1584" s="85"/>
      <c r="AU1584" s="85"/>
      <c r="AV1584" s="85"/>
      <c r="AW1584" s="85"/>
      <c r="AX1584" s="85"/>
      <c r="AY1584" s="85"/>
      <c r="AZ1584" s="85"/>
      <c r="BA1584" s="85"/>
      <c r="BB1584" s="85"/>
      <c r="BC1584" s="85"/>
      <c r="BD1584" s="85"/>
      <c r="BE1584" s="85"/>
      <c r="BF1584" s="85"/>
      <c r="BG1584" s="85"/>
      <c r="BH1584" s="85"/>
      <c r="BI1584" s="85"/>
      <c r="BJ1584" s="85"/>
      <c r="BK1584" s="85"/>
      <c r="BL1584" s="85"/>
      <c r="BM1584" s="85"/>
      <c r="BN1584" s="85"/>
      <c r="BO1584" s="85"/>
      <c r="BP1584" s="85"/>
      <c r="BQ1584" s="85"/>
      <c r="BR1584" s="85"/>
      <c r="BS1584" s="85"/>
      <c r="BT1584" s="85"/>
      <c r="BU1584" s="85"/>
      <c r="BV1584" s="85"/>
      <c r="BW1584" s="85"/>
      <c r="BX1584" s="85"/>
      <c r="BY1584" s="85"/>
      <c r="BZ1584" s="85"/>
      <c r="CA1584" s="85"/>
      <c r="CB1584" s="85"/>
      <c r="CC1584" s="85"/>
      <c r="CD1584" s="85"/>
      <c r="CE1584" s="85"/>
      <c r="CF1584" s="85"/>
      <c r="CG1584" s="85"/>
      <c r="CH1584" s="85"/>
      <c r="CI1584" s="85"/>
      <c r="CJ1584" s="85"/>
    </row>
    <row r="1585" ht="12.75" customHeight="1">
      <c r="A1585" s="80"/>
      <c r="B1585" s="80"/>
      <c r="C1585" s="80"/>
      <c r="D1585" s="80"/>
      <c r="E1585" s="80"/>
      <c r="F1585" s="80"/>
      <c r="G1585" s="80"/>
      <c r="H1585" s="80"/>
      <c r="I1585" s="80"/>
      <c r="J1585" s="80"/>
      <c r="K1585" s="80"/>
      <c r="L1585" s="80"/>
      <c r="M1585" s="80"/>
      <c r="N1585" s="80"/>
      <c r="O1585" s="80"/>
      <c r="P1585" s="80"/>
      <c r="Q1585" s="80"/>
      <c r="R1585" s="80"/>
      <c r="S1585" s="80"/>
      <c r="T1585" s="80"/>
      <c r="U1585" s="80"/>
      <c r="V1585" s="80"/>
      <c r="W1585" s="80"/>
      <c r="X1585" s="80"/>
      <c r="Y1585" s="80"/>
      <c r="Z1585" s="80"/>
      <c r="AA1585" s="80"/>
      <c r="AB1585" s="80"/>
      <c r="AC1585" s="80"/>
      <c r="AD1585" s="80"/>
      <c r="AE1585" s="80"/>
      <c r="AF1585" s="80"/>
      <c r="AG1585" s="80"/>
      <c r="AH1585" s="80"/>
      <c r="AI1585" s="80"/>
      <c r="AJ1585" s="80"/>
      <c r="AK1585" s="80"/>
      <c r="AL1585" s="80"/>
      <c r="AM1585" s="80"/>
      <c r="AN1585" s="80"/>
      <c r="AO1585" s="80"/>
      <c r="AP1585" s="80"/>
      <c r="AQ1585" s="83"/>
      <c r="AR1585" s="80"/>
      <c r="AS1585" s="80"/>
      <c r="AT1585" s="80"/>
      <c r="AU1585" s="80"/>
      <c r="AV1585" s="80"/>
      <c r="AW1585" s="80"/>
      <c r="AX1585" s="80"/>
      <c r="AY1585" s="80"/>
      <c r="AZ1585" s="80"/>
      <c r="BA1585" s="80"/>
      <c r="BB1585" s="80"/>
      <c r="BC1585" s="80"/>
      <c r="BD1585" s="80"/>
      <c r="BE1585" s="80"/>
      <c r="BF1585" s="80"/>
      <c r="BG1585" s="80"/>
      <c r="BH1585" s="80"/>
      <c r="BI1585" s="80"/>
      <c r="BJ1585" s="80"/>
      <c r="BK1585" s="80"/>
      <c r="BL1585" s="80"/>
      <c r="BM1585" s="80"/>
      <c r="BN1585" s="80"/>
      <c r="BO1585" s="80"/>
      <c r="BP1585" s="80"/>
      <c r="BQ1585" s="80"/>
      <c r="BR1585" s="80"/>
      <c r="BS1585" s="80"/>
      <c r="BT1585" s="80"/>
      <c r="BU1585" s="80"/>
      <c r="BV1585" s="80"/>
      <c r="BW1585" s="80"/>
      <c r="BX1585" s="80"/>
      <c r="BY1585" s="80"/>
      <c r="BZ1585" s="80"/>
      <c r="CA1585" s="80"/>
      <c r="CB1585" s="80"/>
      <c r="CC1585" s="80"/>
      <c r="CD1585" s="80"/>
      <c r="CE1585" s="80"/>
      <c r="CF1585" s="80"/>
      <c r="CG1585" s="80"/>
      <c r="CH1585" s="80"/>
      <c r="CI1585" s="80"/>
      <c r="CJ1585" s="80"/>
    </row>
    <row r="1586" ht="12.75" customHeight="1">
      <c r="A1586" s="85"/>
      <c r="B1586" s="85"/>
      <c r="C1586" s="85"/>
      <c r="D1586" s="85"/>
      <c r="E1586" s="85"/>
      <c r="F1586" s="85"/>
      <c r="G1586" s="85"/>
      <c r="H1586" s="85"/>
      <c r="I1586" s="85"/>
      <c r="J1586" s="85"/>
      <c r="K1586" s="85"/>
      <c r="L1586" s="85"/>
      <c r="M1586" s="85"/>
      <c r="N1586" s="85"/>
      <c r="O1586" s="85"/>
      <c r="P1586" s="85"/>
      <c r="Q1586" s="85"/>
      <c r="R1586" s="85"/>
      <c r="S1586" s="85"/>
      <c r="T1586" s="85"/>
      <c r="U1586" s="85"/>
      <c r="V1586" s="85"/>
      <c r="W1586" s="85"/>
      <c r="X1586" s="85"/>
      <c r="Y1586" s="85"/>
      <c r="Z1586" s="85"/>
      <c r="AA1586" s="85"/>
      <c r="AB1586" s="85"/>
      <c r="AC1586" s="85"/>
      <c r="AD1586" s="85"/>
      <c r="AE1586" s="85"/>
      <c r="AF1586" s="85"/>
      <c r="AG1586" s="85"/>
      <c r="AH1586" s="85"/>
      <c r="AI1586" s="85"/>
      <c r="AJ1586" s="85"/>
      <c r="AK1586" s="85"/>
      <c r="AL1586" s="85"/>
      <c r="AM1586" s="85"/>
      <c r="AN1586" s="85"/>
      <c r="AO1586" s="85"/>
      <c r="AP1586" s="85"/>
      <c r="AQ1586" s="93"/>
      <c r="AR1586" s="85"/>
      <c r="AS1586" s="85"/>
      <c r="AT1586" s="85"/>
      <c r="AU1586" s="85"/>
      <c r="AV1586" s="85"/>
      <c r="AW1586" s="85"/>
      <c r="AX1586" s="85"/>
      <c r="AY1586" s="85"/>
      <c r="AZ1586" s="85"/>
      <c r="BA1586" s="85"/>
      <c r="BB1586" s="85"/>
      <c r="BC1586" s="85"/>
      <c r="BD1586" s="85"/>
      <c r="BE1586" s="85"/>
      <c r="BF1586" s="85"/>
      <c r="BG1586" s="85"/>
      <c r="BH1586" s="85"/>
      <c r="BI1586" s="85"/>
      <c r="BJ1586" s="85"/>
      <c r="BK1586" s="85"/>
      <c r="BL1586" s="85"/>
      <c r="BM1586" s="85"/>
      <c r="BN1586" s="85"/>
      <c r="BO1586" s="85"/>
      <c r="BP1586" s="85"/>
      <c r="BQ1586" s="85"/>
      <c r="BR1586" s="85"/>
      <c r="BS1586" s="85"/>
      <c r="BT1586" s="85"/>
      <c r="BU1586" s="85"/>
      <c r="BV1586" s="85"/>
      <c r="BW1586" s="85"/>
      <c r="BX1586" s="85"/>
      <c r="BY1586" s="85"/>
      <c r="BZ1586" s="85"/>
      <c r="CA1586" s="85"/>
      <c r="CB1586" s="85"/>
      <c r="CC1586" s="85"/>
      <c r="CD1586" s="85"/>
      <c r="CE1586" s="85"/>
      <c r="CF1586" s="85"/>
      <c r="CG1586" s="85"/>
      <c r="CH1586" s="85"/>
      <c r="CI1586" s="85"/>
      <c r="CJ1586" s="85"/>
    </row>
    <row r="1587" ht="12.75" customHeight="1">
      <c r="A1587" s="80"/>
      <c r="B1587" s="80"/>
      <c r="C1587" s="80"/>
      <c r="D1587" s="80"/>
      <c r="E1587" s="80"/>
      <c r="F1587" s="80"/>
      <c r="G1587" s="80"/>
      <c r="H1587" s="80"/>
      <c r="I1587" s="80"/>
      <c r="J1587" s="80"/>
      <c r="K1587" s="80"/>
      <c r="L1587" s="80"/>
      <c r="M1587" s="80"/>
      <c r="N1587" s="80"/>
      <c r="O1587" s="80"/>
      <c r="P1587" s="80"/>
      <c r="Q1587" s="80"/>
      <c r="R1587" s="80"/>
      <c r="S1587" s="80"/>
      <c r="T1587" s="80"/>
      <c r="U1587" s="80"/>
      <c r="V1587" s="80"/>
      <c r="W1587" s="80"/>
      <c r="X1587" s="80"/>
      <c r="Y1587" s="80"/>
      <c r="Z1587" s="80"/>
      <c r="AA1587" s="80"/>
      <c r="AB1587" s="80"/>
      <c r="AC1587" s="80"/>
      <c r="AD1587" s="80"/>
      <c r="AE1587" s="80"/>
      <c r="AF1587" s="80"/>
      <c r="AG1587" s="80"/>
      <c r="AH1587" s="80"/>
      <c r="AI1587" s="80"/>
      <c r="AJ1587" s="80"/>
      <c r="AK1587" s="80"/>
      <c r="AL1587" s="80"/>
      <c r="AM1587" s="80"/>
      <c r="AN1587" s="80"/>
      <c r="AO1587" s="80"/>
      <c r="AP1587" s="80"/>
      <c r="AQ1587" s="83"/>
      <c r="AR1587" s="80"/>
      <c r="AS1587" s="80"/>
      <c r="AT1587" s="80"/>
      <c r="AU1587" s="80"/>
      <c r="AV1587" s="80"/>
      <c r="AW1587" s="80"/>
      <c r="AX1587" s="80"/>
      <c r="AY1587" s="80"/>
      <c r="AZ1587" s="80"/>
      <c r="BA1587" s="80"/>
      <c r="BB1587" s="80"/>
      <c r="BC1587" s="80"/>
      <c r="BD1587" s="80"/>
      <c r="BE1587" s="80"/>
      <c r="BF1587" s="80"/>
      <c r="BG1587" s="80"/>
      <c r="BH1587" s="80"/>
      <c r="BI1587" s="80"/>
      <c r="BJ1587" s="80"/>
      <c r="BK1587" s="80"/>
      <c r="BL1587" s="80"/>
      <c r="BM1587" s="80"/>
      <c r="BN1587" s="80"/>
      <c r="BO1587" s="80"/>
      <c r="BP1587" s="80"/>
      <c r="BQ1587" s="80"/>
      <c r="BR1587" s="80"/>
      <c r="BS1587" s="80"/>
      <c r="BT1587" s="80"/>
      <c r="BU1587" s="80"/>
      <c r="BV1587" s="80"/>
      <c r="BW1587" s="80"/>
      <c r="BX1587" s="80"/>
      <c r="BY1587" s="80"/>
      <c r="BZ1587" s="80"/>
      <c r="CA1587" s="80"/>
      <c r="CB1587" s="80"/>
      <c r="CC1587" s="80"/>
      <c r="CD1587" s="80"/>
      <c r="CE1587" s="80"/>
      <c r="CF1587" s="80"/>
      <c r="CG1587" s="80"/>
      <c r="CH1587" s="80"/>
      <c r="CI1587" s="80"/>
      <c r="CJ1587" s="80"/>
    </row>
    <row r="1588" ht="12.75" customHeight="1">
      <c r="A1588" s="85"/>
      <c r="B1588" s="85"/>
      <c r="C1588" s="85"/>
      <c r="D1588" s="85"/>
      <c r="E1588" s="85"/>
      <c r="F1588" s="85"/>
      <c r="G1588" s="85"/>
      <c r="H1588" s="85"/>
      <c r="I1588" s="85"/>
      <c r="J1588" s="85"/>
      <c r="K1588" s="85"/>
      <c r="L1588" s="85"/>
      <c r="M1588" s="85"/>
      <c r="N1588" s="85"/>
      <c r="O1588" s="85"/>
      <c r="P1588" s="85"/>
      <c r="Q1588" s="85"/>
      <c r="R1588" s="85"/>
      <c r="S1588" s="85"/>
      <c r="T1588" s="85"/>
      <c r="U1588" s="85"/>
      <c r="V1588" s="85"/>
      <c r="W1588" s="85"/>
      <c r="X1588" s="85"/>
      <c r="Y1588" s="85"/>
      <c r="Z1588" s="85"/>
      <c r="AA1588" s="85"/>
      <c r="AB1588" s="85"/>
      <c r="AC1588" s="85"/>
      <c r="AD1588" s="85"/>
      <c r="AE1588" s="85"/>
      <c r="AF1588" s="85"/>
      <c r="AG1588" s="85"/>
      <c r="AH1588" s="85"/>
      <c r="AI1588" s="85"/>
      <c r="AJ1588" s="85"/>
      <c r="AK1588" s="85"/>
      <c r="AL1588" s="85"/>
      <c r="AM1588" s="85"/>
      <c r="AN1588" s="85"/>
      <c r="AO1588" s="85"/>
      <c r="AP1588" s="85"/>
      <c r="AQ1588" s="93"/>
      <c r="AR1588" s="85"/>
      <c r="AS1588" s="85"/>
      <c r="AT1588" s="85"/>
      <c r="AU1588" s="85"/>
      <c r="AV1588" s="85"/>
      <c r="AW1588" s="85"/>
      <c r="AX1588" s="85"/>
      <c r="AY1588" s="85"/>
      <c r="AZ1588" s="85"/>
      <c r="BA1588" s="85"/>
      <c r="BB1588" s="85"/>
      <c r="BC1588" s="85"/>
      <c r="BD1588" s="85"/>
      <c r="BE1588" s="85"/>
      <c r="BF1588" s="85"/>
      <c r="BG1588" s="85"/>
      <c r="BH1588" s="85"/>
      <c r="BI1588" s="85"/>
      <c r="BJ1588" s="85"/>
      <c r="BK1588" s="85"/>
      <c r="BL1588" s="85"/>
      <c r="BM1588" s="85"/>
      <c r="BN1588" s="85"/>
      <c r="BO1588" s="85"/>
      <c r="BP1588" s="85"/>
      <c r="BQ1588" s="85"/>
      <c r="BR1588" s="85"/>
      <c r="BS1588" s="85"/>
      <c r="BT1588" s="85"/>
      <c r="BU1588" s="85"/>
      <c r="BV1588" s="85"/>
      <c r="BW1588" s="85"/>
      <c r="BX1588" s="85"/>
      <c r="BY1588" s="85"/>
      <c r="BZ1588" s="85"/>
      <c r="CA1588" s="85"/>
      <c r="CB1588" s="85"/>
      <c r="CC1588" s="85"/>
      <c r="CD1588" s="85"/>
      <c r="CE1588" s="85"/>
      <c r="CF1588" s="85"/>
      <c r="CG1588" s="85"/>
      <c r="CH1588" s="85"/>
      <c r="CI1588" s="85"/>
      <c r="CJ1588" s="85"/>
    </row>
    <row r="1589" ht="12.75" customHeight="1">
      <c r="A1589" s="80"/>
      <c r="B1589" s="80"/>
      <c r="C1589" s="80"/>
      <c r="D1589" s="80"/>
      <c r="E1589" s="80"/>
      <c r="F1589" s="80"/>
      <c r="G1589" s="80"/>
      <c r="H1589" s="80"/>
      <c r="I1589" s="80"/>
      <c r="J1589" s="80"/>
      <c r="K1589" s="80"/>
      <c r="L1589" s="80"/>
      <c r="M1589" s="80"/>
      <c r="N1589" s="80"/>
      <c r="O1589" s="80"/>
      <c r="P1589" s="80"/>
      <c r="Q1589" s="80"/>
      <c r="R1589" s="80"/>
      <c r="S1589" s="80"/>
      <c r="T1589" s="80"/>
      <c r="U1589" s="80"/>
      <c r="V1589" s="80"/>
      <c r="W1589" s="80"/>
      <c r="X1589" s="80"/>
      <c r="Y1589" s="80"/>
      <c r="Z1589" s="80"/>
      <c r="AA1589" s="80"/>
      <c r="AB1589" s="80"/>
      <c r="AC1589" s="80"/>
      <c r="AD1589" s="80"/>
      <c r="AE1589" s="80"/>
      <c r="AF1589" s="80"/>
      <c r="AG1589" s="80"/>
      <c r="AH1589" s="80"/>
      <c r="AI1589" s="80"/>
      <c r="AJ1589" s="80"/>
      <c r="AK1589" s="80"/>
      <c r="AL1589" s="80"/>
      <c r="AM1589" s="80"/>
      <c r="AN1589" s="80"/>
      <c r="AO1589" s="80"/>
      <c r="AP1589" s="80"/>
      <c r="AQ1589" s="83"/>
      <c r="AR1589" s="80"/>
      <c r="AS1589" s="80"/>
      <c r="AT1589" s="80"/>
      <c r="AU1589" s="80"/>
      <c r="AV1589" s="80"/>
      <c r="AW1589" s="80"/>
      <c r="AX1589" s="80"/>
      <c r="AY1589" s="80"/>
      <c r="AZ1589" s="80"/>
      <c r="BA1589" s="80"/>
      <c r="BB1589" s="80"/>
      <c r="BC1589" s="80"/>
      <c r="BD1589" s="80"/>
      <c r="BE1589" s="80"/>
      <c r="BF1589" s="80"/>
      <c r="BG1589" s="80"/>
      <c r="BH1589" s="80"/>
      <c r="BI1589" s="80"/>
      <c r="BJ1589" s="80"/>
      <c r="BK1589" s="80"/>
      <c r="BL1589" s="80"/>
      <c r="BM1589" s="80"/>
      <c r="BN1589" s="80"/>
      <c r="BO1589" s="80"/>
      <c r="BP1589" s="80"/>
      <c r="BQ1589" s="80"/>
      <c r="BR1589" s="80"/>
      <c r="BS1589" s="80"/>
      <c r="BT1589" s="80"/>
      <c r="BU1589" s="80"/>
      <c r="BV1589" s="80"/>
      <c r="BW1589" s="80"/>
      <c r="BX1589" s="80"/>
      <c r="BY1589" s="80"/>
      <c r="BZ1589" s="80"/>
      <c r="CA1589" s="80"/>
      <c r="CB1589" s="80"/>
      <c r="CC1589" s="80"/>
      <c r="CD1589" s="80"/>
      <c r="CE1589" s="80"/>
      <c r="CF1589" s="80"/>
      <c r="CG1589" s="80"/>
      <c r="CH1589" s="80"/>
      <c r="CI1589" s="80"/>
      <c r="CJ1589" s="80"/>
    </row>
    <row r="1590" ht="12.75" customHeight="1">
      <c r="A1590" s="85"/>
      <c r="B1590" s="85"/>
      <c r="C1590" s="85"/>
      <c r="D1590" s="85"/>
      <c r="E1590" s="85"/>
      <c r="F1590" s="85"/>
      <c r="G1590" s="85"/>
      <c r="H1590" s="85"/>
      <c r="I1590" s="85"/>
      <c r="J1590" s="85"/>
      <c r="K1590" s="85"/>
      <c r="L1590" s="85"/>
      <c r="M1590" s="85"/>
      <c r="N1590" s="85"/>
      <c r="O1590" s="85"/>
      <c r="P1590" s="85"/>
      <c r="Q1590" s="85"/>
      <c r="R1590" s="85"/>
      <c r="S1590" s="85"/>
      <c r="T1590" s="85"/>
      <c r="U1590" s="85"/>
      <c r="V1590" s="85"/>
      <c r="W1590" s="85"/>
      <c r="X1590" s="85"/>
      <c r="Y1590" s="85"/>
      <c r="Z1590" s="85"/>
      <c r="AA1590" s="85"/>
      <c r="AB1590" s="85"/>
      <c r="AC1590" s="85"/>
      <c r="AD1590" s="85"/>
      <c r="AE1590" s="85"/>
      <c r="AF1590" s="85"/>
      <c r="AG1590" s="85"/>
      <c r="AH1590" s="85"/>
      <c r="AI1590" s="85"/>
      <c r="AJ1590" s="85"/>
      <c r="AK1590" s="85"/>
      <c r="AL1590" s="85"/>
      <c r="AM1590" s="85"/>
      <c r="AN1590" s="85"/>
      <c r="AO1590" s="85"/>
      <c r="AP1590" s="85"/>
      <c r="AQ1590" s="93"/>
      <c r="AR1590" s="85"/>
      <c r="AS1590" s="85"/>
      <c r="AT1590" s="85"/>
      <c r="AU1590" s="85"/>
      <c r="AV1590" s="85"/>
      <c r="AW1590" s="85"/>
      <c r="AX1590" s="85"/>
      <c r="AY1590" s="85"/>
      <c r="AZ1590" s="85"/>
      <c r="BA1590" s="85"/>
      <c r="BB1590" s="85"/>
      <c r="BC1590" s="85"/>
      <c r="BD1590" s="85"/>
      <c r="BE1590" s="85"/>
      <c r="BF1590" s="85"/>
      <c r="BG1590" s="85"/>
      <c r="BH1590" s="85"/>
      <c r="BI1590" s="85"/>
      <c r="BJ1590" s="85"/>
      <c r="BK1590" s="85"/>
      <c r="BL1590" s="85"/>
      <c r="BM1590" s="85"/>
      <c r="BN1590" s="85"/>
      <c r="BO1590" s="85"/>
      <c r="BP1590" s="85"/>
      <c r="BQ1590" s="85"/>
      <c r="BR1590" s="85"/>
      <c r="BS1590" s="85"/>
      <c r="BT1590" s="85"/>
      <c r="BU1590" s="85"/>
      <c r="BV1590" s="85"/>
      <c r="BW1590" s="85"/>
      <c r="BX1590" s="85"/>
      <c r="BY1590" s="85"/>
      <c r="BZ1590" s="85"/>
      <c r="CA1590" s="85"/>
      <c r="CB1590" s="85"/>
      <c r="CC1590" s="85"/>
      <c r="CD1590" s="85"/>
      <c r="CE1590" s="85"/>
      <c r="CF1590" s="85"/>
      <c r="CG1590" s="85"/>
      <c r="CH1590" s="85"/>
      <c r="CI1590" s="85"/>
      <c r="CJ1590" s="85"/>
    </row>
    <row r="1591" ht="12.75" customHeight="1">
      <c r="A1591" s="80"/>
      <c r="B1591" s="80"/>
      <c r="C1591" s="80"/>
      <c r="D1591" s="80"/>
      <c r="E1591" s="80"/>
      <c r="F1591" s="80"/>
      <c r="G1591" s="80"/>
      <c r="H1591" s="80"/>
      <c r="I1591" s="80"/>
      <c r="J1591" s="80"/>
      <c r="K1591" s="80"/>
      <c r="L1591" s="80"/>
      <c r="M1591" s="80"/>
      <c r="N1591" s="80"/>
      <c r="O1591" s="80"/>
      <c r="P1591" s="80"/>
      <c r="Q1591" s="80"/>
      <c r="R1591" s="80"/>
      <c r="S1591" s="80"/>
      <c r="T1591" s="80"/>
      <c r="U1591" s="80"/>
      <c r="V1591" s="80"/>
      <c r="W1591" s="80"/>
      <c r="X1591" s="80"/>
      <c r="Y1591" s="80"/>
      <c r="Z1591" s="80"/>
      <c r="AA1591" s="80"/>
      <c r="AB1591" s="80"/>
      <c r="AC1591" s="80"/>
      <c r="AD1591" s="80"/>
      <c r="AE1591" s="80"/>
      <c r="AF1591" s="80"/>
      <c r="AG1591" s="80"/>
      <c r="AH1591" s="80"/>
      <c r="AI1591" s="80"/>
      <c r="AJ1591" s="80"/>
      <c r="AK1591" s="80"/>
      <c r="AL1591" s="80"/>
      <c r="AM1591" s="80"/>
      <c r="AN1591" s="80"/>
      <c r="AO1591" s="80"/>
      <c r="AP1591" s="80"/>
      <c r="AQ1591" s="83"/>
      <c r="AR1591" s="80"/>
      <c r="AS1591" s="80"/>
      <c r="AT1591" s="80"/>
      <c r="AU1591" s="80"/>
      <c r="AV1591" s="80"/>
      <c r="AW1591" s="80"/>
      <c r="AX1591" s="80"/>
      <c r="AY1591" s="80"/>
      <c r="AZ1591" s="80"/>
      <c r="BA1591" s="80"/>
      <c r="BB1591" s="80"/>
      <c r="BC1591" s="80"/>
      <c r="BD1591" s="80"/>
      <c r="BE1591" s="80"/>
      <c r="BF1591" s="80"/>
      <c r="BG1591" s="80"/>
      <c r="BH1591" s="80"/>
      <c r="BI1591" s="80"/>
      <c r="BJ1591" s="80"/>
      <c r="BK1591" s="80"/>
      <c r="BL1591" s="80"/>
      <c r="BM1591" s="80"/>
      <c r="BN1591" s="80"/>
      <c r="BO1591" s="80"/>
      <c r="BP1591" s="80"/>
      <c r="BQ1591" s="80"/>
      <c r="BR1591" s="80"/>
      <c r="BS1591" s="80"/>
      <c r="BT1591" s="80"/>
      <c r="BU1591" s="80"/>
      <c r="BV1591" s="80"/>
      <c r="BW1591" s="80"/>
      <c r="BX1591" s="80"/>
      <c r="BY1591" s="80"/>
      <c r="BZ1591" s="80"/>
      <c r="CA1591" s="80"/>
      <c r="CB1591" s="80"/>
      <c r="CC1591" s="80"/>
      <c r="CD1591" s="80"/>
      <c r="CE1591" s="80"/>
      <c r="CF1591" s="80"/>
      <c r="CG1591" s="80"/>
      <c r="CH1591" s="80"/>
      <c r="CI1591" s="80"/>
      <c r="CJ1591" s="80"/>
    </row>
    <row r="1592" ht="12.75" customHeight="1">
      <c r="A1592" s="85"/>
      <c r="B1592" s="85"/>
      <c r="C1592" s="85"/>
      <c r="D1592" s="85"/>
      <c r="E1592" s="85"/>
      <c r="F1592" s="85"/>
      <c r="G1592" s="85"/>
      <c r="H1592" s="85"/>
      <c r="I1592" s="85"/>
      <c r="J1592" s="85"/>
      <c r="K1592" s="85"/>
      <c r="L1592" s="85"/>
      <c r="M1592" s="85"/>
      <c r="N1592" s="85"/>
      <c r="O1592" s="85"/>
      <c r="P1592" s="85"/>
      <c r="Q1592" s="85"/>
      <c r="R1592" s="85"/>
      <c r="S1592" s="85"/>
      <c r="T1592" s="85"/>
      <c r="U1592" s="85"/>
      <c r="V1592" s="85"/>
      <c r="W1592" s="85"/>
      <c r="X1592" s="85"/>
      <c r="Y1592" s="85"/>
      <c r="Z1592" s="85"/>
      <c r="AA1592" s="85"/>
      <c r="AB1592" s="85"/>
      <c r="AC1592" s="85"/>
      <c r="AD1592" s="85"/>
      <c r="AE1592" s="85"/>
      <c r="AF1592" s="85"/>
      <c r="AG1592" s="85"/>
      <c r="AH1592" s="85"/>
      <c r="AI1592" s="85"/>
      <c r="AJ1592" s="85"/>
      <c r="AK1592" s="85"/>
      <c r="AL1592" s="85"/>
      <c r="AM1592" s="85"/>
      <c r="AN1592" s="85"/>
      <c r="AO1592" s="85"/>
      <c r="AP1592" s="85"/>
      <c r="AQ1592" s="93"/>
      <c r="AR1592" s="85"/>
      <c r="AS1592" s="85"/>
      <c r="AT1592" s="85"/>
      <c r="AU1592" s="85"/>
      <c r="AV1592" s="85"/>
      <c r="AW1592" s="85"/>
      <c r="AX1592" s="85"/>
      <c r="AY1592" s="85"/>
      <c r="AZ1592" s="85"/>
      <c r="BA1592" s="85"/>
      <c r="BB1592" s="85"/>
      <c r="BC1592" s="85"/>
      <c r="BD1592" s="85"/>
      <c r="BE1592" s="85"/>
      <c r="BF1592" s="85"/>
      <c r="BG1592" s="85"/>
      <c r="BH1592" s="85"/>
      <c r="BI1592" s="85"/>
      <c r="BJ1592" s="85"/>
      <c r="BK1592" s="85"/>
      <c r="BL1592" s="85"/>
      <c r="BM1592" s="85"/>
      <c r="BN1592" s="85"/>
      <c r="BO1592" s="85"/>
      <c r="BP1592" s="85"/>
      <c r="BQ1592" s="85"/>
      <c r="BR1592" s="85"/>
      <c r="BS1592" s="85"/>
      <c r="BT1592" s="85"/>
      <c r="BU1592" s="85"/>
      <c r="BV1592" s="85"/>
      <c r="BW1592" s="85"/>
      <c r="BX1592" s="85"/>
      <c r="BY1592" s="85"/>
      <c r="BZ1592" s="85"/>
      <c r="CA1592" s="85"/>
      <c r="CB1592" s="85"/>
      <c r="CC1592" s="85"/>
      <c r="CD1592" s="85"/>
      <c r="CE1592" s="85"/>
      <c r="CF1592" s="85"/>
      <c r="CG1592" s="85"/>
      <c r="CH1592" s="85"/>
      <c r="CI1592" s="85"/>
      <c r="CJ1592" s="85"/>
    </row>
    <row r="1593" ht="12.75" customHeight="1">
      <c r="A1593" s="80"/>
      <c r="B1593" s="80"/>
      <c r="C1593" s="80"/>
      <c r="D1593" s="80"/>
      <c r="E1593" s="80"/>
      <c r="F1593" s="80"/>
      <c r="G1593" s="80"/>
      <c r="H1593" s="80"/>
      <c r="I1593" s="80"/>
      <c r="J1593" s="80"/>
      <c r="K1593" s="80"/>
      <c r="L1593" s="80"/>
      <c r="M1593" s="80"/>
      <c r="N1593" s="80"/>
      <c r="O1593" s="80"/>
      <c r="P1593" s="80"/>
      <c r="Q1593" s="80"/>
      <c r="R1593" s="80"/>
      <c r="S1593" s="80"/>
      <c r="T1593" s="80"/>
      <c r="U1593" s="80"/>
      <c r="V1593" s="80"/>
      <c r="W1593" s="80"/>
      <c r="X1593" s="80"/>
      <c r="Y1593" s="80"/>
      <c r="Z1593" s="80"/>
      <c r="AA1593" s="80"/>
      <c r="AB1593" s="80"/>
      <c r="AC1593" s="80"/>
      <c r="AD1593" s="80"/>
      <c r="AE1593" s="80"/>
      <c r="AF1593" s="80"/>
      <c r="AG1593" s="80"/>
      <c r="AH1593" s="80"/>
      <c r="AI1593" s="80"/>
      <c r="AJ1593" s="80"/>
      <c r="AK1593" s="80"/>
      <c r="AL1593" s="80"/>
      <c r="AM1593" s="80"/>
      <c r="AN1593" s="80"/>
      <c r="AO1593" s="80"/>
      <c r="AP1593" s="80"/>
      <c r="AQ1593" s="83"/>
      <c r="AR1593" s="80"/>
      <c r="AS1593" s="80"/>
      <c r="AT1593" s="80"/>
      <c r="AU1593" s="80"/>
      <c r="AV1593" s="80"/>
      <c r="AW1593" s="80"/>
      <c r="AX1593" s="80"/>
      <c r="AY1593" s="80"/>
      <c r="AZ1593" s="80"/>
      <c r="BA1593" s="80"/>
      <c r="BB1593" s="80"/>
      <c r="BC1593" s="80"/>
      <c r="BD1593" s="80"/>
      <c r="BE1593" s="80"/>
      <c r="BF1593" s="80"/>
      <c r="BG1593" s="80"/>
      <c r="BH1593" s="80"/>
      <c r="BI1593" s="80"/>
      <c r="BJ1593" s="80"/>
      <c r="BK1593" s="80"/>
      <c r="BL1593" s="80"/>
      <c r="BM1593" s="80"/>
      <c r="BN1593" s="80"/>
      <c r="BO1593" s="80"/>
      <c r="BP1593" s="80"/>
      <c r="BQ1593" s="80"/>
      <c r="BR1593" s="80"/>
      <c r="BS1593" s="80"/>
      <c r="BT1593" s="80"/>
      <c r="BU1593" s="80"/>
      <c r="BV1593" s="80"/>
      <c r="BW1593" s="80"/>
      <c r="BX1593" s="80"/>
      <c r="BY1593" s="80"/>
      <c r="BZ1593" s="80"/>
      <c r="CA1593" s="80"/>
      <c r="CB1593" s="80"/>
      <c r="CC1593" s="80"/>
      <c r="CD1593" s="80"/>
      <c r="CE1593" s="80"/>
      <c r="CF1593" s="80"/>
      <c r="CG1593" s="80"/>
      <c r="CH1593" s="80"/>
      <c r="CI1593" s="80"/>
      <c r="CJ1593" s="80"/>
    </row>
    <row r="1594" ht="12.75" customHeight="1">
      <c r="A1594" s="85"/>
      <c r="B1594" s="85"/>
      <c r="C1594" s="85"/>
      <c r="D1594" s="85"/>
      <c r="E1594" s="85"/>
      <c r="F1594" s="85"/>
      <c r="G1594" s="85"/>
      <c r="H1594" s="85"/>
      <c r="I1594" s="85"/>
      <c r="J1594" s="85"/>
      <c r="K1594" s="85"/>
      <c r="L1594" s="85"/>
      <c r="M1594" s="85"/>
      <c r="N1594" s="85"/>
      <c r="O1594" s="85"/>
      <c r="P1594" s="85"/>
      <c r="Q1594" s="85"/>
      <c r="R1594" s="85"/>
      <c r="S1594" s="85"/>
      <c r="T1594" s="85"/>
      <c r="U1594" s="85"/>
      <c r="V1594" s="85"/>
      <c r="W1594" s="85"/>
      <c r="X1594" s="85"/>
      <c r="Y1594" s="85"/>
      <c r="Z1594" s="85"/>
      <c r="AA1594" s="85"/>
      <c r="AB1594" s="85"/>
      <c r="AC1594" s="85"/>
      <c r="AD1594" s="85"/>
      <c r="AE1594" s="85"/>
      <c r="AF1594" s="85"/>
      <c r="AG1594" s="85"/>
      <c r="AH1594" s="85"/>
      <c r="AI1594" s="85"/>
      <c r="AJ1594" s="85"/>
      <c r="AK1594" s="85"/>
      <c r="AL1594" s="85"/>
      <c r="AM1594" s="85"/>
      <c r="AN1594" s="85"/>
      <c r="AO1594" s="85"/>
      <c r="AP1594" s="85"/>
      <c r="AQ1594" s="93"/>
      <c r="AR1594" s="85"/>
      <c r="AS1594" s="85"/>
      <c r="AT1594" s="85"/>
      <c r="AU1594" s="85"/>
      <c r="AV1594" s="85"/>
      <c r="AW1594" s="85"/>
      <c r="AX1594" s="85"/>
      <c r="AY1594" s="85"/>
      <c r="AZ1594" s="85"/>
      <c r="BA1594" s="85"/>
      <c r="BB1594" s="85"/>
      <c r="BC1594" s="85"/>
      <c r="BD1594" s="85"/>
      <c r="BE1594" s="85"/>
      <c r="BF1594" s="85"/>
      <c r="BG1594" s="85"/>
      <c r="BH1594" s="85"/>
      <c r="BI1594" s="85"/>
      <c r="BJ1594" s="85"/>
      <c r="BK1594" s="85"/>
      <c r="BL1594" s="85"/>
      <c r="BM1594" s="85"/>
      <c r="BN1594" s="85"/>
      <c r="BO1594" s="85"/>
      <c r="BP1594" s="85"/>
      <c r="BQ1594" s="85"/>
      <c r="BR1594" s="85"/>
      <c r="BS1594" s="85"/>
      <c r="BT1594" s="85"/>
      <c r="BU1594" s="85"/>
      <c r="BV1594" s="85"/>
      <c r="BW1594" s="85"/>
      <c r="BX1594" s="85"/>
      <c r="BY1594" s="85"/>
      <c r="BZ1594" s="85"/>
      <c r="CA1594" s="85"/>
      <c r="CB1594" s="85"/>
      <c r="CC1594" s="85"/>
      <c r="CD1594" s="85"/>
      <c r="CE1594" s="85"/>
      <c r="CF1594" s="85"/>
      <c r="CG1594" s="85"/>
      <c r="CH1594" s="85"/>
      <c r="CI1594" s="85"/>
      <c r="CJ1594" s="85"/>
    </row>
    <row r="1595" ht="12.75" customHeight="1">
      <c r="A1595" s="80"/>
      <c r="B1595" s="80"/>
      <c r="C1595" s="80"/>
      <c r="D1595" s="80"/>
      <c r="E1595" s="80"/>
      <c r="F1595" s="80"/>
      <c r="G1595" s="80"/>
      <c r="H1595" s="80"/>
      <c r="I1595" s="80"/>
      <c r="J1595" s="80"/>
      <c r="K1595" s="80"/>
      <c r="L1595" s="80"/>
      <c r="M1595" s="80"/>
      <c r="N1595" s="80"/>
      <c r="O1595" s="80"/>
      <c r="P1595" s="80"/>
      <c r="Q1595" s="80"/>
      <c r="R1595" s="80"/>
      <c r="S1595" s="80"/>
      <c r="T1595" s="80"/>
      <c r="U1595" s="80"/>
      <c r="V1595" s="80"/>
      <c r="W1595" s="80"/>
      <c r="X1595" s="80"/>
      <c r="Y1595" s="80"/>
      <c r="Z1595" s="80"/>
      <c r="AA1595" s="80"/>
      <c r="AB1595" s="80"/>
      <c r="AC1595" s="80"/>
      <c r="AD1595" s="80"/>
      <c r="AE1595" s="80"/>
      <c r="AF1595" s="80"/>
      <c r="AG1595" s="80"/>
      <c r="AH1595" s="80"/>
      <c r="AI1595" s="80"/>
      <c r="AJ1595" s="80"/>
      <c r="AK1595" s="80"/>
      <c r="AL1595" s="80"/>
      <c r="AM1595" s="80"/>
      <c r="AN1595" s="80"/>
      <c r="AO1595" s="80"/>
      <c r="AP1595" s="80"/>
      <c r="AQ1595" s="83"/>
      <c r="AR1595" s="80"/>
      <c r="AS1595" s="80"/>
      <c r="AT1595" s="80"/>
      <c r="AU1595" s="80"/>
      <c r="AV1595" s="80"/>
      <c r="AW1595" s="80"/>
      <c r="AX1595" s="80"/>
      <c r="AY1595" s="80"/>
      <c r="AZ1595" s="80"/>
      <c r="BA1595" s="80"/>
      <c r="BB1595" s="80"/>
      <c r="BC1595" s="80"/>
      <c r="BD1595" s="80"/>
      <c r="BE1595" s="80"/>
      <c r="BF1595" s="80"/>
      <c r="BG1595" s="80"/>
      <c r="BH1595" s="80"/>
      <c r="BI1595" s="80"/>
      <c r="BJ1595" s="80"/>
      <c r="BK1595" s="80"/>
      <c r="BL1595" s="80"/>
      <c r="BM1595" s="80"/>
      <c r="BN1595" s="80"/>
      <c r="BO1595" s="80"/>
      <c r="BP1595" s="80"/>
      <c r="BQ1595" s="80"/>
      <c r="BR1595" s="80"/>
      <c r="BS1595" s="80"/>
      <c r="BT1595" s="80"/>
      <c r="BU1595" s="80"/>
      <c r="BV1595" s="80"/>
      <c r="BW1595" s="80"/>
      <c r="BX1595" s="80"/>
      <c r="BY1595" s="80"/>
      <c r="BZ1595" s="80"/>
      <c r="CA1595" s="80"/>
      <c r="CB1595" s="80"/>
      <c r="CC1595" s="80"/>
      <c r="CD1595" s="80"/>
      <c r="CE1595" s="80"/>
      <c r="CF1595" s="80"/>
      <c r="CG1595" s="80"/>
      <c r="CH1595" s="80"/>
      <c r="CI1595" s="80"/>
      <c r="CJ1595" s="80"/>
    </row>
    <row r="1596" ht="12.75" customHeight="1">
      <c r="A1596" s="85"/>
      <c r="B1596" s="85"/>
      <c r="C1596" s="85"/>
      <c r="D1596" s="85"/>
      <c r="E1596" s="85"/>
      <c r="F1596" s="85"/>
      <c r="G1596" s="85"/>
      <c r="H1596" s="85"/>
      <c r="I1596" s="85"/>
      <c r="J1596" s="85"/>
      <c r="K1596" s="85"/>
      <c r="L1596" s="85"/>
      <c r="M1596" s="85"/>
      <c r="N1596" s="85"/>
      <c r="O1596" s="85"/>
      <c r="P1596" s="85"/>
      <c r="Q1596" s="85"/>
      <c r="R1596" s="85"/>
      <c r="S1596" s="85"/>
      <c r="T1596" s="85"/>
      <c r="U1596" s="85"/>
      <c r="V1596" s="85"/>
      <c r="W1596" s="85"/>
      <c r="X1596" s="85"/>
      <c r="Y1596" s="85"/>
      <c r="Z1596" s="85"/>
      <c r="AA1596" s="85"/>
      <c r="AB1596" s="85"/>
      <c r="AC1596" s="85"/>
      <c r="AD1596" s="85"/>
      <c r="AE1596" s="85"/>
      <c r="AF1596" s="85"/>
      <c r="AG1596" s="85"/>
      <c r="AH1596" s="85"/>
      <c r="AI1596" s="85"/>
      <c r="AJ1596" s="85"/>
      <c r="AK1596" s="85"/>
      <c r="AL1596" s="85"/>
      <c r="AM1596" s="85"/>
      <c r="AN1596" s="85"/>
      <c r="AO1596" s="85"/>
      <c r="AP1596" s="85"/>
      <c r="AQ1596" s="93"/>
      <c r="AR1596" s="85"/>
      <c r="AS1596" s="85"/>
      <c r="AT1596" s="85"/>
      <c r="AU1596" s="85"/>
      <c r="AV1596" s="85"/>
      <c r="AW1596" s="85"/>
      <c r="AX1596" s="85"/>
      <c r="AY1596" s="85"/>
      <c r="AZ1596" s="85"/>
      <c r="BA1596" s="85"/>
      <c r="BB1596" s="85"/>
      <c r="BC1596" s="85"/>
      <c r="BD1596" s="85"/>
      <c r="BE1596" s="85"/>
      <c r="BF1596" s="85"/>
      <c r="BG1596" s="85"/>
      <c r="BH1596" s="85"/>
      <c r="BI1596" s="85"/>
      <c r="BJ1596" s="85"/>
      <c r="BK1596" s="85"/>
      <c r="BL1596" s="85"/>
      <c r="BM1596" s="85"/>
      <c r="BN1596" s="85"/>
      <c r="BO1596" s="85"/>
      <c r="BP1596" s="85"/>
      <c r="BQ1596" s="85"/>
      <c r="BR1596" s="85"/>
      <c r="BS1596" s="85"/>
      <c r="BT1596" s="85"/>
      <c r="BU1596" s="85"/>
      <c r="BV1596" s="85"/>
      <c r="BW1596" s="85"/>
      <c r="BX1596" s="85"/>
      <c r="BY1596" s="85"/>
      <c r="BZ1596" s="85"/>
      <c r="CA1596" s="85"/>
      <c r="CB1596" s="85"/>
      <c r="CC1596" s="85"/>
      <c r="CD1596" s="85"/>
      <c r="CE1596" s="85"/>
      <c r="CF1596" s="85"/>
      <c r="CG1596" s="85"/>
      <c r="CH1596" s="85"/>
      <c r="CI1596" s="85"/>
      <c r="CJ1596" s="85"/>
    </row>
    <row r="1597" ht="12.75" customHeight="1">
      <c r="A1597" s="80"/>
      <c r="B1597" s="80"/>
      <c r="C1597" s="80"/>
      <c r="D1597" s="80"/>
      <c r="E1597" s="80"/>
      <c r="F1597" s="80"/>
      <c r="G1597" s="80"/>
      <c r="H1597" s="80"/>
      <c r="I1597" s="80"/>
      <c r="J1597" s="80"/>
      <c r="K1597" s="80"/>
      <c r="L1597" s="80"/>
      <c r="M1597" s="80"/>
      <c r="N1597" s="80"/>
      <c r="O1597" s="80"/>
      <c r="P1597" s="80"/>
      <c r="Q1597" s="80"/>
      <c r="R1597" s="80"/>
      <c r="S1597" s="80"/>
      <c r="T1597" s="80"/>
      <c r="U1597" s="80"/>
      <c r="V1597" s="80"/>
      <c r="W1597" s="80"/>
      <c r="X1597" s="80"/>
      <c r="Y1597" s="80"/>
      <c r="Z1597" s="80"/>
      <c r="AA1597" s="80"/>
      <c r="AB1597" s="80"/>
      <c r="AC1597" s="80"/>
      <c r="AD1597" s="80"/>
      <c r="AE1597" s="80"/>
      <c r="AF1597" s="80"/>
      <c r="AG1597" s="80"/>
      <c r="AH1597" s="80"/>
      <c r="AI1597" s="80"/>
      <c r="AJ1597" s="80"/>
      <c r="AK1597" s="80"/>
      <c r="AL1597" s="80"/>
      <c r="AM1597" s="80"/>
      <c r="AN1597" s="80"/>
      <c r="AO1597" s="80"/>
      <c r="AP1597" s="80"/>
      <c r="AQ1597" s="83"/>
      <c r="AR1597" s="80"/>
      <c r="AS1597" s="80"/>
      <c r="AT1597" s="80"/>
      <c r="AU1597" s="80"/>
      <c r="AV1597" s="80"/>
      <c r="AW1597" s="80"/>
      <c r="AX1597" s="80"/>
      <c r="AY1597" s="80"/>
      <c r="AZ1597" s="80"/>
      <c r="BA1597" s="80"/>
      <c r="BB1597" s="80"/>
      <c r="BC1597" s="80"/>
      <c r="BD1597" s="80"/>
      <c r="BE1597" s="80"/>
      <c r="BF1597" s="80"/>
      <c r="BG1597" s="80"/>
      <c r="BH1597" s="80"/>
      <c r="BI1597" s="80"/>
      <c r="BJ1597" s="80"/>
      <c r="BK1597" s="80"/>
      <c r="BL1597" s="80"/>
      <c r="BM1597" s="80"/>
      <c r="BN1597" s="80"/>
      <c r="BO1597" s="80"/>
      <c r="BP1597" s="80"/>
      <c r="BQ1597" s="80"/>
      <c r="BR1597" s="80"/>
      <c r="BS1597" s="80"/>
      <c r="BT1597" s="80"/>
      <c r="BU1597" s="80"/>
      <c r="BV1597" s="80"/>
      <c r="BW1597" s="80"/>
      <c r="BX1597" s="80"/>
      <c r="BY1597" s="80"/>
      <c r="BZ1597" s="80"/>
      <c r="CA1597" s="80"/>
      <c r="CB1597" s="80"/>
      <c r="CC1597" s="80"/>
      <c r="CD1597" s="80"/>
      <c r="CE1597" s="80"/>
      <c r="CF1597" s="80"/>
      <c r="CG1597" s="80"/>
      <c r="CH1597" s="80"/>
      <c r="CI1597" s="80"/>
      <c r="CJ1597" s="80"/>
    </row>
    <row r="1598" ht="12.75" customHeight="1">
      <c r="A1598" s="85"/>
      <c r="B1598" s="85"/>
      <c r="C1598" s="85"/>
      <c r="D1598" s="85"/>
      <c r="E1598" s="85"/>
      <c r="F1598" s="85"/>
      <c r="G1598" s="85"/>
      <c r="H1598" s="85"/>
      <c r="I1598" s="85"/>
      <c r="J1598" s="85"/>
      <c r="K1598" s="85"/>
      <c r="L1598" s="85"/>
      <c r="M1598" s="85"/>
      <c r="N1598" s="85"/>
      <c r="O1598" s="85"/>
      <c r="P1598" s="85"/>
      <c r="Q1598" s="85"/>
      <c r="R1598" s="85"/>
      <c r="S1598" s="85"/>
      <c r="T1598" s="85"/>
      <c r="U1598" s="85"/>
      <c r="V1598" s="85"/>
      <c r="W1598" s="85"/>
      <c r="X1598" s="85"/>
      <c r="Y1598" s="85"/>
      <c r="Z1598" s="85"/>
      <c r="AA1598" s="85"/>
      <c r="AB1598" s="85"/>
      <c r="AC1598" s="85"/>
      <c r="AD1598" s="85"/>
      <c r="AE1598" s="85"/>
      <c r="AF1598" s="85"/>
      <c r="AG1598" s="85"/>
      <c r="AH1598" s="85"/>
      <c r="AI1598" s="85"/>
      <c r="AJ1598" s="85"/>
      <c r="AK1598" s="85"/>
      <c r="AL1598" s="85"/>
      <c r="AM1598" s="85"/>
      <c r="AN1598" s="85"/>
      <c r="AO1598" s="85"/>
      <c r="AP1598" s="85"/>
      <c r="AQ1598" s="93"/>
      <c r="AR1598" s="85"/>
      <c r="AS1598" s="85"/>
      <c r="AT1598" s="85"/>
      <c r="AU1598" s="85"/>
      <c r="AV1598" s="85"/>
      <c r="AW1598" s="85"/>
      <c r="AX1598" s="85"/>
      <c r="AY1598" s="85"/>
      <c r="AZ1598" s="85"/>
      <c r="BA1598" s="85"/>
      <c r="BB1598" s="85"/>
      <c r="BC1598" s="85"/>
      <c r="BD1598" s="85"/>
      <c r="BE1598" s="85"/>
      <c r="BF1598" s="85"/>
      <c r="BG1598" s="85"/>
      <c r="BH1598" s="85"/>
      <c r="BI1598" s="85"/>
      <c r="BJ1598" s="85"/>
      <c r="BK1598" s="85"/>
      <c r="BL1598" s="85"/>
      <c r="BM1598" s="85"/>
      <c r="BN1598" s="85"/>
      <c r="BO1598" s="85"/>
      <c r="BP1598" s="85"/>
      <c r="BQ1598" s="85"/>
      <c r="BR1598" s="85"/>
      <c r="BS1598" s="85"/>
      <c r="BT1598" s="85"/>
      <c r="BU1598" s="85"/>
      <c r="BV1598" s="85"/>
      <c r="BW1598" s="85"/>
      <c r="BX1598" s="85"/>
      <c r="BY1598" s="85"/>
      <c r="BZ1598" s="85"/>
      <c r="CA1598" s="85"/>
      <c r="CB1598" s="85"/>
      <c r="CC1598" s="85"/>
      <c r="CD1598" s="85"/>
      <c r="CE1598" s="85"/>
      <c r="CF1598" s="85"/>
      <c r="CG1598" s="85"/>
      <c r="CH1598" s="85"/>
      <c r="CI1598" s="85"/>
      <c r="CJ1598" s="85"/>
    </row>
    <row r="1599" ht="12.75" customHeight="1">
      <c r="A1599" s="80"/>
      <c r="B1599" s="80"/>
      <c r="C1599" s="80"/>
      <c r="D1599" s="80"/>
      <c r="E1599" s="80"/>
      <c r="F1599" s="80"/>
      <c r="G1599" s="80"/>
      <c r="H1599" s="80"/>
      <c r="I1599" s="80"/>
      <c r="J1599" s="80"/>
      <c r="K1599" s="80"/>
      <c r="L1599" s="80"/>
      <c r="M1599" s="80"/>
      <c r="N1599" s="80"/>
      <c r="O1599" s="80"/>
      <c r="P1599" s="80"/>
      <c r="Q1599" s="80"/>
      <c r="R1599" s="80"/>
      <c r="S1599" s="80"/>
      <c r="T1599" s="80"/>
      <c r="U1599" s="80"/>
      <c r="V1599" s="80"/>
      <c r="W1599" s="80"/>
      <c r="X1599" s="80"/>
      <c r="Y1599" s="80"/>
      <c r="Z1599" s="80"/>
      <c r="AA1599" s="80"/>
      <c r="AB1599" s="80"/>
      <c r="AC1599" s="80"/>
      <c r="AD1599" s="80"/>
      <c r="AE1599" s="80"/>
      <c r="AF1599" s="80"/>
      <c r="AG1599" s="80"/>
      <c r="AH1599" s="80"/>
      <c r="AI1599" s="80"/>
      <c r="AJ1599" s="80"/>
      <c r="AK1599" s="80"/>
      <c r="AL1599" s="80"/>
      <c r="AM1599" s="80"/>
      <c r="AN1599" s="80"/>
      <c r="AO1599" s="80"/>
      <c r="AP1599" s="80"/>
      <c r="AQ1599" s="83"/>
      <c r="AR1599" s="80"/>
      <c r="AS1599" s="80"/>
      <c r="AT1599" s="80"/>
      <c r="AU1599" s="80"/>
      <c r="AV1599" s="80"/>
      <c r="AW1599" s="80"/>
      <c r="AX1599" s="80"/>
      <c r="AY1599" s="80"/>
      <c r="AZ1599" s="80"/>
      <c r="BA1599" s="80"/>
      <c r="BB1599" s="80"/>
      <c r="BC1599" s="80"/>
      <c r="BD1599" s="80"/>
      <c r="BE1599" s="80"/>
      <c r="BF1599" s="80"/>
      <c r="BG1599" s="80"/>
      <c r="BH1599" s="80"/>
      <c r="BI1599" s="80"/>
      <c r="BJ1599" s="80"/>
      <c r="BK1599" s="80"/>
      <c r="BL1599" s="80"/>
      <c r="BM1599" s="80"/>
      <c r="BN1599" s="80"/>
      <c r="BO1599" s="80"/>
      <c r="BP1599" s="80"/>
      <c r="BQ1599" s="80"/>
      <c r="BR1599" s="80"/>
      <c r="BS1599" s="80"/>
      <c r="BT1599" s="80"/>
      <c r="BU1599" s="80"/>
      <c r="BV1599" s="80"/>
      <c r="BW1599" s="80"/>
      <c r="BX1599" s="80"/>
      <c r="BY1599" s="80"/>
      <c r="BZ1599" s="80"/>
      <c r="CA1599" s="80"/>
      <c r="CB1599" s="80"/>
      <c r="CC1599" s="80"/>
      <c r="CD1599" s="80"/>
      <c r="CE1599" s="80"/>
      <c r="CF1599" s="80"/>
      <c r="CG1599" s="80"/>
      <c r="CH1599" s="80"/>
      <c r="CI1599" s="80"/>
      <c r="CJ1599" s="80"/>
    </row>
    <row r="1600" ht="12.75" customHeight="1">
      <c r="A1600" s="85"/>
      <c r="B1600" s="85"/>
      <c r="C1600" s="85"/>
      <c r="D1600" s="85"/>
      <c r="E1600" s="85"/>
      <c r="F1600" s="85"/>
      <c r="G1600" s="85"/>
      <c r="H1600" s="85"/>
      <c r="I1600" s="85"/>
      <c r="J1600" s="85"/>
      <c r="K1600" s="85"/>
      <c r="L1600" s="85"/>
      <c r="M1600" s="85"/>
      <c r="N1600" s="85"/>
      <c r="O1600" s="85"/>
      <c r="P1600" s="85"/>
      <c r="Q1600" s="85"/>
      <c r="R1600" s="85"/>
      <c r="S1600" s="85"/>
      <c r="T1600" s="85"/>
      <c r="U1600" s="85"/>
      <c r="V1600" s="85"/>
      <c r="W1600" s="85"/>
      <c r="X1600" s="85"/>
      <c r="Y1600" s="85"/>
      <c r="Z1600" s="85"/>
      <c r="AA1600" s="85"/>
      <c r="AB1600" s="85"/>
      <c r="AC1600" s="85"/>
      <c r="AD1600" s="85"/>
      <c r="AE1600" s="85"/>
      <c r="AF1600" s="85"/>
      <c r="AG1600" s="85"/>
      <c r="AH1600" s="85"/>
      <c r="AI1600" s="85"/>
      <c r="AJ1600" s="85"/>
      <c r="AK1600" s="85"/>
      <c r="AL1600" s="85"/>
      <c r="AM1600" s="85"/>
      <c r="AN1600" s="85"/>
      <c r="AO1600" s="85"/>
      <c r="AP1600" s="85"/>
      <c r="AQ1600" s="93"/>
      <c r="AR1600" s="85"/>
      <c r="AS1600" s="85"/>
      <c r="AT1600" s="85"/>
      <c r="AU1600" s="85"/>
      <c r="AV1600" s="85"/>
      <c r="AW1600" s="85"/>
      <c r="AX1600" s="85"/>
      <c r="AY1600" s="85"/>
      <c r="AZ1600" s="85"/>
      <c r="BA1600" s="85"/>
      <c r="BB1600" s="85"/>
      <c r="BC1600" s="85"/>
      <c r="BD1600" s="85"/>
      <c r="BE1600" s="85"/>
      <c r="BF1600" s="85"/>
      <c r="BG1600" s="85"/>
      <c r="BH1600" s="85"/>
      <c r="BI1600" s="85"/>
      <c r="BJ1600" s="85"/>
      <c r="BK1600" s="85"/>
      <c r="BL1600" s="85"/>
      <c r="BM1600" s="85"/>
      <c r="BN1600" s="85"/>
      <c r="BO1600" s="85"/>
      <c r="BP1600" s="85"/>
      <c r="BQ1600" s="85"/>
      <c r="BR1600" s="85"/>
      <c r="BS1600" s="85"/>
      <c r="BT1600" s="85"/>
      <c r="BU1600" s="85"/>
      <c r="BV1600" s="85"/>
      <c r="BW1600" s="85"/>
      <c r="BX1600" s="85"/>
      <c r="BY1600" s="85"/>
      <c r="BZ1600" s="85"/>
      <c r="CA1600" s="85"/>
      <c r="CB1600" s="85"/>
      <c r="CC1600" s="85"/>
      <c r="CD1600" s="85"/>
      <c r="CE1600" s="85"/>
      <c r="CF1600" s="85"/>
      <c r="CG1600" s="85"/>
      <c r="CH1600" s="85"/>
      <c r="CI1600" s="85"/>
      <c r="CJ1600" s="85"/>
    </row>
    <row r="1601" ht="12.75" customHeight="1">
      <c r="A1601" s="80"/>
      <c r="B1601" s="80"/>
      <c r="C1601" s="80"/>
      <c r="D1601" s="80"/>
      <c r="E1601" s="80"/>
      <c r="F1601" s="80"/>
      <c r="G1601" s="80"/>
      <c r="H1601" s="80"/>
      <c r="I1601" s="80"/>
      <c r="J1601" s="80"/>
      <c r="K1601" s="80"/>
      <c r="L1601" s="80"/>
      <c r="M1601" s="80"/>
      <c r="N1601" s="80"/>
      <c r="O1601" s="80"/>
      <c r="P1601" s="80"/>
      <c r="Q1601" s="80"/>
      <c r="R1601" s="80"/>
      <c r="S1601" s="80"/>
      <c r="T1601" s="80"/>
      <c r="U1601" s="80"/>
      <c r="V1601" s="80"/>
      <c r="W1601" s="80"/>
      <c r="X1601" s="80"/>
      <c r="Y1601" s="80"/>
      <c r="Z1601" s="80"/>
      <c r="AA1601" s="80"/>
      <c r="AB1601" s="80"/>
      <c r="AC1601" s="80"/>
      <c r="AD1601" s="80"/>
      <c r="AE1601" s="80"/>
      <c r="AF1601" s="80"/>
      <c r="AG1601" s="80"/>
      <c r="AH1601" s="80"/>
      <c r="AI1601" s="80"/>
      <c r="AJ1601" s="80"/>
      <c r="AK1601" s="80"/>
      <c r="AL1601" s="80"/>
      <c r="AM1601" s="80"/>
      <c r="AN1601" s="80"/>
      <c r="AO1601" s="80"/>
      <c r="AP1601" s="80"/>
      <c r="AQ1601" s="83"/>
      <c r="AR1601" s="80"/>
      <c r="AS1601" s="80"/>
      <c r="AT1601" s="80"/>
      <c r="AU1601" s="80"/>
      <c r="AV1601" s="80"/>
      <c r="AW1601" s="80"/>
      <c r="AX1601" s="80"/>
      <c r="AY1601" s="80"/>
      <c r="AZ1601" s="80"/>
      <c r="BA1601" s="80"/>
      <c r="BB1601" s="80"/>
      <c r="BC1601" s="80"/>
      <c r="BD1601" s="80"/>
      <c r="BE1601" s="80"/>
      <c r="BF1601" s="80"/>
      <c r="BG1601" s="80"/>
      <c r="BH1601" s="80"/>
      <c r="BI1601" s="80"/>
      <c r="BJ1601" s="80"/>
      <c r="BK1601" s="80"/>
      <c r="BL1601" s="80"/>
      <c r="BM1601" s="80"/>
      <c r="BN1601" s="80"/>
      <c r="BO1601" s="80"/>
      <c r="BP1601" s="80"/>
      <c r="BQ1601" s="80"/>
      <c r="BR1601" s="80"/>
      <c r="BS1601" s="80"/>
      <c r="BT1601" s="80"/>
      <c r="BU1601" s="80"/>
      <c r="BV1601" s="80"/>
      <c r="BW1601" s="80"/>
      <c r="BX1601" s="80"/>
      <c r="BY1601" s="80"/>
      <c r="BZ1601" s="80"/>
      <c r="CA1601" s="80"/>
      <c r="CB1601" s="80"/>
      <c r="CC1601" s="80"/>
      <c r="CD1601" s="80"/>
      <c r="CE1601" s="80"/>
      <c r="CF1601" s="80"/>
      <c r="CG1601" s="80"/>
      <c r="CH1601" s="80"/>
      <c r="CI1601" s="80"/>
      <c r="CJ1601" s="80"/>
    </row>
    <row r="1602" ht="12.75" customHeight="1">
      <c r="A1602" s="85"/>
      <c r="B1602" s="85"/>
      <c r="C1602" s="85"/>
      <c r="D1602" s="85"/>
      <c r="E1602" s="85"/>
      <c r="F1602" s="85"/>
      <c r="G1602" s="85"/>
      <c r="H1602" s="85"/>
      <c r="I1602" s="85"/>
      <c r="J1602" s="85"/>
      <c r="K1602" s="85"/>
      <c r="L1602" s="85"/>
      <c r="M1602" s="85"/>
      <c r="N1602" s="85"/>
      <c r="O1602" s="85"/>
      <c r="P1602" s="85"/>
      <c r="Q1602" s="85"/>
      <c r="R1602" s="85"/>
      <c r="S1602" s="85"/>
      <c r="T1602" s="85"/>
      <c r="U1602" s="85"/>
      <c r="V1602" s="85"/>
      <c r="W1602" s="85"/>
      <c r="X1602" s="85"/>
      <c r="Y1602" s="85"/>
      <c r="Z1602" s="85"/>
      <c r="AA1602" s="85"/>
      <c r="AB1602" s="85"/>
      <c r="AC1602" s="85"/>
      <c r="AD1602" s="85"/>
      <c r="AE1602" s="85"/>
      <c r="AF1602" s="85"/>
      <c r="AG1602" s="85"/>
      <c r="AH1602" s="85"/>
      <c r="AI1602" s="85"/>
      <c r="AJ1602" s="85"/>
      <c r="AK1602" s="85"/>
      <c r="AL1602" s="85"/>
      <c r="AM1602" s="85"/>
      <c r="AN1602" s="85"/>
      <c r="AO1602" s="85"/>
      <c r="AP1602" s="85"/>
      <c r="AQ1602" s="93"/>
      <c r="AR1602" s="85"/>
      <c r="AS1602" s="85"/>
      <c r="AT1602" s="85"/>
      <c r="AU1602" s="85"/>
      <c r="AV1602" s="85"/>
      <c r="AW1602" s="85"/>
      <c r="AX1602" s="85"/>
      <c r="AY1602" s="85"/>
      <c r="AZ1602" s="85"/>
      <c r="BA1602" s="85"/>
      <c r="BB1602" s="85"/>
      <c r="BC1602" s="85"/>
      <c r="BD1602" s="85"/>
      <c r="BE1602" s="85"/>
      <c r="BF1602" s="85"/>
      <c r="BG1602" s="85"/>
      <c r="BH1602" s="85"/>
      <c r="BI1602" s="85"/>
      <c r="BJ1602" s="85"/>
      <c r="BK1602" s="85"/>
      <c r="BL1602" s="85"/>
      <c r="BM1602" s="85"/>
      <c r="BN1602" s="85"/>
      <c r="BO1602" s="85"/>
      <c r="BP1602" s="85"/>
      <c r="BQ1602" s="85"/>
      <c r="BR1602" s="85"/>
      <c r="BS1602" s="85"/>
      <c r="BT1602" s="85"/>
      <c r="BU1602" s="85"/>
      <c r="BV1602" s="85"/>
      <c r="BW1602" s="85"/>
      <c r="BX1602" s="85"/>
      <c r="BY1602" s="85"/>
      <c r="BZ1602" s="85"/>
      <c r="CA1602" s="85"/>
      <c r="CB1602" s="85"/>
      <c r="CC1602" s="85"/>
      <c r="CD1602" s="85"/>
      <c r="CE1602" s="85"/>
      <c r="CF1602" s="85"/>
      <c r="CG1602" s="85"/>
      <c r="CH1602" s="85"/>
      <c r="CI1602" s="85"/>
      <c r="CJ1602" s="85"/>
    </row>
    <row r="1603" ht="12.75" customHeight="1">
      <c r="A1603" s="80"/>
      <c r="B1603" s="80"/>
      <c r="C1603" s="80"/>
      <c r="D1603" s="80"/>
      <c r="E1603" s="80"/>
      <c r="F1603" s="80"/>
      <c r="G1603" s="80"/>
      <c r="H1603" s="80"/>
      <c r="I1603" s="80"/>
      <c r="J1603" s="80"/>
      <c r="K1603" s="80"/>
      <c r="L1603" s="80"/>
      <c r="M1603" s="80"/>
      <c r="N1603" s="80"/>
      <c r="O1603" s="80"/>
      <c r="P1603" s="80"/>
      <c r="Q1603" s="80"/>
      <c r="R1603" s="80"/>
      <c r="S1603" s="80"/>
      <c r="T1603" s="80"/>
      <c r="U1603" s="80"/>
      <c r="V1603" s="80"/>
      <c r="W1603" s="80"/>
      <c r="X1603" s="80"/>
      <c r="Y1603" s="80"/>
      <c r="Z1603" s="80"/>
      <c r="AA1603" s="80"/>
      <c r="AB1603" s="80"/>
      <c r="AC1603" s="80"/>
      <c r="AD1603" s="80"/>
      <c r="AE1603" s="80"/>
      <c r="AF1603" s="80"/>
      <c r="AG1603" s="80"/>
      <c r="AH1603" s="80"/>
      <c r="AI1603" s="80"/>
      <c r="AJ1603" s="80"/>
      <c r="AK1603" s="80"/>
      <c r="AL1603" s="80"/>
      <c r="AM1603" s="80"/>
      <c r="AN1603" s="80"/>
      <c r="AO1603" s="80"/>
      <c r="AP1603" s="80"/>
      <c r="AQ1603" s="83"/>
      <c r="AR1603" s="80"/>
      <c r="AS1603" s="80"/>
      <c r="AT1603" s="80"/>
      <c r="AU1603" s="80"/>
      <c r="AV1603" s="80"/>
      <c r="AW1603" s="80"/>
      <c r="AX1603" s="80"/>
      <c r="AY1603" s="80"/>
      <c r="AZ1603" s="80"/>
      <c r="BA1603" s="80"/>
      <c r="BB1603" s="80"/>
      <c r="BC1603" s="80"/>
      <c r="BD1603" s="80"/>
      <c r="BE1603" s="80"/>
      <c r="BF1603" s="80"/>
      <c r="BG1603" s="80"/>
      <c r="BH1603" s="80"/>
      <c r="BI1603" s="80"/>
      <c r="BJ1603" s="80"/>
      <c r="BK1603" s="80"/>
      <c r="BL1603" s="80"/>
      <c r="BM1603" s="80"/>
      <c r="BN1603" s="80"/>
      <c r="BO1603" s="80"/>
      <c r="BP1603" s="80"/>
      <c r="BQ1603" s="80"/>
      <c r="BR1603" s="80"/>
      <c r="BS1603" s="80"/>
      <c r="BT1603" s="80"/>
      <c r="BU1603" s="80"/>
      <c r="BV1603" s="80"/>
      <c r="BW1603" s="80"/>
      <c r="BX1603" s="80"/>
      <c r="BY1603" s="80"/>
      <c r="BZ1603" s="80"/>
      <c r="CA1603" s="80"/>
      <c r="CB1603" s="80"/>
      <c r="CC1603" s="80"/>
      <c r="CD1603" s="80"/>
      <c r="CE1603" s="80"/>
      <c r="CF1603" s="80"/>
      <c r="CG1603" s="80"/>
      <c r="CH1603" s="80"/>
      <c r="CI1603" s="80"/>
      <c r="CJ1603" s="80"/>
    </row>
    <row r="1604" ht="12.75" customHeight="1">
      <c r="A1604" s="85"/>
      <c r="B1604" s="85"/>
      <c r="C1604" s="85"/>
      <c r="D1604" s="85"/>
      <c r="E1604" s="85"/>
      <c r="F1604" s="85"/>
      <c r="G1604" s="85"/>
      <c r="H1604" s="85"/>
      <c r="I1604" s="85"/>
      <c r="J1604" s="85"/>
      <c r="K1604" s="85"/>
      <c r="L1604" s="85"/>
      <c r="M1604" s="85"/>
      <c r="N1604" s="85"/>
      <c r="O1604" s="85"/>
      <c r="P1604" s="85"/>
      <c r="Q1604" s="85"/>
      <c r="R1604" s="85"/>
      <c r="S1604" s="85"/>
      <c r="T1604" s="85"/>
      <c r="U1604" s="85"/>
      <c r="V1604" s="85"/>
      <c r="W1604" s="85"/>
      <c r="X1604" s="85"/>
      <c r="Y1604" s="85"/>
      <c r="Z1604" s="85"/>
      <c r="AA1604" s="85"/>
      <c r="AB1604" s="85"/>
      <c r="AC1604" s="85"/>
      <c r="AD1604" s="85"/>
      <c r="AE1604" s="85"/>
      <c r="AF1604" s="85"/>
      <c r="AG1604" s="85"/>
      <c r="AH1604" s="85"/>
      <c r="AI1604" s="85"/>
      <c r="AJ1604" s="85"/>
      <c r="AK1604" s="85"/>
      <c r="AL1604" s="85"/>
      <c r="AM1604" s="85"/>
      <c r="AN1604" s="85"/>
      <c r="AO1604" s="85"/>
      <c r="AP1604" s="85"/>
      <c r="AQ1604" s="93"/>
      <c r="AR1604" s="85"/>
      <c r="AS1604" s="85"/>
      <c r="AT1604" s="85"/>
      <c r="AU1604" s="85"/>
      <c r="AV1604" s="85"/>
      <c r="AW1604" s="85"/>
      <c r="AX1604" s="85"/>
      <c r="AY1604" s="85"/>
      <c r="AZ1604" s="85"/>
      <c r="BA1604" s="85"/>
      <c r="BB1604" s="85"/>
      <c r="BC1604" s="85"/>
      <c r="BD1604" s="85"/>
      <c r="BE1604" s="85"/>
      <c r="BF1604" s="85"/>
      <c r="BG1604" s="85"/>
      <c r="BH1604" s="85"/>
      <c r="BI1604" s="85"/>
      <c r="BJ1604" s="85"/>
      <c r="BK1604" s="85"/>
      <c r="BL1604" s="85"/>
      <c r="BM1604" s="85"/>
      <c r="BN1604" s="85"/>
      <c r="BO1604" s="85"/>
      <c r="BP1604" s="85"/>
      <c r="BQ1604" s="85"/>
      <c r="BR1604" s="85"/>
      <c r="BS1604" s="85"/>
      <c r="BT1604" s="85"/>
      <c r="BU1604" s="85"/>
      <c r="BV1604" s="85"/>
      <c r="BW1604" s="85"/>
      <c r="BX1604" s="85"/>
      <c r="BY1604" s="85"/>
      <c r="BZ1604" s="85"/>
      <c r="CA1604" s="85"/>
      <c r="CB1604" s="85"/>
      <c r="CC1604" s="85"/>
      <c r="CD1604" s="85"/>
      <c r="CE1604" s="85"/>
      <c r="CF1604" s="85"/>
      <c r="CG1604" s="85"/>
      <c r="CH1604" s="85"/>
      <c r="CI1604" s="85"/>
      <c r="CJ1604" s="85"/>
    </row>
    <row r="1605" ht="12.75" customHeight="1">
      <c r="A1605" s="80"/>
      <c r="B1605" s="80"/>
      <c r="C1605" s="80"/>
      <c r="D1605" s="80"/>
      <c r="E1605" s="80"/>
      <c r="F1605" s="80"/>
      <c r="G1605" s="80"/>
      <c r="H1605" s="80"/>
      <c r="I1605" s="80"/>
      <c r="J1605" s="80"/>
      <c r="K1605" s="80"/>
      <c r="L1605" s="80"/>
      <c r="M1605" s="80"/>
      <c r="N1605" s="80"/>
      <c r="O1605" s="80"/>
      <c r="P1605" s="80"/>
      <c r="Q1605" s="80"/>
      <c r="R1605" s="80"/>
      <c r="S1605" s="80"/>
      <c r="T1605" s="80"/>
      <c r="U1605" s="80"/>
      <c r="V1605" s="80"/>
      <c r="W1605" s="80"/>
      <c r="X1605" s="80"/>
      <c r="Y1605" s="80"/>
      <c r="Z1605" s="80"/>
      <c r="AA1605" s="80"/>
      <c r="AB1605" s="80"/>
      <c r="AC1605" s="80"/>
      <c r="AD1605" s="80"/>
      <c r="AE1605" s="80"/>
      <c r="AF1605" s="80"/>
      <c r="AG1605" s="80"/>
      <c r="AH1605" s="80"/>
      <c r="AI1605" s="80"/>
      <c r="AJ1605" s="80"/>
      <c r="AK1605" s="80"/>
      <c r="AL1605" s="80"/>
      <c r="AM1605" s="80"/>
      <c r="AN1605" s="80"/>
      <c r="AO1605" s="80"/>
      <c r="AP1605" s="80"/>
      <c r="AQ1605" s="83"/>
      <c r="AR1605" s="80"/>
      <c r="AS1605" s="80"/>
      <c r="AT1605" s="80"/>
      <c r="AU1605" s="80"/>
      <c r="AV1605" s="80"/>
      <c r="AW1605" s="80"/>
      <c r="AX1605" s="80"/>
      <c r="AY1605" s="80"/>
      <c r="AZ1605" s="80"/>
      <c r="BA1605" s="80"/>
      <c r="BB1605" s="80"/>
      <c r="BC1605" s="80"/>
      <c r="BD1605" s="80"/>
      <c r="BE1605" s="80"/>
      <c r="BF1605" s="80"/>
      <c r="BG1605" s="80"/>
      <c r="BH1605" s="80"/>
      <c r="BI1605" s="80"/>
      <c r="BJ1605" s="80"/>
      <c r="BK1605" s="80"/>
      <c r="BL1605" s="80"/>
      <c r="BM1605" s="80"/>
      <c r="BN1605" s="80"/>
      <c r="BO1605" s="80"/>
      <c r="BP1605" s="80"/>
      <c r="BQ1605" s="80"/>
      <c r="BR1605" s="80"/>
      <c r="BS1605" s="80"/>
      <c r="BT1605" s="80"/>
      <c r="BU1605" s="80"/>
      <c r="BV1605" s="80"/>
      <c r="BW1605" s="80"/>
      <c r="BX1605" s="80"/>
      <c r="BY1605" s="80"/>
      <c r="BZ1605" s="80"/>
      <c r="CA1605" s="80"/>
      <c r="CB1605" s="80"/>
      <c r="CC1605" s="80"/>
      <c r="CD1605" s="80"/>
      <c r="CE1605" s="80"/>
      <c r="CF1605" s="80"/>
      <c r="CG1605" s="80"/>
      <c r="CH1605" s="80"/>
      <c r="CI1605" s="80"/>
      <c r="CJ1605" s="80"/>
    </row>
    <row r="1606" ht="12.75" customHeight="1">
      <c r="A1606" s="85"/>
      <c r="B1606" s="85"/>
      <c r="C1606" s="85"/>
      <c r="D1606" s="85"/>
      <c r="E1606" s="85"/>
      <c r="F1606" s="85"/>
      <c r="G1606" s="85"/>
      <c r="H1606" s="85"/>
      <c r="I1606" s="85"/>
      <c r="J1606" s="85"/>
      <c r="K1606" s="85"/>
      <c r="L1606" s="85"/>
      <c r="M1606" s="85"/>
      <c r="N1606" s="85"/>
      <c r="O1606" s="85"/>
      <c r="P1606" s="85"/>
      <c r="Q1606" s="85"/>
      <c r="R1606" s="85"/>
      <c r="S1606" s="85"/>
      <c r="T1606" s="85"/>
      <c r="U1606" s="85"/>
      <c r="V1606" s="85"/>
      <c r="W1606" s="85"/>
      <c r="X1606" s="85"/>
      <c r="Y1606" s="85"/>
      <c r="Z1606" s="85"/>
      <c r="AA1606" s="85"/>
      <c r="AB1606" s="85"/>
      <c r="AC1606" s="85"/>
      <c r="AD1606" s="85"/>
      <c r="AE1606" s="85"/>
      <c r="AF1606" s="85"/>
      <c r="AG1606" s="85"/>
      <c r="AH1606" s="85"/>
      <c r="AI1606" s="85"/>
      <c r="AJ1606" s="85"/>
      <c r="AK1606" s="85"/>
      <c r="AL1606" s="85"/>
      <c r="AM1606" s="85"/>
      <c r="AN1606" s="85"/>
      <c r="AO1606" s="85"/>
      <c r="AP1606" s="85"/>
      <c r="AQ1606" s="93"/>
      <c r="AR1606" s="85"/>
      <c r="AS1606" s="85"/>
      <c r="AT1606" s="85"/>
      <c r="AU1606" s="85"/>
      <c r="AV1606" s="85"/>
      <c r="AW1606" s="85"/>
      <c r="AX1606" s="85"/>
      <c r="AY1606" s="85"/>
      <c r="AZ1606" s="85"/>
      <c r="BA1606" s="85"/>
      <c r="BB1606" s="85"/>
      <c r="BC1606" s="85"/>
      <c r="BD1606" s="85"/>
      <c r="BE1606" s="85"/>
      <c r="BF1606" s="85"/>
      <c r="BG1606" s="85"/>
      <c r="BH1606" s="85"/>
      <c r="BI1606" s="85"/>
      <c r="BJ1606" s="85"/>
      <c r="BK1606" s="85"/>
      <c r="BL1606" s="85"/>
      <c r="BM1606" s="85"/>
      <c r="BN1606" s="85"/>
      <c r="BO1606" s="85"/>
      <c r="BP1606" s="85"/>
      <c r="BQ1606" s="85"/>
      <c r="BR1606" s="85"/>
      <c r="BS1606" s="85"/>
      <c r="BT1606" s="85"/>
      <c r="BU1606" s="85"/>
      <c r="BV1606" s="85"/>
      <c r="BW1606" s="85"/>
      <c r="BX1606" s="85"/>
      <c r="BY1606" s="85"/>
      <c r="BZ1606" s="85"/>
      <c r="CA1606" s="85"/>
      <c r="CB1606" s="85"/>
      <c r="CC1606" s="85"/>
      <c r="CD1606" s="85"/>
      <c r="CE1606" s="85"/>
      <c r="CF1606" s="85"/>
      <c r="CG1606" s="85"/>
      <c r="CH1606" s="85"/>
      <c r="CI1606" s="85"/>
      <c r="CJ1606" s="85"/>
    </row>
    <row r="1607" ht="12.75" customHeight="1">
      <c r="A1607" s="80"/>
      <c r="B1607" s="80"/>
      <c r="C1607" s="80"/>
      <c r="D1607" s="80"/>
      <c r="E1607" s="80"/>
      <c r="F1607" s="80"/>
      <c r="G1607" s="80"/>
      <c r="H1607" s="80"/>
      <c r="I1607" s="80"/>
      <c r="J1607" s="80"/>
      <c r="K1607" s="80"/>
      <c r="L1607" s="80"/>
      <c r="M1607" s="80"/>
      <c r="N1607" s="80"/>
      <c r="O1607" s="80"/>
      <c r="P1607" s="80"/>
      <c r="Q1607" s="80"/>
      <c r="R1607" s="80"/>
      <c r="S1607" s="80"/>
      <c r="T1607" s="80"/>
      <c r="U1607" s="80"/>
      <c r="V1607" s="80"/>
      <c r="W1607" s="80"/>
      <c r="X1607" s="80"/>
      <c r="Y1607" s="80"/>
      <c r="Z1607" s="80"/>
      <c r="AA1607" s="80"/>
      <c r="AB1607" s="80"/>
      <c r="AC1607" s="80"/>
      <c r="AD1607" s="80"/>
      <c r="AE1607" s="80"/>
      <c r="AF1607" s="80"/>
      <c r="AG1607" s="80"/>
      <c r="AH1607" s="80"/>
      <c r="AI1607" s="80"/>
      <c r="AJ1607" s="80"/>
      <c r="AK1607" s="80"/>
      <c r="AL1607" s="80"/>
      <c r="AM1607" s="80"/>
      <c r="AN1607" s="80"/>
      <c r="AO1607" s="80"/>
      <c r="AP1607" s="80"/>
      <c r="AQ1607" s="83"/>
      <c r="AR1607" s="80"/>
      <c r="AS1607" s="80"/>
      <c r="AT1607" s="80"/>
      <c r="AU1607" s="80"/>
      <c r="AV1607" s="80"/>
      <c r="AW1607" s="80"/>
      <c r="AX1607" s="80"/>
      <c r="AY1607" s="80"/>
      <c r="AZ1607" s="80"/>
      <c r="BA1607" s="80"/>
      <c r="BB1607" s="80"/>
      <c r="BC1607" s="80"/>
      <c r="BD1607" s="80"/>
      <c r="BE1607" s="80"/>
      <c r="BF1607" s="80"/>
      <c r="BG1607" s="80"/>
      <c r="BH1607" s="80"/>
      <c r="BI1607" s="80"/>
      <c r="BJ1607" s="80"/>
      <c r="BK1607" s="80"/>
      <c r="BL1607" s="80"/>
      <c r="BM1607" s="80"/>
      <c r="BN1607" s="80"/>
      <c r="BO1607" s="80"/>
      <c r="BP1607" s="80"/>
      <c r="BQ1607" s="80"/>
      <c r="BR1607" s="80"/>
      <c r="BS1607" s="80"/>
      <c r="BT1607" s="80"/>
      <c r="BU1607" s="80"/>
      <c r="BV1607" s="80"/>
      <c r="BW1607" s="80"/>
      <c r="BX1607" s="80"/>
      <c r="BY1607" s="80"/>
      <c r="BZ1607" s="80"/>
      <c r="CA1607" s="80"/>
      <c r="CB1607" s="80"/>
      <c r="CC1607" s="80"/>
      <c r="CD1607" s="80"/>
      <c r="CE1607" s="80"/>
      <c r="CF1607" s="80"/>
      <c r="CG1607" s="80"/>
      <c r="CH1607" s="80"/>
      <c r="CI1607" s="80"/>
      <c r="CJ1607" s="80"/>
    </row>
    <row r="1608" ht="12.75" customHeight="1">
      <c r="A1608" s="85"/>
      <c r="B1608" s="85"/>
      <c r="C1608" s="85"/>
      <c r="D1608" s="85"/>
      <c r="E1608" s="85"/>
      <c r="F1608" s="85"/>
      <c r="G1608" s="85"/>
      <c r="H1608" s="85"/>
      <c r="I1608" s="85"/>
      <c r="J1608" s="85"/>
      <c r="K1608" s="85"/>
      <c r="L1608" s="85"/>
      <c r="M1608" s="85"/>
      <c r="N1608" s="85"/>
      <c r="O1608" s="85"/>
      <c r="P1608" s="85"/>
      <c r="Q1608" s="85"/>
      <c r="R1608" s="85"/>
      <c r="S1608" s="85"/>
      <c r="T1608" s="85"/>
      <c r="U1608" s="85"/>
      <c r="V1608" s="85"/>
      <c r="W1608" s="85"/>
      <c r="X1608" s="85"/>
      <c r="Y1608" s="85"/>
      <c r="Z1608" s="85"/>
      <c r="AA1608" s="85"/>
      <c r="AB1608" s="85"/>
      <c r="AC1608" s="85"/>
      <c r="AD1608" s="85"/>
      <c r="AE1608" s="85"/>
      <c r="AF1608" s="85"/>
      <c r="AG1608" s="85"/>
      <c r="AH1608" s="85"/>
      <c r="AI1608" s="85"/>
      <c r="AJ1608" s="85"/>
      <c r="AK1608" s="85"/>
      <c r="AL1608" s="85"/>
      <c r="AM1608" s="85"/>
      <c r="AN1608" s="85"/>
      <c r="AO1608" s="85"/>
      <c r="AP1608" s="85"/>
      <c r="AQ1608" s="93"/>
      <c r="AR1608" s="85"/>
      <c r="AS1608" s="85"/>
      <c r="AT1608" s="85"/>
      <c r="AU1608" s="85"/>
      <c r="AV1608" s="85"/>
      <c r="AW1608" s="85"/>
      <c r="AX1608" s="85"/>
      <c r="AY1608" s="85"/>
      <c r="AZ1608" s="85"/>
      <c r="BA1608" s="85"/>
      <c r="BB1608" s="85"/>
      <c r="BC1608" s="85"/>
      <c r="BD1608" s="85"/>
      <c r="BE1608" s="85"/>
      <c r="BF1608" s="85"/>
      <c r="BG1608" s="85"/>
      <c r="BH1608" s="85"/>
      <c r="BI1608" s="85"/>
      <c r="BJ1608" s="85"/>
      <c r="BK1608" s="85"/>
      <c r="BL1608" s="85"/>
      <c r="BM1608" s="85"/>
      <c r="BN1608" s="85"/>
      <c r="BO1608" s="85"/>
      <c r="BP1608" s="85"/>
      <c r="BQ1608" s="85"/>
      <c r="BR1608" s="85"/>
      <c r="BS1608" s="85"/>
      <c r="BT1608" s="85"/>
      <c r="BU1608" s="85"/>
      <c r="BV1608" s="85"/>
      <c r="BW1608" s="85"/>
      <c r="BX1608" s="85"/>
      <c r="BY1608" s="85"/>
      <c r="BZ1608" s="85"/>
      <c r="CA1608" s="85"/>
      <c r="CB1608" s="85"/>
      <c r="CC1608" s="85"/>
      <c r="CD1608" s="85"/>
      <c r="CE1608" s="85"/>
      <c r="CF1608" s="85"/>
      <c r="CG1608" s="85"/>
      <c r="CH1608" s="85"/>
      <c r="CI1608" s="85"/>
      <c r="CJ1608" s="85"/>
    </row>
    <row r="1609" ht="12.75" customHeight="1">
      <c r="A1609" s="80"/>
      <c r="B1609" s="80"/>
      <c r="C1609" s="80"/>
      <c r="D1609" s="80"/>
      <c r="E1609" s="80"/>
      <c r="F1609" s="80"/>
      <c r="G1609" s="80"/>
      <c r="H1609" s="80"/>
      <c r="I1609" s="80"/>
      <c r="J1609" s="80"/>
      <c r="K1609" s="80"/>
      <c r="L1609" s="80"/>
      <c r="M1609" s="80"/>
      <c r="N1609" s="80"/>
      <c r="O1609" s="80"/>
      <c r="P1609" s="80"/>
      <c r="Q1609" s="80"/>
      <c r="R1609" s="80"/>
      <c r="S1609" s="80"/>
      <c r="T1609" s="80"/>
      <c r="U1609" s="80"/>
      <c r="V1609" s="80"/>
      <c r="W1609" s="80"/>
      <c r="X1609" s="80"/>
      <c r="Y1609" s="80"/>
      <c r="Z1609" s="80"/>
      <c r="AA1609" s="80"/>
      <c r="AB1609" s="80"/>
      <c r="AC1609" s="80"/>
      <c r="AD1609" s="80"/>
      <c r="AE1609" s="80"/>
      <c r="AF1609" s="80"/>
      <c r="AG1609" s="80"/>
      <c r="AH1609" s="80"/>
      <c r="AI1609" s="80"/>
      <c r="AJ1609" s="80"/>
      <c r="AK1609" s="80"/>
      <c r="AL1609" s="80"/>
      <c r="AM1609" s="80"/>
      <c r="AN1609" s="80"/>
      <c r="AO1609" s="80"/>
      <c r="AP1609" s="80"/>
      <c r="AQ1609" s="83"/>
      <c r="AR1609" s="80"/>
      <c r="AS1609" s="80"/>
      <c r="AT1609" s="80"/>
      <c r="AU1609" s="80"/>
      <c r="AV1609" s="80"/>
      <c r="AW1609" s="80"/>
      <c r="AX1609" s="80"/>
      <c r="AY1609" s="80"/>
      <c r="AZ1609" s="80"/>
      <c r="BA1609" s="80"/>
      <c r="BB1609" s="80"/>
      <c r="BC1609" s="80"/>
      <c r="BD1609" s="80"/>
      <c r="BE1609" s="80"/>
      <c r="BF1609" s="80"/>
      <c r="BG1609" s="80"/>
      <c r="BH1609" s="80"/>
      <c r="BI1609" s="80"/>
      <c r="BJ1609" s="80"/>
      <c r="BK1609" s="80"/>
      <c r="BL1609" s="80"/>
      <c r="BM1609" s="80"/>
      <c r="BN1609" s="80"/>
      <c r="BO1609" s="80"/>
      <c r="BP1609" s="80"/>
      <c r="BQ1609" s="80"/>
      <c r="BR1609" s="80"/>
      <c r="BS1609" s="80"/>
      <c r="BT1609" s="80"/>
      <c r="BU1609" s="80"/>
      <c r="BV1609" s="80"/>
      <c r="BW1609" s="80"/>
      <c r="BX1609" s="80"/>
      <c r="BY1609" s="80"/>
      <c r="BZ1609" s="80"/>
      <c r="CA1609" s="80"/>
      <c r="CB1609" s="80"/>
      <c r="CC1609" s="80"/>
      <c r="CD1609" s="80"/>
      <c r="CE1609" s="80"/>
      <c r="CF1609" s="80"/>
      <c r="CG1609" s="80"/>
      <c r="CH1609" s="80"/>
      <c r="CI1609" s="80"/>
      <c r="CJ1609" s="80"/>
    </row>
    <row r="1610" ht="12.75" customHeight="1">
      <c r="A1610" s="85"/>
      <c r="B1610" s="85"/>
      <c r="C1610" s="85"/>
      <c r="D1610" s="85"/>
      <c r="E1610" s="85"/>
      <c r="F1610" s="85"/>
      <c r="G1610" s="85"/>
      <c r="H1610" s="85"/>
      <c r="I1610" s="85"/>
      <c r="J1610" s="85"/>
      <c r="K1610" s="85"/>
      <c r="L1610" s="85"/>
      <c r="M1610" s="85"/>
      <c r="N1610" s="85"/>
      <c r="O1610" s="85"/>
      <c r="P1610" s="85"/>
      <c r="Q1610" s="85"/>
      <c r="R1610" s="85"/>
      <c r="S1610" s="85"/>
      <c r="T1610" s="85"/>
      <c r="U1610" s="85"/>
      <c r="V1610" s="85"/>
      <c r="W1610" s="85"/>
      <c r="X1610" s="85"/>
      <c r="Y1610" s="85"/>
      <c r="Z1610" s="85"/>
      <c r="AA1610" s="85"/>
      <c r="AB1610" s="85"/>
      <c r="AC1610" s="85"/>
      <c r="AD1610" s="85"/>
      <c r="AE1610" s="85"/>
      <c r="AF1610" s="85"/>
      <c r="AG1610" s="85"/>
      <c r="AH1610" s="85"/>
      <c r="AI1610" s="85"/>
      <c r="AJ1610" s="85"/>
      <c r="AK1610" s="85"/>
      <c r="AL1610" s="85"/>
      <c r="AM1610" s="85"/>
      <c r="AN1610" s="85"/>
      <c r="AO1610" s="85"/>
      <c r="AP1610" s="85"/>
      <c r="AQ1610" s="93"/>
      <c r="AR1610" s="85"/>
      <c r="AS1610" s="85"/>
      <c r="AT1610" s="85"/>
      <c r="AU1610" s="85"/>
      <c r="AV1610" s="85"/>
      <c r="AW1610" s="85"/>
      <c r="AX1610" s="85"/>
      <c r="AY1610" s="85"/>
      <c r="AZ1610" s="85"/>
      <c r="BA1610" s="85"/>
      <c r="BB1610" s="85"/>
      <c r="BC1610" s="85"/>
      <c r="BD1610" s="85"/>
      <c r="BE1610" s="85"/>
      <c r="BF1610" s="85"/>
      <c r="BG1610" s="85"/>
      <c r="BH1610" s="85"/>
      <c r="BI1610" s="85"/>
      <c r="BJ1610" s="85"/>
      <c r="BK1610" s="85"/>
      <c r="BL1610" s="85"/>
      <c r="BM1610" s="85"/>
      <c r="BN1610" s="85"/>
      <c r="BO1610" s="85"/>
      <c r="BP1610" s="85"/>
      <c r="BQ1610" s="85"/>
      <c r="BR1610" s="85"/>
      <c r="BS1610" s="85"/>
      <c r="BT1610" s="85"/>
      <c r="BU1610" s="85"/>
      <c r="BV1610" s="85"/>
      <c r="BW1610" s="85"/>
      <c r="BX1610" s="85"/>
      <c r="BY1610" s="85"/>
      <c r="BZ1610" s="85"/>
      <c r="CA1610" s="85"/>
      <c r="CB1610" s="85"/>
      <c r="CC1610" s="85"/>
      <c r="CD1610" s="85"/>
      <c r="CE1610" s="85"/>
      <c r="CF1610" s="85"/>
      <c r="CG1610" s="85"/>
      <c r="CH1610" s="85"/>
      <c r="CI1610" s="85"/>
      <c r="CJ1610" s="85"/>
    </row>
    <row r="1611" ht="12.75" customHeight="1">
      <c r="A1611" s="80"/>
      <c r="B1611" s="80"/>
      <c r="C1611" s="80"/>
      <c r="D1611" s="80"/>
      <c r="E1611" s="80"/>
      <c r="F1611" s="80"/>
      <c r="G1611" s="80"/>
      <c r="H1611" s="80"/>
      <c r="I1611" s="80"/>
      <c r="J1611" s="80"/>
      <c r="K1611" s="80"/>
      <c r="L1611" s="80"/>
      <c r="M1611" s="80"/>
      <c r="N1611" s="80"/>
      <c r="O1611" s="80"/>
      <c r="P1611" s="80"/>
      <c r="Q1611" s="80"/>
      <c r="R1611" s="80"/>
      <c r="S1611" s="80"/>
      <c r="T1611" s="80"/>
      <c r="U1611" s="80"/>
      <c r="V1611" s="80"/>
      <c r="W1611" s="80"/>
      <c r="X1611" s="80"/>
      <c r="Y1611" s="80"/>
      <c r="Z1611" s="80"/>
      <c r="AA1611" s="80"/>
      <c r="AB1611" s="80"/>
      <c r="AC1611" s="80"/>
      <c r="AD1611" s="80"/>
      <c r="AE1611" s="80"/>
      <c r="AF1611" s="80"/>
      <c r="AG1611" s="80"/>
      <c r="AH1611" s="80"/>
      <c r="AI1611" s="80"/>
      <c r="AJ1611" s="80"/>
      <c r="AK1611" s="80"/>
      <c r="AL1611" s="80"/>
      <c r="AM1611" s="80"/>
      <c r="AN1611" s="80"/>
      <c r="AO1611" s="80"/>
      <c r="AP1611" s="80"/>
      <c r="AQ1611" s="83"/>
      <c r="AR1611" s="80"/>
      <c r="AS1611" s="80"/>
      <c r="AT1611" s="80"/>
      <c r="AU1611" s="80"/>
      <c r="AV1611" s="80"/>
      <c r="AW1611" s="80"/>
      <c r="AX1611" s="80"/>
      <c r="AY1611" s="80"/>
      <c r="AZ1611" s="80"/>
      <c r="BA1611" s="80"/>
      <c r="BB1611" s="80"/>
      <c r="BC1611" s="80"/>
      <c r="BD1611" s="80"/>
      <c r="BE1611" s="80"/>
      <c r="BF1611" s="80"/>
      <c r="BG1611" s="80"/>
      <c r="BH1611" s="80"/>
      <c r="BI1611" s="80"/>
      <c r="BJ1611" s="80"/>
      <c r="BK1611" s="80"/>
      <c r="BL1611" s="80"/>
      <c r="BM1611" s="80"/>
      <c r="BN1611" s="80"/>
      <c r="BO1611" s="80"/>
      <c r="BP1611" s="80"/>
      <c r="BQ1611" s="80"/>
      <c r="BR1611" s="80"/>
      <c r="BS1611" s="80"/>
      <c r="BT1611" s="80"/>
      <c r="BU1611" s="80"/>
      <c r="BV1611" s="80"/>
      <c r="BW1611" s="80"/>
      <c r="BX1611" s="80"/>
      <c r="BY1611" s="80"/>
      <c r="BZ1611" s="80"/>
      <c r="CA1611" s="80"/>
      <c r="CB1611" s="80"/>
      <c r="CC1611" s="80"/>
      <c r="CD1611" s="80"/>
      <c r="CE1611" s="80"/>
      <c r="CF1611" s="80"/>
      <c r="CG1611" s="80"/>
      <c r="CH1611" s="80"/>
      <c r="CI1611" s="80"/>
      <c r="CJ1611" s="80"/>
    </row>
    <row r="1612" ht="12.75" customHeight="1">
      <c r="A1612" s="85"/>
      <c r="B1612" s="85"/>
      <c r="C1612" s="85"/>
      <c r="D1612" s="85"/>
      <c r="E1612" s="85"/>
      <c r="F1612" s="85"/>
      <c r="G1612" s="85"/>
      <c r="H1612" s="85"/>
      <c r="I1612" s="85"/>
      <c r="J1612" s="85"/>
      <c r="K1612" s="85"/>
      <c r="L1612" s="85"/>
      <c r="M1612" s="85"/>
      <c r="N1612" s="85"/>
      <c r="O1612" s="85"/>
      <c r="P1612" s="85"/>
      <c r="Q1612" s="85"/>
      <c r="R1612" s="85"/>
      <c r="S1612" s="85"/>
      <c r="T1612" s="85"/>
      <c r="U1612" s="85"/>
      <c r="V1612" s="85"/>
      <c r="W1612" s="85"/>
      <c r="X1612" s="85"/>
      <c r="Y1612" s="85"/>
      <c r="Z1612" s="85"/>
      <c r="AA1612" s="85"/>
      <c r="AB1612" s="85"/>
      <c r="AC1612" s="85"/>
      <c r="AD1612" s="85"/>
      <c r="AE1612" s="85"/>
      <c r="AF1612" s="85"/>
      <c r="AG1612" s="85"/>
      <c r="AH1612" s="85"/>
      <c r="AI1612" s="85"/>
      <c r="AJ1612" s="85"/>
      <c r="AK1612" s="85"/>
      <c r="AL1612" s="85"/>
      <c r="AM1612" s="85"/>
      <c r="AN1612" s="85"/>
      <c r="AO1612" s="85"/>
      <c r="AP1612" s="85"/>
      <c r="AQ1612" s="93"/>
      <c r="AR1612" s="85"/>
      <c r="AS1612" s="85"/>
      <c r="AT1612" s="85"/>
      <c r="AU1612" s="85"/>
      <c r="AV1612" s="85"/>
      <c r="AW1612" s="85"/>
      <c r="AX1612" s="85"/>
      <c r="AY1612" s="85"/>
      <c r="AZ1612" s="85"/>
      <c r="BA1612" s="85"/>
      <c r="BB1612" s="85"/>
      <c r="BC1612" s="85"/>
      <c r="BD1612" s="85"/>
      <c r="BE1612" s="85"/>
      <c r="BF1612" s="85"/>
      <c r="BG1612" s="85"/>
      <c r="BH1612" s="85"/>
      <c r="BI1612" s="85"/>
      <c r="BJ1612" s="85"/>
      <c r="BK1612" s="85"/>
      <c r="BL1612" s="85"/>
      <c r="BM1612" s="85"/>
      <c r="BN1612" s="85"/>
      <c r="BO1612" s="85"/>
      <c r="BP1612" s="85"/>
      <c r="BQ1612" s="85"/>
      <c r="BR1612" s="85"/>
      <c r="BS1612" s="85"/>
      <c r="BT1612" s="85"/>
      <c r="BU1612" s="85"/>
      <c r="BV1612" s="85"/>
      <c r="BW1612" s="85"/>
      <c r="BX1612" s="85"/>
      <c r="BY1612" s="85"/>
      <c r="BZ1612" s="85"/>
      <c r="CA1612" s="85"/>
      <c r="CB1612" s="85"/>
      <c r="CC1612" s="85"/>
      <c r="CD1612" s="85"/>
      <c r="CE1612" s="85"/>
      <c r="CF1612" s="85"/>
      <c r="CG1612" s="85"/>
      <c r="CH1612" s="85"/>
      <c r="CI1612" s="85"/>
      <c r="CJ1612" s="85"/>
    </row>
    <row r="1613" ht="12.75" customHeight="1">
      <c r="A1613" s="80"/>
      <c r="B1613" s="80"/>
      <c r="C1613" s="80"/>
      <c r="D1613" s="80"/>
      <c r="E1613" s="80"/>
      <c r="F1613" s="80"/>
      <c r="G1613" s="80"/>
      <c r="H1613" s="80"/>
      <c r="I1613" s="80"/>
      <c r="J1613" s="80"/>
      <c r="K1613" s="80"/>
      <c r="L1613" s="80"/>
      <c r="M1613" s="80"/>
      <c r="N1613" s="80"/>
      <c r="O1613" s="80"/>
      <c r="P1613" s="80"/>
      <c r="Q1613" s="80"/>
      <c r="R1613" s="80"/>
      <c r="S1613" s="80"/>
      <c r="T1613" s="80"/>
      <c r="U1613" s="80"/>
      <c r="V1613" s="80"/>
      <c r="W1613" s="80"/>
      <c r="X1613" s="80"/>
      <c r="Y1613" s="80"/>
      <c r="Z1613" s="80"/>
      <c r="AA1613" s="80"/>
      <c r="AB1613" s="80"/>
      <c r="AC1613" s="80"/>
      <c r="AD1613" s="80"/>
      <c r="AE1613" s="80"/>
      <c r="AF1613" s="80"/>
      <c r="AG1613" s="80"/>
      <c r="AH1613" s="80"/>
      <c r="AI1613" s="80"/>
      <c r="AJ1613" s="80"/>
      <c r="AK1613" s="80"/>
      <c r="AL1613" s="80"/>
      <c r="AM1613" s="80"/>
      <c r="AN1613" s="80"/>
      <c r="AO1613" s="80"/>
      <c r="AP1613" s="80"/>
      <c r="AQ1613" s="83"/>
      <c r="AR1613" s="80"/>
      <c r="AS1613" s="80"/>
      <c r="AT1613" s="80"/>
      <c r="AU1613" s="80"/>
      <c r="AV1613" s="80"/>
      <c r="AW1613" s="80"/>
      <c r="AX1613" s="80"/>
      <c r="AY1613" s="80"/>
      <c r="AZ1613" s="80"/>
      <c r="BA1613" s="80"/>
      <c r="BB1613" s="80"/>
      <c r="BC1613" s="80"/>
      <c r="BD1613" s="80"/>
      <c r="BE1613" s="80"/>
      <c r="BF1613" s="80"/>
      <c r="BG1613" s="80"/>
      <c r="BH1613" s="80"/>
      <c r="BI1613" s="80"/>
      <c r="BJ1613" s="80"/>
      <c r="BK1613" s="80"/>
      <c r="BL1613" s="80"/>
      <c r="BM1613" s="80"/>
      <c r="BN1613" s="80"/>
      <c r="BO1613" s="80"/>
      <c r="BP1613" s="80"/>
      <c r="BQ1613" s="80"/>
      <c r="BR1613" s="80"/>
      <c r="BS1613" s="80"/>
      <c r="BT1613" s="80"/>
      <c r="BU1613" s="80"/>
      <c r="BV1613" s="80"/>
      <c r="BW1613" s="80"/>
      <c r="BX1613" s="80"/>
      <c r="BY1613" s="80"/>
      <c r="BZ1613" s="80"/>
      <c r="CA1613" s="80"/>
      <c r="CB1613" s="80"/>
      <c r="CC1613" s="80"/>
      <c r="CD1613" s="80"/>
      <c r="CE1613" s="80"/>
      <c r="CF1613" s="80"/>
      <c r="CG1613" s="80"/>
      <c r="CH1613" s="80"/>
      <c r="CI1613" s="80"/>
      <c r="CJ1613" s="80"/>
    </row>
    <row r="1614" ht="12.75" customHeight="1">
      <c r="A1614" s="85"/>
      <c r="B1614" s="85"/>
      <c r="C1614" s="85"/>
      <c r="D1614" s="85"/>
      <c r="E1614" s="85"/>
      <c r="F1614" s="85"/>
      <c r="G1614" s="85"/>
      <c r="H1614" s="85"/>
      <c r="I1614" s="85"/>
      <c r="J1614" s="85"/>
      <c r="K1614" s="85"/>
      <c r="L1614" s="85"/>
      <c r="M1614" s="85"/>
      <c r="N1614" s="85"/>
      <c r="O1614" s="85"/>
      <c r="P1614" s="85"/>
      <c r="Q1614" s="85"/>
      <c r="R1614" s="85"/>
      <c r="S1614" s="85"/>
      <c r="T1614" s="85"/>
      <c r="U1614" s="85"/>
      <c r="V1614" s="85"/>
      <c r="W1614" s="85"/>
      <c r="X1614" s="85"/>
      <c r="Y1614" s="85"/>
      <c r="Z1614" s="85"/>
      <c r="AA1614" s="85"/>
      <c r="AB1614" s="85"/>
      <c r="AC1614" s="85"/>
      <c r="AD1614" s="85"/>
      <c r="AE1614" s="85"/>
      <c r="AF1614" s="85"/>
      <c r="AG1614" s="85"/>
      <c r="AH1614" s="85"/>
      <c r="AI1614" s="85"/>
      <c r="AJ1614" s="85"/>
      <c r="AK1614" s="85"/>
      <c r="AL1614" s="85"/>
      <c r="AM1614" s="85"/>
      <c r="AN1614" s="85"/>
      <c r="AO1614" s="85"/>
      <c r="AP1614" s="85"/>
      <c r="AQ1614" s="93"/>
      <c r="AR1614" s="85"/>
      <c r="AS1614" s="85"/>
      <c r="AT1614" s="85"/>
      <c r="AU1614" s="85"/>
      <c r="AV1614" s="85"/>
      <c r="AW1614" s="85"/>
      <c r="AX1614" s="85"/>
      <c r="AY1614" s="85"/>
      <c r="AZ1614" s="85"/>
      <c r="BA1614" s="85"/>
      <c r="BB1614" s="85"/>
      <c r="BC1614" s="85"/>
      <c r="BD1614" s="85"/>
      <c r="BE1614" s="85"/>
      <c r="BF1614" s="85"/>
      <c r="BG1614" s="85"/>
      <c r="BH1614" s="85"/>
      <c r="BI1614" s="85"/>
      <c r="BJ1614" s="85"/>
      <c r="BK1614" s="85"/>
      <c r="BL1614" s="85"/>
      <c r="BM1614" s="85"/>
      <c r="BN1614" s="85"/>
      <c r="BO1614" s="85"/>
      <c r="BP1614" s="85"/>
      <c r="BQ1614" s="85"/>
      <c r="BR1614" s="85"/>
      <c r="BS1614" s="85"/>
      <c r="BT1614" s="85"/>
      <c r="BU1614" s="85"/>
      <c r="BV1614" s="85"/>
      <c r="BW1614" s="85"/>
      <c r="BX1614" s="85"/>
      <c r="BY1614" s="85"/>
      <c r="BZ1614" s="85"/>
      <c r="CA1614" s="85"/>
      <c r="CB1614" s="85"/>
      <c r="CC1614" s="85"/>
      <c r="CD1614" s="85"/>
      <c r="CE1614" s="85"/>
      <c r="CF1614" s="85"/>
      <c r="CG1614" s="85"/>
      <c r="CH1614" s="85"/>
      <c r="CI1614" s="85"/>
      <c r="CJ1614" s="85"/>
    </row>
    <row r="1615" ht="12.75" customHeight="1">
      <c r="A1615" s="80"/>
      <c r="B1615" s="80"/>
      <c r="C1615" s="80"/>
      <c r="D1615" s="80"/>
      <c r="E1615" s="80"/>
      <c r="F1615" s="80"/>
      <c r="G1615" s="80"/>
      <c r="H1615" s="80"/>
      <c r="I1615" s="80"/>
      <c r="J1615" s="80"/>
      <c r="K1615" s="80"/>
      <c r="L1615" s="80"/>
      <c r="M1615" s="80"/>
      <c r="N1615" s="80"/>
      <c r="O1615" s="80"/>
      <c r="P1615" s="80"/>
      <c r="Q1615" s="80"/>
      <c r="R1615" s="80"/>
      <c r="S1615" s="80"/>
      <c r="T1615" s="80"/>
      <c r="U1615" s="80"/>
      <c r="V1615" s="80"/>
      <c r="W1615" s="80"/>
      <c r="X1615" s="80"/>
      <c r="Y1615" s="80"/>
      <c r="Z1615" s="80"/>
      <c r="AA1615" s="80"/>
      <c r="AB1615" s="80"/>
      <c r="AC1615" s="80"/>
      <c r="AD1615" s="80"/>
      <c r="AE1615" s="80"/>
      <c r="AF1615" s="80"/>
      <c r="AG1615" s="80"/>
      <c r="AH1615" s="80"/>
      <c r="AI1615" s="80"/>
      <c r="AJ1615" s="80"/>
      <c r="AK1615" s="80"/>
      <c r="AL1615" s="80"/>
      <c r="AM1615" s="80"/>
      <c r="AN1615" s="80"/>
      <c r="AO1615" s="80"/>
      <c r="AP1615" s="80"/>
      <c r="AQ1615" s="83"/>
      <c r="AR1615" s="80"/>
      <c r="AS1615" s="80"/>
      <c r="AT1615" s="80"/>
      <c r="AU1615" s="80"/>
      <c r="AV1615" s="80"/>
      <c r="AW1615" s="80"/>
      <c r="AX1615" s="80"/>
      <c r="AY1615" s="80"/>
      <c r="AZ1615" s="80"/>
      <c r="BA1615" s="80"/>
      <c r="BB1615" s="80"/>
      <c r="BC1615" s="80"/>
      <c r="BD1615" s="80"/>
      <c r="BE1615" s="80"/>
      <c r="BF1615" s="80"/>
      <c r="BG1615" s="80"/>
      <c r="BH1615" s="80"/>
      <c r="BI1615" s="80"/>
      <c r="BJ1615" s="80"/>
      <c r="BK1615" s="80"/>
      <c r="BL1615" s="80"/>
      <c r="BM1615" s="80"/>
      <c r="BN1615" s="80"/>
      <c r="BO1615" s="80"/>
      <c r="BP1615" s="80"/>
      <c r="BQ1615" s="80"/>
      <c r="BR1615" s="80"/>
      <c r="BS1615" s="80"/>
      <c r="BT1615" s="80"/>
      <c r="BU1615" s="80"/>
      <c r="BV1615" s="80"/>
      <c r="BW1615" s="80"/>
      <c r="BX1615" s="80"/>
      <c r="BY1615" s="80"/>
      <c r="BZ1615" s="80"/>
      <c r="CA1615" s="80"/>
      <c r="CB1615" s="80"/>
      <c r="CC1615" s="80"/>
      <c r="CD1615" s="80"/>
      <c r="CE1615" s="80"/>
      <c r="CF1615" s="80"/>
      <c r="CG1615" s="80"/>
      <c r="CH1615" s="80"/>
      <c r="CI1615" s="80"/>
      <c r="CJ1615" s="80"/>
    </row>
    <row r="1616" ht="12.75" customHeight="1">
      <c r="A1616" s="85"/>
      <c r="B1616" s="85"/>
      <c r="C1616" s="85"/>
      <c r="D1616" s="85"/>
      <c r="E1616" s="85"/>
      <c r="F1616" s="85"/>
      <c r="G1616" s="85"/>
      <c r="H1616" s="85"/>
      <c r="I1616" s="85"/>
      <c r="J1616" s="85"/>
      <c r="K1616" s="85"/>
      <c r="L1616" s="85"/>
      <c r="M1616" s="85"/>
      <c r="N1616" s="85"/>
      <c r="O1616" s="85"/>
      <c r="P1616" s="85"/>
      <c r="Q1616" s="85"/>
      <c r="R1616" s="85"/>
      <c r="S1616" s="85"/>
      <c r="T1616" s="85"/>
      <c r="U1616" s="85"/>
      <c r="V1616" s="85"/>
      <c r="W1616" s="85"/>
      <c r="X1616" s="85"/>
      <c r="Y1616" s="85"/>
      <c r="Z1616" s="85"/>
      <c r="AA1616" s="85"/>
      <c r="AB1616" s="85"/>
      <c r="AC1616" s="85"/>
      <c r="AD1616" s="85"/>
      <c r="AE1616" s="85"/>
      <c r="AF1616" s="85"/>
      <c r="AG1616" s="85"/>
      <c r="AH1616" s="85"/>
      <c r="AI1616" s="85"/>
      <c r="AJ1616" s="85"/>
      <c r="AK1616" s="85"/>
      <c r="AL1616" s="85"/>
      <c r="AM1616" s="85"/>
      <c r="AN1616" s="85"/>
      <c r="AO1616" s="85"/>
      <c r="AP1616" s="85"/>
      <c r="AQ1616" s="93"/>
      <c r="AR1616" s="85"/>
      <c r="AS1616" s="85"/>
      <c r="AT1616" s="85"/>
      <c r="AU1616" s="85"/>
      <c r="AV1616" s="85"/>
      <c r="AW1616" s="85"/>
      <c r="AX1616" s="85"/>
      <c r="AY1616" s="85"/>
      <c r="AZ1616" s="85"/>
      <c r="BA1616" s="85"/>
      <c r="BB1616" s="85"/>
      <c r="BC1616" s="85"/>
      <c r="BD1616" s="85"/>
      <c r="BE1616" s="85"/>
      <c r="BF1616" s="85"/>
      <c r="BG1616" s="85"/>
      <c r="BH1616" s="85"/>
      <c r="BI1616" s="85"/>
      <c r="BJ1616" s="85"/>
      <c r="BK1616" s="85"/>
      <c r="BL1616" s="85"/>
      <c r="BM1616" s="85"/>
      <c r="BN1616" s="85"/>
      <c r="BO1616" s="85"/>
      <c r="BP1616" s="85"/>
      <c r="BQ1616" s="85"/>
      <c r="BR1616" s="85"/>
      <c r="BS1616" s="85"/>
      <c r="BT1616" s="85"/>
      <c r="BU1616" s="85"/>
      <c r="BV1616" s="85"/>
      <c r="BW1616" s="85"/>
      <c r="BX1616" s="85"/>
      <c r="BY1616" s="85"/>
      <c r="BZ1616" s="85"/>
      <c r="CA1616" s="85"/>
      <c r="CB1616" s="85"/>
      <c r="CC1616" s="85"/>
      <c r="CD1616" s="85"/>
      <c r="CE1616" s="85"/>
      <c r="CF1616" s="85"/>
      <c r="CG1616" s="85"/>
      <c r="CH1616" s="85"/>
      <c r="CI1616" s="85"/>
      <c r="CJ1616" s="85"/>
    </row>
    <row r="1617" ht="12.75" customHeight="1">
      <c r="A1617" s="80"/>
      <c r="B1617" s="80"/>
      <c r="C1617" s="80"/>
      <c r="D1617" s="80"/>
      <c r="E1617" s="80"/>
      <c r="F1617" s="80"/>
      <c r="G1617" s="80"/>
      <c r="H1617" s="80"/>
      <c r="I1617" s="80"/>
      <c r="J1617" s="80"/>
      <c r="K1617" s="80"/>
      <c r="L1617" s="80"/>
      <c r="M1617" s="80"/>
      <c r="N1617" s="80"/>
      <c r="O1617" s="80"/>
      <c r="P1617" s="80"/>
      <c r="Q1617" s="80"/>
      <c r="R1617" s="80"/>
      <c r="S1617" s="80"/>
      <c r="T1617" s="80"/>
      <c r="U1617" s="80"/>
      <c r="V1617" s="80"/>
      <c r="W1617" s="80"/>
      <c r="X1617" s="80"/>
      <c r="Y1617" s="80"/>
      <c r="Z1617" s="80"/>
      <c r="AA1617" s="80"/>
      <c r="AB1617" s="80"/>
      <c r="AC1617" s="80"/>
      <c r="AD1617" s="80"/>
      <c r="AE1617" s="80"/>
      <c r="AF1617" s="80"/>
      <c r="AG1617" s="80"/>
      <c r="AH1617" s="80"/>
      <c r="AI1617" s="80"/>
      <c r="AJ1617" s="80"/>
      <c r="AK1617" s="80"/>
      <c r="AL1617" s="80"/>
      <c r="AM1617" s="80"/>
      <c r="AN1617" s="80"/>
      <c r="AO1617" s="80"/>
      <c r="AP1617" s="80"/>
      <c r="AQ1617" s="83"/>
      <c r="AR1617" s="80"/>
      <c r="AS1617" s="80"/>
      <c r="AT1617" s="80"/>
      <c r="AU1617" s="80"/>
      <c r="AV1617" s="80"/>
      <c r="AW1617" s="80"/>
      <c r="AX1617" s="80"/>
      <c r="AY1617" s="80"/>
      <c r="AZ1617" s="80"/>
      <c r="BA1617" s="80"/>
      <c r="BB1617" s="80"/>
      <c r="BC1617" s="80"/>
      <c r="BD1617" s="80"/>
      <c r="BE1617" s="80"/>
      <c r="BF1617" s="80"/>
      <c r="BG1617" s="80"/>
      <c r="BH1617" s="80"/>
      <c r="BI1617" s="80"/>
      <c r="BJ1617" s="80"/>
      <c r="BK1617" s="80"/>
      <c r="BL1617" s="80"/>
      <c r="BM1617" s="80"/>
      <c r="BN1617" s="80"/>
      <c r="BO1617" s="80"/>
      <c r="BP1617" s="80"/>
      <c r="BQ1617" s="80"/>
      <c r="BR1617" s="80"/>
      <c r="BS1617" s="80"/>
      <c r="BT1617" s="80"/>
      <c r="BU1617" s="80"/>
      <c r="BV1617" s="80"/>
      <c r="BW1617" s="80"/>
      <c r="BX1617" s="80"/>
      <c r="BY1617" s="80"/>
      <c r="BZ1617" s="80"/>
      <c r="CA1617" s="80"/>
      <c r="CB1617" s="80"/>
      <c r="CC1617" s="80"/>
      <c r="CD1617" s="80"/>
      <c r="CE1617" s="80"/>
      <c r="CF1617" s="80"/>
      <c r="CG1617" s="80"/>
      <c r="CH1617" s="80"/>
      <c r="CI1617" s="80"/>
      <c r="CJ1617" s="80"/>
    </row>
    <row r="1618" ht="12.75" customHeight="1">
      <c r="A1618" s="85"/>
      <c r="B1618" s="85"/>
      <c r="C1618" s="85"/>
      <c r="D1618" s="85"/>
      <c r="E1618" s="85"/>
      <c r="F1618" s="85"/>
      <c r="G1618" s="85"/>
      <c r="H1618" s="85"/>
      <c r="I1618" s="85"/>
      <c r="J1618" s="85"/>
      <c r="K1618" s="85"/>
      <c r="L1618" s="85"/>
      <c r="M1618" s="85"/>
      <c r="N1618" s="85"/>
      <c r="O1618" s="85"/>
      <c r="P1618" s="85"/>
      <c r="Q1618" s="85"/>
      <c r="R1618" s="85"/>
      <c r="S1618" s="85"/>
      <c r="T1618" s="85"/>
      <c r="U1618" s="85"/>
      <c r="V1618" s="85"/>
      <c r="W1618" s="85"/>
      <c r="X1618" s="85"/>
      <c r="Y1618" s="85"/>
      <c r="Z1618" s="85"/>
      <c r="AA1618" s="85"/>
      <c r="AB1618" s="85"/>
      <c r="AC1618" s="85"/>
      <c r="AD1618" s="85"/>
      <c r="AE1618" s="85"/>
      <c r="AF1618" s="85"/>
      <c r="AG1618" s="85"/>
      <c r="AH1618" s="85"/>
      <c r="AI1618" s="85"/>
      <c r="AJ1618" s="85"/>
      <c r="AK1618" s="85"/>
      <c r="AL1618" s="85"/>
      <c r="AM1618" s="85"/>
      <c r="AN1618" s="85"/>
      <c r="AO1618" s="85"/>
      <c r="AP1618" s="85"/>
      <c r="AQ1618" s="93"/>
      <c r="AR1618" s="85"/>
      <c r="AS1618" s="85"/>
      <c r="AT1618" s="85"/>
      <c r="AU1618" s="85"/>
      <c r="AV1618" s="85"/>
      <c r="AW1618" s="85"/>
      <c r="AX1618" s="85"/>
      <c r="AY1618" s="85"/>
      <c r="AZ1618" s="85"/>
      <c r="BA1618" s="85"/>
      <c r="BB1618" s="85"/>
      <c r="BC1618" s="85"/>
      <c r="BD1618" s="85"/>
      <c r="BE1618" s="85"/>
      <c r="BF1618" s="85"/>
      <c r="BG1618" s="85"/>
      <c r="BH1618" s="85"/>
      <c r="BI1618" s="85"/>
      <c r="BJ1618" s="85"/>
      <c r="BK1618" s="85"/>
      <c r="BL1618" s="85"/>
      <c r="BM1618" s="85"/>
      <c r="BN1618" s="85"/>
      <c r="BO1618" s="85"/>
      <c r="BP1618" s="85"/>
      <c r="BQ1618" s="85"/>
      <c r="BR1618" s="85"/>
      <c r="BS1618" s="85"/>
      <c r="BT1618" s="85"/>
      <c r="BU1618" s="85"/>
      <c r="BV1618" s="85"/>
      <c r="BW1618" s="85"/>
      <c r="BX1618" s="85"/>
      <c r="BY1618" s="85"/>
      <c r="BZ1618" s="85"/>
      <c r="CA1618" s="85"/>
      <c r="CB1618" s="85"/>
      <c r="CC1618" s="85"/>
      <c r="CD1618" s="85"/>
      <c r="CE1618" s="85"/>
      <c r="CF1618" s="85"/>
      <c r="CG1618" s="85"/>
      <c r="CH1618" s="85"/>
      <c r="CI1618" s="85"/>
      <c r="CJ1618" s="85"/>
    </row>
    <row r="1619" ht="12.75" customHeight="1">
      <c r="A1619" s="80"/>
      <c r="B1619" s="80"/>
      <c r="C1619" s="80"/>
      <c r="D1619" s="80"/>
      <c r="E1619" s="80"/>
      <c r="F1619" s="80"/>
      <c r="G1619" s="80"/>
      <c r="H1619" s="80"/>
      <c r="I1619" s="80"/>
      <c r="J1619" s="80"/>
      <c r="K1619" s="80"/>
      <c r="L1619" s="80"/>
      <c r="M1619" s="80"/>
      <c r="N1619" s="80"/>
      <c r="O1619" s="80"/>
      <c r="P1619" s="80"/>
      <c r="Q1619" s="80"/>
      <c r="R1619" s="80"/>
      <c r="S1619" s="80"/>
      <c r="T1619" s="80"/>
      <c r="U1619" s="80"/>
      <c r="V1619" s="80"/>
      <c r="W1619" s="80"/>
      <c r="X1619" s="80"/>
      <c r="Y1619" s="80"/>
      <c r="Z1619" s="80"/>
      <c r="AA1619" s="80"/>
      <c r="AB1619" s="80"/>
      <c r="AC1619" s="80"/>
      <c r="AD1619" s="80"/>
      <c r="AE1619" s="80"/>
      <c r="AF1619" s="80"/>
      <c r="AG1619" s="80"/>
      <c r="AH1619" s="80"/>
      <c r="AI1619" s="80"/>
      <c r="AJ1619" s="80"/>
      <c r="AK1619" s="80"/>
      <c r="AL1619" s="80"/>
      <c r="AM1619" s="80"/>
      <c r="AN1619" s="80"/>
      <c r="AO1619" s="80"/>
      <c r="AP1619" s="80"/>
      <c r="AQ1619" s="83"/>
      <c r="AR1619" s="80"/>
      <c r="AS1619" s="80"/>
      <c r="AT1619" s="80"/>
      <c r="AU1619" s="80"/>
      <c r="AV1619" s="80"/>
      <c r="AW1619" s="80"/>
      <c r="AX1619" s="80"/>
      <c r="AY1619" s="80"/>
      <c r="AZ1619" s="80"/>
      <c r="BA1619" s="80"/>
      <c r="BB1619" s="80"/>
      <c r="BC1619" s="80"/>
      <c r="BD1619" s="80"/>
      <c r="BE1619" s="80"/>
      <c r="BF1619" s="80"/>
      <c r="BG1619" s="80"/>
      <c r="BH1619" s="80"/>
      <c r="BI1619" s="80"/>
      <c r="BJ1619" s="80"/>
      <c r="BK1619" s="80"/>
      <c r="BL1619" s="80"/>
      <c r="BM1619" s="80"/>
      <c r="BN1619" s="80"/>
      <c r="BO1619" s="80"/>
      <c r="BP1619" s="80"/>
      <c r="BQ1619" s="80"/>
      <c r="BR1619" s="80"/>
      <c r="BS1619" s="80"/>
      <c r="BT1619" s="80"/>
      <c r="BU1619" s="80"/>
      <c r="BV1619" s="80"/>
      <c r="BW1619" s="80"/>
      <c r="BX1619" s="80"/>
      <c r="BY1619" s="80"/>
      <c r="BZ1619" s="80"/>
      <c r="CA1619" s="80"/>
      <c r="CB1619" s="80"/>
      <c r="CC1619" s="80"/>
      <c r="CD1619" s="80"/>
      <c r="CE1619" s="80"/>
      <c r="CF1619" s="80"/>
      <c r="CG1619" s="80"/>
      <c r="CH1619" s="80"/>
      <c r="CI1619" s="80"/>
      <c r="CJ1619" s="80"/>
    </row>
    <row r="1620" ht="12.75" customHeight="1">
      <c r="A1620" s="85"/>
      <c r="B1620" s="85"/>
      <c r="C1620" s="85"/>
      <c r="D1620" s="85"/>
      <c r="E1620" s="85"/>
      <c r="F1620" s="85"/>
      <c r="G1620" s="85"/>
      <c r="H1620" s="85"/>
      <c r="I1620" s="85"/>
      <c r="J1620" s="85"/>
      <c r="K1620" s="85"/>
      <c r="L1620" s="85"/>
      <c r="M1620" s="85"/>
      <c r="N1620" s="85"/>
      <c r="O1620" s="85"/>
      <c r="P1620" s="85"/>
      <c r="Q1620" s="85"/>
      <c r="R1620" s="85"/>
      <c r="S1620" s="85"/>
      <c r="T1620" s="85"/>
      <c r="U1620" s="85"/>
      <c r="V1620" s="85"/>
      <c r="W1620" s="85"/>
      <c r="X1620" s="85"/>
      <c r="Y1620" s="85"/>
      <c r="Z1620" s="85"/>
      <c r="AA1620" s="85"/>
      <c r="AB1620" s="85"/>
      <c r="AC1620" s="85"/>
      <c r="AD1620" s="85"/>
      <c r="AE1620" s="85"/>
      <c r="AF1620" s="85"/>
      <c r="AG1620" s="85"/>
      <c r="AH1620" s="85"/>
      <c r="AI1620" s="85"/>
      <c r="AJ1620" s="85"/>
      <c r="AK1620" s="85"/>
      <c r="AL1620" s="85"/>
      <c r="AM1620" s="85"/>
      <c r="AN1620" s="85"/>
      <c r="AO1620" s="85"/>
      <c r="AP1620" s="85"/>
      <c r="AQ1620" s="93"/>
      <c r="AR1620" s="85"/>
      <c r="AS1620" s="85"/>
      <c r="AT1620" s="85"/>
      <c r="AU1620" s="85"/>
      <c r="AV1620" s="85"/>
      <c r="AW1620" s="85"/>
      <c r="AX1620" s="85"/>
      <c r="AY1620" s="85"/>
      <c r="AZ1620" s="85"/>
      <c r="BA1620" s="85"/>
      <c r="BB1620" s="85"/>
      <c r="BC1620" s="85"/>
      <c r="BD1620" s="85"/>
      <c r="BE1620" s="85"/>
      <c r="BF1620" s="85"/>
      <c r="BG1620" s="85"/>
      <c r="BH1620" s="85"/>
      <c r="BI1620" s="85"/>
      <c r="BJ1620" s="85"/>
      <c r="BK1620" s="85"/>
      <c r="BL1620" s="85"/>
      <c r="BM1620" s="85"/>
      <c r="BN1620" s="85"/>
      <c r="BO1620" s="85"/>
      <c r="BP1620" s="85"/>
      <c r="BQ1620" s="85"/>
      <c r="BR1620" s="85"/>
      <c r="BS1620" s="85"/>
      <c r="BT1620" s="85"/>
      <c r="BU1620" s="85"/>
      <c r="BV1620" s="85"/>
      <c r="BW1620" s="85"/>
      <c r="BX1620" s="85"/>
      <c r="BY1620" s="85"/>
      <c r="BZ1620" s="85"/>
      <c r="CA1620" s="85"/>
      <c r="CB1620" s="85"/>
      <c r="CC1620" s="85"/>
      <c r="CD1620" s="85"/>
      <c r="CE1620" s="85"/>
      <c r="CF1620" s="85"/>
      <c r="CG1620" s="85"/>
      <c r="CH1620" s="85"/>
      <c r="CI1620" s="85"/>
      <c r="CJ1620" s="85"/>
    </row>
    <row r="1621" ht="12.75" customHeight="1">
      <c r="A1621" s="80"/>
      <c r="B1621" s="80"/>
      <c r="C1621" s="80"/>
      <c r="D1621" s="80"/>
      <c r="E1621" s="80"/>
      <c r="F1621" s="80"/>
      <c r="G1621" s="80"/>
      <c r="H1621" s="80"/>
      <c r="I1621" s="80"/>
      <c r="J1621" s="80"/>
      <c r="K1621" s="80"/>
      <c r="L1621" s="80"/>
      <c r="M1621" s="80"/>
      <c r="N1621" s="80"/>
      <c r="O1621" s="80"/>
      <c r="P1621" s="80"/>
      <c r="Q1621" s="80"/>
      <c r="R1621" s="80"/>
      <c r="S1621" s="80"/>
      <c r="T1621" s="80"/>
      <c r="U1621" s="80"/>
      <c r="V1621" s="80"/>
      <c r="W1621" s="80"/>
      <c r="X1621" s="80"/>
      <c r="Y1621" s="80"/>
      <c r="Z1621" s="80"/>
      <c r="AA1621" s="80"/>
      <c r="AB1621" s="80"/>
      <c r="AC1621" s="80"/>
      <c r="AD1621" s="80"/>
      <c r="AE1621" s="80"/>
      <c r="AF1621" s="80"/>
      <c r="AG1621" s="80"/>
      <c r="AH1621" s="80"/>
      <c r="AI1621" s="80"/>
      <c r="AJ1621" s="80"/>
      <c r="AK1621" s="80"/>
      <c r="AL1621" s="80"/>
      <c r="AM1621" s="80"/>
      <c r="AN1621" s="80"/>
      <c r="AO1621" s="80"/>
      <c r="AP1621" s="80"/>
      <c r="AQ1621" s="83"/>
      <c r="AR1621" s="80"/>
      <c r="AS1621" s="80"/>
      <c r="AT1621" s="80"/>
      <c r="AU1621" s="80"/>
      <c r="AV1621" s="80"/>
      <c r="AW1621" s="80"/>
      <c r="AX1621" s="80"/>
      <c r="AY1621" s="80"/>
      <c r="AZ1621" s="80"/>
      <c r="BA1621" s="80"/>
      <c r="BB1621" s="80"/>
      <c r="BC1621" s="80"/>
      <c r="BD1621" s="80"/>
      <c r="BE1621" s="80"/>
      <c r="BF1621" s="80"/>
      <c r="BG1621" s="80"/>
      <c r="BH1621" s="80"/>
      <c r="BI1621" s="80"/>
      <c r="BJ1621" s="80"/>
      <c r="BK1621" s="80"/>
      <c r="BL1621" s="80"/>
      <c r="BM1621" s="80"/>
      <c r="BN1621" s="80"/>
      <c r="BO1621" s="80"/>
      <c r="BP1621" s="80"/>
      <c r="BQ1621" s="80"/>
      <c r="BR1621" s="80"/>
      <c r="BS1621" s="80"/>
      <c r="BT1621" s="80"/>
      <c r="BU1621" s="80"/>
      <c r="BV1621" s="80"/>
      <c r="BW1621" s="80"/>
      <c r="BX1621" s="80"/>
      <c r="BY1621" s="80"/>
      <c r="BZ1621" s="80"/>
      <c r="CA1621" s="80"/>
      <c r="CB1621" s="80"/>
      <c r="CC1621" s="80"/>
      <c r="CD1621" s="80"/>
      <c r="CE1621" s="80"/>
      <c r="CF1621" s="80"/>
      <c r="CG1621" s="80"/>
      <c r="CH1621" s="80"/>
      <c r="CI1621" s="80"/>
      <c r="CJ1621" s="80"/>
    </row>
    <row r="1622" ht="12.75" customHeight="1">
      <c r="A1622" s="85"/>
      <c r="B1622" s="85"/>
      <c r="C1622" s="85"/>
      <c r="D1622" s="85"/>
      <c r="E1622" s="85"/>
      <c r="F1622" s="85"/>
      <c r="G1622" s="85"/>
      <c r="H1622" s="85"/>
      <c r="I1622" s="85"/>
      <c r="J1622" s="85"/>
      <c r="K1622" s="85"/>
      <c r="L1622" s="85"/>
      <c r="M1622" s="85"/>
      <c r="N1622" s="85"/>
      <c r="O1622" s="85"/>
      <c r="P1622" s="85"/>
      <c r="Q1622" s="85"/>
      <c r="R1622" s="85"/>
      <c r="S1622" s="85"/>
      <c r="T1622" s="85"/>
      <c r="U1622" s="85"/>
      <c r="V1622" s="85"/>
      <c r="W1622" s="85"/>
      <c r="X1622" s="85"/>
      <c r="Y1622" s="85"/>
      <c r="Z1622" s="85"/>
      <c r="AA1622" s="85"/>
      <c r="AB1622" s="85"/>
      <c r="AC1622" s="85"/>
      <c r="AD1622" s="85"/>
      <c r="AE1622" s="85"/>
      <c r="AF1622" s="85"/>
      <c r="AG1622" s="85"/>
      <c r="AH1622" s="85"/>
      <c r="AI1622" s="85"/>
      <c r="AJ1622" s="85"/>
      <c r="AK1622" s="85"/>
      <c r="AL1622" s="85"/>
      <c r="AM1622" s="85"/>
      <c r="AN1622" s="85"/>
      <c r="AO1622" s="85"/>
      <c r="AP1622" s="85"/>
      <c r="AQ1622" s="93"/>
      <c r="AR1622" s="85"/>
      <c r="AS1622" s="85"/>
      <c r="AT1622" s="85"/>
      <c r="AU1622" s="85"/>
      <c r="AV1622" s="85"/>
      <c r="AW1622" s="85"/>
      <c r="AX1622" s="85"/>
      <c r="AY1622" s="85"/>
      <c r="AZ1622" s="85"/>
      <c r="BA1622" s="85"/>
      <c r="BB1622" s="85"/>
      <c r="BC1622" s="85"/>
      <c r="BD1622" s="85"/>
      <c r="BE1622" s="85"/>
      <c r="BF1622" s="85"/>
      <c r="BG1622" s="85"/>
      <c r="BH1622" s="85"/>
      <c r="BI1622" s="85"/>
      <c r="BJ1622" s="85"/>
      <c r="BK1622" s="85"/>
      <c r="BL1622" s="85"/>
      <c r="BM1622" s="85"/>
      <c r="BN1622" s="85"/>
      <c r="BO1622" s="85"/>
      <c r="BP1622" s="85"/>
      <c r="BQ1622" s="85"/>
      <c r="BR1622" s="85"/>
      <c r="BS1622" s="85"/>
      <c r="BT1622" s="85"/>
      <c r="BU1622" s="85"/>
      <c r="BV1622" s="85"/>
      <c r="BW1622" s="85"/>
      <c r="BX1622" s="85"/>
      <c r="BY1622" s="85"/>
      <c r="BZ1622" s="85"/>
      <c r="CA1622" s="85"/>
      <c r="CB1622" s="85"/>
      <c r="CC1622" s="85"/>
      <c r="CD1622" s="85"/>
      <c r="CE1622" s="85"/>
      <c r="CF1622" s="85"/>
      <c r="CG1622" s="85"/>
      <c r="CH1622" s="85"/>
      <c r="CI1622" s="85"/>
      <c r="CJ1622" s="85"/>
    </row>
    <row r="1623" ht="12.75" customHeight="1">
      <c r="A1623" s="80"/>
      <c r="B1623" s="80"/>
      <c r="C1623" s="80"/>
      <c r="D1623" s="80"/>
      <c r="E1623" s="80"/>
      <c r="F1623" s="80"/>
      <c r="G1623" s="80"/>
      <c r="H1623" s="80"/>
      <c r="I1623" s="80"/>
      <c r="J1623" s="80"/>
      <c r="K1623" s="80"/>
      <c r="L1623" s="80"/>
      <c r="M1623" s="80"/>
      <c r="N1623" s="80"/>
      <c r="O1623" s="80"/>
      <c r="P1623" s="80"/>
      <c r="Q1623" s="80"/>
      <c r="R1623" s="80"/>
      <c r="S1623" s="80"/>
      <c r="T1623" s="80"/>
      <c r="U1623" s="80"/>
      <c r="V1623" s="80"/>
      <c r="W1623" s="80"/>
      <c r="X1623" s="80"/>
      <c r="Y1623" s="80"/>
      <c r="Z1623" s="80"/>
      <c r="AA1623" s="80"/>
      <c r="AB1623" s="80"/>
      <c r="AC1623" s="80"/>
      <c r="AD1623" s="80"/>
      <c r="AE1623" s="80"/>
      <c r="AF1623" s="80"/>
      <c r="AG1623" s="80"/>
      <c r="AH1623" s="80"/>
      <c r="AI1623" s="80"/>
      <c r="AJ1623" s="80"/>
      <c r="AK1623" s="80"/>
      <c r="AL1623" s="80"/>
      <c r="AM1623" s="80"/>
      <c r="AN1623" s="80"/>
      <c r="AO1623" s="80"/>
      <c r="AP1623" s="80"/>
      <c r="AQ1623" s="83"/>
      <c r="AR1623" s="80"/>
      <c r="AS1623" s="80"/>
      <c r="AT1623" s="80"/>
      <c r="AU1623" s="80"/>
      <c r="AV1623" s="80"/>
      <c r="AW1623" s="80"/>
      <c r="AX1623" s="80"/>
      <c r="AY1623" s="80"/>
      <c r="AZ1623" s="80"/>
      <c r="BA1623" s="80"/>
      <c r="BB1623" s="80"/>
      <c r="BC1623" s="80"/>
      <c r="BD1623" s="80"/>
      <c r="BE1623" s="80"/>
      <c r="BF1623" s="80"/>
      <c r="BG1623" s="80"/>
      <c r="BH1623" s="80"/>
      <c r="BI1623" s="80"/>
      <c r="BJ1623" s="80"/>
      <c r="BK1623" s="80"/>
      <c r="BL1623" s="80"/>
      <c r="BM1623" s="80"/>
      <c r="BN1623" s="80"/>
      <c r="BO1623" s="80"/>
      <c r="BP1623" s="80"/>
      <c r="BQ1623" s="80"/>
      <c r="BR1623" s="80"/>
      <c r="BS1623" s="80"/>
      <c r="BT1623" s="80"/>
      <c r="BU1623" s="80"/>
      <c r="BV1623" s="80"/>
      <c r="BW1623" s="80"/>
      <c r="BX1623" s="80"/>
      <c r="BY1623" s="80"/>
      <c r="BZ1623" s="80"/>
      <c r="CA1623" s="80"/>
      <c r="CB1623" s="80"/>
      <c r="CC1623" s="80"/>
      <c r="CD1623" s="80"/>
      <c r="CE1623" s="80"/>
      <c r="CF1623" s="80"/>
      <c r="CG1623" s="80"/>
      <c r="CH1623" s="80"/>
      <c r="CI1623" s="80"/>
      <c r="CJ1623" s="80"/>
    </row>
    <row r="1624" ht="12.75" customHeight="1">
      <c r="A1624" s="85"/>
      <c r="B1624" s="85"/>
      <c r="C1624" s="85"/>
      <c r="D1624" s="85"/>
      <c r="E1624" s="85"/>
      <c r="F1624" s="85"/>
      <c r="G1624" s="85"/>
      <c r="H1624" s="85"/>
      <c r="I1624" s="85"/>
      <c r="J1624" s="85"/>
      <c r="K1624" s="85"/>
      <c r="L1624" s="85"/>
      <c r="M1624" s="85"/>
      <c r="N1624" s="85"/>
      <c r="O1624" s="85"/>
      <c r="P1624" s="85"/>
      <c r="Q1624" s="85"/>
      <c r="R1624" s="85"/>
      <c r="S1624" s="85"/>
      <c r="T1624" s="85"/>
      <c r="U1624" s="85"/>
      <c r="V1624" s="85"/>
      <c r="W1624" s="85"/>
      <c r="X1624" s="85"/>
      <c r="Y1624" s="85"/>
      <c r="Z1624" s="85"/>
      <c r="AA1624" s="85"/>
      <c r="AB1624" s="85"/>
      <c r="AC1624" s="85"/>
      <c r="AD1624" s="85"/>
      <c r="AE1624" s="85"/>
      <c r="AF1624" s="85"/>
      <c r="AG1624" s="85"/>
      <c r="AH1624" s="85"/>
      <c r="AI1624" s="85"/>
      <c r="AJ1624" s="85"/>
      <c r="AK1624" s="85"/>
      <c r="AL1624" s="85"/>
      <c r="AM1624" s="85"/>
      <c r="AN1624" s="85"/>
      <c r="AO1624" s="85"/>
      <c r="AP1624" s="85"/>
      <c r="AQ1624" s="93"/>
      <c r="AR1624" s="85"/>
      <c r="AS1624" s="85"/>
      <c r="AT1624" s="85"/>
      <c r="AU1624" s="85"/>
      <c r="AV1624" s="85"/>
      <c r="AW1624" s="85"/>
      <c r="AX1624" s="85"/>
      <c r="AY1624" s="85"/>
      <c r="AZ1624" s="85"/>
      <c r="BA1624" s="85"/>
      <c r="BB1624" s="85"/>
      <c r="BC1624" s="85"/>
      <c r="BD1624" s="85"/>
      <c r="BE1624" s="85"/>
      <c r="BF1624" s="85"/>
      <c r="BG1624" s="85"/>
      <c r="BH1624" s="85"/>
      <c r="BI1624" s="85"/>
      <c r="BJ1624" s="85"/>
      <c r="BK1624" s="85"/>
      <c r="BL1624" s="85"/>
      <c r="BM1624" s="85"/>
      <c r="BN1624" s="85"/>
      <c r="BO1624" s="85"/>
      <c r="BP1624" s="85"/>
      <c r="BQ1624" s="85"/>
      <c r="BR1624" s="85"/>
      <c r="BS1624" s="85"/>
      <c r="BT1624" s="85"/>
      <c r="BU1624" s="85"/>
      <c r="BV1624" s="85"/>
      <c r="BW1624" s="85"/>
      <c r="BX1624" s="85"/>
      <c r="BY1624" s="85"/>
      <c r="BZ1624" s="85"/>
      <c r="CA1624" s="85"/>
      <c r="CB1624" s="85"/>
      <c r="CC1624" s="85"/>
      <c r="CD1624" s="85"/>
      <c r="CE1624" s="85"/>
      <c r="CF1624" s="85"/>
      <c r="CG1624" s="85"/>
      <c r="CH1624" s="85"/>
      <c r="CI1624" s="85"/>
      <c r="CJ1624" s="85"/>
    </row>
    <row r="1625" ht="12.75" customHeight="1">
      <c r="A1625" s="80"/>
      <c r="B1625" s="80"/>
      <c r="C1625" s="80"/>
      <c r="D1625" s="80"/>
      <c r="E1625" s="80"/>
      <c r="F1625" s="80"/>
      <c r="G1625" s="80"/>
      <c r="H1625" s="80"/>
      <c r="I1625" s="80"/>
      <c r="J1625" s="80"/>
      <c r="K1625" s="80"/>
      <c r="L1625" s="80"/>
      <c r="M1625" s="80"/>
      <c r="N1625" s="80"/>
      <c r="O1625" s="80"/>
      <c r="P1625" s="80"/>
      <c r="Q1625" s="80"/>
      <c r="R1625" s="80"/>
      <c r="S1625" s="80"/>
      <c r="T1625" s="80"/>
      <c r="U1625" s="80"/>
      <c r="V1625" s="80"/>
      <c r="W1625" s="80"/>
      <c r="X1625" s="80"/>
      <c r="Y1625" s="80"/>
      <c r="Z1625" s="80"/>
      <c r="AA1625" s="80"/>
      <c r="AB1625" s="80"/>
      <c r="AC1625" s="80"/>
      <c r="AD1625" s="80"/>
      <c r="AE1625" s="80"/>
      <c r="AF1625" s="80"/>
      <c r="AG1625" s="80"/>
      <c r="AH1625" s="80"/>
      <c r="AI1625" s="80"/>
      <c r="AJ1625" s="80"/>
      <c r="AK1625" s="80"/>
      <c r="AL1625" s="80"/>
      <c r="AM1625" s="80"/>
      <c r="AN1625" s="80"/>
      <c r="AO1625" s="80"/>
      <c r="AP1625" s="80"/>
      <c r="AQ1625" s="83"/>
      <c r="AR1625" s="80"/>
      <c r="AS1625" s="80"/>
      <c r="AT1625" s="80"/>
      <c r="AU1625" s="80"/>
      <c r="AV1625" s="80"/>
      <c r="AW1625" s="80"/>
      <c r="AX1625" s="80"/>
      <c r="AY1625" s="80"/>
      <c r="AZ1625" s="80"/>
      <c r="BA1625" s="80"/>
      <c r="BB1625" s="80"/>
      <c r="BC1625" s="80"/>
      <c r="BD1625" s="80"/>
      <c r="BE1625" s="80"/>
      <c r="BF1625" s="80"/>
      <c r="BG1625" s="80"/>
      <c r="BH1625" s="80"/>
      <c r="BI1625" s="80"/>
      <c r="BJ1625" s="80"/>
      <c r="BK1625" s="80"/>
      <c r="BL1625" s="80"/>
      <c r="BM1625" s="80"/>
      <c r="BN1625" s="80"/>
      <c r="BO1625" s="80"/>
      <c r="BP1625" s="80"/>
      <c r="BQ1625" s="80"/>
      <c r="BR1625" s="80"/>
      <c r="BS1625" s="80"/>
      <c r="BT1625" s="80"/>
      <c r="BU1625" s="80"/>
      <c r="BV1625" s="80"/>
      <c r="BW1625" s="80"/>
      <c r="BX1625" s="80"/>
      <c r="BY1625" s="80"/>
      <c r="BZ1625" s="80"/>
      <c r="CA1625" s="80"/>
      <c r="CB1625" s="80"/>
      <c r="CC1625" s="80"/>
      <c r="CD1625" s="80"/>
      <c r="CE1625" s="80"/>
      <c r="CF1625" s="80"/>
      <c r="CG1625" s="80"/>
      <c r="CH1625" s="80"/>
      <c r="CI1625" s="80"/>
      <c r="CJ1625" s="80"/>
    </row>
    <row r="1626" ht="12.75" customHeight="1">
      <c r="A1626" s="85"/>
      <c r="B1626" s="85"/>
      <c r="C1626" s="85"/>
      <c r="D1626" s="85"/>
      <c r="E1626" s="85"/>
      <c r="F1626" s="85"/>
      <c r="G1626" s="85"/>
      <c r="H1626" s="85"/>
      <c r="I1626" s="85"/>
      <c r="J1626" s="85"/>
      <c r="K1626" s="85"/>
      <c r="L1626" s="85"/>
      <c r="M1626" s="85"/>
      <c r="N1626" s="85"/>
      <c r="O1626" s="85"/>
      <c r="P1626" s="85"/>
      <c r="Q1626" s="85"/>
      <c r="R1626" s="85"/>
      <c r="S1626" s="85"/>
      <c r="T1626" s="85"/>
      <c r="U1626" s="85"/>
      <c r="V1626" s="85"/>
      <c r="W1626" s="85"/>
      <c r="X1626" s="85"/>
      <c r="Y1626" s="85"/>
      <c r="Z1626" s="85"/>
      <c r="AA1626" s="85"/>
      <c r="AB1626" s="85"/>
      <c r="AC1626" s="85"/>
      <c r="AD1626" s="85"/>
      <c r="AE1626" s="85"/>
      <c r="AF1626" s="85"/>
      <c r="AG1626" s="85"/>
      <c r="AH1626" s="85"/>
      <c r="AI1626" s="85"/>
      <c r="AJ1626" s="85"/>
      <c r="AK1626" s="85"/>
      <c r="AL1626" s="85"/>
      <c r="AM1626" s="85"/>
      <c r="AN1626" s="85"/>
      <c r="AO1626" s="85"/>
      <c r="AP1626" s="85"/>
      <c r="AQ1626" s="93"/>
      <c r="AR1626" s="85"/>
      <c r="AS1626" s="85"/>
      <c r="AT1626" s="85"/>
      <c r="AU1626" s="85"/>
      <c r="AV1626" s="85"/>
      <c r="AW1626" s="85"/>
      <c r="AX1626" s="85"/>
      <c r="AY1626" s="85"/>
      <c r="AZ1626" s="85"/>
      <c r="BA1626" s="85"/>
      <c r="BB1626" s="85"/>
      <c r="BC1626" s="85"/>
      <c r="BD1626" s="85"/>
      <c r="BE1626" s="85"/>
      <c r="BF1626" s="85"/>
      <c r="BG1626" s="85"/>
      <c r="BH1626" s="85"/>
      <c r="BI1626" s="85"/>
      <c r="BJ1626" s="85"/>
      <c r="BK1626" s="85"/>
      <c r="BL1626" s="85"/>
      <c r="BM1626" s="85"/>
      <c r="BN1626" s="85"/>
      <c r="BO1626" s="85"/>
      <c r="BP1626" s="85"/>
      <c r="BQ1626" s="85"/>
      <c r="BR1626" s="85"/>
      <c r="BS1626" s="85"/>
      <c r="BT1626" s="85"/>
      <c r="BU1626" s="85"/>
      <c r="BV1626" s="85"/>
      <c r="BW1626" s="85"/>
      <c r="BX1626" s="85"/>
      <c r="BY1626" s="85"/>
      <c r="BZ1626" s="85"/>
      <c r="CA1626" s="85"/>
      <c r="CB1626" s="85"/>
      <c r="CC1626" s="85"/>
      <c r="CD1626" s="85"/>
      <c r="CE1626" s="85"/>
      <c r="CF1626" s="85"/>
      <c r="CG1626" s="85"/>
      <c r="CH1626" s="85"/>
      <c r="CI1626" s="85"/>
      <c r="CJ1626" s="85"/>
    </row>
    <row r="1627" ht="12.75" customHeight="1">
      <c r="A1627" s="80"/>
      <c r="B1627" s="80"/>
      <c r="C1627" s="80"/>
      <c r="D1627" s="80"/>
      <c r="E1627" s="80"/>
      <c r="F1627" s="80"/>
      <c r="G1627" s="80"/>
      <c r="H1627" s="80"/>
      <c r="I1627" s="80"/>
      <c r="J1627" s="80"/>
      <c r="K1627" s="80"/>
      <c r="L1627" s="80"/>
      <c r="M1627" s="80"/>
      <c r="N1627" s="80"/>
      <c r="O1627" s="80"/>
      <c r="P1627" s="80"/>
      <c r="Q1627" s="80"/>
      <c r="R1627" s="80"/>
      <c r="S1627" s="80"/>
      <c r="T1627" s="80"/>
      <c r="U1627" s="80"/>
      <c r="V1627" s="80"/>
      <c r="W1627" s="80"/>
      <c r="X1627" s="80"/>
      <c r="Y1627" s="80"/>
      <c r="Z1627" s="80"/>
      <c r="AA1627" s="80"/>
      <c r="AB1627" s="80"/>
      <c r="AC1627" s="80"/>
      <c r="AD1627" s="80"/>
      <c r="AE1627" s="80"/>
      <c r="AF1627" s="80"/>
      <c r="AG1627" s="80"/>
      <c r="AH1627" s="80"/>
      <c r="AI1627" s="80"/>
      <c r="AJ1627" s="80"/>
      <c r="AK1627" s="80"/>
      <c r="AL1627" s="80"/>
      <c r="AM1627" s="80"/>
      <c r="AN1627" s="80"/>
      <c r="AO1627" s="80"/>
      <c r="AP1627" s="80"/>
      <c r="AQ1627" s="83"/>
      <c r="AR1627" s="80"/>
      <c r="AS1627" s="80"/>
      <c r="AT1627" s="80"/>
      <c r="AU1627" s="80"/>
      <c r="AV1627" s="80"/>
      <c r="AW1627" s="80"/>
      <c r="AX1627" s="80"/>
      <c r="AY1627" s="80"/>
      <c r="AZ1627" s="80"/>
      <c r="BA1627" s="80"/>
      <c r="BB1627" s="80"/>
      <c r="BC1627" s="80"/>
      <c r="BD1627" s="80"/>
      <c r="BE1627" s="80"/>
      <c r="BF1627" s="80"/>
      <c r="BG1627" s="80"/>
      <c r="BH1627" s="80"/>
      <c r="BI1627" s="80"/>
      <c r="BJ1627" s="80"/>
      <c r="BK1627" s="80"/>
      <c r="BL1627" s="80"/>
      <c r="BM1627" s="80"/>
      <c r="BN1627" s="80"/>
      <c r="BO1627" s="80"/>
      <c r="BP1627" s="80"/>
      <c r="BQ1627" s="80"/>
      <c r="BR1627" s="80"/>
      <c r="BS1627" s="80"/>
      <c r="BT1627" s="80"/>
      <c r="BU1627" s="80"/>
      <c r="BV1627" s="80"/>
      <c r="BW1627" s="80"/>
      <c r="BX1627" s="80"/>
      <c r="BY1627" s="80"/>
      <c r="BZ1627" s="80"/>
      <c r="CA1627" s="80"/>
      <c r="CB1627" s="80"/>
      <c r="CC1627" s="80"/>
      <c r="CD1627" s="80"/>
      <c r="CE1627" s="80"/>
      <c r="CF1627" s="80"/>
      <c r="CG1627" s="80"/>
      <c r="CH1627" s="80"/>
      <c r="CI1627" s="80"/>
      <c r="CJ1627" s="80"/>
    </row>
    <row r="1628" ht="12.75" customHeight="1">
      <c r="A1628" s="85"/>
      <c r="B1628" s="85"/>
      <c r="C1628" s="85"/>
      <c r="D1628" s="85"/>
      <c r="E1628" s="85"/>
      <c r="F1628" s="85"/>
      <c r="G1628" s="85"/>
      <c r="H1628" s="85"/>
      <c r="I1628" s="85"/>
      <c r="J1628" s="85"/>
      <c r="K1628" s="85"/>
      <c r="L1628" s="85"/>
      <c r="M1628" s="85"/>
      <c r="N1628" s="85"/>
      <c r="O1628" s="85"/>
      <c r="P1628" s="85"/>
      <c r="Q1628" s="85"/>
      <c r="R1628" s="85"/>
      <c r="S1628" s="85"/>
      <c r="T1628" s="85"/>
      <c r="U1628" s="85"/>
      <c r="V1628" s="85"/>
      <c r="W1628" s="85"/>
      <c r="X1628" s="85"/>
      <c r="Y1628" s="85"/>
      <c r="Z1628" s="85"/>
      <c r="AA1628" s="85"/>
      <c r="AB1628" s="85"/>
      <c r="AC1628" s="85"/>
      <c r="AD1628" s="85"/>
      <c r="AE1628" s="85"/>
      <c r="AF1628" s="85"/>
      <c r="AG1628" s="85"/>
      <c r="AH1628" s="85"/>
      <c r="AI1628" s="85"/>
      <c r="AJ1628" s="85"/>
      <c r="AK1628" s="85"/>
      <c r="AL1628" s="85"/>
      <c r="AM1628" s="85"/>
      <c r="AN1628" s="85"/>
      <c r="AO1628" s="85"/>
      <c r="AP1628" s="85"/>
      <c r="AQ1628" s="93"/>
      <c r="AR1628" s="85"/>
      <c r="AS1628" s="85"/>
      <c r="AT1628" s="85"/>
      <c r="AU1628" s="85"/>
      <c r="AV1628" s="85"/>
      <c r="AW1628" s="85"/>
      <c r="AX1628" s="85"/>
      <c r="AY1628" s="85"/>
      <c r="AZ1628" s="85"/>
      <c r="BA1628" s="85"/>
      <c r="BB1628" s="85"/>
      <c r="BC1628" s="85"/>
      <c r="BD1628" s="85"/>
      <c r="BE1628" s="85"/>
      <c r="BF1628" s="85"/>
      <c r="BG1628" s="85"/>
      <c r="BH1628" s="85"/>
      <c r="BI1628" s="85"/>
      <c r="BJ1628" s="85"/>
      <c r="BK1628" s="85"/>
      <c r="BL1628" s="85"/>
      <c r="BM1628" s="85"/>
      <c r="BN1628" s="85"/>
      <c r="BO1628" s="85"/>
      <c r="BP1628" s="85"/>
      <c r="BQ1628" s="85"/>
      <c r="BR1628" s="85"/>
      <c r="BS1628" s="85"/>
      <c r="BT1628" s="85"/>
      <c r="BU1628" s="85"/>
      <c r="BV1628" s="85"/>
      <c r="BW1628" s="85"/>
      <c r="BX1628" s="85"/>
      <c r="BY1628" s="85"/>
      <c r="BZ1628" s="85"/>
      <c r="CA1628" s="85"/>
      <c r="CB1628" s="85"/>
      <c r="CC1628" s="85"/>
      <c r="CD1628" s="85"/>
      <c r="CE1628" s="85"/>
      <c r="CF1628" s="85"/>
      <c r="CG1628" s="85"/>
      <c r="CH1628" s="85"/>
      <c r="CI1628" s="85"/>
      <c r="CJ1628" s="85"/>
    </row>
    <row r="1629" ht="12.75" customHeight="1">
      <c r="A1629" s="80"/>
      <c r="B1629" s="80"/>
      <c r="C1629" s="80"/>
      <c r="D1629" s="80"/>
      <c r="E1629" s="80"/>
      <c r="F1629" s="80"/>
      <c r="G1629" s="80"/>
      <c r="H1629" s="80"/>
      <c r="I1629" s="80"/>
      <c r="J1629" s="80"/>
      <c r="K1629" s="80"/>
      <c r="L1629" s="80"/>
      <c r="M1629" s="80"/>
      <c r="N1629" s="80"/>
      <c r="O1629" s="80"/>
      <c r="P1629" s="80"/>
      <c r="Q1629" s="80"/>
      <c r="R1629" s="80"/>
      <c r="S1629" s="80"/>
      <c r="T1629" s="80"/>
      <c r="U1629" s="80"/>
      <c r="V1629" s="80"/>
      <c r="W1629" s="80"/>
      <c r="X1629" s="80"/>
      <c r="Y1629" s="80"/>
      <c r="Z1629" s="80"/>
      <c r="AA1629" s="80"/>
      <c r="AB1629" s="80"/>
      <c r="AC1629" s="80"/>
      <c r="AD1629" s="80"/>
      <c r="AE1629" s="80"/>
      <c r="AF1629" s="80"/>
      <c r="AG1629" s="80"/>
      <c r="AH1629" s="80"/>
      <c r="AI1629" s="80"/>
      <c r="AJ1629" s="80"/>
      <c r="AK1629" s="80"/>
      <c r="AL1629" s="80"/>
      <c r="AM1629" s="80"/>
      <c r="AN1629" s="80"/>
      <c r="AO1629" s="80"/>
      <c r="AP1629" s="80"/>
      <c r="AQ1629" s="83"/>
      <c r="AR1629" s="80"/>
      <c r="AS1629" s="80"/>
      <c r="AT1629" s="80"/>
      <c r="AU1629" s="80"/>
      <c r="AV1629" s="80"/>
      <c r="AW1629" s="80"/>
      <c r="AX1629" s="80"/>
      <c r="AY1629" s="80"/>
      <c r="AZ1629" s="80"/>
      <c r="BA1629" s="80"/>
      <c r="BB1629" s="80"/>
      <c r="BC1629" s="80"/>
      <c r="BD1629" s="80"/>
      <c r="BE1629" s="80"/>
      <c r="BF1629" s="80"/>
      <c r="BG1629" s="80"/>
      <c r="BH1629" s="80"/>
      <c r="BI1629" s="80"/>
      <c r="BJ1629" s="80"/>
      <c r="BK1629" s="80"/>
      <c r="BL1629" s="80"/>
      <c r="BM1629" s="80"/>
      <c r="BN1629" s="80"/>
      <c r="BO1629" s="80"/>
      <c r="BP1629" s="80"/>
      <c r="BQ1629" s="80"/>
      <c r="BR1629" s="80"/>
      <c r="BS1629" s="80"/>
      <c r="BT1629" s="80"/>
      <c r="BU1629" s="80"/>
      <c r="BV1629" s="80"/>
      <c r="BW1629" s="80"/>
      <c r="BX1629" s="80"/>
      <c r="BY1629" s="80"/>
      <c r="BZ1629" s="80"/>
      <c r="CA1629" s="80"/>
      <c r="CB1629" s="80"/>
      <c r="CC1629" s="80"/>
      <c r="CD1629" s="80"/>
      <c r="CE1629" s="80"/>
      <c r="CF1629" s="80"/>
      <c r="CG1629" s="80"/>
      <c r="CH1629" s="80"/>
      <c r="CI1629" s="80"/>
      <c r="CJ1629" s="80"/>
    </row>
    <row r="1630" ht="12.75" customHeight="1">
      <c r="A1630" s="85"/>
      <c r="B1630" s="85"/>
      <c r="C1630" s="85"/>
      <c r="D1630" s="85"/>
      <c r="E1630" s="85"/>
      <c r="F1630" s="85"/>
      <c r="G1630" s="85"/>
      <c r="H1630" s="85"/>
      <c r="I1630" s="85"/>
      <c r="J1630" s="85"/>
      <c r="K1630" s="85"/>
      <c r="L1630" s="85"/>
      <c r="M1630" s="85"/>
      <c r="N1630" s="85"/>
      <c r="O1630" s="85"/>
      <c r="P1630" s="85"/>
      <c r="Q1630" s="85"/>
      <c r="R1630" s="85"/>
      <c r="S1630" s="85"/>
      <c r="T1630" s="85"/>
      <c r="U1630" s="85"/>
      <c r="V1630" s="85"/>
      <c r="W1630" s="85"/>
      <c r="X1630" s="85"/>
      <c r="Y1630" s="85"/>
      <c r="Z1630" s="85"/>
      <c r="AA1630" s="85"/>
      <c r="AB1630" s="85"/>
      <c r="AC1630" s="85"/>
      <c r="AD1630" s="85"/>
      <c r="AE1630" s="85"/>
      <c r="AF1630" s="85"/>
      <c r="AG1630" s="85"/>
      <c r="AH1630" s="85"/>
      <c r="AI1630" s="85"/>
      <c r="AJ1630" s="85"/>
      <c r="AK1630" s="85"/>
      <c r="AL1630" s="85"/>
      <c r="AM1630" s="85"/>
      <c r="AN1630" s="85"/>
      <c r="AO1630" s="85"/>
      <c r="AP1630" s="85"/>
      <c r="AQ1630" s="93"/>
      <c r="AR1630" s="85"/>
      <c r="AS1630" s="85"/>
      <c r="AT1630" s="85"/>
      <c r="AU1630" s="85"/>
      <c r="AV1630" s="85"/>
      <c r="AW1630" s="85"/>
      <c r="AX1630" s="85"/>
      <c r="AY1630" s="85"/>
      <c r="AZ1630" s="85"/>
      <c r="BA1630" s="85"/>
      <c r="BB1630" s="85"/>
      <c r="BC1630" s="85"/>
      <c r="BD1630" s="85"/>
      <c r="BE1630" s="85"/>
      <c r="BF1630" s="85"/>
      <c r="BG1630" s="85"/>
      <c r="BH1630" s="85"/>
      <c r="BI1630" s="85"/>
      <c r="BJ1630" s="85"/>
      <c r="BK1630" s="85"/>
      <c r="BL1630" s="85"/>
      <c r="BM1630" s="85"/>
      <c r="BN1630" s="85"/>
      <c r="BO1630" s="85"/>
      <c r="BP1630" s="85"/>
      <c r="BQ1630" s="85"/>
      <c r="BR1630" s="85"/>
      <c r="BS1630" s="85"/>
      <c r="BT1630" s="85"/>
      <c r="BU1630" s="85"/>
      <c r="BV1630" s="85"/>
      <c r="BW1630" s="85"/>
      <c r="BX1630" s="85"/>
      <c r="BY1630" s="85"/>
      <c r="BZ1630" s="85"/>
      <c r="CA1630" s="85"/>
      <c r="CB1630" s="85"/>
      <c r="CC1630" s="85"/>
      <c r="CD1630" s="85"/>
      <c r="CE1630" s="85"/>
      <c r="CF1630" s="85"/>
      <c r="CG1630" s="85"/>
      <c r="CH1630" s="85"/>
      <c r="CI1630" s="85"/>
      <c r="CJ1630" s="85"/>
    </row>
    <row r="1631" ht="12.75" customHeight="1">
      <c r="A1631" s="80"/>
      <c r="B1631" s="80"/>
      <c r="C1631" s="80"/>
      <c r="D1631" s="80"/>
      <c r="E1631" s="80"/>
      <c r="F1631" s="80"/>
      <c r="G1631" s="80"/>
      <c r="H1631" s="80"/>
      <c r="I1631" s="80"/>
      <c r="J1631" s="80"/>
      <c r="K1631" s="80"/>
      <c r="L1631" s="80"/>
      <c r="M1631" s="80"/>
      <c r="N1631" s="80"/>
      <c r="O1631" s="80"/>
      <c r="P1631" s="80"/>
      <c r="Q1631" s="80"/>
      <c r="R1631" s="80"/>
      <c r="S1631" s="80"/>
      <c r="T1631" s="80"/>
      <c r="U1631" s="80"/>
      <c r="V1631" s="80"/>
      <c r="W1631" s="80"/>
      <c r="X1631" s="80"/>
      <c r="Y1631" s="80"/>
      <c r="Z1631" s="80"/>
      <c r="AA1631" s="80"/>
      <c r="AB1631" s="80"/>
      <c r="AC1631" s="80"/>
      <c r="AD1631" s="80"/>
      <c r="AE1631" s="80"/>
      <c r="AF1631" s="80"/>
      <c r="AG1631" s="80"/>
      <c r="AH1631" s="80"/>
      <c r="AI1631" s="80"/>
      <c r="AJ1631" s="80"/>
      <c r="AK1631" s="80"/>
      <c r="AL1631" s="80"/>
      <c r="AM1631" s="80"/>
      <c r="AN1631" s="80"/>
      <c r="AO1631" s="80"/>
      <c r="AP1631" s="80"/>
      <c r="AQ1631" s="83"/>
      <c r="AR1631" s="80"/>
      <c r="AS1631" s="80"/>
      <c r="AT1631" s="80"/>
      <c r="AU1631" s="80"/>
      <c r="AV1631" s="80"/>
      <c r="AW1631" s="80"/>
      <c r="AX1631" s="80"/>
      <c r="AY1631" s="80"/>
      <c r="AZ1631" s="80"/>
      <c r="BA1631" s="80"/>
      <c r="BB1631" s="80"/>
      <c r="BC1631" s="80"/>
      <c r="BD1631" s="80"/>
      <c r="BE1631" s="80"/>
      <c r="BF1631" s="80"/>
      <c r="BG1631" s="80"/>
      <c r="BH1631" s="80"/>
      <c r="BI1631" s="80"/>
      <c r="BJ1631" s="80"/>
      <c r="BK1631" s="80"/>
      <c r="BL1631" s="80"/>
      <c r="BM1631" s="80"/>
      <c r="BN1631" s="80"/>
      <c r="BO1631" s="80"/>
      <c r="BP1631" s="80"/>
      <c r="BQ1631" s="80"/>
      <c r="BR1631" s="80"/>
      <c r="BS1631" s="80"/>
      <c r="BT1631" s="80"/>
      <c r="BU1631" s="80"/>
      <c r="BV1631" s="80"/>
      <c r="BW1631" s="80"/>
      <c r="BX1631" s="80"/>
      <c r="BY1631" s="80"/>
      <c r="BZ1631" s="80"/>
      <c r="CA1631" s="80"/>
      <c r="CB1631" s="80"/>
      <c r="CC1631" s="80"/>
      <c r="CD1631" s="80"/>
      <c r="CE1631" s="80"/>
      <c r="CF1631" s="80"/>
      <c r="CG1631" s="80"/>
      <c r="CH1631" s="80"/>
      <c r="CI1631" s="80"/>
      <c r="CJ1631" s="80"/>
    </row>
    <row r="1632" ht="12.75" customHeight="1">
      <c r="A1632" s="85"/>
      <c r="B1632" s="85"/>
      <c r="C1632" s="85"/>
      <c r="D1632" s="85"/>
      <c r="E1632" s="85"/>
      <c r="F1632" s="85"/>
      <c r="G1632" s="85"/>
      <c r="H1632" s="85"/>
      <c r="I1632" s="85"/>
      <c r="J1632" s="85"/>
      <c r="K1632" s="85"/>
      <c r="L1632" s="85"/>
      <c r="M1632" s="85"/>
      <c r="N1632" s="85"/>
      <c r="O1632" s="85"/>
      <c r="P1632" s="85"/>
      <c r="Q1632" s="85"/>
      <c r="R1632" s="85"/>
      <c r="S1632" s="85"/>
      <c r="T1632" s="85"/>
      <c r="U1632" s="85"/>
      <c r="V1632" s="85"/>
      <c r="W1632" s="85"/>
      <c r="X1632" s="85"/>
      <c r="Y1632" s="85"/>
      <c r="Z1632" s="85"/>
      <c r="AA1632" s="85"/>
      <c r="AB1632" s="85"/>
      <c r="AC1632" s="85"/>
      <c r="AD1632" s="85"/>
      <c r="AE1632" s="85"/>
      <c r="AF1632" s="85"/>
      <c r="AG1632" s="85"/>
      <c r="AH1632" s="85"/>
      <c r="AI1632" s="85"/>
      <c r="AJ1632" s="85"/>
      <c r="AK1632" s="85"/>
      <c r="AL1632" s="85"/>
      <c r="AM1632" s="85"/>
      <c r="AN1632" s="85"/>
      <c r="AO1632" s="85"/>
      <c r="AP1632" s="85"/>
      <c r="AQ1632" s="93"/>
      <c r="AR1632" s="85"/>
      <c r="AS1632" s="85"/>
      <c r="AT1632" s="85"/>
      <c r="AU1632" s="85"/>
      <c r="AV1632" s="85"/>
      <c r="AW1632" s="85"/>
      <c r="AX1632" s="85"/>
      <c r="AY1632" s="85"/>
      <c r="AZ1632" s="85"/>
      <c r="BA1632" s="85"/>
      <c r="BB1632" s="85"/>
      <c r="BC1632" s="85"/>
      <c r="BD1632" s="85"/>
      <c r="BE1632" s="85"/>
      <c r="BF1632" s="85"/>
      <c r="BG1632" s="85"/>
      <c r="BH1632" s="85"/>
      <c r="BI1632" s="85"/>
      <c r="BJ1632" s="85"/>
      <c r="BK1632" s="85"/>
      <c r="BL1632" s="85"/>
      <c r="BM1632" s="85"/>
      <c r="BN1632" s="85"/>
      <c r="BO1632" s="85"/>
      <c r="BP1632" s="85"/>
      <c r="BQ1632" s="85"/>
      <c r="BR1632" s="85"/>
      <c r="BS1632" s="85"/>
      <c r="BT1632" s="85"/>
      <c r="BU1632" s="85"/>
      <c r="BV1632" s="85"/>
      <c r="BW1632" s="85"/>
      <c r="BX1632" s="85"/>
      <c r="BY1632" s="85"/>
      <c r="BZ1632" s="85"/>
      <c r="CA1632" s="85"/>
      <c r="CB1632" s="85"/>
      <c r="CC1632" s="85"/>
      <c r="CD1632" s="85"/>
      <c r="CE1632" s="85"/>
      <c r="CF1632" s="85"/>
      <c r="CG1632" s="85"/>
      <c r="CH1632" s="85"/>
      <c r="CI1632" s="85"/>
      <c r="CJ1632" s="85"/>
    </row>
    <row r="1633" ht="12.75" customHeight="1">
      <c r="A1633" s="80"/>
      <c r="B1633" s="80"/>
      <c r="C1633" s="80"/>
      <c r="D1633" s="80"/>
      <c r="E1633" s="80"/>
      <c r="F1633" s="80"/>
      <c r="G1633" s="80"/>
      <c r="H1633" s="80"/>
      <c r="I1633" s="80"/>
      <c r="J1633" s="80"/>
      <c r="K1633" s="80"/>
      <c r="L1633" s="80"/>
      <c r="M1633" s="80"/>
      <c r="N1633" s="80"/>
      <c r="O1633" s="80"/>
      <c r="P1633" s="80"/>
      <c r="Q1633" s="80"/>
      <c r="R1633" s="80"/>
      <c r="S1633" s="80"/>
      <c r="T1633" s="80"/>
      <c r="U1633" s="80"/>
      <c r="V1633" s="80"/>
      <c r="W1633" s="80"/>
      <c r="X1633" s="80"/>
      <c r="Y1633" s="80"/>
      <c r="Z1633" s="80"/>
      <c r="AA1633" s="80"/>
      <c r="AB1633" s="80"/>
      <c r="AC1633" s="80"/>
      <c r="AD1633" s="80"/>
      <c r="AE1633" s="80"/>
      <c r="AF1633" s="80"/>
      <c r="AG1633" s="80"/>
      <c r="AH1633" s="80"/>
      <c r="AI1633" s="80"/>
      <c r="AJ1633" s="80"/>
      <c r="AK1633" s="80"/>
      <c r="AL1633" s="80"/>
      <c r="AM1633" s="80"/>
      <c r="AN1633" s="80"/>
      <c r="AO1633" s="80"/>
      <c r="AP1633" s="80"/>
      <c r="AQ1633" s="83"/>
      <c r="AR1633" s="80"/>
      <c r="AS1633" s="80"/>
      <c r="AT1633" s="80"/>
      <c r="AU1633" s="80"/>
      <c r="AV1633" s="80"/>
      <c r="AW1633" s="80"/>
      <c r="AX1633" s="80"/>
      <c r="AY1633" s="80"/>
      <c r="AZ1633" s="80"/>
      <c r="BA1633" s="80"/>
      <c r="BB1633" s="80"/>
      <c r="BC1633" s="80"/>
      <c r="BD1633" s="80"/>
      <c r="BE1633" s="80"/>
      <c r="BF1633" s="80"/>
      <c r="BG1633" s="80"/>
      <c r="BH1633" s="80"/>
      <c r="BI1633" s="80"/>
      <c r="BJ1633" s="80"/>
      <c r="BK1633" s="80"/>
      <c r="BL1633" s="80"/>
      <c r="BM1633" s="80"/>
      <c r="BN1633" s="80"/>
      <c r="BO1633" s="80"/>
      <c r="BP1633" s="80"/>
      <c r="BQ1633" s="80"/>
      <c r="BR1633" s="80"/>
      <c r="BS1633" s="80"/>
      <c r="BT1633" s="80"/>
      <c r="BU1633" s="80"/>
      <c r="BV1633" s="80"/>
      <c r="BW1633" s="80"/>
      <c r="BX1633" s="80"/>
      <c r="BY1633" s="80"/>
      <c r="BZ1633" s="80"/>
      <c r="CA1633" s="80"/>
      <c r="CB1633" s="80"/>
      <c r="CC1633" s="80"/>
      <c r="CD1633" s="80"/>
      <c r="CE1633" s="80"/>
      <c r="CF1633" s="80"/>
      <c r="CG1633" s="80"/>
      <c r="CH1633" s="80"/>
      <c r="CI1633" s="80"/>
      <c r="CJ1633" s="80"/>
    </row>
    <row r="1634" ht="12.75" customHeight="1">
      <c r="A1634" s="85"/>
      <c r="B1634" s="85"/>
      <c r="C1634" s="85"/>
      <c r="D1634" s="85"/>
      <c r="E1634" s="85"/>
      <c r="F1634" s="85"/>
      <c r="G1634" s="85"/>
      <c r="H1634" s="85"/>
      <c r="I1634" s="85"/>
      <c r="J1634" s="85"/>
      <c r="K1634" s="85"/>
      <c r="L1634" s="85"/>
      <c r="M1634" s="85"/>
      <c r="N1634" s="85"/>
      <c r="O1634" s="85"/>
      <c r="P1634" s="85"/>
      <c r="Q1634" s="85"/>
      <c r="R1634" s="85"/>
      <c r="S1634" s="85"/>
      <c r="T1634" s="85"/>
      <c r="U1634" s="85"/>
      <c r="V1634" s="85"/>
      <c r="W1634" s="85"/>
      <c r="X1634" s="85"/>
      <c r="Y1634" s="85"/>
      <c r="Z1634" s="85"/>
      <c r="AA1634" s="85"/>
      <c r="AB1634" s="85"/>
      <c r="AC1634" s="85"/>
      <c r="AD1634" s="85"/>
      <c r="AE1634" s="85"/>
      <c r="AF1634" s="85"/>
      <c r="AG1634" s="85"/>
      <c r="AH1634" s="85"/>
      <c r="AI1634" s="85"/>
      <c r="AJ1634" s="85"/>
      <c r="AK1634" s="85"/>
      <c r="AL1634" s="85"/>
      <c r="AM1634" s="85"/>
      <c r="AN1634" s="85"/>
      <c r="AO1634" s="85"/>
      <c r="AP1634" s="85"/>
      <c r="AQ1634" s="93"/>
      <c r="AR1634" s="85"/>
      <c r="AS1634" s="85"/>
      <c r="AT1634" s="85"/>
      <c r="AU1634" s="85"/>
      <c r="AV1634" s="85"/>
      <c r="AW1634" s="85"/>
      <c r="AX1634" s="85"/>
      <c r="AY1634" s="85"/>
      <c r="AZ1634" s="85"/>
      <c r="BA1634" s="85"/>
      <c r="BB1634" s="85"/>
      <c r="BC1634" s="85"/>
      <c r="BD1634" s="85"/>
      <c r="BE1634" s="85"/>
      <c r="BF1634" s="85"/>
      <c r="BG1634" s="85"/>
      <c r="BH1634" s="85"/>
      <c r="BI1634" s="85"/>
      <c r="BJ1634" s="85"/>
      <c r="BK1634" s="85"/>
      <c r="BL1634" s="85"/>
      <c r="BM1634" s="85"/>
      <c r="BN1634" s="85"/>
      <c r="BO1634" s="85"/>
      <c r="BP1634" s="85"/>
      <c r="BQ1634" s="85"/>
      <c r="BR1634" s="85"/>
      <c r="BS1634" s="85"/>
      <c r="BT1634" s="85"/>
      <c r="BU1634" s="85"/>
      <c r="BV1634" s="85"/>
      <c r="BW1634" s="85"/>
      <c r="BX1634" s="85"/>
      <c r="BY1634" s="85"/>
      <c r="BZ1634" s="85"/>
      <c r="CA1634" s="85"/>
      <c r="CB1634" s="85"/>
      <c r="CC1634" s="85"/>
      <c r="CD1634" s="85"/>
      <c r="CE1634" s="85"/>
      <c r="CF1634" s="85"/>
      <c r="CG1634" s="85"/>
      <c r="CH1634" s="85"/>
      <c r="CI1634" s="85"/>
      <c r="CJ1634" s="85"/>
    </row>
    <row r="1635" ht="12.75" customHeight="1">
      <c r="A1635" s="80"/>
      <c r="B1635" s="80"/>
      <c r="C1635" s="80"/>
      <c r="D1635" s="80"/>
      <c r="E1635" s="80"/>
      <c r="F1635" s="80"/>
      <c r="G1635" s="80"/>
      <c r="H1635" s="80"/>
      <c r="I1635" s="80"/>
      <c r="J1635" s="80"/>
      <c r="K1635" s="80"/>
      <c r="L1635" s="80"/>
      <c r="M1635" s="80"/>
      <c r="N1635" s="80"/>
      <c r="O1635" s="80"/>
      <c r="P1635" s="80"/>
      <c r="Q1635" s="80"/>
      <c r="R1635" s="80"/>
      <c r="S1635" s="80"/>
      <c r="T1635" s="80"/>
      <c r="U1635" s="80"/>
      <c r="V1635" s="80"/>
      <c r="W1635" s="80"/>
      <c r="X1635" s="80"/>
      <c r="Y1635" s="80"/>
      <c r="Z1635" s="80"/>
      <c r="AA1635" s="80"/>
      <c r="AB1635" s="80"/>
      <c r="AC1635" s="80"/>
      <c r="AD1635" s="80"/>
      <c r="AE1635" s="80"/>
      <c r="AF1635" s="80"/>
      <c r="AG1635" s="80"/>
      <c r="AH1635" s="80"/>
      <c r="AI1635" s="80"/>
      <c r="AJ1635" s="80"/>
      <c r="AK1635" s="80"/>
      <c r="AL1635" s="80"/>
      <c r="AM1635" s="80"/>
      <c r="AN1635" s="80"/>
      <c r="AO1635" s="80"/>
      <c r="AP1635" s="80"/>
      <c r="AQ1635" s="83"/>
      <c r="AR1635" s="80"/>
      <c r="AS1635" s="80"/>
      <c r="AT1635" s="80"/>
      <c r="AU1635" s="80"/>
      <c r="AV1635" s="80"/>
      <c r="AW1635" s="80"/>
      <c r="AX1635" s="80"/>
      <c r="AY1635" s="80"/>
      <c r="AZ1635" s="80"/>
      <c r="BA1635" s="80"/>
      <c r="BB1635" s="80"/>
      <c r="BC1635" s="80"/>
      <c r="BD1635" s="80"/>
      <c r="BE1635" s="80"/>
      <c r="BF1635" s="80"/>
      <c r="BG1635" s="80"/>
      <c r="BH1635" s="80"/>
      <c r="BI1635" s="80"/>
      <c r="BJ1635" s="80"/>
      <c r="BK1635" s="80"/>
      <c r="BL1635" s="80"/>
      <c r="BM1635" s="80"/>
      <c r="BN1635" s="80"/>
      <c r="BO1635" s="80"/>
      <c r="BP1635" s="80"/>
      <c r="BQ1635" s="80"/>
      <c r="BR1635" s="80"/>
      <c r="BS1635" s="80"/>
      <c r="BT1635" s="80"/>
      <c r="BU1635" s="80"/>
      <c r="BV1635" s="80"/>
      <c r="BW1635" s="80"/>
      <c r="BX1635" s="80"/>
      <c r="BY1635" s="80"/>
      <c r="BZ1635" s="80"/>
      <c r="CA1635" s="80"/>
      <c r="CB1635" s="80"/>
      <c r="CC1635" s="80"/>
      <c r="CD1635" s="80"/>
      <c r="CE1635" s="80"/>
      <c r="CF1635" s="80"/>
      <c r="CG1635" s="80"/>
      <c r="CH1635" s="80"/>
      <c r="CI1635" s="80"/>
      <c r="CJ1635" s="80"/>
    </row>
    <row r="1636" ht="12.75" customHeight="1">
      <c r="A1636" s="85"/>
      <c r="B1636" s="85"/>
      <c r="C1636" s="85"/>
      <c r="D1636" s="85"/>
      <c r="E1636" s="85"/>
      <c r="F1636" s="85"/>
      <c r="G1636" s="85"/>
      <c r="H1636" s="85"/>
      <c r="I1636" s="85"/>
      <c r="J1636" s="85"/>
      <c r="K1636" s="85"/>
      <c r="L1636" s="85"/>
      <c r="M1636" s="85"/>
      <c r="N1636" s="85"/>
      <c r="O1636" s="85"/>
      <c r="P1636" s="85"/>
      <c r="Q1636" s="85"/>
      <c r="R1636" s="85"/>
      <c r="S1636" s="85"/>
      <c r="T1636" s="85"/>
      <c r="U1636" s="85"/>
      <c r="V1636" s="85"/>
      <c r="W1636" s="85"/>
      <c r="X1636" s="85"/>
      <c r="Y1636" s="85"/>
      <c r="Z1636" s="85"/>
      <c r="AA1636" s="85"/>
      <c r="AB1636" s="85"/>
      <c r="AC1636" s="85"/>
      <c r="AD1636" s="85"/>
      <c r="AE1636" s="85"/>
      <c r="AF1636" s="85"/>
      <c r="AG1636" s="85"/>
      <c r="AH1636" s="85"/>
      <c r="AI1636" s="85"/>
      <c r="AJ1636" s="85"/>
      <c r="AK1636" s="85"/>
      <c r="AL1636" s="85"/>
      <c r="AM1636" s="85"/>
      <c r="AN1636" s="85"/>
      <c r="AO1636" s="85"/>
      <c r="AP1636" s="85"/>
      <c r="AQ1636" s="93"/>
      <c r="AR1636" s="85"/>
      <c r="AS1636" s="85"/>
      <c r="AT1636" s="85"/>
      <c r="AU1636" s="85"/>
      <c r="AV1636" s="85"/>
      <c r="AW1636" s="85"/>
      <c r="AX1636" s="85"/>
      <c r="AY1636" s="85"/>
      <c r="AZ1636" s="85"/>
      <c r="BA1636" s="85"/>
      <c r="BB1636" s="85"/>
      <c r="BC1636" s="85"/>
      <c r="BD1636" s="85"/>
      <c r="BE1636" s="85"/>
      <c r="BF1636" s="85"/>
      <c r="BG1636" s="85"/>
      <c r="BH1636" s="85"/>
      <c r="BI1636" s="85"/>
      <c r="BJ1636" s="85"/>
      <c r="BK1636" s="85"/>
      <c r="BL1636" s="85"/>
      <c r="BM1636" s="85"/>
      <c r="BN1636" s="85"/>
      <c r="BO1636" s="85"/>
      <c r="BP1636" s="85"/>
      <c r="BQ1636" s="85"/>
      <c r="BR1636" s="85"/>
      <c r="BS1636" s="85"/>
      <c r="BT1636" s="85"/>
      <c r="BU1636" s="85"/>
      <c r="BV1636" s="85"/>
      <c r="BW1636" s="85"/>
      <c r="BX1636" s="85"/>
      <c r="BY1636" s="85"/>
      <c r="BZ1636" s="85"/>
      <c r="CA1636" s="85"/>
      <c r="CB1636" s="85"/>
      <c r="CC1636" s="85"/>
      <c r="CD1636" s="85"/>
      <c r="CE1636" s="85"/>
      <c r="CF1636" s="85"/>
      <c r="CG1636" s="85"/>
      <c r="CH1636" s="85"/>
      <c r="CI1636" s="85"/>
      <c r="CJ1636" s="85"/>
    </row>
    <row r="1637" ht="12.75" customHeight="1">
      <c r="A1637" s="80"/>
      <c r="B1637" s="80"/>
      <c r="C1637" s="80"/>
      <c r="D1637" s="80"/>
      <c r="E1637" s="80"/>
      <c r="F1637" s="80"/>
      <c r="G1637" s="80"/>
      <c r="H1637" s="80"/>
      <c r="I1637" s="80"/>
      <c r="J1637" s="80"/>
      <c r="K1637" s="80"/>
      <c r="L1637" s="80"/>
      <c r="M1637" s="80"/>
      <c r="N1637" s="80"/>
      <c r="O1637" s="80"/>
      <c r="P1637" s="80"/>
      <c r="Q1637" s="80"/>
      <c r="R1637" s="80"/>
      <c r="S1637" s="80"/>
      <c r="T1637" s="80"/>
      <c r="U1637" s="80"/>
      <c r="V1637" s="80"/>
      <c r="W1637" s="80"/>
      <c r="X1637" s="80"/>
      <c r="Y1637" s="80"/>
      <c r="Z1637" s="80"/>
      <c r="AA1637" s="80"/>
      <c r="AB1637" s="80"/>
      <c r="AC1637" s="80"/>
      <c r="AD1637" s="80"/>
      <c r="AE1637" s="80"/>
      <c r="AF1637" s="80"/>
      <c r="AG1637" s="80"/>
      <c r="AH1637" s="80"/>
      <c r="AI1637" s="80"/>
      <c r="AJ1637" s="80"/>
      <c r="AK1637" s="80"/>
      <c r="AL1637" s="80"/>
      <c r="AM1637" s="80"/>
      <c r="AN1637" s="80"/>
      <c r="AO1637" s="80"/>
      <c r="AP1637" s="80"/>
      <c r="AQ1637" s="83"/>
      <c r="AR1637" s="80"/>
      <c r="AS1637" s="80"/>
      <c r="AT1637" s="80"/>
      <c r="AU1637" s="80"/>
      <c r="AV1637" s="80"/>
      <c r="AW1637" s="80"/>
      <c r="AX1637" s="80"/>
      <c r="AY1637" s="80"/>
      <c r="AZ1637" s="80"/>
      <c r="BA1637" s="80"/>
      <c r="BB1637" s="80"/>
      <c r="BC1637" s="80"/>
      <c r="BD1637" s="80"/>
      <c r="BE1637" s="80"/>
      <c r="BF1637" s="80"/>
      <c r="BG1637" s="80"/>
      <c r="BH1637" s="80"/>
      <c r="BI1637" s="80"/>
      <c r="BJ1637" s="80"/>
      <c r="BK1637" s="80"/>
      <c r="BL1637" s="80"/>
      <c r="BM1637" s="80"/>
      <c r="BN1637" s="80"/>
      <c r="BO1637" s="80"/>
      <c r="BP1637" s="80"/>
      <c r="BQ1637" s="80"/>
      <c r="BR1637" s="80"/>
      <c r="BS1637" s="80"/>
      <c r="BT1637" s="80"/>
      <c r="BU1637" s="80"/>
      <c r="BV1637" s="80"/>
      <c r="BW1637" s="80"/>
      <c r="BX1637" s="80"/>
      <c r="BY1637" s="80"/>
      <c r="BZ1637" s="80"/>
      <c r="CA1637" s="80"/>
      <c r="CB1637" s="80"/>
      <c r="CC1637" s="80"/>
      <c r="CD1637" s="80"/>
      <c r="CE1637" s="80"/>
      <c r="CF1637" s="80"/>
      <c r="CG1637" s="80"/>
      <c r="CH1637" s="80"/>
      <c r="CI1637" s="80"/>
      <c r="CJ1637" s="80"/>
    </row>
    <row r="1638" ht="12.75" customHeight="1">
      <c r="A1638" s="85"/>
      <c r="B1638" s="85"/>
      <c r="C1638" s="85"/>
      <c r="D1638" s="85"/>
      <c r="E1638" s="85"/>
      <c r="F1638" s="85"/>
      <c r="G1638" s="85"/>
      <c r="H1638" s="85"/>
      <c r="I1638" s="85"/>
      <c r="J1638" s="85"/>
      <c r="K1638" s="85"/>
      <c r="L1638" s="85"/>
      <c r="M1638" s="85"/>
      <c r="N1638" s="85"/>
      <c r="O1638" s="85"/>
      <c r="P1638" s="85"/>
      <c r="Q1638" s="85"/>
      <c r="R1638" s="85"/>
      <c r="S1638" s="85"/>
      <c r="T1638" s="85"/>
      <c r="U1638" s="85"/>
      <c r="V1638" s="85"/>
      <c r="W1638" s="85"/>
      <c r="X1638" s="85"/>
      <c r="Y1638" s="85"/>
      <c r="Z1638" s="85"/>
      <c r="AA1638" s="85"/>
      <c r="AB1638" s="85"/>
      <c r="AC1638" s="85"/>
      <c r="AD1638" s="85"/>
      <c r="AE1638" s="85"/>
      <c r="AF1638" s="85"/>
      <c r="AG1638" s="85"/>
      <c r="AH1638" s="85"/>
      <c r="AI1638" s="85"/>
      <c r="AJ1638" s="85"/>
      <c r="AK1638" s="85"/>
      <c r="AL1638" s="85"/>
      <c r="AM1638" s="85"/>
      <c r="AN1638" s="85"/>
      <c r="AO1638" s="85"/>
      <c r="AP1638" s="85"/>
      <c r="AQ1638" s="93"/>
      <c r="AR1638" s="85"/>
      <c r="AS1638" s="85"/>
      <c r="AT1638" s="85"/>
      <c r="AU1638" s="85"/>
      <c r="AV1638" s="85"/>
      <c r="AW1638" s="85"/>
      <c r="AX1638" s="85"/>
      <c r="AY1638" s="85"/>
      <c r="AZ1638" s="85"/>
      <c r="BA1638" s="85"/>
      <c r="BB1638" s="85"/>
      <c r="BC1638" s="85"/>
      <c r="BD1638" s="85"/>
      <c r="BE1638" s="85"/>
      <c r="BF1638" s="85"/>
      <c r="BG1638" s="85"/>
      <c r="BH1638" s="85"/>
      <c r="BI1638" s="85"/>
      <c r="BJ1638" s="85"/>
      <c r="BK1638" s="85"/>
      <c r="BL1638" s="85"/>
      <c r="BM1638" s="85"/>
      <c r="BN1638" s="85"/>
      <c r="BO1638" s="85"/>
      <c r="BP1638" s="85"/>
      <c r="BQ1638" s="85"/>
      <c r="BR1638" s="85"/>
      <c r="BS1638" s="85"/>
      <c r="BT1638" s="85"/>
      <c r="BU1638" s="85"/>
      <c r="BV1638" s="85"/>
      <c r="BW1638" s="85"/>
      <c r="BX1638" s="85"/>
      <c r="BY1638" s="85"/>
      <c r="BZ1638" s="85"/>
      <c r="CA1638" s="85"/>
      <c r="CB1638" s="85"/>
      <c r="CC1638" s="85"/>
      <c r="CD1638" s="85"/>
      <c r="CE1638" s="85"/>
      <c r="CF1638" s="85"/>
      <c r="CG1638" s="85"/>
      <c r="CH1638" s="85"/>
      <c r="CI1638" s="85"/>
      <c r="CJ1638" s="85"/>
    </row>
    <row r="1639" ht="12.75" customHeight="1">
      <c r="A1639" s="80"/>
      <c r="B1639" s="80"/>
      <c r="C1639" s="80"/>
      <c r="D1639" s="80"/>
      <c r="E1639" s="80"/>
      <c r="F1639" s="80"/>
      <c r="G1639" s="80"/>
      <c r="H1639" s="80"/>
      <c r="I1639" s="80"/>
      <c r="J1639" s="80"/>
      <c r="K1639" s="80"/>
      <c r="L1639" s="80"/>
      <c r="M1639" s="80"/>
      <c r="N1639" s="80"/>
      <c r="O1639" s="80"/>
      <c r="P1639" s="80"/>
      <c r="Q1639" s="80"/>
      <c r="R1639" s="80"/>
      <c r="S1639" s="80"/>
      <c r="T1639" s="80"/>
      <c r="U1639" s="80"/>
      <c r="V1639" s="80"/>
      <c r="W1639" s="80"/>
      <c r="X1639" s="80"/>
      <c r="Y1639" s="80"/>
      <c r="Z1639" s="80"/>
      <c r="AA1639" s="80"/>
      <c r="AB1639" s="80"/>
      <c r="AC1639" s="80"/>
      <c r="AD1639" s="80"/>
      <c r="AE1639" s="80"/>
      <c r="AF1639" s="80"/>
      <c r="AG1639" s="80"/>
      <c r="AH1639" s="80"/>
      <c r="AI1639" s="80"/>
      <c r="AJ1639" s="80"/>
      <c r="AK1639" s="80"/>
      <c r="AL1639" s="80"/>
      <c r="AM1639" s="80"/>
      <c r="AN1639" s="80"/>
      <c r="AO1639" s="80"/>
      <c r="AP1639" s="80"/>
      <c r="AQ1639" s="83"/>
      <c r="AR1639" s="80"/>
      <c r="AS1639" s="80"/>
      <c r="AT1639" s="80"/>
      <c r="AU1639" s="80"/>
      <c r="AV1639" s="80"/>
      <c r="AW1639" s="80"/>
      <c r="AX1639" s="80"/>
      <c r="AY1639" s="80"/>
      <c r="AZ1639" s="80"/>
      <c r="BA1639" s="80"/>
      <c r="BB1639" s="80"/>
      <c r="BC1639" s="80"/>
      <c r="BD1639" s="80"/>
      <c r="BE1639" s="80"/>
      <c r="BF1639" s="80"/>
      <c r="BG1639" s="80"/>
      <c r="BH1639" s="80"/>
      <c r="BI1639" s="80"/>
      <c r="BJ1639" s="80"/>
      <c r="BK1639" s="80"/>
      <c r="BL1639" s="80"/>
      <c r="BM1639" s="80"/>
      <c r="BN1639" s="80"/>
      <c r="BO1639" s="80"/>
      <c r="BP1639" s="80"/>
      <c r="BQ1639" s="80"/>
      <c r="BR1639" s="80"/>
      <c r="BS1639" s="80"/>
      <c r="BT1639" s="80"/>
      <c r="BU1639" s="80"/>
      <c r="BV1639" s="80"/>
      <c r="BW1639" s="80"/>
      <c r="BX1639" s="80"/>
      <c r="BY1639" s="80"/>
      <c r="BZ1639" s="80"/>
      <c r="CA1639" s="80"/>
      <c r="CB1639" s="80"/>
      <c r="CC1639" s="80"/>
      <c r="CD1639" s="80"/>
      <c r="CE1639" s="80"/>
      <c r="CF1639" s="80"/>
      <c r="CG1639" s="80"/>
      <c r="CH1639" s="80"/>
      <c r="CI1639" s="80"/>
      <c r="CJ1639" s="80"/>
    </row>
    <row r="1640" ht="12.75" customHeight="1">
      <c r="A1640" s="85"/>
      <c r="B1640" s="85"/>
      <c r="C1640" s="85"/>
      <c r="D1640" s="85"/>
      <c r="E1640" s="85"/>
      <c r="F1640" s="85"/>
      <c r="G1640" s="85"/>
      <c r="H1640" s="85"/>
      <c r="I1640" s="85"/>
      <c r="J1640" s="85"/>
      <c r="K1640" s="85"/>
      <c r="L1640" s="85"/>
      <c r="M1640" s="85"/>
      <c r="N1640" s="85"/>
      <c r="O1640" s="85"/>
      <c r="P1640" s="85"/>
      <c r="Q1640" s="85"/>
      <c r="R1640" s="85"/>
      <c r="S1640" s="85"/>
      <c r="T1640" s="85"/>
      <c r="U1640" s="85"/>
      <c r="V1640" s="85"/>
      <c r="W1640" s="85"/>
      <c r="X1640" s="85"/>
      <c r="Y1640" s="85"/>
      <c r="Z1640" s="85"/>
      <c r="AA1640" s="85"/>
      <c r="AB1640" s="85"/>
      <c r="AC1640" s="85"/>
      <c r="AD1640" s="85"/>
      <c r="AE1640" s="85"/>
      <c r="AF1640" s="85"/>
      <c r="AG1640" s="85"/>
      <c r="AH1640" s="85"/>
      <c r="AI1640" s="85"/>
      <c r="AJ1640" s="85"/>
      <c r="AK1640" s="85"/>
      <c r="AL1640" s="85"/>
      <c r="AM1640" s="85"/>
      <c r="AN1640" s="85"/>
      <c r="AO1640" s="85"/>
      <c r="AP1640" s="85"/>
      <c r="AQ1640" s="93"/>
      <c r="AR1640" s="85"/>
      <c r="AS1640" s="85"/>
      <c r="AT1640" s="85"/>
      <c r="AU1640" s="85"/>
      <c r="AV1640" s="85"/>
      <c r="AW1640" s="85"/>
      <c r="AX1640" s="85"/>
      <c r="AY1640" s="85"/>
      <c r="AZ1640" s="85"/>
      <c r="BA1640" s="85"/>
      <c r="BB1640" s="85"/>
      <c r="BC1640" s="85"/>
      <c r="BD1640" s="85"/>
      <c r="BE1640" s="85"/>
      <c r="BF1640" s="85"/>
      <c r="BG1640" s="85"/>
      <c r="BH1640" s="85"/>
      <c r="BI1640" s="85"/>
      <c r="BJ1640" s="85"/>
      <c r="BK1640" s="85"/>
      <c r="BL1640" s="85"/>
      <c r="BM1640" s="85"/>
      <c r="BN1640" s="85"/>
      <c r="BO1640" s="85"/>
      <c r="BP1640" s="85"/>
      <c r="BQ1640" s="85"/>
      <c r="BR1640" s="85"/>
      <c r="BS1640" s="85"/>
      <c r="BT1640" s="85"/>
      <c r="BU1640" s="85"/>
      <c r="BV1640" s="85"/>
      <c r="BW1640" s="85"/>
      <c r="BX1640" s="85"/>
      <c r="BY1640" s="85"/>
      <c r="BZ1640" s="85"/>
      <c r="CA1640" s="85"/>
      <c r="CB1640" s="85"/>
      <c r="CC1640" s="85"/>
      <c r="CD1640" s="85"/>
      <c r="CE1640" s="85"/>
      <c r="CF1640" s="85"/>
      <c r="CG1640" s="85"/>
      <c r="CH1640" s="85"/>
      <c r="CI1640" s="85"/>
      <c r="CJ1640" s="85"/>
    </row>
    <row r="1641" ht="12.75" customHeight="1">
      <c r="A1641" s="80"/>
      <c r="B1641" s="80"/>
      <c r="C1641" s="80"/>
      <c r="D1641" s="80"/>
      <c r="E1641" s="80"/>
      <c r="F1641" s="80"/>
      <c r="G1641" s="80"/>
      <c r="H1641" s="80"/>
      <c r="I1641" s="80"/>
      <c r="J1641" s="80"/>
      <c r="K1641" s="80"/>
      <c r="L1641" s="80"/>
      <c r="M1641" s="80"/>
      <c r="N1641" s="80"/>
      <c r="O1641" s="80"/>
      <c r="P1641" s="80"/>
      <c r="Q1641" s="80"/>
      <c r="R1641" s="80"/>
      <c r="S1641" s="80"/>
      <c r="T1641" s="80"/>
      <c r="U1641" s="80"/>
      <c r="V1641" s="80"/>
      <c r="W1641" s="80"/>
      <c r="X1641" s="80"/>
      <c r="Y1641" s="80"/>
      <c r="Z1641" s="80"/>
      <c r="AA1641" s="80"/>
      <c r="AB1641" s="80"/>
      <c r="AC1641" s="80"/>
      <c r="AD1641" s="80"/>
      <c r="AE1641" s="80"/>
      <c r="AF1641" s="80"/>
      <c r="AG1641" s="80"/>
      <c r="AH1641" s="80"/>
      <c r="AI1641" s="80"/>
      <c r="AJ1641" s="80"/>
      <c r="AK1641" s="80"/>
      <c r="AL1641" s="80"/>
      <c r="AM1641" s="80"/>
      <c r="AN1641" s="80"/>
      <c r="AO1641" s="80"/>
      <c r="AP1641" s="80"/>
      <c r="AQ1641" s="83"/>
      <c r="AR1641" s="80"/>
      <c r="AS1641" s="80"/>
      <c r="AT1641" s="80"/>
      <c r="AU1641" s="80"/>
      <c r="AV1641" s="80"/>
      <c r="AW1641" s="80"/>
      <c r="AX1641" s="80"/>
      <c r="AY1641" s="80"/>
      <c r="AZ1641" s="80"/>
      <c r="BA1641" s="80"/>
      <c r="BB1641" s="80"/>
      <c r="BC1641" s="80"/>
      <c r="BD1641" s="80"/>
      <c r="BE1641" s="80"/>
      <c r="BF1641" s="80"/>
      <c r="BG1641" s="80"/>
      <c r="BH1641" s="80"/>
      <c r="BI1641" s="80"/>
      <c r="BJ1641" s="80"/>
      <c r="BK1641" s="80"/>
      <c r="BL1641" s="80"/>
      <c r="BM1641" s="80"/>
      <c r="BN1641" s="80"/>
      <c r="BO1641" s="80"/>
      <c r="BP1641" s="80"/>
      <c r="BQ1641" s="80"/>
      <c r="BR1641" s="80"/>
      <c r="BS1641" s="80"/>
      <c r="BT1641" s="80"/>
      <c r="BU1641" s="80"/>
      <c r="BV1641" s="80"/>
      <c r="BW1641" s="80"/>
      <c r="BX1641" s="80"/>
      <c r="BY1641" s="80"/>
      <c r="BZ1641" s="80"/>
      <c r="CA1641" s="80"/>
      <c r="CB1641" s="80"/>
      <c r="CC1641" s="80"/>
      <c r="CD1641" s="80"/>
      <c r="CE1641" s="80"/>
      <c r="CF1641" s="80"/>
      <c r="CG1641" s="80"/>
      <c r="CH1641" s="80"/>
      <c r="CI1641" s="80"/>
      <c r="CJ1641" s="80"/>
    </row>
    <row r="1642" ht="12.75" customHeight="1">
      <c r="A1642" s="85"/>
      <c r="B1642" s="85"/>
      <c r="C1642" s="85"/>
      <c r="D1642" s="85"/>
      <c r="E1642" s="85"/>
      <c r="F1642" s="85"/>
      <c r="G1642" s="85"/>
      <c r="H1642" s="85"/>
      <c r="I1642" s="85"/>
      <c r="J1642" s="85"/>
      <c r="K1642" s="85"/>
      <c r="L1642" s="85"/>
      <c r="M1642" s="85"/>
      <c r="N1642" s="85"/>
      <c r="O1642" s="85"/>
      <c r="P1642" s="85"/>
      <c r="Q1642" s="85"/>
      <c r="R1642" s="85"/>
      <c r="S1642" s="85"/>
      <c r="T1642" s="85"/>
      <c r="U1642" s="85"/>
      <c r="V1642" s="85"/>
      <c r="W1642" s="85"/>
      <c r="X1642" s="85"/>
      <c r="Y1642" s="85"/>
      <c r="Z1642" s="85"/>
      <c r="AA1642" s="85"/>
      <c r="AB1642" s="85"/>
      <c r="AC1642" s="85"/>
      <c r="AD1642" s="85"/>
      <c r="AE1642" s="85"/>
      <c r="AF1642" s="85"/>
      <c r="AG1642" s="85"/>
      <c r="AH1642" s="85"/>
      <c r="AI1642" s="85"/>
      <c r="AJ1642" s="85"/>
      <c r="AK1642" s="85"/>
      <c r="AL1642" s="85"/>
      <c r="AM1642" s="85"/>
      <c r="AN1642" s="85"/>
      <c r="AO1642" s="85"/>
      <c r="AP1642" s="85"/>
      <c r="AQ1642" s="93"/>
      <c r="AR1642" s="85"/>
      <c r="AS1642" s="85"/>
      <c r="AT1642" s="85"/>
      <c r="AU1642" s="85"/>
      <c r="AV1642" s="85"/>
      <c r="AW1642" s="85"/>
      <c r="AX1642" s="85"/>
      <c r="AY1642" s="85"/>
      <c r="AZ1642" s="85"/>
      <c r="BA1642" s="85"/>
      <c r="BB1642" s="85"/>
      <c r="BC1642" s="85"/>
      <c r="BD1642" s="85"/>
      <c r="BE1642" s="85"/>
      <c r="BF1642" s="85"/>
      <c r="BG1642" s="85"/>
      <c r="BH1642" s="85"/>
      <c r="BI1642" s="85"/>
      <c r="BJ1642" s="85"/>
      <c r="BK1642" s="85"/>
      <c r="BL1642" s="85"/>
      <c r="BM1642" s="85"/>
      <c r="BN1642" s="85"/>
      <c r="BO1642" s="85"/>
      <c r="BP1642" s="85"/>
      <c r="BQ1642" s="85"/>
      <c r="BR1642" s="85"/>
      <c r="BS1642" s="85"/>
      <c r="BT1642" s="85"/>
      <c r="BU1642" s="85"/>
      <c r="BV1642" s="85"/>
      <c r="BW1642" s="85"/>
      <c r="BX1642" s="85"/>
      <c r="BY1642" s="85"/>
      <c r="BZ1642" s="85"/>
      <c r="CA1642" s="85"/>
      <c r="CB1642" s="85"/>
      <c r="CC1642" s="85"/>
      <c r="CD1642" s="85"/>
      <c r="CE1642" s="85"/>
      <c r="CF1642" s="85"/>
      <c r="CG1642" s="85"/>
      <c r="CH1642" s="85"/>
      <c r="CI1642" s="85"/>
      <c r="CJ1642" s="85"/>
    </row>
    <row r="1643" ht="12.75" customHeight="1">
      <c r="A1643" s="80"/>
      <c r="B1643" s="80"/>
      <c r="C1643" s="80"/>
      <c r="D1643" s="80"/>
      <c r="E1643" s="80"/>
      <c r="F1643" s="80"/>
      <c r="G1643" s="80"/>
      <c r="H1643" s="80"/>
      <c r="I1643" s="80"/>
      <c r="J1643" s="80"/>
      <c r="K1643" s="80"/>
      <c r="L1643" s="80"/>
      <c r="M1643" s="80"/>
      <c r="N1643" s="80"/>
      <c r="O1643" s="80"/>
      <c r="P1643" s="80"/>
      <c r="Q1643" s="80"/>
      <c r="R1643" s="80"/>
      <c r="S1643" s="80"/>
      <c r="T1643" s="80"/>
      <c r="U1643" s="80"/>
      <c r="V1643" s="80"/>
      <c r="W1643" s="80"/>
      <c r="X1643" s="80"/>
      <c r="Y1643" s="80"/>
      <c r="Z1643" s="80"/>
      <c r="AA1643" s="80"/>
      <c r="AB1643" s="80"/>
      <c r="AC1643" s="80"/>
      <c r="AD1643" s="80"/>
      <c r="AE1643" s="80"/>
      <c r="AF1643" s="80"/>
      <c r="AG1643" s="80"/>
      <c r="AH1643" s="80"/>
      <c r="AI1643" s="80"/>
      <c r="AJ1643" s="80"/>
      <c r="AK1643" s="80"/>
      <c r="AL1643" s="80"/>
      <c r="AM1643" s="80"/>
      <c r="AN1643" s="80"/>
      <c r="AO1643" s="80"/>
      <c r="AP1643" s="80"/>
      <c r="AQ1643" s="83"/>
      <c r="AR1643" s="80"/>
      <c r="AS1643" s="80"/>
      <c r="AT1643" s="80"/>
      <c r="AU1643" s="80"/>
      <c r="AV1643" s="80"/>
      <c r="AW1643" s="80"/>
      <c r="AX1643" s="80"/>
      <c r="AY1643" s="80"/>
      <c r="AZ1643" s="80"/>
      <c r="BA1643" s="80"/>
      <c r="BB1643" s="80"/>
      <c r="BC1643" s="80"/>
      <c r="BD1643" s="80"/>
      <c r="BE1643" s="80"/>
      <c r="BF1643" s="80"/>
      <c r="BG1643" s="80"/>
      <c r="BH1643" s="80"/>
      <c r="BI1643" s="80"/>
      <c r="BJ1643" s="80"/>
      <c r="BK1643" s="80"/>
      <c r="BL1643" s="80"/>
      <c r="BM1643" s="80"/>
      <c r="BN1643" s="80"/>
      <c r="BO1643" s="80"/>
      <c r="BP1643" s="80"/>
      <c r="BQ1643" s="80"/>
      <c r="BR1643" s="80"/>
      <c r="BS1643" s="80"/>
      <c r="BT1643" s="80"/>
      <c r="BU1643" s="80"/>
      <c r="BV1643" s="80"/>
      <c r="BW1643" s="80"/>
      <c r="BX1643" s="80"/>
      <c r="BY1643" s="80"/>
      <c r="BZ1643" s="80"/>
      <c r="CA1643" s="80"/>
      <c r="CB1643" s="80"/>
      <c r="CC1643" s="80"/>
      <c r="CD1643" s="80"/>
      <c r="CE1643" s="80"/>
      <c r="CF1643" s="80"/>
      <c r="CG1643" s="80"/>
      <c r="CH1643" s="80"/>
      <c r="CI1643" s="80"/>
      <c r="CJ1643" s="80"/>
    </row>
    <row r="1644" ht="12.75" customHeight="1">
      <c r="A1644" s="85"/>
      <c r="B1644" s="85"/>
      <c r="C1644" s="85"/>
      <c r="D1644" s="85"/>
      <c r="E1644" s="85"/>
      <c r="F1644" s="85"/>
      <c r="G1644" s="85"/>
      <c r="H1644" s="85"/>
      <c r="I1644" s="85"/>
      <c r="J1644" s="85"/>
      <c r="K1644" s="85"/>
      <c r="L1644" s="85"/>
      <c r="M1644" s="85"/>
      <c r="N1644" s="85"/>
      <c r="O1644" s="85"/>
      <c r="P1644" s="85"/>
      <c r="Q1644" s="85"/>
      <c r="R1644" s="85"/>
      <c r="S1644" s="85"/>
      <c r="T1644" s="85"/>
      <c r="U1644" s="85"/>
      <c r="V1644" s="85"/>
      <c r="W1644" s="85"/>
      <c r="X1644" s="85"/>
      <c r="Y1644" s="85"/>
      <c r="Z1644" s="85"/>
      <c r="AA1644" s="85"/>
      <c r="AB1644" s="85"/>
      <c r="AC1644" s="85"/>
      <c r="AD1644" s="85"/>
      <c r="AE1644" s="85"/>
      <c r="AF1644" s="85"/>
      <c r="AG1644" s="85"/>
      <c r="AH1644" s="85"/>
      <c r="AI1644" s="85"/>
      <c r="AJ1644" s="85"/>
      <c r="AK1644" s="85"/>
      <c r="AL1644" s="85"/>
      <c r="AM1644" s="85"/>
      <c r="AN1644" s="85"/>
      <c r="AO1644" s="85"/>
      <c r="AP1644" s="85"/>
      <c r="AQ1644" s="93"/>
      <c r="AR1644" s="85"/>
      <c r="AS1644" s="85"/>
      <c r="AT1644" s="85"/>
      <c r="AU1644" s="85"/>
      <c r="AV1644" s="85"/>
      <c r="AW1644" s="85"/>
      <c r="AX1644" s="85"/>
      <c r="AY1644" s="85"/>
      <c r="AZ1644" s="85"/>
      <c r="BA1644" s="85"/>
      <c r="BB1644" s="85"/>
      <c r="BC1644" s="85"/>
      <c r="BD1644" s="85"/>
      <c r="BE1644" s="85"/>
      <c r="BF1644" s="85"/>
      <c r="BG1644" s="85"/>
      <c r="BH1644" s="85"/>
      <c r="BI1644" s="85"/>
      <c r="BJ1644" s="85"/>
      <c r="BK1644" s="85"/>
      <c r="BL1644" s="85"/>
      <c r="BM1644" s="85"/>
      <c r="BN1644" s="85"/>
      <c r="BO1644" s="85"/>
      <c r="BP1644" s="85"/>
      <c r="BQ1644" s="85"/>
      <c r="BR1644" s="85"/>
      <c r="BS1644" s="85"/>
      <c r="BT1644" s="85"/>
      <c r="BU1644" s="85"/>
      <c r="BV1644" s="85"/>
      <c r="BW1644" s="85"/>
      <c r="BX1644" s="85"/>
      <c r="BY1644" s="85"/>
      <c r="BZ1644" s="85"/>
      <c r="CA1644" s="85"/>
      <c r="CB1644" s="85"/>
      <c r="CC1644" s="85"/>
      <c r="CD1644" s="85"/>
      <c r="CE1644" s="85"/>
      <c r="CF1644" s="85"/>
      <c r="CG1644" s="85"/>
      <c r="CH1644" s="85"/>
      <c r="CI1644" s="85"/>
      <c r="CJ1644" s="85"/>
    </row>
    <row r="1645" ht="12.75" customHeight="1">
      <c r="A1645" s="80"/>
      <c r="B1645" s="80"/>
      <c r="C1645" s="80"/>
      <c r="D1645" s="80"/>
      <c r="E1645" s="80"/>
      <c r="F1645" s="80"/>
      <c r="G1645" s="80"/>
      <c r="H1645" s="80"/>
      <c r="I1645" s="80"/>
      <c r="J1645" s="80"/>
      <c r="K1645" s="80"/>
      <c r="L1645" s="80"/>
      <c r="M1645" s="80"/>
      <c r="N1645" s="80"/>
      <c r="O1645" s="80"/>
      <c r="P1645" s="80"/>
      <c r="Q1645" s="80"/>
      <c r="R1645" s="80"/>
      <c r="S1645" s="80"/>
      <c r="T1645" s="80"/>
      <c r="U1645" s="80"/>
      <c r="V1645" s="80"/>
      <c r="W1645" s="80"/>
      <c r="X1645" s="80"/>
      <c r="Y1645" s="80"/>
      <c r="Z1645" s="80"/>
      <c r="AA1645" s="80"/>
      <c r="AB1645" s="80"/>
      <c r="AC1645" s="80"/>
      <c r="AD1645" s="80"/>
      <c r="AE1645" s="80"/>
      <c r="AF1645" s="80"/>
      <c r="AG1645" s="80"/>
      <c r="AH1645" s="80"/>
      <c r="AI1645" s="80"/>
      <c r="AJ1645" s="80"/>
      <c r="AK1645" s="80"/>
      <c r="AL1645" s="80"/>
      <c r="AM1645" s="80"/>
      <c r="AN1645" s="80"/>
      <c r="AO1645" s="80"/>
      <c r="AP1645" s="80"/>
      <c r="AQ1645" s="83"/>
      <c r="AR1645" s="80"/>
      <c r="AS1645" s="80"/>
      <c r="AT1645" s="80"/>
      <c r="AU1645" s="80"/>
      <c r="AV1645" s="80"/>
      <c r="AW1645" s="80"/>
      <c r="AX1645" s="80"/>
      <c r="AY1645" s="80"/>
      <c r="AZ1645" s="80"/>
      <c r="BA1645" s="80"/>
      <c r="BB1645" s="80"/>
      <c r="BC1645" s="80"/>
      <c r="BD1645" s="80"/>
      <c r="BE1645" s="80"/>
      <c r="BF1645" s="80"/>
      <c r="BG1645" s="80"/>
      <c r="BH1645" s="80"/>
      <c r="BI1645" s="80"/>
      <c r="BJ1645" s="80"/>
      <c r="BK1645" s="80"/>
      <c r="BL1645" s="80"/>
      <c r="BM1645" s="80"/>
      <c r="BN1645" s="80"/>
      <c r="BO1645" s="80"/>
      <c r="BP1645" s="80"/>
      <c r="BQ1645" s="80"/>
      <c r="BR1645" s="80"/>
      <c r="BS1645" s="80"/>
      <c r="BT1645" s="80"/>
      <c r="BU1645" s="80"/>
      <c r="BV1645" s="80"/>
      <c r="BW1645" s="80"/>
      <c r="BX1645" s="80"/>
      <c r="BY1645" s="80"/>
      <c r="BZ1645" s="80"/>
      <c r="CA1645" s="80"/>
      <c r="CB1645" s="80"/>
      <c r="CC1645" s="80"/>
      <c r="CD1645" s="80"/>
      <c r="CE1645" s="80"/>
      <c r="CF1645" s="80"/>
      <c r="CG1645" s="80"/>
      <c r="CH1645" s="80"/>
      <c r="CI1645" s="80"/>
      <c r="CJ1645" s="80"/>
    </row>
    <row r="1646" ht="12.75" customHeight="1">
      <c r="A1646" s="85"/>
      <c r="B1646" s="85"/>
      <c r="C1646" s="85"/>
      <c r="D1646" s="85"/>
      <c r="E1646" s="85"/>
      <c r="F1646" s="85"/>
      <c r="G1646" s="85"/>
      <c r="H1646" s="85"/>
      <c r="I1646" s="85"/>
      <c r="J1646" s="85"/>
      <c r="K1646" s="85"/>
      <c r="L1646" s="85"/>
      <c r="M1646" s="85"/>
      <c r="N1646" s="85"/>
      <c r="O1646" s="85"/>
      <c r="P1646" s="85"/>
      <c r="Q1646" s="85"/>
      <c r="R1646" s="85"/>
      <c r="S1646" s="85"/>
      <c r="T1646" s="85"/>
      <c r="U1646" s="85"/>
      <c r="V1646" s="85"/>
      <c r="W1646" s="85"/>
      <c r="X1646" s="85"/>
      <c r="Y1646" s="85"/>
      <c r="Z1646" s="85"/>
      <c r="AA1646" s="85"/>
      <c r="AB1646" s="85"/>
      <c r="AC1646" s="85"/>
      <c r="AD1646" s="85"/>
      <c r="AE1646" s="85"/>
      <c r="AF1646" s="85"/>
      <c r="AG1646" s="85"/>
      <c r="AH1646" s="85"/>
      <c r="AI1646" s="85"/>
      <c r="AJ1646" s="85"/>
      <c r="AK1646" s="85"/>
      <c r="AL1646" s="85"/>
      <c r="AM1646" s="85"/>
      <c r="AN1646" s="85"/>
      <c r="AO1646" s="85"/>
      <c r="AP1646" s="85"/>
      <c r="AQ1646" s="93"/>
      <c r="AR1646" s="85"/>
      <c r="AS1646" s="85"/>
      <c r="AT1646" s="85"/>
      <c r="AU1646" s="85"/>
      <c r="AV1646" s="85"/>
      <c r="AW1646" s="85"/>
      <c r="AX1646" s="85"/>
      <c r="AY1646" s="85"/>
      <c r="AZ1646" s="85"/>
      <c r="BA1646" s="85"/>
      <c r="BB1646" s="85"/>
      <c r="BC1646" s="85"/>
      <c r="BD1646" s="85"/>
      <c r="BE1646" s="85"/>
      <c r="BF1646" s="85"/>
      <c r="BG1646" s="85"/>
      <c r="BH1646" s="85"/>
      <c r="BI1646" s="85"/>
      <c r="BJ1646" s="85"/>
      <c r="BK1646" s="85"/>
      <c r="BL1646" s="85"/>
      <c r="BM1646" s="85"/>
      <c r="BN1646" s="85"/>
      <c r="BO1646" s="85"/>
      <c r="BP1646" s="85"/>
      <c r="BQ1646" s="85"/>
      <c r="BR1646" s="85"/>
      <c r="BS1646" s="85"/>
      <c r="BT1646" s="85"/>
      <c r="BU1646" s="85"/>
      <c r="BV1646" s="85"/>
      <c r="BW1646" s="85"/>
      <c r="BX1646" s="85"/>
      <c r="BY1646" s="85"/>
      <c r="BZ1646" s="85"/>
      <c r="CA1646" s="85"/>
      <c r="CB1646" s="85"/>
      <c r="CC1646" s="85"/>
      <c r="CD1646" s="85"/>
      <c r="CE1646" s="85"/>
      <c r="CF1646" s="85"/>
      <c r="CG1646" s="85"/>
      <c r="CH1646" s="85"/>
      <c r="CI1646" s="85"/>
      <c r="CJ1646" s="85"/>
    </row>
    <row r="1647" ht="12.75" customHeight="1">
      <c r="A1647" s="80"/>
      <c r="B1647" s="80"/>
      <c r="C1647" s="80"/>
      <c r="D1647" s="80"/>
      <c r="E1647" s="80"/>
      <c r="F1647" s="80"/>
      <c r="G1647" s="80"/>
      <c r="H1647" s="80"/>
      <c r="I1647" s="80"/>
      <c r="J1647" s="80"/>
      <c r="K1647" s="80"/>
      <c r="L1647" s="80"/>
      <c r="M1647" s="80"/>
      <c r="N1647" s="80"/>
      <c r="O1647" s="80"/>
      <c r="P1647" s="80"/>
      <c r="Q1647" s="80"/>
      <c r="R1647" s="80"/>
      <c r="S1647" s="80"/>
      <c r="T1647" s="80"/>
      <c r="U1647" s="80"/>
      <c r="V1647" s="80"/>
      <c r="W1647" s="80"/>
      <c r="X1647" s="80"/>
      <c r="Y1647" s="80"/>
      <c r="Z1647" s="80"/>
      <c r="AA1647" s="80"/>
      <c r="AB1647" s="80"/>
      <c r="AC1647" s="80"/>
      <c r="AD1647" s="80"/>
      <c r="AE1647" s="80"/>
      <c r="AF1647" s="80"/>
      <c r="AG1647" s="80"/>
      <c r="AH1647" s="80"/>
      <c r="AI1647" s="80"/>
      <c r="AJ1647" s="80"/>
      <c r="AK1647" s="80"/>
      <c r="AL1647" s="80"/>
      <c r="AM1647" s="80"/>
      <c r="AN1647" s="80"/>
      <c r="AO1647" s="80"/>
      <c r="AP1647" s="80"/>
      <c r="AQ1647" s="83"/>
      <c r="AR1647" s="80"/>
      <c r="AS1647" s="80"/>
      <c r="AT1647" s="80"/>
      <c r="AU1647" s="80"/>
      <c r="AV1647" s="80"/>
      <c r="AW1647" s="80"/>
      <c r="AX1647" s="80"/>
      <c r="AY1647" s="80"/>
      <c r="AZ1647" s="80"/>
      <c r="BA1647" s="80"/>
      <c r="BB1647" s="80"/>
      <c r="BC1647" s="80"/>
      <c r="BD1647" s="80"/>
      <c r="BE1647" s="80"/>
      <c r="BF1647" s="80"/>
      <c r="BG1647" s="80"/>
      <c r="BH1647" s="80"/>
      <c r="BI1647" s="80"/>
      <c r="BJ1647" s="80"/>
      <c r="BK1647" s="80"/>
      <c r="BL1647" s="80"/>
      <c r="BM1647" s="80"/>
      <c r="BN1647" s="80"/>
      <c r="BO1647" s="80"/>
      <c r="BP1647" s="80"/>
      <c r="BQ1647" s="80"/>
      <c r="BR1647" s="80"/>
      <c r="BS1647" s="80"/>
      <c r="BT1647" s="80"/>
      <c r="BU1647" s="80"/>
      <c r="BV1647" s="80"/>
      <c r="BW1647" s="80"/>
      <c r="BX1647" s="80"/>
      <c r="BY1647" s="80"/>
      <c r="BZ1647" s="80"/>
      <c r="CA1647" s="80"/>
      <c r="CB1647" s="80"/>
      <c r="CC1647" s="80"/>
      <c r="CD1647" s="80"/>
      <c r="CE1647" s="80"/>
      <c r="CF1647" s="80"/>
      <c r="CG1647" s="80"/>
      <c r="CH1647" s="80"/>
      <c r="CI1647" s="80"/>
      <c r="CJ1647" s="80"/>
    </row>
    <row r="1648" ht="12.75" customHeight="1">
      <c r="A1648" s="85"/>
      <c r="B1648" s="85"/>
      <c r="C1648" s="85"/>
      <c r="D1648" s="85"/>
      <c r="E1648" s="85"/>
      <c r="F1648" s="85"/>
      <c r="G1648" s="85"/>
      <c r="H1648" s="85"/>
      <c r="I1648" s="85"/>
      <c r="J1648" s="85"/>
      <c r="K1648" s="85"/>
      <c r="L1648" s="85"/>
      <c r="M1648" s="85"/>
      <c r="N1648" s="85"/>
      <c r="O1648" s="85"/>
      <c r="P1648" s="85"/>
      <c r="Q1648" s="85"/>
      <c r="R1648" s="85"/>
      <c r="S1648" s="85"/>
      <c r="T1648" s="85"/>
      <c r="U1648" s="85"/>
      <c r="V1648" s="85"/>
      <c r="W1648" s="85"/>
      <c r="X1648" s="85"/>
      <c r="Y1648" s="85"/>
      <c r="Z1648" s="85"/>
      <c r="AA1648" s="85"/>
      <c r="AB1648" s="85"/>
      <c r="AC1648" s="85"/>
      <c r="AD1648" s="85"/>
      <c r="AE1648" s="85"/>
      <c r="AF1648" s="85"/>
      <c r="AG1648" s="85"/>
      <c r="AH1648" s="85"/>
      <c r="AI1648" s="85"/>
      <c r="AJ1648" s="85"/>
      <c r="AK1648" s="85"/>
      <c r="AL1648" s="85"/>
      <c r="AM1648" s="85"/>
      <c r="AN1648" s="85"/>
      <c r="AO1648" s="85"/>
      <c r="AP1648" s="85"/>
      <c r="AQ1648" s="93"/>
      <c r="AR1648" s="85"/>
      <c r="AS1648" s="85"/>
      <c r="AT1648" s="85"/>
      <c r="AU1648" s="85"/>
      <c r="AV1648" s="85"/>
      <c r="AW1648" s="85"/>
      <c r="AX1648" s="85"/>
      <c r="AY1648" s="85"/>
      <c r="AZ1648" s="85"/>
      <c r="BA1648" s="85"/>
      <c r="BB1648" s="85"/>
      <c r="BC1648" s="85"/>
      <c r="BD1648" s="85"/>
      <c r="BE1648" s="85"/>
      <c r="BF1648" s="85"/>
      <c r="BG1648" s="85"/>
      <c r="BH1648" s="85"/>
      <c r="BI1648" s="85"/>
      <c r="BJ1648" s="85"/>
      <c r="BK1648" s="85"/>
      <c r="BL1648" s="85"/>
      <c r="BM1648" s="85"/>
      <c r="BN1648" s="85"/>
      <c r="BO1648" s="85"/>
      <c r="BP1648" s="85"/>
      <c r="BQ1648" s="85"/>
      <c r="BR1648" s="85"/>
      <c r="BS1648" s="85"/>
      <c r="BT1648" s="85"/>
      <c r="BU1648" s="85"/>
      <c r="BV1648" s="85"/>
      <c r="BW1648" s="85"/>
      <c r="BX1648" s="85"/>
      <c r="BY1648" s="85"/>
      <c r="BZ1648" s="85"/>
      <c r="CA1648" s="85"/>
      <c r="CB1648" s="85"/>
      <c r="CC1648" s="85"/>
      <c r="CD1648" s="85"/>
      <c r="CE1648" s="85"/>
      <c r="CF1648" s="85"/>
      <c r="CG1648" s="85"/>
      <c r="CH1648" s="85"/>
      <c r="CI1648" s="85"/>
      <c r="CJ1648" s="85"/>
    </row>
    <row r="1649" ht="12.75" customHeight="1">
      <c r="A1649" s="80"/>
      <c r="B1649" s="80"/>
      <c r="C1649" s="80"/>
      <c r="D1649" s="80"/>
      <c r="E1649" s="80"/>
      <c r="F1649" s="80"/>
      <c r="G1649" s="80"/>
      <c r="H1649" s="80"/>
      <c r="I1649" s="80"/>
      <c r="J1649" s="80"/>
      <c r="K1649" s="80"/>
      <c r="L1649" s="80"/>
      <c r="M1649" s="80"/>
      <c r="N1649" s="80"/>
      <c r="O1649" s="80"/>
      <c r="P1649" s="80"/>
      <c r="Q1649" s="80"/>
      <c r="R1649" s="80"/>
      <c r="S1649" s="80"/>
      <c r="T1649" s="80"/>
      <c r="U1649" s="80"/>
      <c r="V1649" s="80"/>
      <c r="W1649" s="80"/>
      <c r="X1649" s="80"/>
      <c r="Y1649" s="80"/>
      <c r="Z1649" s="80"/>
      <c r="AA1649" s="80"/>
      <c r="AB1649" s="80"/>
      <c r="AC1649" s="80"/>
      <c r="AD1649" s="80"/>
      <c r="AE1649" s="80"/>
      <c r="AF1649" s="80"/>
      <c r="AG1649" s="80"/>
      <c r="AH1649" s="80"/>
      <c r="AI1649" s="80"/>
      <c r="AJ1649" s="80"/>
      <c r="AK1649" s="80"/>
      <c r="AL1649" s="80"/>
      <c r="AM1649" s="80"/>
      <c r="AN1649" s="80"/>
      <c r="AO1649" s="80"/>
      <c r="AP1649" s="80"/>
      <c r="AQ1649" s="83"/>
      <c r="AR1649" s="80"/>
      <c r="AS1649" s="80"/>
      <c r="AT1649" s="80"/>
      <c r="AU1649" s="80"/>
      <c r="AV1649" s="80"/>
      <c r="AW1649" s="80"/>
      <c r="AX1649" s="80"/>
      <c r="AY1649" s="80"/>
      <c r="AZ1649" s="80"/>
      <c r="BA1649" s="80"/>
      <c r="BB1649" s="80"/>
      <c r="BC1649" s="80"/>
      <c r="BD1649" s="80"/>
      <c r="BE1649" s="80"/>
      <c r="BF1649" s="80"/>
      <c r="BG1649" s="80"/>
      <c r="BH1649" s="80"/>
      <c r="BI1649" s="80"/>
      <c r="BJ1649" s="80"/>
      <c r="BK1649" s="80"/>
      <c r="BL1649" s="80"/>
      <c r="BM1649" s="80"/>
      <c r="BN1649" s="80"/>
      <c r="BO1649" s="80"/>
      <c r="BP1649" s="80"/>
      <c r="BQ1649" s="80"/>
      <c r="BR1649" s="80"/>
      <c r="BS1649" s="80"/>
      <c r="BT1649" s="80"/>
      <c r="BU1649" s="80"/>
      <c r="BV1649" s="80"/>
      <c r="BW1649" s="80"/>
      <c r="BX1649" s="80"/>
      <c r="BY1649" s="80"/>
      <c r="BZ1649" s="80"/>
      <c r="CA1649" s="80"/>
      <c r="CB1649" s="80"/>
      <c r="CC1649" s="80"/>
      <c r="CD1649" s="80"/>
      <c r="CE1649" s="80"/>
      <c r="CF1649" s="80"/>
      <c r="CG1649" s="80"/>
      <c r="CH1649" s="80"/>
      <c r="CI1649" s="80"/>
      <c r="CJ1649" s="80"/>
    </row>
    <row r="1650" ht="12.75" customHeight="1">
      <c r="A1650" s="85"/>
      <c r="B1650" s="85"/>
      <c r="C1650" s="85"/>
      <c r="D1650" s="85"/>
      <c r="E1650" s="85"/>
      <c r="F1650" s="85"/>
      <c r="G1650" s="85"/>
      <c r="H1650" s="85"/>
      <c r="I1650" s="85"/>
      <c r="J1650" s="85"/>
      <c r="K1650" s="85"/>
      <c r="L1650" s="85"/>
      <c r="M1650" s="85"/>
      <c r="N1650" s="85"/>
      <c r="O1650" s="85"/>
      <c r="P1650" s="85"/>
      <c r="Q1650" s="85"/>
      <c r="R1650" s="85"/>
      <c r="S1650" s="85"/>
      <c r="T1650" s="85"/>
      <c r="U1650" s="85"/>
      <c r="V1650" s="85"/>
      <c r="W1650" s="85"/>
      <c r="X1650" s="85"/>
      <c r="Y1650" s="85"/>
      <c r="Z1650" s="85"/>
      <c r="AA1650" s="85"/>
      <c r="AB1650" s="85"/>
      <c r="AC1650" s="85"/>
      <c r="AD1650" s="85"/>
      <c r="AE1650" s="85"/>
      <c r="AF1650" s="85"/>
      <c r="AG1650" s="85"/>
      <c r="AH1650" s="85"/>
      <c r="AI1650" s="85"/>
      <c r="AJ1650" s="85"/>
      <c r="AK1650" s="85"/>
      <c r="AL1650" s="85"/>
      <c r="AM1650" s="85"/>
      <c r="AN1650" s="85"/>
      <c r="AO1650" s="85"/>
      <c r="AP1650" s="85"/>
      <c r="AQ1650" s="93"/>
      <c r="AR1650" s="85"/>
      <c r="AS1650" s="85"/>
      <c r="AT1650" s="85"/>
      <c r="AU1650" s="85"/>
      <c r="AV1650" s="85"/>
      <c r="AW1650" s="85"/>
      <c r="AX1650" s="85"/>
      <c r="AY1650" s="85"/>
      <c r="AZ1650" s="85"/>
      <c r="BA1650" s="85"/>
      <c r="BB1650" s="85"/>
      <c r="BC1650" s="85"/>
      <c r="BD1650" s="85"/>
      <c r="BE1650" s="85"/>
      <c r="BF1650" s="85"/>
      <c r="BG1650" s="85"/>
      <c r="BH1650" s="85"/>
      <c r="BI1650" s="85"/>
      <c r="BJ1650" s="85"/>
      <c r="BK1650" s="85"/>
      <c r="BL1650" s="85"/>
      <c r="BM1650" s="85"/>
      <c r="BN1650" s="85"/>
      <c r="BO1650" s="85"/>
      <c r="BP1650" s="85"/>
      <c r="BQ1650" s="85"/>
      <c r="BR1650" s="85"/>
      <c r="BS1650" s="85"/>
      <c r="BT1650" s="85"/>
      <c r="BU1650" s="85"/>
      <c r="BV1650" s="85"/>
      <c r="BW1650" s="85"/>
      <c r="BX1650" s="85"/>
      <c r="BY1650" s="85"/>
      <c r="BZ1650" s="85"/>
      <c r="CA1650" s="85"/>
      <c r="CB1650" s="85"/>
      <c r="CC1650" s="85"/>
      <c r="CD1650" s="85"/>
      <c r="CE1650" s="85"/>
      <c r="CF1650" s="85"/>
      <c r="CG1650" s="85"/>
      <c r="CH1650" s="85"/>
      <c r="CI1650" s="85"/>
      <c r="CJ1650" s="85"/>
    </row>
    <row r="1651" ht="12.75" customHeight="1">
      <c r="A1651" s="80"/>
      <c r="B1651" s="80"/>
      <c r="C1651" s="80"/>
      <c r="D1651" s="80"/>
      <c r="E1651" s="80"/>
      <c r="F1651" s="80"/>
      <c r="G1651" s="80"/>
      <c r="H1651" s="80"/>
      <c r="I1651" s="80"/>
      <c r="J1651" s="80"/>
      <c r="K1651" s="80"/>
      <c r="L1651" s="80"/>
      <c r="M1651" s="80"/>
      <c r="N1651" s="80"/>
      <c r="O1651" s="80"/>
      <c r="P1651" s="80"/>
      <c r="Q1651" s="80"/>
      <c r="R1651" s="80"/>
      <c r="S1651" s="80"/>
      <c r="T1651" s="80"/>
      <c r="U1651" s="80"/>
      <c r="V1651" s="80"/>
      <c r="W1651" s="80"/>
      <c r="X1651" s="80"/>
      <c r="Y1651" s="80"/>
      <c r="Z1651" s="80"/>
      <c r="AA1651" s="80"/>
      <c r="AB1651" s="80"/>
      <c r="AC1651" s="80"/>
      <c r="AD1651" s="80"/>
      <c r="AE1651" s="80"/>
      <c r="AF1651" s="80"/>
      <c r="AG1651" s="80"/>
      <c r="AH1651" s="80"/>
      <c r="AI1651" s="80"/>
      <c r="AJ1651" s="80"/>
      <c r="AK1651" s="80"/>
      <c r="AL1651" s="80"/>
      <c r="AM1651" s="80"/>
      <c r="AN1651" s="80"/>
      <c r="AO1651" s="80"/>
      <c r="AP1651" s="80"/>
      <c r="AQ1651" s="83"/>
      <c r="AR1651" s="80"/>
      <c r="AS1651" s="80"/>
      <c r="AT1651" s="80"/>
      <c r="AU1651" s="80"/>
      <c r="AV1651" s="80"/>
      <c r="AW1651" s="80"/>
      <c r="AX1651" s="80"/>
      <c r="AY1651" s="80"/>
      <c r="AZ1651" s="80"/>
      <c r="BA1651" s="80"/>
      <c r="BB1651" s="80"/>
      <c r="BC1651" s="80"/>
      <c r="BD1651" s="80"/>
      <c r="BE1651" s="80"/>
      <c r="BF1651" s="80"/>
      <c r="BG1651" s="80"/>
      <c r="BH1651" s="80"/>
      <c r="BI1651" s="80"/>
      <c r="BJ1651" s="80"/>
      <c r="BK1651" s="80"/>
      <c r="BL1651" s="80"/>
      <c r="BM1651" s="80"/>
      <c r="BN1651" s="80"/>
      <c r="BO1651" s="80"/>
      <c r="BP1651" s="80"/>
      <c r="BQ1651" s="80"/>
      <c r="BR1651" s="80"/>
      <c r="BS1651" s="80"/>
      <c r="BT1651" s="80"/>
      <c r="BU1651" s="80"/>
      <c r="BV1651" s="80"/>
      <c r="BW1651" s="80"/>
      <c r="BX1651" s="80"/>
      <c r="BY1651" s="80"/>
      <c r="BZ1651" s="80"/>
      <c r="CA1651" s="80"/>
      <c r="CB1651" s="80"/>
      <c r="CC1651" s="80"/>
      <c r="CD1651" s="80"/>
      <c r="CE1651" s="80"/>
      <c r="CF1651" s="80"/>
      <c r="CG1651" s="80"/>
      <c r="CH1651" s="80"/>
      <c r="CI1651" s="80"/>
      <c r="CJ1651" s="80"/>
    </row>
    <row r="1652" ht="12.75" customHeight="1">
      <c r="A1652" s="85"/>
      <c r="B1652" s="85"/>
      <c r="C1652" s="85"/>
      <c r="D1652" s="85"/>
      <c r="E1652" s="85"/>
      <c r="F1652" s="85"/>
      <c r="G1652" s="85"/>
      <c r="H1652" s="85"/>
      <c r="I1652" s="85"/>
      <c r="J1652" s="85"/>
      <c r="K1652" s="85"/>
      <c r="L1652" s="85"/>
      <c r="M1652" s="85"/>
      <c r="N1652" s="85"/>
      <c r="O1652" s="85"/>
      <c r="P1652" s="85"/>
      <c r="Q1652" s="85"/>
      <c r="R1652" s="85"/>
      <c r="S1652" s="85"/>
      <c r="T1652" s="85"/>
      <c r="U1652" s="85"/>
      <c r="V1652" s="85"/>
      <c r="W1652" s="85"/>
      <c r="X1652" s="85"/>
      <c r="Y1652" s="85"/>
      <c r="Z1652" s="85"/>
      <c r="AA1652" s="85"/>
      <c r="AB1652" s="85"/>
      <c r="AC1652" s="85"/>
      <c r="AD1652" s="85"/>
      <c r="AE1652" s="85"/>
      <c r="AF1652" s="85"/>
      <c r="AG1652" s="85"/>
      <c r="AH1652" s="85"/>
      <c r="AI1652" s="85"/>
      <c r="AJ1652" s="85"/>
      <c r="AK1652" s="85"/>
      <c r="AL1652" s="85"/>
      <c r="AM1652" s="85"/>
      <c r="AN1652" s="85"/>
      <c r="AO1652" s="85"/>
      <c r="AP1652" s="85"/>
      <c r="AQ1652" s="93"/>
      <c r="AR1652" s="85"/>
      <c r="AS1652" s="85"/>
      <c r="AT1652" s="85"/>
      <c r="AU1652" s="85"/>
      <c r="AV1652" s="85"/>
      <c r="AW1652" s="85"/>
      <c r="AX1652" s="85"/>
      <c r="AY1652" s="85"/>
      <c r="AZ1652" s="85"/>
      <c r="BA1652" s="85"/>
      <c r="BB1652" s="85"/>
      <c r="BC1652" s="85"/>
      <c r="BD1652" s="85"/>
      <c r="BE1652" s="85"/>
      <c r="BF1652" s="85"/>
      <c r="BG1652" s="85"/>
      <c r="BH1652" s="85"/>
      <c r="BI1652" s="85"/>
      <c r="BJ1652" s="85"/>
      <c r="BK1652" s="85"/>
      <c r="BL1652" s="85"/>
      <c r="BM1652" s="85"/>
      <c r="BN1652" s="85"/>
      <c r="BO1652" s="85"/>
      <c r="BP1652" s="85"/>
      <c r="BQ1652" s="85"/>
      <c r="BR1652" s="85"/>
      <c r="BS1652" s="85"/>
      <c r="BT1652" s="85"/>
      <c r="BU1652" s="85"/>
      <c r="BV1652" s="85"/>
      <c r="BW1652" s="85"/>
      <c r="BX1652" s="85"/>
      <c r="BY1652" s="85"/>
      <c r="BZ1652" s="85"/>
      <c r="CA1652" s="85"/>
      <c r="CB1652" s="85"/>
      <c r="CC1652" s="85"/>
      <c r="CD1652" s="85"/>
      <c r="CE1652" s="85"/>
      <c r="CF1652" s="85"/>
      <c r="CG1652" s="85"/>
      <c r="CH1652" s="85"/>
      <c r="CI1652" s="85"/>
      <c r="CJ1652" s="85"/>
    </row>
    <row r="1653" ht="12.75" customHeight="1">
      <c r="A1653" s="80"/>
      <c r="B1653" s="80"/>
      <c r="C1653" s="80"/>
      <c r="D1653" s="80"/>
      <c r="E1653" s="80"/>
      <c r="F1653" s="80"/>
      <c r="G1653" s="80"/>
      <c r="H1653" s="80"/>
      <c r="I1653" s="80"/>
      <c r="J1653" s="80"/>
      <c r="K1653" s="80"/>
      <c r="L1653" s="80"/>
      <c r="M1653" s="80"/>
      <c r="N1653" s="80"/>
      <c r="O1653" s="80"/>
      <c r="P1653" s="80"/>
      <c r="Q1653" s="80"/>
      <c r="R1653" s="80"/>
      <c r="S1653" s="80"/>
      <c r="T1653" s="80"/>
      <c r="U1653" s="80"/>
      <c r="V1653" s="80"/>
      <c r="W1653" s="80"/>
      <c r="X1653" s="80"/>
      <c r="Y1653" s="80"/>
      <c r="Z1653" s="80"/>
      <c r="AA1653" s="80"/>
      <c r="AB1653" s="80"/>
      <c r="AC1653" s="80"/>
      <c r="AD1653" s="80"/>
      <c r="AE1653" s="80"/>
      <c r="AF1653" s="80"/>
      <c r="AG1653" s="80"/>
      <c r="AH1653" s="80"/>
      <c r="AI1653" s="80"/>
      <c r="AJ1653" s="80"/>
      <c r="AK1653" s="80"/>
      <c r="AL1653" s="80"/>
      <c r="AM1653" s="80"/>
      <c r="AN1653" s="80"/>
      <c r="AO1653" s="80"/>
      <c r="AP1653" s="80"/>
      <c r="AQ1653" s="83"/>
      <c r="AR1653" s="80"/>
      <c r="AS1653" s="80"/>
      <c r="AT1653" s="80"/>
      <c r="AU1653" s="80"/>
      <c r="AV1653" s="80"/>
      <c r="AW1653" s="80"/>
      <c r="AX1653" s="80"/>
      <c r="AY1653" s="80"/>
      <c r="AZ1653" s="80"/>
      <c r="BA1653" s="80"/>
      <c r="BB1653" s="80"/>
      <c r="BC1653" s="80"/>
      <c r="BD1653" s="80"/>
      <c r="BE1653" s="80"/>
      <c r="BF1653" s="80"/>
      <c r="BG1653" s="80"/>
      <c r="BH1653" s="80"/>
      <c r="BI1653" s="80"/>
      <c r="BJ1653" s="80"/>
      <c r="BK1653" s="80"/>
      <c r="BL1653" s="80"/>
      <c r="BM1653" s="80"/>
      <c r="BN1653" s="80"/>
      <c r="BO1653" s="80"/>
      <c r="BP1653" s="80"/>
      <c r="BQ1653" s="80"/>
      <c r="BR1653" s="80"/>
      <c r="BS1653" s="80"/>
      <c r="BT1653" s="80"/>
      <c r="BU1653" s="80"/>
      <c r="BV1653" s="80"/>
      <c r="BW1653" s="80"/>
      <c r="BX1653" s="80"/>
      <c r="BY1653" s="80"/>
      <c r="BZ1653" s="80"/>
      <c r="CA1653" s="80"/>
      <c r="CB1653" s="80"/>
      <c r="CC1653" s="80"/>
      <c r="CD1653" s="80"/>
      <c r="CE1653" s="80"/>
      <c r="CF1653" s="80"/>
      <c r="CG1653" s="80"/>
      <c r="CH1653" s="80"/>
      <c r="CI1653" s="80"/>
      <c r="CJ1653" s="80"/>
    </row>
    <row r="1654" ht="12.75" customHeight="1">
      <c r="A1654" s="85"/>
      <c r="B1654" s="85"/>
      <c r="C1654" s="85"/>
      <c r="D1654" s="85"/>
      <c r="E1654" s="85"/>
      <c r="F1654" s="85"/>
      <c r="G1654" s="85"/>
      <c r="H1654" s="85"/>
      <c r="I1654" s="85"/>
      <c r="J1654" s="85"/>
      <c r="K1654" s="85"/>
      <c r="L1654" s="85"/>
      <c r="M1654" s="85"/>
      <c r="N1654" s="85"/>
      <c r="O1654" s="85"/>
      <c r="P1654" s="85"/>
      <c r="Q1654" s="85"/>
      <c r="R1654" s="85"/>
      <c r="S1654" s="85"/>
      <c r="T1654" s="85"/>
      <c r="U1654" s="85"/>
      <c r="V1654" s="85"/>
      <c r="W1654" s="85"/>
      <c r="X1654" s="85"/>
      <c r="Y1654" s="85"/>
      <c r="Z1654" s="85"/>
      <c r="AA1654" s="85"/>
      <c r="AB1654" s="85"/>
      <c r="AC1654" s="85"/>
      <c r="AD1654" s="85"/>
      <c r="AE1654" s="85"/>
      <c r="AF1654" s="85"/>
      <c r="AG1654" s="85"/>
      <c r="AH1654" s="85"/>
      <c r="AI1654" s="85"/>
      <c r="AJ1654" s="85"/>
      <c r="AK1654" s="85"/>
      <c r="AL1654" s="85"/>
      <c r="AM1654" s="85"/>
      <c r="AN1654" s="85"/>
      <c r="AO1654" s="85"/>
      <c r="AP1654" s="85"/>
      <c r="AQ1654" s="93"/>
      <c r="AR1654" s="85"/>
      <c r="AS1654" s="85"/>
      <c r="AT1654" s="85"/>
      <c r="AU1654" s="85"/>
      <c r="AV1654" s="85"/>
      <c r="AW1654" s="85"/>
      <c r="AX1654" s="85"/>
      <c r="AY1654" s="85"/>
      <c r="AZ1654" s="85"/>
      <c r="BA1654" s="85"/>
      <c r="BB1654" s="85"/>
      <c r="BC1654" s="85"/>
      <c r="BD1654" s="85"/>
      <c r="BE1654" s="85"/>
      <c r="BF1654" s="85"/>
      <c r="BG1654" s="85"/>
      <c r="BH1654" s="85"/>
      <c r="BI1654" s="85"/>
      <c r="BJ1654" s="85"/>
      <c r="BK1654" s="85"/>
      <c r="BL1654" s="85"/>
      <c r="BM1654" s="85"/>
      <c r="BN1654" s="85"/>
      <c r="BO1654" s="85"/>
      <c r="BP1654" s="85"/>
      <c r="BQ1654" s="85"/>
      <c r="BR1654" s="85"/>
      <c r="BS1654" s="85"/>
      <c r="BT1654" s="85"/>
      <c r="BU1654" s="85"/>
      <c r="BV1654" s="85"/>
      <c r="BW1654" s="85"/>
      <c r="BX1654" s="85"/>
      <c r="BY1654" s="85"/>
      <c r="BZ1654" s="85"/>
      <c r="CA1654" s="85"/>
      <c r="CB1654" s="85"/>
      <c r="CC1654" s="85"/>
      <c r="CD1654" s="85"/>
      <c r="CE1654" s="85"/>
      <c r="CF1654" s="85"/>
      <c r="CG1654" s="85"/>
      <c r="CH1654" s="85"/>
      <c r="CI1654" s="85"/>
      <c r="CJ1654" s="85"/>
    </row>
    <row r="1655" ht="12.75" customHeight="1">
      <c r="A1655" s="80"/>
      <c r="B1655" s="80"/>
      <c r="C1655" s="80"/>
      <c r="D1655" s="80"/>
      <c r="E1655" s="80"/>
      <c r="F1655" s="80"/>
      <c r="G1655" s="80"/>
      <c r="H1655" s="80"/>
      <c r="I1655" s="80"/>
      <c r="J1655" s="80"/>
      <c r="K1655" s="80"/>
      <c r="L1655" s="80"/>
      <c r="M1655" s="80"/>
      <c r="N1655" s="80"/>
      <c r="O1655" s="80"/>
      <c r="P1655" s="80"/>
      <c r="Q1655" s="80"/>
      <c r="R1655" s="80"/>
      <c r="S1655" s="80"/>
      <c r="T1655" s="80"/>
      <c r="U1655" s="80"/>
      <c r="V1655" s="80"/>
      <c r="W1655" s="80"/>
      <c r="X1655" s="80"/>
      <c r="Y1655" s="80"/>
      <c r="Z1655" s="80"/>
      <c r="AA1655" s="80"/>
      <c r="AB1655" s="80"/>
      <c r="AC1655" s="80"/>
      <c r="AD1655" s="80"/>
      <c r="AE1655" s="80"/>
      <c r="AF1655" s="80"/>
      <c r="AG1655" s="80"/>
      <c r="AH1655" s="80"/>
      <c r="AI1655" s="80"/>
      <c r="AJ1655" s="80"/>
      <c r="AK1655" s="80"/>
      <c r="AL1655" s="80"/>
      <c r="AM1655" s="80"/>
      <c r="AN1655" s="80"/>
      <c r="AO1655" s="80"/>
      <c r="AP1655" s="80"/>
      <c r="AQ1655" s="83"/>
      <c r="AR1655" s="80"/>
      <c r="AS1655" s="80"/>
      <c r="AT1655" s="80"/>
      <c r="AU1655" s="80"/>
      <c r="AV1655" s="80"/>
      <c r="AW1655" s="80"/>
      <c r="AX1655" s="80"/>
      <c r="AY1655" s="80"/>
      <c r="AZ1655" s="80"/>
      <c r="BA1655" s="80"/>
      <c r="BB1655" s="80"/>
      <c r="BC1655" s="80"/>
      <c r="BD1655" s="80"/>
      <c r="BE1655" s="80"/>
      <c r="BF1655" s="80"/>
      <c r="BG1655" s="80"/>
      <c r="BH1655" s="80"/>
      <c r="BI1655" s="80"/>
      <c r="BJ1655" s="80"/>
      <c r="BK1655" s="80"/>
      <c r="BL1655" s="80"/>
      <c r="BM1655" s="80"/>
      <c r="BN1655" s="80"/>
      <c r="BO1655" s="80"/>
      <c r="BP1655" s="80"/>
      <c r="BQ1655" s="80"/>
      <c r="BR1655" s="80"/>
      <c r="BS1655" s="80"/>
      <c r="BT1655" s="80"/>
      <c r="BU1655" s="80"/>
      <c r="BV1655" s="80"/>
      <c r="BW1655" s="80"/>
      <c r="BX1655" s="80"/>
      <c r="BY1655" s="80"/>
      <c r="BZ1655" s="80"/>
      <c r="CA1655" s="80"/>
      <c r="CB1655" s="80"/>
      <c r="CC1655" s="80"/>
      <c r="CD1655" s="80"/>
      <c r="CE1655" s="80"/>
      <c r="CF1655" s="80"/>
      <c r="CG1655" s="80"/>
      <c r="CH1655" s="80"/>
      <c r="CI1655" s="80"/>
      <c r="CJ1655" s="80"/>
    </row>
    <row r="1656" ht="12.75" customHeight="1">
      <c r="A1656" s="85"/>
      <c r="B1656" s="85"/>
      <c r="C1656" s="85"/>
      <c r="D1656" s="85"/>
      <c r="E1656" s="85"/>
      <c r="F1656" s="85"/>
      <c r="G1656" s="85"/>
      <c r="H1656" s="85"/>
      <c r="I1656" s="85"/>
      <c r="J1656" s="85"/>
      <c r="K1656" s="85"/>
      <c r="L1656" s="85"/>
      <c r="M1656" s="85"/>
      <c r="N1656" s="85"/>
      <c r="O1656" s="85"/>
      <c r="P1656" s="85"/>
      <c r="Q1656" s="85"/>
      <c r="R1656" s="85"/>
      <c r="S1656" s="85"/>
      <c r="T1656" s="85"/>
      <c r="U1656" s="85"/>
      <c r="V1656" s="85"/>
      <c r="W1656" s="85"/>
      <c r="X1656" s="85"/>
      <c r="Y1656" s="85"/>
      <c r="Z1656" s="85"/>
      <c r="AA1656" s="85"/>
      <c r="AB1656" s="85"/>
      <c r="AC1656" s="85"/>
      <c r="AD1656" s="85"/>
      <c r="AE1656" s="85"/>
      <c r="AF1656" s="85"/>
      <c r="AG1656" s="85"/>
      <c r="AH1656" s="85"/>
      <c r="AI1656" s="85"/>
      <c r="AJ1656" s="85"/>
      <c r="AK1656" s="85"/>
      <c r="AL1656" s="85"/>
      <c r="AM1656" s="85"/>
      <c r="AN1656" s="85"/>
      <c r="AO1656" s="85"/>
      <c r="AP1656" s="85"/>
      <c r="AQ1656" s="93"/>
      <c r="AR1656" s="85"/>
      <c r="AS1656" s="85"/>
      <c r="AT1656" s="85"/>
      <c r="AU1656" s="85"/>
      <c r="AV1656" s="85"/>
      <c r="AW1656" s="85"/>
      <c r="AX1656" s="85"/>
      <c r="AY1656" s="85"/>
      <c r="AZ1656" s="85"/>
      <c r="BA1656" s="85"/>
      <c r="BB1656" s="85"/>
      <c r="BC1656" s="85"/>
      <c r="BD1656" s="85"/>
      <c r="BE1656" s="85"/>
      <c r="BF1656" s="85"/>
      <c r="BG1656" s="85"/>
      <c r="BH1656" s="85"/>
      <c r="BI1656" s="85"/>
      <c r="BJ1656" s="85"/>
      <c r="BK1656" s="85"/>
      <c r="BL1656" s="85"/>
      <c r="BM1656" s="85"/>
      <c r="BN1656" s="85"/>
      <c r="BO1656" s="85"/>
      <c r="BP1656" s="85"/>
      <c r="BQ1656" s="85"/>
      <c r="BR1656" s="85"/>
      <c r="BS1656" s="85"/>
      <c r="BT1656" s="85"/>
      <c r="BU1656" s="85"/>
      <c r="BV1656" s="85"/>
      <c r="BW1656" s="85"/>
      <c r="BX1656" s="85"/>
      <c r="BY1656" s="85"/>
      <c r="BZ1656" s="85"/>
      <c r="CA1656" s="85"/>
      <c r="CB1656" s="85"/>
      <c r="CC1656" s="85"/>
      <c r="CD1656" s="85"/>
      <c r="CE1656" s="85"/>
      <c r="CF1656" s="85"/>
      <c r="CG1656" s="85"/>
      <c r="CH1656" s="85"/>
      <c r="CI1656" s="85"/>
      <c r="CJ1656" s="85"/>
    </row>
    <row r="1657" ht="12.75" customHeight="1">
      <c r="A1657" s="80"/>
      <c r="B1657" s="80"/>
      <c r="C1657" s="80"/>
      <c r="D1657" s="80"/>
      <c r="E1657" s="80"/>
      <c r="F1657" s="80"/>
      <c r="G1657" s="80"/>
      <c r="H1657" s="80"/>
      <c r="I1657" s="80"/>
      <c r="J1657" s="80"/>
      <c r="K1657" s="80"/>
      <c r="L1657" s="80"/>
      <c r="M1657" s="80"/>
      <c r="N1657" s="80"/>
      <c r="O1657" s="80"/>
      <c r="P1657" s="80"/>
      <c r="Q1657" s="80"/>
      <c r="R1657" s="80"/>
      <c r="S1657" s="80"/>
      <c r="T1657" s="80"/>
      <c r="U1657" s="80"/>
      <c r="V1657" s="80"/>
      <c r="W1657" s="80"/>
      <c r="X1657" s="80"/>
      <c r="Y1657" s="80"/>
      <c r="Z1657" s="80"/>
      <c r="AA1657" s="80"/>
      <c r="AB1657" s="80"/>
      <c r="AC1657" s="80"/>
      <c r="AD1657" s="80"/>
      <c r="AE1657" s="80"/>
      <c r="AF1657" s="80"/>
      <c r="AG1657" s="80"/>
      <c r="AH1657" s="80"/>
      <c r="AI1657" s="80"/>
      <c r="AJ1657" s="80"/>
      <c r="AK1657" s="80"/>
      <c r="AL1657" s="80"/>
      <c r="AM1657" s="80"/>
      <c r="AN1657" s="80"/>
      <c r="AO1657" s="80"/>
      <c r="AP1657" s="80"/>
      <c r="AQ1657" s="83"/>
      <c r="AR1657" s="80"/>
      <c r="AS1657" s="80"/>
      <c r="AT1657" s="80"/>
      <c r="AU1657" s="80"/>
      <c r="AV1657" s="80"/>
      <c r="AW1657" s="80"/>
      <c r="AX1657" s="80"/>
      <c r="AY1657" s="80"/>
      <c r="AZ1657" s="80"/>
      <c r="BA1657" s="80"/>
      <c r="BB1657" s="80"/>
      <c r="BC1657" s="80"/>
      <c r="BD1657" s="80"/>
      <c r="BE1657" s="80"/>
      <c r="BF1657" s="80"/>
      <c r="BG1657" s="80"/>
      <c r="BH1657" s="80"/>
      <c r="BI1657" s="80"/>
      <c r="BJ1657" s="80"/>
      <c r="BK1657" s="80"/>
      <c r="BL1657" s="80"/>
      <c r="BM1657" s="80"/>
      <c r="BN1657" s="80"/>
      <c r="BO1657" s="80"/>
      <c r="BP1657" s="80"/>
      <c r="BQ1657" s="80"/>
      <c r="BR1657" s="80"/>
      <c r="BS1657" s="80"/>
      <c r="BT1657" s="80"/>
      <c r="BU1657" s="80"/>
      <c r="BV1657" s="80"/>
      <c r="BW1657" s="80"/>
      <c r="BX1657" s="80"/>
      <c r="BY1657" s="80"/>
      <c r="BZ1657" s="80"/>
      <c r="CA1657" s="80"/>
      <c r="CB1657" s="80"/>
      <c r="CC1657" s="80"/>
      <c r="CD1657" s="80"/>
      <c r="CE1657" s="80"/>
      <c r="CF1657" s="80"/>
      <c r="CG1657" s="80"/>
      <c r="CH1657" s="80"/>
      <c r="CI1657" s="80"/>
      <c r="CJ1657" s="80"/>
    </row>
    <row r="1658" ht="12.75" customHeight="1">
      <c r="A1658" s="85"/>
      <c r="B1658" s="85"/>
      <c r="C1658" s="85"/>
      <c r="D1658" s="85"/>
      <c r="E1658" s="85"/>
      <c r="F1658" s="85"/>
      <c r="G1658" s="85"/>
      <c r="H1658" s="85"/>
      <c r="I1658" s="85"/>
      <c r="J1658" s="85"/>
      <c r="K1658" s="85"/>
      <c r="L1658" s="85"/>
      <c r="M1658" s="85"/>
      <c r="N1658" s="85"/>
      <c r="O1658" s="85"/>
      <c r="P1658" s="85"/>
      <c r="Q1658" s="85"/>
      <c r="R1658" s="85"/>
      <c r="S1658" s="85"/>
      <c r="T1658" s="85"/>
      <c r="U1658" s="85"/>
      <c r="V1658" s="85"/>
      <c r="W1658" s="85"/>
      <c r="X1658" s="85"/>
      <c r="Y1658" s="85"/>
      <c r="Z1658" s="85"/>
      <c r="AA1658" s="85"/>
      <c r="AB1658" s="85"/>
      <c r="AC1658" s="85"/>
      <c r="AD1658" s="85"/>
      <c r="AE1658" s="85"/>
      <c r="AF1658" s="85"/>
      <c r="AG1658" s="85"/>
      <c r="AH1658" s="85"/>
      <c r="AI1658" s="85"/>
      <c r="AJ1658" s="85"/>
      <c r="AK1658" s="85"/>
      <c r="AL1658" s="85"/>
      <c r="AM1658" s="85"/>
      <c r="AN1658" s="85"/>
      <c r="AO1658" s="85"/>
      <c r="AP1658" s="85"/>
      <c r="AQ1658" s="93"/>
      <c r="AR1658" s="85"/>
      <c r="AS1658" s="85"/>
      <c r="AT1658" s="85"/>
      <c r="AU1658" s="85"/>
      <c r="AV1658" s="85"/>
      <c r="AW1658" s="85"/>
      <c r="AX1658" s="85"/>
      <c r="AY1658" s="85"/>
      <c r="AZ1658" s="85"/>
      <c r="BA1658" s="85"/>
      <c r="BB1658" s="85"/>
      <c r="BC1658" s="85"/>
      <c r="BD1658" s="85"/>
      <c r="BE1658" s="85"/>
      <c r="BF1658" s="85"/>
      <c r="BG1658" s="85"/>
      <c r="BH1658" s="85"/>
      <c r="BI1658" s="85"/>
      <c r="BJ1658" s="85"/>
      <c r="BK1658" s="85"/>
      <c r="BL1658" s="85"/>
      <c r="BM1658" s="85"/>
      <c r="BN1658" s="85"/>
      <c r="BO1658" s="85"/>
      <c r="BP1658" s="85"/>
      <c r="BQ1658" s="85"/>
      <c r="BR1658" s="85"/>
      <c r="BS1658" s="85"/>
      <c r="BT1658" s="85"/>
      <c r="BU1658" s="85"/>
      <c r="BV1658" s="85"/>
      <c r="BW1658" s="85"/>
      <c r="BX1658" s="85"/>
      <c r="BY1658" s="85"/>
      <c r="BZ1658" s="85"/>
      <c r="CA1658" s="85"/>
      <c r="CB1658" s="85"/>
      <c r="CC1658" s="85"/>
      <c r="CD1658" s="85"/>
      <c r="CE1658" s="85"/>
      <c r="CF1658" s="85"/>
      <c r="CG1658" s="85"/>
      <c r="CH1658" s="85"/>
      <c r="CI1658" s="85"/>
      <c r="CJ1658" s="85"/>
    </row>
    <row r="1659" ht="12.75" customHeight="1">
      <c r="A1659" s="80"/>
      <c r="B1659" s="80"/>
      <c r="C1659" s="80"/>
      <c r="D1659" s="80"/>
      <c r="E1659" s="80"/>
      <c r="F1659" s="80"/>
      <c r="G1659" s="80"/>
      <c r="H1659" s="80"/>
      <c r="I1659" s="80"/>
      <c r="J1659" s="80"/>
      <c r="K1659" s="80"/>
      <c r="L1659" s="80"/>
      <c r="M1659" s="80"/>
      <c r="N1659" s="80"/>
      <c r="O1659" s="80"/>
      <c r="P1659" s="80"/>
      <c r="Q1659" s="80"/>
      <c r="R1659" s="80"/>
      <c r="S1659" s="80"/>
      <c r="T1659" s="80"/>
      <c r="U1659" s="80"/>
      <c r="V1659" s="80"/>
      <c r="W1659" s="80"/>
      <c r="X1659" s="80"/>
      <c r="Y1659" s="80"/>
      <c r="Z1659" s="80"/>
      <c r="AA1659" s="80"/>
      <c r="AB1659" s="80"/>
      <c r="AC1659" s="80"/>
      <c r="AD1659" s="80"/>
      <c r="AE1659" s="80"/>
      <c r="AF1659" s="80"/>
      <c r="AG1659" s="80"/>
      <c r="AH1659" s="80"/>
      <c r="AI1659" s="80"/>
      <c r="AJ1659" s="80"/>
      <c r="AK1659" s="80"/>
      <c r="AL1659" s="80"/>
      <c r="AM1659" s="80"/>
      <c r="AN1659" s="80"/>
      <c r="AO1659" s="80"/>
      <c r="AP1659" s="80"/>
      <c r="AQ1659" s="83"/>
      <c r="AR1659" s="80"/>
      <c r="AS1659" s="80"/>
      <c r="AT1659" s="80"/>
      <c r="AU1659" s="80"/>
      <c r="AV1659" s="80"/>
      <c r="AW1659" s="80"/>
      <c r="AX1659" s="80"/>
      <c r="AY1659" s="80"/>
      <c r="AZ1659" s="80"/>
      <c r="BA1659" s="80"/>
      <c r="BB1659" s="80"/>
      <c r="BC1659" s="80"/>
      <c r="BD1659" s="80"/>
      <c r="BE1659" s="80"/>
      <c r="BF1659" s="80"/>
      <c r="BG1659" s="80"/>
      <c r="BH1659" s="80"/>
      <c r="BI1659" s="80"/>
      <c r="BJ1659" s="80"/>
      <c r="BK1659" s="80"/>
      <c r="BL1659" s="80"/>
      <c r="BM1659" s="80"/>
      <c r="BN1659" s="80"/>
      <c r="BO1659" s="80"/>
      <c r="BP1659" s="80"/>
      <c r="BQ1659" s="80"/>
      <c r="BR1659" s="80"/>
      <c r="BS1659" s="80"/>
      <c r="BT1659" s="80"/>
      <c r="BU1659" s="80"/>
      <c r="BV1659" s="80"/>
      <c r="BW1659" s="80"/>
      <c r="BX1659" s="80"/>
      <c r="BY1659" s="80"/>
      <c r="BZ1659" s="80"/>
      <c r="CA1659" s="80"/>
      <c r="CB1659" s="80"/>
      <c r="CC1659" s="80"/>
      <c r="CD1659" s="80"/>
      <c r="CE1659" s="80"/>
      <c r="CF1659" s="80"/>
      <c r="CG1659" s="80"/>
      <c r="CH1659" s="80"/>
      <c r="CI1659" s="80"/>
      <c r="CJ1659" s="80"/>
    </row>
    <row r="1660" ht="12.75" customHeight="1">
      <c r="A1660" s="85"/>
      <c r="B1660" s="85"/>
      <c r="C1660" s="85"/>
      <c r="D1660" s="85"/>
      <c r="E1660" s="85"/>
      <c r="F1660" s="85"/>
      <c r="G1660" s="85"/>
      <c r="H1660" s="85"/>
      <c r="I1660" s="85"/>
      <c r="J1660" s="85"/>
      <c r="K1660" s="85"/>
      <c r="L1660" s="85"/>
      <c r="M1660" s="85"/>
      <c r="N1660" s="85"/>
      <c r="O1660" s="85"/>
      <c r="P1660" s="85"/>
      <c r="Q1660" s="85"/>
      <c r="R1660" s="85"/>
      <c r="S1660" s="85"/>
      <c r="T1660" s="85"/>
      <c r="U1660" s="85"/>
      <c r="V1660" s="85"/>
      <c r="W1660" s="85"/>
      <c r="X1660" s="85"/>
      <c r="Y1660" s="85"/>
      <c r="Z1660" s="85"/>
      <c r="AA1660" s="85"/>
      <c r="AB1660" s="85"/>
      <c r="AC1660" s="85"/>
      <c r="AD1660" s="85"/>
      <c r="AE1660" s="85"/>
      <c r="AF1660" s="85"/>
      <c r="AG1660" s="85"/>
      <c r="AH1660" s="85"/>
      <c r="AI1660" s="85"/>
      <c r="AJ1660" s="85"/>
      <c r="AK1660" s="85"/>
      <c r="AL1660" s="85"/>
      <c r="AM1660" s="85"/>
      <c r="AN1660" s="85"/>
      <c r="AO1660" s="85"/>
      <c r="AP1660" s="85"/>
      <c r="AQ1660" s="93"/>
      <c r="AR1660" s="85"/>
      <c r="AS1660" s="85"/>
      <c r="AT1660" s="85"/>
      <c r="AU1660" s="85"/>
      <c r="AV1660" s="85"/>
      <c r="AW1660" s="85"/>
      <c r="AX1660" s="85"/>
      <c r="AY1660" s="85"/>
      <c r="AZ1660" s="85"/>
      <c r="BA1660" s="85"/>
      <c r="BB1660" s="85"/>
      <c r="BC1660" s="85"/>
      <c r="BD1660" s="85"/>
      <c r="BE1660" s="85"/>
      <c r="BF1660" s="85"/>
      <c r="BG1660" s="85"/>
      <c r="BH1660" s="85"/>
      <c r="BI1660" s="85"/>
      <c r="BJ1660" s="85"/>
      <c r="BK1660" s="85"/>
      <c r="BL1660" s="85"/>
      <c r="BM1660" s="85"/>
      <c r="BN1660" s="85"/>
      <c r="BO1660" s="85"/>
      <c r="BP1660" s="85"/>
      <c r="BQ1660" s="85"/>
      <c r="BR1660" s="85"/>
      <c r="BS1660" s="85"/>
      <c r="BT1660" s="85"/>
      <c r="BU1660" s="85"/>
      <c r="BV1660" s="85"/>
      <c r="BW1660" s="85"/>
      <c r="BX1660" s="85"/>
      <c r="BY1660" s="85"/>
      <c r="BZ1660" s="85"/>
      <c r="CA1660" s="85"/>
      <c r="CB1660" s="85"/>
      <c r="CC1660" s="85"/>
      <c r="CD1660" s="85"/>
      <c r="CE1660" s="85"/>
      <c r="CF1660" s="85"/>
      <c r="CG1660" s="85"/>
      <c r="CH1660" s="85"/>
      <c r="CI1660" s="85"/>
      <c r="CJ1660" s="85"/>
    </row>
    <row r="1661" ht="12.75" customHeight="1">
      <c r="A1661" s="80"/>
      <c r="B1661" s="80"/>
      <c r="C1661" s="80"/>
      <c r="D1661" s="80"/>
      <c r="E1661" s="80"/>
      <c r="F1661" s="80"/>
      <c r="G1661" s="80"/>
      <c r="H1661" s="80"/>
      <c r="I1661" s="80"/>
      <c r="J1661" s="80"/>
      <c r="K1661" s="80"/>
      <c r="L1661" s="80"/>
      <c r="M1661" s="80"/>
      <c r="N1661" s="80"/>
      <c r="O1661" s="80"/>
      <c r="P1661" s="80"/>
      <c r="Q1661" s="80"/>
      <c r="R1661" s="80"/>
      <c r="S1661" s="80"/>
      <c r="T1661" s="80"/>
      <c r="U1661" s="80"/>
      <c r="V1661" s="80"/>
      <c r="W1661" s="80"/>
      <c r="X1661" s="80"/>
      <c r="Y1661" s="80"/>
      <c r="Z1661" s="80"/>
      <c r="AA1661" s="80"/>
      <c r="AB1661" s="80"/>
      <c r="AC1661" s="80"/>
      <c r="AD1661" s="80"/>
      <c r="AE1661" s="80"/>
      <c r="AF1661" s="80"/>
      <c r="AG1661" s="80"/>
      <c r="AH1661" s="80"/>
      <c r="AI1661" s="80"/>
      <c r="AJ1661" s="80"/>
      <c r="AK1661" s="80"/>
      <c r="AL1661" s="80"/>
      <c r="AM1661" s="80"/>
      <c r="AN1661" s="80"/>
      <c r="AO1661" s="80"/>
      <c r="AP1661" s="80"/>
      <c r="AQ1661" s="83"/>
      <c r="AR1661" s="80"/>
      <c r="AS1661" s="80"/>
      <c r="AT1661" s="80"/>
      <c r="AU1661" s="80"/>
      <c r="AV1661" s="80"/>
      <c r="AW1661" s="80"/>
      <c r="AX1661" s="80"/>
      <c r="AY1661" s="80"/>
      <c r="AZ1661" s="80"/>
      <c r="BA1661" s="80"/>
      <c r="BB1661" s="80"/>
      <c r="BC1661" s="80"/>
      <c r="BD1661" s="80"/>
      <c r="BE1661" s="80"/>
      <c r="BF1661" s="80"/>
      <c r="BG1661" s="80"/>
      <c r="BH1661" s="80"/>
      <c r="BI1661" s="80"/>
      <c r="BJ1661" s="80"/>
      <c r="BK1661" s="80"/>
      <c r="BL1661" s="80"/>
      <c r="BM1661" s="80"/>
      <c r="BN1661" s="80"/>
      <c r="BO1661" s="80"/>
      <c r="BP1661" s="80"/>
      <c r="BQ1661" s="80"/>
      <c r="BR1661" s="80"/>
      <c r="BS1661" s="80"/>
      <c r="BT1661" s="80"/>
      <c r="BU1661" s="80"/>
      <c r="BV1661" s="80"/>
      <c r="BW1661" s="80"/>
      <c r="BX1661" s="80"/>
      <c r="BY1661" s="80"/>
      <c r="BZ1661" s="80"/>
      <c r="CA1661" s="80"/>
      <c r="CB1661" s="80"/>
      <c r="CC1661" s="80"/>
      <c r="CD1661" s="80"/>
      <c r="CE1661" s="80"/>
      <c r="CF1661" s="80"/>
      <c r="CG1661" s="80"/>
      <c r="CH1661" s="80"/>
      <c r="CI1661" s="80"/>
      <c r="CJ1661" s="80"/>
    </row>
    <row r="1662" ht="12.75" customHeight="1">
      <c r="A1662" s="85"/>
      <c r="B1662" s="85"/>
      <c r="C1662" s="85"/>
      <c r="D1662" s="85"/>
      <c r="E1662" s="85"/>
      <c r="F1662" s="85"/>
      <c r="G1662" s="85"/>
      <c r="H1662" s="85"/>
      <c r="I1662" s="85"/>
      <c r="J1662" s="85"/>
      <c r="K1662" s="85"/>
      <c r="L1662" s="85"/>
      <c r="M1662" s="85"/>
      <c r="N1662" s="85"/>
      <c r="O1662" s="85"/>
      <c r="P1662" s="85"/>
      <c r="Q1662" s="85"/>
      <c r="R1662" s="85"/>
      <c r="S1662" s="85"/>
      <c r="T1662" s="85"/>
      <c r="U1662" s="85"/>
      <c r="V1662" s="85"/>
      <c r="W1662" s="85"/>
      <c r="X1662" s="85"/>
      <c r="Y1662" s="85"/>
      <c r="Z1662" s="85"/>
      <c r="AA1662" s="85"/>
      <c r="AB1662" s="85"/>
      <c r="AC1662" s="85"/>
      <c r="AD1662" s="85"/>
      <c r="AE1662" s="85"/>
      <c r="AF1662" s="85"/>
      <c r="AG1662" s="85"/>
      <c r="AH1662" s="85"/>
      <c r="AI1662" s="85"/>
      <c r="AJ1662" s="85"/>
      <c r="AK1662" s="85"/>
      <c r="AL1662" s="85"/>
      <c r="AM1662" s="85"/>
      <c r="AN1662" s="85"/>
      <c r="AO1662" s="85"/>
      <c r="AP1662" s="85"/>
      <c r="AQ1662" s="93"/>
      <c r="AR1662" s="85"/>
      <c r="AS1662" s="85"/>
      <c r="AT1662" s="85"/>
      <c r="AU1662" s="85"/>
      <c r="AV1662" s="85"/>
      <c r="AW1662" s="85"/>
      <c r="AX1662" s="85"/>
      <c r="AY1662" s="85"/>
      <c r="AZ1662" s="85"/>
      <c r="BA1662" s="85"/>
      <c r="BB1662" s="85"/>
      <c r="BC1662" s="85"/>
      <c r="BD1662" s="85"/>
      <c r="BE1662" s="85"/>
      <c r="BF1662" s="85"/>
      <c r="BG1662" s="85"/>
      <c r="BH1662" s="85"/>
      <c r="BI1662" s="85"/>
      <c r="BJ1662" s="85"/>
      <c r="BK1662" s="85"/>
      <c r="BL1662" s="85"/>
      <c r="BM1662" s="85"/>
      <c r="BN1662" s="85"/>
      <c r="BO1662" s="85"/>
      <c r="BP1662" s="85"/>
      <c r="BQ1662" s="85"/>
      <c r="BR1662" s="85"/>
      <c r="BS1662" s="85"/>
      <c r="BT1662" s="85"/>
      <c r="BU1662" s="85"/>
      <c r="BV1662" s="85"/>
      <c r="BW1662" s="85"/>
      <c r="BX1662" s="85"/>
      <c r="BY1662" s="85"/>
      <c r="BZ1662" s="85"/>
      <c r="CA1662" s="85"/>
      <c r="CB1662" s="85"/>
      <c r="CC1662" s="85"/>
      <c r="CD1662" s="85"/>
      <c r="CE1662" s="85"/>
      <c r="CF1662" s="85"/>
      <c r="CG1662" s="85"/>
      <c r="CH1662" s="85"/>
      <c r="CI1662" s="85"/>
      <c r="CJ1662" s="85"/>
    </row>
    <row r="1663" ht="12.75" customHeight="1">
      <c r="A1663" s="80"/>
      <c r="B1663" s="80"/>
      <c r="C1663" s="80"/>
      <c r="D1663" s="80"/>
      <c r="E1663" s="80"/>
      <c r="F1663" s="80"/>
      <c r="G1663" s="80"/>
      <c r="H1663" s="80"/>
      <c r="I1663" s="80"/>
      <c r="J1663" s="80"/>
      <c r="K1663" s="80"/>
      <c r="L1663" s="80"/>
      <c r="M1663" s="80"/>
      <c r="N1663" s="80"/>
      <c r="O1663" s="80"/>
      <c r="P1663" s="80"/>
      <c r="Q1663" s="80"/>
      <c r="R1663" s="80"/>
      <c r="S1663" s="80"/>
      <c r="T1663" s="80"/>
      <c r="U1663" s="80"/>
      <c r="V1663" s="80"/>
      <c r="W1663" s="80"/>
      <c r="X1663" s="80"/>
      <c r="Y1663" s="80"/>
      <c r="Z1663" s="80"/>
      <c r="AA1663" s="80"/>
      <c r="AB1663" s="80"/>
      <c r="AC1663" s="80"/>
      <c r="AD1663" s="80"/>
      <c r="AE1663" s="80"/>
      <c r="AF1663" s="80"/>
      <c r="AG1663" s="80"/>
      <c r="AH1663" s="80"/>
      <c r="AI1663" s="80"/>
      <c r="AJ1663" s="80"/>
      <c r="AK1663" s="80"/>
      <c r="AL1663" s="80"/>
      <c r="AM1663" s="80"/>
      <c r="AN1663" s="80"/>
      <c r="AO1663" s="80"/>
      <c r="AP1663" s="80"/>
      <c r="AQ1663" s="83"/>
      <c r="AR1663" s="80"/>
      <c r="AS1663" s="80"/>
      <c r="AT1663" s="80"/>
      <c r="AU1663" s="80"/>
      <c r="AV1663" s="80"/>
      <c r="AW1663" s="80"/>
      <c r="AX1663" s="80"/>
      <c r="AY1663" s="80"/>
      <c r="AZ1663" s="80"/>
      <c r="BA1663" s="80"/>
      <c r="BB1663" s="80"/>
      <c r="BC1663" s="80"/>
      <c r="BD1663" s="80"/>
      <c r="BE1663" s="80"/>
      <c r="BF1663" s="80"/>
      <c r="BG1663" s="80"/>
      <c r="BH1663" s="80"/>
      <c r="BI1663" s="80"/>
      <c r="BJ1663" s="80"/>
      <c r="BK1663" s="80"/>
      <c r="BL1663" s="80"/>
      <c r="BM1663" s="80"/>
      <c r="BN1663" s="80"/>
      <c r="BO1663" s="80"/>
      <c r="BP1663" s="80"/>
      <c r="BQ1663" s="80"/>
      <c r="BR1663" s="80"/>
      <c r="BS1663" s="80"/>
      <c r="BT1663" s="80"/>
      <c r="BU1663" s="80"/>
      <c r="BV1663" s="80"/>
      <c r="BW1663" s="80"/>
      <c r="BX1663" s="80"/>
      <c r="BY1663" s="80"/>
      <c r="BZ1663" s="80"/>
      <c r="CA1663" s="80"/>
      <c r="CB1663" s="80"/>
      <c r="CC1663" s="80"/>
      <c r="CD1663" s="80"/>
      <c r="CE1663" s="80"/>
      <c r="CF1663" s="80"/>
      <c r="CG1663" s="80"/>
      <c r="CH1663" s="80"/>
      <c r="CI1663" s="80"/>
      <c r="CJ1663" s="80"/>
    </row>
    <row r="1664" ht="12.75" customHeight="1">
      <c r="A1664" s="85"/>
      <c r="B1664" s="85"/>
      <c r="C1664" s="85"/>
      <c r="D1664" s="85"/>
      <c r="E1664" s="85"/>
      <c r="F1664" s="85"/>
      <c r="G1664" s="85"/>
      <c r="H1664" s="85"/>
      <c r="I1664" s="85"/>
      <c r="J1664" s="85"/>
      <c r="K1664" s="85"/>
      <c r="L1664" s="85"/>
      <c r="M1664" s="85"/>
      <c r="N1664" s="85"/>
      <c r="O1664" s="85"/>
      <c r="P1664" s="85"/>
      <c r="Q1664" s="85"/>
      <c r="R1664" s="85"/>
      <c r="S1664" s="85"/>
      <c r="T1664" s="85"/>
      <c r="U1664" s="85"/>
      <c r="V1664" s="85"/>
      <c r="W1664" s="85"/>
      <c r="X1664" s="85"/>
      <c r="Y1664" s="85"/>
      <c r="Z1664" s="85"/>
      <c r="AA1664" s="85"/>
      <c r="AB1664" s="85"/>
      <c r="AC1664" s="85"/>
      <c r="AD1664" s="85"/>
      <c r="AE1664" s="85"/>
      <c r="AF1664" s="85"/>
      <c r="AG1664" s="85"/>
      <c r="AH1664" s="85"/>
      <c r="AI1664" s="85"/>
      <c r="AJ1664" s="85"/>
      <c r="AK1664" s="85"/>
      <c r="AL1664" s="85"/>
      <c r="AM1664" s="85"/>
      <c r="AN1664" s="85"/>
      <c r="AO1664" s="85"/>
      <c r="AP1664" s="85"/>
      <c r="AQ1664" s="93"/>
      <c r="AR1664" s="85"/>
      <c r="AS1664" s="85"/>
      <c r="AT1664" s="85"/>
      <c r="AU1664" s="85"/>
      <c r="AV1664" s="85"/>
      <c r="AW1664" s="85"/>
      <c r="AX1664" s="85"/>
      <c r="AY1664" s="85"/>
      <c r="AZ1664" s="85"/>
      <c r="BA1664" s="85"/>
      <c r="BB1664" s="85"/>
      <c r="BC1664" s="85"/>
      <c r="BD1664" s="85"/>
      <c r="BE1664" s="85"/>
      <c r="BF1664" s="85"/>
      <c r="BG1664" s="85"/>
      <c r="BH1664" s="85"/>
      <c r="BI1664" s="85"/>
      <c r="BJ1664" s="85"/>
      <c r="BK1664" s="85"/>
      <c r="BL1664" s="85"/>
      <c r="BM1664" s="85"/>
      <c r="BN1664" s="85"/>
      <c r="BO1664" s="85"/>
      <c r="BP1664" s="85"/>
      <c r="BQ1664" s="85"/>
      <c r="BR1664" s="85"/>
      <c r="BS1664" s="85"/>
      <c r="BT1664" s="85"/>
      <c r="BU1664" s="85"/>
      <c r="BV1664" s="85"/>
      <c r="BW1664" s="85"/>
      <c r="BX1664" s="85"/>
      <c r="BY1664" s="85"/>
      <c r="BZ1664" s="85"/>
      <c r="CA1664" s="85"/>
      <c r="CB1664" s="85"/>
      <c r="CC1664" s="85"/>
      <c r="CD1664" s="85"/>
      <c r="CE1664" s="85"/>
      <c r="CF1664" s="85"/>
      <c r="CG1664" s="85"/>
      <c r="CH1664" s="85"/>
      <c r="CI1664" s="85"/>
      <c r="CJ1664" s="85"/>
    </row>
    <row r="1665" ht="12.75" customHeight="1">
      <c r="A1665" s="80"/>
      <c r="B1665" s="80"/>
      <c r="C1665" s="80"/>
      <c r="D1665" s="80"/>
      <c r="E1665" s="80"/>
      <c r="F1665" s="80"/>
      <c r="G1665" s="80"/>
      <c r="H1665" s="80"/>
      <c r="I1665" s="80"/>
      <c r="J1665" s="80"/>
      <c r="K1665" s="80"/>
      <c r="L1665" s="80"/>
      <c r="M1665" s="80"/>
      <c r="N1665" s="80"/>
      <c r="O1665" s="80"/>
      <c r="P1665" s="80"/>
      <c r="Q1665" s="80"/>
      <c r="R1665" s="80"/>
      <c r="S1665" s="80"/>
      <c r="T1665" s="80"/>
      <c r="U1665" s="80"/>
      <c r="V1665" s="80"/>
      <c r="W1665" s="80"/>
      <c r="X1665" s="80"/>
      <c r="Y1665" s="80"/>
      <c r="Z1665" s="80"/>
      <c r="AA1665" s="80"/>
      <c r="AB1665" s="80"/>
      <c r="AC1665" s="80"/>
      <c r="AD1665" s="80"/>
      <c r="AE1665" s="80"/>
      <c r="AF1665" s="80"/>
      <c r="AG1665" s="80"/>
      <c r="AH1665" s="80"/>
      <c r="AI1665" s="80"/>
      <c r="AJ1665" s="80"/>
      <c r="AK1665" s="80"/>
      <c r="AL1665" s="80"/>
      <c r="AM1665" s="80"/>
      <c r="AN1665" s="80"/>
      <c r="AO1665" s="80"/>
      <c r="AP1665" s="80"/>
      <c r="AQ1665" s="83"/>
      <c r="AR1665" s="80"/>
      <c r="AS1665" s="80"/>
      <c r="AT1665" s="80"/>
      <c r="AU1665" s="80"/>
      <c r="AV1665" s="80"/>
      <c r="AW1665" s="80"/>
      <c r="AX1665" s="80"/>
      <c r="AY1665" s="80"/>
      <c r="AZ1665" s="80"/>
      <c r="BA1665" s="80"/>
      <c r="BB1665" s="80"/>
      <c r="BC1665" s="80"/>
      <c r="BD1665" s="80"/>
      <c r="BE1665" s="80"/>
      <c r="BF1665" s="80"/>
      <c r="BG1665" s="80"/>
      <c r="BH1665" s="80"/>
      <c r="BI1665" s="80"/>
      <c r="BJ1665" s="80"/>
      <c r="BK1665" s="80"/>
      <c r="BL1665" s="80"/>
      <c r="BM1665" s="80"/>
      <c r="BN1665" s="80"/>
      <c r="BO1665" s="80"/>
      <c r="BP1665" s="80"/>
      <c r="BQ1665" s="80"/>
      <c r="BR1665" s="80"/>
      <c r="BS1665" s="80"/>
      <c r="BT1665" s="80"/>
      <c r="BU1665" s="80"/>
      <c r="BV1665" s="80"/>
      <c r="BW1665" s="80"/>
      <c r="BX1665" s="80"/>
      <c r="BY1665" s="80"/>
      <c r="BZ1665" s="80"/>
      <c r="CA1665" s="80"/>
      <c r="CB1665" s="80"/>
      <c r="CC1665" s="80"/>
      <c r="CD1665" s="80"/>
      <c r="CE1665" s="80"/>
      <c r="CF1665" s="80"/>
      <c r="CG1665" s="80"/>
      <c r="CH1665" s="80"/>
      <c r="CI1665" s="80"/>
      <c r="CJ1665" s="80"/>
    </row>
    <row r="1666" ht="12.75" customHeight="1">
      <c r="A1666" s="85"/>
      <c r="B1666" s="85"/>
      <c r="C1666" s="85"/>
      <c r="D1666" s="85"/>
      <c r="E1666" s="85"/>
      <c r="F1666" s="85"/>
      <c r="G1666" s="85"/>
      <c r="H1666" s="85"/>
      <c r="I1666" s="85"/>
      <c r="J1666" s="85"/>
      <c r="K1666" s="85"/>
      <c r="L1666" s="85"/>
      <c r="M1666" s="85"/>
      <c r="N1666" s="85"/>
      <c r="O1666" s="85"/>
      <c r="P1666" s="85"/>
      <c r="Q1666" s="85"/>
      <c r="R1666" s="85"/>
      <c r="S1666" s="85"/>
      <c r="T1666" s="85"/>
      <c r="U1666" s="85"/>
      <c r="V1666" s="85"/>
      <c r="W1666" s="85"/>
      <c r="X1666" s="85"/>
      <c r="Y1666" s="85"/>
      <c r="Z1666" s="85"/>
      <c r="AA1666" s="85"/>
      <c r="AB1666" s="85"/>
      <c r="AC1666" s="85"/>
      <c r="AD1666" s="85"/>
      <c r="AE1666" s="85"/>
      <c r="AF1666" s="85"/>
      <c r="AG1666" s="85"/>
      <c r="AH1666" s="85"/>
      <c r="AI1666" s="85"/>
      <c r="AJ1666" s="85"/>
      <c r="AK1666" s="85"/>
      <c r="AL1666" s="85"/>
      <c r="AM1666" s="85"/>
      <c r="AN1666" s="85"/>
      <c r="AO1666" s="85"/>
      <c r="AP1666" s="85"/>
      <c r="AQ1666" s="93"/>
      <c r="AR1666" s="85"/>
      <c r="AS1666" s="85"/>
      <c r="AT1666" s="85"/>
      <c r="AU1666" s="85"/>
      <c r="AV1666" s="85"/>
      <c r="AW1666" s="85"/>
      <c r="AX1666" s="85"/>
      <c r="AY1666" s="85"/>
      <c r="AZ1666" s="85"/>
      <c r="BA1666" s="85"/>
      <c r="BB1666" s="85"/>
      <c r="BC1666" s="85"/>
      <c r="BD1666" s="85"/>
      <c r="BE1666" s="85"/>
      <c r="BF1666" s="85"/>
      <c r="BG1666" s="85"/>
      <c r="BH1666" s="85"/>
      <c r="BI1666" s="85"/>
      <c r="BJ1666" s="85"/>
      <c r="BK1666" s="85"/>
      <c r="BL1666" s="85"/>
      <c r="BM1666" s="85"/>
      <c r="BN1666" s="85"/>
      <c r="BO1666" s="85"/>
      <c r="BP1666" s="85"/>
      <c r="BQ1666" s="85"/>
      <c r="BR1666" s="85"/>
      <c r="BS1666" s="85"/>
      <c r="BT1666" s="85"/>
      <c r="BU1666" s="85"/>
      <c r="BV1666" s="85"/>
      <c r="BW1666" s="85"/>
      <c r="BX1666" s="85"/>
      <c r="BY1666" s="85"/>
      <c r="BZ1666" s="85"/>
      <c r="CA1666" s="85"/>
      <c r="CB1666" s="85"/>
      <c r="CC1666" s="85"/>
      <c r="CD1666" s="85"/>
      <c r="CE1666" s="85"/>
      <c r="CF1666" s="85"/>
      <c r="CG1666" s="85"/>
      <c r="CH1666" s="85"/>
      <c r="CI1666" s="85"/>
      <c r="CJ1666" s="85"/>
    </row>
    <row r="1667" ht="12.75" customHeight="1">
      <c r="A1667" s="80"/>
      <c r="B1667" s="80"/>
      <c r="C1667" s="80"/>
      <c r="D1667" s="80"/>
      <c r="E1667" s="80"/>
      <c r="F1667" s="80"/>
      <c r="G1667" s="80"/>
      <c r="H1667" s="80"/>
      <c r="I1667" s="80"/>
      <c r="J1667" s="80"/>
      <c r="K1667" s="80"/>
      <c r="L1667" s="80"/>
      <c r="M1667" s="80"/>
      <c r="N1667" s="80"/>
      <c r="O1667" s="80"/>
      <c r="P1667" s="80"/>
      <c r="Q1667" s="80"/>
      <c r="R1667" s="80"/>
      <c r="S1667" s="80"/>
      <c r="T1667" s="80"/>
      <c r="U1667" s="80"/>
      <c r="V1667" s="80"/>
      <c r="W1667" s="80"/>
      <c r="X1667" s="80"/>
      <c r="Y1667" s="80"/>
      <c r="Z1667" s="80"/>
      <c r="AA1667" s="80"/>
      <c r="AB1667" s="80"/>
      <c r="AC1667" s="80"/>
      <c r="AD1667" s="80"/>
      <c r="AE1667" s="80"/>
      <c r="AF1667" s="80"/>
      <c r="AG1667" s="80"/>
      <c r="AH1667" s="80"/>
      <c r="AI1667" s="80"/>
      <c r="AJ1667" s="80"/>
      <c r="AK1667" s="80"/>
      <c r="AL1667" s="80"/>
      <c r="AM1667" s="80"/>
      <c r="AN1667" s="80"/>
      <c r="AO1667" s="80"/>
      <c r="AP1667" s="80"/>
      <c r="AQ1667" s="83"/>
      <c r="AR1667" s="80"/>
      <c r="AS1667" s="80"/>
      <c r="AT1667" s="80"/>
      <c r="AU1667" s="80"/>
      <c r="AV1667" s="80"/>
      <c r="AW1667" s="80"/>
      <c r="AX1667" s="80"/>
      <c r="AY1667" s="80"/>
      <c r="AZ1667" s="80"/>
      <c r="BA1667" s="80"/>
      <c r="BB1667" s="80"/>
      <c r="BC1667" s="80"/>
      <c r="BD1667" s="80"/>
      <c r="BE1667" s="80"/>
      <c r="BF1667" s="80"/>
      <c r="BG1667" s="80"/>
      <c r="BH1667" s="80"/>
      <c r="BI1667" s="80"/>
      <c r="BJ1667" s="80"/>
      <c r="BK1667" s="80"/>
      <c r="BL1667" s="80"/>
      <c r="BM1667" s="80"/>
      <c r="BN1667" s="80"/>
      <c r="BO1667" s="80"/>
      <c r="BP1667" s="80"/>
      <c r="BQ1667" s="80"/>
      <c r="BR1667" s="80"/>
      <c r="BS1667" s="80"/>
      <c r="BT1667" s="80"/>
      <c r="BU1667" s="80"/>
      <c r="BV1667" s="80"/>
      <c r="BW1667" s="80"/>
      <c r="BX1667" s="80"/>
      <c r="BY1667" s="80"/>
      <c r="BZ1667" s="80"/>
      <c r="CA1667" s="80"/>
      <c r="CB1667" s="80"/>
      <c r="CC1667" s="80"/>
      <c r="CD1667" s="80"/>
      <c r="CE1667" s="80"/>
      <c r="CF1667" s="80"/>
      <c r="CG1667" s="80"/>
      <c r="CH1667" s="80"/>
      <c r="CI1667" s="80"/>
      <c r="CJ1667" s="80"/>
    </row>
    <row r="1668" ht="12.75" customHeight="1">
      <c r="A1668" s="85"/>
      <c r="B1668" s="85"/>
      <c r="C1668" s="85"/>
      <c r="D1668" s="85"/>
      <c r="E1668" s="85"/>
      <c r="F1668" s="85"/>
      <c r="G1668" s="85"/>
      <c r="H1668" s="85"/>
      <c r="I1668" s="85"/>
      <c r="J1668" s="85"/>
      <c r="K1668" s="85"/>
      <c r="L1668" s="85"/>
      <c r="M1668" s="85"/>
      <c r="N1668" s="85"/>
      <c r="O1668" s="85"/>
      <c r="P1668" s="85"/>
      <c r="Q1668" s="85"/>
      <c r="R1668" s="85"/>
      <c r="S1668" s="85"/>
      <c r="T1668" s="85"/>
      <c r="U1668" s="85"/>
      <c r="V1668" s="85"/>
      <c r="W1668" s="85"/>
      <c r="X1668" s="85"/>
      <c r="Y1668" s="85"/>
      <c r="Z1668" s="85"/>
      <c r="AA1668" s="85"/>
      <c r="AB1668" s="85"/>
      <c r="AC1668" s="85"/>
      <c r="AD1668" s="85"/>
      <c r="AE1668" s="85"/>
      <c r="AF1668" s="85"/>
      <c r="AG1668" s="85"/>
      <c r="AH1668" s="85"/>
      <c r="AI1668" s="85"/>
      <c r="AJ1668" s="85"/>
      <c r="AK1668" s="85"/>
      <c r="AL1668" s="85"/>
      <c r="AM1668" s="85"/>
      <c r="AN1668" s="85"/>
      <c r="AO1668" s="85"/>
      <c r="AP1668" s="85"/>
      <c r="AQ1668" s="93"/>
      <c r="AR1668" s="85"/>
      <c r="AS1668" s="85"/>
      <c r="AT1668" s="85"/>
      <c r="AU1668" s="85"/>
      <c r="AV1668" s="85"/>
      <c r="AW1668" s="85"/>
      <c r="AX1668" s="85"/>
      <c r="AY1668" s="85"/>
      <c r="AZ1668" s="85"/>
      <c r="BA1668" s="85"/>
      <c r="BB1668" s="85"/>
      <c r="BC1668" s="85"/>
      <c r="BD1668" s="85"/>
      <c r="BE1668" s="85"/>
      <c r="BF1668" s="85"/>
      <c r="BG1668" s="85"/>
      <c r="BH1668" s="85"/>
      <c r="BI1668" s="85"/>
      <c r="BJ1668" s="85"/>
      <c r="BK1668" s="85"/>
      <c r="BL1668" s="85"/>
      <c r="BM1668" s="85"/>
      <c r="BN1668" s="85"/>
      <c r="BO1668" s="85"/>
      <c r="BP1668" s="85"/>
      <c r="BQ1668" s="85"/>
      <c r="BR1668" s="85"/>
      <c r="BS1668" s="85"/>
      <c r="BT1668" s="85"/>
      <c r="BU1668" s="85"/>
      <c r="BV1668" s="85"/>
      <c r="BW1668" s="85"/>
      <c r="BX1668" s="85"/>
      <c r="BY1668" s="85"/>
      <c r="BZ1668" s="85"/>
      <c r="CA1668" s="85"/>
      <c r="CB1668" s="85"/>
      <c r="CC1668" s="85"/>
      <c r="CD1668" s="85"/>
      <c r="CE1668" s="85"/>
      <c r="CF1668" s="85"/>
      <c r="CG1668" s="85"/>
      <c r="CH1668" s="85"/>
      <c r="CI1668" s="85"/>
      <c r="CJ1668" s="85"/>
    </row>
    <row r="1669" ht="12.75" customHeight="1">
      <c r="A1669" s="80"/>
      <c r="B1669" s="80"/>
      <c r="C1669" s="80"/>
      <c r="D1669" s="80"/>
      <c r="E1669" s="80"/>
      <c r="F1669" s="80"/>
      <c r="G1669" s="80"/>
      <c r="H1669" s="80"/>
      <c r="I1669" s="80"/>
      <c r="J1669" s="80"/>
      <c r="K1669" s="80"/>
      <c r="L1669" s="80"/>
      <c r="M1669" s="80"/>
      <c r="N1669" s="80"/>
      <c r="O1669" s="80"/>
      <c r="P1669" s="80"/>
      <c r="Q1669" s="80"/>
      <c r="R1669" s="80"/>
      <c r="S1669" s="80"/>
      <c r="T1669" s="80"/>
      <c r="U1669" s="80"/>
      <c r="V1669" s="80"/>
      <c r="W1669" s="80"/>
      <c r="X1669" s="80"/>
      <c r="Y1669" s="80"/>
      <c r="Z1669" s="80"/>
      <c r="AA1669" s="80"/>
      <c r="AB1669" s="80"/>
      <c r="AC1669" s="80"/>
      <c r="AD1669" s="80"/>
      <c r="AE1669" s="80"/>
      <c r="AF1669" s="80"/>
      <c r="AG1669" s="80"/>
      <c r="AH1669" s="80"/>
      <c r="AI1669" s="80"/>
      <c r="AJ1669" s="80"/>
      <c r="AK1669" s="80"/>
      <c r="AL1669" s="80"/>
      <c r="AM1669" s="80"/>
      <c r="AN1669" s="80"/>
      <c r="AO1669" s="80"/>
      <c r="AP1669" s="80"/>
      <c r="AQ1669" s="83"/>
      <c r="AR1669" s="80"/>
      <c r="AS1669" s="80"/>
      <c r="AT1669" s="80"/>
      <c r="AU1669" s="80"/>
      <c r="AV1669" s="80"/>
      <c r="AW1669" s="80"/>
      <c r="AX1669" s="80"/>
      <c r="AY1669" s="80"/>
      <c r="AZ1669" s="80"/>
      <c r="BA1669" s="80"/>
      <c r="BB1669" s="80"/>
      <c r="BC1669" s="80"/>
      <c r="BD1669" s="80"/>
      <c r="BE1669" s="80"/>
      <c r="BF1669" s="80"/>
      <c r="BG1669" s="80"/>
      <c r="BH1669" s="80"/>
      <c r="BI1669" s="80"/>
      <c r="BJ1669" s="80"/>
      <c r="BK1669" s="80"/>
      <c r="BL1669" s="80"/>
      <c r="BM1669" s="80"/>
      <c r="BN1669" s="80"/>
      <c r="BO1669" s="80"/>
      <c r="BP1669" s="80"/>
      <c r="BQ1669" s="80"/>
      <c r="BR1669" s="80"/>
      <c r="BS1669" s="80"/>
      <c r="BT1669" s="80"/>
      <c r="BU1669" s="80"/>
      <c r="BV1669" s="80"/>
      <c r="BW1669" s="80"/>
      <c r="BX1669" s="80"/>
      <c r="BY1669" s="80"/>
      <c r="BZ1669" s="80"/>
      <c r="CA1669" s="80"/>
      <c r="CB1669" s="80"/>
      <c r="CC1669" s="80"/>
      <c r="CD1669" s="80"/>
      <c r="CE1669" s="80"/>
      <c r="CF1669" s="80"/>
      <c r="CG1669" s="80"/>
      <c r="CH1669" s="80"/>
      <c r="CI1669" s="80"/>
      <c r="CJ1669" s="80"/>
    </row>
    <row r="1670" ht="12.75" customHeight="1">
      <c r="A1670" s="85"/>
      <c r="B1670" s="85"/>
      <c r="C1670" s="85"/>
      <c r="D1670" s="85"/>
      <c r="E1670" s="85"/>
      <c r="F1670" s="85"/>
      <c r="G1670" s="85"/>
      <c r="H1670" s="85"/>
      <c r="I1670" s="85"/>
      <c r="J1670" s="85"/>
      <c r="K1670" s="85"/>
      <c r="L1670" s="85"/>
      <c r="M1670" s="85"/>
      <c r="N1670" s="85"/>
      <c r="O1670" s="85"/>
      <c r="P1670" s="85"/>
      <c r="Q1670" s="85"/>
      <c r="R1670" s="85"/>
      <c r="S1670" s="85"/>
      <c r="T1670" s="85"/>
      <c r="U1670" s="85"/>
      <c r="V1670" s="85"/>
      <c r="W1670" s="85"/>
      <c r="X1670" s="85"/>
      <c r="Y1670" s="85"/>
      <c r="Z1670" s="85"/>
      <c r="AA1670" s="85"/>
      <c r="AB1670" s="85"/>
      <c r="AC1670" s="85"/>
      <c r="AD1670" s="85"/>
      <c r="AE1670" s="85"/>
      <c r="AF1670" s="85"/>
      <c r="AG1670" s="85"/>
      <c r="AH1670" s="85"/>
      <c r="AI1670" s="85"/>
      <c r="AJ1670" s="85"/>
      <c r="AK1670" s="85"/>
      <c r="AL1670" s="85"/>
      <c r="AM1670" s="85"/>
      <c r="AN1670" s="85"/>
      <c r="AO1670" s="85"/>
      <c r="AP1670" s="85"/>
      <c r="AQ1670" s="93"/>
      <c r="AR1670" s="85"/>
      <c r="AS1670" s="85"/>
      <c r="AT1670" s="85"/>
      <c r="AU1670" s="85"/>
      <c r="AV1670" s="85"/>
      <c r="AW1670" s="85"/>
      <c r="AX1670" s="85"/>
      <c r="AY1670" s="85"/>
      <c r="AZ1670" s="85"/>
      <c r="BA1670" s="85"/>
      <c r="BB1670" s="85"/>
      <c r="BC1670" s="85"/>
      <c r="BD1670" s="85"/>
      <c r="BE1670" s="85"/>
      <c r="BF1670" s="85"/>
      <c r="BG1670" s="85"/>
      <c r="BH1670" s="85"/>
      <c r="BI1670" s="85"/>
      <c r="BJ1670" s="85"/>
      <c r="BK1670" s="85"/>
      <c r="BL1670" s="85"/>
      <c r="BM1670" s="85"/>
      <c r="BN1670" s="85"/>
      <c r="BO1670" s="85"/>
      <c r="BP1670" s="85"/>
      <c r="BQ1670" s="85"/>
      <c r="BR1670" s="85"/>
      <c r="BS1670" s="85"/>
      <c r="BT1670" s="85"/>
      <c r="BU1670" s="85"/>
      <c r="BV1670" s="85"/>
      <c r="BW1670" s="85"/>
      <c r="BX1670" s="85"/>
      <c r="BY1670" s="85"/>
      <c r="BZ1670" s="85"/>
      <c r="CA1670" s="85"/>
      <c r="CB1670" s="85"/>
      <c r="CC1670" s="85"/>
      <c r="CD1670" s="85"/>
      <c r="CE1670" s="85"/>
      <c r="CF1670" s="85"/>
      <c r="CG1670" s="85"/>
      <c r="CH1670" s="85"/>
      <c r="CI1670" s="85"/>
      <c r="CJ1670" s="85"/>
    </row>
    <row r="1671" ht="12.75" customHeight="1">
      <c r="A1671" s="80"/>
      <c r="B1671" s="80"/>
      <c r="C1671" s="80"/>
      <c r="D1671" s="80"/>
      <c r="E1671" s="80"/>
      <c r="F1671" s="80"/>
      <c r="G1671" s="80"/>
      <c r="H1671" s="80"/>
      <c r="I1671" s="80"/>
      <c r="J1671" s="80"/>
      <c r="K1671" s="80"/>
      <c r="L1671" s="80"/>
      <c r="M1671" s="80"/>
      <c r="N1671" s="80"/>
      <c r="O1671" s="80"/>
      <c r="P1671" s="80"/>
      <c r="Q1671" s="80"/>
      <c r="R1671" s="80"/>
      <c r="S1671" s="80"/>
      <c r="T1671" s="80"/>
      <c r="U1671" s="80"/>
      <c r="V1671" s="80"/>
      <c r="W1671" s="80"/>
      <c r="X1671" s="80"/>
      <c r="Y1671" s="80"/>
      <c r="Z1671" s="80"/>
      <c r="AA1671" s="80"/>
      <c r="AB1671" s="80"/>
      <c r="AC1671" s="80"/>
      <c r="AD1671" s="80"/>
      <c r="AE1671" s="80"/>
      <c r="AF1671" s="80"/>
      <c r="AG1671" s="80"/>
      <c r="AH1671" s="80"/>
      <c r="AI1671" s="80"/>
      <c r="AJ1671" s="80"/>
      <c r="AK1671" s="80"/>
      <c r="AL1671" s="80"/>
      <c r="AM1671" s="80"/>
      <c r="AN1671" s="80"/>
      <c r="AO1671" s="80"/>
      <c r="AP1671" s="80"/>
      <c r="AQ1671" s="83"/>
      <c r="AR1671" s="80"/>
      <c r="AS1671" s="80"/>
      <c r="AT1671" s="80"/>
      <c r="AU1671" s="80"/>
      <c r="AV1671" s="80"/>
      <c r="AW1671" s="80"/>
      <c r="AX1671" s="80"/>
      <c r="AY1671" s="80"/>
      <c r="AZ1671" s="80"/>
      <c r="BA1671" s="80"/>
      <c r="BB1671" s="80"/>
      <c r="BC1671" s="80"/>
      <c r="BD1671" s="80"/>
      <c r="BE1671" s="80"/>
      <c r="BF1671" s="80"/>
      <c r="BG1671" s="80"/>
      <c r="BH1671" s="80"/>
      <c r="BI1671" s="80"/>
      <c r="BJ1671" s="80"/>
      <c r="BK1671" s="80"/>
      <c r="BL1671" s="80"/>
      <c r="BM1671" s="80"/>
      <c r="BN1671" s="80"/>
      <c r="BO1671" s="80"/>
      <c r="BP1671" s="80"/>
      <c r="BQ1671" s="80"/>
      <c r="BR1671" s="80"/>
      <c r="BS1671" s="80"/>
      <c r="BT1671" s="80"/>
      <c r="BU1671" s="80"/>
      <c r="BV1671" s="80"/>
      <c r="BW1671" s="80"/>
      <c r="BX1671" s="80"/>
      <c r="BY1671" s="80"/>
      <c r="BZ1671" s="80"/>
      <c r="CA1671" s="80"/>
      <c r="CB1671" s="80"/>
      <c r="CC1671" s="80"/>
      <c r="CD1671" s="80"/>
      <c r="CE1671" s="80"/>
      <c r="CF1671" s="80"/>
      <c r="CG1671" s="80"/>
      <c r="CH1671" s="80"/>
      <c r="CI1671" s="80"/>
      <c r="CJ1671" s="80"/>
    </row>
    <row r="1672" ht="12.75" customHeight="1">
      <c r="A1672" s="85"/>
      <c r="B1672" s="85"/>
      <c r="C1672" s="85"/>
      <c r="D1672" s="85"/>
      <c r="E1672" s="85"/>
      <c r="F1672" s="85"/>
      <c r="G1672" s="85"/>
      <c r="H1672" s="85"/>
      <c r="I1672" s="85"/>
      <c r="J1672" s="85"/>
      <c r="K1672" s="85"/>
      <c r="L1672" s="85"/>
      <c r="M1672" s="85"/>
      <c r="N1672" s="85"/>
      <c r="O1672" s="85"/>
      <c r="P1672" s="85"/>
      <c r="Q1672" s="85"/>
      <c r="R1672" s="85"/>
      <c r="S1672" s="85"/>
      <c r="T1672" s="85"/>
      <c r="U1672" s="85"/>
      <c r="V1672" s="85"/>
      <c r="W1672" s="85"/>
      <c r="X1672" s="85"/>
      <c r="Y1672" s="85"/>
      <c r="Z1672" s="85"/>
      <c r="AA1672" s="85"/>
      <c r="AB1672" s="85"/>
      <c r="AC1672" s="85"/>
      <c r="AD1672" s="85"/>
      <c r="AE1672" s="85"/>
      <c r="AF1672" s="85"/>
      <c r="AG1672" s="85"/>
      <c r="AH1672" s="85"/>
      <c r="AI1672" s="85"/>
      <c r="AJ1672" s="85"/>
      <c r="AK1672" s="85"/>
      <c r="AL1672" s="85"/>
      <c r="AM1672" s="85"/>
      <c r="AN1672" s="85"/>
      <c r="AO1672" s="85"/>
      <c r="AP1672" s="85"/>
      <c r="AQ1672" s="93"/>
      <c r="AR1672" s="85"/>
      <c r="AS1672" s="85"/>
      <c r="AT1672" s="85"/>
      <c r="AU1672" s="85"/>
      <c r="AV1672" s="85"/>
      <c r="AW1672" s="85"/>
      <c r="AX1672" s="85"/>
      <c r="AY1672" s="85"/>
      <c r="AZ1672" s="85"/>
      <c r="BA1672" s="85"/>
      <c r="BB1672" s="85"/>
      <c r="BC1672" s="85"/>
      <c r="BD1672" s="85"/>
      <c r="BE1672" s="85"/>
      <c r="BF1672" s="85"/>
      <c r="BG1672" s="85"/>
      <c r="BH1672" s="85"/>
      <c r="BI1672" s="85"/>
      <c r="BJ1672" s="85"/>
      <c r="BK1672" s="85"/>
      <c r="BL1672" s="85"/>
      <c r="BM1672" s="85"/>
      <c r="BN1672" s="85"/>
      <c r="BO1672" s="85"/>
      <c r="BP1672" s="85"/>
      <c r="BQ1672" s="85"/>
      <c r="BR1672" s="85"/>
      <c r="BS1672" s="85"/>
      <c r="BT1672" s="85"/>
      <c r="BU1672" s="85"/>
      <c r="BV1672" s="85"/>
      <c r="BW1672" s="85"/>
      <c r="BX1672" s="85"/>
      <c r="BY1672" s="85"/>
      <c r="BZ1672" s="85"/>
      <c r="CA1672" s="85"/>
      <c r="CB1672" s="85"/>
      <c r="CC1672" s="85"/>
      <c r="CD1672" s="85"/>
      <c r="CE1672" s="85"/>
      <c r="CF1672" s="85"/>
      <c r="CG1672" s="85"/>
      <c r="CH1672" s="85"/>
      <c r="CI1672" s="85"/>
      <c r="CJ1672" s="85"/>
    </row>
    <row r="1673" ht="12.75" customHeight="1">
      <c r="A1673" s="80"/>
      <c r="B1673" s="80"/>
      <c r="C1673" s="80"/>
      <c r="D1673" s="80"/>
      <c r="E1673" s="80"/>
      <c r="F1673" s="80"/>
      <c r="G1673" s="80"/>
      <c r="H1673" s="80"/>
      <c r="I1673" s="80"/>
      <c r="J1673" s="80"/>
      <c r="K1673" s="80"/>
      <c r="L1673" s="80"/>
      <c r="M1673" s="80"/>
      <c r="N1673" s="80"/>
      <c r="O1673" s="80"/>
      <c r="P1673" s="80"/>
      <c r="Q1673" s="80"/>
      <c r="R1673" s="80"/>
      <c r="S1673" s="80"/>
      <c r="T1673" s="80"/>
      <c r="U1673" s="80"/>
      <c r="V1673" s="80"/>
      <c r="W1673" s="80"/>
      <c r="X1673" s="80"/>
      <c r="Y1673" s="80"/>
      <c r="Z1673" s="80"/>
      <c r="AA1673" s="80"/>
      <c r="AB1673" s="80"/>
      <c r="AC1673" s="80"/>
      <c r="AD1673" s="80"/>
      <c r="AE1673" s="80"/>
      <c r="AF1673" s="80"/>
      <c r="AG1673" s="80"/>
      <c r="AH1673" s="80"/>
      <c r="AI1673" s="80"/>
      <c r="AJ1673" s="80"/>
      <c r="AK1673" s="80"/>
      <c r="AL1673" s="80"/>
      <c r="AM1673" s="80"/>
      <c r="AN1673" s="80"/>
      <c r="AO1673" s="80"/>
      <c r="AP1673" s="80"/>
      <c r="AQ1673" s="83"/>
      <c r="AR1673" s="80"/>
      <c r="AS1673" s="80"/>
      <c r="AT1673" s="80"/>
      <c r="AU1673" s="80"/>
      <c r="AV1673" s="80"/>
      <c r="AW1673" s="80"/>
      <c r="AX1673" s="80"/>
      <c r="AY1673" s="80"/>
      <c r="AZ1673" s="80"/>
      <c r="BA1673" s="80"/>
      <c r="BB1673" s="80"/>
      <c r="BC1673" s="80"/>
      <c r="BD1673" s="80"/>
      <c r="BE1673" s="80"/>
      <c r="BF1673" s="80"/>
      <c r="BG1673" s="80"/>
      <c r="BH1673" s="80"/>
      <c r="BI1673" s="80"/>
      <c r="BJ1673" s="80"/>
      <c r="BK1673" s="80"/>
      <c r="BL1673" s="80"/>
      <c r="BM1673" s="80"/>
      <c r="BN1673" s="80"/>
      <c r="BO1673" s="80"/>
      <c r="BP1673" s="80"/>
      <c r="BQ1673" s="80"/>
      <c r="BR1673" s="80"/>
      <c r="BS1673" s="80"/>
      <c r="BT1673" s="80"/>
      <c r="BU1673" s="80"/>
      <c r="BV1673" s="80"/>
      <c r="BW1673" s="80"/>
      <c r="BX1673" s="80"/>
      <c r="BY1673" s="80"/>
      <c r="BZ1673" s="80"/>
      <c r="CA1673" s="80"/>
      <c r="CB1673" s="80"/>
      <c r="CC1673" s="80"/>
      <c r="CD1673" s="80"/>
      <c r="CE1673" s="80"/>
      <c r="CF1673" s="80"/>
      <c r="CG1673" s="80"/>
      <c r="CH1673" s="80"/>
      <c r="CI1673" s="80"/>
      <c r="CJ1673" s="80"/>
    </row>
    <row r="1674" ht="12.75" customHeight="1">
      <c r="A1674" s="85"/>
      <c r="B1674" s="85"/>
      <c r="C1674" s="85"/>
      <c r="D1674" s="85"/>
      <c r="E1674" s="85"/>
      <c r="F1674" s="85"/>
      <c r="G1674" s="85"/>
      <c r="H1674" s="85"/>
      <c r="I1674" s="85"/>
      <c r="J1674" s="85"/>
      <c r="K1674" s="85"/>
      <c r="L1674" s="85"/>
      <c r="M1674" s="85"/>
      <c r="N1674" s="85"/>
      <c r="O1674" s="85"/>
      <c r="P1674" s="85"/>
      <c r="Q1674" s="85"/>
      <c r="R1674" s="85"/>
      <c r="S1674" s="85"/>
      <c r="T1674" s="85"/>
      <c r="U1674" s="85"/>
      <c r="V1674" s="85"/>
      <c r="W1674" s="85"/>
      <c r="X1674" s="85"/>
      <c r="Y1674" s="85"/>
      <c r="Z1674" s="85"/>
      <c r="AA1674" s="85"/>
      <c r="AB1674" s="85"/>
      <c r="AC1674" s="85"/>
      <c r="AD1674" s="85"/>
      <c r="AE1674" s="85"/>
      <c r="AF1674" s="85"/>
      <c r="AG1674" s="85"/>
      <c r="AH1674" s="85"/>
      <c r="AI1674" s="85"/>
      <c r="AJ1674" s="85"/>
      <c r="AK1674" s="85"/>
      <c r="AL1674" s="85"/>
      <c r="AM1674" s="85"/>
      <c r="AN1674" s="85"/>
      <c r="AO1674" s="85"/>
      <c r="AP1674" s="85"/>
      <c r="AQ1674" s="93"/>
      <c r="AR1674" s="85"/>
      <c r="AS1674" s="85"/>
      <c r="AT1674" s="85"/>
      <c r="AU1674" s="85"/>
      <c r="AV1674" s="85"/>
      <c r="AW1674" s="85"/>
      <c r="AX1674" s="85"/>
      <c r="AY1674" s="85"/>
      <c r="AZ1674" s="85"/>
      <c r="BA1674" s="85"/>
      <c r="BB1674" s="85"/>
      <c r="BC1674" s="85"/>
      <c r="BD1674" s="85"/>
      <c r="BE1674" s="85"/>
      <c r="BF1674" s="85"/>
      <c r="BG1674" s="85"/>
      <c r="BH1674" s="85"/>
      <c r="BI1674" s="85"/>
      <c r="BJ1674" s="85"/>
      <c r="BK1674" s="85"/>
      <c r="BL1674" s="85"/>
      <c r="BM1674" s="85"/>
      <c r="BN1674" s="85"/>
      <c r="BO1674" s="85"/>
      <c r="BP1674" s="85"/>
      <c r="BQ1674" s="85"/>
      <c r="BR1674" s="85"/>
      <c r="BS1674" s="85"/>
      <c r="BT1674" s="85"/>
      <c r="BU1674" s="85"/>
      <c r="BV1674" s="85"/>
      <c r="BW1674" s="85"/>
      <c r="BX1674" s="85"/>
      <c r="BY1674" s="85"/>
      <c r="BZ1674" s="85"/>
      <c r="CA1674" s="85"/>
      <c r="CB1674" s="85"/>
      <c r="CC1674" s="85"/>
      <c r="CD1674" s="85"/>
      <c r="CE1674" s="85"/>
      <c r="CF1674" s="85"/>
      <c r="CG1674" s="85"/>
      <c r="CH1674" s="85"/>
      <c r="CI1674" s="85"/>
      <c r="CJ1674" s="85"/>
    </row>
    <row r="1675" ht="12.75" customHeight="1">
      <c r="A1675" s="80"/>
      <c r="B1675" s="80"/>
      <c r="C1675" s="80"/>
      <c r="D1675" s="80"/>
      <c r="E1675" s="80"/>
      <c r="F1675" s="80"/>
      <c r="G1675" s="80"/>
      <c r="H1675" s="80"/>
      <c r="I1675" s="80"/>
      <c r="J1675" s="80"/>
      <c r="K1675" s="80"/>
      <c r="L1675" s="80"/>
      <c r="M1675" s="80"/>
      <c r="N1675" s="80"/>
      <c r="O1675" s="80"/>
      <c r="P1675" s="80"/>
      <c r="Q1675" s="80"/>
      <c r="R1675" s="80"/>
      <c r="S1675" s="80"/>
      <c r="T1675" s="80"/>
      <c r="U1675" s="80"/>
      <c r="V1675" s="80"/>
      <c r="W1675" s="80"/>
      <c r="X1675" s="80"/>
      <c r="Y1675" s="80"/>
      <c r="Z1675" s="80"/>
      <c r="AA1675" s="80"/>
      <c r="AB1675" s="80"/>
      <c r="AC1675" s="80"/>
      <c r="AD1675" s="80"/>
      <c r="AE1675" s="80"/>
      <c r="AF1675" s="80"/>
      <c r="AG1675" s="80"/>
      <c r="AH1675" s="80"/>
      <c r="AI1675" s="80"/>
      <c r="AJ1675" s="80"/>
      <c r="AK1675" s="80"/>
      <c r="AL1675" s="80"/>
      <c r="AM1675" s="80"/>
      <c r="AN1675" s="80"/>
      <c r="AO1675" s="80"/>
      <c r="AP1675" s="80"/>
      <c r="AQ1675" s="83"/>
      <c r="AR1675" s="80"/>
      <c r="AS1675" s="80"/>
      <c r="AT1675" s="80"/>
      <c r="AU1675" s="80"/>
      <c r="AV1675" s="80"/>
      <c r="AW1675" s="80"/>
      <c r="AX1675" s="80"/>
      <c r="AY1675" s="80"/>
      <c r="AZ1675" s="80"/>
      <c r="BA1675" s="80"/>
      <c r="BB1675" s="80"/>
      <c r="BC1675" s="80"/>
      <c r="BD1675" s="80"/>
      <c r="BE1675" s="80"/>
      <c r="BF1675" s="80"/>
      <c r="BG1675" s="80"/>
      <c r="BH1675" s="80"/>
      <c r="BI1675" s="80"/>
      <c r="BJ1675" s="80"/>
      <c r="BK1675" s="80"/>
      <c r="BL1675" s="80"/>
      <c r="BM1675" s="80"/>
      <c r="BN1675" s="80"/>
      <c r="BO1675" s="80"/>
      <c r="BP1675" s="80"/>
      <c r="BQ1675" s="80"/>
      <c r="BR1675" s="80"/>
      <c r="BS1675" s="80"/>
      <c r="BT1675" s="80"/>
      <c r="BU1675" s="80"/>
      <c r="BV1675" s="80"/>
      <c r="BW1675" s="80"/>
      <c r="BX1675" s="80"/>
      <c r="BY1675" s="80"/>
      <c r="BZ1675" s="80"/>
      <c r="CA1675" s="80"/>
      <c r="CB1675" s="80"/>
      <c r="CC1675" s="80"/>
      <c r="CD1675" s="80"/>
      <c r="CE1675" s="80"/>
      <c r="CF1675" s="80"/>
      <c r="CG1675" s="80"/>
      <c r="CH1675" s="80"/>
      <c r="CI1675" s="80"/>
      <c r="CJ1675" s="80"/>
    </row>
    <row r="1676" ht="12.75" customHeight="1">
      <c r="A1676" s="85"/>
      <c r="B1676" s="85"/>
      <c r="C1676" s="85"/>
      <c r="D1676" s="85"/>
      <c r="E1676" s="85"/>
      <c r="F1676" s="85"/>
      <c r="G1676" s="85"/>
      <c r="H1676" s="85"/>
      <c r="I1676" s="85"/>
      <c r="J1676" s="85"/>
      <c r="K1676" s="85"/>
      <c r="L1676" s="85"/>
      <c r="M1676" s="85"/>
      <c r="N1676" s="85"/>
      <c r="O1676" s="85"/>
      <c r="P1676" s="85"/>
      <c r="Q1676" s="85"/>
      <c r="R1676" s="85"/>
      <c r="S1676" s="85"/>
      <c r="T1676" s="85"/>
      <c r="U1676" s="85"/>
      <c r="V1676" s="85"/>
      <c r="W1676" s="85"/>
      <c r="X1676" s="85"/>
      <c r="Y1676" s="85"/>
      <c r="Z1676" s="85"/>
      <c r="AA1676" s="85"/>
      <c r="AB1676" s="85"/>
      <c r="AC1676" s="85"/>
      <c r="AD1676" s="85"/>
      <c r="AE1676" s="85"/>
      <c r="AF1676" s="85"/>
      <c r="AG1676" s="85"/>
      <c r="AH1676" s="85"/>
      <c r="AI1676" s="85"/>
      <c r="AJ1676" s="85"/>
      <c r="AK1676" s="85"/>
      <c r="AL1676" s="85"/>
      <c r="AM1676" s="85"/>
      <c r="AN1676" s="85"/>
      <c r="AO1676" s="85"/>
      <c r="AP1676" s="85"/>
      <c r="AQ1676" s="93"/>
      <c r="AR1676" s="85"/>
      <c r="AS1676" s="85"/>
      <c r="AT1676" s="85"/>
      <c r="AU1676" s="85"/>
      <c r="AV1676" s="85"/>
      <c r="AW1676" s="85"/>
      <c r="AX1676" s="85"/>
      <c r="AY1676" s="85"/>
      <c r="AZ1676" s="85"/>
      <c r="BA1676" s="85"/>
      <c r="BB1676" s="85"/>
      <c r="BC1676" s="85"/>
      <c r="BD1676" s="85"/>
      <c r="BE1676" s="85"/>
      <c r="BF1676" s="85"/>
      <c r="BG1676" s="85"/>
      <c r="BH1676" s="85"/>
      <c r="BI1676" s="85"/>
      <c r="BJ1676" s="85"/>
      <c r="BK1676" s="85"/>
      <c r="BL1676" s="85"/>
      <c r="BM1676" s="85"/>
      <c r="BN1676" s="85"/>
      <c r="BO1676" s="85"/>
      <c r="BP1676" s="85"/>
      <c r="BQ1676" s="85"/>
      <c r="BR1676" s="85"/>
      <c r="BS1676" s="85"/>
      <c r="BT1676" s="85"/>
      <c r="BU1676" s="85"/>
      <c r="BV1676" s="85"/>
      <c r="BW1676" s="85"/>
      <c r="BX1676" s="85"/>
      <c r="BY1676" s="85"/>
      <c r="BZ1676" s="85"/>
      <c r="CA1676" s="85"/>
      <c r="CB1676" s="85"/>
      <c r="CC1676" s="85"/>
      <c r="CD1676" s="85"/>
      <c r="CE1676" s="85"/>
      <c r="CF1676" s="85"/>
      <c r="CG1676" s="85"/>
      <c r="CH1676" s="85"/>
      <c r="CI1676" s="85"/>
      <c r="CJ1676" s="85"/>
    </row>
    <row r="1677" ht="12.75" customHeight="1">
      <c r="A1677" s="80"/>
      <c r="B1677" s="80"/>
      <c r="C1677" s="80"/>
      <c r="D1677" s="80"/>
      <c r="E1677" s="80"/>
      <c r="F1677" s="80"/>
      <c r="G1677" s="80"/>
      <c r="H1677" s="80"/>
      <c r="I1677" s="80"/>
      <c r="J1677" s="80"/>
      <c r="K1677" s="80"/>
      <c r="L1677" s="80"/>
      <c r="M1677" s="80"/>
      <c r="N1677" s="80"/>
      <c r="O1677" s="80"/>
      <c r="P1677" s="80"/>
      <c r="Q1677" s="80"/>
      <c r="R1677" s="80"/>
      <c r="S1677" s="80"/>
      <c r="T1677" s="80"/>
      <c r="U1677" s="80"/>
      <c r="V1677" s="80"/>
      <c r="W1677" s="80"/>
      <c r="X1677" s="80"/>
      <c r="Y1677" s="80"/>
      <c r="Z1677" s="80"/>
      <c r="AA1677" s="80"/>
      <c r="AB1677" s="80"/>
      <c r="AC1677" s="80"/>
      <c r="AD1677" s="80"/>
      <c r="AE1677" s="80"/>
      <c r="AF1677" s="80"/>
      <c r="AG1677" s="80"/>
      <c r="AH1677" s="80"/>
      <c r="AI1677" s="80"/>
      <c r="AJ1677" s="80"/>
      <c r="AK1677" s="80"/>
      <c r="AL1677" s="80"/>
      <c r="AM1677" s="80"/>
      <c r="AN1677" s="80"/>
      <c r="AO1677" s="80"/>
      <c r="AP1677" s="80"/>
      <c r="AQ1677" s="83"/>
      <c r="AR1677" s="80"/>
      <c r="AS1677" s="80"/>
      <c r="AT1677" s="80"/>
      <c r="AU1677" s="80"/>
      <c r="AV1677" s="80"/>
      <c r="AW1677" s="80"/>
      <c r="AX1677" s="80"/>
      <c r="AY1677" s="80"/>
      <c r="AZ1677" s="80"/>
      <c r="BA1677" s="80"/>
      <c r="BB1677" s="80"/>
      <c r="BC1677" s="80"/>
      <c r="BD1677" s="80"/>
      <c r="BE1677" s="80"/>
      <c r="BF1677" s="80"/>
      <c r="BG1677" s="80"/>
      <c r="BH1677" s="80"/>
      <c r="BI1677" s="80"/>
      <c r="BJ1677" s="80"/>
      <c r="BK1677" s="80"/>
      <c r="BL1677" s="80"/>
      <c r="BM1677" s="80"/>
      <c r="BN1677" s="80"/>
      <c r="BO1677" s="80"/>
      <c r="BP1677" s="80"/>
      <c r="BQ1677" s="80"/>
      <c r="BR1677" s="80"/>
      <c r="BS1677" s="80"/>
      <c r="BT1677" s="80"/>
      <c r="BU1677" s="80"/>
      <c r="BV1677" s="80"/>
      <c r="BW1677" s="80"/>
      <c r="BX1677" s="80"/>
      <c r="BY1677" s="80"/>
      <c r="BZ1677" s="80"/>
      <c r="CA1677" s="80"/>
      <c r="CB1677" s="80"/>
      <c r="CC1677" s="80"/>
      <c r="CD1677" s="80"/>
      <c r="CE1677" s="80"/>
      <c r="CF1677" s="80"/>
      <c r="CG1677" s="80"/>
      <c r="CH1677" s="80"/>
      <c r="CI1677" s="80"/>
      <c r="CJ1677" s="80"/>
    </row>
    <row r="1678" ht="12.75" customHeight="1">
      <c r="A1678" s="85"/>
      <c r="B1678" s="85"/>
      <c r="C1678" s="85"/>
      <c r="D1678" s="85"/>
      <c r="E1678" s="85"/>
      <c r="F1678" s="85"/>
      <c r="G1678" s="85"/>
      <c r="H1678" s="85"/>
      <c r="I1678" s="85"/>
      <c r="J1678" s="85"/>
      <c r="K1678" s="85"/>
      <c r="L1678" s="85"/>
      <c r="M1678" s="85"/>
      <c r="N1678" s="85"/>
      <c r="O1678" s="85"/>
      <c r="P1678" s="85"/>
      <c r="Q1678" s="85"/>
      <c r="R1678" s="85"/>
      <c r="S1678" s="85"/>
      <c r="T1678" s="85"/>
      <c r="U1678" s="85"/>
      <c r="V1678" s="85"/>
      <c r="W1678" s="85"/>
      <c r="X1678" s="85"/>
      <c r="Y1678" s="85"/>
      <c r="Z1678" s="85"/>
      <c r="AA1678" s="85"/>
      <c r="AB1678" s="85"/>
      <c r="AC1678" s="85"/>
      <c r="AD1678" s="85"/>
      <c r="AE1678" s="85"/>
      <c r="AF1678" s="85"/>
      <c r="AG1678" s="85"/>
      <c r="AH1678" s="85"/>
      <c r="AI1678" s="85"/>
      <c r="AJ1678" s="85"/>
      <c r="AK1678" s="85"/>
      <c r="AL1678" s="85"/>
      <c r="AM1678" s="85"/>
      <c r="AN1678" s="85"/>
      <c r="AO1678" s="85"/>
      <c r="AP1678" s="85"/>
      <c r="AQ1678" s="93"/>
      <c r="AR1678" s="85"/>
      <c r="AS1678" s="85"/>
      <c r="AT1678" s="85"/>
      <c r="AU1678" s="85"/>
      <c r="AV1678" s="85"/>
      <c r="AW1678" s="85"/>
      <c r="AX1678" s="85"/>
      <c r="AY1678" s="85"/>
      <c r="AZ1678" s="85"/>
      <c r="BA1678" s="85"/>
      <c r="BB1678" s="85"/>
      <c r="BC1678" s="85"/>
      <c r="BD1678" s="85"/>
      <c r="BE1678" s="85"/>
      <c r="BF1678" s="85"/>
      <c r="BG1678" s="85"/>
      <c r="BH1678" s="85"/>
      <c r="BI1678" s="85"/>
      <c r="BJ1678" s="85"/>
      <c r="BK1678" s="85"/>
      <c r="BL1678" s="85"/>
      <c r="BM1678" s="85"/>
      <c r="BN1678" s="85"/>
      <c r="BO1678" s="85"/>
      <c r="BP1678" s="85"/>
      <c r="BQ1678" s="85"/>
      <c r="BR1678" s="85"/>
      <c r="BS1678" s="85"/>
      <c r="BT1678" s="85"/>
      <c r="BU1678" s="85"/>
      <c r="BV1678" s="85"/>
      <c r="BW1678" s="85"/>
      <c r="BX1678" s="85"/>
      <c r="BY1678" s="85"/>
      <c r="BZ1678" s="85"/>
      <c r="CA1678" s="85"/>
      <c r="CB1678" s="85"/>
      <c r="CC1678" s="85"/>
      <c r="CD1678" s="85"/>
      <c r="CE1678" s="85"/>
      <c r="CF1678" s="85"/>
      <c r="CG1678" s="85"/>
      <c r="CH1678" s="85"/>
      <c r="CI1678" s="85"/>
      <c r="CJ1678" s="85"/>
    </row>
    <row r="1679" ht="12.75" customHeight="1">
      <c r="A1679" s="80"/>
      <c r="B1679" s="80"/>
      <c r="C1679" s="80"/>
      <c r="D1679" s="80"/>
      <c r="E1679" s="80"/>
      <c r="F1679" s="80"/>
      <c r="G1679" s="80"/>
      <c r="H1679" s="80"/>
      <c r="I1679" s="80"/>
      <c r="J1679" s="80"/>
      <c r="K1679" s="80"/>
      <c r="L1679" s="80"/>
      <c r="M1679" s="80"/>
      <c r="N1679" s="80"/>
      <c r="O1679" s="80"/>
      <c r="P1679" s="80"/>
      <c r="Q1679" s="80"/>
      <c r="R1679" s="80"/>
      <c r="S1679" s="80"/>
      <c r="T1679" s="80"/>
      <c r="U1679" s="80"/>
      <c r="V1679" s="80"/>
      <c r="W1679" s="80"/>
      <c r="X1679" s="80"/>
      <c r="Y1679" s="80"/>
      <c r="Z1679" s="80"/>
      <c r="AA1679" s="80"/>
      <c r="AB1679" s="80"/>
      <c r="AC1679" s="80"/>
      <c r="AD1679" s="80"/>
      <c r="AE1679" s="80"/>
      <c r="AF1679" s="80"/>
      <c r="AG1679" s="80"/>
      <c r="AH1679" s="80"/>
      <c r="AI1679" s="80"/>
      <c r="AJ1679" s="80"/>
      <c r="AK1679" s="80"/>
      <c r="AL1679" s="80"/>
      <c r="AM1679" s="80"/>
      <c r="AN1679" s="80"/>
      <c r="AO1679" s="80"/>
      <c r="AP1679" s="80"/>
      <c r="AQ1679" s="83"/>
      <c r="AR1679" s="80"/>
      <c r="AS1679" s="80"/>
      <c r="AT1679" s="80"/>
      <c r="AU1679" s="80"/>
      <c r="AV1679" s="80"/>
      <c r="AW1679" s="80"/>
      <c r="AX1679" s="80"/>
      <c r="AY1679" s="80"/>
      <c r="AZ1679" s="80"/>
      <c r="BA1679" s="80"/>
      <c r="BB1679" s="80"/>
      <c r="BC1679" s="80"/>
      <c r="BD1679" s="80"/>
      <c r="BE1679" s="80"/>
      <c r="BF1679" s="80"/>
      <c r="BG1679" s="80"/>
      <c r="BH1679" s="80"/>
      <c r="BI1679" s="80"/>
      <c r="BJ1679" s="80"/>
      <c r="BK1679" s="80"/>
      <c r="BL1679" s="80"/>
      <c r="BM1679" s="80"/>
      <c r="BN1679" s="80"/>
      <c r="BO1679" s="80"/>
      <c r="BP1679" s="80"/>
      <c r="BQ1679" s="80"/>
      <c r="BR1679" s="80"/>
      <c r="BS1679" s="80"/>
      <c r="BT1679" s="80"/>
      <c r="BU1679" s="80"/>
      <c r="BV1679" s="80"/>
      <c r="BW1679" s="80"/>
      <c r="BX1679" s="80"/>
      <c r="BY1679" s="80"/>
      <c r="BZ1679" s="80"/>
      <c r="CA1679" s="80"/>
      <c r="CB1679" s="80"/>
      <c r="CC1679" s="80"/>
      <c r="CD1679" s="80"/>
      <c r="CE1679" s="80"/>
      <c r="CF1679" s="80"/>
      <c r="CG1679" s="80"/>
      <c r="CH1679" s="80"/>
      <c r="CI1679" s="80"/>
      <c r="CJ1679" s="80"/>
    </row>
    <row r="1680" ht="12.75" customHeight="1">
      <c r="A1680" s="85"/>
      <c r="B1680" s="85"/>
      <c r="C1680" s="85"/>
      <c r="D1680" s="85"/>
      <c r="E1680" s="85"/>
      <c r="F1680" s="85"/>
      <c r="G1680" s="85"/>
      <c r="H1680" s="85"/>
      <c r="I1680" s="85"/>
      <c r="J1680" s="85"/>
      <c r="K1680" s="85"/>
      <c r="L1680" s="85"/>
      <c r="M1680" s="85"/>
      <c r="N1680" s="85"/>
      <c r="O1680" s="85"/>
      <c r="P1680" s="85"/>
      <c r="Q1680" s="85"/>
      <c r="R1680" s="85"/>
      <c r="S1680" s="85"/>
      <c r="T1680" s="85"/>
      <c r="U1680" s="85"/>
      <c r="V1680" s="85"/>
      <c r="W1680" s="85"/>
      <c r="X1680" s="85"/>
      <c r="Y1680" s="85"/>
      <c r="Z1680" s="85"/>
      <c r="AA1680" s="85"/>
      <c r="AB1680" s="85"/>
      <c r="AC1680" s="85"/>
      <c r="AD1680" s="85"/>
      <c r="AE1680" s="85"/>
      <c r="AF1680" s="85"/>
      <c r="AG1680" s="85"/>
      <c r="AH1680" s="85"/>
      <c r="AI1680" s="85"/>
      <c r="AJ1680" s="85"/>
      <c r="AK1680" s="85"/>
      <c r="AL1680" s="85"/>
      <c r="AM1680" s="85"/>
      <c r="AN1680" s="85"/>
      <c r="AO1680" s="85"/>
      <c r="AP1680" s="85"/>
      <c r="AQ1680" s="93"/>
      <c r="AR1680" s="85"/>
      <c r="AS1680" s="85"/>
      <c r="AT1680" s="85"/>
      <c r="AU1680" s="85"/>
      <c r="AV1680" s="85"/>
      <c r="AW1680" s="85"/>
      <c r="AX1680" s="85"/>
      <c r="AY1680" s="85"/>
      <c r="AZ1680" s="85"/>
      <c r="BA1680" s="85"/>
      <c r="BB1680" s="85"/>
      <c r="BC1680" s="85"/>
      <c r="BD1680" s="85"/>
      <c r="BE1680" s="85"/>
      <c r="BF1680" s="85"/>
      <c r="BG1680" s="85"/>
      <c r="BH1680" s="85"/>
      <c r="BI1680" s="85"/>
      <c r="BJ1680" s="85"/>
      <c r="BK1680" s="85"/>
      <c r="BL1680" s="85"/>
      <c r="BM1680" s="85"/>
      <c r="BN1680" s="85"/>
      <c r="BO1680" s="85"/>
      <c r="BP1680" s="85"/>
      <c r="BQ1680" s="85"/>
      <c r="BR1680" s="85"/>
      <c r="BS1680" s="85"/>
      <c r="BT1680" s="85"/>
      <c r="BU1680" s="85"/>
      <c r="BV1680" s="85"/>
      <c r="BW1680" s="85"/>
      <c r="BX1680" s="85"/>
      <c r="BY1680" s="85"/>
      <c r="BZ1680" s="85"/>
      <c r="CA1680" s="85"/>
      <c r="CB1680" s="85"/>
      <c r="CC1680" s="85"/>
      <c r="CD1680" s="85"/>
      <c r="CE1680" s="85"/>
      <c r="CF1680" s="85"/>
      <c r="CG1680" s="85"/>
      <c r="CH1680" s="85"/>
      <c r="CI1680" s="85"/>
      <c r="CJ1680" s="85"/>
    </row>
    <row r="1681" ht="12.75" customHeight="1">
      <c r="A1681" s="80"/>
      <c r="B1681" s="80"/>
      <c r="C1681" s="80"/>
      <c r="D1681" s="80"/>
      <c r="E1681" s="80"/>
      <c r="F1681" s="80"/>
      <c r="G1681" s="80"/>
      <c r="H1681" s="80"/>
      <c r="I1681" s="80"/>
      <c r="J1681" s="80"/>
      <c r="K1681" s="80"/>
      <c r="L1681" s="80"/>
      <c r="M1681" s="80"/>
      <c r="N1681" s="80"/>
      <c r="O1681" s="80"/>
      <c r="P1681" s="80"/>
      <c r="Q1681" s="80"/>
      <c r="R1681" s="80"/>
      <c r="S1681" s="80"/>
      <c r="T1681" s="80"/>
      <c r="U1681" s="80"/>
      <c r="V1681" s="80"/>
      <c r="W1681" s="80"/>
      <c r="X1681" s="80"/>
      <c r="Y1681" s="80"/>
      <c r="Z1681" s="80"/>
      <c r="AA1681" s="80"/>
      <c r="AB1681" s="80"/>
      <c r="AC1681" s="80"/>
      <c r="AD1681" s="80"/>
      <c r="AE1681" s="80"/>
      <c r="AF1681" s="80"/>
      <c r="AG1681" s="80"/>
      <c r="AH1681" s="80"/>
      <c r="AI1681" s="80"/>
      <c r="AJ1681" s="80"/>
      <c r="AK1681" s="80"/>
      <c r="AL1681" s="80"/>
      <c r="AM1681" s="80"/>
      <c r="AN1681" s="80"/>
      <c r="AO1681" s="80"/>
      <c r="AP1681" s="80"/>
      <c r="AQ1681" s="83"/>
      <c r="AR1681" s="80"/>
      <c r="AS1681" s="80"/>
      <c r="AT1681" s="80"/>
      <c r="AU1681" s="80"/>
      <c r="AV1681" s="80"/>
      <c r="AW1681" s="80"/>
      <c r="AX1681" s="80"/>
      <c r="AY1681" s="80"/>
      <c r="AZ1681" s="80"/>
      <c r="BA1681" s="80"/>
      <c r="BB1681" s="80"/>
      <c r="BC1681" s="80"/>
      <c r="BD1681" s="80"/>
      <c r="BE1681" s="80"/>
      <c r="BF1681" s="80"/>
      <c r="BG1681" s="80"/>
      <c r="BH1681" s="80"/>
      <c r="BI1681" s="80"/>
      <c r="BJ1681" s="80"/>
      <c r="BK1681" s="80"/>
      <c r="BL1681" s="80"/>
      <c r="BM1681" s="80"/>
      <c r="BN1681" s="80"/>
      <c r="BO1681" s="80"/>
      <c r="BP1681" s="80"/>
      <c r="BQ1681" s="80"/>
      <c r="BR1681" s="80"/>
      <c r="BS1681" s="80"/>
      <c r="BT1681" s="80"/>
      <c r="BU1681" s="80"/>
      <c r="BV1681" s="80"/>
      <c r="BW1681" s="80"/>
      <c r="BX1681" s="80"/>
      <c r="BY1681" s="80"/>
      <c r="BZ1681" s="80"/>
      <c r="CA1681" s="80"/>
      <c r="CB1681" s="80"/>
      <c r="CC1681" s="80"/>
      <c r="CD1681" s="80"/>
      <c r="CE1681" s="80"/>
      <c r="CF1681" s="80"/>
      <c r="CG1681" s="80"/>
      <c r="CH1681" s="80"/>
      <c r="CI1681" s="80"/>
      <c r="CJ1681" s="80"/>
    </row>
    <row r="1682" ht="12.75" customHeight="1">
      <c r="A1682" s="85"/>
      <c r="B1682" s="85"/>
      <c r="C1682" s="85"/>
      <c r="D1682" s="85"/>
      <c r="E1682" s="85"/>
      <c r="F1682" s="85"/>
      <c r="G1682" s="85"/>
      <c r="H1682" s="85"/>
      <c r="I1682" s="85"/>
      <c r="J1682" s="85"/>
      <c r="K1682" s="85"/>
      <c r="L1682" s="85"/>
      <c r="M1682" s="85"/>
      <c r="N1682" s="85"/>
      <c r="O1682" s="85"/>
      <c r="P1682" s="85"/>
      <c r="Q1682" s="85"/>
      <c r="R1682" s="85"/>
      <c r="S1682" s="85"/>
      <c r="T1682" s="85"/>
      <c r="U1682" s="85"/>
      <c r="V1682" s="85"/>
      <c r="W1682" s="85"/>
      <c r="X1682" s="85"/>
      <c r="Y1682" s="85"/>
      <c r="Z1682" s="85"/>
      <c r="AA1682" s="85"/>
      <c r="AB1682" s="85"/>
      <c r="AC1682" s="85"/>
      <c r="AD1682" s="85"/>
      <c r="AE1682" s="85"/>
      <c r="AF1682" s="85"/>
      <c r="AG1682" s="85"/>
      <c r="AH1682" s="85"/>
      <c r="AI1682" s="85"/>
      <c r="AJ1682" s="85"/>
      <c r="AK1682" s="85"/>
      <c r="AL1682" s="85"/>
      <c r="AM1682" s="85"/>
      <c r="AN1682" s="85"/>
      <c r="AO1682" s="85"/>
      <c r="AP1682" s="85"/>
      <c r="AQ1682" s="93"/>
      <c r="AR1682" s="85"/>
      <c r="AS1682" s="85"/>
      <c r="AT1682" s="85"/>
      <c r="AU1682" s="85"/>
      <c r="AV1682" s="85"/>
      <c r="AW1682" s="85"/>
      <c r="AX1682" s="85"/>
      <c r="AY1682" s="85"/>
      <c r="AZ1682" s="85"/>
      <c r="BA1682" s="85"/>
      <c r="BB1682" s="85"/>
      <c r="BC1682" s="85"/>
      <c r="BD1682" s="85"/>
      <c r="BE1682" s="85"/>
      <c r="BF1682" s="85"/>
      <c r="BG1682" s="85"/>
      <c r="BH1682" s="85"/>
      <c r="BI1682" s="85"/>
      <c r="BJ1682" s="85"/>
      <c r="BK1682" s="85"/>
      <c r="BL1682" s="85"/>
      <c r="BM1682" s="85"/>
      <c r="BN1682" s="85"/>
      <c r="BO1682" s="85"/>
      <c r="BP1682" s="85"/>
      <c r="BQ1682" s="85"/>
      <c r="BR1682" s="85"/>
      <c r="BS1682" s="85"/>
      <c r="BT1682" s="85"/>
      <c r="BU1682" s="85"/>
      <c r="BV1682" s="85"/>
      <c r="BW1682" s="85"/>
      <c r="BX1682" s="85"/>
      <c r="BY1682" s="85"/>
      <c r="BZ1682" s="85"/>
      <c r="CA1682" s="85"/>
      <c r="CB1682" s="85"/>
      <c r="CC1682" s="85"/>
      <c r="CD1682" s="85"/>
      <c r="CE1682" s="85"/>
      <c r="CF1682" s="85"/>
      <c r="CG1682" s="85"/>
      <c r="CH1682" s="85"/>
      <c r="CI1682" s="85"/>
      <c r="CJ1682" s="85"/>
    </row>
    <row r="1683" ht="12.75" customHeight="1">
      <c r="A1683" s="80"/>
      <c r="B1683" s="80"/>
      <c r="C1683" s="80"/>
      <c r="D1683" s="80"/>
      <c r="E1683" s="80"/>
      <c r="F1683" s="80"/>
      <c r="G1683" s="80"/>
      <c r="H1683" s="80"/>
      <c r="I1683" s="80"/>
      <c r="J1683" s="80"/>
      <c r="K1683" s="80"/>
      <c r="L1683" s="80"/>
      <c r="M1683" s="80"/>
      <c r="N1683" s="80"/>
      <c r="O1683" s="80"/>
      <c r="P1683" s="80"/>
      <c r="Q1683" s="80"/>
      <c r="R1683" s="80"/>
      <c r="S1683" s="80"/>
      <c r="T1683" s="80"/>
      <c r="U1683" s="80"/>
      <c r="V1683" s="80"/>
      <c r="W1683" s="80"/>
      <c r="X1683" s="80"/>
      <c r="Y1683" s="80"/>
      <c r="Z1683" s="80"/>
      <c r="AA1683" s="80"/>
      <c r="AB1683" s="80"/>
      <c r="AC1683" s="80"/>
      <c r="AD1683" s="80"/>
      <c r="AE1683" s="80"/>
      <c r="AF1683" s="80"/>
      <c r="AG1683" s="80"/>
      <c r="AH1683" s="80"/>
      <c r="AI1683" s="80"/>
      <c r="AJ1683" s="80"/>
      <c r="AK1683" s="80"/>
      <c r="AL1683" s="80"/>
      <c r="AM1683" s="80"/>
      <c r="AN1683" s="80"/>
      <c r="AO1683" s="80"/>
      <c r="AP1683" s="80"/>
      <c r="AQ1683" s="83"/>
      <c r="AR1683" s="80"/>
      <c r="AS1683" s="80"/>
      <c r="AT1683" s="80"/>
      <c r="AU1683" s="80"/>
      <c r="AV1683" s="80"/>
      <c r="AW1683" s="80"/>
      <c r="AX1683" s="80"/>
      <c r="AY1683" s="80"/>
      <c r="AZ1683" s="80"/>
      <c r="BA1683" s="80"/>
      <c r="BB1683" s="80"/>
      <c r="BC1683" s="80"/>
      <c r="BD1683" s="80"/>
      <c r="BE1683" s="80"/>
      <c r="BF1683" s="80"/>
      <c r="BG1683" s="80"/>
      <c r="BH1683" s="80"/>
      <c r="BI1683" s="80"/>
      <c r="BJ1683" s="80"/>
      <c r="BK1683" s="80"/>
      <c r="BL1683" s="80"/>
      <c r="BM1683" s="80"/>
      <c r="BN1683" s="80"/>
      <c r="BO1683" s="80"/>
      <c r="BP1683" s="80"/>
      <c r="BQ1683" s="80"/>
      <c r="BR1683" s="80"/>
      <c r="BS1683" s="80"/>
      <c r="BT1683" s="80"/>
      <c r="BU1683" s="80"/>
      <c r="BV1683" s="80"/>
      <c r="BW1683" s="80"/>
      <c r="BX1683" s="80"/>
      <c r="BY1683" s="80"/>
      <c r="BZ1683" s="80"/>
      <c r="CA1683" s="80"/>
      <c r="CB1683" s="80"/>
      <c r="CC1683" s="80"/>
      <c r="CD1683" s="80"/>
      <c r="CE1683" s="80"/>
      <c r="CF1683" s="80"/>
      <c r="CG1683" s="80"/>
      <c r="CH1683" s="80"/>
      <c r="CI1683" s="80"/>
      <c r="CJ1683" s="80"/>
    </row>
    <row r="1684" ht="12.75" customHeight="1">
      <c r="A1684" s="85"/>
      <c r="B1684" s="85"/>
      <c r="C1684" s="85"/>
      <c r="D1684" s="85"/>
      <c r="E1684" s="85"/>
      <c r="F1684" s="85"/>
      <c r="G1684" s="85"/>
      <c r="H1684" s="85"/>
      <c r="I1684" s="85"/>
      <c r="J1684" s="85"/>
      <c r="K1684" s="85"/>
      <c r="L1684" s="85"/>
      <c r="M1684" s="85"/>
      <c r="N1684" s="85"/>
      <c r="O1684" s="85"/>
      <c r="P1684" s="85"/>
      <c r="Q1684" s="85"/>
      <c r="R1684" s="85"/>
      <c r="S1684" s="85"/>
      <c r="T1684" s="85"/>
      <c r="U1684" s="85"/>
      <c r="V1684" s="85"/>
      <c r="W1684" s="85"/>
      <c r="X1684" s="85"/>
      <c r="Y1684" s="85"/>
      <c r="Z1684" s="85"/>
      <c r="AA1684" s="85"/>
      <c r="AB1684" s="85"/>
      <c r="AC1684" s="85"/>
      <c r="AD1684" s="85"/>
      <c r="AE1684" s="85"/>
      <c r="AF1684" s="85"/>
      <c r="AG1684" s="85"/>
      <c r="AH1684" s="85"/>
      <c r="AI1684" s="85"/>
      <c r="AJ1684" s="85"/>
      <c r="AK1684" s="85"/>
      <c r="AL1684" s="85"/>
      <c r="AM1684" s="85"/>
      <c r="AN1684" s="85"/>
      <c r="AO1684" s="85"/>
      <c r="AP1684" s="85"/>
      <c r="AQ1684" s="93"/>
      <c r="AR1684" s="85"/>
      <c r="AS1684" s="85"/>
      <c r="AT1684" s="85"/>
      <c r="AU1684" s="85"/>
      <c r="AV1684" s="85"/>
      <c r="AW1684" s="85"/>
      <c r="AX1684" s="85"/>
      <c r="AY1684" s="85"/>
      <c r="AZ1684" s="85"/>
      <c r="BA1684" s="85"/>
      <c r="BB1684" s="85"/>
      <c r="BC1684" s="85"/>
      <c r="BD1684" s="85"/>
      <c r="BE1684" s="85"/>
      <c r="BF1684" s="85"/>
      <c r="BG1684" s="85"/>
      <c r="BH1684" s="85"/>
      <c r="BI1684" s="85"/>
      <c r="BJ1684" s="85"/>
      <c r="BK1684" s="85"/>
      <c r="BL1684" s="85"/>
      <c r="BM1684" s="85"/>
      <c r="BN1684" s="85"/>
      <c r="BO1684" s="85"/>
      <c r="BP1684" s="85"/>
      <c r="BQ1684" s="85"/>
      <c r="BR1684" s="85"/>
      <c r="BS1684" s="85"/>
      <c r="BT1684" s="85"/>
      <c r="BU1684" s="85"/>
      <c r="BV1684" s="85"/>
      <c r="BW1684" s="85"/>
      <c r="BX1684" s="85"/>
      <c r="BY1684" s="85"/>
      <c r="BZ1684" s="85"/>
      <c r="CA1684" s="85"/>
      <c r="CB1684" s="85"/>
      <c r="CC1684" s="85"/>
      <c r="CD1684" s="85"/>
      <c r="CE1684" s="85"/>
      <c r="CF1684" s="85"/>
      <c r="CG1684" s="85"/>
      <c r="CH1684" s="85"/>
      <c r="CI1684" s="85"/>
      <c r="CJ1684" s="85"/>
    </row>
    <row r="1685" ht="12.75" customHeight="1">
      <c r="A1685" s="80"/>
      <c r="B1685" s="80"/>
      <c r="C1685" s="80"/>
      <c r="D1685" s="80"/>
      <c r="E1685" s="80"/>
      <c r="F1685" s="80"/>
      <c r="G1685" s="80"/>
      <c r="H1685" s="80"/>
      <c r="I1685" s="80"/>
      <c r="J1685" s="80"/>
      <c r="K1685" s="80"/>
      <c r="L1685" s="80"/>
      <c r="M1685" s="80"/>
      <c r="N1685" s="80"/>
      <c r="O1685" s="80"/>
      <c r="P1685" s="80"/>
      <c r="Q1685" s="80"/>
      <c r="R1685" s="80"/>
      <c r="S1685" s="80"/>
      <c r="T1685" s="80"/>
      <c r="U1685" s="80"/>
      <c r="V1685" s="80"/>
      <c r="W1685" s="80"/>
      <c r="X1685" s="80"/>
      <c r="Y1685" s="80"/>
      <c r="Z1685" s="80"/>
      <c r="AA1685" s="80"/>
      <c r="AB1685" s="80"/>
      <c r="AC1685" s="80"/>
      <c r="AD1685" s="80"/>
      <c r="AE1685" s="80"/>
      <c r="AF1685" s="80"/>
      <c r="AG1685" s="80"/>
      <c r="AH1685" s="80"/>
      <c r="AI1685" s="80"/>
      <c r="AJ1685" s="80"/>
      <c r="AK1685" s="80"/>
      <c r="AL1685" s="80"/>
      <c r="AM1685" s="80"/>
      <c r="AN1685" s="80"/>
      <c r="AO1685" s="80"/>
      <c r="AP1685" s="80"/>
      <c r="AQ1685" s="83"/>
      <c r="AR1685" s="80"/>
      <c r="AS1685" s="80"/>
      <c r="AT1685" s="80"/>
      <c r="AU1685" s="80"/>
      <c r="AV1685" s="80"/>
      <c r="AW1685" s="80"/>
      <c r="AX1685" s="80"/>
      <c r="AY1685" s="80"/>
      <c r="AZ1685" s="80"/>
      <c r="BA1685" s="80"/>
      <c r="BB1685" s="80"/>
      <c r="BC1685" s="80"/>
      <c r="BD1685" s="80"/>
      <c r="BE1685" s="80"/>
      <c r="BF1685" s="80"/>
      <c r="BG1685" s="80"/>
      <c r="BH1685" s="80"/>
      <c r="BI1685" s="80"/>
      <c r="BJ1685" s="80"/>
      <c r="BK1685" s="80"/>
      <c r="BL1685" s="80"/>
      <c r="BM1685" s="80"/>
      <c r="BN1685" s="80"/>
      <c r="BO1685" s="80"/>
      <c r="BP1685" s="80"/>
      <c r="BQ1685" s="80"/>
      <c r="BR1685" s="80"/>
      <c r="BS1685" s="80"/>
      <c r="BT1685" s="80"/>
      <c r="BU1685" s="80"/>
      <c r="BV1685" s="80"/>
      <c r="BW1685" s="80"/>
      <c r="BX1685" s="80"/>
      <c r="BY1685" s="80"/>
      <c r="BZ1685" s="80"/>
      <c r="CA1685" s="80"/>
      <c r="CB1685" s="80"/>
      <c r="CC1685" s="80"/>
      <c r="CD1685" s="80"/>
      <c r="CE1685" s="80"/>
      <c r="CF1685" s="80"/>
      <c r="CG1685" s="80"/>
      <c r="CH1685" s="80"/>
      <c r="CI1685" s="80"/>
      <c r="CJ1685" s="80"/>
    </row>
    <row r="1686" ht="12.75" customHeight="1">
      <c r="A1686" s="85"/>
      <c r="B1686" s="85"/>
      <c r="C1686" s="85"/>
      <c r="D1686" s="85"/>
      <c r="E1686" s="85"/>
      <c r="F1686" s="85"/>
      <c r="G1686" s="85"/>
      <c r="H1686" s="85"/>
      <c r="I1686" s="85"/>
      <c r="J1686" s="85"/>
      <c r="K1686" s="85"/>
      <c r="L1686" s="85"/>
      <c r="M1686" s="85"/>
      <c r="N1686" s="85"/>
      <c r="O1686" s="85"/>
      <c r="P1686" s="85"/>
      <c r="Q1686" s="85"/>
      <c r="R1686" s="85"/>
      <c r="S1686" s="85"/>
      <c r="T1686" s="85"/>
      <c r="U1686" s="85"/>
      <c r="V1686" s="85"/>
      <c r="W1686" s="85"/>
      <c r="X1686" s="85"/>
      <c r="Y1686" s="85"/>
      <c r="Z1686" s="85"/>
      <c r="AA1686" s="85"/>
      <c r="AB1686" s="85"/>
      <c r="AC1686" s="85"/>
      <c r="AD1686" s="85"/>
      <c r="AE1686" s="85"/>
      <c r="AF1686" s="85"/>
      <c r="AG1686" s="85"/>
      <c r="AH1686" s="85"/>
      <c r="AI1686" s="85"/>
      <c r="AJ1686" s="85"/>
      <c r="AK1686" s="85"/>
      <c r="AL1686" s="85"/>
      <c r="AM1686" s="85"/>
      <c r="AN1686" s="85"/>
      <c r="AO1686" s="85"/>
      <c r="AP1686" s="85"/>
      <c r="AQ1686" s="93"/>
      <c r="AR1686" s="85"/>
      <c r="AS1686" s="85"/>
      <c r="AT1686" s="85"/>
      <c r="AU1686" s="85"/>
      <c r="AV1686" s="85"/>
      <c r="AW1686" s="85"/>
      <c r="AX1686" s="85"/>
      <c r="AY1686" s="85"/>
      <c r="AZ1686" s="85"/>
      <c r="BA1686" s="85"/>
      <c r="BB1686" s="85"/>
      <c r="BC1686" s="85"/>
      <c r="BD1686" s="85"/>
      <c r="BE1686" s="85"/>
      <c r="BF1686" s="85"/>
      <c r="BG1686" s="85"/>
      <c r="BH1686" s="85"/>
      <c r="BI1686" s="85"/>
      <c r="BJ1686" s="85"/>
      <c r="BK1686" s="85"/>
      <c r="BL1686" s="85"/>
      <c r="BM1686" s="85"/>
      <c r="BN1686" s="85"/>
      <c r="BO1686" s="85"/>
      <c r="BP1686" s="85"/>
      <c r="BQ1686" s="85"/>
      <c r="BR1686" s="85"/>
      <c r="BS1686" s="85"/>
      <c r="BT1686" s="85"/>
      <c r="BU1686" s="85"/>
      <c r="BV1686" s="85"/>
      <c r="BW1686" s="85"/>
      <c r="BX1686" s="85"/>
      <c r="BY1686" s="85"/>
      <c r="BZ1686" s="85"/>
      <c r="CA1686" s="85"/>
      <c r="CB1686" s="85"/>
      <c r="CC1686" s="85"/>
      <c r="CD1686" s="85"/>
      <c r="CE1686" s="85"/>
      <c r="CF1686" s="85"/>
      <c r="CG1686" s="85"/>
      <c r="CH1686" s="85"/>
      <c r="CI1686" s="85"/>
      <c r="CJ1686" s="85"/>
    </row>
    <row r="1687" ht="12.75" customHeight="1">
      <c r="A1687" s="80"/>
      <c r="B1687" s="80"/>
      <c r="C1687" s="80"/>
      <c r="D1687" s="80"/>
      <c r="E1687" s="80"/>
      <c r="F1687" s="80"/>
      <c r="G1687" s="80"/>
      <c r="H1687" s="80"/>
      <c r="I1687" s="80"/>
      <c r="J1687" s="80"/>
      <c r="K1687" s="80"/>
      <c r="L1687" s="80"/>
      <c r="M1687" s="80"/>
      <c r="N1687" s="80"/>
      <c r="O1687" s="80"/>
      <c r="P1687" s="80"/>
      <c r="Q1687" s="80"/>
      <c r="R1687" s="80"/>
      <c r="S1687" s="80"/>
      <c r="T1687" s="80"/>
      <c r="U1687" s="80"/>
      <c r="V1687" s="80"/>
      <c r="W1687" s="80"/>
      <c r="X1687" s="80"/>
      <c r="Y1687" s="80"/>
      <c r="Z1687" s="80"/>
      <c r="AA1687" s="80"/>
      <c r="AB1687" s="80"/>
      <c r="AC1687" s="80"/>
      <c r="AD1687" s="80"/>
      <c r="AE1687" s="80"/>
      <c r="AF1687" s="80"/>
      <c r="AG1687" s="80"/>
      <c r="AH1687" s="80"/>
      <c r="AI1687" s="80"/>
      <c r="AJ1687" s="80"/>
      <c r="AK1687" s="80"/>
      <c r="AL1687" s="80"/>
      <c r="AM1687" s="80"/>
      <c r="AN1687" s="80"/>
      <c r="AO1687" s="80"/>
      <c r="AP1687" s="80"/>
      <c r="AQ1687" s="83"/>
      <c r="AR1687" s="80"/>
      <c r="AS1687" s="80"/>
      <c r="AT1687" s="80"/>
      <c r="AU1687" s="80"/>
      <c r="AV1687" s="80"/>
      <c r="AW1687" s="80"/>
      <c r="AX1687" s="80"/>
      <c r="AY1687" s="80"/>
      <c r="AZ1687" s="80"/>
      <c r="BA1687" s="80"/>
      <c r="BB1687" s="80"/>
      <c r="BC1687" s="80"/>
      <c r="BD1687" s="80"/>
      <c r="BE1687" s="80"/>
      <c r="BF1687" s="80"/>
      <c r="BG1687" s="80"/>
      <c r="BH1687" s="80"/>
      <c r="BI1687" s="80"/>
      <c r="BJ1687" s="80"/>
      <c r="BK1687" s="80"/>
      <c r="BL1687" s="80"/>
      <c r="BM1687" s="80"/>
      <c r="BN1687" s="80"/>
      <c r="BO1687" s="80"/>
      <c r="BP1687" s="80"/>
      <c r="BQ1687" s="80"/>
      <c r="BR1687" s="80"/>
      <c r="BS1687" s="80"/>
      <c r="BT1687" s="80"/>
      <c r="BU1687" s="80"/>
      <c r="BV1687" s="80"/>
      <c r="BW1687" s="80"/>
      <c r="BX1687" s="80"/>
      <c r="BY1687" s="80"/>
      <c r="BZ1687" s="80"/>
      <c r="CA1687" s="80"/>
      <c r="CB1687" s="80"/>
      <c r="CC1687" s="80"/>
      <c r="CD1687" s="80"/>
      <c r="CE1687" s="80"/>
      <c r="CF1687" s="80"/>
      <c r="CG1687" s="80"/>
      <c r="CH1687" s="80"/>
      <c r="CI1687" s="80"/>
      <c r="CJ1687" s="80"/>
    </row>
    <row r="1688" ht="12.75" customHeight="1">
      <c r="A1688" s="85"/>
      <c r="B1688" s="85"/>
      <c r="C1688" s="85"/>
      <c r="D1688" s="85"/>
      <c r="E1688" s="85"/>
      <c r="F1688" s="85"/>
      <c r="G1688" s="85"/>
      <c r="H1688" s="85"/>
      <c r="I1688" s="85"/>
      <c r="J1688" s="85"/>
      <c r="K1688" s="85"/>
      <c r="L1688" s="85"/>
      <c r="M1688" s="85"/>
      <c r="N1688" s="85"/>
      <c r="O1688" s="85"/>
      <c r="P1688" s="85"/>
      <c r="Q1688" s="85"/>
      <c r="R1688" s="85"/>
      <c r="S1688" s="85"/>
      <c r="T1688" s="85"/>
      <c r="U1688" s="85"/>
      <c r="V1688" s="85"/>
      <c r="W1688" s="85"/>
      <c r="X1688" s="85"/>
      <c r="Y1688" s="85"/>
      <c r="Z1688" s="85"/>
      <c r="AA1688" s="85"/>
      <c r="AB1688" s="85"/>
      <c r="AC1688" s="85"/>
      <c r="AD1688" s="85"/>
      <c r="AE1688" s="85"/>
      <c r="AF1688" s="85"/>
      <c r="AG1688" s="85"/>
      <c r="AH1688" s="85"/>
      <c r="AI1688" s="85"/>
      <c r="AJ1688" s="85"/>
      <c r="AK1688" s="85"/>
      <c r="AL1688" s="85"/>
      <c r="AM1688" s="85"/>
      <c r="AN1688" s="85"/>
      <c r="AO1688" s="85"/>
      <c r="AP1688" s="85"/>
      <c r="AQ1688" s="93"/>
      <c r="AR1688" s="85"/>
      <c r="AS1688" s="85"/>
      <c r="AT1688" s="85"/>
      <c r="AU1688" s="85"/>
      <c r="AV1688" s="85"/>
      <c r="AW1688" s="85"/>
      <c r="AX1688" s="85"/>
      <c r="AY1688" s="85"/>
      <c r="AZ1688" s="85"/>
      <c r="BA1688" s="85"/>
      <c r="BB1688" s="85"/>
      <c r="BC1688" s="85"/>
      <c r="BD1688" s="85"/>
      <c r="BE1688" s="85"/>
      <c r="BF1688" s="85"/>
      <c r="BG1688" s="85"/>
      <c r="BH1688" s="85"/>
      <c r="BI1688" s="85"/>
      <c r="BJ1688" s="85"/>
      <c r="BK1688" s="85"/>
      <c r="BL1688" s="85"/>
      <c r="BM1688" s="85"/>
      <c r="BN1688" s="85"/>
      <c r="BO1688" s="85"/>
      <c r="BP1688" s="85"/>
      <c r="BQ1688" s="85"/>
      <c r="BR1688" s="85"/>
      <c r="BS1688" s="85"/>
      <c r="BT1688" s="85"/>
      <c r="BU1688" s="85"/>
      <c r="BV1688" s="85"/>
      <c r="BW1688" s="85"/>
      <c r="BX1688" s="85"/>
      <c r="BY1688" s="85"/>
      <c r="BZ1688" s="85"/>
      <c r="CA1688" s="85"/>
      <c r="CB1688" s="85"/>
      <c r="CC1688" s="85"/>
      <c r="CD1688" s="85"/>
      <c r="CE1688" s="85"/>
      <c r="CF1688" s="85"/>
      <c r="CG1688" s="85"/>
      <c r="CH1688" s="85"/>
      <c r="CI1688" s="85"/>
      <c r="CJ1688" s="85"/>
    </row>
    <row r="1689" ht="12.75" customHeight="1">
      <c r="A1689" s="80"/>
      <c r="B1689" s="80"/>
      <c r="C1689" s="80"/>
      <c r="D1689" s="80"/>
      <c r="E1689" s="80"/>
      <c r="F1689" s="80"/>
      <c r="G1689" s="80"/>
      <c r="H1689" s="80"/>
      <c r="I1689" s="80"/>
      <c r="J1689" s="80"/>
      <c r="K1689" s="80"/>
      <c r="L1689" s="80"/>
      <c r="M1689" s="80"/>
      <c r="N1689" s="80"/>
      <c r="O1689" s="80"/>
      <c r="P1689" s="80"/>
      <c r="Q1689" s="80"/>
      <c r="R1689" s="80"/>
      <c r="S1689" s="80"/>
      <c r="T1689" s="80"/>
      <c r="U1689" s="80"/>
      <c r="V1689" s="80"/>
      <c r="W1689" s="80"/>
      <c r="X1689" s="80"/>
      <c r="Y1689" s="80"/>
      <c r="Z1689" s="80"/>
      <c r="AA1689" s="80"/>
      <c r="AB1689" s="80"/>
      <c r="AC1689" s="80"/>
      <c r="AD1689" s="80"/>
      <c r="AE1689" s="80"/>
      <c r="AF1689" s="80"/>
      <c r="AG1689" s="80"/>
      <c r="AH1689" s="80"/>
      <c r="AI1689" s="80"/>
      <c r="AJ1689" s="80"/>
      <c r="AK1689" s="80"/>
      <c r="AL1689" s="80"/>
      <c r="AM1689" s="80"/>
      <c r="AN1689" s="80"/>
      <c r="AO1689" s="80"/>
      <c r="AP1689" s="80"/>
      <c r="AQ1689" s="83"/>
      <c r="AR1689" s="80"/>
      <c r="AS1689" s="80"/>
      <c r="AT1689" s="80"/>
      <c r="AU1689" s="80"/>
      <c r="AV1689" s="80"/>
      <c r="AW1689" s="80"/>
      <c r="AX1689" s="80"/>
      <c r="AY1689" s="80"/>
      <c r="AZ1689" s="80"/>
      <c r="BA1689" s="80"/>
      <c r="BB1689" s="80"/>
      <c r="BC1689" s="80"/>
      <c r="BD1689" s="80"/>
      <c r="BE1689" s="80"/>
      <c r="BF1689" s="80"/>
      <c r="BG1689" s="80"/>
      <c r="BH1689" s="80"/>
      <c r="BI1689" s="80"/>
      <c r="BJ1689" s="80"/>
      <c r="BK1689" s="80"/>
      <c r="BL1689" s="80"/>
      <c r="BM1689" s="80"/>
      <c r="BN1689" s="80"/>
      <c r="BO1689" s="80"/>
      <c r="BP1689" s="80"/>
      <c r="BQ1689" s="80"/>
      <c r="BR1689" s="80"/>
      <c r="BS1689" s="80"/>
      <c r="BT1689" s="80"/>
      <c r="BU1689" s="80"/>
      <c r="BV1689" s="80"/>
      <c r="BW1689" s="80"/>
      <c r="BX1689" s="80"/>
      <c r="BY1689" s="80"/>
      <c r="BZ1689" s="80"/>
      <c r="CA1689" s="80"/>
      <c r="CB1689" s="80"/>
      <c r="CC1689" s="80"/>
      <c r="CD1689" s="80"/>
      <c r="CE1689" s="80"/>
      <c r="CF1689" s="80"/>
      <c r="CG1689" s="80"/>
      <c r="CH1689" s="80"/>
      <c r="CI1689" s="80"/>
      <c r="CJ1689" s="80"/>
    </row>
    <row r="1690" ht="12.75" customHeight="1">
      <c r="A1690" s="85"/>
      <c r="B1690" s="85"/>
      <c r="C1690" s="85"/>
      <c r="D1690" s="85"/>
      <c r="E1690" s="85"/>
      <c r="F1690" s="85"/>
      <c r="G1690" s="85"/>
      <c r="H1690" s="85"/>
      <c r="I1690" s="85"/>
      <c r="J1690" s="85"/>
      <c r="K1690" s="85"/>
      <c r="L1690" s="85"/>
      <c r="M1690" s="85"/>
      <c r="N1690" s="85"/>
      <c r="O1690" s="85"/>
      <c r="P1690" s="85"/>
      <c r="Q1690" s="85"/>
      <c r="R1690" s="85"/>
      <c r="S1690" s="85"/>
      <c r="T1690" s="85"/>
      <c r="U1690" s="85"/>
      <c r="V1690" s="85"/>
      <c r="W1690" s="85"/>
      <c r="X1690" s="85"/>
      <c r="Y1690" s="85"/>
      <c r="Z1690" s="85"/>
      <c r="AA1690" s="85"/>
      <c r="AB1690" s="85"/>
      <c r="AC1690" s="85"/>
      <c r="AD1690" s="85"/>
      <c r="AE1690" s="85"/>
      <c r="AF1690" s="85"/>
      <c r="AG1690" s="85"/>
      <c r="AH1690" s="85"/>
      <c r="AI1690" s="85"/>
      <c r="AJ1690" s="85"/>
      <c r="AK1690" s="85"/>
      <c r="AL1690" s="85"/>
      <c r="AM1690" s="85"/>
      <c r="AN1690" s="85"/>
      <c r="AO1690" s="85"/>
      <c r="AP1690" s="85"/>
      <c r="AQ1690" s="93"/>
      <c r="AR1690" s="85"/>
      <c r="AS1690" s="85"/>
      <c r="AT1690" s="85"/>
      <c r="AU1690" s="85"/>
      <c r="AV1690" s="85"/>
      <c r="AW1690" s="85"/>
      <c r="AX1690" s="85"/>
      <c r="AY1690" s="85"/>
      <c r="AZ1690" s="85"/>
      <c r="BA1690" s="85"/>
      <c r="BB1690" s="85"/>
      <c r="BC1690" s="85"/>
      <c r="BD1690" s="85"/>
      <c r="BE1690" s="85"/>
      <c r="BF1690" s="85"/>
      <c r="BG1690" s="85"/>
      <c r="BH1690" s="85"/>
      <c r="BI1690" s="85"/>
      <c r="BJ1690" s="85"/>
      <c r="BK1690" s="85"/>
      <c r="BL1690" s="85"/>
      <c r="BM1690" s="85"/>
      <c r="BN1690" s="85"/>
      <c r="BO1690" s="85"/>
      <c r="BP1690" s="85"/>
      <c r="BQ1690" s="85"/>
      <c r="BR1690" s="85"/>
      <c r="BS1690" s="85"/>
      <c r="BT1690" s="85"/>
      <c r="BU1690" s="85"/>
      <c r="BV1690" s="85"/>
      <c r="BW1690" s="85"/>
      <c r="BX1690" s="85"/>
      <c r="BY1690" s="85"/>
      <c r="BZ1690" s="85"/>
      <c r="CA1690" s="85"/>
      <c r="CB1690" s="85"/>
      <c r="CC1690" s="85"/>
      <c r="CD1690" s="85"/>
      <c r="CE1690" s="85"/>
      <c r="CF1690" s="85"/>
      <c r="CG1690" s="85"/>
      <c r="CH1690" s="85"/>
      <c r="CI1690" s="85"/>
      <c r="CJ1690" s="85"/>
    </row>
    <row r="1691" ht="12.75" customHeight="1">
      <c r="A1691" s="80"/>
      <c r="B1691" s="80"/>
      <c r="C1691" s="80"/>
      <c r="D1691" s="80"/>
      <c r="E1691" s="80"/>
      <c r="F1691" s="80"/>
      <c r="G1691" s="80"/>
      <c r="H1691" s="80"/>
      <c r="I1691" s="80"/>
      <c r="J1691" s="80"/>
      <c r="K1691" s="80"/>
      <c r="L1691" s="80"/>
      <c r="M1691" s="80"/>
      <c r="N1691" s="80"/>
      <c r="O1691" s="80"/>
      <c r="P1691" s="80"/>
      <c r="Q1691" s="80"/>
      <c r="R1691" s="80"/>
      <c r="S1691" s="80"/>
      <c r="T1691" s="80"/>
      <c r="U1691" s="80"/>
      <c r="V1691" s="80"/>
      <c r="W1691" s="80"/>
      <c r="X1691" s="80"/>
      <c r="Y1691" s="80"/>
      <c r="Z1691" s="80"/>
      <c r="AA1691" s="80"/>
      <c r="AB1691" s="80"/>
      <c r="AC1691" s="80"/>
      <c r="AD1691" s="80"/>
      <c r="AE1691" s="80"/>
      <c r="AF1691" s="80"/>
      <c r="AG1691" s="80"/>
      <c r="AH1691" s="80"/>
      <c r="AI1691" s="80"/>
      <c r="AJ1691" s="80"/>
      <c r="AK1691" s="80"/>
      <c r="AL1691" s="80"/>
      <c r="AM1691" s="80"/>
      <c r="AN1691" s="80"/>
      <c r="AO1691" s="80"/>
      <c r="AP1691" s="80"/>
      <c r="AQ1691" s="83"/>
      <c r="AR1691" s="80"/>
      <c r="AS1691" s="80"/>
      <c r="AT1691" s="80"/>
      <c r="AU1691" s="80"/>
      <c r="AV1691" s="80"/>
      <c r="AW1691" s="80"/>
      <c r="AX1691" s="80"/>
      <c r="AY1691" s="80"/>
      <c r="AZ1691" s="80"/>
      <c r="BA1691" s="80"/>
      <c r="BB1691" s="80"/>
      <c r="BC1691" s="80"/>
      <c r="BD1691" s="80"/>
      <c r="BE1691" s="80"/>
      <c r="BF1691" s="80"/>
      <c r="BG1691" s="80"/>
      <c r="BH1691" s="80"/>
      <c r="BI1691" s="80"/>
      <c r="BJ1691" s="80"/>
      <c r="BK1691" s="80"/>
      <c r="BL1691" s="80"/>
      <c r="BM1691" s="80"/>
      <c r="BN1691" s="80"/>
      <c r="BO1691" s="80"/>
      <c r="BP1691" s="80"/>
      <c r="BQ1691" s="80"/>
      <c r="BR1691" s="80"/>
      <c r="BS1691" s="80"/>
      <c r="BT1691" s="80"/>
      <c r="BU1691" s="80"/>
      <c r="BV1691" s="80"/>
      <c r="BW1691" s="80"/>
      <c r="BX1691" s="80"/>
      <c r="BY1691" s="80"/>
      <c r="BZ1691" s="80"/>
      <c r="CA1691" s="80"/>
      <c r="CB1691" s="80"/>
      <c r="CC1691" s="80"/>
      <c r="CD1691" s="80"/>
      <c r="CE1691" s="80"/>
      <c r="CF1691" s="80"/>
      <c r="CG1691" s="80"/>
      <c r="CH1691" s="80"/>
      <c r="CI1691" s="80"/>
      <c r="CJ1691" s="80"/>
    </row>
    <row r="1692" ht="12.75" customHeight="1">
      <c r="A1692" s="85"/>
      <c r="B1692" s="85"/>
      <c r="C1692" s="85"/>
      <c r="D1692" s="85"/>
      <c r="E1692" s="85"/>
      <c r="F1692" s="85"/>
      <c r="G1692" s="85"/>
      <c r="H1692" s="85"/>
      <c r="I1692" s="85"/>
      <c r="J1692" s="85"/>
      <c r="K1692" s="85"/>
      <c r="L1692" s="85"/>
      <c r="M1692" s="85"/>
      <c r="N1692" s="85"/>
      <c r="O1692" s="85"/>
      <c r="P1692" s="85"/>
      <c r="Q1692" s="85"/>
      <c r="R1692" s="85"/>
      <c r="S1692" s="85"/>
      <c r="T1692" s="85"/>
      <c r="U1692" s="85"/>
      <c r="V1692" s="85"/>
      <c r="W1692" s="85"/>
      <c r="X1692" s="85"/>
      <c r="Y1692" s="85"/>
      <c r="Z1692" s="85"/>
      <c r="AA1692" s="85"/>
      <c r="AB1692" s="85"/>
      <c r="AC1692" s="85"/>
      <c r="AD1692" s="85"/>
      <c r="AE1692" s="85"/>
      <c r="AF1692" s="85"/>
      <c r="AG1692" s="85"/>
      <c r="AH1692" s="85"/>
      <c r="AI1692" s="85"/>
      <c r="AJ1692" s="85"/>
      <c r="AK1692" s="85"/>
      <c r="AL1692" s="85"/>
      <c r="AM1692" s="85"/>
      <c r="AN1692" s="85"/>
      <c r="AO1692" s="85"/>
      <c r="AP1692" s="85"/>
      <c r="AQ1692" s="93"/>
      <c r="AR1692" s="85"/>
      <c r="AS1692" s="85"/>
      <c r="AT1692" s="85"/>
      <c r="AU1692" s="85"/>
      <c r="AV1692" s="85"/>
      <c r="AW1692" s="85"/>
      <c r="AX1692" s="85"/>
      <c r="AY1692" s="85"/>
      <c r="AZ1692" s="85"/>
      <c r="BA1692" s="85"/>
      <c r="BB1692" s="85"/>
      <c r="BC1692" s="85"/>
      <c r="BD1692" s="85"/>
      <c r="BE1692" s="85"/>
      <c r="BF1692" s="85"/>
      <c r="BG1692" s="85"/>
      <c r="BH1692" s="85"/>
      <c r="BI1692" s="85"/>
      <c r="BJ1692" s="85"/>
      <c r="BK1692" s="85"/>
      <c r="BL1692" s="85"/>
      <c r="BM1692" s="85"/>
      <c r="BN1692" s="85"/>
      <c r="BO1692" s="85"/>
      <c r="BP1692" s="85"/>
      <c r="BQ1692" s="85"/>
      <c r="BR1692" s="85"/>
      <c r="BS1692" s="85"/>
      <c r="BT1692" s="85"/>
      <c r="BU1692" s="85"/>
      <c r="BV1692" s="85"/>
      <c r="BW1692" s="85"/>
      <c r="BX1692" s="85"/>
      <c r="BY1692" s="85"/>
      <c r="BZ1692" s="85"/>
      <c r="CA1692" s="85"/>
      <c r="CB1692" s="85"/>
      <c r="CC1692" s="85"/>
      <c r="CD1692" s="85"/>
      <c r="CE1692" s="85"/>
      <c r="CF1692" s="85"/>
      <c r="CG1692" s="85"/>
      <c r="CH1692" s="85"/>
      <c r="CI1692" s="85"/>
      <c r="CJ1692" s="85"/>
    </row>
    <row r="1693" ht="12.75" customHeight="1">
      <c r="A1693" s="80"/>
      <c r="B1693" s="80"/>
      <c r="C1693" s="80"/>
      <c r="D1693" s="80"/>
      <c r="E1693" s="80"/>
      <c r="F1693" s="80"/>
      <c r="G1693" s="80"/>
      <c r="H1693" s="80"/>
      <c r="I1693" s="80"/>
      <c r="J1693" s="80"/>
      <c r="K1693" s="80"/>
      <c r="L1693" s="80"/>
      <c r="M1693" s="80"/>
      <c r="N1693" s="80"/>
      <c r="O1693" s="80"/>
      <c r="P1693" s="80"/>
      <c r="Q1693" s="80"/>
      <c r="R1693" s="80"/>
      <c r="S1693" s="80"/>
      <c r="T1693" s="80"/>
      <c r="U1693" s="80"/>
      <c r="V1693" s="80"/>
      <c r="W1693" s="80"/>
      <c r="X1693" s="80"/>
      <c r="Y1693" s="80"/>
      <c r="Z1693" s="80"/>
      <c r="AA1693" s="80"/>
      <c r="AB1693" s="80"/>
      <c r="AC1693" s="80"/>
      <c r="AD1693" s="80"/>
      <c r="AE1693" s="80"/>
      <c r="AF1693" s="80"/>
      <c r="AG1693" s="80"/>
      <c r="AH1693" s="80"/>
      <c r="AI1693" s="80"/>
      <c r="AJ1693" s="80"/>
      <c r="AK1693" s="80"/>
      <c r="AL1693" s="80"/>
      <c r="AM1693" s="80"/>
      <c r="AN1693" s="80"/>
      <c r="AO1693" s="80"/>
      <c r="AP1693" s="80"/>
      <c r="AQ1693" s="83"/>
      <c r="AR1693" s="80"/>
      <c r="AS1693" s="80"/>
      <c r="AT1693" s="80"/>
      <c r="AU1693" s="80"/>
      <c r="AV1693" s="80"/>
      <c r="AW1693" s="80"/>
      <c r="AX1693" s="80"/>
      <c r="AY1693" s="80"/>
      <c r="AZ1693" s="80"/>
      <c r="BA1693" s="80"/>
      <c r="BB1693" s="80"/>
      <c r="BC1693" s="80"/>
      <c r="BD1693" s="80"/>
      <c r="BE1693" s="80"/>
      <c r="BF1693" s="80"/>
      <c r="BG1693" s="80"/>
      <c r="BH1693" s="80"/>
      <c r="BI1693" s="80"/>
      <c r="BJ1693" s="80"/>
      <c r="BK1693" s="80"/>
      <c r="BL1693" s="80"/>
      <c r="BM1693" s="80"/>
      <c r="BN1693" s="80"/>
      <c r="BO1693" s="80"/>
      <c r="BP1693" s="80"/>
      <c r="BQ1693" s="80"/>
      <c r="BR1693" s="80"/>
      <c r="BS1693" s="80"/>
      <c r="BT1693" s="80"/>
      <c r="BU1693" s="80"/>
      <c r="BV1693" s="80"/>
      <c r="BW1693" s="80"/>
      <c r="BX1693" s="80"/>
      <c r="BY1693" s="80"/>
      <c r="BZ1693" s="80"/>
      <c r="CA1693" s="80"/>
      <c r="CB1693" s="80"/>
      <c r="CC1693" s="80"/>
      <c r="CD1693" s="80"/>
      <c r="CE1693" s="80"/>
      <c r="CF1693" s="80"/>
      <c r="CG1693" s="80"/>
      <c r="CH1693" s="80"/>
      <c r="CI1693" s="80"/>
      <c r="CJ1693" s="80"/>
    </row>
    <row r="1694" ht="12.75" customHeight="1">
      <c r="A1694" s="85"/>
      <c r="B1694" s="85"/>
      <c r="C1694" s="85"/>
      <c r="D1694" s="85"/>
      <c r="E1694" s="85"/>
      <c r="F1694" s="85"/>
      <c r="G1694" s="85"/>
      <c r="H1694" s="85"/>
      <c r="I1694" s="85"/>
      <c r="J1694" s="85"/>
      <c r="K1694" s="85"/>
      <c r="L1694" s="85"/>
      <c r="M1694" s="85"/>
      <c r="N1694" s="85"/>
      <c r="O1694" s="85"/>
      <c r="P1694" s="85"/>
      <c r="Q1694" s="85"/>
      <c r="R1694" s="85"/>
      <c r="S1694" s="85"/>
      <c r="T1694" s="85"/>
      <c r="U1694" s="85"/>
      <c r="V1694" s="85"/>
      <c r="W1694" s="85"/>
      <c r="X1694" s="85"/>
      <c r="Y1694" s="85"/>
      <c r="Z1694" s="85"/>
      <c r="AA1694" s="85"/>
      <c r="AB1694" s="85"/>
      <c r="AC1694" s="85"/>
      <c r="AD1694" s="85"/>
      <c r="AE1694" s="85"/>
      <c r="AF1694" s="85"/>
      <c r="AG1694" s="85"/>
      <c r="AH1694" s="85"/>
      <c r="AI1694" s="85"/>
      <c r="AJ1694" s="85"/>
      <c r="AK1694" s="85"/>
      <c r="AL1694" s="85"/>
      <c r="AM1694" s="85"/>
      <c r="AN1694" s="85"/>
      <c r="AO1694" s="85"/>
      <c r="AP1694" s="85"/>
      <c r="AQ1694" s="93"/>
      <c r="AR1694" s="85"/>
      <c r="AS1694" s="85"/>
      <c r="AT1694" s="85"/>
      <c r="AU1694" s="85"/>
      <c r="AV1694" s="85"/>
      <c r="AW1694" s="85"/>
      <c r="AX1694" s="85"/>
      <c r="AY1694" s="85"/>
      <c r="AZ1694" s="85"/>
      <c r="BA1694" s="85"/>
      <c r="BB1694" s="85"/>
      <c r="BC1694" s="85"/>
      <c r="BD1694" s="85"/>
      <c r="BE1694" s="85"/>
      <c r="BF1694" s="85"/>
      <c r="BG1694" s="85"/>
      <c r="BH1694" s="85"/>
      <c r="BI1694" s="85"/>
      <c r="BJ1694" s="85"/>
      <c r="BK1694" s="85"/>
      <c r="BL1694" s="85"/>
      <c r="BM1694" s="85"/>
      <c r="BN1694" s="85"/>
      <c r="BO1694" s="85"/>
      <c r="BP1694" s="85"/>
      <c r="BQ1694" s="85"/>
      <c r="BR1694" s="85"/>
      <c r="BS1694" s="85"/>
      <c r="BT1694" s="85"/>
      <c r="BU1694" s="85"/>
      <c r="BV1694" s="85"/>
      <c r="BW1694" s="85"/>
      <c r="BX1694" s="85"/>
      <c r="BY1694" s="85"/>
      <c r="BZ1694" s="85"/>
      <c r="CA1694" s="85"/>
      <c r="CB1694" s="85"/>
      <c r="CC1694" s="85"/>
      <c r="CD1694" s="85"/>
      <c r="CE1694" s="85"/>
      <c r="CF1694" s="85"/>
      <c r="CG1694" s="85"/>
      <c r="CH1694" s="85"/>
      <c r="CI1694" s="85"/>
      <c r="CJ1694" s="85"/>
    </row>
    <row r="1695" ht="12.75" customHeight="1">
      <c r="A1695" s="80"/>
      <c r="B1695" s="80"/>
      <c r="C1695" s="80"/>
      <c r="D1695" s="80"/>
      <c r="E1695" s="80"/>
      <c r="F1695" s="80"/>
      <c r="G1695" s="80"/>
      <c r="H1695" s="80"/>
      <c r="I1695" s="80"/>
      <c r="J1695" s="80"/>
      <c r="K1695" s="80"/>
      <c r="L1695" s="80"/>
      <c r="M1695" s="80"/>
      <c r="N1695" s="80"/>
      <c r="O1695" s="80"/>
      <c r="P1695" s="80"/>
      <c r="Q1695" s="80"/>
      <c r="R1695" s="80"/>
      <c r="S1695" s="80"/>
      <c r="T1695" s="80"/>
      <c r="U1695" s="80"/>
      <c r="V1695" s="80"/>
      <c r="W1695" s="80"/>
      <c r="X1695" s="80"/>
      <c r="Y1695" s="80"/>
      <c r="Z1695" s="80"/>
      <c r="AA1695" s="80"/>
      <c r="AB1695" s="80"/>
      <c r="AC1695" s="80"/>
      <c r="AD1695" s="80"/>
      <c r="AE1695" s="80"/>
      <c r="AF1695" s="80"/>
      <c r="AG1695" s="80"/>
      <c r="AH1695" s="80"/>
      <c r="AI1695" s="80"/>
      <c r="AJ1695" s="80"/>
      <c r="AK1695" s="80"/>
      <c r="AL1695" s="80"/>
      <c r="AM1695" s="80"/>
      <c r="AN1695" s="80"/>
      <c r="AO1695" s="80"/>
      <c r="AP1695" s="80"/>
      <c r="AQ1695" s="83"/>
      <c r="AR1695" s="80"/>
      <c r="AS1695" s="80"/>
      <c r="AT1695" s="80"/>
      <c r="AU1695" s="80"/>
      <c r="AV1695" s="80"/>
      <c r="AW1695" s="80"/>
      <c r="AX1695" s="80"/>
      <c r="AY1695" s="80"/>
      <c r="AZ1695" s="80"/>
      <c r="BA1695" s="80"/>
      <c r="BB1695" s="80"/>
      <c r="BC1695" s="80"/>
      <c r="BD1695" s="80"/>
      <c r="BE1695" s="80"/>
      <c r="BF1695" s="80"/>
      <c r="BG1695" s="80"/>
      <c r="BH1695" s="80"/>
      <c r="BI1695" s="80"/>
      <c r="BJ1695" s="80"/>
      <c r="BK1695" s="80"/>
      <c r="BL1695" s="80"/>
      <c r="BM1695" s="80"/>
      <c r="BN1695" s="80"/>
      <c r="BO1695" s="80"/>
      <c r="BP1695" s="80"/>
      <c r="BQ1695" s="80"/>
      <c r="BR1695" s="80"/>
      <c r="BS1695" s="80"/>
      <c r="BT1695" s="80"/>
      <c r="BU1695" s="80"/>
      <c r="BV1695" s="80"/>
      <c r="BW1695" s="80"/>
      <c r="BX1695" s="80"/>
      <c r="BY1695" s="80"/>
      <c r="BZ1695" s="80"/>
      <c r="CA1695" s="80"/>
      <c r="CB1695" s="80"/>
      <c r="CC1695" s="80"/>
      <c r="CD1695" s="80"/>
      <c r="CE1695" s="80"/>
      <c r="CF1695" s="80"/>
      <c r="CG1695" s="80"/>
      <c r="CH1695" s="80"/>
      <c r="CI1695" s="80"/>
      <c r="CJ1695" s="80"/>
    </row>
    <row r="1696" ht="12.75" customHeight="1">
      <c r="A1696" s="85"/>
      <c r="B1696" s="85"/>
      <c r="C1696" s="85"/>
      <c r="D1696" s="85"/>
      <c r="E1696" s="85"/>
      <c r="F1696" s="85"/>
      <c r="G1696" s="85"/>
      <c r="H1696" s="85"/>
      <c r="I1696" s="85"/>
      <c r="J1696" s="85"/>
      <c r="K1696" s="85"/>
      <c r="L1696" s="85"/>
      <c r="M1696" s="85"/>
      <c r="N1696" s="85"/>
      <c r="O1696" s="85"/>
      <c r="P1696" s="85"/>
      <c r="Q1696" s="85"/>
      <c r="R1696" s="85"/>
      <c r="S1696" s="85"/>
      <c r="T1696" s="85"/>
      <c r="U1696" s="85"/>
      <c r="V1696" s="85"/>
      <c r="W1696" s="85"/>
      <c r="X1696" s="85"/>
      <c r="Y1696" s="85"/>
      <c r="Z1696" s="85"/>
      <c r="AA1696" s="85"/>
      <c r="AB1696" s="85"/>
      <c r="AC1696" s="85"/>
      <c r="AD1696" s="85"/>
      <c r="AE1696" s="85"/>
      <c r="AF1696" s="85"/>
      <c r="AG1696" s="85"/>
      <c r="AH1696" s="85"/>
      <c r="AI1696" s="85"/>
      <c r="AJ1696" s="85"/>
      <c r="AK1696" s="85"/>
      <c r="AL1696" s="85"/>
      <c r="AM1696" s="85"/>
      <c r="AN1696" s="85"/>
      <c r="AO1696" s="85"/>
      <c r="AP1696" s="85"/>
      <c r="AQ1696" s="93"/>
      <c r="AR1696" s="85"/>
      <c r="AS1696" s="85"/>
      <c r="AT1696" s="85"/>
      <c r="AU1696" s="85"/>
      <c r="AV1696" s="85"/>
      <c r="AW1696" s="85"/>
      <c r="AX1696" s="85"/>
      <c r="AY1696" s="85"/>
      <c r="AZ1696" s="85"/>
      <c r="BA1696" s="85"/>
      <c r="BB1696" s="85"/>
      <c r="BC1696" s="85"/>
      <c r="BD1696" s="85"/>
      <c r="BE1696" s="85"/>
      <c r="BF1696" s="85"/>
      <c r="BG1696" s="85"/>
      <c r="BH1696" s="85"/>
      <c r="BI1696" s="85"/>
      <c r="BJ1696" s="85"/>
      <c r="BK1696" s="85"/>
      <c r="BL1696" s="85"/>
      <c r="BM1696" s="85"/>
      <c r="BN1696" s="85"/>
      <c r="BO1696" s="85"/>
      <c r="BP1696" s="85"/>
      <c r="BQ1696" s="85"/>
      <c r="BR1696" s="85"/>
      <c r="BS1696" s="85"/>
      <c r="BT1696" s="85"/>
      <c r="BU1696" s="85"/>
      <c r="BV1696" s="85"/>
      <c r="BW1696" s="85"/>
      <c r="BX1696" s="85"/>
      <c r="BY1696" s="85"/>
      <c r="BZ1696" s="85"/>
      <c r="CA1696" s="85"/>
      <c r="CB1696" s="85"/>
      <c r="CC1696" s="85"/>
      <c r="CD1696" s="85"/>
      <c r="CE1696" s="85"/>
      <c r="CF1696" s="85"/>
      <c r="CG1696" s="85"/>
      <c r="CH1696" s="85"/>
      <c r="CI1696" s="85"/>
      <c r="CJ1696" s="85"/>
    </row>
    <row r="1697" ht="12.75" customHeight="1">
      <c r="A1697" s="80"/>
      <c r="B1697" s="80"/>
      <c r="C1697" s="80"/>
      <c r="D1697" s="80"/>
      <c r="E1697" s="80"/>
      <c r="F1697" s="80"/>
      <c r="G1697" s="80"/>
      <c r="H1697" s="80"/>
      <c r="I1697" s="80"/>
      <c r="J1697" s="80"/>
      <c r="K1697" s="80"/>
      <c r="L1697" s="80"/>
      <c r="M1697" s="80"/>
      <c r="N1697" s="80"/>
      <c r="O1697" s="80"/>
      <c r="P1697" s="80"/>
      <c r="Q1697" s="80"/>
      <c r="R1697" s="80"/>
      <c r="S1697" s="80"/>
      <c r="T1697" s="80"/>
      <c r="U1697" s="80"/>
      <c r="V1697" s="80"/>
      <c r="W1697" s="80"/>
      <c r="X1697" s="80"/>
      <c r="Y1697" s="80"/>
      <c r="Z1697" s="80"/>
      <c r="AA1697" s="80"/>
      <c r="AB1697" s="80"/>
      <c r="AC1697" s="80"/>
      <c r="AD1697" s="80"/>
      <c r="AE1697" s="80"/>
      <c r="AF1697" s="80"/>
      <c r="AG1697" s="80"/>
      <c r="AH1697" s="80"/>
      <c r="AI1697" s="80"/>
      <c r="AJ1697" s="80"/>
      <c r="AK1697" s="80"/>
      <c r="AL1697" s="80"/>
      <c r="AM1697" s="80"/>
      <c r="AN1697" s="80"/>
      <c r="AO1697" s="80"/>
      <c r="AP1697" s="80"/>
      <c r="AQ1697" s="83"/>
      <c r="AR1697" s="80"/>
      <c r="AS1697" s="80"/>
      <c r="AT1697" s="80"/>
      <c r="AU1697" s="80"/>
      <c r="AV1697" s="80"/>
      <c r="AW1697" s="80"/>
      <c r="AX1697" s="80"/>
      <c r="AY1697" s="80"/>
      <c r="AZ1697" s="80"/>
      <c r="BA1697" s="80"/>
      <c r="BB1697" s="80"/>
      <c r="BC1697" s="80"/>
      <c r="BD1697" s="80"/>
      <c r="BE1697" s="80"/>
      <c r="BF1697" s="80"/>
      <c r="BG1697" s="80"/>
      <c r="BH1697" s="80"/>
      <c r="BI1697" s="80"/>
      <c r="BJ1697" s="80"/>
      <c r="BK1697" s="80"/>
      <c r="BL1697" s="80"/>
      <c r="BM1697" s="80"/>
      <c r="BN1697" s="80"/>
      <c r="BO1697" s="80"/>
      <c r="BP1697" s="80"/>
      <c r="BQ1697" s="80"/>
      <c r="BR1697" s="80"/>
      <c r="BS1697" s="80"/>
      <c r="BT1697" s="80"/>
      <c r="BU1697" s="80"/>
      <c r="BV1697" s="80"/>
      <c r="BW1697" s="80"/>
      <c r="BX1697" s="80"/>
      <c r="BY1697" s="80"/>
      <c r="BZ1697" s="80"/>
      <c r="CA1697" s="80"/>
      <c r="CB1697" s="80"/>
      <c r="CC1697" s="80"/>
      <c r="CD1697" s="80"/>
      <c r="CE1697" s="80"/>
      <c r="CF1697" s="80"/>
      <c r="CG1697" s="80"/>
      <c r="CH1697" s="80"/>
      <c r="CI1697" s="80"/>
      <c r="CJ1697" s="80"/>
    </row>
    <row r="1698" ht="12.75" customHeight="1">
      <c r="A1698" s="85"/>
      <c r="B1698" s="85"/>
      <c r="C1698" s="85"/>
      <c r="D1698" s="85"/>
      <c r="E1698" s="85"/>
      <c r="F1698" s="85"/>
      <c r="G1698" s="85"/>
      <c r="H1698" s="85"/>
      <c r="I1698" s="85"/>
      <c r="J1698" s="85"/>
      <c r="K1698" s="85"/>
      <c r="L1698" s="85"/>
      <c r="M1698" s="85"/>
      <c r="N1698" s="85"/>
      <c r="O1698" s="85"/>
      <c r="P1698" s="85"/>
      <c r="Q1698" s="85"/>
      <c r="R1698" s="85"/>
      <c r="S1698" s="85"/>
      <c r="T1698" s="85"/>
      <c r="U1698" s="85"/>
      <c r="V1698" s="85"/>
      <c r="W1698" s="85"/>
      <c r="X1698" s="85"/>
      <c r="Y1698" s="85"/>
      <c r="Z1698" s="85"/>
      <c r="AA1698" s="85"/>
      <c r="AB1698" s="85"/>
      <c r="AC1698" s="85"/>
      <c r="AD1698" s="85"/>
      <c r="AE1698" s="85"/>
      <c r="AF1698" s="85"/>
      <c r="AG1698" s="85"/>
      <c r="AH1698" s="85"/>
      <c r="AI1698" s="85"/>
      <c r="AJ1698" s="85"/>
      <c r="AK1698" s="85"/>
      <c r="AL1698" s="85"/>
      <c r="AM1698" s="85"/>
      <c r="AN1698" s="85"/>
      <c r="AO1698" s="85"/>
      <c r="AP1698" s="85"/>
      <c r="AQ1698" s="93"/>
      <c r="AR1698" s="85"/>
      <c r="AS1698" s="85"/>
      <c r="AT1698" s="85"/>
      <c r="AU1698" s="85"/>
      <c r="AV1698" s="85"/>
      <c r="AW1698" s="85"/>
      <c r="AX1698" s="85"/>
      <c r="AY1698" s="85"/>
      <c r="AZ1698" s="85"/>
      <c r="BA1698" s="85"/>
      <c r="BB1698" s="85"/>
      <c r="BC1698" s="85"/>
      <c r="BD1698" s="85"/>
      <c r="BE1698" s="85"/>
      <c r="BF1698" s="85"/>
      <c r="BG1698" s="85"/>
      <c r="BH1698" s="85"/>
      <c r="BI1698" s="85"/>
      <c r="BJ1698" s="85"/>
      <c r="BK1698" s="85"/>
      <c r="BL1698" s="85"/>
      <c r="BM1698" s="85"/>
      <c r="BN1698" s="85"/>
      <c r="BO1698" s="85"/>
      <c r="BP1698" s="85"/>
      <c r="BQ1698" s="85"/>
      <c r="BR1698" s="85"/>
      <c r="BS1698" s="85"/>
      <c r="BT1698" s="85"/>
      <c r="BU1698" s="85"/>
      <c r="BV1698" s="85"/>
      <c r="BW1698" s="85"/>
      <c r="BX1698" s="85"/>
      <c r="BY1698" s="85"/>
      <c r="BZ1698" s="85"/>
      <c r="CA1698" s="85"/>
      <c r="CB1698" s="85"/>
      <c r="CC1698" s="85"/>
      <c r="CD1698" s="85"/>
      <c r="CE1698" s="85"/>
      <c r="CF1698" s="85"/>
      <c r="CG1698" s="85"/>
      <c r="CH1698" s="85"/>
      <c r="CI1698" s="85"/>
      <c r="CJ1698" s="85"/>
    </row>
    <row r="1699" ht="12.75" customHeight="1">
      <c r="A1699" s="80"/>
      <c r="B1699" s="80"/>
      <c r="C1699" s="80"/>
      <c r="D1699" s="80"/>
      <c r="E1699" s="80"/>
      <c r="F1699" s="80"/>
      <c r="G1699" s="80"/>
      <c r="H1699" s="80"/>
      <c r="I1699" s="80"/>
      <c r="J1699" s="80"/>
      <c r="K1699" s="80"/>
      <c r="L1699" s="80"/>
      <c r="M1699" s="80"/>
      <c r="N1699" s="80"/>
      <c r="O1699" s="80"/>
      <c r="P1699" s="80"/>
      <c r="Q1699" s="80"/>
      <c r="R1699" s="80"/>
      <c r="S1699" s="80"/>
      <c r="T1699" s="80"/>
      <c r="U1699" s="80"/>
      <c r="V1699" s="80"/>
      <c r="W1699" s="80"/>
      <c r="X1699" s="80"/>
      <c r="Y1699" s="80"/>
      <c r="Z1699" s="80"/>
      <c r="AA1699" s="80"/>
      <c r="AB1699" s="80"/>
      <c r="AC1699" s="80"/>
      <c r="AD1699" s="80"/>
      <c r="AE1699" s="80"/>
      <c r="AF1699" s="80"/>
      <c r="AG1699" s="80"/>
      <c r="AH1699" s="80"/>
      <c r="AI1699" s="80"/>
      <c r="AJ1699" s="80"/>
      <c r="AK1699" s="80"/>
      <c r="AL1699" s="80"/>
      <c r="AM1699" s="80"/>
      <c r="AN1699" s="80"/>
      <c r="AO1699" s="80"/>
      <c r="AP1699" s="80"/>
      <c r="AQ1699" s="83"/>
      <c r="AR1699" s="80"/>
      <c r="AS1699" s="80"/>
      <c r="AT1699" s="80"/>
      <c r="AU1699" s="80"/>
      <c r="AV1699" s="80"/>
      <c r="AW1699" s="80"/>
      <c r="AX1699" s="80"/>
      <c r="AY1699" s="80"/>
      <c r="AZ1699" s="80"/>
      <c r="BA1699" s="80"/>
      <c r="BB1699" s="80"/>
      <c r="BC1699" s="80"/>
      <c r="BD1699" s="80"/>
      <c r="BE1699" s="80"/>
      <c r="BF1699" s="80"/>
      <c r="BG1699" s="80"/>
      <c r="BH1699" s="80"/>
      <c r="BI1699" s="80"/>
      <c r="BJ1699" s="80"/>
      <c r="BK1699" s="80"/>
      <c r="BL1699" s="80"/>
      <c r="BM1699" s="80"/>
      <c r="BN1699" s="80"/>
      <c r="BO1699" s="80"/>
      <c r="BP1699" s="80"/>
      <c r="BQ1699" s="80"/>
      <c r="BR1699" s="80"/>
      <c r="BS1699" s="80"/>
      <c r="BT1699" s="80"/>
      <c r="BU1699" s="80"/>
      <c r="BV1699" s="80"/>
      <c r="BW1699" s="80"/>
      <c r="BX1699" s="80"/>
      <c r="BY1699" s="80"/>
      <c r="BZ1699" s="80"/>
      <c r="CA1699" s="80"/>
      <c r="CB1699" s="80"/>
      <c r="CC1699" s="80"/>
      <c r="CD1699" s="80"/>
      <c r="CE1699" s="80"/>
      <c r="CF1699" s="80"/>
      <c r="CG1699" s="80"/>
      <c r="CH1699" s="80"/>
      <c r="CI1699" s="80"/>
      <c r="CJ1699" s="80"/>
    </row>
    <row r="1700" ht="12.75" customHeight="1">
      <c r="A1700" s="85"/>
      <c r="B1700" s="85"/>
      <c r="C1700" s="85"/>
      <c r="D1700" s="85"/>
      <c r="E1700" s="85"/>
      <c r="F1700" s="85"/>
      <c r="G1700" s="85"/>
      <c r="H1700" s="85"/>
      <c r="I1700" s="85"/>
      <c r="J1700" s="85"/>
      <c r="K1700" s="85"/>
      <c r="L1700" s="85"/>
      <c r="M1700" s="85"/>
      <c r="N1700" s="85"/>
      <c r="O1700" s="85"/>
      <c r="P1700" s="85"/>
      <c r="Q1700" s="85"/>
      <c r="R1700" s="85"/>
      <c r="S1700" s="85"/>
      <c r="T1700" s="85"/>
      <c r="U1700" s="85"/>
      <c r="V1700" s="85"/>
      <c r="W1700" s="85"/>
      <c r="X1700" s="85"/>
      <c r="Y1700" s="85"/>
      <c r="Z1700" s="85"/>
      <c r="AA1700" s="85"/>
      <c r="AB1700" s="85"/>
      <c r="AC1700" s="85"/>
      <c r="AD1700" s="85"/>
      <c r="AE1700" s="85"/>
      <c r="AF1700" s="85"/>
      <c r="AG1700" s="85"/>
      <c r="AH1700" s="85"/>
      <c r="AI1700" s="85"/>
      <c r="AJ1700" s="85"/>
      <c r="AK1700" s="85"/>
      <c r="AL1700" s="85"/>
      <c r="AM1700" s="85"/>
      <c r="AN1700" s="85"/>
      <c r="AO1700" s="85"/>
      <c r="AP1700" s="85"/>
      <c r="AQ1700" s="93"/>
      <c r="AR1700" s="85"/>
      <c r="AS1700" s="85"/>
      <c r="AT1700" s="85"/>
      <c r="AU1700" s="85"/>
      <c r="AV1700" s="85"/>
      <c r="AW1700" s="85"/>
      <c r="AX1700" s="85"/>
      <c r="AY1700" s="85"/>
      <c r="AZ1700" s="85"/>
      <c r="BA1700" s="85"/>
      <c r="BB1700" s="85"/>
      <c r="BC1700" s="85"/>
      <c r="BD1700" s="85"/>
      <c r="BE1700" s="85"/>
      <c r="BF1700" s="85"/>
      <c r="BG1700" s="85"/>
      <c r="BH1700" s="85"/>
      <c r="BI1700" s="85"/>
      <c r="BJ1700" s="85"/>
      <c r="BK1700" s="85"/>
      <c r="BL1700" s="85"/>
      <c r="BM1700" s="85"/>
      <c r="BN1700" s="85"/>
      <c r="BO1700" s="85"/>
      <c r="BP1700" s="85"/>
      <c r="BQ1700" s="85"/>
      <c r="BR1700" s="85"/>
      <c r="BS1700" s="85"/>
      <c r="BT1700" s="85"/>
      <c r="BU1700" s="85"/>
      <c r="BV1700" s="85"/>
      <c r="BW1700" s="85"/>
      <c r="BX1700" s="85"/>
      <c r="BY1700" s="85"/>
      <c r="BZ1700" s="85"/>
      <c r="CA1700" s="85"/>
      <c r="CB1700" s="85"/>
      <c r="CC1700" s="85"/>
      <c r="CD1700" s="85"/>
      <c r="CE1700" s="85"/>
      <c r="CF1700" s="85"/>
      <c r="CG1700" s="85"/>
      <c r="CH1700" s="85"/>
      <c r="CI1700" s="85"/>
      <c r="CJ1700" s="85"/>
    </row>
    <row r="1701" ht="12.75" customHeight="1">
      <c r="A1701" s="80"/>
      <c r="B1701" s="80"/>
      <c r="C1701" s="80"/>
      <c r="D1701" s="80"/>
      <c r="E1701" s="80"/>
      <c r="F1701" s="80"/>
      <c r="G1701" s="80"/>
      <c r="H1701" s="80"/>
      <c r="I1701" s="80"/>
      <c r="J1701" s="80"/>
      <c r="K1701" s="80"/>
      <c r="L1701" s="80"/>
      <c r="M1701" s="80"/>
      <c r="N1701" s="80"/>
      <c r="O1701" s="80"/>
      <c r="P1701" s="80"/>
      <c r="Q1701" s="80"/>
      <c r="R1701" s="80"/>
      <c r="S1701" s="80"/>
      <c r="T1701" s="80"/>
      <c r="U1701" s="80"/>
      <c r="V1701" s="80"/>
      <c r="W1701" s="80"/>
      <c r="X1701" s="80"/>
      <c r="Y1701" s="80"/>
      <c r="Z1701" s="80"/>
      <c r="AA1701" s="80"/>
      <c r="AB1701" s="80"/>
      <c r="AC1701" s="80"/>
      <c r="AD1701" s="80"/>
      <c r="AE1701" s="80"/>
      <c r="AF1701" s="80"/>
      <c r="AG1701" s="80"/>
      <c r="AH1701" s="80"/>
      <c r="AI1701" s="80"/>
      <c r="AJ1701" s="80"/>
      <c r="AK1701" s="80"/>
      <c r="AL1701" s="80"/>
      <c r="AM1701" s="80"/>
      <c r="AN1701" s="80"/>
      <c r="AO1701" s="80"/>
      <c r="AP1701" s="80"/>
      <c r="AQ1701" s="83"/>
      <c r="AR1701" s="80"/>
      <c r="AS1701" s="80"/>
      <c r="AT1701" s="80"/>
      <c r="AU1701" s="80"/>
      <c r="AV1701" s="80"/>
      <c r="AW1701" s="80"/>
      <c r="AX1701" s="80"/>
      <c r="AY1701" s="80"/>
      <c r="AZ1701" s="80"/>
      <c r="BA1701" s="80"/>
      <c r="BB1701" s="80"/>
      <c r="BC1701" s="80"/>
      <c r="BD1701" s="80"/>
      <c r="BE1701" s="80"/>
      <c r="BF1701" s="80"/>
      <c r="BG1701" s="80"/>
      <c r="BH1701" s="80"/>
      <c r="BI1701" s="80"/>
      <c r="BJ1701" s="80"/>
      <c r="BK1701" s="80"/>
      <c r="BL1701" s="80"/>
      <c r="BM1701" s="80"/>
      <c r="BN1701" s="80"/>
      <c r="BO1701" s="80"/>
      <c r="BP1701" s="80"/>
      <c r="BQ1701" s="80"/>
      <c r="BR1701" s="80"/>
      <c r="BS1701" s="80"/>
      <c r="BT1701" s="80"/>
      <c r="BU1701" s="80"/>
      <c r="BV1701" s="80"/>
      <c r="BW1701" s="80"/>
      <c r="BX1701" s="80"/>
      <c r="BY1701" s="80"/>
      <c r="BZ1701" s="80"/>
      <c r="CA1701" s="80"/>
      <c r="CB1701" s="80"/>
      <c r="CC1701" s="80"/>
      <c r="CD1701" s="80"/>
      <c r="CE1701" s="80"/>
      <c r="CF1701" s="80"/>
      <c r="CG1701" s="80"/>
      <c r="CH1701" s="80"/>
      <c r="CI1701" s="80"/>
      <c r="CJ1701" s="80"/>
    </row>
    <row r="1702" ht="12.75" customHeight="1">
      <c r="A1702" s="85"/>
      <c r="B1702" s="85"/>
      <c r="C1702" s="85"/>
      <c r="D1702" s="85"/>
      <c r="E1702" s="85"/>
      <c r="F1702" s="85"/>
      <c r="G1702" s="85"/>
      <c r="H1702" s="85"/>
      <c r="I1702" s="85"/>
      <c r="J1702" s="85"/>
      <c r="K1702" s="85"/>
      <c r="L1702" s="85"/>
      <c r="M1702" s="85"/>
      <c r="N1702" s="85"/>
      <c r="O1702" s="85"/>
      <c r="P1702" s="85"/>
      <c r="Q1702" s="85"/>
      <c r="R1702" s="85"/>
      <c r="S1702" s="85"/>
      <c r="T1702" s="85"/>
      <c r="U1702" s="85"/>
      <c r="V1702" s="85"/>
      <c r="W1702" s="85"/>
      <c r="X1702" s="85"/>
      <c r="Y1702" s="85"/>
      <c r="Z1702" s="85"/>
      <c r="AA1702" s="85"/>
      <c r="AB1702" s="85"/>
      <c r="AC1702" s="85"/>
      <c r="AD1702" s="85"/>
      <c r="AE1702" s="85"/>
      <c r="AF1702" s="85"/>
      <c r="AG1702" s="85"/>
      <c r="AH1702" s="85"/>
      <c r="AI1702" s="85"/>
      <c r="AJ1702" s="85"/>
      <c r="AK1702" s="85"/>
      <c r="AL1702" s="85"/>
      <c r="AM1702" s="85"/>
      <c r="AN1702" s="85"/>
      <c r="AO1702" s="85"/>
      <c r="AP1702" s="85"/>
      <c r="AQ1702" s="93"/>
      <c r="AR1702" s="85"/>
      <c r="AS1702" s="85"/>
      <c r="AT1702" s="85"/>
      <c r="AU1702" s="85"/>
      <c r="AV1702" s="85"/>
      <c r="AW1702" s="85"/>
      <c r="AX1702" s="85"/>
      <c r="AY1702" s="85"/>
      <c r="AZ1702" s="85"/>
      <c r="BA1702" s="85"/>
      <c r="BB1702" s="85"/>
      <c r="BC1702" s="85"/>
      <c r="BD1702" s="85"/>
      <c r="BE1702" s="85"/>
      <c r="BF1702" s="85"/>
      <c r="BG1702" s="85"/>
      <c r="BH1702" s="85"/>
      <c r="BI1702" s="85"/>
      <c r="BJ1702" s="85"/>
      <c r="BK1702" s="85"/>
      <c r="BL1702" s="85"/>
      <c r="BM1702" s="85"/>
      <c r="BN1702" s="85"/>
      <c r="BO1702" s="85"/>
      <c r="BP1702" s="85"/>
      <c r="BQ1702" s="85"/>
      <c r="BR1702" s="85"/>
      <c r="BS1702" s="85"/>
      <c r="BT1702" s="85"/>
      <c r="BU1702" s="85"/>
      <c r="BV1702" s="85"/>
      <c r="BW1702" s="85"/>
      <c r="BX1702" s="85"/>
      <c r="BY1702" s="85"/>
      <c r="BZ1702" s="85"/>
      <c r="CA1702" s="85"/>
      <c r="CB1702" s="85"/>
      <c r="CC1702" s="85"/>
      <c r="CD1702" s="85"/>
      <c r="CE1702" s="85"/>
      <c r="CF1702" s="85"/>
      <c r="CG1702" s="85"/>
      <c r="CH1702" s="85"/>
      <c r="CI1702" s="85"/>
      <c r="CJ1702" s="85"/>
    </row>
    <row r="1703" ht="12.75" customHeight="1">
      <c r="A1703" s="80"/>
      <c r="B1703" s="80"/>
      <c r="C1703" s="80"/>
      <c r="D1703" s="80"/>
      <c r="E1703" s="80"/>
      <c r="F1703" s="80"/>
      <c r="G1703" s="80"/>
      <c r="H1703" s="80"/>
      <c r="I1703" s="80"/>
      <c r="J1703" s="80"/>
      <c r="K1703" s="80"/>
      <c r="L1703" s="80"/>
      <c r="M1703" s="80"/>
      <c r="N1703" s="80"/>
      <c r="O1703" s="80"/>
      <c r="P1703" s="80"/>
      <c r="Q1703" s="80"/>
      <c r="R1703" s="80"/>
      <c r="S1703" s="80"/>
      <c r="T1703" s="80"/>
      <c r="U1703" s="80"/>
      <c r="V1703" s="80"/>
      <c r="W1703" s="80"/>
      <c r="X1703" s="80"/>
      <c r="Y1703" s="80"/>
      <c r="Z1703" s="80"/>
      <c r="AA1703" s="80"/>
      <c r="AB1703" s="80"/>
      <c r="AC1703" s="80"/>
      <c r="AD1703" s="80"/>
      <c r="AE1703" s="80"/>
      <c r="AF1703" s="80"/>
      <c r="AG1703" s="80"/>
      <c r="AH1703" s="80"/>
      <c r="AI1703" s="80"/>
      <c r="AJ1703" s="80"/>
      <c r="AK1703" s="80"/>
      <c r="AL1703" s="80"/>
      <c r="AM1703" s="80"/>
      <c r="AN1703" s="80"/>
      <c r="AO1703" s="80"/>
      <c r="AP1703" s="80"/>
      <c r="AQ1703" s="83"/>
      <c r="AR1703" s="80"/>
      <c r="AS1703" s="80"/>
      <c r="AT1703" s="80"/>
      <c r="AU1703" s="80"/>
      <c r="AV1703" s="80"/>
      <c r="AW1703" s="80"/>
      <c r="AX1703" s="80"/>
      <c r="AY1703" s="80"/>
      <c r="AZ1703" s="80"/>
      <c r="BA1703" s="80"/>
      <c r="BB1703" s="80"/>
      <c r="BC1703" s="80"/>
      <c r="BD1703" s="80"/>
      <c r="BE1703" s="80"/>
      <c r="BF1703" s="80"/>
      <c r="BG1703" s="80"/>
      <c r="BH1703" s="80"/>
      <c r="BI1703" s="80"/>
      <c r="BJ1703" s="80"/>
      <c r="BK1703" s="80"/>
      <c r="BL1703" s="80"/>
      <c r="BM1703" s="80"/>
      <c r="BN1703" s="80"/>
      <c r="BO1703" s="80"/>
      <c r="BP1703" s="80"/>
      <c r="BQ1703" s="80"/>
      <c r="BR1703" s="80"/>
      <c r="BS1703" s="80"/>
      <c r="BT1703" s="80"/>
      <c r="BU1703" s="80"/>
      <c r="BV1703" s="80"/>
      <c r="BW1703" s="80"/>
      <c r="BX1703" s="80"/>
      <c r="BY1703" s="80"/>
      <c r="BZ1703" s="80"/>
      <c r="CA1703" s="80"/>
      <c r="CB1703" s="80"/>
      <c r="CC1703" s="80"/>
      <c r="CD1703" s="80"/>
      <c r="CE1703" s="80"/>
      <c r="CF1703" s="80"/>
      <c r="CG1703" s="80"/>
      <c r="CH1703" s="80"/>
      <c r="CI1703" s="80"/>
      <c r="CJ1703" s="80"/>
    </row>
    <row r="1704" ht="12.75" customHeight="1">
      <c r="A1704" s="85"/>
      <c r="B1704" s="85"/>
      <c r="C1704" s="85"/>
      <c r="D1704" s="85"/>
      <c r="E1704" s="85"/>
      <c r="F1704" s="85"/>
      <c r="G1704" s="85"/>
      <c r="H1704" s="85"/>
      <c r="I1704" s="85"/>
      <c r="J1704" s="85"/>
      <c r="K1704" s="85"/>
      <c r="L1704" s="85"/>
      <c r="M1704" s="85"/>
      <c r="N1704" s="85"/>
      <c r="O1704" s="85"/>
      <c r="P1704" s="85"/>
      <c r="Q1704" s="85"/>
      <c r="R1704" s="85"/>
      <c r="S1704" s="85"/>
      <c r="T1704" s="85"/>
      <c r="U1704" s="85"/>
      <c r="V1704" s="85"/>
      <c r="W1704" s="85"/>
      <c r="X1704" s="85"/>
      <c r="Y1704" s="85"/>
      <c r="Z1704" s="85"/>
      <c r="AA1704" s="85"/>
      <c r="AB1704" s="85"/>
      <c r="AC1704" s="85"/>
      <c r="AD1704" s="85"/>
      <c r="AE1704" s="85"/>
      <c r="AF1704" s="85"/>
      <c r="AG1704" s="85"/>
      <c r="AH1704" s="85"/>
      <c r="AI1704" s="85"/>
      <c r="AJ1704" s="85"/>
      <c r="AK1704" s="85"/>
      <c r="AL1704" s="85"/>
      <c r="AM1704" s="85"/>
      <c r="AN1704" s="85"/>
      <c r="AO1704" s="85"/>
      <c r="AP1704" s="85"/>
      <c r="AQ1704" s="93"/>
      <c r="AR1704" s="85"/>
      <c r="AS1704" s="85"/>
      <c r="AT1704" s="85"/>
      <c r="AU1704" s="85"/>
      <c r="AV1704" s="85"/>
      <c r="AW1704" s="85"/>
      <c r="AX1704" s="85"/>
      <c r="AY1704" s="85"/>
      <c r="AZ1704" s="85"/>
      <c r="BA1704" s="85"/>
      <c r="BB1704" s="85"/>
      <c r="BC1704" s="85"/>
      <c r="BD1704" s="85"/>
      <c r="BE1704" s="85"/>
      <c r="BF1704" s="85"/>
      <c r="BG1704" s="85"/>
      <c r="BH1704" s="85"/>
      <c r="BI1704" s="85"/>
      <c r="BJ1704" s="85"/>
      <c r="BK1704" s="85"/>
      <c r="BL1704" s="85"/>
      <c r="BM1704" s="85"/>
      <c r="BN1704" s="85"/>
      <c r="BO1704" s="85"/>
      <c r="BP1704" s="85"/>
      <c r="BQ1704" s="85"/>
      <c r="BR1704" s="85"/>
      <c r="BS1704" s="85"/>
      <c r="BT1704" s="85"/>
      <c r="BU1704" s="85"/>
      <c r="BV1704" s="85"/>
      <c r="BW1704" s="85"/>
      <c r="BX1704" s="85"/>
      <c r="BY1704" s="85"/>
      <c r="BZ1704" s="85"/>
      <c r="CA1704" s="85"/>
      <c r="CB1704" s="85"/>
      <c r="CC1704" s="85"/>
      <c r="CD1704" s="85"/>
      <c r="CE1704" s="85"/>
      <c r="CF1704" s="85"/>
      <c r="CG1704" s="85"/>
      <c r="CH1704" s="85"/>
      <c r="CI1704" s="85"/>
      <c r="CJ1704" s="85"/>
    </row>
    <row r="1705" ht="12.75" customHeight="1">
      <c r="A1705" s="80"/>
      <c r="B1705" s="80"/>
      <c r="C1705" s="80"/>
      <c r="D1705" s="80"/>
      <c r="E1705" s="80"/>
      <c r="F1705" s="80"/>
      <c r="G1705" s="80"/>
      <c r="H1705" s="80"/>
      <c r="I1705" s="80"/>
      <c r="J1705" s="80"/>
      <c r="K1705" s="80"/>
      <c r="L1705" s="80"/>
      <c r="M1705" s="80"/>
      <c r="N1705" s="80"/>
      <c r="O1705" s="80"/>
      <c r="P1705" s="80"/>
      <c r="Q1705" s="80"/>
      <c r="R1705" s="80"/>
      <c r="S1705" s="80"/>
      <c r="T1705" s="80"/>
      <c r="U1705" s="80"/>
      <c r="V1705" s="80"/>
      <c r="W1705" s="80"/>
      <c r="X1705" s="80"/>
      <c r="Y1705" s="80"/>
      <c r="Z1705" s="80"/>
      <c r="AA1705" s="80"/>
      <c r="AB1705" s="80"/>
      <c r="AC1705" s="80"/>
      <c r="AD1705" s="80"/>
      <c r="AE1705" s="80"/>
      <c r="AF1705" s="80"/>
      <c r="AG1705" s="80"/>
      <c r="AH1705" s="80"/>
      <c r="AI1705" s="80"/>
      <c r="AJ1705" s="80"/>
      <c r="AK1705" s="80"/>
      <c r="AL1705" s="80"/>
      <c r="AM1705" s="80"/>
      <c r="AN1705" s="80"/>
      <c r="AO1705" s="80"/>
      <c r="AP1705" s="80"/>
      <c r="AQ1705" s="83"/>
      <c r="AR1705" s="80"/>
      <c r="AS1705" s="80"/>
      <c r="AT1705" s="80"/>
      <c r="AU1705" s="80"/>
      <c r="AV1705" s="80"/>
      <c r="AW1705" s="80"/>
      <c r="AX1705" s="80"/>
      <c r="AY1705" s="80"/>
      <c r="AZ1705" s="80"/>
      <c r="BA1705" s="80"/>
      <c r="BB1705" s="80"/>
      <c r="BC1705" s="80"/>
      <c r="BD1705" s="80"/>
      <c r="BE1705" s="80"/>
      <c r="BF1705" s="80"/>
      <c r="BG1705" s="80"/>
      <c r="BH1705" s="80"/>
      <c r="BI1705" s="80"/>
      <c r="BJ1705" s="80"/>
      <c r="BK1705" s="80"/>
      <c r="BL1705" s="80"/>
      <c r="BM1705" s="80"/>
      <c r="BN1705" s="80"/>
      <c r="BO1705" s="80"/>
      <c r="BP1705" s="80"/>
      <c r="BQ1705" s="80"/>
      <c r="BR1705" s="80"/>
      <c r="BS1705" s="80"/>
      <c r="BT1705" s="80"/>
      <c r="BU1705" s="80"/>
      <c r="BV1705" s="80"/>
      <c r="BW1705" s="80"/>
      <c r="BX1705" s="80"/>
      <c r="BY1705" s="80"/>
      <c r="BZ1705" s="80"/>
      <c r="CA1705" s="80"/>
      <c r="CB1705" s="80"/>
      <c r="CC1705" s="80"/>
      <c r="CD1705" s="80"/>
      <c r="CE1705" s="80"/>
      <c r="CF1705" s="80"/>
      <c r="CG1705" s="80"/>
      <c r="CH1705" s="80"/>
      <c r="CI1705" s="80"/>
      <c r="CJ1705" s="80"/>
    </row>
    <row r="1706" ht="12.75" customHeight="1">
      <c r="A1706" s="85"/>
      <c r="B1706" s="85"/>
      <c r="C1706" s="85"/>
      <c r="D1706" s="85"/>
      <c r="E1706" s="85"/>
      <c r="F1706" s="85"/>
      <c r="G1706" s="85"/>
      <c r="H1706" s="85"/>
      <c r="I1706" s="85"/>
      <c r="J1706" s="85"/>
      <c r="K1706" s="85"/>
      <c r="L1706" s="85"/>
      <c r="M1706" s="85"/>
      <c r="N1706" s="85"/>
      <c r="O1706" s="85"/>
      <c r="P1706" s="85"/>
      <c r="Q1706" s="85"/>
      <c r="R1706" s="85"/>
      <c r="S1706" s="85"/>
      <c r="T1706" s="85"/>
      <c r="U1706" s="85"/>
      <c r="V1706" s="85"/>
      <c r="W1706" s="85"/>
      <c r="X1706" s="85"/>
      <c r="Y1706" s="85"/>
      <c r="Z1706" s="85"/>
      <c r="AA1706" s="85"/>
      <c r="AB1706" s="85"/>
      <c r="AC1706" s="85"/>
      <c r="AD1706" s="85"/>
      <c r="AE1706" s="85"/>
      <c r="AF1706" s="85"/>
      <c r="AG1706" s="85"/>
      <c r="AH1706" s="85"/>
      <c r="AI1706" s="85"/>
      <c r="AJ1706" s="85"/>
      <c r="AK1706" s="85"/>
      <c r="AL1706" s="85"/>
      <c r="AM1706" s="85"/>
      <c r="AN1706" s="85"/>
      <c r="AO1706" s="85"/>
      <c r="AP1706" s="85"/>
      <c r="AQ1706" s="93"/>
      <c r="AR1706" s="85"/>
      <c r="AS1706" s="85"/>
      <c r="AT1706" s="85"/>
      <c r="AU1706" s="85"/>
      <c r="AV1706" s="85"/>
      <c r="AW1706" s="85"/>
      <c r="AX1706" s="85"/>
      <c r="AY1706" s="85"/>
      <c r="AZ1706" s="85"/>
      <c r="BA1706" s="85"/>
      <c r="BB1706" s="85"/>
      <c r="BC1706" s="85"/>
      <c r="BD1706" s="85"/>
      <c r="BE1706" s="85"/>
      <c r="BF1706" s="85"/>
      <c r="BG1706" s="85"/>
      <c r="BH1706" s="85"/>
      <c r="BI1706" s="85"/>
      <c r="BJ1706" s="85"/>
      <c r="BK1706" s="85"/>
      <c r="BL1706" s="85"/>
      <c r="BM1706" s="85"/>
      <c r="BN1706" s="85"/>
      <c r="BO1706" s="85"/>
      <c r="BP1706" s="85"/>
      <c r="BQ1706" s="85"/>
      <c r="BR1706" s="85"/>
      <c r="BS1706" s="85"/>
      <c r="BT1706" s="85"/>
      <c r="BU1706" s="85"/>
      <c r="BV1706" s="85"/>
      <c r="BW1706" s="85"/>
      <c r="BX1706" s="85"/>
      <c r="BY1706" s="85"/>
      <c r="BZ1706" s="85"/>
      <c r="CA1706" s="85"/>
      <c r="CB1706" s="85"/>
      <c r="CC1706" s="85"/>
      <c r="CD1706" s="85"/>
      <c r="CE1706" s="85"/>
      <c r="CF1706" s="85"/>
      <c r="CG1706" s="85"/>
      <c r="CH1706" s="85"/>
      <c r="CI1706" s="85"/>
      <c r="CJ1706" s="85"/>
    </row>
    <row r="1707" ht="12.75" customHeight="1">
      <c r="A1707" s="80"/>
      <c r="B1707" s="80"/>
      <c r="C1707" s="80"/>
      <c r="D1707" s="80"/>
      <c r="E1707" s="80"/>
      <c r="F1707" s="80"/>
      <c r="G1707" s="80"/>
      <c r="H1707" s="80"/>
      <c r="I1707" s="80"/>
      <c r="J1707" s="80"/>
      <c r="K1707" s="80"/>
      <c r="L1707" s="80"/>
      <c r="M1707" s="80"/>
      <c r="N1707" s="80"/>
      <c r="O1707" s="80"/>
      <c r="P1707" s="80"/>
      <c r="Q1707" s="80"/>
      <c r="R1707" s="80"/>
      <c r="S1707" s="80"/>
      <c r="T1707" s="80"/>
      <c r="U1707" s="80"/>
      <c r="V1707" s="80"/>
      <c r="W1707" s="80"/>
      <c r="X1707" s="80"/>
      <c r="Y1707" s="80"/>
      <c r="Z1707" s="80"/>
      <c r="AA1707" s="80"/>
      <c r="AB1707" s="80"/>
      <c r="AC1707" s="80"/>
      <c r="AD1707" s="80"/>
      <c r="AE1707" s="80"/>
      <c r="AF1707" s="80"/>
      <c r="AG1707" s="80"/>
      <c r="AH1707" s="80"/>
      <c r="AI1707" s="80"/>
      <c r="AJ1707" s="80"/>
      <c r="AK1707" s="80"/>
      <c r="AL1707" s="80"/>
      <c r="AM1707" s="80"/>
      <c r="AN1707" s="80"/>
      <c r="AO1707" s="80"/>
      <c r="AP1707" s="80"/>
      <c r="AQ1707" s="83"/>
      <c r="AR1707" s="80"/>
      <c r="AS1707" s="80"/>
      <c r="AT1707" s="80"/>
      <c r="AU1707" s="80"/>
      <c r="AV1707" s="80"/>
      <c r="AW1707" s="80"/>
      <c r="AX1707" s="80"/>
      <c r="AY1707" s="80"/>
      <c r="AZ1707" s="80"/>
      <c r="BA1707" s="80"/>
      <c r="BB1707" s="80"/>
      <c r="BC1707" s="80"/>
      <c r="BD1707" s="80"/>
      <c r="BE1707" s="80"/>
      <c r="BF1707" s="80"/>
      <c r="BG1707" s="80"/>
      <c r="BH1707" s="80"/>
      <c r="BI1707" s="80"/>
      <c r="BJ1707" s="80"/>
      <c r="BK1707" s="80"/>
      <c r="BL1707" s="80"/>
      <c r="BM1707" s="80"/>
      <c r="BN1707" s="80"/>
      <c r="BO1707" s="80"/>
      <c r="BP1707" s="80"/>
      <c r="BQ1707" s="80"/>
      <c r="BR1707" s="80"/>
      <c r="BS1707" s="80"/>
      <c r="BT1707" s="80"/>
      <c r="BU1707" s="80"/>
      <c r="BV1707" s="80"/>
      <c r="BW1707" s="80"/>
      <c r="BX1707" s="80"/>
      <c r="BY1707" s="80"/>
      <c r="BZ1707" s="80"/>
      <c r="CA1707" s="80"/>
      <c r="CB1707" s="80"/>
      <c r="CC1707" s="80"/>
      <c r="CD1707" s="80"/>
      <c r="CE1707" s="80"/>
      <c r="CF1707" s="80"/>
      <c r="CG1707" s="80"/>
      <c r="CH1707" s="80"/>
      <c r="CI1707" s="80"/>
      <c r="CJ1707" s="80"/>
    </row>
    <row r="1708" ht="12.75" customHeight="1">
      <c r="A1708" s="85"/>
      <c r="B1708" s="85"/>
      <c r="C1708" s="85"/>
      <c r="D1708" s="85"/>
      <c r="E1708" s="85"/>
      <c r="F1708" s="85"/>
      <c r="G1708" s="85"/>
      <c r="H1708" s="85"/>
      <c r="I1708" s="85"/>
      <c r="J1708" s="85"/>
      <c r="K1708" s="85"/>
      <c r="L1708" s="85"/>
      <c r="M1708" s="85"/>
      <c r="N1708" s="85"/>
      <c r="O1708" s="85"/>
      <c r="P1708" s="85"/>
      <c r="Q1708" s="85"/>
      <c r="R1708" s="85"/>
      <c r="S1708" s="85"/>
      <c r="T1708" s="85"/>
      <c r="U1708" s="85"/>
      <c r="V1708" s="85"/>
      <c r="W1708" s="85"/>
      <c r="X1708" s="85"/>
      <c r="Y1708" s="85"/>
      <c r="Z1708" s="85"/>
      <c r="AA1708" s="85"/>
      <c r="AB1708" s="85"/>
      <c r="AC1708" s="85"/>
      <c r="AD1708" s="85"/>
      <c r="AE1708" s="85"/>
      <c r="AF1708" s="85"/>
      <c r="AG1708" s="85"/>
      <c r="AH1708" s="85"/>
      <c r="AI1708" s="85"/>
      <c r="AJ1708" s="85"/>
      <c r="AK1708" s="85"/>
      <c r="AL1708" s="85"/>
      <c r="AM1708" s="85"/>
      <c r="AN1708" s="85"/>
      <c r="AO1708" s="85"/>
      <c r="AP1708" s="85"/>
      <c r="AQ1708" s="93"/>
      <c r="AR1708" s="85"/>
      <c r="AS1708" s="85"/>
      <c r="AT1708" s="85"/>
      <c r="AU1708" s="85"/>
      <c r="AV1708" s="85"/>
      <c r="AW1708" s="85"/>
      <c r="AX1708" s="85"/>
      <c r="AY1708" s="85"/>
      <c r="AZ1708" s="85"/>
      <c r="BA1708" s="85"/>
      <c r="BB1708" s="85"/>
      <c r="BC1708" s="85"/>
      <c r="BD1708" s="85"/>
      <c r="BE1708" s="85"/>
      <c r="BF1708" s="85"/>
      <c r="BG1708" s="85"/>
      <c r="BH1708" s="85"/>
      <c r="BI1708" s="85"/>
      <c r="BJ1708" s="85"/>
      <c r="BK1708" s="85"/>
      <c r="BL1708" s="85"/>
      <c r="BM1708" s="85"/>
      <c r="BN1708" s="85"/>
      <c r="BO1708" s="85"/>
      <c r="BP1708" s="85"/>
      <c r="BQ1708" s="85"/>
      <c r="BR1708" s="85"/>
      <c r="BS1708" s="85"/>
      <c r="BT1708" s="85"/>
      <c r="BU1708" s="85"/>
      <c r="BV1708" s="85"/>
      <c r="BW1708" s="85"/>
      <c r="BX1708" s="85"/>
      <c r="BY1708" s="85"/>
      <c r="BZ1708" s="85"/>
      <c r="CA1708" s="85"/>
      <c r="CB1708" s="85"/>
      <c r="CC1708" s="85"/>
      <c r="CD1708" s="85"/>
      <c r="CE1708" s="85"/>
      <c r="CF1708" s="85"/>
      <c r="CG1708" s="85"/>
      <c r="CH1708" s="85"/>
      <c r="CI1708" s="85"/>
      <c r="CJ1708" s="85"/>
    </row>
    <row r="1709" ht="12.75" customHeight="1">
      <c r="A1709" s="80"/>
      <c r="B1709" s="80"/>
      <c r="C1709" s="80"/>
      <c r="D1709" s="80"/>
      <c r="E1709" s="80"/>
      <c r="F1709" s="80"/>
      <c r="G1709" s="80"/>
      <c r="H1709" s="80"/>
      <c r="I1709" s="80"/>
      <c r="J1709" s="80"/>
      <c r="K1709" s="80"/>
      <c r="L1709" s="80"/>
      <c r="M1709" s="80"/>
      <c r="N1709" s="80"/>
      <c r="O1709" s="80"/>
      <c r="P1709" s="80"/>
      <c r="Q1709" s="80"/>
      <c r="R1709" s="80"/>
      <c r="S1709" s="80"/>
      <c r="T1709" s="80"/>
      <c r="U1709" s="80"/>
      <c r="V1709" s="80"/>
      <c r="W1709" s="80"/>
      <c r="X1709" s="80"/>
      <c r="Y1709" s="80"/>
      <c r="Z1709" s="80"/>
      <c r="AA1709" s="80"/>
      <c r="AB1709" s="80"/>
      <c r="AC1709" s="80"/>
      <c r="AD1709" s="80"/>
      <c r="AE1709" s="80"/>
      <c r="AF1709" s="80"/>
      <c r="AG1709" s="80"/>
      <c r="AH1709" s="80"/>
      <c r="AI1709" s="80"/>
      <c r="AJ1709" s="80"/>
      <c r="AK1709" s="80"/>
      <c r="AL1709" s="80"/>
      <c r="AM1709" s="80"/>
      <c r="AN1709" s="80"/>
      <c r="AO1709" s="80"/>
      <c r="AP1709" s="80"/>
      <c r="AQ1709" s="83"/>
      <c r="AR1709" s="80"/>
      <c r="AS1709" s="80"/>
      <c r="AT1709" s="80"/>
      <c r="AU1709" s="80"/>
      <c r="AV1709" s="80"/>
      <c r="AW1709" s="80"/>
      <c r="AX1709" s="80"/>
      <c r="AY1709" s="80"/>
      <c r="AZ1709" s="80"/>
      <c r="BA1709" s="80"/>
      <c r="BB1709" s="80"/>
      <c r="BC1709" s="80"/>
      <c r="BD1709" s="80"/>
      <c r="BE1709" s="80"/>
      <c r="BF1709" s="80"/>
      <c r="BG1709" s="80"/>
      <c r="BH1709" s="80"/>
      <c r="BI1709" s="80"/>
      <c r="BJ1709" s="80"/>
      <c r="BK1709" s="80"/>
      <c r="BL1709" s="80"/>
      <c r="BM1709" s="80"/>
      <c r="BN1709" s="80"/>
      <c r="BO1709" s="80"/>
      <c r="BP1709" s="80"/>
      <c r="BQ1709" s="80"/>
      <c r="BR1709" s="80"/>
      <c r="BS1709" s="80"/>
      <c r="BT1709" s="80"/>
      <c r="BU1709" s="80"/>
      <c r="BV1709" s="80"/>
      <c r="BW1709" s="80"/>
      <c r="BX1709" s="80"/>
      <c r="BY1709" s="80"/>
      <c r="BZ1709" s="80"/>
      <c r="CA1709" s="80"/>
      <c r="CB1709" s="80"/>
      <c r="CC1709" s="80"/>
      <c r="CD1709" s="80"/>
      <c r="CE1709" s="80"/>
      <c r="CF1709" s="80"/>
      <c r="CG1709" s="80"/>
      <c r="CH1709" s="80"/>
      <c r="CI1709" s="80"/>
      <c r="CJ1709" s="80"/>
    </row>
    <row r="1710" ht="12.75" customHeight="1">
      <c r="A1710" s="85"/>
      <c r="B1710" s="85"/>
      <c r="C1710" s="85"/>
      <c r="D1710" s="85"/>
      <c r="E1710" s="85"/>
      <c r="F1710" s="85"/>
      <c r="G1710" s="85"/>
      <c r="H1710" s="85"/>
      <c r="I1710" s="85"/>
      <c r="J1710" s="85"/>
      <c r="K1710" s="85"/>
      <c r="L1710" s="85"/>
      <c r="M1710" s="85"/>
      <c r="N1710" s="85"/>
      <c r="O1710" s="85"/>
      <c r="P1710" s="85"/>
      <c r="Q1710" s="85"/>
      <c r="R1710" s="85"/>
      <c r="S1710" s="85"/>
      <c r="T1710" s="85"/>
      <c r="U1710" s="85"/>
      <c r="V1710" s="85"/>
      <c r="W1710" s="85"/>
      <c r="X1710" s="85"/>
      <c r="Y1710" s="85"/>
      <c r="Z1710" s="85"/>
      <c r="AA1710" s="85"/>
      <c r="AB1710" s="85"/>
      <c r="AC1710" s="85"/>
      <c r="AD1710" s="85"/>
      <c r="AE1710" s="85"/>
      <c r="AF1710" s="85"/>
      <c r="AG1710" s="85"/>
      <c r="AH1710" s="85"/>
      <c r="AI1710" s="85"/>
      <c r="AJ1710" s="85"/>
      <c r="AK1710" s="85"/>
      <c r="AL1710" s="85"/>
      <c r="AM1710" s="85"/>
      <c r="AN1710" s="85"/>
      <c r="AO1710" s="85"/>
      <c r="AP1710" s="85"/>
      <c r="AQ1710" s="93"/>
      <c r="AR1710" s="85"/>
      <c r="AS1710" s="85"/>
      <c r="AT1710" s="85"/>
      <c r="AU1710" s="85"/>
      <c r="AV1710" s="85"/>
      <c r="AW1710" s="85"/>
      <c r="AX1710" s="85"/>
      <c r="AY1710" s="85"/>
      <c r="AZ1710" s="85"/>
      <c r="BA1710" s="85"/>
      <c r="BB1710" s="85"/>
      <c r="BC1710" s="85"/>
      <c r="BD1710" s="85"/>
      <c r="BE1710" s="85"/>
      <c r="BF1710" s="85"/>
      <c r="BG1710" s="85"/>
      <c r="BH1710" s="85"/>
      <c r="BI1710" s="85"/>
      <c r="BJ1710" s="85"/>
      <c r="BK1710" s="85"/>
      <c r="BL1710" s="85"/>
      <c r="BM1710" s="85"/>
      <c r="BN1710" s="85"/>
      <c r="BO1710" s="85"/>
      <c r="BP1710" s="85"/>
      <c r="BQ1710" s="85"/>
      <c r="BR1710" s="85"/>
      <c r="BS1710" s="85"/>
      <c r="BT1710" s="85"/>
      <c r="BU1710" s="85"/>
      <c r="BV1710" s="85"/>
      <c r="BW1710" s="85"/>
      <c r="BX1710" s="85"/>
      <c r="BY1710" s="85"/>
      <c r="BZ1710" s="85"/>
      <c r="CA1710" s="85"/>
      <c r="CB1710" s="85"/>
      <c r="CC1710" s="85"/>
      <c r="CD1710" s="85"/>
      <c r="CE1710" s="85"/>
      <c r="CF1710" s="85"/>
      <c r="CG1710" s="85"/>
      <c r="CH1710" s="85"/>
      <c r="CI1710" s="85"/>
      <c r="CJ1710" s="85"/>
    </row>
    <row r="1711" ht="12.75" customHeight="1">
      <c r="A1711" s="80"/>
      <c r="B1711" s="80"/>
      <c r="C1711" s="80"/>
      <c r="D1711" s="80"/>
      <c r="E1711" s="80"/>
      <c r="F1711" s="80"/>
      <c r="G1711" s="80"/>
      <c r="H1711" s="80"/>
      <c r="I1711" s="80"/>
      <c r="J1711" s="80"/>
      <c r="K1711" s="80"/>
      <c r="L1711" s="80"/>
      <c r="M1711" s="80"/>
      <c r="N1711" s="80"/>
      <c r="O1711" s="80"/>
      <c r="P1711" s="80"/>
      <c r="Q1711" s="80"/>
      <c r="R1711" s="80"/>
      <c r="S1711" s="80"/>
      <c r="T1711" s="80"/>
      <c r="U1711" s="80"/>
      <c r="V1711" s="80"/>
      <c r="W1711" s="80"/>
      <c r="X1711" s="80"/>
      <c r="Y1711" s="80"/>
      <c r="Z1711" s="80"/>
      <c r="AA1711" s="80"/>
      <c r="AB1711" s="80"/>
      <c r="AC1711" s="80"/>
      <c r="AD1711" s="80"/>
      <c r="AE1711" s="80"/>
      <c r="AF1711" s="80"/>
      <c r="AG1711" s="80"/>
      <c r="AH1711" s="80"/>
      <c r="AI1711" s="80"/>
      <c r="AJ1711" s="80"/>
      <c r="AK1711" s="80"/>
      <c r="AL1711" s="80"/>
      <c r="AM1711" s="80"/>
      <c r="AN1711" s="80"/>
      <c r="AO1711" s="80"/>
      <c r="AP1711" s="80"/>
      <c r="AQ1711" s="83"/>
      <c r="AR1711" s="80"/>
      <c r="AS1711" s="80"/>
      <c r="AT1711" s="80"/>
      <c r="AU1711" s="80"/>
      <c r="AV1711" s="80"/>
      <c r="AW1711" s="80"/>
      <c r="AX1711" s="80"/>
      <c r="AY1711" s="80"/>
      <c r="AZ1711" s="80"/>
      <c r="BA1711" s="80"/>
      <c r="BB1711" s="80"/>
      <c r="BC1711" s="80"/>
      <c r="BD1711" s="80"/>
      <c r="BE1711" s="80"/>
      <c r="BF1711" s="80"/>
      <c r="BG1711" s="80"/>
      <c r="BH1711" s="80"/>
      <c r="BI1711" s="80"/>
      <c r="BJ1711" s="80"/>
      <c r="BK1711" s="80"/>
      <c r="BL1711" s="80"/>
      <c r="BM1711" s="80"/>
      <c r="BN1711" s="80"/>
      <c r="BO1711" s="80"/>
      <c r="BP1711" s="80"/>
      <c r="BQ1711" s="80"/>
      <c r="BR1711" s="80"/>
      <c r="BS1711" s="80"/>
      <c r="BT1711" s="80"/>
      <c r="BU1711" s="80"/>
      <c r="BV1711" s="80"/>
      <c r="BW1711" s="80"/>
      <c r="BX1711" s="80"/>
      <c r="BY1711" s="80"/>
      <c r="BZ1711" s="80"/>
      <c r="CA1711" s="80"/>
      <c r="CB1711" s="80"/>
      <c r="CC1711" s="80"/>
      <c r="CD1711" s="80"/>
      <c r="CE1711" s="80"/>
      <c r="CF1711" s="80"/>
      <c r="CG1711" s="80"/>
      <c r="CH1711" s="80"/>
      <c r="CI1711" s="80"/>
      <c r="CJ1711" s="80"/>
    </row>
    <row r="1712" ht="12.75" customHeight="1">
      <c r="A1712" s="85"/>
      <c r="B1712" s="85"/>
      <c r="C1712" s="85"/>
      <c r="D1712" s="85"/>
      <c r="E1712" s="85"/>
      <c r="F1712" s="85"/>
      <c r="G1712" s="85"/>
      <c r="H1712" s="85"/>
      <c r="I1712" s="85"/>
      <c r="J1712" s="85"/>
      <c r="K1712" s="85"/>
      <c r="L1712" s="85"/>
      <c r="M1712" s="85"/>
      <c r="N1712" s="85"/>
      <c r="O1712" s="85"/>
      <c r="P1712" s="85"/>
      <c r="Q1712" s="85"/>
      <c r="R1712" s="85"/>
      <c r="S1712" s="85"/>
      <c r="T1712" s="85"/>
      <c r="U1712" s="85"/>
      <c r="V1712" s="85"/>
      <c r="W1712" s="85"/>
      <c r="X1712" s="85"/>
      <c r="Y1712" s="85"/>
      <c r="Z1712" s="85"/>
      <c r="AA1712" s="85"/>
      <c r="AB1712" s="85"/>
      <c r="AC1712" s="85"/>
      <c r="AD1712" s="85"/>
      <c r="AE1712" s="85"/>
      <c r="AF1712" s="85"/>
      <c r="AG1712" s="85"/>
      <c r="AH1712" s="85"/>
      <c r="AI1712" s="85"/>
      <c r="AJ1712" s="85"/>
      <c r="AK1712" s="85"/>
      <c r="AL1712" s="85"/>
      <c r="AM1712" s="85"/>
      <c r="AN1712" s="85"/>
      <c r="AO1712" s="85"/>
      <c r="AP1712" s="85"/>
      <c r="AQ1712" s="93"/>
      <c r="AR1712" s="85"/>
      <c r="AS1712" s="85"/>
      <c r="AT1712" s="85"/>
      <c r="AU1712" s="85"/>
      <c r="AV1712" s="85"/>
      <c r="AW1712" s="85"/>
      <c r="AX1712" s="85"/>
      <c r="AY1712" s="85"/>
      <c r="AZ1712" s="85"/>
      <c r="BA1712" s="85"/>
      <c r="BB1712" s="85"/>
      <c r="BC1712" s="85"/>
      <c r="BD1712" s="85"/>
      <c r="BE1712" s="85"/>
      <c r="BF1712" s="85"/>
      <c r="BG1712" s="85"/>
      <c r="BH1712" s="85"/>
      <c r="BI1712" s="85"/>
      <c r="BJ1712" s="85"/>
      <c r="BK1712" s="85"/>
      <c r="BL1712" s="85"/>
      <c r="BM1712" s="85"/>
      <c r="BN1712" s="85"/>
      <c r="BO1712" s="85"/>
      <c r="BP1712" s="85"/>
      <c r="BQ1712" s="85"/>
      <c r="BR1712" s="85"/>
      <c r="BS1712" s="85"/>
      <c r="BT1712" s="85"/>
      <c r="BU1712" s="85"/>
      <c r="BV1712" s="85"/>
      <c r="BW1712" s="85"/>
      <c r="BX1712" s="85"/>
      <c r="BY1712" s="85"/>
      <c r="BZ1712" s="85"/>
      <c r="CA1712" s="85"/>
      <c r="CB1712" s="85"/>
      <c r="CC1712" s="85"/>
      <c r="CD1712" s="85"/>
      <c r="CE1712" s="85"/>
      <c r="CF1712" s="85"/>
      <c r="CG1712" s="85"/>
      <c r="CH1712" s="85"/>
      <c r="CI1712" s="85"/>
      <c r="CJ1712" s="85"/>
    </row>
    <row r="1713" ht="12.75" customHeight="1">
      <c r="A1713" s="80"/>
      <c r="B1713" s="80"/>
      <c r="C1713" s="80"/>
      <c r="D1713" s="80"/>
      <c r="E1713" s="80"/>
      <c r="F1713" s="80"/>
      <c r="G1713" s="80"/>
      <c r="H1713" s="80"/>
      <c r="I1713" s="80"/>
      <c r="J1713" s="80"/>
      <c r="K1713" s="80"/>
      <c r="L1713" s="80"/>
      <c r="M1713" s="80"/>
      <c r="N1713" s="80"/>
      <c r="O1713" s="80"/>
      <c r="P1713" s="80"/>
      <c r="Q1713" s="80"/>
      <c r="R1713" s="80"/>
      <c r="S1713" s="80"/>
      <c r="T1713" s="80"/>
      <c r="U1713" s="80"/>
      <c r="V1713" s="80"/>
      <c r="W1713" s="80"/>
      <c r="X1713" s="80"/>
      <c r="Y1713" s="80"/>
      <c r="Z1713" s="80"/>
      <c r="AA1713" s="80"/>
      <c r="AB1713" s="80"/>
      <c r="AC1713" s="80"/>
      <c r="AD1713" s="80"/>
      <c r="AE1713" s="80"/>
      <c r="AF1713" s="80"/>
      <c r="AG1713" s="80"/>
      <c r="AH1713" s="80"/>
      <c r="AI1713" s="80"/>
      <c r="AJ1713" s="80"/>
      <c r="AK1713" s="80"/>
      <c r="AL1713" s="80"/>
      <c r="AM1713" s="80"/>
      <c r="AN1713" s="80"/>
      <c r="AO1713" s="80"/>
      <c r="AP1713" s="80"/>
      <c r="AQ1713" s="83"/>
      <c r="AR1713" s="80"/>
      <c r="AS1713" s="80"/>
      <c r="AT1713" s="80"/>
      <c r="AU1713" s="80"/>
      <c r="AV1713" s="80"/>
      <c r="AW1713" s="80"/>
      <c r="AX1713" s="80"/>
      <c r="AY1713" s="80"/>
      <c r="AZ1713" s="80"/>
      <c r="BA1713" s="80"/>
      <c r="BB1713" s="80"/>
      <c r="BC1713" s="80"/>
      <c r="BD1713" s="80"/>
      <c r="BE1713" s="80"/>
      <c r="BF1713" s="80"/>
      <c r="BG1713" s="80"/>
      <c r="BH1713" s="80"/>
      <c r="BI1713" s="80"/>
      <c r="BJ1713" s="80"/>
      <c r="BK1713" s="80"/>
      <c r="BL1713" s="80"/>
      <c r="BM1713" s="80"/>
      <c r="BN1713" s="80"/>
      <c r="BO1713" s="80"/>
      <c r="BP1713" s="80"/>
      <c r="BQ1713" s="80"/>
      <c r="BR1713" s="80"/>
      <c r="BS1713" s="80"/>
      <c r="BT1713" s="80"/>
      <c r="BU1713" s="80"/>
      <c r="BV1713" s="80"/>
      <c r="BW1713" s="80"/>
      <c r="BX1713" s="80"/>
      <c r="BY1713" s="80"/>
      <c r="BZ1713" s="80"/>
      <c r="CA1713" s="80"/>
      <c r="CB1713" s="80"/>
      <c r="CC1713" s="80"/>
      <c r="CD1713" s="80"/>
      <c r="CE1713" s="80"/>
      <c r="CF1713" s="80"/>
      <c r="CG1713" s="80"/>
      <c r="CH1713" s="80"/>
      <c r="CI1713" s="80"/>
      <c r="CJ1713" s="80"/>
    </row>
    <row r="1714" ht="12.75" customHeight="1">
      <c r="A1714" s="85"/>
      <c r="B1714" s="85"/>
      <c r="C1714" s="85"/>
      <c r="D1714" s="85"/>
      <c r="E1714" s="85"/>
      <c r="F1714" s="85"/>
      <c r="G1714" s="85"/>
      <c r="H1714" s="85"/>
      <c r="I1714" s="85"/>
      <c r="J1714" s="85"/>
      <c r="K1714" s="85"/>
      <c r="L1714" s="85"/>
      <c r="M1714" s="85"/>
      <c r="N1714" s="85"/>
      <c r="O1714" s="85"/>
      <c r="P1714" s="85"/>
      <c r="Q1714" s="85"/>
      <c r="R1714" s="85"/>
      <c r="S1714" s="85"/>
      <c r="T1714" s="85"/>
      <c r="U1714" s="85"/>
      <c r="V1714" s="85"/>
      <c r="W1714" s="85"/>
      <c r="X1714" s="85"/>
      <c r="Y1714" s="85"/>
      <c r="Z1714" s="85"/>
      <c r="AA1714" s="85"/>
      <c r="AB1714" s="85"/>
      <c r="AC1714" s="85"/>
      <c r="AD1714" s="85"/>
      <c r="AE1714" s="85"/>
      <c r="AF1714" s="85"/>
      <c r="AG1714" s="85"/>
      <c r="AH1714" s="85"/>
      <c r="AI1714" s="85"/>
      <c r="AJ1714" s="85"/>
      <c r="AK1714" s="85"/>
      <c r="AL1714" s="85"/>
      <c r="AM1714" s="85"/>
      <c r="AN1714" s="85"/>
      <c r="AO1714" s="85"/>
      <c r="AP1714" s="85"/>
      <c r="AQ1714" s="93"/>
      <c r="AR1714" s="85"/>
      <c r="AS1714" s="85"/>
      <c r="AT1714" s="85"/>
      <c r="AU1714" s="85"/>
      <c r="AV1714" s="85"/>
      <c r="AW1714" s="85"/>
      <c r="AX1714" s="85"/>
      <c r="AY1714" s="85"/>
      <c r="AZ1714" s="85"/>
      <c r="BA1714" s="85"/>
      <c r="BB1714" s="85"/>
      <c r="BC1714" s="85"/>
      <c r="BD1714" s="85"/>
      <c r="BE1714" s="85"/>
      <c r="BF1714" s="85"/>
      <c r="BG1714" s="85"/>
      <c r="BH1714" s="85"/>
      <c r="BI1714" s="85"/>
      <c r="BJ1714" s="85"/>
      <c r="BK1714" s="85"/>
      <c r="BL1714" s="85"/>
      <c r="BM1714" s="85"/>
      <c r="BN1714" s="85"/>
      <c r="BO1714" s="85"/>
      <c r="BP1714" s="85"/>
      <c r="BQ1714" s="85"/>
      <c r="BR1714" s="85"/>
      <c r="BS1714" s="85"/>
      <c r="BT1714" s="85"/>
      <c r="BU1714" s="85"/>
      <c r="BV1714" s="85"/>
      <c r="BW1714" s="85"/>
      <c r="BX1714" s="85"/>
      <c r="BY1714" s="85"/>
      <c r="BZ1714" s="85"/>
      <c r="CA1714" s="85"/>
      <c r="CB1714" s="85"/>
      <c r="CC1714" s="85"/>
      <c r="CD1714" s="85"/>
      <c r="CE1714" s="85"/>
      <c r="CF1714" s="85"/>
      <c r="CG1714" s="85"/>
      <c r="CH1714" s="85"/>
      <c r="CI1714" s="85"/>
      <c r="CJ1714" s="85"/>
    </row>
    <row r="1715" ht="12.75" customHeight="1">
      <c r="A1715" s="80"/>
      <c r="B1715" s="80"/>
      <c r="C1715" s="80"/>
      <c r="D1715" s="80"/>
      <c r="E1715" s="80"/>
      <c r="F1715" s="80"/>
      <c r="G1715" s="80"/>
      <c r="H1715" s="80"/>
      <c r="I1715" s="80"/>
      <c r="J1715" s="80"/>
      <c r="K1715" s="80"/>
      <c r="L1715" s="80"/>
      <c r="M1715" s="80"/>
      <c r="N1715" s="80"/>
      <c r="O1715" s="80"/>
      <c r="P1715" s="80"/>
      <c r="Q1715" s="80"/>
      <c r="R1715" s="80"/>
      <c r="S1715" s="80"/>
      <c r="T1715" s="80"/>
      <c r="U1715" s="80"/>
      <c r="V1715" s="80"/>
      <c r="W1715" s="80"/>
      <c r="X1715" s="80"/>
      <c r="Y1715" s="80"/>
      <c r="Z1715" s="80"/>
      <c r="AA1715" s="80"/>
      <c r="AB1715" s="80"/>
      <c r="AC1715" s="80"/>
      <c r="AD1715" s="80"/>
      <c r="AE1715" s="80"/>
      <c r="AF1715" s="80"/>
      <c r="AG1715" s="80"/>
      <c r="AH1715" s="80"/>
      <c r="AI1715" s="80"/>
      <c r="AJ1715" s="80"/>
      <c r="AK1715" s="80"/>
      <c r="AL1715" s="80"/>
      <c r="AM1715" s="80"/>
      <c r="AN1715" s="80"/>
      <c r="AO1715" s="80"/>
      <c r="AP1715" s="80"/>
      <c r="AQ1715" s="83"/>
      <c r="AR1715" s="80"/>
      <c r="AS1715" s="80"/>
      <c r="AT1715" s="80"/>
      <c r="AU1715" s="80"/>
      <c r="AV1715" s="80"/>
      <c r="AW1715" s="80"/>
      <c r="AX1715" s="80"/>
      <c r="AY1715" s="80"/>
      <c r="AZ1715" s="80"/>
      <c r="BA1715" s="80"/>
      <c r="BB1715" s="80"/>
      <c r="BC1715" s="80"/>
      <c r="BD1715" s="80"/>
      <c r="BE1715" s="80"/>
      <c r="BF1715" s="80"/>
      <c r="BG1715" s="80"/>
      <c r="BH1715" s="80"/>
      <c r="BI1715" s="80"/>
      <c r="BJ1715" s="80"/>
      <c r="BK1715" s="80"/>
      <c r="BL1715" s="80"/>
      <c r="BM1715" s="80"/>
      <c r="BN1715" s="80"/>
      <c r="BO1715" s="80"/>
      <c r="BP1715" s="80"/>
      <c r="BQ1715" s="80"/>
      <c r="BR1715" s="80"/>
      <c r="BS1715" s="80"/>
      <c r="BT1715" s="80"/>
      <c r="BU1715" s="80"/>
      <c r="BV1715" s="80"/>
      <c r="BW1715" s="80"/>
      <c r="BX1715" s="80"/>
      <c r="BY1715" s="80"/>
      <c r="BZ1715" s="80"/>
      <c r="CA1715" s="80"/>
      <c r="CB1715" s="80"/>
      <c r="CC1715" s="80"/>
      <c r="CD1715" s="80"/>
      <c r="CE1715" s="80"/>
      <c r="CF1715" s="80"/>
      <c r="CG1715" s="80"/>
      <c r="CH1715" s="80"/>
      <c r="CI1715" s="80"/>
      <c r="CJ1715" s="80"/>
    </row>
    <row r="1716" ht="12.75" customHeight="1">
      <c r="A1716" s="85"/>
      <c r="B1716" s="85"/>
      <c r="C1716" s="85"/>
      <c r="D1716" s="85"/>
      <c r="E1716" s="85"/>
      <c r="F1716" s="85"/>
      <c r="G1716" s="85"/>
      <c r="H1716" s="85"/>
      <c r="I1716" s="85"/>
      <c r="J1716" s="85"/>
      <c r="K1716" s="85"/>
      <c r="L1716" s="85"/>
      <c r="M1716" s="85"/>
      <c r="N1716" s="85"/>
      <c r="O1716" s="85"/>
      <c r="P1716" s="85"/>
      <c r="Q1716" s="85"/>
      <c r="R1716" s="85"/>
      <c r="S1716" s="85"/>
      <c r="T1716" s="85"/>
      <c r="U1716" s="85"/>
      <c r="V1716" s="85"/>
      <c r="W1716" s="85"/>
      <c r="X1716" s="85"/>
      <c r="Y1716" s="85"/>
      <c r="Z1716" s="85"/>
      <c r="AA1716" s="85"/>
      <c r="AB1716" s="85"/>
      <c r="AC1716" s="85"/>
      <c r="AD1716" s="85"/>
      <c r="AE1716" s="85"/>
      <c r="AF1716" s="85"/>
      <c r="AG1716" s="85"/>
      <c r="AH1716" s="85"/>
      <c r="AI1716" s="85"/>
      <c r="AJ1716" s="85"/>
      <c r="AK1716" s="85"/>
      <c r="AL1716" s="85"/>
      <c r="AM1716" s="85"/>
      <c r="AN1716" s="85"/>
      <c r="AO1716" s="85"/>
      <c r="AP1716" s="85"/>
      <c r="AQ1716" s="93"/>
      <c r="AR1716" s="85"/>
      <c r="AS1716" s="85"/>
      <c r="AT1716" s="85"/>
      <c r="AU1716" s="85"/>
      <c r="AV1716" s="85"/>
      <c r="AW1716" s="85"/>
      <c r="AX1716" s="85"/>
      <c r="AY1716" s="85"/>
      <c r="AZ1716" s="85"/>
      <c r="BA1716" s="85"/>
      <c r="BB1716" s="85"/>
      <c r="BC1716" s="85"/>
      <c r="BD1716" s="85"/>
      <c r="BE1716" s="85"/>
      <c r="BF1716" s="85"/>
      <c r="BG1716" s="85"/>
      <c r="BH1716" s="85"/>
      <c r="BI1716" s="85"/>
      <c r="BJ1716" s="85"/>
      <c r="BK1716" s="85"/>
      <c r="BL1716" s="85"/>
      <c r="BM1716" s="85"/>
      <c r="BN1716" s="85"/>
      <c r="BO1716" s="85"/>
      <c r="BP1716" s="85"/>
      <c r="BQ1716" s="85"/>
      <c r="BR1716" s="85"/>
      <c r="BS1716" s="85"/>
      <c r="BT1716" s="85"/>
      <c r="BU1716" s="85"/>
      <c r="BV1716" s="85"/>
      <c r="BW1716" s="85"/>
      <c r="BX1716" s="85"/>
      <c r="BY1716" s="85"/>
      <c r="BZ1716" s="85"/>
      <c r="CA1716" s="85"/>
      <c r="CB1716" s="85"/>
      <c r="CC1716" s="85"/>
      <c r="CD1716" s="85"/>
      <c r="CE1716" s="85"/>
      <c r="CF1716" s="85"/>
      <c r="CG1716" s="85"/>
      <c r="CH1716" s="85"/>
      <c r="CI1716" s="85"/>
      <c r="CJ1716" s="85"/>
    </row>
    <row r="1717" ht="12.75" customHeight="1">
      <c r="A1717" s="80"/>
      <c r="B1717" s="80"/>
      <c r="C1717" s="80"/>
      <c r="D1717" s="80"/>
      <c r="E1717" s="80"/>
      <c r="F1717" s="80"/>
      <c r="G1717" s="80"/>
      <c r="H1717" s="80"/>
      <c r="I1717" s="80"/>
      <c r="J1717" s="80"/>
      <c r="K1717" s="80"/>
      <c r="L1717" s="80"/>
      <c r="M1717" s="80"/>
      <c r="N1717" s="80"/>
      <c r="O1717" s="80"/>
      <c r="P1717" s="80"/>
      <c r="Q1717" s="80"/>
      <c r="R1717" s="80"/>
      <c r="S1717" s="80"/>
      <c r="T1717" s="80"/>
      <c r="U1717" s="80"/>
      <c r="V1717" s="80"/>
      <c r="W1717" s="80"/>
      <c r="X1717" s="80"/>
      <c r="Y1717" s="80"/>
      <c r="Z1717" s="80"/>
      <c r="AA1717" s="80"/>
      <c r="AB1717" s="80"/>
      <c r="AC1717" s="80"/>
      <c r="AD1717" s="80"/>
      <c r="AE1717" s="80"/>
      <c r="AF1717" s="80"/>
      <c r="AG1717" s="80"/>
      <c r="AH1717" s="80"/>
      <c r="AI1717" s="80"/>
      <c r="AJ1717" s="80"/>
      <c r="AK1717" s="80"/>
      <c r="AL1717" s="80"/>
      <c r="AM1717" s="80"/>
      <c r="AN1717" s="80"/>
      <c r="AO1717" s="80"/>
      <c r="AP1717" s="80"/>
      <c r="AQ1717" s="83"/>
      <c r="AR1717" s="80"/>
      <c r="AS1717" s="80"/>
      <c r="AT1717" s="80"/>
      <c r="AU1717" s="80"/>
      <c r="AV1717" s="80"/>
      <c r="AW1717" s="80"/>
      <c r="AX1717" s="80"/>
      <c r="AY1717" s="80"/>
      <c r="AZ1717" s="80"/>
      <c r="BA1717" s="80"/>
      <c r="BB1717" s="80"/>
      <c r="BC1717" s="80"/>
      <c r="BD1717" s="80"/>
      <c r="BE1717" s="80"/>
      <c r="BF1717" s="80"/>
      <c r="BG1717" s="80"/>
      <c r="BH1717" s="80"/>
      <c r="BI1717" s="80"/>
      <c r="BJ1717" s="80"/>
      <c r="BK1717" s="80"/>
      <c r="BL1717" s="80"/>
      <c r="BM1717" s="80"/>
      <c r="BN1717" s="80"/>
      <c r="BO1717" s="80"/>
      <c r="BP1717" s="80"/>
      <c r="BQ1717" s="80"/>
      <c r="BR1717" s="80"/>
      <c r="BS1717" s="80"/>
      <c r="BT1717" s="80"/>
      <c r="BU1717" s="80"/>
      <c r="BV1717" s="80"/>
      <c r="BW1717" s="80"/>
      <c r="BX1717" s="80"/>
      <c r="BY1717" s="80"/>
      <c r="BZ1717" s="80"/>
      <c r="CA1717" s="80"/>
      <c r="CB1717" s="80"/>
      <c r="CC1717" s="80"/>
      <c r="CD1717" s="80"/>
      <c r="CE1717" s="80"/>
      <c r="CF1717" s="80"/>
      <c r="CG1717" s="80"/>
      <c r="CH1717" s="80"/>
      <c r="CI1717" s="80"/>
      <c r="CJ1717" s="80"/>
    </row>
    <row r="1718" ht="12.75" customHeight="1">
      <c r="A1718" s="85"/>
      <c r="B1718" s="85"/>
      <c r="C1718" s="85"/>
      <c r="D1718" s="85"/>
      <c r="E1718" s="85"/>
      <c r="F1718" s="85"/>
      <c r="G1718" s="85"/>
      <c r="H1718" s="85"/>
      <c r="I1718" s="85"/>
      <c r="J1718" s="85"/>
      <c r="K1718" s="85"/>
      <c r="L1718" s="85"/>
      <c r="M1718" s="85"/>
      <c r="N1718" s="85"/>
      <c r="O1718" s="85"/>
      <c r="P1718" s="85"/>
      <c r="Q1718" s="85"/>
      <c r="R1718" s="85"/>
      <c r="S1718" s="85"/>
      <c r="T1718" s="85"/>
      <c r="U1718" s="85"/>
      <c r="V1718" s="85"/>
      <c r="W1718" s="85"/>
      <c r="X1718" s="85"/>
      <c r="Y1718" s="85"/>
      <c r="Z1718" s="85"/>
      <c r="AA1718" s="85"/>
      <c r="AB1718" s="85"/>
      <c r="AC1718" s="85"/>
      <c r="AD1718" s="85"/>
      <c r="AE1718" s="85"/>
      <c r="AF1718" s="85"/>
      <c r="AG1718" s="85"/>
      <c r="AH1718" s="85"/>
      <c r="AI1718" s="85"/>
      <c r="AJ1718" s="85"/>
      <c r="AK1718" s="85"/>
      <c r="AL1718" s="85"/>
      <c r="AM1718" s="85"/>
      <c r="AN1718" s="85"/>
      <c r="AO1718" s="85"/>
      <c r="AP1718" s="85"/>
      <c r="AQ1718" s="93"/>
      <c r="AR1718" s="85"/>
      <c r="AS1718" s="85"/>
      <c r="AT1718" s="85"/>
      <c r="AU1718" s="85"/>
      <c r="AV1718" s="85"/>
      <c r="AW1718" s="85"/>
      <c r="AX1718" s="85"/>
      <c r="AY1718" s="85"/>
      <c r="AZ1718" s="85"/>
      <c r="BA1718" s="85"/>
      <c r="BB1718" s="85"/>
      <c r="BC1718" s="85"/>
      <c r="BD1718" s="85"/>
      <c r="BE1718" s="85"/>
      <c r="BF1718" s="85"/>
      <c r="BG1718" s="85"/>
      <c r="BH1718" s="85"/>
      <c r="BI1718" s="85"/>
      <c r="BJ1718" s="85"/>
      <c r="BK1718" s="85"/>
      <c r="BL1718" s="85"/>
      <c r="BM1718" s="85"/>
      <c r="BN1718" s="85"/>
      <c r="BO1718" s="85"/>
      <c r="BP1718" s="85"/>
      <c r="BQ1718" s="85"/>
      <c r="BR1718" s="85"/>
      <c r="BS1718" s="85"/>
      <c r="BT1718" s="85"/>
      <c r="BU1718" s="85"/>
      <c r="BV1718" s="85"/>
      <c r="BW1718" s="85"/>
      <c r="BX1718" s="85"/>
      <c r="BY1718" s="85"/>
      <c r="BZ1718" s="85"/>
      <c r="CA1718" s="85"/>
      <c r="CB1718" s="85"/>
      <c r="CC1718" s="85"/>
      <c r="CD1718" s="85"/>
      <c r="CE1718" s="85"/>
      <c r="CF1718" s="85"/>
      <c r="CG1718" s="85"/>
      <c r="CH1718" s="85"/>
      <c r="CI1718" s="85"/>
      <c r="CJ1718" s="85"/>
    </row>
    <row r="1719" ht="12.75" customHeight="1">
      <c r="A1719" s="80"/>
      <c r="B1719" s="80"/>
      <c r="C1719" s="80"/>
      <c r="D1719" s="80"/>
      <c r="E1719" s="80"/>
      <c r="F1719" s="80"/>
      <c r="G1719" s="80"/>
      <c r="H1719" s="80"/>
      <c r="I1719" s="80"/>
      <c r="J1719" s="80"/>
      <c r="K1719" s="80"/>
      <c r="L1719" s="80"/>
      <c r="M1719" s="80"/>
      <c r="N1719" s="80"/>
      <c r="O1719" s="80"/>
      <c r="P1719" s="80"/>
      <c r="Q1719" s="80"/>
      <c r="R1719" s="80"/>
      <c r="S1719" s="80"/>
      <c r="T1719" s="80"/>
      <c r="U1719" s="80"/>
      <c r="V1719" s="80"/>
      <c r="W1719" s="80"/>
      <c r="X1719" s="80"/>
      <c r="Y1719" s="80"/>
      <c r="Z1719" s="80"/>
      <c r="AA1719" s="80"/>
      <c r="AB1719" s="80"/>
      <c r="AC1719" s="80"/>
      <c r="AD1719" s="80"/>
      <c r="AE1719" s="80"/>
      <c r="AF1719" s="80"/>
      <c r="AG1719" s="80"/>
      <c r="AH1719" s="80"/>
      <c r="AI1719" s="80"/>
      <c r="AJ1719" s="80"/>
      <c r="AK1719" s="80"/>
      <c r="AL1719" s="80"/>
      <c r="AM1719" s="80"/>
      <c r="AN1719" s="80"/>
      <c r="AO1719" s="80"/>
      <c r="AP1719" s="80"/>
      <c r="AQ1719" s="83"/>
      <c r="AR1719" s="80"/>
      <c r="AS1719" s="80"/>
      <c r="AT1719" s="80"/>
      <c r="AU1719" s="80"/>
      <c r="AV1719" s="80"/>
      <c r="AW1719" s="80"/>
      <c r="AX1719" s="80"/>
      <c r="AY1719" s="80"/>
      <c r="AZ1719" s="80"/>
      <c r="BA1719" s="80"/>
      <c r="BB1719" s="80"/>
      <c r="BC1719" s="80"/>
      <c r="BD1719" s="80"/>
      <c r="BE1719" s="80"/>
      <c r="BF1719" s="80"/>
      <c r="BG1719" s="80"/>
      <c r="BH1719" s="80"/>
      <c r="BI1719" s="80"/>
      <c r="BJ1719" s="80"/>
      <c r="BK1719" s="80"/>
      <c r="BL1719" s="80"/>
      <c r="BM1719" s="80"/>
      <c r="BN1719" s="80"/>
      <c r="BO1719" s="80"/>
      <c r="BP1719" s="80"/>
      <c r="BQ1719" s="80"/>
      <c r="BR1719" s="80"/>
      <c r="BS1719" s="80"/>
      <c r="BT1719" s="80"/>
      <c r="BU1719" s="80"/>
      <c r="BV1719" s="80"/>
      <c r="BW1719" s="80"/>
      <c r="BX1719" s="80"/>
      <c r="BY1719" s="80"/>
      <c r="BZ1719" s="80"/>
      <c r="CA1719" s="80"/>
      <c r="CB1719" s="80"/>
      <c r="CC1719" s="80"/>
      <c r="CD1719" s="80"/>
      <c r="CE1719" s="80"/>
      <c r="CF1719" s="80"/>
      <c r="CG1719" s="80"/>
      <c r="CH1719" s="80"/>
      <c r="CI1719" s="80"/>
      <c r="CJ1719" s="80"/>
    </row>
    <row r="1720" ht="12.75" customHeight="1">
      <c r="A1720" s="85"/>
      <c r="B1720" s="85"/>
      <c r="C1720" s="85"/>
      <c r="D1720" s="85"/>
      <c r="E1720" s="85"/>
      <c r="F1720" s="85"/>
      <c r="G1720" s="85"/>
      <c r="H1720" s="85"/>
      <c r="I1720" s="85"/>
      <c r="J1720" s="85"/>
      <c r="K1720" s="85"/>
      <c r="L1720" s="85"/>
      <c r="M1720" s="85"/>
      <c r="N1720" s="85"/>
      <c r="O1720" s="85"/>
      <c r="P1720" s="85"/>
      <c r="Q1720" s="85"/>
      <c r="R1720" s="85"/>
      <c r="S1720" s="85"/>
      <c r="T1720" s="85"/>
      <c r="U1720" s="85"/>
      <c r="V1720" s="85"/>
      <c r="W1720" s="85"/>
      <c r="X1720" s="85"/>
      <c r="Y1720" s="85"/>
      <c r="Z1720" s="85"/>
      <c r="AA1720" s="85"/>
      <c r="AB1720" s="85"/>
      <c r="AC1720" s="85"/>
      <c r="AD1720" s="85"/>
      <c r="AE1720" s="85"/>
      <c r="AF1720" s="85"/>
      <c r="AG1720" s="85"/>
      <c r="AH1720" s="85"/>
      <c r="AI1720" s="85"/>
      <c r="AJ1720" s="85"/>
      <c r="AK1720" s="85"/>
      <c r="AL1720" s="85"/>
      <c r="AM1720" s="85"/>
      <c r="AN1720" s="85"/>
      <c r="AO1720" s="85"/>
      <c r="AP1720" s="85"/>
      <c r="AQ1720" s="93"/>
      <c r="AR1720" s="85"/>
      <c r="AS1720" s="85"/>
      <c r="AT1720" s="85"/>
      <c r="AU1720" s="85"/>
      <c r="AV1720" s="85"/>
      <c r="AW1720" s="85"/>
      <c r="AX1720" s="85"/>
      <c r="AY1720" s="85"/>
      <c r="AZ1720" s="85"/>
      <c r="BA1720" s="85"/>
      <c r="BB1720" s="85"/>
      <c r="BC1720" s="85"/>
      <c r="BD1720" s="85"/>
      <c r="BE1720" s="85"/>
      <c r="BF1720" s="85"/>
      <c r="BG1720" s="85"/>
      <c r="BH1720" s="85"/>
      <c r="BI1720" s="85"/>
      <c r="BJ1720" s="85"/>
      <c r="BK1720" s="85"/>
      <c r="BL1720" s="85"/>
      <c r="BM1720" s="85"/>
      <c r="BN1720" s="85"/>
      <c r="BO1720" s="85"/>
      <c r="BP1720" s="85"/>
      <c r="BQ1720" s="85"/>
      <c r="BR1720" s="85"/>
      <c r="BS1720" s="85"/>
      <c r="BT1720" s="85"/>
      <c r="BU1720" s="85"/>
      <c r="BV1720" s="85"/>
      <c r="BW1720" s="85"/>
      <c r="BX1720" s="85"/>
      <c r="BY1720" s="85"/>
      <c r="BZ1720" s="85"/>
      <c r="CA1720" s="85"/>
      <c r="CB1720" s="85"/>
      <c r="CC1720" s="85"/>
      <c r="CD1720" s="85"/>
      <c r="CE1720" s="85"/>
      <c r="CF1720" s="85"/>
      <c r="CG1720" s="85"/>
      <c r="CH1720" s="85"/>
      <c r="CI1720" s="85"/>
      <c r="CJ1720" s="85"/>
    </row>
    <row r="1721" ht="12.75" customHeight="1">
      <c r="A1721" s="80"/>
      <c r="B1721" s="80"/>
      <c r="C1721" s="80"/>
      <c r="D1721" s="80"/>
      <c r="E1721" s="80"/>
      <c r="F1721" s="80"/>
      <c r="G1721" s="80"/>
      <c r="H1721" s="80"/>
      <c r="I1721" s="80"/>
      <c r="J1721" s="80"/>
      <c r="K1721" s="80"/>
      <c r="L1721" s="80"/>
      <c r="M1721" s="80"/>
      <c r="N1721" s="80"/>
      <c r="O1721" s="80"/>
      <c r="P1721" s="80"/>
      <c r="Q1721" s="80"/>
      <c r="R1721" s="80"/>
      <c r="S1721" s="80"/>
      <c r="T1721" s="80"/>
      <c r="U1721" s="80"/>
      <c r="V1721" s="80"/>
      <c r="W1721" s="80"/>
      <c r="X1721" s="80"/>
      <c r="Y1721" s="80"/>
      <c r="Z1721" s="80"/>
      <c r="AA1721" s="80"/>
      <c r="AB1721" s="80"/>
      <c r="AC1721" s="80"/>
      <c r="AD1721" s="80"/>
      <c r="AE1721" s="80"/>
      <c r="AF1721" s="80"/>
      <c r="AG1721" s="80"/>
      <c r="AH1721" s="80"/>
      <c r="AI1721" s="80"/>
      <c r="AJ1721" s="80"/>
      <c r="AK1721" s="80"/>
      <c r="AL1721" s="80"/>
      <c r="AM1721" s="80"/>
      <c r="AN1721" s="80"/>
      <c r="AO1721" s="80"/>
      <c r="AP1721" s="80"/>
      <c r="AQ1721" s="83"/>
      <c r="AR1721" s="80"/>
      <c r="AS1721" s="80"/>
      <c r="AT1721" s="80"/>
      <c r="AU1721" s="80"/>
      <c r="AV1721" s="80"/>
      <c r="AW1721" s="80"/>
      <c r="AX1721" s="80"/>
      <c r="AY1721" s="80"/>
      <c r="AZ1721" s="80"/>
      <c r="BA1721" s="80"/>
      <c r="BB1721" s="80"/>
      <c r="BC1721" s="80"/>
      <c r="BD1721" s="80"/>
      <c r="BE1721" s="80"/>
      <c r="BF1721" s="80"/>
      <c r="BG1721" s="80"/>
      <c r="BH1721" s="80"/>
      <c r="BI1721" s="80"/>
      <c r="BJ1721" s="80"/>
      <c r="BK1721" s="80"/>
      <c r="BL1721" s="80"/>
      <c r="BM1721" s="80"/>
      <c r="BN1721" s="80"/>
      <c r="BO1721" s="80"/>
      <c r="BP1721" s="80"/>
      <c r="BQ1721" s="80"/>
      <c r="BR1721" s="80"/>
      <c r="BS1721" s="80"/>
      <c r="BT1721" s="80"/>
      <c r="BU1721" s="80"/>
      <c r="BV1721" s="80"/>
      <c r="BW1721" s="80"/>
      <c r="BX1721" s="80"/>
      <c r="BY1721" s="80"/>
      <c r="BZ1721" s="80"/>
      <c r="CA1721" s="80"/>
      <c r="CB1721" s="80"/>
      <c r="CC1721" s="80"/>
      <c r="CD1721" s="80"/>
      <c r="CE1721" s="80"/>
      <c r="CF1721" s="80"/>
      <c r="CG1721" s="80"/>
      <c r="CH1721" s="80"/>
      <c r="CI1721" s="80"/>
      <c r="CJ1721" s="80"/>
    </row>
    <row r="1722" ht="12.75" customHeight="1">
      <c r="A1722" s="85"/>
      <c r="B1722" s="85"/>
      <c r="C1722" s="85"/>
      <c r="D1722" s="85"/>
      <c r="E1722" s="85"/>
      <c r="F1722" s="85"/>
      <c r="G1722" s="85"/>
      <c r="H1722" s="85"/>
      <c r="I1722" s="85"/>
      <c r="J1722" s="85"/>
      <c r="K1722" s="85"/>
      <c r="L1722" s="85"/>
      <c r="M1722" s="85"/>
      <c r="N1722" s="85"/>
      <c r="O1722" s="85"/>
      <c r="P1722" s="85"/>
      <c r="Q1722" s="85"/>
      <c r="R1722" s="85"/>
      <c r="S1722" s="85"/>
      <c r="T1722" s="85"/>
      <c r="U1722" s="85"/>
      <c r="V1722" s="85"/>
      <c r="W1722" s="85"/>
      <c r="X1722" s="85"/>
      <c r="Y1722" s="85"/>
      <c r="Z1722" s="85"/>
      <c r="AA1722" s="85"/>
      <c r="AB1722" s="85"/>
      <c r="AC1722" s="85"/>
      <c r="AD1722" s="85"/>
      <c r="AE1722" s="85"/>
      <c r="AF1722" s="85"/>
      <c r="AG1722" s="85"/>
      <c r="AH1722" s="85"/>
      <c r="AI1722" s="85"/>
      <c r="AJ1722" s="85"/>
      <c r="AK1722" s="85"/>
      <c r="AL1722" s="85"/>
      <c r="AM1722" s="85"/>
      <c r="AN1722" s="85"/>
      <c r="AO1722" s="85"/>
      <c r="AP1722" s="85"/>
      <c r="AQ1722" s="93"/>
      <c r="AR1722" s="85"/>
      <c r="AS1722" s="85"/>
      <c r="AT1722" s="85"/>
      <c r="AU1722" s="85"/>
      <c r="AV1722" s="85"/>
      <c r="AW1722" s="85"/>
      <c r="AX1722" s="85"/>
      <c r="AY1722" s="85"/>
      <c r="AZ1722" s="85"/>
      <c r="BA1722" s="85"/>
      <c r="BB1722" s="85"/>
      <c r="BC1722" s="85"/>
      <c r="BD1722" s="85"/>
      <c r="BE1722" s="85"/>
      <c r="BF1722" s="85"/>
      <c r="BG1722" s="85"/>
      <c r="BH1722" s="85"/>
      <c r="BI1722" s="85"/>
      <c r="BJ1722" s="85"/>
      <c r="BK1722" s="85"/>
      <c r="BL1722" s="85"/>
      <c r="BM1722" s="85"/>
      <c r="BN1722" s="85"/>
      <c r="BO1722" s="85"/>
      <c r="BP1722" s="85"/>
      <c r="BQ1722" s="85"/>
      <c r="BR1722" s="85"/>
      <c r="BS1722" s="85"/>
      <c r="BT1722" s="85"/>
      <c r="BU1722" s="85"/>
      <c r="BV1722" s="85"/>
      <c r="BW1722" s="85"/>
      <c r="BX1722" s="85"/>
      <c r="BY1722" s="85"/>
      <c r="BZ1722" s="85"/>
      <c r="CA1722" s="85"/>
      <c r="CB1722" s="85"/>
      <c r="CC1722" s="85"/>
      <c r="CD1722" s="85"/>
      <c r="CE1722" s="85"/>
      <c r="CF1722" s="85"/>
      <c r="CG1722" s="85"/>
      <c r="CH1722" s="85"/>
      <c r="CI1722" s="85"/>
      <c r="CJ1722" s="85"/>
    </row>
    <row r="1723" ht="12.75" customHeight="1">
      <c r="A1723" s="80"/>
      <c r="B1723" s="80"/>
      <c r="C1723" s="80"/>
      <c r="D1723" s="80"/>
      <c r="E1723" s="80"/>
      <c r="F1723" s="80"/>
      <c r="G1723" s="80"/>
      <c r="H1723" s="80"/>
      <c r="I1723" s="80"/>
      <c r="J1723" s="80"/>
      <c r="K1723" s="80"/>
      <c r="L1723" s="80"/>
      <c r="M1723" s="80"/>
      <c r="N1723" s="80"/>
      <c r="O1723" s="80"/>
      <c r="P1723" s="80"/>
      <c r="Q1723" s="80"/>
      <c r="R1723" s="80"/>
      <c r="S1723" s="80"/>
      <c r="T1723" s="80"/>
      <c r="U1723" s="80"/>
      <c r="V1723" s="80"/>
      <c r="W1723" s="80"/>
      <c r="X1723" s="80"/>
      <c r="Y1723" s="80"/>
      <c r="Z1723" s="80"/>
      <c r="AA1723" s="80"/>
      <c r="AB1723" s="80"/>
      <c r="AC1723" s="80"/>
      <c r="AD1723" s="80"/>
      <c r="AE1723" s="80"/>
      <c r="AF1723" s="80"/>
      <c r="AG1723" s="80"/>
      <c r="AH1723" s="80"/>
      <c r="AI1723" s="80"/>
      <c r="AJ1723" s="80"/>
      <c r="AK1723" s="80"/>
      <c r="AL1723" s="80"/>
      <c r="AM1723" s="80"/>
      <c r="AN1723" s="80"/>
      <c r="AO1723" s="80"/>
      <c r="AP1723" s="80"/>
      <c r="AQ1723" s="83"/>
      <c r="AR1723" s="80"/>
      <c r="AS1723" s="80"/>
      <c r="AT1723" s="80"/>
      <c r="AU1723" s="80"/>
      <c r="AV1723" s="80"/>
      <c r="AW1723" s="80"/>
      <c r="AX1723" s="80"/>
      <c r="AY1723" s="80"/>
      <c r="AZ1723" s="80"/>
      <c r="BA1723" s="80"/>
      <c r="BB1723" s="80"/>
      <c r="BC1723" s="80"/>
      <c r="BD1723" s="80"/>
      <c r="BE1723" s="80"/>
      <c r="BF1723" s="80"/>
      <c r="BG1723" s="80"/>
      <c r="BH1723" s="80"/>
      <c r="BI1723" s="80"/>
      <c r="BJ1723" s="80"/>
      <c r="BK1723" s="80"/>
      <c r="BL1723" s="80"/>
      <c r="BM1723" s="80"/>
      <c r="BN1723" s="80"/>
      <c r="BO1723" s="80"/>
      <c r="BP1723" s="80"/>
      <c r="BQ1723" s="80"/>
      <c r="BR1723" s="80"/>
      <c r="BS1723" s="80"/>
      <c r="BT1723" s="80"/>
      <c r="BU1723" s="80"/>
      <c r="BV1723" s="80"/>
      <c r="BW1723" s="80"/>
      <c r="BX1723" s="80"/>
      <c r="BY1723" s="80"/>
      <c r="BZ1723" s="80"/>
      <c r="CA1723" s="80"/>
      <c r="CB1723" s="80"/>
      <c r="CC1723" s="80"/>
      <c r="CD1723" s="80"/>
      <c r="CE1723" s="80"/>
      <c r="CF1723" s="80"/>
      <c r="CG1723" s="80"/>
      <c r="CH1723" s="80"/>
      <c r="CI1723" s="80"/>
      <c r="CJ1723" s="80"/>
    </row>
    <row r="1724" ht="12.75" customHeight="1">
      <c r="A1724" s="85"/>
      <c r="B1724" s="85"/>
      <c r="C1724" s="85"/>
      <c r="D1724" s="85"/>
      <c r="E1724" s="85"/>
      <c r="F1724" s="85"/>
      <c r="G1724" s="85"/>
      <c r="H1724" s="85"/>
      <c r="I1724" s="85"/>
      <c r="J1724" s="85"/>
      <c r="K1724" s="85"/>
      <c r="L1724" s="85"/>
      <c r="M1724" s="85"/>
      <c r="N1724" s="85"/>
      <c r="O1724" s="85"/>
      <c r="P1724" s="85"/>
      <c r="Q1724" s="85"/>
      <c r="R1724" s="85"/>
      <c r="S1724" s="85"/>
      <c r="T1724" s="85"/>
      <c r="U1724" s="85"/>
      <c r="V1724" s="85"/>
      <c r="W1724" s="85"/>
      <c r="X1724" s="85"/>
      <c r="Y1724" s="85"/>
      <c r="Z1724" s="85"/>
      <c r="AA1724" s="85"/>
      <c r="AB1724" s="85"/>
      <c r="AC1724" s="85"/>
      <c r="AD1724" s="85"/>
      <c r="AE1724" s="85"/>
      <c r="AF1724" s="85"/>
      <c r="AG1724" s="85"/>
      <c r="AH1724" s="85"/>
      <c r="AI1724" s="85"/>
      <c r="AJ1724" s="85"/>
      <c r="AK1724" s="85"/>
      <c r="AL1724" s="85"/>
      <c r="AM1724" s="85"/>
      <c r="AN1724" s="85"/>
      <c r="AO1724" s="85"/>
      <c r="AP1724" s="85"/>
      <c r="AQ1724" s="93"/>
      <c r="AR1724" s="85"/>
      <c r="AS1724" s="85"/>
      <c r="AT1724" s="85"/>
      <c r="AU1724" s="85"/>
      <c r="AV1724" s="85"/>
      <c r="AW1724" s="85"/>
      <c r="AX1724" s="85"/>
      <c r="AY1724" s="85"/>
      <c r="AZ1724" s="85"/>
      <c r="BA1724" s="85"/>
      <c r="BB1724" s="85"/>
      <c r="BC1724" s="85"/>
      <c r="BD1724" s="85"/>
      <c r="BE1724" s="85"/>
      <c r="BF1724" s="85"/>
      <c r="BG1724" s="85"/>
      <c r="BH1724" s="85"/>
      <c r="BI1724" s="85"/>
      <c r="BJ1724" s="85"/>
      <c r="BK1724" s="85"/>
      <c r="BL1724" s="85"/>
      <c r="BM1724" s="85"/>
      <c r="BN1724" s="85"/>
      <c r="BO1724" s="85"/>
      <c r="BP1724" s="85"/>
      <c r="BQ1724" s="85"/>
      <c r="BR1724" s="85"/>
      <c r="BS1724" s="85"/>
      <c r="BT1724" s="85"/>
      <c r="BU1724" s="85"/>
      <c r="BV1724" s="85"/>
      <c r="BW1724" s="85"/>
      <c r="BX1724" s="85"/>
      <c r="BY1724" s="85"/>
      <c r="BZ1724" s="85"/>
      <c r="CA1724" s="85"/>
      <c r="CB1724" s="85"/>
      <c r="CC1724" s="85"/>
      <c r="CD1724" s="85"/>
      <c r="CE1724" s="85"/>
      <c r="CF1724" s="85"/>
      <c r="CG1724" s="85"/>
      <c r="CH1724" s="85"/>
      <c r="CI1724" s="85"/>
      <c r="CJ1724" s="85"/>
    </row>
    <row r="1725" ht="12.75" customHeight="1">
      <c r="A1725" s="80"/>
      <c r="B1725" s="80"/>
      <c r="C1725" s="80"/>
      <c r="D1725" s="80"/>
      <c r="E1725" s="80"/>
      <c r="F1725" s="80"/>
      <c r="G1725" s="80"/>
      <c r="H1725" s="80"/>
      <c r="I1725" s="80"/>
      <c r="J1725" s="80"/>
      <c r="K1725" s="80"/>
      <c r="L1725" s="80"/>
      <c r="M1725" s="80"/>
      <c r="N1725" s="80"/>
      <c r="O1725" s="80"/>
      <c r="P1725" s="80"/>
      <c r="Q1725" s="80"/>
      <c r="R1725" s="80"/>
      <c r="S1725" s="80"/>
      <c r="T1725" s="80"/>
      <c r="U1725" s="80"/>
      <c r="V1725" s="80"/>
      <c r="W1725" s="80"/>
      <c r="X1725" s="80"/>
      <c r="Y1725" s="80"/>
      <c r="Z1725" s="80"/>
      <c r="AA1725" s="80"/>
      <c r="AB1725" s="80"/>
      <c r="AC1725" s="80"/>
      <c r="AD1725" s="80"/>
      <c r="AE1725" s="80"/>
      <c r="AF1725" s="80"/>
      <c r="AG1725" s="80"/>
      <c r="AH1725" s="80"/>
      <c r="AI1725" s="80"/>
      <c r="AJ1725" s="80"/>
      <c r="AK1725" s="80"/>
      <c r="AL1725" s="80"/>
      <c r="AM1725" s="80"/>
      <c r="AN1725" s="80"/>
      <c r="AO1725" s="80"/>
      <c r="AP1725" s="80"/>
      <c r="AQ1725" s="83"/>
      <c r="AR1725" s="80"/>
      <c r="AS1725" s="80"/>
      <c r="AT1725" s="80"/>
      <c r="AU1725" s="80"/>
      <c r="AV1725" s="80"/>
      <c r="AW1725" s="80"/>
      <c r="AX1725" s="80"/>
      <c r="AY1725" s="80"/>
      <c r="AZ1725" s="80"/>
      <c r="BA1725" s="80"/>
      <c r="BB1725" s="80"/>
      <c r="BC1725" s="80"/>
      <c r="BD1725" s="80"/>
      <c r="BE1725" s="80"/>
      <c r="BF1725" s="80"/>
      <c r="BG1725" s="80"/>
      <c r="BH1725" s="80"/>
      <c r="BI1725" s="80"/>
      <c r="BJ1725" s="80"/>
      <c r="BK1725" s="80"/>
      <c r="BL1725" s="80"/>
      <c r="BM1725" s="80"/>
      <c r="BN1725" s="80"/>
      <c r="BO1725" s="80"/>
      <c r="BP1725" s="80"/>
      <c r="BQ1725" s="80"/>
      <c r="BR1725" s="80"/>
      <c r="BS1725" s="80"/>
      <c r="BT1725" s="80"/>
      <c r="BU1725" s="80"/>
      <c r="BV1725" s="80"/>
      <c r="BW1725" s="80"/>
      <c r="BX1725" s="80"/>
      <c r="BY1725" s="80"/>
      <c r="BZ1725" s="80"/>
      <c r="CA1725" s="80"/>
      <c r="CB1725" s="80"/>
      <c r="CC1725" s="80"/>
      <c r="CD1725" s="80"/>
      <c r="CE1725" s="80"/>
      <c r="CF1725" s="80"/>
      <c r="CG1725" s="80"/>
      <c r="CH1725" s="80"/>
      <c r="CI1725" s="80"/>
      <c r="CJ1725" s="80"/>
    </row>
    <row r="1726" ht="12.75" customHeight="1">
      <c r="A1726" s="85"/>
      <c r="B1726" s="85"/>
      <c r="C1726" s="85"/>
      <c r="D1726" s="85"/>
      <c r="E1726" s="85"/>
      <c r="F1726" s="85"/>
      <c r="G1726" s="85"/>
      <c r="H1726" s="85"/>
      <c r="I1726" s="85"/>
      <c r="J1726" s="85"/>
      <c r="K1726" s="85"/>
      <c r="L1726" s="85"/>
      <c r="M1726" s="85"/>
      <c r="N1726" s="85"/>
      <c r="O1726" s="85"/>
      <c r="P1726" s="85"/>
      <c r="Q1726" s="85"/>
      <c r="R1726" s="85"/>
      <c r="S1726" s="85"/>
      <c r="T1726" s="85"/>
      <c r="U1726" s="85"/>
      <c r="V1726" s="85"/>
      <c r="W1726" s="85"/>
      <c r="X1726" s="85"/>
      <c r="Y1726" s="85"/>
      <c r="Z1726" s="85"/>
      <c r="AA1726" s="85"/>
      <c r="AB1726" s="85"/>
      <c r="AC1726" s="85"/>
      <c r="AD1726" s="85"/>
      <c r="AE1726" s="85"/>
      <c r="AF1726" s="85"/>
      <c r="AG1726" s="85"/>
      <c r="AH1726" s="85"/>
      <c r="AI1726" s="85"/>
      <c r="AJ1726" s="85"/>
      <c r="AK1726" s="85"/>
      <c r="AL1726" s="85"/>
      <c r="AM1726" s="85"/>
      <c r="AN1726" s="85"/>
      <c r="AO1726" s="85"/>
      <c r="AP1726" s="85"/>
      <c r="AQ1726" s="93"/>
      <c r="AR1726" s="85"/>
      <c r="AS1726" s="85"/>
      <c r="AT1726" s="85"/>
      <c r="AU1726" s="85"/>
      <c r="AV1726" s="85"/>
      <c r="AW1726" s="85"/>
      <c r="AX1726" s="85"/>
      <c r="AY1726" s="85"/>
      <c r="AZ1726" s="85"/>
      <c r="BA1726" s="85"/>
      <c r="BB1726" s="85"/>
      <c r="BC1726" s="85"/>
      <c r="BD1726" s="85"/>
      <c r="BE1726" s="85"/>
      <c r="BF1726" s="85"/>
      <c r="BG1726" s="85"/>
      <c r="BH1726" s="85"/>
      <c r="BI1726" s="85"/>
      <c r="BJ1726" s="85"/>
      <c r="BK1726" s="85"/>
      <c r="BL1726" s="85"/>
      <c r="BM1726" s="85"/>
      <c r="BN1726" s="85"/>
      <c r="BO1726" s="85"/>
      <c r="BP1726" s="85"/>
      <c r="BQ1726" s="85"/>
      <c r="BR1726" s="85"/>
      <c r="BS1726" s="85"/>
      <c r="BT1726" s="85"/>
      <c r="BU1726" s="85"/>
      <c r="BV1726" s="85"/>
      <c r="BW1726" s="85"/>
      <c r="BX1726" s="85"/>
      <c r="BY1726" s="85"/>
      <c r="BZ1726" s="85"/>
      <c r="CA1726" s="85"/>
      <c r="CB1726" s="85"/>
      <c r="CC1726" s="85"/>
      <c r="CD1726" s="85"/>
      <c r="CE1726" s="85"/>
      <c r="CF1726" s="85"/>
      <c r="CG1726" s="85"/>
      <c r="CH1726" s="85"/>
      <c r="CI1726" s="85"/>
      <c r="CJ1726" s="85"/>
    </row>
    <row r="1727" ht="12.75" customHeight="1">
      <c r="A1727" s="80"/>
      <c r="B1727" s="80"/>
      <c r="C1727" s="80"/>
      <c r="D1727" s="80"/>
      <c r="E1727" s="80"/>
      <c r="F1727" s="80"/>
      <c r="G1727" s="80"/>
      <c r="H1727" s="80"/>
      <c r="I1727" s="80"/>
      <c r="J1727" s="80"/>
      <c r="K1727" s="80"/>
      <c r="L1727" s="80"/>
      <c r="M1727" s="80"/>
      <c r="N1727" s="80"/>
      <c r="O1727" s="80"/>
      <c r="P1727" s="80"/>
      <c r="Q1727" s="80"/>
      <c r="R1727" s="80"/>
      <c r="S1727" s="80"/>
      <c r="T1727" s="80"/>
      <c r="U1727" s="80"/>
      <c r="V1727" s="80"/>
      <c r="W1727" s="80"/>
      <c r="X1727" s="80"/>
      <c r="Y1727" s="80"/>
      <c r="Z1727" s="80"/>
      <c r="AA1727" s="80"/>
      <c r="AB1727" s="80"/>
      <c r="AC1727" s="80"/>
      <c r="AD1727" s="80"/>
      <c r="AE1727" s="80"/>
      <c r="AF1727" s="80"/>
      <c r="AG1727" s="80"/>
      <c r="AH1727" s="80"/>
      <c r="AI1727" s="80"/>
      <c r="AJ1727" s="80"/>
      <c r="AK1727" s="80"/>
      <c r="AL1727" s="80"/>
      <c r="AM1727" s="80"/>
      <c r="AN1727" s="80"/>
      <c r="AO1727" s="80"/>
      <c r="AP1727" s="80"/>
      <c r="AQ1727" s="83"/>
      <c r="AR1727" s="80"/>
      <c r="AS1727" s="80"/>
      <c r="AT1727" s="80"/>
      <c r="AU1727" s="80"/>
      <c r="AV1727" s="80"/>
      <c r="AW1727" s="80"/>
      <c r="AX1727" s="80"/>
      <c r="AY1727" s="80"/>
      <c r="AZ1727" s="80"/>
      <c r="BA1727" s="80"/>
      <c r="BB1727" s="80"/>
      <c r="BC1727" s="80"/>
      <c r="BD1727" s="80"/>
      <c r="BE1727" s="80"/>
      <c r="BF1727" s="80"/>
      <c r="BG1727" s="80"/>
      <c r="BH1727" s="80"/>
      <c r="BI1727" s="80"/>
      <c r="BJ1727" s="80"/>
      <c r="BK1727" s="80"/>
      <c r="BL1727" s="80"/>
      <c r="BM1727" s="80"/>
      <c r="BN1727" s="80"/>
      <c r="BO1727" s="80"/>
      <c r="BP1727" s="80"/>
      <c r="BQ1727" s="80"/>
      <c r="BR1727" s="80"/>
      <c r="BS1727" s="80"/>
      <c r="BT1727" s="80"/>
      <c r="BU1727" s="80"/>
      <c r="BV1727" s="80"/>
      <c r="BW1727" s="80"/>
      <c r="BX1727" s="80"/>
      <c r="BY1727" s="80"/>
      <c r="BZ1727" s="80"/>
      <c r="CA1727" s="80"/>
      <c r="CB1727" s="80"/>
      <c r="CC1727" s="80"/>
      <c r="CD1727" s="80"/>
      <c r="CE1727" s="80"/>
      <c r="CF1727" s="80"/>
      <c r="CG1727" s="80"/>
      <c r="CH1727" s="80"/>
      <c r="CI1727" s="80"/>
      <c r="CJ1727" s="80"/>
    </row>
    <row r="1728" ht="12.75" customHeight="1">
      <c r="A1728" s="85"/>
      <c r="B1728" s="85"/>
      <c r="C1728" s="85"/>
      <c r="D1728" s="85"/>
      <c r="E1728" s="85"/>
      <c r="F1728" s="85"/>
      <c r="G1728" s="85"/>
      <c r="H1728" s="85"/>
      <c r="I1728" s="85"/>
      <c r="J1728" s="85"/>
      <c r="K1728" s="85"/>
      <c r="L1728" s="85"/>
      <c r="M1728" s="85"/>
      <c r="N1728" s="85"/>
      <c r="O1728" s="85"/>
      <c r="P1728" s="85"/>
      <c r="Q1728" s="85"/>
      <c r="R1728" s="85"/>
      <c r="S1728" s="85"/>
      <c r="T1728" s="85"/>
      <c r="U1728" s="85"/>
      <c r="V1728" s="85"/>
      <c r="W1728" s="85"/>
      <c r="X1728" s="85"/>
      <c r="Y1728" s="85"/>
      <c r="Z1728" s="85"/>
      <c r="AA1728" s="85"/>
      <c r="AB1728" s="85"/>
      <c r="AC1728" s="85"/>
      <c r="AD1728" s="85"/>
      <c r="AE1728" s="85"/>
      <c r="AF1728" s="85"/>
      <c r="AG1728" s="85"/>
      <c r="AH1728" s="85"/>
      <c r="AI1728" s="85"/>
      <c r="AJ1728" s="85"/>
      <c r="AK1728" s="85"/>
      <c r="AL1728" s="85"/>
      <c r="AM1728" s="85"/>
      <c r="AN1728" s="85"/>
      <c r="AO1728" s="85"/>
      <c r="AP1728" s="85"/>
      <c r="AQ1728" s="93"/>
      <c r="AR1728" s="85"/>
      <c r="AS1728" s="85"/>
      <c r="AT1728" s="85"/>
      <c r="AU1728" s="85"/>
      <c r="AV1728" s="85"/>
      <c r="AW1728" s="85"/>
      <c r="AX1728" s="85"/>
      <c r="AY1728" s="85"/>
      <c r="AZ1728" s="85"/>
      <c r="BA1728" s="85"/>
      <c r="BB1728" s="85"/>
      <c r="BC1728" s="85"/>
      <c r="BD1728" s="85"/>
      <c r="BE1728" s="85"/>
      <c r="BF1728" s="85"/>
      <c r="BG1728" s="85"/>
      <c r="BH1728" s="85"/>
      <c r="BI1728" s="85"/>
      <c r="BJ1728" s="85"/>
      <c r="BK1728" s="85"/>
      <c r="BL1728" s="85"/>
      <c r="BM1728" s="85"/>
      <c r="BN1728" s="85"/>
      <c r="BO1728" s="85"/>
      <c r="BP1728" s="85"/>
      <c r="BQ1728" s="85"/>
      <c r="BR1728" s="85"/>
      <c r="BS1728" s="85"/>
      <c r="BT1728" s="85"/>
      <c r="BU1728" s="85"/>
      <c r="BV1728" s="85"/>
      <c r="BW1728" s="85"/>
      <c r="BX1728" s="85"/>
      <c r="BY1728" s="85"/>
      <c r="BZ1728" s="85"/>
      <c r="CA1728" s="85"/>
      <c r="CB1728" s="85"/>
      <c r="CC1728" s="85"/>
      <c r="CD1728" s="85"/>
      <c r="CE1728" s="85"/>
      <c r="CF1728" s="85"/>
      <c r="CG1728" s="85"/>
      <c r="CH1728" s="85"/>
      <c r="CI1728" s="85"/>
      <c r="CJ1728" s="85"/>
    </row>
    <row r="1729" ht="12.75" customHeight="1">
      <c r="A1729" s="80"/>
      <c r="B1729" s="80"/>
      <c r="C1729" s="80"/>
      <c r="D1729" s="80"/>
      <c r="E1729" s="80"/>
      <c r="F1729" s="80"/>
      <c r="G1729" s="80"/>
      <c r="H1729" s="80"/>
      <c r="I1729" s="80"/>
      <c r="J1729" s="80"/>
      <c r="K1729" s="80"/>
      <c r="L1729" s="80"/>
      <c r="M1729" s="80"/>
      <c r="N1729" s="80"/>
      <c r="O1729" s="80"/>
      <c r="P1729" s="80"/>
      <c r="Q1729" s="80"/>
      <c r="R1729" s="80"/>
      <c r="S1729" s="80"/>
      <c r="T1729" s="80"/>
      <c r="U1729" s="80"/>
      <c r="V1729" s="80"/>
      <c r="W1729" s="80"/>
      <c r="X1729" s="80"/>
      <c r="Y1729" s="80"/>
      <c r="Z1729" s="80"/>
      <c r="AA1729" s="80"/>
      <c r="AB1729" s="80"/>
      <c r="AC1729" s="80"/>
      <c r="AD1729" s="80"/>
      <c r="AE1729" s="80"/>
      <c r="AF1729" s="80"/>
      <c r="AG1729" s="80"/>
      <c r="AH1729" s="80"/>
      <c r="AI1729" s="80"/>
      <c r="AJ1729" s="80"/>
      <c r="AK1729" s="80"/>
      <c r="AL1729" s="80"/>
      <c r="AM1729" s="80"/>
      <c r="AN1729" s="80"/>
      <c r="AO1729" s="80"/>
      <c r="AP1729" s="80"/>
      <c r="AQ1729" s="83"/>
      <c r="AR1729" s="80"/>
      <c r="AS1729" s="80"/>
      <c r="AT1729" s="80"/>
      <c r="AU1729" s="80"/>
      <c r="AV1729" s="80"/>
      <c r="AW1729" s="80"/>
      <c r="AX1729" s="80"/>
      <c r="AY1729" s="80"/>
      <c r="AZ1729" s="80"/>
      <c r="BA1729" s="80"/>
      <c r="BB1729" s="80"/>
      <c r="BC1729" s="80"/>
      <c r="BD1729" s="80"/>
      <c r="BE1729" s="80"/>
      <c r="BF1729" s="80"/>
      <c r="BG1729" s="80"/>
      <c r="BH1729" s="80"/>
      <c r="BI1729" s="80"/>
      <c r="BJ1729" s="80"/>
      <c r="BK1729" s="80"/>
      <c r="BL1729" s="80"/>
      <c r="BM1729" s="80"/>
      <c r="BN1729" s="80"/>
      <c r="BO1729" s="80"/>
      <c r="BP1729" s="80"/>
      <c r="BQ1729" s="80"/>
      <c r="BR1729" s="80"/>
      <c r="BS1729" s="80"/>
      <c r="BT1729" s="80"/>
      <c r="BU1729" s="80"/>
      <c r="BV1729" s="80"/>
      <c r="BW1729" s="80"/>
      <c r="BX1729" s="80"/>
      <c r="BY1729" s="80"/>
      <c r="BZ1729" s="80"/>
      <c r="CA1729" s="80"/>
      <c r="CB1729" s="80"/>
      <c r="CC1729" s="80"/>
      <c r="CD1729" s="80"/>
      <c r="CE1729" s="80"/>
      <c r="CF1729" s="80"/>
      <c r="CG1729" s="80"/>
      <c r="CH1729" s="80"/>
      <c r="CI1729" s="80"/>
      <c r="CJ1729" s="80"/>
    </row>
    <row r="1730" ht="12.75" customHeight="1">
      <c r="A1730" s="85"/>
      <c r="B1730" s="85"/>
      <c r="C1730" s="85"/>
      <c r="D1730" s="85"/>
      <c r="E1730" s="85"/>
      <c r="F1730" s="85"/>
      <c r="G1730" s="85"/>
      <c r="H1730" s="85"/>
      <c r="I1730" s="85"/>
      <c r="J1730" s="85"/>
      <c r="K1730" s="85"/>
      <c r="L1730" s="85"/>
      <c r="M1730" s="85"/>
      <c r="N1730" s="85"/>
      <c r="O1730" s="85"/>
      <c r="P1730" s="85"/>
      <c r="Q1730" s="85"/>
      <c r="R1730" s="85"/>
      <c r="S1730" s="85"/>
      <c r="T1730" s="85"/>
      <c r="U1730" s="85"/>
      <c r="V1730" s="85"/>
      <c r="W1730" s="85"/>
      <c r="X1730" s="85"/>
      <c r="Y1730" s="85"/>
      <c r="Z1730" s="85"/>
      <c r="AA1730" s="85"/>
      <c r="AB1730" s="85"/>
      <c r="AC1730" s="85"/>
      <c r="AD1730" s="85"/>
      <c r="AE1730" s="85"/>
      <c r="AF1730" s="85"/>
      <c r="AG1730" s="85"/>
      <c r="AH1730" s="85"/>
      <c r="AI1730" s="85"/>
      <c r="AJ1730" s="85"/>
      <c r="AK1730" s="85"/>
      <c r="AL1730" s="85"/>
      <c r="AM1730" s="85"/>
      <c r="AN1730" s="85"/>
      <c r="AO1730" s="85"/>
      <c r="AP1730" s="85"/>
      <c r="AQ1730" s="93"/>
      <c r="AR1730" s="85"/>
      <c r="AS1730" s="85"/>
      <c r="AT1730" s="85"/>
      <c r="AU1730" s="85"/>
      <c r="AV1730" s="85"/>
      <c r="AW1730" s="85"/>
      <c r="AX1730" s="85"/>
      <c r="AY1730" s="85"/>
      <c r="AZ1730" s="85"/>
      <c r="BA1730" s="85"/>
      <c r="BB1730" s="85"/>
      <c r="BC1730" s="85"/>
      <c r="BD1730" s="85"/>
      <c r="BE1730" s="85"/>
      <c r="BF1730" s="85"/>
      <c r="BG1730" s="85"/>
      <c r="BH1730" s="85"/>
      <c r="BI1730" s="85"/>
      <c r="BJ1730" s="85"/>
      <c r="BK1730" s="85"/>
      <c r="BL1730" s="85"/>
      <c r="BM1730" s="85"/>
      <c r="BN1730" s="85"/>
      <c r="BO1730" s="85"/>
      <c r="BP1730" s="85"/>
      <c r="BQ1730" s="85"/>
      <c r="BR1730" s="85"/>
      <c r="BS1730" s="85"/>
      <c r="BT1730" s="85"/>
      <c r="BU1730" s="85"/>
      <c r="BV1730" s="85"/>
      <c r="BW1730" s="85"/>
      <c r="BX1730" s="85"/>
      <c r="BY1730" s="85"/>
      <c r="BZ1730" s="85"/>
      <c r="CA1730" s="85"/>
      <c r="CB1730" s="85"/>
      <c r="CC1730" s="85"/>
      <c r="CD1730" s="85"/>
      <c r="CE1730" s="85"/>
      <c r="CF1730" s="85"/>
      <c r="CG1730" s="85"/>
      <c r="CH1730" s="85"/>
      <c r="CI1730" s="85"/>
      <c r="CJ1730" s="85"/>
    </row>
    <row r="1731" ht="12.75" customHeight="1">
      <c r="A1731" s="80"/>
      <c r="B1731" s="80"/>
      <c r="C1731" s="80"/>
      <c r="D1731" s="80"/>
      <c r="E1731" s="80"/>
      <c r="F1731" s="80"/>
      <c r="G1731" s="80"/>
      <c r="H1731" s="80"/>
      <c r="I1731" s="80"/>
      <c r="J1731" s="80"/>
      <c r="K1731" s="80"/>
      <c r="L1731" s="80"/>
      <c r="M1731" s="80"/>
      <c r="N1731" s="80"/>
      <c r="O1731" s="80"/>
      <c r="P1731" s="80"/>
      <c r="Q1731" s="80"/>
      <c r="R1731" s="80"/>
      <c r="S1731" s="80"/>
      <c r="T1731" s="80"/>
      <c r="U1731" s="80"/>
      <c r="V1731" s="80"/>
      <c r="W1731" s="80"/>
      <c r="X1731" s="80"/>
      <c r="Y1731" s="80"/>
      <c r="Z1731" s="80"/>
      <c r="AA1731" s="80"/>
      <c r="AB1731" s="80"/>
      <c r="AC1731" s="80"/>
      <c r="AD1731" s="80"/>
      <c r="AE1731" s="80"/>
      <c r="AF1731" s="80"/>
      <c r="AG1731" s="80"/>
      <c r="AH1731" s="80"/>
      <c r="AI1731" s="80"/>
      <c r="AJ1731" s="80"/>
      <c r="AK1731" s="80"/>
      <c r="AL1731" s="80"/>
      <c r="AM1731" s="80"/>
      <c r="AN1731" s="80"/>
      <c r="AO1731" s="80"/>
      <c r="AP1731" s="80"/>
      <c r="AQ1731" s="83"/>
      <c r="AR1731" s="80"/>
      <c r="AS1731" s="80"/>
      <c r="AT1731" s="80"/>
      <c r="AU1731" s="80"/>
      <c r="AV1731" s="80"/>
      <c r="AW1731" s="80"/>
      <c r="AX1731" s="80"/>
      <c r="AY1731" s="80"/>
      <c r="AZ1731" s="80"/>
      <c r="BA1731" s="80"/>
      <c r="BB1731" s="80"/>
      <c r="BC1731" s="80"/>
      <c r="BD1731" s="80"/>
      <c r="BE1731" s="80"/>
      <c r="BF1731" s="80"/>
      <c r="BG1731" s="80"/>
      <c r="BH1731" s="80"/>
      <c r="BI1731" s="80"/>
      <c r="BJ1731" s="80"/>
      <c r="BK1731" s="80"/>
      <c r="BL1731" s="80"/>
      <c r="BM1731" s="80"/>
      <c r="BN1731" s="80"/>
      <c r="BO1731" s="80"/>
      <c r="BP1731" s="80"/>
      <c r="BQ1731" s="80"/>
      <c r="BR1731" s="80"/>
      <c r="BS1731" s="80"/>
      <c r="BT1731" s="80"/>
      <c r="BU1731" s="80"/>
      <c r="BV1731" s="80"/>
      <c r="BW1731" s="80"/>
      <c r="BX1731" s="80"/>
      <c r="BY1731" s="80"/>
      <c r="BZ1731" s="80"/>
      <c r="CA1731" s="80"/>
      <c r="CB1731" s="80"/>
      <c r="CC1731" s="80"/>
      <c r="CD1731" s="80"/>
      <c r="CE1731" s="80"/>
      <c r="CF1731" s="80"/>
      <c r="CG1731" s="80"/>
      <c r="CH1731" s="80"/>
      <c r="CI1731" s="80"/>
      <c r="CJ1731" s="80"/>
    </row>
    <row r="1732" ht="12.75" customHeight="1">
      <c r="A1732" s="85"/>
      <c r="B1732" s="85"/>
      <c r="C1732" s="85"/>
      <c r="D1732" s="85"/>
      <c r="E1732" s="85"/>
      <c r="F1732" s="85"/>
      <c r="G1732" s="85"/>
      <c r="H1732" s="85"/>
      <c r="I1732" s="85"/>
      <c r="J1732" s="85"/>
      <c r="K1732" s="85"/>
      <c r="L1732" s="85"/>
      <c r="M1732" s="85"/>
      <c r="N1732" s="85"/>
      <c r="O1732" s="85"/>
      <c r="P1732" s="85"/>
      <c r="Q1732" s="85"/>
      <c r="R1732" s="85"/>
      <c r="S1732" s="85"/>
      <c r="T1732" s="85"/>
      <c r="U1732" s="85"/>
      <c r="V1732" s="85"/>
      <c r="W1732" s="85"/>
      <c r="X1732" s="85"/>
      <c r="Y1732" s="85"/>
      <c r="Z1732" s="85"/>
      <c r="AA1732" s="85"/>
      <c r="AB1732" s="85"/>
      <c r="AC1732" s="85"/>
      <c r="AD1732" s="85"/>
      <c r="AE1732" s="85"/>
      <c r="AF1732" s="85"/>
      <c r="AG1732" s="85"/>
      <c r="AH1732" s="85"/>
      <c r="AI1732" s="85"/>
      <c r="AJ1732" s="85"/>
      <c r="AK1732" s="85"/>
      <c r="AL1732" s="85"/>
      <c r="AM1732" s="85"/>
      <c r="AN1732" s="85"/>
      <c r="AO1732" s="85"/>
      <c r="AP1732" s="85"/>
      <c r="AQ1732" s="93"/>
      <c r="AR1732" s="85"/>
      <c r="AS1732" s="85"/>
      <c r="AT1732" s="85"/>
      <c r="AU1732" s="85"/>
      <c r="AV1732" s="85"/>
      <c r="AW1732" s="85"/>
      <c r="AX1732" s="85"/>
      <c r="AY1732" s="85"/>
      <c r="AZ1732" s="85"/>
      <c r="BA1732" s="85"/>
      <c r="BB1732" s="85"/>
      <c r="BC1732" s="85"/>
      <c r="BD1732" s="85"/>
      <c r="BE1732" s="85"/>
      <c r="BF1732" s="85"/>
      <c r="BG1732" s="85"/>
      <c r="BH1732" s="85"/>
      <c r="BI1732" s="85"/>
      <c r="BJ1732" s="85"/>
      <c r="BK1732" s="85"/>
      <c r="BL1732" s="85"/>
      <c r="BM1732" s="85"/>
      <c r="BN1732" s="85"/>
      <c r="BO1732" s="85"/>
      <c r="BP1732" s="85"/>
      <c r="BQ1732" s="85"/>
      <c r="BR1732" s="85"/>
      <c r="BS1732" s="85"/>
      <c r="BT1732" s="85"/>
      <c r="BU1732" s="85"/>
      <c r="BV1732" s="85"/>
      <c r="BW1732" s="85"/>
      <c r="BX1732" s="85"/>
      <c r="BY1732" s="85"/>
      <c r="BZ1732" s="85"/>
      <c r="CA1732" s="85"/>
      <c r="CB1732" s="85"/>
      <c r="CC1732" s="85"/>
      <c r="CD1732" s="85"/>
      <c r="CE1732" s="85"/>
      <c r="CF1732" s="85"/>
      <c r="CG1732" s="85"/>
      <c r="CH1732" s="85"/>
      <c r="CI1732" s="85"/>
      <c r="CJ1732" s="85"/>
    </row>
    <row r="1733" ht="12.75" customHeight="1">
      <c r="A1733" s="80"/>
      <c r="B1733" s="80"/>
      <c r="C1733" s="80"/>
      <c r="D1733" s="80"/>
      <c r="E1733" s="80"/>
      <c r="F1733" s="80"/>
      <c r="G1733" s="80"/>
      <c r="H1733" s="80"/>
      <c r="I1733" s="80"/>
      <c r="J1733" s="80"/>
      <c r="K1733" s="80"/>
      <c r="L1733" s="80"/>
      <c r="M1733" s="80"/>
      <c r="N1733" s="80"/>
      <c r="O1733" s="80"/>
      <c r="P1733" s="80"/>
      <c r="Q1733" s="80"/>
      <c r="R1733" s="80"/>
      <c r="S1733" s="80"/>
      <c r="T1733" s="80"/>
      <c r="U1733" s="80"/>
      <c r="V1733" s="80"/>
      <c r="W1733" s="80"/>
      <c r="X1733" s="80"/>
      <c r="Y1733" s="80"/>
      <c r="Z1733" s="80"/>
      <c r="AA1733" s="80"/>
      <c r="AB1733" s="80"/>
      <c r="AC1733" s="80"/>
      <c r="AD1733" s="80"/>
      <c r="AE1733" s="80"/>
      <c r="AF1733" s="80"/>
      <c r="AG1733" s="80"/>
      <c r="AH1733" s="80"/>
      <c r="AI1733" s="80"/>
      <c r="AJ1733" s="80"/>
      <c r="AK1733" s="80"/>
      <c r="AL1733" s="80"/>
      <c r="AM1733" s="80"/>
      <c r="AN1733" s="80"/>
      <c r="AO1733" s="80"/>
      <c r="AP1733" s="80"/>
      <c r="AQ1733" s="83"/>
      <c r="AR1733" s="80"/>
      <c r="AS1733" s="80"/>
      <c r="AT1733" s="80"/>
      <c r="AU1733" s="80"/>
      <c r="AV1733" s="80"/>
      <c r="AW1733" s="80"/>
      <c r="AX1733" s="80"/>
      <c r="AY1733" s="80"/>
      <c r="AZ1733" s="80"/>
      <c r="BA1733" s="80"/>
      <c r="BB1733" s="80"/>
      <c r="BC1733" s="80"/>
      <c r="BD1733" s="80"/>
      <c r="BE1733" s="80"/>
      <c r="BF1733" s="80"/>
      <c r="BG1733" s="80"/>
      <c r="BH1733" s="80"/>
      <c r="BI1733" s="80"/>
      <c r="BJ1733" s="80"/>
      <c r="BK1733" s="80"/>
      <c r="BL1733" s="80"/>
      <c r="BM1733" s="80"/>
      <c r="BN1733" s="80"/>
      <c r="BO1733" s="80"/>
      <c r="BP1733" s="80"/>
      <c r="BQ1733" s="80"/>
      <c r="BR1733" s="80"/>
      <c r="BS1733" s="80"/>
      <c r="BT1733" s="80"/>
      <c r="BU1733" s="80"/>
      <c r="BV1733" s="80"/>
      <c r="BW1733" s="80"/>
      <c r="BX1733" s="80"/>
      <c r="BY1733" s="80"/>
      <c r="BZ1733" s="80"/>
      <c r="CA1733" s="80"/>
      <c r="CB1733" s="80"/>
      <c r="CC1733" s="80"/>
      <c r="CD1733" s="80"/>
      <c r="CE1733" s="80"/>
      <c r="CF1733" s="80"/>
      <c r="CG1733" s="80"/>
      <c r="CH1733" s="80"/>
      <c r="CI1733" s="80"/>
      <c r="CJ1733" s="80"/>
    </row>
    <row r="1734" ht="12.75" customHeight="1">
      <c r="A1734" s="85"/>
      <c r="B1734" s="85"/>
      <c r="C1734" s="85"/>
      <c r="D1734" s="85"/>
      <c r="E1734" s="85"/>
      <c r="F1734" s="85"/>
      <c r="G1734" s="85"/>
      <c r="H1734" s="85"/>
      <c r="I1734" s="85"/>
      <c r="J1734" s="85"/>
      <c r="K1734" s="85"/>
      <c r="L1734" s="85"/>
      <c r="M1734" s="85"/>
      <c r="N1734" s="85"/>
      <c r="O1734" s="85"/>
      <c r="P1734" s="85"/>
      <c r="Q1734" s="85"/>
      <c r="R1734" s="85"/>
      <c r="S1734" s="85"/>
      <c r="T1734" s="85"/>
      <c r="U1734" s="85"/>
      <c r="V1734" s="85"/>
      <c r="W1734" s="85"/>
      <c r="X1734" s="85"/>
      <c r="Y1734" s="85"/>
      <c r="Z1734" s="85"/>
      <c r="AA1734" s="85"/>
      <c r="AB1734" s="85"/>
      <c r="AC1734" s="85"/>
      <c r="AD1734" s="85"/>
      <c r="AE1734" s="85"/>
      <c r="AF1734" s="85"/>
      <c r="AG1734" s="85"/>
      <c r="AH1734" s="85"/>
      <c r="AI1734" s="85"/>
      <c r="AJ1734" s="85"/>
      <c r="AK1734" s="85"/>
      <c r="AL1734" s="85"/>
      <c r="AM1734" s="85"/>
      <c r="AN1734" s="85"/>
      <c r="AO1734" s="85"/>
      <c r="AP1734" s="85"/>
      <c r="AQ1734" s="93"/>
      <c r="AR1734" s="85"/>
      <c r="AS1734" s="85"/>
      <c r="AT1734" s="85"/>
      <c r="AU1734" s="85"/>
      <c r="AV1734" s="85"/>
      <c r="AW1734" s="85"/>
      <c r="AX1734" s="85"/>
      <c r="AY1734" s="85"/>
      <c r="AZ1734" s="85"/>
      <c r="BA1734" s="85"/>
      <c r="BB1734" s="85"/>
      <c r="BC1734" s="85"/>
      <c r="BD1734" s="85"/>
      <c r="BE1734" s="85"/>
      <c r="BF1734" s="85"/>
      <c r="BG1734" s="85"/>
      <c r="BH1734" s="85"/>
      <c r="BI1734" s="85"/>
      <c r="BJ1734" s="85"/>
      <c r="BK1734" s="85"/>
      <c r="BL1734" s="85"/>
      <c r="BM1734" s="85"/>
      <c r="BN1734" s="85"/>
      <c r="BO1734" s="85"/>
      <c r="BP1734" s="85"/>
      <c r="BQ1734" s="85"/>
      <c r="BR1734" s="85"/>
      <c r="BS1734" s="85"/>
      <c r="BT1734" s="85"/>
      <c r="BU1734" s="85"/>
      <c r="BV1734" s="85"/>
      <c r="BW1734" s="85"/>
      <c r="BX1734" s="85"/>
      <c r="BY1734" s="85"/>
      <c r="BZ1734" s="85"/>
      <c r="CA1734" s="85"/>
      <c r="CB1734" s="85"/>
      <c r="CC1734" s="85"/>
      <c r="CD1734" s="85"/>
      <c r="CE1734" s="85"/>
      <c r="CF1734" s="85"/>
      <c r="CG1734" s="85"/>
      <c r="CH1734" s="85"/>
      <c r="CI1734" s="85"/>
      <c r="CJ1734" s="85"/>
    </row>
    <row r="1735" ht="12.75" customHeight="1">
      <c r="A1735" s="80"/>
      <c r="B1735" s="80"/>
      <c r="C1735" s="80"/>
      <c r="D1735" s="80"/>
      <c r="E1735" s="80"/>
      <c r="F1735" s="80"/>
      <c r="G1735" s="80"/>
      <c r="H1735" s="80"/>
      <c r="I1735" s="80"/>
      <c r="J1735" s="80"/>
      <c r="K1735" s="80"/>
      <c r="L1735" s="80"/>
      <c r="M1735" s="80"/>
      <c r="N1735" s="80"/>
      <c r="O1735" s="80"/>
      <c r="P1735" s="80"/>
      <c r="Q1735" s="80"/>
      <c r="R1735" s="80"/>
      <c r="S1735" s="80"/>
      <c r="T1735" s="80"/>
      <c r="U1735" s="80"/>
      <c r="V1735" s="80"/>
      <c r="W1735" s="80"/>
      <c r="X1735" s="80"/>
      <c r="Y1735" s="80"/>
      <c r="Z1735" s="80"/>
      <c r="AA1735" s="80"/>
      <c r="AB1735" s="80"/>
      <c r="AC1735" s="80"/>
      <c r="AD1735" s="80"/>
      <c r="AE1735" s="80"/>
      <c r="AF1735" s="80"/>
      <c r="AG1735" s="80"/>
      <c r="AH1735" s="80"/>
      <c r="AI1735" s="80"/>
      <c r="AJ1735" s="80"/>
      <c r="AK1735" s="80"/>
      <c r="AL1735" s="80"/>
      <c r="AM1735" s="80"/>
      <c r="AN1735" s="80"/>
      <c r="AO1735" s="80"/>
      <c r="AP1735" s="80"/>
      <c r="AQ1735" s="83"/>
      <c r="AR1735" s="80"/>
      <c r="AS1735" s="80"/>
      <c r="AT1735" s="80"/>
      <c r="AU1735" s="80"/>
      <c r="AV1735" s="80"/>
      <c r="AW1735" s="80"/>
      <c r="AX1735" s="80"/>
      <c r="AY1735" s="80"/>
      <c r="AZ1735" s="80"/>
      <c r="BA1735" s="80"/>
      <c r="BB1735" s="80"/>
      <c r="BC1735" s="80"/>
      <c r="BD1735" s="80"/>
      <c r="BE1735" s="80"/>
      <c r="BF1735" s="80"/>
      <c r="BG1735" s="80"/>
      <c r="BH1735" s="80"/>
      <c r="BI1735" s="80"/>
      <c r="BJ1735" s="80"/>
      <c r="BK1735" s="80"/>
      <c r="BL1735" s="80"/>
      <c r="BM1735" s="80"/>
      <c r="BN1735" s="80"/>
      <c r="BO1735" s="80"/>
      <c r="BP1735" s="80"/>
      <c r="BQ1735" s="80"/>
      <c r="BR1735" s="80"/>
      <c r="BS1735" s="80"/>
      <c r="BT1735" s="80"/>
      <c r="BU1735" s="80"/>
      <c r="BV1735" s="80"/>
      <c r="BW1735" s="80"/>
      <c r="BX1735" s="80"/>
      <c r="BY1735" s="80"/>
      <c r="BZ1735" s="80"/>
      <c r="CA1735" s="80"/>
      <c r="CB1735" s="80"/>
      <c r="CC1735" s="80"/>
      <c r="CD1735" s="80"/>
      <c r="CE1735" s="80"/>
      <c r="CF1735" s="80"/>
      <c r="CG1735" s="80"/>
      <c r="CH1735" s="80"/>
      <c r="CI1735" s="80"/>
      <c r="CJ1735" s="80"/>
    </row>
    <row r="1736" ht="12.75" customHeight="1">
      <c r="A1736" s="85"/>
      <c r="B1736" s="85"/>
      <c r="C1736" s="85"/>
      <c r="D1736" s="85"/>
      <c r="E1736" s="85"/>
      <c r="F1736" s="85"/>
      <c r="G1736" s="85"/>
      <c r="H1736" s="85"/>
      <c r="I1736" s="85"/>
      <c r="J1736" s="85"/>
      <c r="K1736" s="85"/>
      <c r="L1736" s="85"/>
      <c r="M1736" s="85"/>
      <c r="N1736" s="85"/>
      <c r="O1736" s="85"/>
      <c r="P1736" s="85"/>
      <c r="Q1736" s="85"/>
      <c r="R1736" s="85"/>
      <c r="S1736" s="85"/>
      <c r="T1736" s="85"/>
      <c r="U1736" s="85"/>
      <c r="V1736" s="85"/>
      <c r="W1736" s="85"/>
      <c r="X1736" s="85"/>
      <c r="Y1736" s="85"/>
      <c r="Z1736" s="85"/>
      <c r="AA1736" s="85"/>
      <c r="AB1736" s="85"/>
      <c r="AC1736" s="85"/>
      <c r="AD1736" s="85"/>
      <c r="AE1736" s="85"/>
      <c r="AF1736" s="85"/>
      <c r="AG1736" s="85"/>
      <c r="AH1736" s="85"/>
      <c r="AI1736" s="85"/>
      <c r="AJ1736" s="85"/>
      <c r="AK1736" s="85"/>
      <c r="AL1736" s="85"/>
      <c r="AM1736" s="85"/>
      <c r="AN1736" s="85"/>
      <c r="AO1736" s="85"/>
      <c r="AP1736" s="85"/>
      <c r="AQ1736" s="93"/>
      <c r="AR1736" s="85"/>
      <c r="AS1736" s="85"/>
      <c r="AT1736" s="85"/>
      <c r="AU1736" s="85"/>
      <c r="AV1736" s="85"/>
      <c r="AW1736" s="85"/>
      <c r="AX1736" s="85"/>
      <c r="AY1736" s="85"/>
      <c r="AZ1736" s="85"/>
      <c r="BA1736" s="85"/>
      <c r="BB1736" s="85"/>
      <c r="BC1736" s="85"/>
      <c r="BD1736" s="85"/>
      <c r="BE1736" s="85"/>
      <c r="BF1736" s="85"/>
      <c r="BG1736" s="85"/>
      <c r="BH1736" s="85"/>
      <c r="BI1736" s="85"/>
      <c r="BJ1736" s="85"/>
      <c r="BK1736" s="85"/>
      <c r="BL1736" s="85"/>
      <c r="BM1736" s="85"/>
      <c r="BN1736" s="85"/>
      <c r="BO1736" s="85"/>
      <c r="BP1736" s="85"/>
      <c r="BQ1736" s="85"/>
      <c r="BR1736" s="85"/>
      <c r="BS1736" s="85"/>
      <c r="BT1736" s="85"/>
      <c r="BU1736" s="85"/>
      <c r="BV1736" s="85"/>
      <c r="BW1736" s="85"/>
      <c r="BX1736" s="85"/>
      <c r="BY1736" s="85"/>
      <c r="BZ1736" s="85"/>
      <c r="CA1736" s="85"/>
      <c r="CB1736" s="85"/>
      <c r="CC1736" s="85"/>
      <c r="CD1736" s="85"/>
      <c r="CE1736" s="85"/>
      <c r="CF1736" s="85"/>
      <c r="CG1736" s="85"/>
      <c r="CH1736" s="85"/>
      <c r="CI1736" s="85"/>
      <c r="CJ1736" s="85"/>
    </row>
    <row r="1737" ht="12.75" customHeight="1">
      <c r="A1737" s="80"/>
      <c r="B1737" s="80"/>
      <c r="C1737" s="80"/>
      <c r="D1737" s="80"/>
      <c r="E1737" s="80"/>
      <c r="F1737" s="80"/>
      <c r="G1737" s="80"/>
      <c r="H1737" s="80"/>
      <c r="I1737" s="80"/>
      <c r="J1737" s="80"/>
      <c r="K1737" s="80"/>
      <c r="L1737" s="80"/>
      <c r="M1737" s="80"/>
      <c r="N1737" s="80"/>
      <c r="O1737" s="80"/>
      <c r="P1737" s="80"/>
      <c r="Q1737" s="80"/>
      <c r="R1737" s="80"/>
      <c r="S1737" s="80"/>
      <c r="T1737" s="80"/>
      <c r="U1737" s="80"/>
      <c r="V1737" s="80"/>
      <c r="W1737" s="80"/>
      <c r="X1737" s="80"/>
      <c r="Y1737" s="80"/>
      <c r="Z1737" s="80"/>
      <c r="AA1737" s="80"/>
      <c r="AB1737" s="80"/>
      <c r="AC1737" s="80"/>
      <c r="AD1737" s="80"/>
      <c r="AE1737" s="80"/>
      <c r="AF1737" s="80"/>
      <c r="AG1737" s="80"/>
      <c r="AH1737" s="80"/>
      <c r="AI1737" s="80"/>
      <c r="AJ1737" s="80"/>
      <c r="AK1737" s="80"/>
      <c r="AL1737" s="80"/>
      <c r="AM1737" s="80"/>
      <c r="AN1737" s="80"/>
      <c r="AO1737" s="80"/>
      <c r="AP1737" s="80"/>
      <c r="AQ1737" s="83"/>
      <c r="AR1737" s="80"/>
      <c r="AS1737" s="80"/>
      <c r="AT1737" s="80"/>
      <c r="AU1737" s="80"/>
      <c r="AV1737" s="80"/>
      <c r="AW1737" s="80"/>
      <c r="AX1737" s="80"/>
      <c r="AY1737" s="80"/>
      <c r="AZ1737" s="80"/>
      <c r="BA1737" s="80"/>
      <c r="BB1737" s="80"/>
      <c r="BC1737" s="80"/>
      <c r="BD1737" s="80"/>
      <c r="BE1737" s="80"/>
      <c r="BF1737" s="80"/>
      <c r="BG1737" s="80"/>
      <c r="BH1737" s="80"/>
      <c r="BI1737" s="80"/>
      <c r="BJ1737" s="80"/>
      <c r="BK1737" s="80"/>
      <c r="BL1737" s="80"/>
      <c r="BM1737" s="80"/>
      <c r="BN1737" s="80"/>
      <c r="BO1737" s="80"/>
      <c r="BP1737" s="80"/>
      <c r="BQ1737" s="80"/>
      <c r="BR1737" s="80"/>
      <c r="BS1737" s="80"/>
      <c r="BT1737" s="80"/>
      <c r="BU1737" s="80"/>
      <c r="BV1737" s="80"/>
      <c r="BW1737" s="80"/>
      <c r="BX1737" s="80"/>
      <c r="BY1737" s="80"/>
      <c r="BZ1737" s="80"/>
      <c r="CA1737" s="80"/>
      <c r="CB1737" s="80"/>
      <c r="CC1737" s="80"/>
      <c r="CD1737" s="80"/>
      <c r="CE1737" s="80"/>
      <c r="CF1737" s="80"/>
      <c r="CG1737" s="80"/>
      <c r="CH1737" s="80"/>
      <c r="CI1737" s="80"/>
      <c r="CJ1737" s="80"/>
    </row>
    <row r="1738" ht="12.75" customHeight="1">
      <c r="A1738" s="85"/>
      <c r="B1738" s="85"/>
      <c r="C1738" s="85"/>
      <c r="D1738" s="85"/>
      <c r="E1738" s="85"/>
      <c r="F1738" s="85"/>
      <c r="G1738" s="85"/>
      <c r="H1738" s="85"/>
      <c r="I1738" s="85"/>
      <c r="J1738" s="85"/>
      <c r="K1738" s="85"/>
      <c r="L1738" s="85"/>
      <c r="M1738" s="85"/>
      <c r="N1738" s="85"/>
      <c r="O1738" s="85"/>
      <c r="P1738" s="85"/>
      <c r="Q1738" s="85"/>
      <c r="R1738" s="85"/>
      <c r="S1738" s="85"/>
      <c r="T1738" s="85"/>
      <c r="U1738" s="85"/>
      <c r="V1738" s="85"/>
      <c r="W1738" s="85"/>
      <c r="X1738" s="85"/>
      <c r="Y1738" s="85"/>
      <c r="Z1738" s="85"/>
      <c r="AA1738" s="85"/>
      <c r="AB1738" s="85"/>
      <c r="AC1738" s="85"/>
      <c r="AD1738" s="85"/>
      <c r="AE1738" s="85"/>
      <c r="AF1738" s="85"/>
      <c r="AG1738" s="85"/>
      <c r="AH1738" s="85"/>
      <c r="AI1738" s="85"/>
      <c r="AJ1738" s="85"/>
      <c r="AK1738" s="85"/>
      <c r="AL1738" s="85"/>
      <c r="AM1738" s="85"/>
      <c r="AN1738" s="85"/>
      <c r="AO1738" s="85"/>
      <c r="AP1738" s="85"/>
      <c r="AQ1738" s="93"/>
      <c r="AR1738" s="85"/>
      <c r="AS1738" s="85"/>
      <c r="AT1738" s="85"/>
      <c r="AU1738" s="85"/>
      <c r="AV1738" s="85"/>
      <c r="AW1738" s="85"/>
      <c r="AX1738" s="85"/>
      <c r="AY1738" s="85"/>
      <c r="AZ1738" s="85"/>
      <c r="BA1738" s="85"/>
      <c r="BB1738" s="85"/>
      <c r="BC1738" s="85"/>
      <c r="BD1738" s="85"/>
      <c r="BE1738" s="85"/>
      <c r="BF1738" s="85"/>
      <c r="BG1738" s="85"/>
      <c r="BH1738" s="85"/>
      <c r="BI1738" s="85"/>
      <c r="BJ1738" s="85"/>
      <c r="BK1738" s="85"/>
      <c r="BL1738" s="85"/>
      <c r="BM1738" s="85"/>
      <c r="BN1738" s="85"/>
      <c r="BO1738" s="85"/>
      <c r="BP1738" s="85"/>
      <c r="BQ1738" s="85"/>
      <c r="BR1738" s="85"/>
      <c r="BS1738" s="85"/>
      <c r="BT1738" s="85"/>
      <c r="BU1738" s="85"/>
      <c r="BV1738" s="85"/>
      <c r="BW1738" s="85"/>
      <c r="BX1738" s="85"/>
      <c r="BY1738" s="85"/>
      <c r="BZ1738" s="85"/>
      <c r="CA1738" s="85"/>
      <c r="CB1738" s="85"/>
      <c r="CC1738" s="85"/>
      <c r="CD1738" s="85"/>
      <c r="CE1738" s="85"/>
      <c r="CF1738" s="85"/>
      <c r="CG1738" s="85"/>
      <c r="CH1738" s="85"/>
      <c r="CI1738" s="85"/>
      <c r="CJ1738" s="85"/>
    </row>
    <row r="1739" ht="12.75" customHeight="1">
      <c r="A1739" s="80"/>
      <c r="B1739" s="80"/>
      <c r="C1739" s="80"/>
      <c r="D1739" s="80"/>
      <c r="E1739" s="80"/>
      <c r="F1739" s="80"/>
      <c r="G1739" s="80"/>
      <c r="H1739" s="80"/>
      <c r="I1739" s="80"/>
      <c r="J1739" s="80"/>
      <c r="K1739" s="80"/>
      <c r="L1739" s="80"/>
      <c r="M1739" s="80"/>
      <c r="N1739" s="80"/>
      <c r="O1739" s="80"/>
      <c r="P1739" s="80"/>
      <c r="Q1739" s="80"/>
      <c r="R1739" s="80"/>
      <c r="S1739" s="80"/>
      <c r="T1739" s="80"/>
      <c r="U1739" s="80"/>
      <c r="V1739" s="80"/>
      <c r="W1739" s="80"/>
      <c r="X1739" s="80"/>
      <c r="Y1739" s="80"/>
      <c r="Z1739" s="80"/>
      <c r="AA1739" s="80"/>
      <c r="AB1739" s="80"/>
      <c r="AC1739" s="80"/>
      <c r="AD1739" s="80"/>
      <c r="AE1739" s="80"/>
      <c r="AF1739" s="80"/>
      <c r="AG1739" s="80"/>
      <c r="AH1739" s="80"/>
      <c r="AI1739" s="80"/>
      <c r="AJ1739" s="80"/>
      <c r="AK1739" s="80"/>
      <c r="AL1739" s="80"/>
      <c r="AM1739" s="80"/>
      <c r="AN1739" s="80"/>
      <c r="AO1739" s="80"/>
      <c r="AP1739" s="80"/>
      <c r="AQ1739" s="83"/>
      <c r="AR1739" s="80"/>
      <c r="AS1739" s="80"/>
      <c r="AT1739" s="80"/>
      <c r="AU1739" s="80"/>
      <c r="AV1739" s="80"/>
      <c r="AW1739" s="80"/>
      <c r="AX1739" s="80"/>
      <c r="AY1739" s="80"/>
      <c r="AZ1739" s="80"/>
      <c r="BA1739" s="80"/>
      <c r="BB1739" s="80"/>
      <c r="BC1739" s="80"/>
      <c r="BD1739" s="80"/>
      <c r="BE1739" s="80"/>
      <c r="BF1739" s="80"/>
      <c r="BG1739" s="80"/>
      <c r="BH1739" s="80"/>
      <c r="BI1739" s="80"/>
      <c r="BJ1739" s="80"/>
      <c r="BK1739" s="80"/>
      <c r="BL1739" s="80"/>
      <c r="BM1739" s="80"/>
      <c r="BN1739" s="80"/>
      <c r="BO1739" s="80"/>
      <c r="BP1739" s="80"/>
      <c r="BQ1739" s="80"/>
      <c r="BR1739" s="80"/>
      <c r="BS1739" s="80"/>
      <c r="BT1739" s="80"/>
      <c r="BU1739" s="80"/>
      <c r="BV1739" s="80"/>
      <c r="BW1739" s="80"/>
      <c r="BX1739" s="80"/>
      <c r="BY1739" s="80"/>
      <c r="BZ1739" s="80"/>
      <c r="CA1739" s="80"/>
      <c r="CB1739" s="80"/>
      <c r="CC1739" s="80"/>
      <c r="CD1739" s="80"/>
      <c r="CE1739" s="80"/>
      <c r="CF1739" s="80"/>
      <c r="CG1739" s="80"/>
      <c r="CH1739" s="80"/>
      <c r="CI1739" s="80"/>
      <c r="CJ1739" s="80"/>
    </row>
    <row r="1740" ht="12.75" customHeight="1">
      <c r="A1740" s="85"/>
      <c r="B1740" s="85"/>
      <c r="C1740" s="85"/>
      <c r="D1740" s="85"/>
      <c r="E1740" s="85"/>
      <c r="F1740" s="85"/>
      <c r="G1740" s="85"/>
      <c r="H1740" s="85"/>
      <c r="I1740" s="85"/>
      <c r="J1740" s="85"/>
      <c r="K1740" s="85"/>
      <c r="L1740" s="85"/>
      <c r="M1740" s="85"/>
      <c r="N1740" s="85"/>
      <c r="O1740" s="85"/>
      <c r="P1740" s="85"/>
      <c r="Q1740" s="85"/>
      <c r="R1740" s="85"/>
      <c r="S1740" s="85"/>
      <c r="T1740" s="85"/>
      <c r="U1740" s="85"/>
      <c r="V1740" s="85"/>
      <c r="W1740" s="85"/>
      <c r="X1740" s="85"/>
      <c r="Y1740" s="85"/>
      <c r="Z1740" s="85"/>
      <c r="AA1740" s="85"/>
      <c r="AB1740" s="85"/>
      <c r="AC1740" s="85"/>
      <c r="AD1740" s="85"/>
      <c r="AE1740" s="85"/>
      <c r="AF1740" s="85"/>
      <c r="AG1740" s="85"/>
      <c r="AH1740" s="85"/>
      <c r="AI1740" s="85"/>
      <c r="AJ1740" s="85"/>
      <c r="AK1740" s="85"/>
      <c r="AL1740" s="85"/>
      <c r="AM1740" s="85"/>
      <c r="AN1740" s="85"/>
      <c r="AO1740" s="85"/>
      <c r="AP1740" s="85"/>
      <c r="AQ1740" s="93"/>
      <c r="AR1740" s="85"/>
      <c r="AS1740" s="85"/>
      <c r="AT1740" s="85"/>
      <c r="AU1740" s="85"/>
      <c r="AV1740" s="85"/>
      <c r="AW1740" s="85"/>
      <c r="AX1740" s="85"/>
      <c r="AY1740" s="85"/>
      <c r="AZ1740" s="85"/>
      <c r="BA1740" s="85"/>
      <c r="BB1740" s="85"/>
      <c r="BC1740" s="85"/>
      <c r="BD1740" s="85"/>
      <c r="BE1740" s="85"/>
      <c r="BF1740" s="85"/>
      <c r="BG1740" s="85"/>
      <c r="BH1740" s="85"/>
      <c r="BI1740" s="85"/>
      <c r="BJ1740" s="85"/>
      <c r="BK1740" s="85"/>
      <c r="BL1740" s="85"/>
      <c r="BM1740" s="85"/>
      <c r="BN1740" s="85"/>
      <c r="BO1740" s="85"/>
      <c r="BP1740" s="85"/>
      <c r="BQ1740" s="85"/>
      <c r="BR1740" s="85"/>
      <c r="BS1740" s="85"/>
      <c r="BT1740" s="85"/>
      <c r="BU1740" s="85"/>
      <c r="BV1740" s="85"/>
      <c r="BW1740" s="85"/>
      <c r="BX1740" s="85"/>
      <c r="BY1740" s="85"/>
      <c r="BZ1740" s="85"/>
      <c r="CA1740" s="85"/>
      <c r="CB1740" s="85"/>
      <c r="CC1740" s="85"/>
      <c r="CD1740" s="85"/>
      <c r="CE1740" s="85"/>
      <c r="CF1740" s="85"/>
      <c r="CG1740" s="85"/>
      <c r="CH1740" s="85"/>
      <c r="CI1740" s="85"/>
      <c r="CJ1740" s="85"/>
    </row>
    <row r="1741" ht="12.75" customHeight="1">
      <c r="A1741" s="80"/>
      <c r="B1741" s="80"/>
      <c r="C1741" s="80"/>
      <c r="D1741" s="80"/>
      <c r="E1741" s="80"/>
      <c r="F1741" s="80"/>
      <c r="G1741" s="80"/>
      <c r="H1741" s="80"/>
      <c r="I1741" s="80"/>
      <c r="J1741" s="80"/>
      <c r="K1741" s="80"/>
      <c r="L1741" s="80"/>
      <c r="M1741" s="80"/>
      <c r="N1741" s="80"/>
      <c r="O1741" s="80"/>
      <c r="P1741" s="80"/>
      <c r="Q1741" s="80"/>
      <c r="R1741" s="80"/>
      <c r="S1741" s="80"/>
      <c r="T1741" s="80"/>
      <c r="U1741" s="80"/>
      <c r="V1741" s="80"/>
      <c r="W1741" s="80"/>
      <c r="X1741" s="80"/>
      <c r="Y1741" s="80"/>
      <c r="Z1741" s="80"/>
      <c r="AA1741" s="80"/>
      <c r="AB1741" s="80"/>
      <c r="AC1741" s="80"/>
      <c r="AD1741" s="80"/>
      <c r="AE1741" s="80"/>
      <c r="AF1741" s="80"/>
      <c r="AG1741" s="80"/>
      <c r="AH1741" s="80"/>
      <c r="AI1741" s="80"/>
      <c r="AJ1741" s="80"/>
      <c r="AK1741" s="80"/>
      <c r="AL1741" s="80"/>
      <c r="AM1741" s="80"/>
      <c r="AN1741" s="80"/>
      <c r="AO1741" s="80"/>
      <c r="AP1741" s="80"/>
      <c r="AQ1741" s="83"/>
      <c r="AR1741" s="80"/>
      <c r="AS1741" s="80"/>
      <c r="AT1741" s="80"/>
      <c r="AU1741" s="80"/>
      <c r="AV1741" s="80"/>
      <c r="AW1741" s="80"/>
      <c r="AX1741" s="80"/>
      <c r="AY1741" s="80"/>
      <c r="AZ1741" s="80"/>
      <c r="BA1741" s="80"/>
      <c r="BB1741" s="80"/>
      <c r="BC1741" s="80"/>
      <c r="BD1741" s="80"/>
      <c r="BE1741" s="80"/>
      <c r="BF1741" s="80"/>
      <c r="BG1741" s="80"/>
      <c r="BH1741" s="80"/>
      <c r="BI1741" s="80"/>
      <c r="BJ1741" s="80"/>
      <c r="BK1741" s="80"/>
      <c r="BL1741" s="80"/>
      <c r="BM1741" s="80"/>
      <c r="BN1741" s="80"/>
      <c r="BO1741" s="80"/>
      <c r="BP1741" s="80"/>
      <c r="BQ1741" s="80"/>
      <c r="BR1741" s="80"/>
      <c r="BS1741" s="80"/>
      <c r="BT1741" s="80"/>
      <c r="BU1741" s="80"/>
      <c r="BV1741" s="80"/>
      <c r="BW1741" s="80"/>
      <c r="BX1741" s="80"/>
      <c r="BY1741" s="80"/>
      <c r="BZ1741" s="80"/>
      <c r="CA1741" s="80"/>
      <c r="CB1741" s="80"/>
      <c r="CC1741" s="80"/>
      <c r="CD1741" s="80"/>
      <c r="CE1741" s="80"/>
      <c r="CF1741" s="80"/>
      <c r="CG1741" s="80"/>
      <c r="CH1741" s="80"/>
      <c r="CI1741" s="80"/>
      <c r="CJ1741" s="80"/>
    </row>
    <row r="1742" ht="12.75" customHeight="1">
      <c r="A1742" s="85"/>
      <c r="B1742" s="85"/>
      <c r="C1742" s="85"/>
      <c r="D1742" s="85"/>
      <c r="E1742" s="85"/>
      <c r="F1742" s="85"/>
      <c r="G1742" s="85"/>
      <c r="H1742" s="85"/>
      <c r="I1742" s="85"/>
      <c r="J1742" s="85"/>
      <c r="K1742" s="85"/>
      <c r="L1742" s="85"/>
      <c r="M1742" s="85"/>
      <c r="N1742" s="85"/>
      <c r="O1742" s="85"/>
      <c r="P1742" s="85"/>
      <c r="Q1742" s="85"/>
      <c r="R1742" s="85"/>
      <c r="S1742" s="85"/>
      <c r="T1742" s="85"/>
      <c r="U1742" s="85"/>
      <c r="V1742" s="85"/>
      <c r="W1742" s="85"/>
      <c r="X1742" s="85"/>
      <c r="Y1742" s="85"/>
      <c r="Z1742" s="85"/>
      <c r="AA1742" s="85"/>
      <c r="AB1742" s="85"/>
      <c r="AC1742" s="85"/>
      <c r="AD1742" s="85"/>
      <c r="AE1742" s="85"/>
      <c r="AF1742" s="85"/>
      <c r="AG1742" s="85"/>
      <c r="AH1742" s="85"/>
      <c r="AI1742" s="85"/>
      <c r="AJ1742" s="85"/>
      <c r="AK1742" s="85"/>
      <c r="AL1742" s="85"/>
      <c r="AM1742" s="85"/>
      <c r="AN1742" s="85"/>
      <c r="AO1742" s="85"/>
      <c r="AP1742" s="85"/>
      <c r="AQ1742" s="93"/>
      <c r="AR1742" s="85"/>
      <c r="AS1742" s="85"/>
      <c r="AT1742" s="85"/>
      <c r="AU1742" s="85"/>
      <c r="AV1742" s="85"/>
      <c r="AW1742" s="85"/>
      <c r="AX1742" s="85"/>
      <c r="AY1742" s="85"/>
      <c r="AZ1742" s="85"/>
      <c r="BA1742" s="85"/>
      <c r="BB1742" s="85"/>
      <c r="BC1742" s="85"/>
      <c r="BD1742" s="85"/>
      <c r="BE1742" s="85"/>
      <c r="BF1742" s="85"/>
      <c r="BG1742" s="85"/>
      <c r="BH1742" s="85"/>
      <c r="BI1742" s="85"/>
      <c r="BJ1742" s="85"/>
      <c r="BK1742" s="85"/>
      <c r="BL1742" s="85"/>
      <c r="BM1742" s="85"/>
      <c r="BN1742" s="85"/>
      <c r="BO1742" s="85"/>
      <c r="BP1742" s="85"/>
      <c r="BQ1742" s="85"/>
      <c r="BR1742" s="85"/>
      <c r="BS1742" s="85"/>
      <c r="BT1742" s="85"/>
      <c r="BU1742" s="85"/>
      <c r="BV1742" s="85"/>
      <c r="BW1742" s="85"/>
      <c r="BX1742" s="85"/>
      <c r="BY1742" s="85"/>
      <c r="BZ1742" s="85"/>
      <c r="CA1742" s="85"/>
      <c r="CB1742" s="85"/>
      <c r="CC1742" s="85"/>
      <c r="CD1742" s="85"/>
      <c r="CE1742" s="85"/>
      <c r="CF1742" s="85"/>
      <c r="CG1742" s="85"/>
      <c r="CH1742" s="85"/>
      <c r="CI1742" s="85"/>
      <c r="CJ1742" s="85"/>
    </row>
    <row r="1743" ht="12.75" customHeight="1">
      <c r="A1743" s="80"/>
      <c r="B1743" s="80"/>
      <c r="C1743" s="80"/>
      <c r="D1743" s="80"/>
      <c r="E1743" s="80"/>
      <c r="F1743" s="80"/>
      <c r="G1743" s="80"/>
      <c r="H1743" s="80"/>
      <c r="I1743" s="80"/>
      <c r="J1743" s="80"/>
      <c r="K1743" s="80"/>
      <c r="L1743" s="80"/>
      <c r="M1743" s="80"/>
      <c r="N1743" s="80"/>
      <c r="O1743" s="80"/>
      <c r="P1743" s="80"/>
      <c r="Q1743" s="80"/>
      <c r="R1743" s="80"/>
      <c r="S1743" s="80"/>
      <c r="T1743" s="80"/>
      <c r="U1743" s="80"/>
      <c r="V1743" s="80"/>
      <c r="W1743" s="80"/>
      <c r="X1743" s="80"/>
      <c r="Y1743" s="80"/>
      <c r="Z1743" s="80"/>
      <c r="AA1743" s="80"/>
      <c r="AB1743" s="80"/>
      <c r="AC1743" s="80"/>
      <c r="AD1743" s="80"/>
      <c r="AE1743" s="80"/>
      <c r="AF1743" s="80"/>
      <c r="AG1743" s="80"/>
      <c r="AH1743" s="80"/>
      <c r="AI1743" s="80"/>
      <c r="AJ1743" s="80"/>
      <c r="AK1743" s="80"/>
      <c r="AL1743" s="80"/>
      <c r="AM1743" s="80"/>
      <c r="AN1743" s="80"/>
      <c r="AO1743" s="80"/>
      <c r="AP1743" s="80"/>
      <c r="AQ1743" s="83"/>
      <c r="AR1743" s="80"/>
      <c r="AS1743" s="80"/>
      <c r="AT1743" s="80"/>
      <c r="AU1743" s="80"/>
      <c r="AV1743" s="80"/>
      <c r="AW1743" s="80"/>
      <c r="AX1743" s="80"/>
      <c r="AY1743" s="80"/>
      <c r="AZ1743" s="80"/>
      <c r="BA1743" s="80"/>
      <c r="BB1743" s="80"/>
      <c r="BC1743" s="80"/>
      <c r="BD1743" s="80"/>
      <c r="BE1743" s="80"/>
      <c r="BF1743" s="80"/>
      <c r="BG1743" s="80"/>
      <c r="BH1743" s="80"/>
      <c r="BI1743" s="80"/>
      <c r="BJ1743" s="80"/>
      <c r="BK1743" s="80"/>
      <c r="BL1743" s="80"/>
      <c r="BM1743" s="80"/>
      <c r="BN1743" s="80"/>
      <c r="BO1743" s="80"/>
      <c r="BP1743" s="80"/>
      <c r="BQ1743" s="80"/>
      <c r="BR1743" s="80"/>
      <c r="BS1743" s="80"/>
      <c r="BT1743" s="80"/>
      <c r="BU1743" s="80"/>
      <c r="BV1743" s="80"/>
      <c r="BW1743" s="80"/>
      <c r="BX1743" s="80"/>
      <c r="BY1743" s="80"/>
      <c r="BZ1743" s="80"/>
      <c r="CA1743" s="80"/>
      <c r="CB1743" s="80"/>
      <c r="CC1743" s="80"/>
      <c r="CD1743" s="80"/>
      <c r="CE1743" s="80"/>
      <c r="CF1743" s="80"/>
      <c r="CG1743" s="80"/>
      <c r="CH1743" s="80"/>
      <c r="CI1743" s="80"/>
      <c r="CJ1743" s="80"/>
    </row>
    <row r="1744" ht="12.75" customHeight="1">
      <c r="A1744" s="85"/>
      <c r="B1744" s="85"/>
      <c r="C1744" s="85"/>
      <c r="D1744" s="85"/>
      <c r="E1744" s="85"/>
      <c r="F1744" s="85"/>
      <c r="G1744" s="85"/>
      <c r="H1744" s="85"/>
      <c r="I1744" s="85"/>
      <c r="J1744" s="85"/>
      <c r="K1744" s="85"/>
      <c r="L1744" s="85"/>
      <c r="M1744" s="85"/>
      <c r="N1744" s="85"/>
      <c r="O1744" s="85"/>
      <c r="P1744" s="85"/>
      <c r="Q1744" s="85"/>
      <c r="R1744" s="85"/>
      <c r="S1744" s="85"/>
      <c r="T1744" s="85"/>
      <c r="U1744" s="85"/>
      <c r="V1744" s="85"/>
      <c r="W1744" s="85"/>
      <c r="X1744" s="85"/>
      <c r="Y1744" s="85"/>
      <c r="Z1744" s="85"/>
      <c r="AA1744" s="85"/>
      <c r="AB1744" s="85"/>
      <c r="AC1744" s="85"/>
      <c r="AD1744" s="85"/>
      <c r="AE1744" s="85"/>
      <c r="AF1744" s="85"/>
      <c r="AG1744" s="85"/>
      <c r="AH1744" s="85"/>
      <c r="AI1744" s="85"/>
      <c r="AJ1744" s="85"/>
      <c r="AK1744" s="85"/>
      <c r="AL1744" s="85"/>
      <c r="AM1744" s="85"/>
      <c r="AN1744" s="85"/>
      <c r="AO1744" s="85"/>
      <c r="AP1744" s="85"/>
      <c r="AQ1744" s="93"/>
      <c r="AR1744" s="85"/>
      <c r="AS1744" s="85"/>
      <c r="AT1744" s="85"/>
      <c r="AU1744" s="85"/>
      <c r="AV1744" s="85"/>
      <c r="AW1744" s="85"/>
      <c r="AX1744" s="85"/>
      <c r="AY1744" s="85"/>
      <c r="AZ1744" s="85"/>
      <c r="BA1744" s="85"/>
      <c r="BB1744" s="85"/>
      <c r="BC1744" s="85"/>
      <c r="BD1744" s="85"/>
      <c r="BE1744" s="85"/>
      <c r="BF1744" s="85"/>
      <c r="BG1744" s="85"/>
      <c r="BH1744" s="85"/>
      <c r="BI1744" s="85"/>
      <c r="BJ1744" s="85"/>
      <c r="BK1744" s="85"/>
      <c r="BL1744" s="85"/>
      <c r="BM1744" s="85"/>
      <c r="BN1744" s="85"/>
      <c r="BO1744" s="85"/>
      <c r="BP1744" s="85"/>
      <c r="BQ1744" s="85"/>
      <c r="BR1744" s="85"/>
      <c r="BS1744" s="85"/>
      <c r="BT1744" s="85"/>
      <c r="BU1744" s="85"/>
      <c r="BV1744" s="85"/>
      <c r="BW1744" s="85"/>
      <c r="BX1744" s="85"/>
      <c r="BY1744" s="85"/>
      <c r="BZ1744" s="85"/>
      <c r="CA1744" s="85"/>
      <c r="CB1744" s="85"/>
      <c r="CC1744" s="85"/>
      <c r="CD1744" s="85"/>
      <c r="CE1744" s="85"/>
      <c r="CF1744" s="85"/>
      <c r="CG1744" s="85"/>
      <c r="CH1744" s="85"/>
      <c r="CI1744" s="85"/>
      <c r="CJ1744" s="85"/>
    </row>
    <row r="1745" ht="12.75" customHeight="1">
      <c r="A1745" s="80"/>
      <c r="B1745" s="80"/>
      <c r="C1745" s="80"/>
      <c r="D1745" s="80"/>
      <c r="E1745" s="80"/>
      <c r="F1745" s="80"/>
      <c r="G1745" s="80"/>
      <c r="H1745" s="80"/>
      <c r="I1745" s="80"/>
      <c r="J1745" s="80"/>
      <c r="K1745" s="80"/>
      <c r="L1745" s="80"/>
      <c r="M1745" s="80"/>
      <c r="N1745" s="80"/>
      <c r="O1745" s="80"/>
      <c r="P1745" s="80"/>
      <c r="Q1745" s="80"/>
      <c r="R1745" s="80"/>
      <c r="S1745" s="80"/>
      <c r="T1745" s="80"/>
      <c r="U1745" s="80"/>
      <c r="V1745" s="80"/>
      <c r="W1745" s="80"/>
      <c r="X1745" s="80"/>
      <c r="Y1745" s="80"/>
      <c r="Z1745" s="80"/>
      <c r="AA1745" s="80"/>
      <c r="AB1745" s="80"/>
      <c r="AC1745" s="80"/>
      <c r="AD1745" s="80"/>
      <c r="AE1745" s="80"/>
      <c r="AF1745" s="80"/>
      <c r="AG1745" s="80"/>
      <c r="AH1745" s="80"/>
      <c r="AI1745" s="80"/>
      <c r="AJ1745" s="80"/>
      <c r="AK1745" s="80"/>
      <c r="AL1745" s="80"/>
      <c r="AM1745" s="80"/>
      <c r="AN1745" s="80"/>
      <c r="AO1745" s="80"/>
      <c r="AP1745" s="80"/>
      <c r="AQ1745" s="83"/>
      <c r="AR1745" s="80"/>
      <c r="AS1745" s="80"/>
      <c r="AT1745" s="80"/>
      <c r="AU1745" s="80"/>
      <c r="AV1745" s="80"/>
      <c r="AW1745" s="80"/>
      <c r="AX1745" s="80"/>
      <c r="AY1745" s="80"/>
      <c r="AZ1745" s="80"/>
      <c r="BA1745" s="80"/>
      <c r="BB1745" s="80"/>
      <c r="BC1745" s="80"/>
      <c r="BD1745" s="80"/>
      <c r="BE1745" s="80"/>
      <c r="BF1745" s="80"/>
      <c r="BG1745" s="80"/>
      <c r="BH1745" s="80"/>
      <c r="BI1745" s="80"/>
      <c r="BJ1745" s="80"/>
      <c r="BK1745" s="80"/>
      <c r="BL1745" s="80"/>
      <c r="BM1745" s="80"/>
      <c r="BN1745" s="80"/>
      <c r="BO1745" s="80"/>
      <c r="BP1745" s="80"/>
      <c r="BQ1745" s="80"/>
      <c r="BR1745" s="80"/>
      <c r="BS1745" s="80"/>
      <c r="BT1745" s="80"/>
      <c r="BU1745" s="80"/>
      <c r="BV1745" s="80"/>
      <c r="BW1745" s="80"/>
      <c r="BX1745" s="80"/>
      <c r="BY1745" s="80"/>
      <c r="BZ1745" s="80"/>
      <c r="CA1745" s="80"/>
      <c r="CB1745" s="80"/>
      <c r="CC1745" s="80"/>
      <c r="CD1745" s="80"/>
      <c r="CE1745" s="80"/>
      <c r="CF1745" s="80"/>
      <c r="CG1745" s="80"/>
      <c r="CH1745" s="80"/>
      <c r="CI1745" s="80"/>
      <c r="CJ1745" s="80"/>
    </row>
    <row r="1746" ht="12.75" customHeight="1">
      <c r="A1746" s="85"/>
      <c r="B1746" s="85"/>
      <c r="C1746" s="85"/>
      <c r="D1746" s="85"/>
      <c r="E1746" s="85"/>
      <c r="F1746" s="85"/>
      <c r="G1746" s="85"/>
      <c r="H1746" s="85"/>
      <c r="I1746" s="85"/>
      <c r="J1746" s="85"/>
      <c r="K1746" s="85"/>
      <c r="L1746" s="85"/>
      <c r="M1746" s="85"/>
      <c r="N1746" s="85"/>
      <c r="O1746" s="85"/>
      <c r="P1746" s="85"/>
      <c r="Q1746" s="85"/>
      <c r="R1746" s="85"/>
      <c r="S1746" s="85"/>
      <c r="T1746" s="85"/>
      <c r="U1746" s="85"/>
      <c r="V1746" s="85"/>
      <c r="W1746" s="85"/>
      <c r="X1746" s="85"/>
      <c r="Y1746" s="85"/>
      <c r="Z1746" s="85"/>
      <c r="AA1746" s="85"/>
      <c r="AB1746" s="85"/>
      <c r="AC1746" s="85"/>
      <c r="AD1746" s="85"/>
      <c r="AE1746" s="85"/>
      <c r="AF1746" s="85"/>
      <c r="AG1746" s="85"/>
      <c r="AH1746" s="85"/>
      <c r="AI1746" s="85"/>
      <c r="AJ1746" s="85"/>
      <c r="AK1746" s="85"/>
      <c r="AL1746" s="85"/>
      <c r="AM1746" s="85"/>
      <c r="AN1746" s="85"/>
      <c r="AO1746" s="85"/>
      <c r="AP1746" s="85"/>
      <c r="AQ1746" s="93"/>
      <c r="AR1746" s="85"/>
      <c r="AS1746" s="85"/>
      <c r="AT1746" s="85"/>
      <c r="AU1746" s="85"/>
      <c r="AV1746" s="85"/>
      <c r="AW1746" s="85"/>
      <c r="AX1746" s="85"/>
      <c r="AY1746" s="85"/>
      <c r="AZ1746" s="85"/>
      <c r="BA1746" s="85"/>
      <c r="BB1746" s="85"/>
      <c r="BC1746" s="85"/>
      <c r="BD1746" s="85"/>
      <c r="BE1746" s="85"/>
      <c r="BF1746" s="85"/>
      <c r="BG1746" s="85"/>
      <c r="BH1746" s="85"/>
      <c r="BI1746" s="85"/>
      <c r="BJ1746" s="85"/>
      <c r="BK1746" s="85"/>
      <c r="BL1746" s="85"/>
      <c r="BM1746" s="85"/>
      <c r="BN1746" s="85"/>
      <c r="BO1746" s="85"/>
      <c r="BP1746" s="85"/>
      <c r="BQ1746" s="85"/>
      <c r="BR1746" s="85"/>
      <c r="BS1746" s="85"/>
      <c r="BT1746" s="85"/>
      <c r="BU1746" s="85"/>
      <c r="BV1746" s="85"/>
      <c r="BW1746" s="85"/>
      <c r="BX1746" s="85"/>
      <c r="BY1746" s="85"/>
      <c r="BZ1746" s="85"/>
      <c r="CA1746" s="85"/>
      <c r="CB1746" s="85"/>
      <c r="CC1746" s="85"/>
      <c r="CD1746" s="85"/>
      <c r="CE1746" s="85"/>
      <c r="CF1746" s="85"/>
      <c r="CG1746" s="85"/>
      <c r="CH1746" s="85"/>
      <c r="CI1746" s="85"/>
      <c r="CJ1746" s="85"/>
    </row>
    <row r="1747" ht="12.75" customHeight="1">
      <c r="A1747" s="80"/>
      <c r="B1747" s="80"/>
      <c r="C1747" s="80"/>
      <c r="D1747" s="80"/>
      <c r="E1747" s="80"/>
      <c r="F1747" s="80"/>
      <c r="G1747" s="80"/>
      <c r="H1747" s="80"/>
      <c r="I1747" s="80"/>
      <c r="J1747" s="80"/>
      <c r="K1747" s="80"/>
      <c r="L1747" s="80"/>
      <c r="M1747" s="80"/>
      <c r="N1747" s="80"/>
      <c r="O1747" s="80"/>
      <c r="P1747" s="80"/>
      <c r="Q1747" s="80"/>
      <c r="R1747" s="80"/>
      <c r="S1747" s="80"/>
      <c r="T1747" s="80"/>
      <c r="U1747" s="80"/>
      <c r="V1747" s="80"/>
      <c r="W1747" s="80"/>
      <c r="X1747" s="80"/>
      <c r="Y1747" s="80"/>
      <c r="Z1747" s="80"/>
      <c r="AA1747" s="80"/>
      <c r="AB1747" s="80"/>
      <c r="AC1747" s="80"/>
      <c r="AD1747" s="80"/>
      <c r="AE1747" s="80"/>
      <c r="AF1747" s="80"/>
      <c r="AG1747" s="80"/>
      <c r="AH1747" s="80"/>
      <c r="AI1747" s="80"/>
      <c r="AJ1747" s="80"/>
      <c r="AK1747" s="80"/>
      <c r="AL1747" s="80"/>
      <c r="AM1747" s="80"/>
      <c r="AN1747" s="80"/>
      <c r="AO1747" s="80"/>
      <c r="AP1747" s="80"/>
      <c r="AQ1747" s="83"/>
      <c r="AR1747" s="80"/>
      <c r="AS1747" s="80"/>
      <c r="AT1747" s="80"/>
      <c r="AU1747" s="80"/>
      <c r="AV1747" s="80"/>
      <c r="AW1747" s="80"/>
      <c r="AX1747" s="80"/>
      <c r="AY1747" s="80"/>
      <c r="AZ1747" s="80"/>
      <c r="BA1747" s="80"/>
      <c r="BB1747" s="80"/>
      <c r="BC1747" s="80"/>
      <c r="BD1747" s="80"/>
      <c r="BE1747" s="80"/>
      <c r="BF1747" s="80"/>
      <c r="BG1747" s="80"/>
      <c r="BH1747" s="80"/>
      <c r="BI1747" s="80"/>
      <c r="BJ1747" s="80"/>
      <c r="BK1747" s="80"/>
      <c r="BL1747" s="80"/>
      <c r="BM1747" s="80"/>
      <c r="BN1747" s="80"/>
      <c r="BO1747" s="80"/>
      <c r="BP1747" s="80"/>
      <c r="BQ1747" s="80"/>
      <c r="BR1747" s="80"/>
      <c r="BS1747" s="80"/>
      <c r="BT1747" s="80"/>
      <c r="BU1747" s="80"/>
      <c r="BV1747" s="80"/>
      <c r="BW1747" s="80"/>
      <c r="BX1747" s="80"/>
      <c r="BY1747" s="80"/>
      <c r="BZ1747" s="80"/>
      <c r="CA1747" s="80"/>
      <c r="CB1747" s="80"/>
      <c r="CC1747" s="80"/>
      <c r="CD1747" s="80"/>
      <c r="CE1747" s="80"/>
      <c r="CF1747" s="80"/>
      <c r="CG1747" s="80"/>
      <c r="CH1747" s="80"/>
      <c r="CI1747" s="80"/>
      <c r="CJ1747" s="80"/>
    </row>
    <row r="1748" ht="12.75" customHeight="1">
      <c r="A1748" s="85"/>
      <c r="B1748" s="85"/>
      <c r="C1748" s="85"/>
      <c r="D1748" s="85"/>
      <c r="E1748" s="85"/>
      <c r="F1748" s="85"/>
      <c r="G1748" s="85"/>
      <c r="H1748" s="85"/>
      <c r="I1748" s="85"/>
      <c r="J1748" s="85"/>
      <c r="K1748" s="85"/>
      <c r="L1748" s="85"/>
      <c r="M1748" s="85"/>
      <c r="N1748" s="85"/>
      <c r="O1748" s="85"/>
      <c r="P1748" s="85"/>
      <c r="Q1748" s="85"/>
      <c r="R1748" s="85"/>
      <c r="S1748" s="85"/>
      <c r="T1748" s="85"/>
      <c r="U1748" s="85"/>
      <c r="V1748" s="85"/>
      <c r="W1748" s="85"/>
      <c r="X1748" s="85"/>
      <c r="Y1748" s="85"/>
      <c r="Z1748" s="85"/>
      <c r="AA1748" s="85"/>
      <c r="AB1748" s="85"/>
      <c r="AC1748" s="85"/>
      <c r="AD1748" s="85"/>
      <c r="AE1748" s="85"/>
      <c r="AF1748" s="85"/>
      <c r="AG1748" s="85"/>
      <c r="AH1748" s="85"/>
      <c r="AI1748" s="85"/>
      <c r="AJ1748" s="85"/>
      <c r="AK1748" s="85"/>
      <c r="AL1748" s="85"/>
      <c r="AM1748" s="85"/>
      <c r="AN1748" s="85"/>
      <c r="AO1748" s="85"/>
      <c r="AP1748" s="85"/>
      <c r="AQ1748" s="93"/>
      <c r="AR1748" s="85"/>
      <c r="AS1748" s="85"/>
      <c r="AT1748" s="85"/>
      <c r="AU1748" s="85"/>
      <c r="AV1748" s="85"/>
      <c r="AW1748" s="85"/>
      <c r="AX1748" s="85"/>
      <c r="AY1748" s="85"/>
      <c r="AZ1748" s="85"/>
      <c r="BA1748" s="85"/>
      <c r="BB1748" s="85"/>
      <c r="BC1748" s="85"/>
      <c r="BD1748" s="85"/>
      <c r="BE1748" s="85"/>
      <c r="BF1748" s="85"/>
      <c r="BG1748" s="85"/>
      <c r="BH1748" s="85"/>
      <c r="BI1748" s="85"/>
      <c r="BJ1748" s="85"/>
      <c r="BK1748" s="85"/>
      <c r="BL1748" s="85"/>
      <c r="BM1748" s="85"/>
      <c r="BN1748" s="85"/>
      <c r="BO1748" s="85"/>
      <c r="BP1748" s="85"/>
      <c r="BQ1748" s="85"/>
      <c r="BR1748" s="85"/>
      <c r="BS1748" s="85"/>
      <c r="BT1748" s="85"/>
      <c r="BU1748" s="85"/>
      <c r="BV1748" s="85"/>
      <c r="BW1748" s="85"/>
      <c r="BX1748" s="85"/>
      <c r="BY1748" s="85"/>
      <c r="BZ1748" s="85"/>
      <c r="CA1748" s="85"/>
      <c r="CB1748" s="85"/>
      <c r="CC1748" s="85"/>
      <c r="CD1748" s="85"/>
      <c r="CE1748" s="85"/>
      <c r="CF1748" s="85"/>
      <c r="CG1748" s="85"/>
      <c r="CH1748" s="85"/>
      <c r="CI1748" s="85"/>
      <c r="CJ1748" s="85"/>
    </row>
    <row r="1749" ht="12.75" customHeight="1">
      <c r="A1749" s="80"/>
      <c r="B1749" s="80"/>
      <c r="C1749" s="80"/>
      <c r="D1749" s="80"/>
      <c r="E1749" s="80"/>
      <c r="F1749" s="80"/>
      <c r="G1749" s="80"/>
      <c r="H1749" s="80"/>
      <c r="I1749" s="80"/>
      <c r="J1749" s="80"/>
      <c r="K1749" s="80"/>
      <c r="L1749" s="80"/>
      <c r="M1749" s="80"/>
      <c r="N1749" s="80"/>
      <c r="O1749" s="80"/>
      <c r="P1749" s="80"/>
      <c r="Q1749" s="80"/>
      <c r="R1749" s="80"/>
      <c r="S1749" s="80"/>
      <c r="T1749" s="80"/>
      <c r="U1749" s="80"/>
      <c r="V1749" s="80"/>
      <c r="W1749" s="80"/>
      <c r="X1749" s="80"/>
      <c r="Y1749" s="80"/>
      <c r="Z1749" s="80"/>
      <c r="AA1749" s="80"/>
      <c r="AB1749" s="80"/>
      <c r="AC1749" s="80"/>
      <c r="AD1749" s="80"/>
      <c r="AE1749" s="80"/>
      <c r="AF1749" s="80"/>
      <c r="AG1749" s="80"/>
      <c r="AH1749" s="80"/>
      <c r="AI1749" s="80"/>
      <c r="AJ1749" s="80"/>
      <c r="AK1749" s="80"/>
      <c r="AL1749" s="80"/>
      <c r="AM1749" s="80"/>
      <c r="AN1749" s="80"/>
      <c r="AO1749" s="80"/>
      <c r="AP1749" s="80"/>
      <c r="AQ1749" s="83"/>
      <c r="AR1749" s="80"/>
      <c r="AS1749" s="80"/>
      <c r="AT1749" s="80"/>
      <c r="AU1749" s="80"/>
      <c r="AV1749" s="80"/>
      <c r="AW1749" s="80"/>
      <c r="AX1749" s="80"/>
      <c r="AY1749" s="80"/>
      <c r="AZ1749" s="80"/>
      <c r="BA1749" s="80"/>
      <c r="BB1749" s="80"/>
      <c r="BC1749" s="80"/>
      <c r="BD1749" s="80"/>
      <c r="BE1749" s="80"/>
      <c r="BF1749" s="80"/>
      <c r="BG1749" s="80"/>
      <c r="BH1749" s="80"/>
      <c r="BI1749" s="80"/>
      <c r="BJ1749" s="80"/>
      <c r="BK1749" s="80"/>
      <c r="BL1749" s="80"/>
      <c r="BM1749" s="80"/>
      <c r="BN1749" s="80"/>
      <c r="BO1749" s="80"/>
      <c r="BP1749" s="80"/>
      <c r="BQ1749" s="80"/>
      <c r="BR1749" s="80"/>
      <c r="BS1749" s="80"/>
      <c r="BT1749" s="80"/>
      <c r="BU1749" s="80"/>
      <c r="BV1749" s="80"/>
      <c r="BW1749" s="80"/>
      <c r="BX1749" s="80"/>
      <c r="BY1749" s="80"/>
      <c r="BZ1749" s="80"/>
      <c r="CA1749" s="80"/>
      <c r="CB1749" s="80"/>
      <c r="CC1749" s="80"/>
      <c r="CD1749" s="80"/>
      <c r="CE1749" s="80"/>
      <c r="CF1749" s="80"/>
      <c r="CG1749" s="80"/>
      <c r="CH1749" s="80"/>
      <c r="CI1749" s="80"/>
      <c r="CJ1749" s="80"/>
    </row>
    <row r="1750" ht="12.75" customHeight="1">
      <c r="A1750" s="85"/>
      <c r="B1750" s="85"/>
      <c r="C1750" s="85"/>
      <c r="D1750" s="85"/>
      <c r="E1750" s="85"/>
      <c r="F1750" s="85"/>
      <c r="G1750" s="85"/>
      <c r="H1750" s="85"/>
      <c r="I1750" s="85"/>
      <c r="J1750" s="85"/>
      <c r="K1750" s="85"/>
      <c r="L1750" s="85"/>
      <c r="M1750" s="85"/>
      <c r="N1750" s="85"/>
      <c r="O1750" s="85"/>
      <c r="P1750" s="85"/>
      <c r="Q1750" s="85"/>
      <c r="R1750" s="85"/>
      <c r="S1750" s="85"/>
      <c r="T1750" s="85"/>
      <c r="U1750" s="85"/>
      <c r="V1750" s="85"/>
      <c r="W1750" s="85"/>
      <c r="X1750" s="85"/>
      <c r="Y1750" s="85"/>
      <c r="Z1750" s="85"/>
      <c r="AA1750" s="85"/>
      <c r="AB1750" s="85"/>
      <c r="AC1750" s="85"/>
      <c r="AD1750" s="85"/>
      <c r="AE1750" s="85"/>
      <c r="AF1750" s="85"/>
      <c r="AG1750" s="85"/>
      <c r="AH1750" s="85"/>
      <c r="AI1750" s="85"/>
      <c r="AJ1750" s="85"/>
      <c r="AK1750" s="85"/>
      <c r="AL1750" s="85"/>
      <c r="AM1750" s="85"/>
      <c r="AN1750" s="85"/>
      <c r="AO1750" s="85"/>
      <c r="AP1750" s="85"/>
      <c r="AQ1750" s="93"/>
      <c r="AR1750" s="85"/>
      <c r="AS1750" s="85"/>
      <c r="AT1750" s="85"/>
      <c r="AU1750" s="85"/>
      <c r="AV1750" s="85"/>
      <c r="AW1750" s="85"/>
      <c r="AX1750" s="85"/>
      <c r="AY1750" s="85"/>
      <c r="AZ1750" s="85"/>
      <c r="BA1750" s="85"/>
      <c r="BB1750" s="85"/>
      <c r="BC1750" s="85"/>
      <c r="BD1750" s="85"/>
      <c r="BE1750" s="85"/>
      <c r="BF1750" s="85"/>
      <c r="BG1750" s="85"/>
      <c r="BH1750" s="85"/>
      <c r="BI1750" s="85"/>
      <c r="BJ1750" s="85"/>
      <c r="BK1750" s="85"/>
      <c r="BL1750" s="85"/>
      <c r="BM1750" s="85"/>
      <c r="BN1750" s="85"/>
      <c r="BO1750" s="85"/>
      <c r="BP1750" s="85"/>
      <c r="BQ1750" s="85"/>
      <c r="BR1750" s="85"/>
      <c r="BS1750" s="85"/>
      <c r="BT1750" s="85"/>
      <c r="BU1750" s="85"/>
      <c r="BV1750" s="85"/>
      <c r="BW1750" s="85"/>
      <c r="BX1750" s="85"/>
      <c r="BY1750" s="85"/>
      <c r="BZ1750" s="85"/>
      <c r="CA1750" s="85"/>
      <c r="CB1750" s="85"/>
      <c r="CC1750" s="85"/>
      <c r="CD1750" s="85"/>
      <c r="CE1750" s="85"/>
      <c r="CF1750" s="85"/>
      <c r="CG1750" s="85"/>
      <c r="CH1750" s="85"/>
      <c r="CI1750" s="85"/>
      <c r="CJ1750" s="85"/>
    </row>
  </sheetData>
  <autoFilter ref="$A$1:$CN$4"/>
  <mergeCells count="29">
    <mergeCell ref="A1:A3"/>
    <mergeCell ref="B2:L2"/>
    <mergeCell ref="M2:O2"/>
    <mergeCell ref="P2:P3"/>
    <mergeCell ref="Q2:Q3"/>
    <mergeCell ref="R2:R3"/>
    <mergeCell ref="S2:S3"/>
    <mergeCell ref="U2:AA2"/>
    <mergeCell ref="AB2:AB3"/>
    <mergeCell ref="AC2:AC3"/>
    <mergeCell ref="AD2:AD3"/>
    <mergeCell ref="AE2:AE3"/>
    <mergeCell ref="AF2:AF3"/>
    <mergeCell ref="AG2:AG3"/>
    <mergeCell ref="AO2:AO3"/>
    <mergeCell ref="AP2:AP3"/>
    <mergeCell ref="AT2:AT3"/>
    <mergeCell ref="AU2:AU3"/>
    <mergeCell ref="BA2:BE2"/>
    <mergeCell ref="BF2:BJ2"/>
    <mergeCell ref="BK2:BT2"/>
    <mergeCell ref="BX2:CD2"/>
    <mergeCell ref="AH2:AH3"/>
    <mergeCell ref="AI2:AI3"/>
    <mergeCell ref="AJ2:AJ3"/>
    <mergeCell ref="AK2:AK3"/>
    <mergeCell ref="AL2:AL3"/>
    <mergeCell ref="AM2:AM3"/>
    <mergeCell ref="AN2:AN3"/>
  </mergeCells>
  <conditionalFormatting sqref="AQ1:AQ1750">
    <cfRule type="notContainsBlanks" dxfId="1" priority="1">
      <formula>LEN(TRIM(AQ1))&gt;0</formula>
    </cfRule>
  </conditionalFormatting>
  <hyperlinks>
    <hyperlink r:id="rId1" ref="Q152"/>
    <hyperlink r:id="rId2" ref="R152"/>
    <hyperlink r:id="rId3" ref="AH376"/>
    <hyperlink r:id="rId4" ref="S1040"/>
  </hyperlinks>
  <printOptions/>
  <pageMargins bottom="0.75" footer="0.0" header="0.0" left="0.7" right="0.7" top="0.75"/>
  <pageSetup orientation="portrait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26.14"/>
    <col customWidth="1" min="3" max="4" width="27.86"/>
    <col customWidth="1" min="5" max="6" width="34.14"/>
    <col customWidth="1" min="7" max="7" width="24.14"/>
    <col customWidth="1" min="8" max="8" width="20.86"/>
    <col customWidth="1" min="9" max="26" width="8.71"/>
  </cols>
  <sheetData>
    <row r="1" ht="14.25" customHeight="1">
      <c r="A1" s="2" t="s">
        <v>0</v>
      </c>
    </row>
    <row r="2" ht="14.25" customHeight="1">
      <c r="A2" s="3" t="s">
        <v>6</v>
      </c>
      <c r="B2" s="3" t="s">
        <v>7</v>
      </c>
      <c r="C2" s="3" t="s">
        <v>8</v>
      </c>
      <c r="D2" s="3" t="s">
        <v>9</v>
      </c>
      <c r="E2" s="3" t="s">
        <v>12</v>
      </c>
      <c r="F2" s="3" t="s">
        <v>15</v>
      </c>
      <c r="G2" s="3" t="s">
        <v>17</v>
      </c>
      <c r="H2" s="3" t="s">
        <v>19</v>
      </c>
    </row>
    <row r="3" ht="14.25" customHeight="1">
      <c r="A3" s="2">
        <v>1.0</v>
      </c>
      <c r="B3" s="2" t="s">
        <v>24</v>
      </c>
      <c r="C3" s="2" t="s">
        <v>26</v>
      </c>
      <c r="D3" s="2" t="s">
        <v>28</v>
      </c>
      <c r="E3" s="2" t="s">
        <v>30</v>
      </c>
      <c r="F3" s="2" t="s">
        <v>31</v>
      </c>
    </row>
    <row r="4" ht="14.25" customHeight="1">
      <c r="A4" s="2">
        <f>A3+1</f>
        <v>2</v>
      </c>
      <c r="B4" s="2" t="s">
        <v>32</v>
      </c>
      <c r="C4" s="2" t="s">
        <v>33</v>
      </c>
      <c r="D4" s="2" t="s">
        <v>34</v>
      </c>
      <c r="E4" s="2" t="s">
        <v>35</v>
      </c>
      <c r="F4" s="2" t="s">
        <v>31</v>
      </c>
      <c r="G4" s="13" t="s">
        <v>36</v>
      </c>
      <c r="H4" s="13" t="s">
        <v>40</v>
      </c>
    </row>
    <row r="5" ht="14.25" customHeight="1">
      <c r="A5" s="2">
        <v>3.0</v>
      </c>
      <c r="B5" s="2" t="s">
        <v>41</v>
      </c>
      <c r="C5" s="2" t="s">
        <v>42</v>
      </c>
      <c r="D5" s="2" t="s">
        <v>43</v>
      </c>
      <c r="E5" s="2" t="s">
        <v>35</v>
      </c>
      <c r="F5" s="2" t="s">
        <v>31</v>
      </c>
      <c r="G5" s="13" t="s">
        <v>44</v>
      </c>
      <c r="H5" s="13" t="s">
        <v>46</v>
      </c>
    </row>
    <row r="6" ht="14.25" customHeight="1">
      <c r="A6" s="2">
        <v>4.0</v>
      </c>
      <c r="B6" s="2" t="s">
        <v>47</v>
      </c>
      <c r="C6" s="2" t="s">
        <v>48</v>
      </c>
      <c r="D6" s="2" t="s">
        <v>49</v>
      </c>
      <c r="E6" s="2" t="s">
        <v>35</v>
      </c>
      <c r="F6" s="2" t="s">
        <v>31</v>
      </c>
      <c r="G6" s="13" t="s">
        <v>50</v>
      </c>
      <c r="H6" s="2" t="s">
        <v>51</v>
      </c>
    </row>
    <row r="7" ht="14.25" customHeight="1">
      <c r="A7" s="2">
        <v>5.0</v>
      </c>
      <c r="B7" s="2" t="s">
        <v>52</v>
      </c>
      <c r="C7" s="2" t="s">
        <v>53</v>
      </c>
      <c r="D7" s="2" t="s">
        <v>54</v>
      </c>
      <c r="E7" s="2" t="s">
        <v>30</v>
      </c>
    </row>
    <row r="8" ht="14.25" customHeight="1">
      <c r="A8" s="2">
        <v>6.0</v>
      </c>
      <c r="B8" s="2" t="s">
        <v>55</v>
      </c>
      <c r="C8" s="2" t="s">
        <v>56</v>
      </c>
      <c r="D8" s="2" t="s">
        <v>54</v>
      </c>
      <c r="E8" s="2" t="s">
        <v>30</v>
      </c>
      <c r="F8" s="2" t="s">
        <v>31</v>
      </c>
    </row>
    <row r="9" ht="14.25" customHeight="1">
      <c r="A9" s="2">
        <f t="shared" ref="A9:A32" si="1">A8+1</f>
        <v>7</v>
      </c>
      <c r="B9" s="2" t="s">
        <v>58</v>
      </c>
      <c r="C9" s="2" t="s">
        <v>59</v>
      </c>
      <c r="D9" s="2" t="s">
        <v>60</v>
      </c>
      <c r="E9" s="2" t="s">
        <v>30</v>
      </c>
    </row>
    <row r="10" ht="14.25" customHeight="1">
      <c r="A10" s="2">
        <f t="shared" si="1"/>
        <v>8</v>
      </c>
      <c r="B10" s="2" t="s">
        <v>61</v>
      </c>
      <c r="C10" s="2" t="s">
        <v>62</v>
      </c>
      <c r="D10" s="2" t="s">
        <v>28</v>
      </c>
      <c r="E10" s="2" t="s">
        <v>30</v>
      </c>
      <c r="F10" s="2" t="s">
        <v>31</v>
      </c>
    </row>
    <row r="11" ht="14.25" customHeight="1">
      <c r="A11" s="2">
        <f t="shared" si="1"/>
        <v>9</v>
      </c>
      <c r="B11" s="2" t="s">
        <v>63</v>
      </c>
      <c r="C11" s="2" t="s">
        <v>64</v>
      </c>
      <c r="D11" s="2" t="s">
        <v>65</v>
      </c>
      <c r="E11" s="2" t="s">
        <v>35</v>
      </c>
    </row>
    <row r="12" ht="14.25" customHeight="1">
      <c r="A12" s="2">
        <f t="shared" si="1"/>
        <v>10</v>
      </c>
      <c r="B12" s="2" t="s">
        <v>66</v>
      </c>
      <c r="C12" s="2" t="s">
        <v>67</v>
      </c>
      <c r="D12" s="2" t="s">
        <v>68</v>
      </c>
      <c r="E12" s="2" t="s">
        <v>30</v>
      </c>
      <c r="F12" s="2" t="s">
        <v>31</v>
      </c>
    </row>
    <row r="13" ht="14.25" customHeight="1">
      <c r="A13" s="2">
        <f t="shared" si="1"/>
        <v>11</v>
      </c>
      <c r="B13" s="2" t="s">
        <v>69</v>
      </c>
      <c r="C13" s="2" t="s">
        <v>70</v>
      </c>
      <c r="D13" s="2" t="s">
        <v>65</v>
      </c>
      <c r="E13" s="2" t="s">
        <v>35</v>
      </c>
    </row>
    <row r="14" ht="14.25" customHeight="1">
      <c r="A14" s="2">
        <f t="shared" si="1"/>
        <v>12</v>
      </c>
      <c r="B14" s="2" t="s">
        <v>71</v>
      </c>
      <c r="C14" s="2" t="s">
        <v>72</v>
      </c>
      <c r="D14" s="2" t="s">
        <v>73</v>
      </c>
      <c r="E14" s="2" t="s">
        <v>30</v>
      </c>
      <c r="G14" s="13" t="s">
        <v>74</v>
      </c>
      <c r="H14" s="13" t="s">
        <v>76</v>
      </c>
    </row>
    <row r="15" ht="14.25" customHeight="1">
      <c r="A15" s="2">
        <f t="shared" si="1"/>
        <v>13</v>
      </c>
      <c r="B15" s="2" t="s">
        <v>77</v>
      </c>
      <c r="C15" s="2" t="s">
        <v>78</v>
      </c>
      <c r="D15" s="2" t="s">
        <v>79</v>
      </c>
      <c r="E15" s="2" t="s">
        <v>30</v>
      </c>
      <c r="F15" s="2" t="s">
        <v>31</v>
      </c>
      <c r="G15" s="19" t="s">
        <v>80</v>
      </c>
      <c r="H15" s="20" t="s">
        <v>82</v>
      </c>
    </row>
    <row r="16" ht="14.25" customHeight="1">
      <c r="A16" s="2">
        <f t="shared" si="1"/>
        <v>14</v>
      </c>
      <c r="B16" s="2" t="s">
        <v>83</v>
      </c>
      <c r="C16" s="2" t="s">
        <v>84</v>
      </c>
      <c r="D16" s="2" t="s">
        <v>85</v>
      </c>
      <c r="E16" s="2" t="s">
        <v>35</v>
      </c>
      <c r="F16" s="2" t="s">
        <v>31</v>
      </c>
    </row>
    <row r="17" ht="14.25" customHeight="1">
      <c r="A17" s="2">
        <f t="shared" si="1"/>
        <v>15</v>
      </c>
      <c r="B17" s="2" t="s">
        <v>86</v>
      </c>
      <c r="C17" s="2" t="s">
        <v>87</v>
      </c>
      <c r="D17" s="2" t="s">
        <v>88</v>
      </c>
      <c r="E17" s="2" t="s">
        <v>30</v>
      </c>
      <c r="F17" s="2" t="s">
        <v>31</v>
      </c>
      <c r="G17" s="13" t="s">
        <v>89</v>
      </c>
      <c r="H17" s="20" t="s">
        <v>91</v>
      </c>
    </row>
    <row r="18" ht="14.25" customHeight="1">
      <c r="A18" s="2">
        <f t="shared" si="1"/>
        <v>16</v>
      </c>
      <c r="B18" s="2" t="s">
        <v>92</v>
      </c>
      <c r="C18" s="2" t="s">
        <v>93</v>
      </c>
      <c r="D18" s="2" t="s">
        <v>94</v>
      </c>
      <c r="E18" s="2" t="s">
        <v>35</v>
      </c>
      <c r="F18" s="2" t="s">
        <v>31</v>
      </c>
      <c r="G18" s="13" t="s">
        <v>95</v>
      </c>
      <c r="H18" s="2" t="s">
        <v>97</v>
      </c>
    </row>
    <row r="19" ht="14.25" customHeight="1">
      <c r="A19" s="2">
        <f t="shared" si="1"/>
        <v>17</v>
      </c>
      <c r="B19" s="2" t="s">
        <v>98</v>
      </c>
      <c r="C19" s="2" t="s">
        <v>99</v>
      </c>
      <c r="D19" s="2" t="s">
        <v>34</v>
      </c>
      <c r="E19" s="2" t="s">
        <v>30</v>
      </c>
      <c r="F19" s="2" t="s">
        <v>31</v>
      </c>
      <c r="G19" s="19" t="s">
        <v>100</v>
      </c>
      <c r="H19" s="2" t="s">
        <v>101</v>
      </c>
    </row>
    <row r="20" ht="14.25" customHeight="1">
      <c r="A20" s="2">
        <f t="shared" si="1"/>
        <v>18</v>
      </c>
      <c r="B20" s="2" t="s">
        <v>102</v>
      </c>
      <c r="C20" s="2" t="s">
        <v>103</v>
      </c>
      <c r="D20" s="2" t="s">
        <v>104</v>
      </c>
      <c r="E20" s="2" t="s">
        <v>35</v>
      </c>
      <c r="F20" s="2" t="s">
        <v>31</v>
      </c>
      <c r="G20" s="19" t="s">
        <v>105</v>
      </c>
      <c r="H20" s="2" t="s">
        <v>108</v>
      </c>
    </row>
    <row r="21" ht="14.25" customHeight="1">
      <c r="A21" s="2">
        <f t="shared" si="1"/>
        <v>19</v>
      </c>
      <c r="B21" s="2" t="s">
        <v>109</v>
      </c>
      <c r="C21" s="2" t="s">
        <v>110</v>
      </c>
      <c r="D21" s="2" t="s">
        <v>111</v>
      </c>
      <c r="E21" s="2" t="s">
        <v>35</v>
      </c>
      <c r="F21" s="2" t="s">
        <v>31</v>
      </c>
      <c r="G21" s="2" t="s">
        <v>113</v>
      </c>
      <c r="H21" s="2" t="s">
        <v>113</v>
      </c>
    </row>
    <row r="22" ht="14.25" customHeight="1">
      <c r="A22" s="2">
        <f t="shared" si="1"/>
        <v>20</v>
      </c>
      <c r="B22" s="2" t="s">
        <v>114</v>
      </c>
      <c r="C22" s="2" t="s">
        <v>115</v>
      </c>
      <c r="D22" s="2" t="s">
        <v>94</v>
      </c>
      <c r="E22" s="2" t="s">
        <v>35</v>
      </c>
      <c r="F22" s="2" t="s">
        <v>31</v>
      </c>
      <c r="G22" s="13" t="s">
        <v>116</v>
      </c>
      <c r="H22" s="2" t="s">
        <v>121</v>
      </c>
    </row>
    <row r="23" ht="14.25" customHeight="1">
      <c r="A23" s="2">
        <f t="shared" si="1"/>
        <v>21</v>
      </c>
      <c r="B23" s="2" t="s">
        <v>122</v>
      </c>
      <c r="C23" s="2" t="s">
        <v>123</v>
      </c>
      <c r="D23" s="2" t="s">
        <v>125</v>
      </c>
      <c r="E23" s="2" t="s">
        <v>35</v>
      </c>
      <c r="F23" s="2" t="s">
        <v>31</v>
      </c>
      <c r="G23" s="20" t="s">
        <v>127</v>
      </c>
      <c r="H23" s="20" t="s">
        <v>128</v>
      </c>
    </row>
    <row r="24" ht="14.25" customHeight="1">
      <c r="A24" s="2">
        <f t="shared" si="1"/>
        <v>22</v>
      </c>
      <c r="B24" s="2" t="s">
        <v>130</v>
      </c>
      <c r="C24" s="2" t="s">
        <v>132</v>
      </c>
      <c r="D24" s="2" t="s">
        <v>133</v>
      </c>
      <c r="E24" s="2" t="s">
        <v>35</v>
      </c>
      <c r="F24" s="2" t="s">
        <v>31</v>
      </c>
    </row>
    <row r="25" ht="14.25" customHeight="1">
      <c r="A25" s="2">
        <f t="shared" si="1"/>
        <v>23</v>
      </c>
      <c r="C25" s="2" t="s">
        <v>135</v>
      </c>
      <c r="D25" s="2" t="s">
        <v>133</v>
      </c>
      <c r="E25" s="2" t="s">
        <v>35</v>
      </c>
    </row>
    <row r="26" ht="14.25" customHeight="1">
      <c r="A26" s="2">
        <f t="shared" si="1"/>
        <v>24</v>
      </c>
      <c r="B26" s="2" t="s">
        <v>137</v>
      </c>
      <c r="C26" s="2" t="s">
        <v>138</v>
      </c>
      <c r="D26" s="2" t="s">
        <v>139</v>
      </c>
      <c r="E26" s="2" t="s">
        <v>30</v>
      </c>
    </row>
    <row r="27" ht="14.25" customHeight="1">
      <c r="A27" s="2">
        <f t="shared" si="1"/>
        <v>25</v>
      </c>
      <c r="B27" s="2" t="s">
        <v>142</v>
      </c>
      <c r="C27" s="2" t="s">
        <v>143</v>
      </c>
      <c r="D27" s="2" t="s">
        <v>144</v>
      </c>
      <c r="E27" s="2" t="s">
        <v>30</v>
      </c>
      <c r="F27" s="2" t="s">
        <v>31</v>
      </c>
    </row>
    <row r="28" ht="14.25" customHeight="1">
      <c r="A28" s="2">
        <f t="shared" si="1"/>
        <v>26</v>
      </c>
      <c r="B28" s="2" t="s">
        <v>146</v>
      </c>
      <c r="C28" s="2" t="s">
        <v>148</v>
      </c>
      <c r="D28" s="2" t="s">
        <v>149</v>
      </c>
      <c r="E28" s="2" t="s">
        <v>30</v>
      </c>
    </row>
    <row r="29" ht="14.25" customHeight="1">
      <c r="A29" s="2">
        <f t="shared" si="1"/>
        <v>27</v>
      </c>
      <c r="B29" s="2" t="s">
        <v>152</v>
      </c>
      <c r="C29" s="2" t="s">
        <v>153</v>
      </c>
      <c r="D29" s="2" t="s">
        <v>49</v>
      </c>
      <c r="E29" s="2" t="s">
        <v>35</v>
      </c>
    </row>
    <row r="30" ht="14.25" customHeight="1">
      <c r="A30" s="2">
        <f t="shared" si="1"/>
        <v>28</v>
      </c>
      <c r="B30" s="2" t="s">
        <v>156</v>
      </c>
      <c r="C30" s="2" t="s">
        <v>157</v>
      </c>
      <c r="D30" s="2" t="s">
        <v>49</v>
      </c>
      <c r="E30" s="2" t="s">
        <v>30</v>
      </c>
    </row>
    <row r="31" ht="14.25" customHeight="1">
      <c r="A31" s="2">
        <f t="shared" si="1"/>
        <v>29</v>
      </c>
      <c r="B31" s="40" t="s">
        <v>159</v>
      </c>
      <c r="C31" s="40" t="s">
        <v>161</v>
      </c>
      <c r="D31" s="2" t="s">
        <v>54</v>
      </c>
      <c r="E31" s="2" t="s">
        <v>30</v>
      </c>
    </row>
    <row r="32" ht="14.25" customHeight="1">
      <c r="A32" s="2">
        <f t="shared" si="1"/>
        <v>30</v>
      </c>
      <c r="B32" s="40" t="s">
        <v>164</v>
      </c>
      <c r="C32" s="40" t="s">
        <v>165</v>
      </c>
      <c r="D32" s="2" t="s">
        <v>139</v>
      </c>
      <c r="E32" s="2" t="s">
        <v>30</v>
      </c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G4"/>
    <hyperlink r:id="rId2" ref="H4"/>
    <hyperlink r:id="rId3" ref="G5"/>
    <hyperlink r:id="rId4" ref="H5"/>
    <hyperlink r:id="rId5" ref="G6"/>
    <hyperlink r:id="rId6" ref="G14"/>
    <hyperlink r:id="rId7" ref="H14"/>
    <hyperlink r:id="rId8" ref="G15"/>
    <hyperlink r:id="rId9" ref="G17"/>
    <hyperlink r:id="rId10" ref="G18"/>
    <hyperlink r:id="rId11" ref="G19"/>
    <hyperlink r:id="rId12" ref="G20"/>
    <hyperlink r:id="rId13" ref="G22"/>
  </hyperlinks>
  <printOptions/>
  <pageMargins bottom="0.75" footer="0.0" header="0.0" left="0.7" right="0.7" top="0.75"/>
  <pageSetup orientation="landscape"/>
  <drawing r:id="rId1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8.14"/>
    <col customWidth="1" min="3" max="26" width="8.71"/>
  </cols>
  <sheetData>
    <row r="1" ht="14.25" customHeight="1">
      <c r="A1" s="1" t="s">
        <v>1</v>
      </c>
      <c r="B1" s="2" t="s">
        <v>2</v>
      </c>
      <c r="C1" s="2" t="s">
        <v>3</v>
      </c>
      <c r="D1" s="2" t="s">
        <v>4</v>
      </c>
      <c r="E1" s="2" t="s">
        <v>5</v>
      </c>
    </row>
    <row r="2" ht="14.25" customHeight="1">
      <c r="A2" s="4">
        <v>45849.0</v>
      </c>
      <c r="B2" s="2" t="s">
        <v>10</v>
      </c>
      <c r="C2" s="2" t="s">
        <v>13</v>
      </c>
      <c r="D2" s="2" t="s">
        <v>14</v>
      </c>
      <c r="E2" s="2" t="s">
        <v>16</v>
      </c>
    </row>
    <row r="3" ht="14.25" customHeight="1">
      <c r="A3" s="4">
        <v>45890.0</v>
      </c>
      <c r="B3" s="2" t="s">
        <v>18</v>
      </c>
      <c r="C3" s="2" t="s">
        <v>20</v>
      </c>
      <c r="D3" s="2" t="s">
        <v>21</v>
      </c>
      <c r="E3" s="2" t="s">
        <v>22</v>
      </c>
    </row>
    <row r="4" ht="14.25" customHeight="1">
      <c r="A4" s="4">
        <v>45890.0</v>
      </c>
      <c r="B4" s="2" t="s">
        <v>23</v>
      </c>
      <c r="C4" s="2" t="s">
        <v>25</v>
      </c>
      <c r="D4" s="2" t="s">
        <v>27</v>
      </c>
      <c r="E4" s="2" t="s">
        <v>29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4.0" ySplit="3.0" topLeftCell="O4" activePane="bottomRight" state="frozen"/>
      <selection activeCell="O1" sqref="O1" pane="topRight"/>
      <selection activeCell="A4" sqref="A4" pane="bottomLeft"/>
      <selection activeCell="O4" sqref="O4" pane="bottomRight"/>
    </sheetView>
  </sheetViews>
  <sheetFormatPr customHeight="1" defaultColWidth="14.43" defaultRowHeight="15.0"/>
  <cols>
    <col customWidth="1" min="1" max="1" width="4.43"/>
    <col customWidth="1" min="2" max="2" width="18.86"/>
    <col customWidth="1" hidden="1" min="3" max="3" width="9.14"/>
    <col customWidth="1" min="4" max="4" width="17.43"/>
    <col customWidth="1" hidden="1" min="5" max="6" width="9.14"/>
    <col customWidth="1" min="7" max="7" width="19.29"/>
    <col customWidth="1" hidden="1" min="8" max="11" width="9.14"/>
    <col customWidth="1" min="12" max="12" width="19.14"/>
    <col customWidth="1" min="13" max="13" width="25.86"/>
    <col customWidth="1" min="14" max="14" width="27.0"/>
    <col customWidth="1" min="15" max="15" width="21.43"/>
    <col customWidth="1" min="16" max="16" width="121.0"/>
    <col customWidth="1" min="17" max="17" width="88.29"/>
    <col customWidth="1" hidden="1" min="18" max="18" width="9.14"/>
    <col customWidth="1" min="19" max="19" width="20.86"/>
    <col customWidth="1" min="20" max="20" width="13.43"/>
    <col customWidth="1" min="21" max="21" width="21.43"/>
    <col customWidth="1" min="22" max="22" width="24.0"/>
    <col customWidth="1" min="23" max="23" width="10.57"/>
    <col customWidth="1" min="24" max="24" width="19.14"/>
    <col customWidth="1" min="25" max="25" width="20.86"/>
    <col customWidth="1" min="26" max="26" width="26.43"/>
    <col customWidth="1" min="27" max="27" width="18.14"/>
    <col customWidth="1" hidden="1" min="28" max="28" width="9.14"/>
    <col customWidth="1" min="29" max="29" width="29.43"/>
    <col customWidth="1" min="30" max="30" width="11.0"/>
    <col customWidth="1" min="31" max="31" width="25.29"/>
    <col customWidth="1" min="32" max="32" width="12.0"/>
    <col customWidth="1" min="33" max="33" width="16.71"/>
    <col customWidth="1" min="34" max="34" width="35.71"/>
    <col customWidth="1" min="35" max="35" width="35.0"/>
    <col customWidth="1" min="36" max="36" width="15.86"/>
    <col customWidth="1" min="37" max="37" width="20.29"/>
    <col customWidth="1" min="38" max="38" width="14.29"/>
    <col customWidth="1" min="39" max="39" width="16.43"/>
    <col customWidth="1" hidden="1" min="40" max="41" width="9.14"/>
    <col customWidth="1" min="42" max="42" width="5.0"/>
    <col customWidth="1" min="43" max="43" width="6.71"/>
    <col customWidth="1" min="44" max="45" width="5.14"/>
    <col customWidth="1" min="46" max="46" width="14.14"/>
    <col customWidth="1" min="47" max="47" width="19.14"/>
    <col customWidth="1" min="48" max="48" width="13.0"/>
    <col customWidth="1" min="49" max="49" width="23.86"/>
    <col customWidth="1" min="50" max="50" width="20.14"/>
    <col customWidth="1" min="51" max="54" width="16.29"/>
    <col customWidth="1" min="55" max="55" width="84.86"/>
    <col customWidth="1" min="56" max="56" width="18.71"/>
    <col customWidth="1" min="57" max="57" width="15.43"/>
    <col customWidth="1" min="58" max="58" width="20.57"/>
    <col customWidth="1" min="59" max="59" width="29.57"/>
    <col customWidth="1" min="60" max="60" width="31.43"/>
    <col customWidth="1" min="61" max="61" width="28.86"/>
  </cols>
  <sheetData>
    <row r="1" ht="14.25" customHeight="1">
      <c r="A1" s="22" t="s">
        <v>11</v>
      </c>
      <c r="B1" s="26">
        <f t="shared" ref="B1:D1" si="1">COUNT(B4:B1048576)</f>
        <v>0</v>
      </c>
      <c r="C1" s="26">
        <f t="shared" si="1"/>
        <v>0</v>
      </c>
      <c r="D1" s="26">
        <f t="shared" si="1"/>
        <v>0</v>
      </c>
      <c r="E1" s="26"/>
      <c r="F1" s="26">
        <f t="shared" ref="F1:G1" si="2">COUNT(F4:F1048576)</f>
        <v>0</v>
      </c>
      <c r="G1" s="26">
        <f t="shared" si="2"/>
        <v>0</v>
      </c>
      <c r="H1" s="26"/>
      <c r="I1" s="26">
        <f t="shared" ref="I1:J1" si="3">COUNT(I4:I1048576)</f>
        <v>0</v>
      </c>
      <c r="J1" s="26">
        <f t="shared" si="3"/>
        <v>0</v>
      </c>
      <c r="K1" s="26"/>
      <c r="L1" s="26"/>
      <c r="M1" s="17"/>
      <c r="N1" s="26"/>
      <c r="O1" s="26"/>
      <c r="P1" s="26"/>
      <c r="Q1" s="26"/>
      <c r="R1" s="26"/>
      <c r="S1" s="26"/>
      <c r="T1" s="26"/>
      <c r="U1" s="26"/>
      <c r="V1" s="26"/>
      <c r="W1" s="3"/>
      <c r="X1" s="26"/>
      <c r="Y1" s="17"/>
      <c r="Z1" s="26"/>
      <c r="AA1" s="26"/>
      <c r="AB1" s="17"/>
      <c r="AC1" s="34"/>
      <c r="AD1" s="26"/>
      <c r="AE1" s="26"/>
      <c r="AF1" s="26"/>
      <c r="AG1" s="26"/>
      <c r="AH1" s="26"/>
      <c r="AI1" s="26"/>
      <c r="AJ1" s="26"/>
      <c r="AK1" s="26"/>
      <c r="AL1" s="17"/>
      <c r="AM1" s="17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26"/>
      <c r="BI1" s="26"/>
    </row>
    <row r="2" ht="14.25" customHeight="1">
      <c r="A2" s="37"/>
      <c r="B2" s="38" t="s">
        <v>15</v>
      </c>
      <c r="C2" s="28"/>
      <c r="D2" s="28"/>
      <c r="E2" s="28"/>
      <c r="F2" s="28"/>
      <c r="G2" s="28"/>
      <c r="H2" s="28"/>
      <c r="I2" s="28"/>
      <c r="J2" s="28"/>
      <c r="K2" s="30"/>
      <c r="L2" s="42" t="s">
        <v>2</v>
      </c>
      <c r="M2" s="45" t="s">
        <v>112</v>
      </c>
      <c r="N2" s="45" t="s">
        <v>118</v>
      </c>
      <c r="O2" s="42" t="s">
        <v>119</v>
      </c>
      <c r="P2" s="47"/>
      <c r="Q2" s="27" t="s">
        <v>120</v>
      </c>
      <c r="R2" s="28"/>
      <c r="S2" s="28"/>
      <c r="T2" s="28"/>
      <c r="U2" s="28"/>
      <c r="V2" s="28"/>
      <c r="W2" s="30"/>
      <c r="X2" s="42" t="s">
        <v>124</v>
      </c>
      <c r="Y2" s="42" t="s">
        <v>129</v>
      </c>
      <c r="Z2" s="42" t="s">
        <v>134</v>
      </c>
      <c r="AA2" s="42" t="s">
        <v>136</v>
      </c>
      <c r="AB2" s="42" t="s">
        <v>140</v>
      </c>
      <c r="AC2" s="42" t="s">
        <v>141</v>
      </c>
      <c r="AD2" s="42" t="s">
        <v>145</v>
      </c>
      <c r="AE2" s="42" t="s">
        <v>147</v>
      </c>
      <c r="AF2" s="42" t="s">
        <v>150</v>
      </c>
      <c r="AG2" s="42" t="s">
        <v>154</v>
      </c>
      <c r="AH2" s="42" t="s">
        <v>155</v>
      </c>
      <c r="AI2" s="42" t="s">
        <v>9</v>
      </c>
      <c r="AJ2" s="45" t="s">
        <v>158</v>
      </c>
      <c r="AK2" s="45" t="s">
        <v>160</v>
      </c>
      <c r="AL2" s="60" t="s">
        <v>168</v>
      </c>
      <c r="AM2" s="60" t="s">
        <v>169</v>
      </c>
      <c r="AN2" s="27" t="s">
        <v>170</v>
      </c>
      <c r="AO2" s="28"/>
      <c r="AP2" s="28"/>
      <c r="AQ2" s="28"/>
      <c r="AR2" s="28"/>
      <c r="AS2" s="28"/>
      <c r="AT2" s="63"/>
      <c r="AU2" s="27" t="s">
        <v>173</v>
      </c>
      <c r="AV2" s="28"/>
      <c r="AW2" s="28"/>
      <c r="AX2" s="28"/>
      <c r="AY2" s="30"/>
      <c r="AZ2" s="27" t="s">
        <v>175</v>
      </c>
      <c r="BA2" s="28"/>
      <c r="BB2" s="28"/>
      <c r="BC2" s="28"/>
      <c r="BD2" s="28"/>
      <c r="BE2" s="28"/>
      <c r="BF2" s="28"/>
      <c r="BG2" s="28"/>
      <c r="BH2" s="28"/>
      <c r="BI2" s="30"/>
    </row>
    <row r="3" ht="14.25" customHeight="1">
      <c r="A3" s="66"/>
      <c r="B3" s="68" t="s">
        <v>178</v>
      </c>
      <c r="C3" s="22" t="s">
        <v>179</v>
      </c>
      <c r="D3" s="69" t="s">
        <v>205</v>
      </c>
      <c r="E3" s="69" t="s">
        <v>181</v>
      </c>
      <c r="F3" s="22" t="s">
        <v>182</v>
      </c>
      <c r="G3" s="22" t="s">
        <v>183</v>
      </c>
      <c r="H3" s="22" t="s">
        <v>184</v>
      </c>
      <c r="I3" s="22" t="s">
        <v>185</v>
      </c>
      <c r="J3" s="22" t="s">
        <v>186</v>
      </c>
      <c r="K3" s="22" t="s">
        <v>187</v>
      </c>
      <c r="L3" s="57"/>
      <c r="M3" s="57"/>
      <c r="N3" s="57"/>
      <c r="O3" s="57"/>
      <c r="P3" s="22" t="s">
        <v>219</v>
      </c>
      <c r="Q3" s="22" t="s">
        <v>120</v>
      </c>
      <c r="R3" s="22" t="s">
        <v>194</v>
      </c>
      <c r="S3" s="22" t="s">
        <v>195</v>
      </c>
      <c r="T3" s="22" t="s">
        <v>196</v>
      </c>
      <c r="U3" s="22" t="s">
        <v>197</v>
      </c>
      <c r="V3" s="22" t="s">
        <v>198</v>
      </c>
      <c r="W3" s="22" t="s">
        <v>199</v>
      </c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57"/>
      <c r="AK3" s="57"/>
      <c r="AL3" s="57"/>
      <c r="AM3" s="57"/>
      <c r="AN3" s="22" t="s">
        <v>200</v>
      </c>
      <c r="AO3" s="22" t="s">
        <v>201</v>
      </c>
      <c r="AP3" s="22" t="s">
        <v>206</v>
      </c>
      <c r="AQ3" s="22" t="s">
        <v>177</v>
      </c>
      <c r="AR3" s="72" t="s">
        <v>207</v>
      </c>
      <c r="AS3" s="72" t="s">
        <v>208</v>
      </c>
      <c r="AT3" s="74" t="s">
        <v>209</v>
      </c>
      <c r="AU3" s="22" t="s">
        <v>210</v>
      </c>
      <c r="AV3" s="22" t="s">
        <v>211</v>
      </c>
      <c r="AW3" s="22" t="s">
        <v>212</v>
      </c>
      <c r="AX3" s="22" t="s">
        <v>213</v>
      </c>
      <c r="AY3" s="22" t="s">
        <v>214</v>
      </c>
      <c r="AZ3" s="22" t="s">
        <v>215</v>
      </c>
      <c r="BA3" s="22" t="s">
        <v>216</v>
      </c>
      <c r="BB3" s="22" t="s">
        <v>217</v>
      </c>
      <c r="BC3" s="22" t="s">
        <v>218</v>
      </c>
      <c r="BD3" s="22" t="s">
        <v>124</v>
      </c>
      <c r="BE3" s="22" t="s">
        <v>220</v>
      </c>
      <c r="BF3" s="22" t="s">
        <v>177</v>
      </c>
      <c r="BG3" s="22" t="s">
        <v>221</v>
      </c>
      <c r="BH3" s="22" t="s">
        <v>141</v>
      </c>
      <c r="BI3" s="22" t="s">
        <v>15</v>
      </c>
    </row>
    <row r="4" ht="14.25" customHeight="1">
      <c r="A4" s="26">
        <f t="shared" ref="A4:A17" si="4">ROW(A1)</f>
        <v>1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 t="s">
        <v>235</v>
      </c>
      <c r="M4" s="26" t="s">
        <v>236</v>
      </c>
      <c r="N4" s="26" t="s">
        <v>236</v>
      </c>
      <c r="O4" s="26" t="s">
        <v>237</v>
      </c>
      <c r="P4" s="26" t="s">
        <v>238</v>
      </c>
      <c r="Q4" s="26" t="s">
        <v>239</v>
      </c>
      <c r="R4" s="26"/>
      <c r="S4" s="26" t="s">
        <v>240</v>
      </c>
      <c r="T4" s="26" t="s">
        <v>241</v>
      </c>
      <c r="U4" s="26" t="s">
        <v>242</v>
      </c>
      <c r="V4" s="26" t="s">
        <v>243</v>
      </c>
      <c r="W4" s="76" t="s">
        <v>244</v>
      </c>
      <c r="X4" s="76" t="s">
        <v>245</v>
      </c>
      <c r="Y4" s="76" t="s">
        <v>246</v>
      </c>
      <c r="Z4" s="26" t="s">
        <v>247</v>
      </c>
      <c r="AA4" s="76" t="s">
        <v>248</v>
      </c>
      <c r="AB4" s="26"/>
      <c r="AC4" s="26" t="s">
        <v>249</v>
      </c>
      <c r="AD4" s="76" t="s">
        <v>250</v>
      </c>
      <c r="AE4" s="76" t="s">
        <v>251</v>
      </c>
      <c r="AF4" s="76" t="s">
        <v>252</v>
      </c>
      <c r="AG4" s="76" t="s">
        <v>253</v>
      </c>
      <c r="AH4" s="26" t="s">
        <v>254</v>
      </c>
      <c r="AI4" s="26" t="s">
        <v>255</v>
      </c>
      <c r="AJ4" s="76" t="s">
        <v>256</v>
      </c>
      <c r="AK4" s="76" t="s">
        <v>257</v>
      </c>
      <c r="AL4" s="76" t="s">
        <v>258</v>
      </c>
      <c r="AM4" s="76" t="s">
        <v>259</v>
      </c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</row>
    <row r="5" ht="14.25" customHeight="1">
      <c r="A5" s="26">
        <f t="shared" si="4"/>
        <v>2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 t="s">
        <v>260</v>
      </c>
      <c r="M5" s="26" t="s">
        <v>261</v>
      </c>
      <c r="N5" s="26" t="s">
        <v>261</v>
      </c>
      <c r="O5" s="26" t="s">
        <v>262</v>
      </c>
      <c r="P5" s="26" t="s">
        <v>263</v>
      </c>
      <c r="Q5" s="26" t="s">
        <v>263</v>
      </c>
      <c r="R5" s="26"/>
      <c r="S5" s="26" t="s">
        <v>264</v>
      </c>
      <c r="T5" s="26" t="s">
        <v>265</v>
      </c>
      <c r="U5" s="26" t="s">
        <v>266</v>
      </c>
      <c r="V5" s="26" t="s">
        <v>243</v>
      </c>
      <c r="W5" s="76" t="s">
        <v>267</v>
      </c>
      <c r="X5" s="76" t="s">
        <v>268</v>
      </c>
      <c r="Y5" s="76" t="s">
        <v>269</v>
      </c>
      <c r="Z5" s="26" t="s">
        <v>247</v>
      </c>
      <c r="AA5" s="76" t="s">
        <v>270</v>
      </c>
      <c r="AB5" s="26"/>
      <c r="AC5" s="26" t="s">
        <v>271</v>
      </c>
      <c r="AD5" s="76" t="s">
        <v>272</v>
      </c>
      <c r="AE5" s="76" t="s">
        <v>273</v>
      </c>
      <c r="AF5" s="76" t="s">
        <v>274</v>
      </c>
      <c r="AG5" s="76" t="s">
        <v>275</v>
      </c>
      <c r="AH5" s="26" t="s">
        <v>254</v>
      </c>
      <c r="AI5" s="26" t="s">
        <v>276</v>
      </c>
      <c r="AJ5" s="76" t="s">
        <v>277</v>
      </c>
      <c r="AK5" s="76" t="s">
        <v>278</v>
      </c>
      <c r="AL5" s="76" t="s">
        <v>279</v>
      </c>
      <c r="AM5" s="76" t="s">
        <v>280</v>
      </c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</row>
    <row r="6" ht="14.25" customHeight="1">
      <c r="A6" s="26">
        <f t="shared" si="4"/>
        <v>3</v>
      </c>
      <c r="B6" s="26"/>
      <c r="C6" s="26"/>
      <c r="D6" s="26"/>
      <c r="E6" s="26"/>
      <c r="F6" s="26"/>
      <c r="G6" s="26"/>
      <c r="H6" s="26"/>
      <c r="I6" s="26"/>
      <c r="J6" s="26"/>
      <c r="K6" s="26"/>
      <c r="L6" s="26" t="s">
        <v>281</v>
      </c>
      <c r="M6" s="26" t="s">
        <v>282</v>
      </c>
      <c r="N6" s="26" t="s">
        <v>282</v>
      </c>
      <c r="O6" s="26" t="s">
        <v>283</v>
      </c>
      <c r="P6" s="26" t="s">
        <v>284</v>
      </c>
      <c r="Q6" s="26" t="s">
        <v>285</v>
      </c>
      <c r="R6" s="26"/>
      <c r="S6" s="26" t="s">
        <v>286</v>
      </c>
      <c r="T6" s="26" t="s">
        <v>287</v>
      </c>
      <c r="U6" s="26" t="s">
        <v>288</v>
      </c>
      <c r="V6" s="26" t="s">
        <v>243</v>
      </c>
      <c r="W6" s="76" t="s">
        <v>289</v>
      </c>
      <c r="X6" s="76" t="s">
        <v>290</v>
      </c>
      <c r="Y6" s="76" t="s">
        <v>291</v>
      </c>
      <c r="Z6" s="26" t="s">
        <v>247</v>
      </c>
      <c r="AA6" s="76" t="s">
        <v>292</v>
      </c>
      <c r="AB6" s="26"/>
      <c r="AC6" s="76" t="s">
        <v>293</v>
      </c>
      <c r="AD6" s="26"/>
      <c r="AE6" s="26"/>
      <c r="AF6" s="26"/>
      <c r="AG6" s="26"/>
      <c r="AH6" s="26" t="s">
        <v>254</v>
      </c>
      <c r="AI6" s="26" t="s">
        <v>276</v>
      </c>
      <c r="AJ6" s="76" t="s">
        <v>294</v>
      </c>
      <c r="AK6" s="76" t="s">
        <v>295</v>
      </c>
      <c r="AL6" s="76" t="s">
        <v>296</v>
      </c>
      <c r="AM6" s="76" t="s">
        <v>297</v>
      </c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</row>
    <row r="7" ht="14.25" customHeight="1">
      <c r="A7" s="26">
        <f t="shared" si="4"/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 t="s">
        <v>298</v>
      </c>
      <c r="M7" s="26" t="s">
        <v>299</v>
      </c>
      <c r="N7" s="26" t="s">
        <v>299</v>
      </c>
      <c r="O7" s="26" t="s">
        <v>300</v>
      </c>
      <c r="P7" s="26" t="s">
        <v>301</v>
      </c>
      <c r="Q7" s="26" t="s">
        <v>302</v>
      </c>
      <c r="R7" s="26"/>
      <c r="S7" s="26" t="s">
        <v>303</v>
      </c>
      <c r="T7" s="26" t="s">
        <v>304</v>
      </c>
      <c r="U7" s="26" t="s">
        <v>305</v>
      </c>
      <c r="V7" s="26" t="s">
        <v>243</v>
      </c>
      <c r="W7" s="76" t="s">
        <v>306</v>
      </c>
      <c r="X7" s="76" t="s">
        <v>307</v>
      </c>
      <c r="Y7" s="76" t="s">
        <v>308</v>
      </c>
      <c r="Z7" s="26" t="s">
        <v>247</v>
      </c>
      <c r="AA7" s="76" t="s">
        <v>309</v>
      </c>
      <c r="AB7" s="26"/>
      <c r="AC7" s="76" t="s">
        <v>310</v>
      </c>
      <c r="AD7" s="76" t="s">
        <v>311</v>
      </c>
      <c r="AE7" s="76" t="s">
        <v>312</v>
      </c>
      <c r="AF7" s="76" t="s">
        <v>313</v>
      </c>
      <c r="AG7" s="76" t="s">
        <v>314</v>
      </c>
      <c r="AH7" s="26" t="s">
        <v>254</v>
      </c>
      <c r="AI7" s="26" t="s">
        <v>315</v>
      </c>
      <c r="AJ7" s="76" t="s">
        <v>316</v>
      </c>
      <c r="AK7" s="76" t="s">
        <v>317</v>
      </c>
      <c r="AL7" s="76" t="s">
        <v>318</v>
      </c>
      <c r="AM7" s="76" t="s">
        <v>319</v>
      </c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</row>
    <row r="8" ht="14.25" customHeight="1">
      <c r="A8" s="26">
        <f t="shared" si="4"/>
        <v>5</v>
      </c>
      <c r="B8" s="26"/>
      <c r="C8" s="26"/>
      <c r="D8" s="26"/>
      <c r="E8" s="26"/>
      <c r="F8" s="26"/>
      <c r="G8" s="26"/>
      <c r="H8" s="26"/>
      <c r="I8" s="26"/>
      <c r="J8" s="26"/>
      <c r="K8" s="26"/>
      <c r="L8" s="26" t="s">
        <v>320</v>
      </c>
      <c r="M8" s="26" t="s">
        <v>321</v>
      </c>
      <c r="N8" s="26" t="s">
        <v>321</v>
      </c>
      <c r="O8" s="26" t="s">
        <v>322</v>
      </c>
      <c r="P8" s="26" t="s">
        <v>323</v>
      </c>
      <c r="Q8" s="26" t="s">
        <v>324</v>
      </c>
      <c r="R8" s="26"/>
      <c r="S8" s="26" t="s">
        <v>325</v>
      </c>
      <c r="T8" s="26" t="s">
        <v>326</v>
      </c>
      <c r="U8" s="26" t="s">
        <v>305</v>
      </c>
      <c r="V8" s="26" t="s">
        <v>243</v>
      </c>
      <c r="W8" s="76" t="s">
        <v>327</v>
      </c>
      <c r="X8" s="76" t="s">
        <v>328</v>
      </c>
      <c r="Y8" s="76" t="s">
        <v>329</v>
      </c>
      <c r="Z8" s="26" t="s">
        <v>247</v>
      </c>
      <c r="AA8" s="76" t="s">
        <v>330</v>
      </c>
      <c r="AB8" s="26"/>
      <c r="AC8" s="26" t="s">
        <v>331</v>
      </c>
      <c r="AD8" s="76" t="s">
        <v>332</v>
      </c>
      <c r="AE8" s="26" t="s">
        <v>333</v>
      </c>
      <c r="AF8" s="26" t="s">
        <v>334</v>
      </c>
      <c r="AG8" s="26" t="s">
        <v>335</v>
      </c>
      <c r="AH8" s="26" t="s">
        <v>254</v>
      </c>
      <c r="AI8" s="26" t="s">
        <v>315</v>
      </c>
      <c r="AJ8" s="76" t="s">
        <v>336</v>
      </c>
      <c r="AK8" s="76" t="s">
        <v>337</v>
      </c>
      <c r="AL8" s="76" t="s">
        <v>338</v>
      </c>
      <c r="AM8" s="76" t="s">
        <v>339</v>
      </c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</row>
    <row r="9" ht="14.25" customHeight="1">
      <c r="A9" s="26">
        <f t="shared" si="4"/>
        <v>6</v>
      </c>
      <c r="B9" s="26"/>
      <c r="C9" s="26"/>
      <c r="D9" s="26"/>
      <c r="E9" s="26"/>
      <c r="F9" s="26"/>
      <c r="G9" s="26"/>
      <c r="H9" s="26"/>
      <c r="I9" s="26"/>
      <c r="J9" s="26"/>
      <c r="K9" s="26"/>
      <c r="L9" s="26" t="s">
        <v>340</v>
      </c>
      <c r="M9" s="26" t="s">
        <v>341</v>
      </c>
      <c r="N9" s="26" t="s">
        <v>341</v>
      </c>
      <c r="O9" s="26" t="s">
        <v>342</v>
      </c>
      <c r="P9" s="26" t="s">
        <v>343</v>
      </c>
      <c r="Q9" s="26" t="s">
        <v>344</v>
      </c>
      <c r="R9" s="26"/>
      <c r="S9" s="26" t="s">
        <v>345</v>
      </c>
      <c r="T9" s="26" t="s">
        <v>346</v>
      </c>
      <c r="U9" s="26" t="s">
        <v>305</v>
      </c>
      <c r="V9" s="26" t="s">
        <v>243</v>
      </c>
      <c r="W9" s="76" t="s">
        <v>347</v>
      </c>
      <c r="X9" s="76" t="s">
        <v>348</v>
      </c>
      <c r="Y9" s="26" t="s">
        <v>349</v>
      </c>
      <c r="Z9" s="26" t="s">
        <v>247</v>
      </c>
      <c r="AA9" s="76" t="s">
        <v>350</v>
      </c>
      <c r="AB9" s="26"/>
      <c r="AC9" s="76" t="s">
        <v>351</v>
      </c>
      <c r="AD9" s="76" t="s">
        <v>352</v>
      </c>
      <c r="AE9" s="26" t="s">
        <v>353</v>
      </c>
      <c r="AF9" s="26" t="s">
        <v>354</v>
      </c>
      <c r="AG9" s="26" t="s">
        <v>355</v>
      </c>
      <c r="AH9" s="26" t="s">
        <v>254</v>
      </c>
      <c r="AI9" s="26" t="s">
        <v>315</v>
      </c>
      <c r="AJ9" s="76" t="s">
        <v>356</v>
      </c>
      <c r="AK9" s="76" t="s">
        <v>357</v>
      </c>
      <c r="AL9" s="76" t="s">
        <v>358</v>
      </c>
      <c r="AM9" s="76" t="s">
        <v>359</v>
      </c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</row>
    <row r="10" ht="14.25" customHeight="1">
      <c r="A10" s="26">
        <f t="shared" si="4"/>
        <v>7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 t="s">
        <v>360</v>
      </c>
      <c r="M10" s="26" t="s">
        <v>361</v>
      </c>
      <c r="N10" s="26" t="s">
        <v>361</v>
      </c>
      <c r="O10" s="26" t="s">
        <v>362</v>
      </c>
      <c r="P10" s="26" t="s">
        <v>363</v>
      </c>
      <c r="Q10" s="26" t="s">
        <v>364</v>
      </c>
      <c r="R10" s="26"/>
      <c r="S10" s="26" t="s">
        <v>365</v>
      </c>
      <c r="T10" s="26" t="s">
        <v>241</v>
      </c>
      <c r="U10" s="26" t="s">
        <v>242</v>
      </c>
      <c r="V10" s="26" t="s">
        <v>243</v>
      </c>
      <c r="W10" s="76" t="s">
        <v>244</v>
      </c>
      <c r="X10" s="76" t="s">
        <v>366</v>
      </c>
      <c r="Y10" s="76" t="s">
        <v>367</v>
      </c>
      <c r="Z10" s="26" t="s">
        <v>247</v>
      </c>
      <c r="AA10" s="76" t="s">
        <v>368</v>
      </c>
      <c r="AB10" s="26"/>
      <c r="AC10" s="26" t="s">
        <v>369</v>
      </c>
      <c r="AD10" s="76" t="s">
        <v>370</v>
      </c>
      <c r="AE10" s="76" t="s">
        <v>371</v>
      </c>
      <c r="AF10" s="26" t="s">
        <v>372</v>
      </c>
      <c r="AG10" s="76" t="s">
        <v>373</v>
      </c>
      <c r="AH10" s="26" t="s">
        <v>254</v>
      </c>
      <c r="AI10" s="26" t="s">
        <v>255</v>
      </c>
      <c r="AJ10" s="76" t="s">
        <v>374</v>
      </c>
      <c r="AK10" s="76" t="s">
        <v>375</v>
      </c>
      <c r="AL10" s="76" t="s">
        <v>376</v>
      </c>
      <c r="AM10" s="76" t="s">
        <v>377</v>
      </c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</row>
    <row r="11" ht="14.25" customHeight="1">
      <c r="A11" s="26">
        <f t="shared" si="4"/>
        <v>8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 t="s">
        <v>378</v>
      </c>
      <c r="M11" s="26" t="s">
        <v>379</v>
      </c>
      <c r="N11" s="26" t="s">
        <v>379</v>
      </c>
      <c r="O11" s="26" t="s">
        <v>380</v>
      </c>
      <c r="P11" s="26" t="s">
        <v>381</v>
      </c>
      <c r="Q11" s="26" t="s">
        <v>382</v>
      </c>
      <c r="R11" s="26"/>
      <c r="S11" s="26" t="s">
        <v>383</v>
      </c>
      <c r="T11" s="26" t="s">
        <v>384</v>
      </c>
      <c r="U11" s="26" t="s">
        <v>385</v>
      </c>
      <c r="V11" s="26" t="s">
        <v>243</v>
      </c>
      <c r="W11" s="76" t="s">
        <v>386</v>
      </c>
      <c r="X11" s="76" t="s">
        <v>387</v>
      </c>
      <c r="Y11" s="76" t="s">
        <v>388</v>
      </c>
      <c r="Z11" s="26" t="s">
        <v>247</v>
      </c>
      <c r="AA11" s="76" t="s">
        <v>389</v>
      </c>
      <c r="AB11" s="26"/>
      <c r="AC11" s="76" t="s">
        <v>390</v>
      </c>
      <c r="AD11" s="76" t="s">
        <v>391</v>
      </c>
      <c r="AE11" s="76" t="s">
        <v>392</v>
      </c>
      <c r="AF11" s="76" t="s">
        <v>393</v>
      </c>
      <c r="AG11" s="76" t="s">
        <v>394</v>
      </c>
      <c r="AH11" s="26" t="s">
        <v>254</v>
      </c>
      <c r="AI11" s="26" t="s">
        <v>276</v>
      </c>
      <c r="AJ11" s="76" t="s">
        <v>395</v>
      </c>
      <c r="AK11" s="76" t="s">
        <v>396</v>
      </c>
      <c r="AL11" s="76" t="s">
        <v>397</v>
      </c>
      <c r="AM11" s="76" t="s">
        <v>398</v>
      </c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</row>
    <row r="12" ht="14.25" customHeight="1">
      <c r="A12" s="26">
        <f t="shared" si="4"/>
        <v>9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 t="s">
        <v>378</v>
      </c>
      <c r="M12" s="26" t="s">
        <v>399</v>
      </c>
      <c r="N12" s="26" t="s">
        <v>399</v>
      </c>
      <c r="O12" s="26" t="s">
        <v>400</v>
      </c>
      <c r="P12" s="26" t="s">
        <v>401</v>
      </c>
      <c r="Q12" s="26" t="s">
        <v>402</v>
      </c>
      <c r="R12" s="26"/>
      <c r="S12" s="26" t="s">
        <v>403</v>
      </c>
      <c r="T12" s="26" t="s">
        <v>404</v>
      </c>
      <c r="U12" s="26" t="s">
        <v>305</v>
      </c>
      <c r="V12" s="26" t="s">
        <v>243</v>
      </c>
      <c r="W12" s="76" t="s">
        <v>405</v>
      </c>
      <c r="X12" s="76" t="s">
        <v>406</v>
      </c>
      <c r="Y12" s="26" t="s">
        <v>407</v>
      </c>
      <c r="Z12" s="26" t="s">
        <v>247</v>
      </c>
      <c r="AA12" s="26"/>
      <c r="AB12" s="26"/>
      <c r="AC12" s="76" t="s">
        <v>408</v>
      </c>
      <c r="AD12" s="76" t="s">
        <v>409</v>
      </c>
      <c r="AE12" s="76" t="s">
        <v>410</v>
      </c>
      <c r="AF12" s="26" t="s">
        <v>411</v>
      </c>
      <c r="AG12" s="26" t="s">
        <v>412</v>
      </c>
      <c r="AH12" s="26" t="s">
        <v>254</v>
      </c>
      <c r="AI12" s="26" t="s">
        <v>315</v>
      </c>
      <c r="AJ12" s="76" t="s">
        <v>413</v>
      </c>
      <c r="AK12" s="76" t="s">
        <v>414</v>
      </c>
      <c r="AL12" s="76" t="s">
        <v>415</v>
      </c>
      <c r="AM12" s="76" t="s">
        <v>416</v>
      </c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</row>
    <row r="13" ht="14.25" customHeight="1">
      <c r="A13" s="26">
        <f t="shared" si="4"/>
        <v>10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 t="s">
        <v>417</v>
      </c>
      <c r="M13" s="26" t="s">
        <v>418</v>
      </c>
      <c r="N13" s="26" t="s">
        <v>418</v>
      </c>
      <c r="O13" s="26" t="s">
        <v>419</v>
      </c>
      <c r="P13" s="26" t="s">
        <v>420</v>
      </c>
      <c r="Q13" s="26" t="s">
        <v>421</v>
      </c>
      <c r="R13" s="26"/>
      <c r="S13" s="26" t="s">
        <v>422</v>
      </c>
      <c r="T13" s="26" t="s">
        <v>404</v>
      </c>
      <c r="U13" s="26" t="s">
        <v>305</v>
      </c>
      <c r="V13" s="26" t="s">
        <v>243</v>
      </c>
      <c r="W13" s="76" t="s">
        <v>423</v>
      </c>
      <c r="X13" s="76" t="s">
        <v>424</v>
      </c>
      <c r="Y13" s="76" t="s">
        <v>425</v>
      </c>
      <c r="Z13" s="26" t="s">
        <v>247</v>
      </c>
      <c r="AA13" s="76" t="s">
        <v>426</v>
      </c>
      <c r="AB13" s="26"/>
      <c r="AC13" s="76" t="s">
        <v>427</v>
      </c>
      <c r="AD13" s="76" t="s">
        <v>428</v>
      </c>
      <c r="AE13" s="76" t="s">
        <v>429</v>
      </c>
      <c r="AF13" s="26"/>
      <c r="AG13" s="26"/>
      <c r="AH13" s="26" t="s">
        <v>254</v>
      </c>
      <c r="AI13" s="26" t="s">
        <v>430</v>
      </c>
      <c r="AJ13" s="76" t="s">
        <v>431</v>
      </c>
      <c r="AK13" s="76" t="s">
        <v>432</v>
      </c>
      <c r="AL13" s="76" t="s">
        <v>433</v>
      </c>
      <c r="AM13" s="76" t="s">
        <v>434</v>
      </c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</row>
    <row r="14" ht="14.25" customHeight="1">
      <c r="A14" s="26">
        <f t="shared" si="4"/>
        <v>11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 t="s">
        <v>435</v>
      </c>
      <c r="M14" s="26" t="s">
        <v>436</v>
      </c>
      <c r="N14" s="26" t="s">
        <v>436</v>
      </c>
      <c r="O14" s="26" t="s">
        <v>437</v>
      </c>
      <c r="P14" s="26" t="s">
        <v>438</v>
      </c>
      <c r="Q14" s="26" t="s">
        <v>439</v>
      </c>
      <c r="R14" s="26"/>
      <c r="S14" s="26" t="s">
        <v>440</v>
      </c>
      <c r="T14" s="26" t="s">
        <v>441</v>
      </c>
      <c r="U14" s="26" t="s">
        <v>441</v>
      </c>
      <c r="V14" s="26" t="s">
        <v>243</v>
      </c>
      <c r="W14" s="76" t="s">
        <v>442</v>
      </c>
      <c r="X14" s="76" t="s">
        <v>443</v>
      </c>
      <c r="Y14" s="76" t="s">
        <v>444</v>
      </c>
      <c r="Z14" s="26" t="s">
        <v>247</v>
      </c>
      <c r="AA14" s="76" t="s">
        <v>445</v>
      </c>
      <c r="AB14" s="26"/>
      <c r="AC14" s="76" t="s">
        <v>446</v>
      </c>
      <c r="AD14" s="76" t="s">
        <v>447</v>
      </c>
      <c r="AE14" s="26" t="s">
        <v>448</v>
      </c>
      <c r="AF14" s="26" t="s">
        <v>449</v>
      </c>
      <c r="AG14" s="26" t="s">
        <v>450</v>
      </c>
      <c r="AH14" s="26" t="s">
        <v>254</v>
      </c>
      <c r="AI14" s="26" t="s">
        <v>255</v>
      </c>
      <c r="AJ14" s="76" t="s">
        <v>451</v>
      </c>
      <c r="AK14" s="76" t="s">
        <v>452</v>
      </c>
      <c r="AL14" s="76" t="s">
        <v>453</v>
      </c>
      <c r="AM14" s="76" t="s">
        <v>454</v>
      </c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</row>
    <row r="15" ht="14.25" customHeight="1">
      <c r="A15" s="26">
        <f t="shared" si="4"/>
        <v>12</v>
      </c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 t="s">
        <v>455</v>
      </c>
      <c r="M15" s="26" t="s">
        <v>456</v>
      </c>
      <c r="N15" s="26" t="s">
        <v>456</v>
      </c>
      <c r="O15" s="26" t="s">
        <v>457</v>
      </c>
      <c r="P15" s="26" t="s">
        <v>458</v>
      </c>
      <c r="Q15" s="26" t="s">
        <v>459</v>
      </c>
      <c r="R15" s="26"/>
      <c r="S15" s="26" t="s">
        <v>325</v>
      </c>
      <c r="T15" s="26" t="s">
        <v>326</v>
      </c>
      <c r="U15" s="26" t="s">
        <v>305</v>
      </c>
      <c r="V15" s="26" t="s">
        <v>243</v>
      </c>
      <c r="W15" s="76" t="s">
        <v>327</v>
      </c>
      <c r="X15" s="76" t="s">
        <v>460</v>
      </c>
      <c r="Y15" s="76" t="s">
        <v>461</v>
      </c>
      <c r="Z15" s="26" t="s">
        <v>247</v>
      </c>
      <c r="AA15" s="76" t="s">
        <v>462</v>
      </c>
      <c r="AB15" s="26"/>
      <c r="AC15" s="26" t="s">
        <v>463</v>
      </c>
      <c r="AD15" s="76" t="s">
        <v>464</v>
      </c>
      <c r="AE15" s="87" t="s">
        <v>465</v>
      </c>
      <c r="AF15" s="2" t="s">
        <v>466</v>
      </c>
      <c r="AG15" s="2" t="s">
        <v>335</v>
      </c>
      <c r="AH15" s="26" t="s">
        <v>254</v>
      </c>
      <c r="AI15" s="26" t="s">
        <v>430</v>
      </c>
      <c r="AJ15" s="76" t="s">
        <v>467</v>
      </c>
      <c r="AK15" s="76" t="s">
        <v>468</v>
      </c>
      <c r="AL15" s="76" t="s">
        <v>469</v>
      </c>
      <c r="AM15" s="76" t="s">
        <v>470</v>
      </c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</row>
    <row r="16" ht="14.25" customHeight="1">
      <c r="A16" s="26">
        <f t="shared" si="4"/>
        <v>13</v>
      </c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 t="s">
        <v>471</v>
      </c>
      <c r="M16" s="26" t="s">
        <v>472</v>
      </c>
      <c r="N16" s="26" t="s">
        <v>472</v>
      </c>
      <c r="O16" s="26" t="s">
        <v>473</v>
      </c>
      <c r="P16" s="26" t="s">
        <v>474</v>
      </c>
      <c r="Q16" s="26" t="s">
        <v>475</v>
      </c>
      <c r="R16" s="26"/>
      <c r="S16" s="26" t="s">
        <v>476</v>
      </c>
      <c r="T16" s="26" t="s">
        <v>477</v>
      </c>
      <c r="U16" s="26" t="s">
        <v>478</v>
      </c>
      <c r="V16" s="26" t="s">
        <v>243</v>
      </c>
      <c r="W16" s="76" t="s">
        <v>479</v>
      </c>
      <c r="X16" s="76" t="s">
        <v>480</v>
      </c>
      <c r="Y16" s="26" t="s">
        <v>481</v>
      </c>
      <c r="Z16" s="26" t="s">
        <v>247</v>
      </c>
      <c r="AA16" s="76" t="s">
        <v>482</v>
      </c>
      <c r="AB16" s="26"/>
      <c r="AC16" s="26" t="s">
        <v>483</v>
      </c>
      <c r="AD16" s="76" t="s">
        <v>484</v>
      </c>
      <c r="AE16" s="76" t="s">
        <v>485</v>
      </c>
      <c r="AF16" s="76" t="s">
        <v>486</v>
      </c>
      <c r="AG16" s="76" t="s">
        <v>487</v>
      </c>
      <c r="AH16" s="26" t="s">
        <v>254</v>
      </c>
      <c r="AI16" s="26" t="s">
        <v>430</v>
      </c>
      <c r="AJ16" s="76" t="s">
        <v>488</v>
      </c>
      <c r="AK16" s="76" t="s">
        <v>489</v>
      </c>
      <c r="AL16" s="76" t="s">
        <v>490</v>
      </c>
      <c r="AM16" s="76" t="s">
        <v>491</v>
      </c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</row>
    <row r="17" ht="14.25" customHeight="1">
      <c r="A17" s="26">
        <f t="shared" si="4"/>
        <v>14</v>
      </c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 t="s">
        <v>492</v>
      </c>
      <c r="M17" s="26" t="s">
        <v>493</v>
      </c>
      <c r="N17" s="26" t="s">
        <v>493</v>
      </c>
      <c r="O17" s="26" t="s">
        <v>494</v>
      </c>
      <c r="P17" s="26" t="s">
        <v>495</v>
      </c>
      <c r="Q17" s="26" t="s">
        <v>496</v>
      </c>
      <c r="R17" s="26"/>
      <c r="S17" s="26" t="s">
        <v>497</v>
      </c>
      <c r="T17" s="26" t="s">
        <v>498</v>
      </c>
      <c r="U17" s="26" t="s">
        <v>242</v>
      </c>
      <c r="V17" s="26" t="s">
        <v>243</v>
      </c>
      <c r="W17" s="76" t="s">
        <v>499</v>
      </c>
      <c r="X17" s="76" t="s">
        <v>500</v>
      </c>
      <c r="Y17" s="76" t="s">
        <v>501</v>
      </c>
      <c r="Z17" s="26" t="s">
        <v>247</v>
      </c>
      <c r="AA17" s="76" t="s">
        <v>502</v>
      </c>
      <c r="AB17" s="26"/>
      <c r="AC17" s="26" t="s">
        <v>503</v>
      </c>
      <c r="AD17" s="76" t="s">
        <v>504</v>
      </c>
      <c r="AE17" s="76" t="s">
        <v>505</v>
      </c>
      <c r="AF17" s="76" t="s">
        <v>506</v>
      </c>
      <c r="AG17" s="76" t="s">
        <v>507</v>
      </c>
      <c r="AH17" s="26" t="s">
        <v>254</v>
      </c>
      <c r="AI17" s="26"/>
      <c r="AJ17" s="76" t="s">
        <v>508</v>
      </c>
      <c r="AK17" s="76" t="s">
        <v>509</v>
      </c>
      <c r="AL17" s="76" t="s">
        <v>510</v>
      </c>
      <c r="AM17" s="76" t="s">
        <v>511</v>
      </c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</row>
    <row r="18" ht="14.25" customHeight="1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</row>
    <row r="19" ht="14.25" customHeight="1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</row>
    <row r="20" ht="14.25" customHeight="1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</row>
    <row r="21" ht="14.25" customHeight="1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</row>
    <row r="22" ht="14.25" customHeight="1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</row>
    <row r="23" ht="14.25" customHeight="1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</row>
    <row r="24" ht="14.25" customHeight="1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</row>
    <row r="25" ht="14.25" customHeight="1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</row>
    <row r="26" ht="14.25" customHeight="1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</row>
    <row r="27" ht="14.25" customHeight="1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</row>
    <row r="28" ht="14.25" customHeight="1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</row>
    <row r="29" ht="14.25" customHeight="1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</row>
    <row r="30" ht="14.25" customHeight="1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</row>
    <row r="31" ht="14.25" customHeight="1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</row>
    <row r="32" ht="14.25" customHeight="1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</row>
    <row r="33" ht="14.25" customHeight="1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</row>
    <row r="34" ht="14.25" customHeight="1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</row>
    <row r="35" ht="14.25" customHeight="1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</row>
    <row r="36" ht="14.25" customHeight="1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  <c r="BH36" s="26"/>
      <c r="BI36" s="26"/>
    </row>
    <row r="37" ht="14.25" customHeight="1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  <c r="BH37" s="26"/>
      <c r="BI37" s="26"/>
    </row>
    <row r="38" ht="14.25" customHeight="1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26"/>
      <c r="BC38" s="26"/>
      <c r="BD38" s="26"/>
      <c r="BE38" s="26"/>
      <c r="BF38" s="26"/>
      <c r="BG38" s="26"/>
      <c r="BH38" s="26"/>
      <c r="BI38" s="26"/>
    </row>
    <row r="39" ht="14.25" customHeight="1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6"/>
      <c r="AY39" s="26"/>
      <c r="AZ39" s="26"/>
      <c r="BA39" s="26"/>
      <c r="BB39" s="26"/>
      <c r="BC39" s="26"/>
      <c r="BD39" s="26"/>
      <c r="BE39" s="26"/>
      <c r="BF39" s="26"/>
      <c r="BG39" s="26"/>
      <c r="BH39" s="26"/>
      <c r="BI39" s="26"/>
    </row>
    <row r="40" ht="14.25" customHeight="1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</row>
    <row r="41" ht="14.25" customHeight="1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</row>
    <row r="42" ht="14.25" customHeight="1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</row>
    <row r="43" ht="14.25" customHeight="1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</row>
    <row r="44" ht="14.25" customHeight="1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</row>
    <row r="45" ht="14.25" customHeight="1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</row>
    <row r="46" ht="14.25" customHeight="1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</row>
    <row r="47" ht="14.25" customHeight="1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6"/>
      <c r="BI47" s="26"/>
    </row>
    <row r="48" ht="14.25" customHeight="1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</row>
    <row r="49" ht="14.25" customHeight="1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26"/>
      <c r="BH49" s="26"/>
      <c r="BI49" s="26"/>
    </row>
    <row r="50" ht="14.25" customHeight="1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  <c r="BH50" s="26"/>
      <c r="BI50" s="26"/>
    </row>
    <row r="51" ht="14.25" customHeight="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  <c r="BH51" s="26"/>
      <c r="BI51" s="26"/>
    </row>
    <row r="52" ht="14.25" customHeight="1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26"/>
      <c r="BH52" s="26"/>
      <c r="BI52" s="26"/>
    </row>
    <row r="53" ht="14.25" customHeight="1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  <c r="BH53" s="26"/>
      <c r="BI53" s="26"/>
    </row>
    <row r="54" ht="14.25" customHeight="1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26"/>
      <c r="BC54" s="26"/>
      <c r="BD54" s="26"/>
      <c r="BE54" s="26"/>
      <c r="BF54" s="26"/>
      <c r="BG54" s="26"/>
      <c r="BH54" s="26"/>
      <c r="BI54" s="26"/>
    </row>
    <row r="55" ht="14.25" customHeight="1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26"/>
      <c r="AU55" s="26"/>
      <c r="AV55" s="26"/>
      <c r="AW55" s="26"/>
      <c r="AX55" s="26"/>
      <c r="AY55" s="26"/>
      <c r="AZ55" s="26"/>
      <c r="BA55" s="26"/>
      <c r="BB55" s="26"/>
      <c r="BC55" s="26"/>
      <c r="BD55" s="26"/>
      <c r="BE55" s="26"/>
      <c r="BF55" s="26"/>
      <c r="BG55" s="26"/>
      <c r="BH55" s="26"/>
      <c r="BI55" s="26"/>
    </row>
    <row r="56" ht="14.25" customHeight="1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26"/>
      <c r="AT56" s="26"/>
      <c r="AU56" s="26"/>
      <c r="AV56" s="26"/>
      <c r="AW56" s="26"/>
      <c r="AX56" s="26"/>
      <c r="AY56" s="26"/>
      <c r="AZ56" s="26"/>
      <c r="BA56" s="26"/>
      <c r="BB56" s="26"/>
      <c r="BC56" s="26"/>
      <c r="BD56" s="26"/>
      <c r="BE56" s="26"/>
      <c r="BF56" s="26"/>
      <c r="BG56" s="26"/>
      <c r="BH56" s="26"/>
      <c r="BI56" s="26"/>
    </row>
    <row r="57" ht="14.25" customHeight="1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  <c r="AO57" s="26"/>
      <c r="AP57" s="26"/>
      <c r="AQ57" s="26"/>
      <c r="AR57" s="26"/>
      <c r="AS57" s="26"/>
      <c r="AT57" s="26"/>
      <c r="AU57" s="26"/>
      <c r="AV57" s="26"/>
      <c r="AW57" s="26"/>
      <c r="AX57" s="26"/>
      <c r="AY57" s="26"/>
      <c r="AZ57" s="26"/>
      <c r="BA57" s="26"/>
      <c r="BB57" s="26"/>
      <c r="BC57" s="26"/>
      <c r="BD57" s="26"/>
      <c r="BE57" s="26"/>
      <c r="BF57" s="26"/>
      <c r="BG57" s="26"/>
      <c r="BH57" s="26"/>
      <c r="BI57" s="26"/>
    </row>
    <row r="58" ht="14.25" customHeight="1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26"/>
      <c r="AU58" s="26"/>
      <c r="AV58" s="26"/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26"/>
      <c r="BH58" s="26"/>
      <c r="BI58" s="26"/>
    </row>
    <row r="59" ht="14.25" customHeight="1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  <c r="BH59" s="26"/>
      <c r="BI59" s="26"/>
    </row>
    <row r="60" ht="14.25" customHeight="1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</row>
    <row r="61" ht="14.25" customHeight="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26"/>
      <c r="AX61" s="26"/>
      <c r="AY61" s="26"/>
      <c r="AZ61" s="26"/>
      <c r="BA61" s="26"/>
      <c r="BB61" s="26"/>
      <c r="BC61" s="26"/>
      <c r="BD61" s="26"/>
      <c r="BE61" s="26"/>
      <c r="BF61" s="26"/>
      <c r="BG61" s="26"/>
      <c r="BH61" s="26"/>
      <c r="BI61" s="26"/>
    </row>
    <row r="62" ht="14.25" customHeight="1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26"/>
      <c r="AT62" s="26"/>
      <c r="AU62" s="26"/>
      <c r="AV62" s="26"/>
      <c r="AW62" s="26"/>
      <c r="AX62" s="26"/>
      <c r="AY62" s="26"/>
      <c r="AZ62" s="26"/>
      <c r="BA62" s="26"/>
      <c r="BB62" s="26"/>
      <c r="BC62" s="26"/>
      <c r="BD62" s="26"/>
      <c r="BE62" s="26"/>
      <c r="BF62" s="26"/>
      <c r="BG62" s="26"/>
      <c r="BH62" s="26"/>
      <c r="BI62" s="26"/>
    </row>
    <row r="63" ht="14.25" customHeight="1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26"/>
      <c r="AP63" s="26"/>
      <c r="AQ63" s="26"/>
      <c r="AR63" s="26"/>
      <c r="AS63" s="26"/>
      <c r="AT63" s="26"/>
      <c r="AU63" s="26"/>
      <c r="AV63" s="26"/>
      <c r="AW63" s="26"/>
      <c r="AX63" s="26"/>
      <c r="AY63" s="26"/>
      <c r="AZ63" s="26"/>
      <c r="BA63" s="26"/>
      <c r="BB63" s="26"/>
      <c r="BC63" s="26"/>
      <c r="BD63" s="26"/>
      <c r="BE63" s="26"/>
      <c r="BF63" s="26"/>
      <c r="BG63" s="26"/>
      <c r="BH63" s="26"/>
      <c r="BI63" s="26"/>
    </row>
    <row r="64" ht="14.25" customHeight="1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  <c r="AM64" s="26"/>
      <c r="AN64" s="26"/>
      <c r="AO64" s="26"/>
      <c r="AP64" s="26"/>
      <c r="AQ64" s="26"/>
      <c r="AR64" s="26"/>
      <c r="AS64" s="26"/>
      <c r="AT64" s="26"/>
      <c r="AU64" s="26"/>
      <c r="AV64" s="26"/>
      <c r="AW64" s="26"/>
      <c r="AX64" s="26"/>
      <c r="AY64" s="26"/>
      <c r="AZ64" s="26"/>
      <c r="BA64" s="26"/>
      <c r="BB64" s="26"/>
      <c r="BC64" s="26"/>
      <c r="BD64" s="26"/>
      <c r="BE64" s="26"/>
      <c r="BF64" s="26"/>
      <c r="BG64" s="26"/>
      <c r="BH64" s="26"/>
      <c r="BI64" s="26"/>
    </row>
    <row r="65" ht="14.25" customHeight="1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  <c r="AO65" s="26"/>
      <c r="AP65" s="26"/>
      <c r="AQ65" s="26"/>
      <c r="AR65" s="26"/>
      <c r="AS65" s="26"/>
      <c r="AT65" s="26"/>
      <c r="AU65" s="26"/>
      <c r="AV65" s="26"/>
      <c r="AW65" s="26"/>
      <c r="AX65" s="26"/>
      <c r="AY65" s="26"/>
      <c r="AZ65" s="26"/>
      <c r="BA65" s="26"/>
      <c r="BB65" s="26"/>
      <c r="BC65" s="26"/>
      <c r="BD65" s="26"/>
      <c r="BE65" s="26"/>
      <c r="BF65" s="26"/>
      <c r="BG65" s="26"/>
      <c r="BH65" s="26"/>
      <c r="BI65" s="26"/>
    </row>
    <row r="66" ht="14.25" customHeight="1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  <c r="AO66" s="26"/>
      <c r="AP66" s="26"/>
      <c r="AQ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/>
      <c r="BB66" s="26"/>
      <c r="BC66" s="26"/>
      <c r="BD66" s="26"/>
      <c r="BE66" s="26"/>
      <c r="BF66" s="26"/>
      <c r="BG66" s="26"/>
      <c r="BH66" s="26"/>
      <c r="BI66" s="26"/>
    </row>
    <row r="67" ht="14.25" customHeight="1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/>
      <c r="BB67" s="26"/>
      <c r="BC67" s="26"/>
      <c r="BD67" s="26"/>
      <c r="BE67" s="26"/>
      <c r="BF67" s="26"/>
      <c r="BG67" s="26"/>
      <c r="BH67" s="26"/>
      <c r="BI67" s="26"/>
    </row>
    <row r="68" ht="14.25" customHeight="1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  <c r="AO68" s="26"/>
      <c r="AP68" s="26"/>
      <c r="AQ68" s="26"/>
      <c r="AR68" s="26"/>
      <c r="AS68" s="26"/>
      <c r="AT68" s="26"/>
      <c r="AU68" s="26"/>
      <c r="AV68" s="26"/>
      <c r="AW68" s="26"/>
      <c r="AX68" s="26"/>
      <c r="AY68" s="26"/>
      <c r="AZ68" s="26"/>
      <c r="BA68" s="26"/>
      <c r="BB68" s="26"/>
      <c r="BC68" s="26"/>
      <c r="BD68" s="26"/>
      <c r="BE68" s="26"/>
      <c r="BF68" s="26"/>
      <c r="BG68" s="26"/>
      <c r="BH68" s="26"/>
      <c r="BI68" s="26"/>
    </row>
    <row r="69" ht="14.25" customHeight="1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6"/>
      <c r="AY69" s="26"/>
      <c r="AZ69" s="26"/>
      <c r="BA69" s="26"/>
      <c r="BB69" s="26"/>
      <c r="BC69" s="26"/>
      <c r="BD69" s="26"/>
      <c r="BE69" s="26"/>
      <c r="BF69" s="26"/>
      <c r="BG69" s="26"/>
      <c r="BH69" s="26"/>
      <c r="BI69" s="26"/>
    </row>
    <row r="70" ht="14.25" customHeight="1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  <c r="AM70" s="26"/>
      <c r="AN70" s="26"/>
      <c r="AO70" s="26"/>
      <c r="AP70" s="26"/>
      <c r="AQ70" s="26"/>
      <c r="AR70" s="26"/>
      <c r="AS70" s="26"/>
      <c r="AT70" s="26"/>
      <c r="AU70" s="26"/>
      <c r="AV70" s="26"/>
      <c r="AW70" s="26"/>
      <c r="AX70" s="26"/>
      <c r="AY70" s="26"/>
      <c r="AZ70" s="26"/>
      <c r="BA70" s="26"/>
      <c r="BB70" s="26"/>
      <c r="BC70" s="26"/>
      <c r="BD70" s="26"/>
      <c r="BE70" s="26"/>
      <c r="BF70" s="26"/>
      <c r="BG70" s="26"/>
      <c r="BH70" s="26"/>
      <c r="BI70" s="26"/>
    </row>
    <row r="71" ht="14.25" customHeight="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26"/>
      <c r="AT71" s="26"/>
      <c r="AU71" s="26"/>
      <c r="AV71" s="26"/>
      <c r="AW71" s="26"/>
      <c r="AX71" s="26"/>
      <c r="AY71" s="26"/>
      <c r="AZ71" s="26"/>
      <c r="BA71" s="26"/>
      <c r="BB71" s="26"/>
      <c r="BC71" s="26"/>
      <c r="BD71" s="26"/>
      <c r="BE71" s="26"/>
      <c r="BF71" s="26"/>
      <c r="BG71" s="26"/>
      <c r="BH71" s="26"/>
      <c r="BI71" s="26"/>
    </row>
    <row r="72" ht="14.25" customHeight="1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  <c r="AO72" s="26"/>
      <c r="AP72" s="26"/>
      <c r="AQ72" s="26"/>
      <c r="AR72" s="26"/>
      <c r="AS72" s="26"/>
      <c r="AT72" s="26"/>
      <c r="AU72" s="26"/>
      <c r="AV72" s="26"/>
      <c r="AW72" s="26"/>
      <c r="AX72" s="26"/>
      <c r="AY72" s="26"/>
      <c r="AZ72" s="26"/>
      <c r="BA72" s="26"/>
      <c r="BB72" s="26"/>
      <c r="BC72" s="26"/>
      <c r="BD72" s="26"/>
      <c r="BE72" s="26"/>
      <c r="BF72" s="26"/>
      <c r="BG72" s="26"/>
      <c r="BH72" s="26"/>
      <c r="BI72" s="26"/>
    </row>
    <row r="73" ht="14.25" customHeight="1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  <c r="AO73" s="26"/>
      <c r="AP73" s="26"/>
      <c r="AQ73" s="26"/>
      <c r="AR73" s="26"/>
      <c r="AS73" s="26"/>
      <c r="AT73" s="26"/>
      <c r="AU73" s="26"/>
      <c r="AV73" s="26"/>
      <c r="AW73" s="26"/>
      <c r="AX73" s="26"/>
      <c r="AY73" s="26"/>
      <c r="AZ73" s="26"/>
      <c r="BA73" s="26"/>
      <c r="BB73" s="26"/>
      <c r="BC73" s="26"/>
      <c r="BD73" s="26"/>
      <c r="BE73" s="26"/>
      <c r="BF73" s="26"/>
      <c r="BG73" s="26"/>
      <c r="BH73" s="26"/>
      <c r="BI73" s="26"/>
    </row>
    <row r="74" ht="14.25" customHeight="1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/>
      <c r="AP74" s="26"/>
      <c r="AQ74" s="26"/>
      <c r="AR74" s="26"/>
      <c r="AS74" s="26"/>
      <c r="AT74" s="26"/>
      <c r="AU74" s="26"/>
      <c r="AV74" s="26"/>
      <c r="AW74" s="26"/>
      <c r="AX74" s="26"/>
      <c r="AY74" s="26"/>
      <c r="AZ74" s="26"/>
      <c r="BA74" s="26"/>
      <c r="BB74" s="26"/>
      <c r="BC74" s="26"/>
      <c r="BD74" s="26"/>
      <c r="BE74" s="26"/>
      <c r="BF74" s="26"/>
      <c r="BG74" s="26"/>
      <c r="BH74" s="26"/>
      <c r="BI74" s="26"/>
    </row>
    <row r="75" ht="14.25" customHeight="1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26"/>
      <c r="AQ75" s="26"/>
      <c r="AR75" s="26"/>
      <c r="AS75" s="26"/>
      <c r="AT75" s="26"/>
      <c r="AU75" s="26"/>
      <c r="AV75" s="26"/>
      <c r="AW75" s="26"/>
      <c r="AX75" s="26"/>
      <c r="AY75" s="26"/>
      <c r="AZ75" s="26"/>
      <c r="BA75" s="26"/>
      <c r="BB75" s="26"/>
      <c r="BC75" s="26"/>
      <c r="BD75" s="26"/>
      <c r="BE75" s="26"/>
      <c r="BF75" s="26"/>
      <c r="BG75" s="26"/>
      <c r="BH75" s="26"/>
      <c r="BI75" s="26"/>
    </row>
    <row r="76" ht="14.25" customHeight="1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26"/>
      <c r="AV76" s="26"/>
      <c r="AW76" s="26"/>
      <c r="AX76" s="26"/>
      <c r="AY76" s="26"/>
      <c r="AZ76" s="26"/>
      <c r="BA76" s="26"/>
      <c r="BB76" s="26"/>
      <c r="BC76" s="26"/>
      <c r="BD76" s="26"/>
      <c r="BE76" s="26"/>
      <c r="BF76" s="26"/>
      <c r="BG76" s="26"/>
      <c r="BH76" s="26"/>
      <c r="BI76" s="26"/>
    </row>
    <row r="77" ht="14.25" customHeight="1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  <c r="AM77" s="26"/>
      <c r="AN77" s="26"/>
      <c r="AO77" s="26"/>
      <c r="AP77" s="26"/>
      <c r="AQ77" s="26"/>
      <c r="AR77" s="26"/>
      <c r="AS77" s="26"/>
      <c r="AT77" s="26"/>
      <c r="AU77" s="26"/>
      <c r="AV77" s="26"/>
      <c r="AW77" s="26"/>
      <c r="AX77" s="26"/>
      <c r="AY77" s="26"/>
      <c r="AZ77" s="26"/>
      <c r="BA77" s="26"/>
      <c r="BB77" s="26"/>
      <c r="BC77" s="26"/>
      <c r="BD77" s="26"/>
      <c r="BE77" s="26"/>
      <c r="BF77" s="26"/>
      <c r="BG77" s="26"/>
      <c r="BH77" s="26"/>
      <c r="BI77" s="26"/>
    </row>
    <row r="78" ht="14.25" customHeight="1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  <c r="AM78" s="26"/>
      <c r="AN78" s="26"/>
      <c r="AO78" s="26"/>
      <c r="AP78" s="26"/>
      <c r="AQ78" s="26"/>
      <c r="AR78" s="26"/>
      <c r="AS78" s="26"/>
      <c r="AT78" s="26"/>
      <c r="AU78" s="26"/>
      <c r="AV78" s="26"/>
      <c r="AW78" s="26"/>
      <c r="AX78" s="26"/>
      <c r="AY78" s="26"/>
      <c r="AZ78" s="26"/>
      <c r="BA78" s="26"/>
      <c r="BB78" s="26"/>
      <c r="BC78" s="26"/>
      <c r="BD78" s="26"/>
      <c r="BE78" s="26"/>
      <c r="BF78" s="26"/>
      <c r="BG78" s="26"/>
      <c r="BH78" s="26"/>
      <c r="BI78" s="26"/>
    </row>
    <row r="79" ht="14.25" customHeight="1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  <c r="AO79" s="26"/>
      <c r="AP79" s="26"/>
      <c r="AQ79" s="26"/>
      <c r="AR79" s="26"/>
      <c r="AS79" s="26"/>
      <c r="AT79" s="26"/>
      <c r="AU79" s="26"/>
      <c r="AV79" s="26"/>
      <c r="AW79" s="26"/>
      <c r="AX79" s="26"/>
      <c r="AY79" s="26"/>
      <c r="AZ79" s="26"/>
      <c r="BA79" s="26"/>
      <c r="BB79" s="26"/>
      <c r="BC79" s="26"/>
      <c r="BD79" s="26"/>
      <c r="BE79" s="26"/>
      <c r="BF79" s="26"/>
      <c r="BG79" s="26"/>
      <c r="BH79" s="26"/>
      <c r="BI79" s="26"/>
    </row>
    <row r="80" ht="14.25" customHeight="1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  <c r="AO80" s="26"/>
      <c r="AP80" s="26"/>
      <c r="AQ80" s="26"/>
      <c r="AR80" s="26"/>
      <c r="AS80" s="26"/>
      <c r="AT80" s="26"/>
      <c r="AU80" s="26"/>
      <c r="AV80" s="26"/>
      <c r="AW80" s="26"/>
      <c r="AX80" s="26"/>
      <c r="AY80" s="26"/>
      <c r="AZ80" s="26"/>
      <c r="BA80" s="26"/>
      <c r="BB80" s="26"/>
      <c r="BC80" s="26"/>
      <c r="BD80" s="26"/>
      <c r="BE80" s="26"/>
      <c r="BF80" s="26"/>
      <c r="BG80" s="26"/>
      <c r="BH80" s="26"/>
      <c r="BI80" s="26"/>
    </row>
    <row r="81" ht="14.25" customHeight="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  <c r="AO81" s="26"/>
      <c r="AP81" s="26"/>
      <c r="AQ81" s="26"/>
      <c r="AR81" s="26"/>
      <c r="AS81" s="26"/>
      <c r="AT81" s="26"/>
      <c r="AU81" s="26"/>
      <c r="AV81" s="26"/>
      <c r="AW81" s="26"/>
      <c r="AX81" s="26"/>
      <c r="AY81" s="26"/>
      <c r="AZ81" s="26"/>
      <c r="BA81" s="26"/>
      <c r="BB81" s="26"/>
      <c r="BC81" s="26"/>
      <c r="BD81" s="26"/>
      <c r="BE81" s="26"/>
      <c r="BF81" s="26"/>
      <c r="BG81" s="26"/>
      <c r="BH81" s="26"/>
      <c r="BI81" s="26"/>
    </row>
    <row r="82" ht="14.25" customHeight="1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  <c r="AM82" s="26"/>
      <c r="AN82" s="26"/>
      <c r="AO82" s="26"/>
      <c r="AP82" s="26"/>
      <c r="AQ82" s="26"/>
      <c r="AR82" s="26"/>
      <c r="AS82" s="26"/>
      <c r="AT82" s="26"/>
      <c r="AU82" s="26"/>
      <c r="AV82" s="26"/>
      <c r="AW82" s="26"/>
      <c r="AX82" s="26"/>
      <c r="AY82" s="26"/>
      <c r="AZ82" s="26"/>
      <c r="BA82" s="26"/>
      <c r="BB82" s="26"/>
      <c r="BC82" s="26"/>
      <c r="BD82" s="26"/>
      <c r="BE82" s="26"/>
      <c r="BF82" s="26"/>
      <c r="BG82" s="26"/>
      <c r="BH82" s="26"/>
      <c r="BI82" s="26"/>
    </row>
    <row r="83" ht="14.25" customHeight="1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  <c r="AM83" s="26"/>
      <c r="AN83" s="26"/>
      <c r="AO83" s="26"/>
      <c r="AP83" s="26"/>
      <c r="AQ83" s="26"/>
      <c r="AR83" s="26"/>
      <c r="AS83" s="26"/>
      <c r="AT83" s="26"/>
      <c r="AU83" s="26"/>
      <c r="AV83" s="26"/>
      <c r="AW83" s="26"/>
      <c r="AX83" s="26"/>
      <c r="AY83" s="26"/>
      <c r="AZ83" s="26"/>
      <c r="BA83" s="26"/>
      <c r="BB83" s="26"/>
      <c r="BC83" s="26"/>
      <c r="BD83" s="26"/>
      <c r="BE83" s="26"/>
      <c r="BF83" s="26"/>
      <c r="BG83" s="26"/>
      <c r="BH83" s="26"/>
      <c r="BI83" s="26"/>
    </row>
    <row r="84" ht="14.25" customHeight="1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  <c r="AM84" s="26"/>
      <c r="AN84" s="26"/>
      <c r="AO84" s="26"/>
      <c r="AP84" s="26"/>
      <c r="AQ84" s="26"/>
      <c r="AR84" s="26"/>
      <c r="AS84" s="26"/>
      <c r="AT84" s="26"/>
      <c r="AU84" s="26"/>
      <c r="AV84" s="26"/>
      <c r="AW84" s="26"/>
      <c r="AX84" s="26"/>
      <c r="AY84" s="26"/>
      <c r="AZ84" s="26"/>
      <c r="BA84" s="26"/>
      <c r="BB84" s="26"/>
      <c r="BC84" s="26"/>
      <c r="BD84" s="26"/>
      <c r="BE84" s="26"/>
      <c r="BF84" s="26"/>
      <c r="BG84" s="26"/>
      <c r="BH84" s="26"/>
      <c r="BI84" s="26"/>
    </row>
    <row r="85" ht="14.25" customHeight="1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  <c r="AO85" s="26"/>
      <c r="AP85" s="26"/>
      <c r="AQ85" s="26"/>
      <c r="AR85" s="26"/>
      <c r="AS85" s="26"/>
      <c r="AT85" s="26"/>
      <c r="AU85" s="26"/>
      <c r="AV85" s="26"/>
      <c r="AW85" s="26"/>
      <c r="AX85" s="26"/>
      <c r="AY85" s="26"/>
      <c r="AZ85" s="26"/>
      <c r="BA85" s="26"/>
      <c r="BB85" s="26"/>
      <c r="BC85" s="26"/>
      <c r="BD85" s="26"/>
      <c r="BE85" s="26"/>
      <c r="BF85" s="26"/>
      <c r="BG85" s="26"/>
      <c r="BH85" s="26"/>
      <c r="BI85" s="26"/>
    </row>
    <row r="86" ht="14.25" customHeight="1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/>
      <c r="AN86" s="26"/>
      <c r="AO86" s="26"/>
      <c r="AP86" s="26"/>
      <c r="AQ86" s="26"/>
      <c r="AR86" s="26"/>
      <c r="AS86" s="26"/>
      <c r="AT86" s="26"/>
      <c r="AU86" s="26"/>
      <c r="AV86" s="26"/>
      <c r="AW86" s="26"/>
      <c r="AX86" s="26"/>
      <c r="AY86" s="26"/>
      <c r="AZ86" s="26"/>
      <c r="BA86" s="26"/>
      <c r="BB86" s="26"/>
      <c r="BC86" s="26"/>
      <c r="BD86" s="26"/>
      <c r="BE86" s="26"/>
      <c r="BF86" s="26"/>
      <c r="BG86" s="26"/>
      <c r="BH86" s="26"/>
      <c r="BI86" s="26"/>
    </row>
    <row r="87" ht="14.25" customHeight="1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/>
      <c r="AX87" s="26"/>
      <c r="AY87" s="26"/>
      <c r="AZ87" s="26"/>
      <c r="BA87" s="26"/>
      <c r="BB87" s="26"/>
      <c r="BC87" s="26"/>
      <c r="BD87" s="26"/>
      <c r="BE87" s="26"/>
      <c r="BF87" s="26"/>
      <c r="BG87" s="26"/>
      <c r="BH87" s="26"/>
      <c r="BI87" s="26"/>
    </row>
    <row r="88" ht="14.25" customHeight="1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  <c r="AM88" s="26"/>
      <c r="AN88" s="26"/>
      <c r="AO88" s="26"/>
      <c r="AP88" s="26"/>
      <c r="AQ88" s="26"/>
      <c r="AR88" s="26"/>
      <c r="AS88" s="26"/>
      <c r="AT88" s="26"/>
      <c r="AU88" s="26"/>
      <c r="AV88" s="26"/>
      <c r="AW88" s="26"/>
      <c r="AX88" s="26"/>
      <c r="AY88" s="26"/>
      <c r="AZ88" s="26"/>
      <c r="BA88" s="26"/>
      <c r="BB88" s="26"/>
      <c r="BC88" s="26"/>
      <c r="BD88" s="26"/>
      <c r="BE88" s="26"/>
      <c r="BF88" s="26"/>
      <c r="BG88" s="26"/>
      <c r="BH88" s="26"/>
      <c r="BI88" s="26"/>
    </row>
    <row r="89" ht="14.25" customHeight="1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26"/>
      <c r="BH89" s="26"/>
      <c r="BI89" s="26"/>
    </row>
    <row r="90" ht="14.25" customHeight="1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26"/>
      <c r="AQ90" s="26"/>
      <c r="AR90" s="26"/>
      <c r="AS90" s="26"/>
      <c r="AT90" s="26"/>
      <c r="AU90" s="26"/>
      <c r="AV90" s="26"/>
      <c r="AW90" s="26"/>
      <c r="AX90" s="26"/>
      <c r="AY90" s="26"/>
      <c r="AZ90" s="26"/>
      <c r="BA90" s="26"/>
      <c r="BB90" s="26"/>
      <c r="BC90" s="26"/>
      <c r="BD90" s="26"/>
      <c r="BE90" s="26"/>
      <c r="BF90" s="26"/>
      <c r="BG90" s="26"/>
      <c r="BH90" s="26"/>
      <c r="BI90" s="26"/>
    </row>
    <row r="91" ht="14.25" customHeight="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  <c r="AN91" s="26"/>
      <c r="AO91" s="26"/>
      <c r="AP91" s="26"/>
      <c r="AQ91" s="26"/>
      <c r="AR91" s="26"/>
      <c r="AS91" s="26"/>
      <c r="AT91" s="26"/>
      <c r="AU91" s="26"/>
      <c r="AV91" s="26"/>
      <c r="AW91" s="26"/>
      <c r="AX91" s="26"/>
      <c r="AY91" s="26"/>
      <c r="AZ91" s="26"/>
      <c r="BA91" s="26"/>
      <c r="BB91" s="26"/>
      <c r="BC91" s="26"/>
      <c r="BD91" s="26"/>
      <c r="BE91" s="26"/>
      <c r="BF91" s="26"/>
      <c r="BG91" s="26"/>
      <c r="BH91" s="26"/>
      <c r="BI91" s="26"/>
    </row>
    <row r="92" ht="14.25" customHeight="1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  <c r="AO92" s="26"/>
      <c r="AP92" s="26"/>
      <c r="AQ92" s="26"/>
      <c r="AR92" s="26"/>
      <c r="AS92" s="26"/>
      <c r="AT92" s="26"/>
      <c r="AU92" s="26"/>
      <c r="AV92" s="26"/>
      <c r="AW92" s="26"/>
      <c r="AX92" s="26"/>
      <c r="AY92" s="26"/>
      <c r="AZ92" s="26"/>
      <c r="BA92" s="26"/>
      <c r="BB92" s="26"/>
      <c r="BC92" s="26"/>
      <c r="BD92" s="26"/>
      <c r="BE92" s="26"/>
      <c r="BF92" s="26"/>
      <c r="BG92" s="26"/>
      <c r="BH92" s="26"/>
      <c r="BI92" s="26"/>
    </row>
    <row r="93" ht="14.25" customHeight="1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  <c r="AP93" s="26"/>
      <c r="AQ93" s="26"/>
      <c r="AR93" s="26"/>
      <c r="AS93" s="26"/>
      <c r="AT93" s="26"/>
      <c r="AU93" s="26"/>
      <c r="AV93" s="26"/>
      <c r="AW93" s="26"/>
      <c r="AX93" s="26"/>
      <c r="AY93" s="26"/>
      <c r="AZ93" s="26"/>
      <c r="BA93" s="26"/>
      <c r="BB93" s="26"/>
      <c r="BC93" s="26"/>
      <c r="BD93" s="26"/>
      <c r="BE93" s="26"/>
      <c r="BF93" s="26"/>
      <c r="BG93" s="26"/>
      <c r="BH93" s="26"/>
      <c r="BI93" s="26"/>
    </row>
    <row r="94" ht="14.25" customHeight="1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  <c r="AP94" s="26"/>
      <c r="AQ94" s="26"/>
      <c r="AR94" s="26"/>
      <c r="AS94" s="26"/>
      <c r="AT94" s="26"/>
      <c r="AU94" s="26"/>
      <c r="AV94" s="26"/>
      <c r="AW94" s="26"/>
      <c r="AX94" s="26"/>
      <c r="AY94" s="26"/>
      <c r="AZ94" s="26"/>
      <c r="BA94" s="26"/>
      <c r="BB94" s="26"/>
      <c r="BC94" s="26"/>
      <c r="BD94" s="26"/>
      <c r="BE94" s="26"/>
      <c r="BF94" s="26"/>
      <c r="BG94" s="26"/>
      <c r="BH94" s="26"/>
      <c r="BI94" s="26"/>
    </row>
    <row r="95" ht="14.25" customHeight="1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  <c r="AP95" s="26"/>
      <c r="AQ95" s="26"/>
      <c r="AR95" s="26"/>
      <c r="AS95" s="26"/>
      <c r="AT95" s="26"/>
      <c r="AU95" s="26"/>
      <c r="AV95" s="26"/>
      <c r="AW95" s="26"/>
      <c r="AX95" s="26"/>
      <c r="AY95" s="26"/>
      <c r="AZ95" s="26"/>
      <c r="BA95" s="26"/>
      <c r="BB95" s="26"/>
      <c r="BC95" s="26"/>
      <c r="BD95" s="26"/>
      <c r="BE95" s="26"/>
      <c r="BF95" s="26"/>
      <c r="BG95" s="26"/>
      <c r="BH95" s="26"/>
      <c r="BI95" s="26"/>
    </row>
    <row r="96" ht="14.25" customHeight="1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  <c r="AM96" s="26"/>
      <c r="AN96" s="26"/>
      <c r="AO96" s="26"/>
      <c r="AP96" s="26"/>
      <c r="AQ96" s="26"/>
      <c r="AR96" s="26"/>
      <c r="AS96" s="26"/>
      <c r="AT96" s="26"/>
      <c r="AU96" s="26"/>
      <c r="AV96" s="26"/>
      <c r="AW96" s="26"/>
      <c r="AX96" s="26"/>
      <c r="AY96" s="26"/>
      <c r="AZ96" s="26"/>
      <c r="BA96" s="26"/>
      <c r="BB96" s="26"/>
      <c r="BC96" s="26"/>
      <c r="BD96" s="26"/>
      <c r="BE96" s="26"/>
      <c r="BF96" s="26"/>
      <c r="BG96" s="26"/>
      <c r="BH96" s="26"/>
      <c r="BI96" s="26"/>
    </row>
    <row r="97" ht="14.25" customHeight="1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</row>
    <row r="98" ht="14.25" customHeight="1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</row>
    <row r="99" ht="14.25" customHeight="1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</row>
    <row r="100" ht="14.25" customHeight="1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</row>
    <row r="101" ht="14.25" customHeight="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</row>
    <row r="102" ht="14.25" customHeight="1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</row>
    <row r="103" ht="14.25" customHeight="1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/>
      <c r="BB103" s="26"/>
      <c r="BC103" s="26"/>
      <c r="BD103" s="26"/>
      <c r="BE103" s="26"/>
      <c r="BF103" s="26"/>
      <c r="BG103" s="26"/>
      <c r="BH103" s="26"/>
      <c r="BI103" s="26"/>
    </row>
    <row r="104" ht="14.25" customHeight="1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</row>
    <row r="105" ht="14.25" customHeight="1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</row>
    <row r="106" ht="14.25" customHeight="1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</row>
    <row r="107" ht="14.25" customHeight="1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6"/>
      <c r="AY107" s="26"/>
      <c r="AZ107" s="26"/>
      <c r="BA107" s="26"/>
      <c r="BB107" s="26"/>
      <c r="BC107" s="26"/>
      <c r="BD107" s="26"/>
      <c r="BE107" s="26"/>
      <c r="BF107" s="26"/>
      <c r="BG107" s="26"/>
      <c r="BH107" s="26"/>
      <c r="BI107" s="26"/>
    </row>
    <row r="108" ht="14.25" customHeight="1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  <c r="AN108" s="26"/>
      <c r="AO108" s="26"/>
      <c r="AP108" s="26"/>
      <c r="AQ108" s="26"/>
      <c r="AR108" s="26"/>
      <c r="AS108" s="26"/>
      <c r="AT108" s="26"/>
      <c r="AU108" s="26"/>
      <c r="AV108" s="26"/>
      <c r="AW108" s="26"/>
      <c r="AX108" s="26"/>
      <c r="AY108" s="26"/>
      <c r="AZ108" s="26"/>
      <c r="BA108" s="26"/>
      <c r="BB108" s="26"/>
      <c r="BC108" s="26"/>
      <c r="BD108" s="26"/>
      <c r="BE108" s="26"/>
      <c r="BF108" s="26"/>
      <c r="BG108" s="26"/>
      <c r="BH108" s="26"/>
      <c r="BI108" s="26"/>
    </row>
    <row r="109" ht="14.25" customHeight="1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  <c r="AO109" s="26"/>
      <c r="AP109" s="26"/>
      <c r="AQ109" s="26"/>
      <c r="AR109" s="26"/>
      <c r="AS109" s="26"/>
      <c r="AT109" s="26"/>
      <c r="AU109" s="26"/>
      <c r="AV109" s="26"/>
      <c r="AW109" s="26"/>
      <c r="AX109" s="26"/>
      <c r="AY109" s="26"/>
      <c r="AZ109" s="26"/>
      <c r="BA109" s="26"/>
      <c r="BB109" s="26"/>
      <c r="BC109" s="26"/>
      <c r="BD109" s="26"/>
      <c r="BE109" s="26"/>
      <c r="BF109" s="26"/>
      <c r="BG109" s="26"/>
      <c r="BH109" s="26"/>
      <c r="BI109" s="26"/>
    </row>
    <row r="110" ht="14.25" customHeight="1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  <c r="AP110" s="26"/>
      <c r="AQ110" s="26"/>
      <c r="AR110" s="26"/>
      <c r="AS110" s="26"/>
      <c r="AT110" s="26"/>
      <c r="AU110" s="26"/>
      <c r="AV110" s="26"/>
      <c r="AW110" s="26"/>
      <c r="AX110" s="26"/>
      <c r="AY110" s="26"/>
      <c r="AZ110" s="26"/>
      <c r="BA110" s="26"/>
      <c r="BB110" s="26"/>
      <c r="BC110" s="26"/>
      <c r="BD110" s="26"/>
      <c r="BE110" s="26"/>
      <c r="BF110" s="26"/>
      <c r="BG110" s="26"/>
      <c r="BH110" s="26"/>
      <c r="BI110" s="26"/>
    </row>
    <row r="111" ht="14.25" customHeight="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  <c r="AN111" s="26"/>
      <c r="AO111" s="26"/>
      <c r="AP111" s="26"/>
      <c r="AQ111" s="26"/>
      <c r="AR111" s="26"/>
      <c r="AS111" s="26"/>
      <c r="AT111" s="26"/>
      <c r="AU111" s="26"/>
      <c r="AV111" s="26"/>
      <c r="AW111" s="26"/>
      <c r="AX111" s="26"/>
      <c r="AY111" s="26"/>
      <c r="AZ111" s="26"/>
      <c r="BA111" s="26"/>
      <c r="BB111" s="26"/>
      <c r="BC111" s="26"/>
      <c r="BD111" s="26"/>
      <c r="BE111" s="26"/>
      <c r="BF111" s="26"/>
      <c r="BG111" s="26"/>
      <c r="BH111" s="26"/>
      <c r="BI111" s="26"/>
    </row>
    <row r="112" ht="14.25" customHeight="1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  <c r="AO112" s="26"/>
      <c r="AP112" s="26"/>
      <c r="AQ112" s="26"/>
      <c r="AR112" s="26"/>
      <c r="AS112" s="26"/>
      <c r="AT112" s="26"/>
      <c r="AU112" s="26"/>
      <c r="AV112" s="26"/>
      <c r="AW112" s="26"/>
      <c r="AX112" s="26"/>
      <c r="AY112" s="26"/>
      <c r="AZ112" s="26"/>
      <c r="BA112" s="26"/>
      <c r="BB112" s="26"/>
      <c r="BC112" s="26"/>
      <c r="BD112" s="26"/>
      <c r="BE112" s="26"/>
      <c r="BF112" s="26"/>
      <c r="BG112" s="26"/>
      <c r="BH112" s="26"/>
      <c r="BI112" s="26"/>
    </row>
    <row r="113" ht="14.25" customHeight="1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  <c r="AO113" s="26"/>
      <c r="AP113" s="26"/>
      <c r="AQ113" s="26"/>
      <c r="AR113" s="26"/>
      <c r="AS113" s="26"/>
      <c r="AT113" s="26"/>
      <c r="AU113" s="26"/>
      <c r="AV113" s="26"/>
      <c r="AW113" s="26"/>
      <c r="AX113" s="26"/>
      <c r="AY113" s="26"/>
      <c r="AZ113" s="26"/>
      <c r="BA113" s="26"/>
      <c r="BB113" s="26"/>
      <c r="BC113" s="26"/>
      <c r="BD113" s="26"/>
      <c r="BE113" s="26"/>
      <c r="BF113" s="26"/>
      <c r="BG113" s="26"/>
      <c r="BH113" s="26"/>
      <c r="BI113" s="26"/>
    </row>
    <row r="114" ht="14.25" customHeight="1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  <c r="AO114" s="26"/>
      <c r="AP114" s="26"/>
      <c r="AQ114" s="26"/>
      <c r="AR114" s="26"/>
      <c r="AS114" s="26"/>
      <c r="AT114" s="26"/>
      <c r="AU114" s="26"/>
      <c r="AV114" s="26"/>
      <c r="AW114" s="26"/>
      <c r="AX114" s="26"/>
      <c r="AY114" s="26"/>
      <c r="AZ114" s="26"/>
      <c r="BA114" s="26"/>
      <c r="BB114" s="26"/>
      <c r="BC114" s="26"/>
      <c r="BD114" s="26"/>
      <c r="BE114" s="26"/>
      <c r="BF114" s="26"/>
      <c r="BG114" s="26"/>
      <c r="BH114" s="26"/>
      <c r="BI114" s="26"/>
    </row>
    <row r="115" ht="14.25" customHeight="1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  <c r="AM115" s="26"/>
      <c r="AN115" s="26"/>
      <c r="AO115" s="26"/>
      <c r="AP115" s="26"/>
      <c r="AQ115" s="26"/>
      <c r="AR115" s="26"/>
      <c r="AS115" s="26"/>
      <c r="AT115" s="26"/>
      <c r="AU115" s="26"/>
      <c r="AV115" s="26"/>
      <c r="AW115" s="26"/>
      <c r="AX115" s="26"/>
      <c r="AY115" s="26"/>
      <c r="AZ115" s="26"/>
      <c r="BA115" s="26"/>
      <c r="BB115" s="26"/>
      <c r="BC115" s="26"/>
      <c r="BD115" s="26"/>
      <c r="BE115" s="26"/>
      <c r="BF115" s="26"/>
      <c r="BG115" s="26"/>
      <c r="BH115" s="26"/>
      <c r="BI115" s="26"/>
    </row>
    <row r="116" ht="14.25" customHeight="1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  <c r="AN116" s="26"/>
      <c r="AO116" s="26"/>
      <c r="AP116" s="26"/>
      <c r="AQ116" s="26"/>
      <c r="AR116" s="26"/>
      <c r="AS116" s="26"/>
      <c r="AT116" s="26"/>
      <c r="AU116" s="26"/>
      <c r="AV116" s="26"/>
      <c r="AW116" s="26"/>
      <c r="AX116" s="26"/>
      <c r="AY116" s="26"/>
      <c r="AZ116" s="26"/>
      <c r="BA116" s="26"/>
      <c r="BB116" s="26"/>
      <c r="BC116" s="26"/>
      <c r="BD116" s="26"/>
      <c r="BE116" s="26"/>
      <c r="BF116" s="26"/>
      <c r="BG116" s="26"/>
      <c r="BH116" s="26"/>
      <c r="BI116" s="26"/>
    </row>
    <row r="117" ht="14.25" customHeight="1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  <c r="AM117" s="26"/>
      <c r="AN117" s="26"/>
      <c r="AO117" s="26"/>
      <c r="AP117" s="26"/>
      <c r="AQ117" s="26"/>
      <c r="AR117" s="26"/>
      <c r="AS117" s="26"/>
      <c r="AT117" s="26"/>
      <c r="AU117" s="26"/>
      <c r="AV117" s="26"/>
      <c r="AW117" s="26"/>
      <c r="AX117" s="26"/>
      <c r="AY117" s="26"/>
      <c r="AZ117" s="26"/>
      <c r="BA117" s="26"/>
      <c r="BB117" s="26"/>
      <c r="BC117" s="26"/>
      <c r="BD117" s="26"/>
      <c r="BE117" s="26"/>
      <c r="BF117" s="26"/>
      <c r="BG117" s="26"/>
      <c r="BH117" s="26"/>
      <c r="BI117" s="26"/>
    </row>
    <row r="118" ht="14.25" customHeight="1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  <c r="AN118" s="26"/>
      <c r="AO118" s="26"/>
      <c r="AP118" s="26"/>
      <c r="AQ118" s="26"/>
      <c r="AR118" s="26"/>
      <c r="AS118" s="26"/>
      <c r="AT118" s="26"/>
      <c r="AU118" s="26"/>
      <c r="AV118" s="26"/>
      <c r="AW118" s="26"/>
      <c r="AX118" s="26"/>
      <c r="AY118" s="26"/>
      <c r="AZ118" s="26"/>
      <c r="BA118" s="26"/>
      <c r="BB118" s="26"/>
      <c r="BC118" s="26"/>
      <c r="BD118" s="26"/>
      <c r="BE118" s="26"/>
      <c r="BF118" s="26"/>
      <c r="BG118" s="26"/>
      <c r="BH118" s="26"/>
      <c r="BI118" s="26"/>
    </row>
    <row r="119" ht="14.25" customHeight="1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  <c r="AM119" s="26"/>
      <c r="AN119" s="26"/>
      <c r="AO119" s="26"/>
      <c r="AP119" s="26"/>
      <c r="AQ119" s="26"/>
      <c r="AR119" s="26"/>
      <c r="AS119" s="26"/>
      <c r="AT119" s="26"/>
      <c r="AU119" s="26"/>
      <c r="AV119" s="26"/>
      <c r="AW119" s="26"/>
      <c r="AX119" s="26"/>
      <c r="AY119" s="26"/>
      <c r="AZ119" s="26"/>
      <c r="BA119" s="26"/>
      <c r="BB119" s="26"/>
      <c r="BC119" s="26"/>
      <c r="BD119" s="26"/>
      <c r="BE119" s="26"/>
      <c r="BF119" s="26"/>
      <c r="BG119" s="26"/>
      <c r="BH119" s="26"/>
      <c r="BI119" s="26"/>
    </row>
    <row r="120" ht="14.25" customHeight="1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  <c r="AN120" s="26"/>
      <c r="AO120" s="26"/>
      <c r="AP120" s="26"/>
      <c r="AQ120" s="26"/>
      <c r="AR120" s="26"/>
      <c r="AS120" s="26"/>
      <c r="AT120" s="26"/>
      <c r="AU120" s="26"/>
      <c r="AV120" s="26"/>
      <c r="AW120" s="26"/>
      <c r="AX120" s="26"/>
      <c r="AY120" s="26"/>
      <c r="AZ120" s="26"/>
      <c r="BA120" s="26"/>
      <c r="BB120" s="26"/>
      <c r="BC120" s="26"/>
      <c r="BD120" s="26"/>
      <c r="BE120" s="26"/>
      <c r="BF120" s="26"/>
      <c r="BG120" s="26"/>
      <c r="BH120" s="26"/>
      <c r="BI120" s="26"/>
    </row>
    <row r="121" ht="14.25" customHeight="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  <c r="AM121" s="26"/>
      <c r="AN121" s="26"/>
      <c r="AO121" s="26"/>
      <c r="AP121" s="26"/>
      <c r="AQ121" s="26"/>
      <c r="AR121" s="26"/>
      <c r="AS121" s="26"/>
      <c r="AT121" s="26"/>
      <c r="AU121" s="26"/>
      <c r="AV121" s="26"/>
      <c r="AW121" s="26"/>
      <c r="AX121" s="26"/>
      <c r="AY121" s="26"/>
      <c r="AZ121" s="26"/>
      <c r="BA121" s="26"/>
      <c r="BB121" s="26"/>
      <c r="BC121" s="26"/>
      <c r="BD121" s="26"/>
      <c r="BE121" s="26"/>
      <c r="BF121" s="26"/>
      <c r="BG121" s="26"/>
      <c r="BH121" s="26"/>
      <c r="BI121" s="26"/>
    </row>
    <row r="122" ht="14.25" customHeight="1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  <c r="AM122" s="26"/>
      <c r="AN122" s="26"/>
      <c r="AO122" s="26"/>
      <c r="AP122" s="26"/>
      <c r="AQ122" s="26"/>
      <c r="AR122" s="26"/>
      <c r="AS122" s="26"/>
      <c r="AT122" s="26"/>
      <c r="AU122" s="26"/>
      <c r="AV122" s="26"/>
      <c r="AW122" s="26"/>
      <c r="AX122" s="26"/>
      <c r="AY122" s="26"/>
      <c r="AZ122" s="26"/>
      <c r="BA122" s="26"/>
      <c r="BB122" s="26"/>
      <c r="BC122" s="26"/>
      <c r="BD122" s="26"/>
      <c r="BE122" s="26"/>
      <c r="BF122" s="26"/>
      <c r="BG122" s="26"/>
      <c r="BH122" s="26"/>
      <c r="BI122" s="26"/>
    </row>
    <row r="123" ht="14.25" customHeight="1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  <c r="AM123" s="26"/>
      <c r="AN123" s="26"/>
      <c r="AO123" s="26"/>
      <c r="AP123" s="26"/>
      <c r="AQ123" s="26"/>
      <c r="AR123" s="26"/>
      <c r="AS123" s="26"/>
      <c r="AT123" s="26"/>
      <c r="AU123" s="26"/>
      <c r="AV123" s="26"/>
      <c r="AW123" s="26"/>
      <c r="AX123" s="26"/>
      <c r="AY123" s="26"/>
      <c r="AZ123" s="26"/>
      <c r="BA123" s="26"/>
      <c r="BB123" s="26"/>
      <c r="BC123" s="26"/>
      <c r="BD123" s="26"/>
      <c r="BE123" s="26"/>
      <c r="BF123" s="26"/>
      <c r="BG123" s="26"/>
      <c r="BH123" s="26"/>
      <c r="BI123" s="26"/>
    </row>
    <row r="124" ht="14.25" customHeight="1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  <c r="AM124" s="26"/>
      <c r="AN124" s="26"/>
      <c r="AO124" s="26"/>
      <c r="AP124" s="26"/>
      <c r="AQ124" s="26"/>
      <c r="AR124" s="26"/>
      <c r="AS124" s="26"/>
      <c r="AT124" s="26"/>
      <c r="AU124" s="26"/>
      <c r="AV124" s="26"/>
      <c r="AW124" s="26"/>
      <c r="AX124" s="26"/>
      <c r="AY124" s="26"/>
      <c r="AZ124" s="26"/>
      <c r="BA124" s="26"/>
      <c r="BB124" s="26"/>
      <c r="BC124" s="26"/>
      <c r="BD124" s="26"/>
      <c r="BE124" s="26"/>
      <c r="BF124" s="26"/>
      <c r="BG124" s="26"/>
      <c r="BH124" s="26"/>
      <c r="BI124" s="26"/>
    </row>
    <row r="125" ht="14.25" customHeight="1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  <c r="AM125" s="26"/>
      <c r="AN125" s="26"/>
      <c r="AO125" s="26"/>
      <c r="AP125" s="26"/>
      <c r="AQ125" s="26"/>
      <c r="AR125" s="26"/>
      <c r="AS125" s="26"/>
      <c r="AT125" s="26"/>
      <c r="AU125" s="26"/>
      <c r="AV125" s="26"/>
      <c r="AW125" s="26"/>
      <c r="AX125" s="26"/>
      <c r="AY125" s="26"/>
      <c r="AZ125" s="26"/>
      <c r="BA125" s="26"/>
      <c r="BB125" s="26"/>
      <c r="BC125" s="26"/>
      <c r="BD125" s="26"/>
      <c r="BE125" s="26"/>
      <c r="BF125" s="26"/>
      <c r="BG125" s="26"/>
      <c r="BH125" s="26"/>
      <c r="BI125" s="26"/>
    </row>
    <row r="126" ht="14.25" customHeight="1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  <c r="AM126" s="26"/>
      <c r="AN126" s="26"/>
      <c r="AO126" s="26"/>
      <c r="AP126" s="26"/>
      <c r="AQ126" s="26"/>
      <c r="AR126" s="26"/>
      <c r="AS126" s="26"/>
      <c r="AT126" s="26"/>
      <c r="AU126" s="26"/>
      <c r="AV126" s="26"/>
      <c r="AW126" s="26"/>
      <c r="AX126" s="26"/>
      <c r="AY126" s="26"/>
      <c r="AZ126" s="26"/>
      <c r="BA126" s="26"/>
      <c r="BB126" s="26"/>
      <c r="BC126" s="26"/>
      <c r="BD126" s="26"/>
      <c r="BE126" s="26"/>
      <c r="BF126" s="26"/>
      <c r="BG126" s="26"/>
      <c r="BH126" s="26"/>
      <c r="BI126" s="26"/>
    </row>
    <row r="127" ht="14.25" customHeight="1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  <c r="AM127" s="26"/>
      <c r="AN127" s="26"/>
      <c r="AO127" s="26"/>
      <c r="AP127" s="26"/>
      <c r="AQ127" s="26"/>
      <c r="AR127" s="26"/>
      <c r="AS127" s="26"/>
      <c r="AT127" s="26"/>
      <c r="AU127" s="26"/>
      <c r="AV127" s="26"/>
      <c r="AW127" s="26"/>
      <c r="AX127" s="26"/>
      <c r="AY127" s="26"/>
      <c r="AZ127" s="26"/>
      <c r="BA127" s="26"/>
      <c r="BB127" s="26"/>
      <c r="BC127" s="26"/>
      <c r="BD127" s="26"/>
      <c r="BE127" s="26"/>
      <c r="BF127" s="26"/>
      <c r="BG127" s="26"/>
      <c r="BH127" s="26"/>
      <c r="BI127" s="26"/>
    </row>
    <row r="128" ht="14.25" customHeight="1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  <c r="AM128" s="26"/>
      <c r="AN128" s="26"/>
      <c r="AO128" s="26"/>
      <c r="AP128" s="26"/>
      <c r="AQ128" s="26"/>
      <c r="AR128" s="26"/>
      <c r="AS128" s="26"/>
      <c r="AT128" s="26"/>
      <c r="AU128" s="26"/>
      <c r="AV128" s="26"/>
      <c r="AW128" s="26"/>
      <c r="AX128" s="26"/>
      <c r="AY128" s="26"/>
      <c r="AZ128" s="26"/>
      <c r="BA128" s="26"/>
      <c r="BB128" s="26"/>
      <c r="BC128" s="26"/>
      <c r="BD128" s="26"/>
      <c r="BE128" s="26"/>
      <c r="BF128" s="26"/>
      <c r="BG128" s="26"/>
      <c r="BH128" s="26"/>
      <c r="BI128" s="26"/>
    </row>
    <row r="129" ht="14.25" customHeight="1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  <c r="AM129" s="26"/>
      <c r="AN129" s="26"/>
      <c r="AO129" s="26"/>
      <c r="AP129" s="26"/>
      <c r="AQ129" s="26"/>
      <c r="AR129" s="26"/>
      <c r="AS129" s="26"/>
      <c r="AT129" s="26"/>
      <c r="AU129" s="26"/>
      <c r="AV129" s="26"/>
      <c r="AW129" s="26"/>
      <c r="AX129" s="26"/>
      <c r="AY129" s="26"/>
      <c r="AZ129" s="26"/>
      <c r="BA129" s="26"/>
      <c r="BB129" s="26"/>
      <c r="BC129" s="26"/>
      <c r="BD129" s="26"/>
      <c r="BE129" s="26"/>
      <c r="BF129" s="26"/>
      <c r="BG129" s="26"/>
      <c r="BH129" s="26"/>
      <c r="BI129" s="26"/>
    </row>
    <row r="130" ht="14.25" customHeight="1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  <c r="AN130" s="26"/>
      <c r="AO130" s="26"/>
      <c r="AP130" s="26"/>
      <c r="AQ130" s="26"/>
      <c r="AR130" s="26"/>
      <c r="AS130" s="26"/>
      <c r="AT130" s="26"/>
      <c r="AU130" s="26"/>
      <c r="AV130" s="26"/>
      <c r="AW130" s="26"/>
      <c r="AX130" s="26"/>
      <c r="AY130" s="26"/>
      <c r="AZ130" s="26"/>
      <c r="BA130" s="26"/>
      <c r="BB130" s="26"/>
      <c r="BC130" s="26"/>
      <c r="BD130" s="26"/>
      <c r="BE130" s="26"/>
      <c r="BF130" s="26"/>
      <c r="BG130" s="26"/>
      <c r="BH130" s="26"/>
      <c r="BI130" s="26"/>
    </row>
    <row r="131" ht="14.25" customHeight="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  <c r="AM131" s="26"/>
      <c r="AN131" s="26"/>
      <c r="AO131" s="26"/>
      <c r="AP131" s="26"/>
      <c r="AQ131" s="26"/>
      <c r="AR131" s="26"/>
      <c r="AS131" s="26"/>
      <c r="AT131" s="26"/>
      <c r="AU131" s="26"/>
      <c r="AV131" s="26"/>
      <c r="AW131" s="26"/>
      <c r="AX131" s="26"/>
      <c r="AY131" s="26"/>
      <c r="AZ131" s="26"/>
      <c r="BA131" s="26"/>
      <c r="BB131" s="26"/>
      <c r="BC131" s="26"/>
      <c r="BD131" s="26"/>
      <c r="BE131" s="26"/>
      <c r="BF131" s="26"/>
      <c r="BG131" s="26"/>
      <c r="BH131" s="26"/>
      <c r="BI131" s="26"/>
    </row>
    <row r="132" ht="14.25" customHeight="1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  <c r="AM132" s="26"/>
      <c r="AN132" s="26"/>
      <c r="AO132" s="26"/>
      <c r="AP132" s="26"/>
      <c r="AQ132" s="26"/>
      <c r="AR132" s="26"/>
      <c r="AS132" s="26"/>
      <c r="AT132" s="26"/>
      <c r="AU132" s="26"/>
      <c r="AV132" s="26"/>
      <c r="AW132" s="26"/>
      <c r="AX132" s="26"/>
      <c r="AY132" s="26"/>
      <c r="AZ132" s="26"/>
      <c r="BA132" s="26"/>
      <c r="BB132" s="26"/>
      <c r="BC132" s="26"/>
      <c r="BD132" s="26"/>
      <c r="BE132" s="26"/>
      <c r="BF132" s="26"/>
      <c r="BG132" s="26"/>
      <c r="BH132" s="26"/>
      <c r="BI132" s="26"/>
    </row>
    <row r="133" ht="14.25" customHeight="1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  <c r="AM133" s="26"/>
      <c r="AN133" s="26"/>
      <c r="AO133" s="26"/>
      <c r="AP133" s="26"/>
      <c r="AQ133" s="26"/>
      <c r="AR133" s="26"/>
      <c r="AS133" s="26"/>
      <c r="AT133" s="26"/>
      <c r="AU133" s="26"/>
      <c r="AV133" s="26"/>
      <c r="AW133" s="26"/>
      <c r="AX133" s="26"/>
      <c r="AY133" s="26"/>
      <c r="AZ133" s="26"/>
      <c r="BA133" s="26"/>
      <c r="BB133" s="26"/>
      <c r="BC133" s="26"/>
      <c r="BD133" s="26"/>
      <c r="BE133" s="26"/>
      <c r="BF133" s="26"/>
      <c r="BG133" s="26"/>
      <c r="BH133" s="26"/>
      <c r="BI133" s="26"/>
    </row>
    <row r="134" ht="14.25" customHeight="1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  <c r="AM134" s="26"/>
      <c r="AN134" s="26"/>
      <c r="AO134" s="26"/>
      <c r="AP134" s="26"/>
      <c r="AQ134" s="26"/>
      <c r="AR134" s="26"/>
      <c r="AS134" s="26"/>
      <c r="AT134" s="26"/>
      <c r="AU134" s="26"/>
      <c r="AV134" s="26"/>
      <c r="AW134" s="26"/>
      <c r="AX134" s="26"/>
      <c r="AY134" s="26"/>
      <c r="AZ134" s="26"/>
      <c r="BA134" s="26"/>
      <c r="BB134" s="26"/>
      <c r="BC134" s="26"/>
      <c r="BD134" s="26"/>
      <c r="BE134" s="26"/>
      <c r="BF134" s="26"/>
      <c r="BG134" s="26"/>
      <c r="BH134" s="26"/>
      <c r="BI134" s="26"/>
    </row>
    <row r="135" ht="14.25" customHeight="1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  <c r="AM135" s="26"/>
      <c r="AN135" s="26"/>
      <c r="AO135" s="26"/>
      <c r="AP135" s="26"/>
      <c r="AQ135" s="26"/>
      <c r="AR135" s="26"/>
      <c r="AS135" s="26"/>
      <c r="AT135" s="26"/>
      <c r="AU135" s="26"/>
      <c r="AV135" s="26"/>
      <c r="AW135" s="26"/>
      <c r="AX135" s="26"/>
      <c r="AY135" s="26"/>
      <c r="AZ135" s="26"/>
      <c r="BA135" s="26"/>
      <c r="BB135" s="26"/>
      <c r="BC135" s="26"/>
      <c r="BD135" s="26"/>
      <c r="BE135" s="26"/>
      <c r="BF135" s="26"/>
      <c r="BG135" s="26"/>
      <c r="BH135" s="26"/>
      <c r="BI135" s="26"/>
    </row>
    <row r="136" ht="14.25" customHeight="1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  <c r="AM136" s="26"/>
      <c r="AN136" s="26"/>
      <c r="AO136" s="26"/>
      <c r="AP136" s="26"/>
      <c r="AQ136" s="26"/>
      <c r="AR136" s="26"/>
      <c r="AS136" s="26"/>
      <c r="AT136" s="26"/>
      <c r="AU136" s="26"/>
      <c r="AV136" s="26"/>
      <c r="AW136" s="26"/>
      <c r="AX136" s="26"/>
      <c r="AY136" s="26"/>
      <c r="AZ136" s="26"/>
      <c r="BA136" s="26"/>
      <c r="BB136" s="26"/>
      <c r="BC136" s="26"/>
      <c r="BD136" s="26"/>
      <c r="BE136" s="26"/>
      <c r="BF136" s="26"/>
      <c r="BG136" s="26"/>
      <c r="BH136" s="26"/>
      <c r="BI136" s="26"/>
    </row>
    <row r="137" ht="14.25" customHeight="1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  <c r="AM137" s="26"/>
      <c r="AN137" s="26"/>
      <c r="AO137" s="26"/>
      <c r="AP137" s="26"/>
      <c r="AQ137" s="26"/>
      <c r="AR137" s="26"/>
      <c r="AS137" s="26"/>
      <c r="AT137" s="26"/>
      <c r="AU137" s="26"/>
      <c r="AV137" s="26"/>
      <c r="AW137" s="26"/>
      <c r="AX137" s="26"/>
      <c r="AY137" s="26"/>
      <c r="AZ137" s="26"/>
      <c r="BA137" s="26"/>
      <c r="BB137" s="26"/>
      <c r="BC137" s="26"/>
      <c r="BD137" s="26"/>
      <c r="BE137" s="26"/>
      <c r="BF137" s="26"/>
      <c r="BG137" s="26"/>
      <c r="BH137" s="26"/>
      <c r="BI137" s="26"/>
    </row>
    <row r="138" ht="14.25" customHeight="1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  <c r="AM138" s="26"/>
      <c r="AN138" s="26"/>
      <c r="AO138" s="26"/>
      <c r="AP138" s="26"/>
      <c r="AQ138" s="26"/>
      <c r="AR138" s="26"/>
      <c r="AS138" s="26"/>
      <c r="AT138" s="26"/>
      <c r="AU138" s="26"/>
      <c r="AV138" s="26"/>
      <c r="AW138" s="26"/>
      <c r="AX138" s="26"/>
      <c r="AY138" s="26"/>
      <c r="AZ138" s="26"/>
      <c r="BA138" s="26"/>
      <c r="BB138" s="26"/>
      <c r="BC138" s="26"/>
      <c r="BD138" s="26"/>
      <c r="BE138" s="26"/>
      <c r="BF138" s="26"/>
      <c r="BG138" s="26"/>
      <c r="BH138" s="26"/>
      <c r="BI138" s="26"/>
    </row>
    <row r="139" ht="14.25" customHeight="1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  <c r="AM139" s="26"/>
      <c r="AN139" s="26"/>
      <c r="AO139" s="26"/>
      <c r="AP139" s="26"/>
      <c r="AQ139" s="26"/>
      <c r="AR139" s="26"/>
      <c r="AS139" s="26"/>
      <c r="AT139" s="26"/>
      <c r="AU139" s="26"/>
      <c r="AV139" s="26"/>
      <c r="AW139" s="26"/>
      <c r="AX139" s="26"/>
      <c r="AY139" s="26"/>
      <c r="AZ139" s="26"/>
      <c r="BA139" s="26"/>
      <c r="BB139" s="26"/>
      <c r="BC139" s="26"/>
      <c r="BD139" s="26"/>
      <c r="BE139" s="26"/>
      <c r="BF139" s="26"/>
      <c r="BG139" s="26"/>
      <c r="BH139" s="26"/>
      <c r="BI139" s="26"/>
    </row>
    <row r="140" ht="14.25" customHeight="1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  <c r="AM140" s="26"/>
      <c r="AN140" s="26"/>
      <c r="AO140" s="26"/>
      <c r="AP140" s="26"/>
      <c r="AQ140" s="26"/>
      <c r="AR140" s="26"/>
      <c r="AS140" s="26"/>
      <c r="AT140" s="26"/>
      <c r="AU140" s="26"/>
      <c r="AV140" s="26"/>
      <c r="AW140" s="26"/>
      <c r="AX140" s="26"/>
      <c r="AY140" s="26"/>
      <c r="AZ140" s="26"/>
      <c r="BA140" s="26"/>
      <c r="BB140" s="26"/>
      <c r="BC140" s="26"/>
      <c r="BD140" s="26"/>
      <c r="BE140" s="26"/>
      <c r="BF140" s="26"/>
      <c r="BG140" s="26"/>
      <c r="BH140" s="26"/>
      <c r="BI140" s="26"/>
    </row>
    <row r="141" ht="14.25" customHeight="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  <c r="AM141" s="26"/>
      <c r="AN141" s="26"/>
      <c r="AO141" s="26"/>
      <c r="AP141" s="26"/>
      <c r="AQ141" s="26"/>
      <c r="AR141" s="26"/>
      <c r="AS141" s="26"/>
      <c r="AT141" s="26"/>
      <c r="AU141" s="26"/>
      <c r="AV141" s="26"/>
      <c r="AW141" s="26"/>
      <c r="AX141" s="26"/>
      <c r="AY141" s="26"/>
      <c r="AZ141" s="26"/>
      <c r="BA141" s="26"/>
      <c r="BB141" s="26"/>
      <c r="BC141" s="26"/>
      <c r="BD141" s="26"/>
      <c r="BE141" s="26"/>
      <c r="BF141" s="26"/>
      <c r="BG141" s="26"/>
      <c r="BH141" s="26"/>
      <c r="BI141" s="26"/>
    </row>
    <row r="142" ht="14.25" customHeight="1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  <c r="AM142" s="26"/>
      <c r="AN142" s="26"/>
      <c r="AO142" s="26"/>
      <c r="AP142" s="26"/>
      <c r="AQ142" s="26"/>
      <c r="AR142" s="26"/>
      <c r="AS142" s="26"/>
      <c r="AT142" s="26"/>
      <c r="AU142" s="26"/>
      <c r="AV142" s="26"/>
      <c r="AW142" s="26"/>
      <c r="AX142" s="26"/>
      <c r="AY142" s="26"/>
      <c r="AZ142" s="26"/>
      <c r="BA142" s="26"/>
      <c r="BB142" s="26"/>
      <c r="BC142" s="26"/>
      <c r="BD142" s="26"/>
      <c r="BE142" s="26"/>
      <c r="BF142" s="26"/>
      <c r="BG142" s="26"/>
      <c r="BH142" s="26"/>
      <c r="BI142" s="26"/>
    </row>
    <row r="143" ht="14.25" customHeight="1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  <c r="AM143" s="26"/>
      <c r="AN143" s="26"/>
      <c r="AO143" s="26"/>
      <c r="AP143" s="26"/>
      <c r="AQ143" s="26"/>
      <c r="AR143" s="26"/>
      <c r="AS143" s="26"/>
      <c r="AT143" s="26"/>
      <c r="AU143" s="26"/>
      <c r="AV143" s="26"/>
      <c r="AW143" s="26"/>
      <c r="AX143" s="26"/>
      <c r="AY143" s="26"/>
      <c r="AZ143" s="26"/>
      <c r="BA143" s="26"/>
      <c r="BB143" s="26"/>
      <c r="BC143" s="26"/>
      <c r="BD143" s="26"/>
      <c r="BE143" s="26"/>
      <c r="BF143" s="26"/>
      <c r="BG143" s="26"/>
      <c r="BH143" s="26"/>
      <c r="BI143" s="26"/>
    </row>
    <row r="144" ht="14.25" customHeight="1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  <c r="AM144" s="26"/>
      <c r="AN144" s="26"/>
      <c r="AO144" s="26"/>
      <c r="AP144" s="26"/>
      <c r="AQ144" s="26"/>
      <c r="AR144" s="26"/>
      <c r="AS144" s="26"/>
      <c r="AT144" s="26"/>
      <c r="AU144" s="26"/>
      <c r="AV144" s="26"/>
      <c r="AW144" s="26"/>
      <c r="AX144" s="26"/>
      <c r="AY144" s="26"/>
      <c r="AZ144" s="26"/>
      <c r="BA144" s="26"/>
      <c r="BB144" s="26"/>
      <c r="BC144" s="26"/>
      <c r="BD144" s="26"/>
      <c r="BE144" s="26"/>
      <c r="BF144" s="26"/>
      <c r="BG144" s="26"/>
      <c r="BH144" s="26"/>
      <c r="BI144" s="26"/>
    </row>
    <row r="145" ht="14.25" customHeight="1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  <c r="AM145" s="26"/>
      <c r="AN145" s="26"/>
      <c r="AO145" s="26"/>
      <c r="AP145" s="26"/>
      <c r="AQ145" s="26"/>
      <c r="AR145" s="26"/>
      <c r="AS145" s="26"/>
      <c r="AT145" s="26"/>
      <c r="AU145" s="26"/>
      <c r="AV145" s="26"/>
      <c r="AW145" s="26"/>
      <c r="AX145" s="26"/>
      <c r="AY145" s="26"/>
      <c r="AZ145" s="26"/>
      <c r="BA145" s="26"/>
      <c r="BB145" s="26"/>
      <c r="BC145" s="26"/>
      <c r="BD145" s="26"/>
      <c r="BE145" s="26"/>
      <c r="BF145" s="26"/>
      <c r="BG145" s="26"/>
      <c r="BH145" s="26"/>
      <c r="BI145" s="26"/>
    </row>
    <row r="146" ht="14.25" customHeight="1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  <c r="AM146" s="26"/>
      <c r="AN146" s="26"/>
      <c r="AO146" s="26"/>
      <c r="AP146" s="26"/>
      <c r="AQ146" s="26"/>
      <c r="AR146" s="26"/>
      <c r="AS146" s="26"/>
      <c r="AT146" s="26"/>
      <c r="AU146" s="26"/>
      <c r="AV146" s="26"/>
      <c r="AW146" s="26"/>
      <c r="AX146" s="26"/>
      <c r="AY146" s="26"/>
      <c r="AZ146" s="26"/>
      <c r="BA146" s="26"/>
      <c r="BB146" s="26"/>
      <c r="BC146" s="26"/>
      <c r="BD146" s="26"/>
      <c r="BE146" s="26"/>
      <c r="BF146" s="26"/>
      <c r="BG146" s="26"/>
      <c r="BH146" s="26"/>
      <c r="BI146" s="26"/>
    </row>
    <row r="147" ht="14.25" customHeight="1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  <c r="AM147" s="26"/>
      <c r="AN147" s="26"/>
      <c r="AO147" s="26"/>
      <c r="AP147" s="26"/>
      <c r="AQ147" s="26"/>
      <c r="AR147" s="26"/>
      <c r="AS147" s="26"/>
      <c r="AT147" s="26"/>
      <c r="AU147" s="26"/>
      <c r="AV147" s="26"/>
      <c r="AW147" s="26"/>
      <c r="AX147" s="26"/>
      <c r="AY147" s="26"/>
      <c r="AZ147" s="26"/>
      <c r="BA147" s="26"/>
      <c r="BB147" s="26"/>
      <c r="BC147" s="26"/>
      <c r="BD147" s="26"/>
      <c r="BE147" s="26"/>
      <c r="BF147" s="26"/>
      <c r="BG147" s="26"/>
      <c r="BH147" s="26"/>
      <c r="BI147" s="26"/>
    </row>
    <row r="148" ht="14.25" customHeight="1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  <c r="AM148" s="26"/>
      <c r="AN148" s="26"/>
      <c r="AO148" s="26"/>
      <c r="AP148" s="26"/>
      <c r="AQ148" s="26"/>
      <c r="AR148" s="26"/>
      <c r="AS148" s="26"/>
      <c r="AT148" s="26"/>
      <c r="AU148" s="26"/>
      <c r="AV148" s="26"/>
      <c r="AW148" s="26"/>
      <c r="AX148" s="26"/>
      <c r="AY148" s="26"/>
      <c r="AZ148" s="26"/>
      <c r="BA148" s="26"/>
      <c r="BB148" s="26"/>
      <c r="BC148" s="26"/>
      <c r="BD148" s="26"/>
      <c r="BE148" s="26"/>
      <c r="BF148" s="26"/>
      <c r="BG148" s="26"/>
      <c r="BH148" s="26"/>
      <c r="BI148" s="26"/>
    </row>
    <row r="149" ht="14.25" customHeight="1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  <c r="AM149" s="26"/>
      <c r="AN149" s="26"/>
      <c r="AO149" s="26"/>
      <c r="AP149" s="26"/>
      <c r="AQ149" s="26"/>
      <c r="AR149" s="26"/>
      <c r="AS149" s="26"/>
      <c r="AT149" s="26"/>
      <c r="AU149" s="26"/>
      <c r="AV149" s="26"/>
      <c r="AW149" s="26"/>
      <c r="AX149" s="26"/>
      <c r="AY149" s="26"/>
      <c r="AZ149" s="26"/>
      <c r="BA149" s="26"/>
      <c r="BB149" s="26"/>
      <c r="BC149" s="26"/>
      <c r="BD149" s="26"/>
      <c r="BE149" s="26"/>
      <c r="BF149" s="26"/>
      <c r="BG149" s="26"/>
      <c r="BH149" s="26"/>
      <c r="BI149" s="26"/>
    </row>
    <row r="150" ht="14.25" customHeight="1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  <c r="AM150" s="26"/>
      <c r="AN150" s="26"/>
      <c r="AO150" s="26"/>
      <c r="AP150" s="26"/>
      <c r="AQ150" s="26"/>
      <c r="AR150" s="26"/>
      <c r="AS150" s="26"/>
      <c r="AT150" s="26"/>
      <c r="AU150" s="26"/>
      <c r="AV150" s="26"/>
      <c r="AW150" s="26"/>
      <c r="AX150" s="26"/>
      <c r="AY150" s="26"/>
      <c r="AZ150" s="26"/>
      <c r="BA150" s="26"/>
      <c r="BB150" s="26"/>
      <c r="BC150" s="26"/>
      <c r="BD150" s="26"/>
      <c r="BE150" s="26"/>
      <c r="BF150" s="26"/>
      <c r="BG150" s="26"/>
      <c r="BH150" s="26"/>
      <c r="BI150" s="26"/>
    </row>
    <row r="151" ht="14.25" customHeight="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  <c r="AM151" s="26"/>
      <c r="AN151" s="26"/>
      <c r="AO151" s="26"/>
      <c r="AP151" s="26"/>
      <c r="AQ151" s="26"/>
      <c r="AR151" s="26"/>
      <c r="AS151" s="26"/>
      <c r="AT151" s="26"/>
      <c r="AU151" s="26"/>
      <c r="AV151" s="26"/>
      <c r="AW151" s="26"/>
      <c r="AX151" s="26"/>
      <c r="AY151" s="26"/>
      <c r="AZ151" s="26"/>
      <c r="BA151" s="26"/>
      <c r="BB151" s="26"/>
      <c r="BC151" s="26"/>
      <c r="BD151" s="26"/>
      <c r="BE151" s="26"/>
      <c r="BF151" s="26"/>
      <c r="BG151" s="26"/>
      <c r="BH151" s="26"/>
      <c r="BI151" s="26"/>
    </row>
    <row r="152" ht="14.25" customHeight="1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  <c r="AM152" s="26"/>
      <c r="AN152" s="26"/>
      <c r="AO152" s="26"/>
      <c r="AP152" s="26"/>
      <c r="AQ152" s="26"/>
      <c r="AR152" s="26"/>
      <c r="AS152" s="26"/>
      <c r="AT152" s="26"/>
      <c r="AU152" s="26"/>
      <c r="AV152" s="26"/>
      <c r="AW152" s="26"/>
      <c r="AX152" s="26"/>
      <c r="AY152" s="26"/>
      <c r="AZ152" s="26"/>
      <c r="BA152" s="26"/>
      <c r="BB152" s="26"/>
      <c r="BC152" s="26"/>
      <c r="BD152" s="26"/>
      <c r="BE152" s="26"/>
      <c r="BF152" s="26"/>
      <c r="BG152" s="26"/>
      <c r="BH152" s="26"/>
      <c r="BI152" s="26"/>
    </row>
    <row r="153" ht="14.25" customHeight="1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  <c r="AM153" s="26"/>
      <c r="AN153" s="26"/>
      <c r="AO153" s="26"/>
      <c r="AP153" s="26"/>
      <c r="AQ153" s="26"/>
      <c r="AR153" s="26"/>
      <c r="AS153" s="26"/>
      <c r="AT153" s="26"/>
      <c r="AU153" s="26"/>
      <c r="AV153" s="26"/>
      <c r="AW153" s="26"/>
      <c r="AX153" s="26"/>
      <c r="AY153" s="26"/>
      <c r="AZ153" s="26"/>
      <c r="BA153" s="26"/>
      <c r="BB153" s="26"/>
      <c r="BC153" s="26"/>
      <c r="BD153" s="26"/>
      <c r="BE153" s="26"/>
      <c r="BF153" s="26"/>
      <c r="BG153" s="26"/>
      <c r="BH153" s="26"/>
      <c r="BI153" s="26"/>
    </row>
    <row r="154" ht="14.25" customHeight="1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  <c r="AM154" s="26"/>
      <c r="AN154" s="26"/>
      <c r="AO154" s="26"/>
      <c r="AP154" s="26"/>
      <c r="AQ154" s="26"/>
      <c r="AR154" s="26"/>
      <c r="AS154" s="26"/>
      <c r="AT154" s="26"/>
      <c r="AU154" s="26"/>
      <c r="AV154" s="26"/>
      <c r="AW154" s="26"/>
      <c r="AX154" s="26"/>
      <c r="AY154" s="26"/>
      <c r="AZ154" s="26"/>
      <c r="BA154" s="26"/>
      <c r="BB154" s="26"/>
      <c r="BC154" s="26"/>
      <c r="BD154" s="26"/>
      <c r="BE154" s="26"/>
      <c r="BF154" s="26"/>
      <c r="BG154" s="26"/>
      <c r="BH154" s="26"/>
      <c r="BI154" s="26"/>
    </row>
    <row r="155" ht="14.25" customHeight="1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  <c r="AM155" s="26"/>
      <c r="AN155" s="26"/>
      <c r="AO155" s="26"/>
      <c r="AP155" s="26"/>
      <c r="AQ155" s="26"/>
      <c r="AR155" s="26"/>
      <c r="AS155" s="26"/>
      <c r="AT155" s="26"/>
      <c r="AU155" s="26"/>
      <c r="AV155" s="26"/>
      <c r="AW155" s="26"/>
      <c r="AX155" s="26"/>
      <c r="AY155" s="26"/>
      <c r="AZ155" s="26"/>
      <c r="BA155" s="26"/>
      <c r="BB155" s="26"/>
      <c r="BC155" s="26"/>
      <c r="BD155" s="26"/>
      <c r="BE155" s="26"/>
      <c r="BF155" s="26"/>
      <c r="BG155" s="26"/>
      <c r="BH155" s="26"/>
      <c r="BI155" s="26"/>
    </row>
    <row r="156" ht="14.25" customHeight="1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  <c r="AM156" s="26"/>
      <c r="AN156" s="26"/>
      <c r="AO156" s="26"/>
      <c r="AP156" s="26"/>
      <c r="AQ156" s="26"/>
      <c r="AR156" s="26"/>
      <c r="AS156" s="26"/>
      <c r="AT156" s="26"/>
      <c r="AU156" s="26"/>
      <c r="AV156" s="26"/>
      <c r="AW156" s="26"/>
      <c r="AX156" s="26"/>
      <c r="AY156" s="26"/>
      <c r="AZ156" s="26"/>
      <c r="BA156" s="26"/>
      <c r="BB156" s="26"/>
      <c r="BC156" s="26"/>
      <c r="BD156" s="26"/>
      <c r="BE156" s="26"/>
      <c r="BF156" s="26"/>
      <c r="BG156" s="26"/>
      <c r="BH156" s="26"/>
      <c r="BI156" s="26"/>
    </row>
    <row r="157" ht="14.25" customHeight="1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  <c r="AM157" s="26"/>
      <c r="AN157" s="26"/>
      <c r="AO157" s="26"/>
      <c r="AP157" s="26"/>
      <c r="AQ157" s="26"/>
      <c r="AR157" s="26"/>
      <c r="AS157" s="26"/>
      <c r="AT157" s="26"/>
      <c r="AU157" s="26"/>
      <c r="AV157" s="26"/>
      <c r="AW157" s="26"/>
      <c r="AX157" s="26"/>
      <c r="AY157" s="26"/>
      <c r="AZ157" s="26"/>
      <c r="BA157" s="26"/>
      <c r="BB157" s="26"/>
      <c r="BC157" s="26"/>
      <c r="BD157" s="26"/>
      <c r="BE157" s="26"/>
      <c r="BF157" s="26"/>
      <c r="BG157" s="26"/>
      <c r="BH157" s="26"/>
      <c r="BI157" s="26"/>
    </row>
    <row r="158" ht="14.25" customHeight="1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  <c r="AM158" s="26"/>
      <c r="AN158" s="26"/>
      <c r="AO158" s="26"/>
      <c r="AP158" s="26"/>
      <c r="AQ158" s="26"/>
      <c r="AR158" s="26"/>
      <c r="AS158" s="26"/>
      <c r="AT158" s="26"/>
      <c r="AU158" s="26"/>
      <c r="AV158" s="26"/>
      <c r="AW158" s="26"/>
      <c r="AX158" s="26"/>
      <c r="AY158" s="26"/>
      <c r="AZ158" s="26"/>
      <c r="BA158" s="26"/>
      <c r="BB158" s="26"/>
      <c r="BC158" s="26"/>
      <c r="BD158" s="26"/>
      <c r="BE158" s="26"/>
      <c r="BF158" s="26"/>
      <c r="BG158" s="26"/>
      <c r="BH158" s="26"/>
      <c r="BI158" s="26"/>
    </row>
    <row r="159" ht="14.25" customHeight="1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  <c r="AM159" s="26"/>
      <c r="AN159" s="26"/>
      <c r="AO159" s="26"/>
      <c r="AP159" s="26"/>
      <c r="AQ159" s="26"/>
      <c r="AR159" s="26"/>
      <c r="AS159" s="26"/>
      <c r="AT159" s="26"/>
      <c r="AU159" s="26"/>
      <c r="AV159" s="26"/>
      <c r="AW159" s="26"/>
      <c r="AX159" s="26"/>
      <c r="AY159" s="26"/>
      <c r="AZ159" s="26"/>
      <c r="BA159" s="26"/>
      <c r="BB159" s="26"/>
      <c r="BC159" s="26"/>
      <c r="BD159" s="26"/>
      <c r="BE159" s="26"/>
      <c r="BF159" s="26"/>
      <c r="BG159" s="26"/>
      <c r="BH159" s="26"/>
      <c r="BI159" s="26"/>
    </row>
    <row r="160" ht="14.25" customHeight="1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  <c r="AM160" s="26"/>
      <c r="AN160" s="26"/>
      <c r="AO160" s="26"/>
      <c r="AP160" s="26"/>
      <c r="AQ160" s="26"/>
      <c r="AR160" s="26"/>
      <c r="AS160" s="26"/>
      <c r="AT160" s="26"/>
      <c r="AU160" s="26"/>
      <c r="AV160" s="26"/>
      <c r="AW160" s="26"/>
      <c r="AX160" s="26"/>
      <c r="AY160" s="26"/>
      <c r="AZ160" s="26"/>
      <c r="BA160" s="26"/>
      <c r="BB160" s="26"/>
      <c r="BC160" s="26"/>
      <c r="BD160" s="26"/>
      <c r="BE160" s="26"/>
      <c r="BF160" s="26"/>
      <c r="BG160" s="26"/>
      <c r="BH160" s="26"/>
      <c r="BI160" s="26"/>
    </row>
    <row r="161" ht="14.25" customHeight="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  <c r="AM161" s="26"/>
      <c r="AN161" s="26"/>
      <c r="AO161" s="26"/>
      <c r="AP161" s="26"/>
      <c r="AQ161" s="26"/>
      <c r="AR161" s="26"/>
      <c r="AS161" s="26"/>
      <c r="AT161" s="26"/>
      <c r="AU161" s="26"/>
      <c r="AV161" s="26"/>
      <c r="AW161" s="26"/>
      <c r="AX161" s="26"/>
      <c r="AY161" s="26"/>
      <c r="AZ161" s="26"/>
      <c r="BA161" s="26"/>
      <c r="BB161" s="26"/>
      <c r="BC161" s="26"/>
      <c r="BD161" s="26"/>
      <c r="BE161" s="26"/>
      <c r="BF161" s="26"/>
      <c r="BG161" s="26"/>
      <c r="BH161" s="26"/>
      <c r="BI161" s="26"/>
    </row>
    <row r="162" ht="14.25" customHeight="1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  <c r="AM162" s="26"/>
      <c r="AN162" s="26"/>
      <c r="AO162" s="26"/>
      <c r="AP162" s="26"/>
      <c r="AQ162" s="26"/>
      <c r="AR162" s="26"/>
      <c r="AS162" s="26"/>
      <c r="AT162" s="26"/>
      <c r="AU162" s="26"/>
      <c r="AV162" s="26"/>
      <c r="AW162" s="26"/>
      <c r="AX162" s="26"/>
      <c r="AY162" s="26"/>
      <c r="AZ162" s="26"/>
      <c r="BA162" s="26"/>
      <c r="BB162" s="26"/>
      <c r="BC162" s="26"/>
      <c r="BD162" s="26"/>
      <c r="BE162" s="26"/>
      <c r="BF162" s="26"/>
      <c r="BG162" s="26"/>
      <c r="BH162" s="26"/>
      <c r="BI162" s="26"/>
    </row>
    <row r="163" ht="14.25" customHeight="1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  <c r="AM163" s="26"/>
      <c r="AN163" s="26"/>
      <c r="AO163" s="26"/>
      <c r="AP163" s="26"/>
      <c r="AQ163" s="26"/>
      <c r="AR163" s="26"/>
      <c r="AS163" s="26"/>
      <c r="AT163" s="26"/>
      <c r="AU163" s="26"/>
      <c r="AV163" s="26"/>
      <c r="AW163" s="26"/>
      <c r="AX163" s="26"/>
      <c r="AY163" s="26"/>
      <c r="AZ163" s="26"/>
      <c r="BA163" s="26"/>
      <c r="BB163" s="26"/>
      <c r="BC163" s="26"/>
      <c r="BD163" s="26"/>
      <c r="BE163" s="26"/>
      <c r="BF163" s="26"/>
      <c r="BG163" s="26"/>
      <c r="BH163" s="26"/>
      <c r="BI163" s="26"/>
    </row>
    <row r="164" ht="14.25" customHeight="1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  <c r="AM164" s="26"/>
      <c r="AN164" s="26"/>
      <c r="AO164" s="26"/>
      <c r="AP164" s="26"/>
      <c r="AQ164" s="26"/>
      <c r="AR164" s="26"/>
      <c r="AS164" s="26"/>
      <c r="AT164" s="26"/>
      <c r="AU164" s="26"/>
      <c r="AV164" s="26"/>
      <c r="AW164" s="26"/>
      <c r="AX164" s="26"/>
      <c r="AY164" s="26"/>
      <c r="AZ164" s="26"/>
      <c r="BA164" s="26"/>
      <c r="BB164" s="26"/>
      <c r="BC164" s="26"/>
      <c r="BD164" s="26"/>
      <c r="BE164" s="26"/>
      <c r="BF164" s="26"/>
      <c r="BG164" s="26"/>
      <c r="BH164" s="26"/>
      <c r="BI164" s="26"/>
    </row>
    <row r="165" ht="14.25" customHeight="1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  <c r="AM165" s="26"/>
      <c r="AN165" s="26"/>
      <c r="AO165" s="26"/>
      <c r="AP165" s="26"/>
      <c r="AQ165" s="26"/>
      <c r="AR165" s="26"/>
      <c r="AS165" s="26"/>
      <c r="AT165" s="26"/>
      <c r="AU165" s="26"/>
      <c r="AV165" s="26"/>
      <c r="AW165" s="26"/>
      <c r="AX165" s="26"/>
      <c r="AY165" s="26"/>
      <c r="AZ165" s="26"/>
      <c r="BA165" s="26"/>
      <c r="BB165" s="26"/>
      <c r="BC165" s="26"/>
      <c r="BD165" s="26"/>
      <c r="BE165" s="26"/>
      <c r="BF165" s="26"/>
      <c r="BG165" s="26"/>
      <c r="BH165" s="26"/>
      <c r="BI165" s="26"/>
    </row>
    <row r="166" ht="14.25" customHeight="1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  <c r="AM166" s="26"/>
      <c r="AN166" s="26"/>
      <c r="AO166" s="26"/>
      <c r="AP166" s="26"/>
      <c r="AQ166" s="26"/>
      <c r="AR166" s="26"/>
      <c r="AS166" s="26"/>
      <c r="AT166" s="26"/>
      <c r="AU166" s="26"/>
      <c r="AV166" s="26"/>
      <c r="AW166" s="26"/>
      <c r="AX166" s="26"/>
      <c r="AY166" s="26"/>
      <c r="AZ166" s="26"/>
      <c r="BA166" s="26"/>
      <c r="BB166" s="26"/>
      <c r="BC166" s="26"/>
      <c r="BD166" s="26"/>
      <c r="BE166" s="26"/>
      <c r="BF166" s="26"/>
      <c r="BG166" s="26"/>
      <c r="BH166" s="26"/>
      <c r="BI166" s="26"/>
    </row>
    <row r="167" ht="14.25" customHeight="1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  <c r="AM167" s="26"/>
      <c r="AN167" s="26"/>
      <c r="AO167" s="26"/>
      <c r="AP167" s="26"/>
      <c r="AQ167" s="26"/>
      <c r="AR167" s="26"/>
      <c r="AS167" s="26"/>
      <c r="AT167" s="26"/>
      <c r="AU167" s="26"/>
      <c r="AV167" s="26"/>
      <c r="AW167" s="26"/>
      <c r="AX167" s="26"/>
      <c r="AY167" s="26"/>
      <c r="AZ167" s="26"/>
      <c r="BA167" s="26"/>
      <c r="BB167" s="26"/>
      <c r="BC167" s="26"/>
      <c r="BD167" s="26"/>
      <c r="BE167" s="26"/>
      <c r="BF167" s="26"/>
      <c r="BG167" s="26"/>
      <c r="BH167" s="26"/>
      <c r="BI167" s="26"/>
    </row>
    <row r="168" ht="14.25" customHeight="1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  <c r="AM168" s="26"/>
      <c r="AN168" s="26"/>
      <c r="AO168" s="26"/>
      <c r="AP168" s="26"/>
      <c r="AQ168" s="26"/>
      <c r="AR168" s="26"/>
      <c r="AS168" s="26"/>
      <c r="AT168" s="26"/>
      <c r="AU168" s="26"/>
      <c r="AV168" s="26"/>
      <c r="AW168" s="26"/>
      <c r="AX168" s="26"/>
      <c r="AY168" s="26"/>
      <c r="AZ168" s="26"/>
      <c r="BA168" s="26"/>
      <c r="BB168" s="26"/>
      <c r="BC168" s="26"/>
      <c r="BD168" s="26"/>
      <c r="BE168" s="26"/>
      <c r="BF168" s="26"/>
      <c r="BG168" s="26"/>
      <c r="BH168" s="26"/>
      <c r="BI168" s="26"/>
    </row>
    <row r="169" ht="14.25" customHeight="1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  <c r="AM169" s="26"/>
      <c r="AN169" s="26"/>
      <c r="AO169" s="26"/>
      <c r="AP169" s="26"/>
      <c r="AQ169" s="26"/>
      <c r="AR169" s="26"/>
      <c r="AS169" s="26"/>
      <c r="AT169" s="26"/>
      <c r="AU169" s="26"/>
      <c r="AV169" s="26"/>
      <c r="AW169" s="26"/>
      <c r="AX169" s="26"/>
      <c r="AY169" s="26"/>
      <c r="AZ169" s="26"/>
      <c r="BA169" s="26"/>
      <c r="BB169" s="26"/>
      <c r="BC169" s="26"/>
      <c r="BD169" s="26"/>
      <c r="BE169" s="26"/>
      <c r="BF169" s="26"/>
      <c r="BG169" s="26"/>
      <c r="BH169" s="26"/>
      <c r="BI169" s="26"/>
    </row>
    <row r="170" ht="14.25" customHeight="1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  <c r="AM170" s="26"/>
      <c r="AN170" s="26"/>
      <c r="AO170" s="26"/>
      <c r="AP170" s="26"/>
      <c r="AQ170" s="26"/>
      <c r="AR170" s="26"/>
      <c r="AS170" s="26"/>
      <c r="AT170" s="26"/>
      <c r="AU170" s="26"/>
      <c r="AV170" s="26"/>
      <c r="AW170" s="26"/>
      <c r="AX170" s="26"/>
      <c r="AY170" s="26"/>
      <c r="AZ170" s="26"/>
      <c r="BA170" s="26"/>
      <c r="BB170" s="26"/>
      <c r="BC170" s="26"/>
      <c r="BD170" s="26"/>
      <c r="BE170" s="26"/>
      <c r="BF170" s="26"/>
      <c r="BG170" s="26"/>
      <c r="BH170" s="26"/>
      <c r="BI170" s="26"/>
    </row>
    <row r="171" ht="14.25" customHeight="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  <c r="AM171" s="26"/>
      <c r="AN171" s="26"/>
      <c r="AO171" s="26"/>
      <c r="AP171" s="26"/>
      <c r="AQ171" s="26"/>
      <c r="AR171" s="26"/>
      <c r="AS171" s="26"/>
      <c r="AT171" s="26"/>
      <c r="AU171" s="26"/>
      <c r="AV171" s="26"/>
      <c r="AW171" s="26"/>
      <c r="AX171" s="26"/>
      <c r="AY171" s="26"/>
      <c r="AZ171" s="26"/>
      <c r="BA171" s="26"/>
      <c r="BB171" s="26"/>
      <c r="BC171" s="26"/>
      <c r="BD171" s="26"/>
      <c r="BE171" s="26"/>
      <c r="BF171" s="26"/>
      <c r="BG171" s="26"/>
      <c r="BH171" s="26"/>
      <c r="BI171" s="26"/>
    </row>
    <row r="172" ht="14.25" customHeight="1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  <c r="AM172" s="26"/>
      <c r="AN172" s="26"/>
      <c r="AO172" s="26"/>
      <c r="AP172" s="26"/>
      <c r="AQ172" s="26"/>
      <c r="AR172" s="26"/>
      <c r="AS172" s="26"/>
      <c r="AT172" s="26"/>
      <c r="AU172" s="26"/>
      <c r="AV172" s="26"/>
      <c r="AW172" s="26"/>
      <c r="AX172" s="26"/>
      <c r="AY172" s="26"/>
      <c r="AZ172" s="26"/>
      <c r="BA172" s="26"/>
      <c r="BB172" s="26"/>
      <c r="BC172" s="26"/>
      <c r="BD172" s="26"/>
      <c r="BE172" s="26"/>
      <c r="BF172" s="26"/>
      <c r="BG172" s="26"/>
      <c r="BH172" s="26"/>
      <c r="BI172" s="26"/>
    </row>
    <row r="173" ht="14.25" customHeight="1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  <c r="AM173" s="26"/>
      <c r="AN173" s="26"/>
      <c r="AO173" s="26"/>
      <c r="AP173" s="26"/>
      <c r="AQ173" s="26"/>
      <c r="AR173" s="26"/>
      <c r="AS173" s="26"/>
      <c r="AT173" s="26"/>
      <c r="AU173" s="26"/>
      <c r="AV173" s="26"/>
      <c r="AW173" s="26"/>
      <c r="AX173" s="26"/>
      <c r="AY173" s="26"/>
      <c r="AZ173" s="26"/>
      <c r="BA173" s="26"/>
      <c r="BB173" s="26"/>
      <c r="BC173" s="26"/>
      <c r="BD173" s="26"/>
      <c r="BE173" s="26"/>
      <c r="BF173" s="26"/>
      <c r="BG173" s="26"/>
      <c r="BH173" s="26"/>
      <c r="BI173" s="26"/>
    </row>
    <row r="174" ht="14.25" customHeight="1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  <c r="AM174" s="26"/>
      <c r="AN174" s="26"/>
      <c r="AO174" s="26"/>
      <c r="AP174" s="26"/>
      <c r="AQ174" s="26"/>
      <c r="AR174" s="26"/>
      <c r="AS174" s="26"/>
      <c r="AT174" s="26"/>
      <c r="AU174" s="26"/>
      <c r="AV174" s="26"/>
      <c r="AW174" s="26"/>
      <c r="AX174" s="26"/>
      <c r="AY174" s="26"/>
      <c r="AZ174" s="26"/>
      <c r="BA174" s="26"/>
      <c r="BB174" s="26"/>
      <c r="BC174" s="26"/>
      <c r="BD174" s="26"/>
      <c r="BE174" s="26"/>
      <c r="BF174" s="26"/>
      <c r="BG174" s="26"/>
      <c r="BH174" s="26"/>
      <c r="BI174" s="26"/>
    </row>
    <row r="175" ht="14.25" customHeight="1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  <c r="AM175" s="26"/>
      <c r="AN175" s="26"/>
      <c r="AO175" s="26"/>
      <c r="AP175" s="26"/>
      <c r="AQ175" s="26"/>
      <c r="AR175" s="26"/>
      <c r="AS175" s="26"/>
      <c r="AT175" s="26"/>
      <c r="AU175" s="26"/>
      <c r="AV175" s="26"/>
      <c r="AW175" s="26"/>
      <c r="AX175" s="26"/>
      <c r="AY175" s="26"/>
      <c r="AZ175" s="26"/>
      <c r="BA175" s="26"/>
      <c r="BB175" s="26"/>
      <c r="BC175" s="26"/>
      <c r="BD175" s="26"/>
      <c r="BE175" s="26"/>
      <c r="BF175" s="26"/>
      <c r="BG175" s="26"/>
      <c r="BH175" s="26"/>
      <c r="BI175" s="26"/>
    </row>
    <row r="176" ht="14.25" customHeight="1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  <c r="AM176" s="26"/>
      <c r="AN176" s="26"/>
      <c r="AO176" s="26"/>
      <c r="AP176" s="26"/>
      <c r="AQ176" s="26"/>
      <c r="AR176" s="26"/>
      <c r="AS176" s="26"/>
      <c r="AT176" s="26"/>
      <c r="AU176" s="26"/>
      <c r="AV176" s="26"/>
      <c r="AW176" s="26"/>
      <c r="AX176" s="26"/>
      <c r="AY176" s="26"/>
      <c r="AZ176" s="26"/>
      <c r="BA176" s="26"/>
      <c r="BB176" s="26"/>
      <c r="BC176" s="26"/>
      <c r="BD176" s="26"/>
      <c r="BE176" s="26"/>
      <c r="BF176" s="26"/>
      <c r="BG176" s="26"/>
      <c r="BH176" s="26"/>
      <c r="BI176" s="26"/>
    </row>
    <row r="177" ht="14.25" customHeight="1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  <c r="AM177" s="26"/>
      <c r="AN177" s="26"/>
      <c r="AO177" s="26"/>
      <c r="AP177" s="26"/>
      <c r="AQ177" s="26"/>
      <c r="AR177" s="26"/>
      <c r="AS177" s="26"/>
      <c r="AT177" s="26"/>
      <c r="AU177" s="26"/>
      <c r="AV177" s="26"/>
      <c r="AW177" s="26"/>
      <c r="AX177" s="26"/>
      <c r="AY177" s="26"/>
      <c r="AZ177" s="26"/>
      <c r="BA177" s="26"/>
      <c r="BB177" s="26"/>
      <c r="BC177" s="26"/>
      <c r="BD177" s="26"/>
      <c r="BE177" s="26"/>
      <c r="BF177" s="26"/>
      <c r="BG177" s="26"/>
      <c r="BH177" s="26"/>
      <c r="BI177" s="26"/>
    </row>
    <row r="178" ht="14.25" customHeight="1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  <c r="AM178" s="26"/>
      <c r="AN178" s="26"/>
      <c r="AO178" s="26"/>
      <c r="AP178" s="26"/>
      <c r="AQ178" s="26"/>
      <c r="AR178" s="26"/>
      <c r="AS178" s="26"/>
      <c r="AT178" s="26"/>
      <c r="AU178" s="26"/>
      <c r="AV178" s="26"/>
      <c r="AW178" s="26"/>
      <c r="AX178" s="26"/>
      <c r="AY178" s="26"/>
      <c r="AZ178" s="26"/>
      <c r="BA178" s="26"/>
      <c r="BB178" s="26"/>
      <c r="BC178" s="26"/>
      <c r="BD178" s="26"/>
      <c r="BE178" s="26"/>
      <c r="BF178" s="26"/>
      <c r="BG178" s="26"/>
      <c r="BH178" s="26"/>
      <c r="BI178" s="26"/>
    </row>
    <row r="179" ht="14.25" customHeight="1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  <c r="AM179" s="26"/>
      <c r="AN179" s="26"/>
      <c r="AO179" s="26"/>
      <c r="AP179" s="26"/>
      <c r="AQ179" s="26"/>
      <c r="AR179" s="26"/>
      <c r="AS179" s="26"/>
      <c r="AT179" s="26"/>
      <c r="AU179" s="26"/>
      <c r="AV179" s="26"/>
      <c r="AW179" s="26"/>
      <c r="AX179" s="26"/>
      <c r="AY179" s="26"/>
      <c r="AZ179" s="26"/>
      <c r="BA179" s="26"/>
      <c r="BB179" s="26"/>
      <c r="BC179" s="26"/>
      <c r="BD179" s="26"/>
      <c r="BE179" s="26"/>
      <c r="BF179" s="26"/>
      <c r="BG179" s="26"/>
      <c r="BH179" s="26"/>
      <c r="BI179" s="26"/>
    </row>
    <row r="180" ht="14.25" customHeight="1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  <c r="AM180" s="26"/>
      <c r="AN180" s="26"/>
      <c r="AO180" s="26"/>
      <c r="AP180" s="26"/>
      <c r="AQ180" s="26"/>
      <c r="AR180" s="26"/>
      <c r="AS180" s="26"/>
      <c r="AT180" s="26"/>
      <c r="AU180" s="26"/>
      <c r="AV180" s="26"/>
      <c r="AW180" s="26"/>
      <c r="AX180" s="26"/>
      <c r="AY180" s="26"/>
      <c r="AZ180" s="26"/>
      <c r="BA180" s="26"/>
      <c r="BB180" s="26"/>
      <c r="BC180" s="26"/>
      <c r="BD180" s="26"/>
      <c r="BE180" s="26"/>
      <c r="BF180" s="26"/>
      <c r="BG180" s="26"/>
      <c r="BH180" s="26"/>
      <c r="BI180" s="26"/>
    </row>
    <row r="181" ht="14.25" customHeight="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  <c r="AM181" s="26"/>
      <c r="AN181" s="26"/>
      <c r="AO181" s="26"/>
      <c r="AP181" s="26"/>
      <c r="AQ181" s="26"/>
      <c r="AR181" s="26"/>
      <c r="AS181" s="26"/>
      <c r="AT181" s="26"/>
      <c r="AU181" s="26"/>
      <c r="AV181" s="26"/>
      <c r="AW181" s="26"/>
      <c r="AX181" s="26"/>
      <c r="AY181" s="26"/>
      <c r="AZ181" s="26"/>
      <c r="BA181" s="26"/>
      <c r="BB181" s="26"/>
      <c r="BC181" s="26"/>
      <c r="BD181" s="26"/>
      <c r="BE181" s="26"/>
      <c r="BF181" s="26"/>
      <c r="BG181" s="26"/>
      <c r="BH181" s="26"/>
      <c r="BI181" s="26"/>
    </row>
    <row r="182" ht="14.25" customHeight="1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  <c r="AM182" s="26"/>
      <c r="AN182" s="26"/>
      <c r="AO182" s="26"/>
      <c r="AP182" s="26"/>
      <c r="AQ182" s="26"/>
      <c r="AR182" s="26"/>
      <c r="AS182" s="26"/>
      <c r="AT182" s="26"/>
      <c r="AU182" s="26"/>
      <c r="AV182" s="26"/>
      <c r="AW182" s="26"/>
      <c r="AX182" s="26"/>
      <c r="AY182" s="26"/>
      <c r="AZ182" s="26"/>
      <c r="BA182" s="26"/>
      <c r="BB182" s="26"/>
      <c r="BC182" s="26"/>
      <c r="BD182" s="26"/>
      <c r="BE182" s="26"/>
      <c r="BF182" s="26"/>
      <c r="BG182" s="26"/>
      <c r="BH182" s="26"/>
      <c r="BI182" s="26"/>
    </row>
    <row r="183" ht="14.25" customHeight="1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  <c r="AM183" s="26"/>
      <c r="AN183" s="26"/>
      <c r="AO183" s="26"/>
      <c r="AP183" s="26"/>
      <c r="AQ183" s="26"/>
      <c r="AR183" s="26"/>
      <c r="AS183" s="26"/>
      <c r="AT183" s="26"/>
      <c r="AU183" s="26"/>
      <c r="AV183" s="26"/>
      <c r="AW183" s="26"/>
      <c r="AX183" s="26"/>
      <c r="AY183" s="26"/>
      <c r="AZ183" s="26"/>
      <c r="BA183" s="26"/>
      <c r="BB183" s="26"/>
      <c r="BC183" s="26"/>
      <c r="BD183" s="26"/>
      <c r="BE183" s="26"/>
      <c r="BF183" s="26"/>
      <c r="BG183" s="26"/>
      <c r="BH183" s="26"/>
      <c r="BI183" s="26"/>
    </row>
    <row r="184" ht="14.25" customHeight="1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  <c r="AM184" s="26"/>
      <c r="AN184" s="26"/>
      <c r="AO184" s="26"/>
      <c r="AP184" s="26"/>
      <c r="AQ184" s="26"/>
      <c r="AR184" s="26"/>
      <c r="AS184" s="26"/>
      <c r="AT184" s="26"/>
      <c r="AU184" s="26"/>
      <c r="AV184" s="26"/>
      <c r="AW184" s="26"/>
      <c r="AX184" s="26"/>
      <c r="AY184" s="26"/>
      <c r="AZ184" s="26"/>
      <c r="BA184" s="26"/>
      <c r="BB184" s="26"/>
      <c r="BC184" s="26"/>
      <c r="BD184" s="26"/>
      <c r="BE184" s="26"/>
      <c r="BF184" s="26"/>
      <c r="BG184" s="26"/>
      <c r="BH184" s="26"/>
      <c r="BI184" s="26"/>
    </row>
    <row r="185" ht="14.25" customHeight="1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  <c r="AM185" s="26"/>
      <c r="AN185" s="26"/>
      <c r="AO185" s="26"/>
      <c r="AP185" s="26"/>
      <c r="AQ185" s="26"/>
      <c r="AR185" s="26"/>
      <c r="AS185" s="26"/>
      <c r="AT185" s="26"/>
      <c r="AU185" s="26"/>
      <c r="AV185" s="26"/>
      <c r="AW185" s="26"/>
      <c r="AX185" s="26"/>
      <c r="AY185" s="26"/>
      <c r="AZ185" s="26"/>
      <c r="BA185" s="26"/>
      <c r="BB185" s="26"/>
      <c r="BC185" s="26"/>
      <c r="BD185" s="26"/>
      <c r="BE185" s="26"/>
      <c r="BF185" s="26"/>
      <c r="BG185" s="26"/>
      <c r="BH185" s="26"/>
      <c r="BI185" s="26"/>
    </row>
    <row r="186" ht="14.25" customHeight="1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  <c r="AM186" s="26"/>
      <c r="AN186" s="26"/>
      <c r="AO186" s="26"/>
      <c r="AP186" s="26"/>
      <c r="AQ186" s="26"/>
      <c r="AR186" s="26"/>
      <c r="AS186" s="26"/>
      <c r="AT186" s="26"/>
      <c r="AU186" s="26"/>
      <c r="AV186" s="26"/>
      <c r="AW186" s="26"/>
      <c r="AX186" s="26"/>
      <c r="AY186" s="26"/>
      <c r="AZ186" s="26"/>
      <c r="BA186" s="26"/>
      <c r="BB186" s="26"/>
      <c r="BC186" s="26"/>
      <c r="BD186" s="26"/>
      <c r="BE186" s="26"/>
      <c r="BF186" s="26"/>
      <c r="BG186" s="26"/>
      <c r="BH186" s="26"/>
      <c r="BI186" s="26"/>
    </row>
    <row r="187" ht="14.25" customHeight="1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  <c r="AM187" s="26"/>
      <c r="AN187" s="26"/>
      <c r="AO187" s="26"/>
      <c r="AP187" s="26"/>
      <c r="AQ187" s="26"/>
      <c r="AR187" s="26"/>
      <c r="AS187" s="26"/>
      <c r="AT187" s="26"/>
      <c r="AU187" s="26"/>
      <c r="AV187" s="26"/>
      <c r="AW187" s="26"/>
      <c r="AX187" s="26"/>
      <c r="AY187" s="26"/>
      <c r="AZ187" s="26"/>
      <c r="BA187" s="26"/>
      <c r="BB187" s="26"/>
      <c r="BC187" s="26"/>
      <c r="BD187" s="26"/>
      <c r="BE187" s="26"/>
      <c r="BF187" s="26"/>
      <c r="BG187" s="26"/>
      <c r="BH187" s="26"/>
      <c r="BI187" s="26"/>
    </row>
    <row r="188" ht="14.25" customHeight="1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  <c r="AM188" s="26"/>
      <c r="AN188" s="26"/>
      <c r="AO188" s="26"/>
      <c r="AP188" s="26"/>
      <c r="AQ188" s="26"/>
      <c r="AR188" s="26"/>
      <c r="AS188" s="26"/>
      <c r="AT188" s="26"/>
      <c r="AU188" s="26"/>
      <c r="AV188" s="26"/>
      <c r="AW188" s="26"/>
      <c r="AX188" s="26"/>
      <c r="AY188" s="26"/>
      <c r="AZ188" s="26"/>
      <c r="BA188" s="26"/>
      <c r="BB188" s="26"/>
      <c r="BC188" s="26"/>
      <c r="BD188" s="26"/>
      <c r="BE188" s="26"/>
      <c r="BF188" s="26"/>
      <c r="BG188" s="26"/>
      <c r="BH188" s="26"/>
      <c r="BI188" s="26"/>
    </row>
    <row r="189" ht="14.25" customHeight="1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  <c r="AM189" s="26"/>
      <c r="AN189" s="26"/>
      <c r="AO189" s="26"/>
      <c r="AP189" s="26"/>
      <c r="AQ189" s="26"/>
      <c r="AR189" s="26"/>
      <c r="AS189" s="26"/>
      <c r="AT189" s="26"/>
      <c r="AU189" s="26"/>
      <c r="AV189" s="26"/>
      <c r="AW189" s="26"/>
      <c r="AX189" s="26"/>
      <c r="AY189" s="26"/>
      <c r="AZ189" s="26"/>
      <c r="BA189" s="26"/>
      <c r="BB189" s="26"/>
      <c r="BC189" s="26"/>
      <c r="BD189" s="26"/>
      <c r="BE189" s="26"/>
      <c r="BF189" s="26"/>
      <c r="BG189" s="26"/>
      <c r="BH189" s="26"/>
      <c r="BI189" s="26"/>
    </row>
    <row r="190" ht="14.25" customHeight="1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  <c r="AM190" s="26"/>
      <c r="AN190" s="26"/>
      <c r="AO190" s="26"/>
      <c r="AP190" s="26"/>
      <c r="AQ190" s="26"/>
      <c r="AR190" s="26"/>
      <c r="AS190" s="26"/>
      <c r="AT190" s="26"/>
      <c r="AU190" s="26"/>
      <c r="AV190" s="26"/>
      <c r="AW190" s="26"/>
      <c r="AX190" s="26"/>
      <c r="AY190" s="26"/>
      <c r="AZ190" s="26"/>
      <c r="BA190" s="26"/>
      <c r="BB190" s="26"/>
      <c r="BC190" s="26"/>
      <c r="BD190" s="26"/>
      <c r="BE190" s="26"/>
      <c r="BF190" s="26"/>
      <c r="BG190" s="26"/>
      <c r="BH190" s="26"/>
      <c r="BI190" s="26"/>
    </row>
    <row r="191" ht="14.25" customHeight="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  <c r="AM191" s="26"/>
      <c r="AN191" s="26"/>
      <c r="AO191" s="26"/>
      <c r="AP191" s="26"/>
      <c r="AQ191" s="26"/>
      <c r="AR191" s="26"/>
      <c r="AS191" s="26"/>
      <c r="AT191" s="26"/>
      <c r="AU191" s="26"/>
      <c r="AV191" s="26"/>
      <c r="AW191" s="26"/>
      <c r="AX191" s="26"/>
      <c r="AY191" s="26"/>
      <c r="AZ191" s="26"/>
      <c r="BA191" s="26"/>
      <c r="BB191" s="26"/>
      <c r="BC191" s="26"/>
      <c r="BD191" s="26"/>
      <c r="BE191" s="26"/>
      <c r="BF191" s="26"/>
      <c r="BG191" s="26"/>
      <c r="BH191" s="26"/>
      <c r="BI191" s="26"/>
    </row>
    <row r="192" ht="14.25" customHeight="1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  <c r="AM192" s="26"/>
      <c r="AN192" s="26"/>
      <c r="AO192" s="26"/>
      <c r="AP192" s="26"/>
      <c r="AQ192" s="26"/>
      <c r="AR192" s="26"/>
      <c r="AS192" s="26"/>
      <c r="AT192" s="26"/>
      <c r="AU192" s="26"/>
      <c r="AV192" s="26"/>
      <c r="AW192" s="26"/>
      <c r="AX192" s="26"/>
      <c r="AY192" s="26"/>
      <c r="AZ192" s="26"/>
      <c r="BA192" s="26"/>
      <c r="BB192" s="26"/>
      <c r="BC192" s="26"/>
      <c r="BD192" s="26"/>
      <c r="BE192" s="26"/>
      <c r="BF192" s="26"/>
      <c r="BG192" s="26"/>
      <c r="BH192" s="26"/>
      <c r="BI192" s="26"/>
    </row>
    <row r="193" ht="14.25" customHeight="1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  <c r="AM193" s="26"/>
      <c r="AN193" s="26"/>
      <c r="AO193" s="26"/>
      <c r="AP193" s="26"/>
      <c r="AQ193" s="26"/>
      <c r="AR193" s="26"/>
      <c r="AS193" s="26"/>
      <c r="AT193" s="26"/>
      <c r="AU193" s="26"/>
      <c r="AV193" s="26"/>
      <c r="AW193" s="26"/>
      <c r="AX193" s="26"/>
      <c r="AY193" s="26"/>
      <c r="AZ193" s="26"/>
      <c r="BA193" s="26"/>
      <c r="BB193" s="26"/>
      <c r="BC193" s="26"/>
      <c r="BD193" s="26"/>
      <c r="BE193" s="26"/>
      <c r="BF193" s="26"/>
      <c r="BG193" s="26"/>
      <c r="BH193" s="26"/>
      <c r="BI193" s="26"/>
    </row>
    <row r="194" ht="14.25" customHeight="1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  <c r="AM194" s="26"/>
      <c r="AN194" s="26"/>
      <c r="AO194" s="26"/>
      <c r="AP194" s="26"/>
      <c r="AQ194" s="26"/>
      <c r="AR194" s="26"/>
      <c r="AS194" s="26"/>
      <c r="AT194" s="26"/>
      <c r="AU194" s="26"/>
      <c r="AV194" s="26"/>
      <c r="AW194" s="26"/>
      <c r="AX194" s="26"/>
      <c r="AY194" s="26"/>
      <c r="AZ194" s="26"/>
      <c r="BA194" s="26"/>
      <c r="BB194" s="26"/>
      <c r="BC194" s="26"/>
      <c r="BD194" s="26"/>
      <c r="BE194" s="26"/>
      <c r="BF194" s="26"/>
      <c r="BG194" s="26"/>
      <c r="BH194" s="26"/>
      <c r="BI194" s="26"/>
    </row>
    <row r="195" ht="14.25" customHeight="1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  <c r="AM195" s="26"/>
      <c r="AN195" s="26"/>
      <c r="AO195" s="26"/>
      <c r="AP195" s="26"/>
      <c r="AQ195" s="26"/>
      <c r="AR195" s="26"/>
      <c r="AS195" s="26"/>
      <c r="AT195" s="26"/>
      <c r="AU195" s="26"/>
      <c r="AV195" s="26"/>
      <c r="AW195" s="26"/>
      <c r="AX195" s="26"/>
      <c r="AY195" s="26"/>
      <c r="AZ195" s="26"/>
      <c r="BA195" s="26"/>
      <c r="BB195" s="26"/>
      <c r="BC195" s="26"/>
      <c r="BD195" s="26"/>
      <c r="BE195" s="26"/>
      <c r="BF195" s="26"/>
      <c r="BG195" s="26"/>
      <c r="BH195" s="26"/>
      <c r="BI195" s="26"/>
    </row>
    <row r="196" ht="14.25" customHeight="1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  <c r="AM196" s="26"/>
      <c r="AN196" s="26"/>
      <c r="AO196" s="26"/>
      <c r="AP196" s="26"/>
      <c r="AQ196" s="26"/>
      <c r="AR196" s="26"/>
      <c r="AS196" s="26"/>
      <c r="AT196" s="26"/>
      <c r="AU196" s="26"/>
      <c r="AV196" s="26"/>
      <c r="AW196" s="26"/>
      <c r="AX196" s="26"/>
      <c r="AY196" s="26"/>
      <c r="AZ196" s="26"/>
      <c r="BA196" s="26"/>
      <c r="BB196" s="26"/>
      <c r="BC196" s="26"/>
      <c r="BD196" s="26"/>
      <c r="BE196" s="26"/>
      <c r="BF196" s="26"/>
      <c r="BG196" s="26"/>
      <c r="BH196" s="26"/>
      <c r="BI196" s="26"/>
    </row>
    <row r="197" ht="14.25" customHeight="1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  <c r="AM197" s="26"/>
      <c r="AN197" s="26"/>
      <c r="AO197" s="26"/>
      <c r="AP197" s="26"/>
      <c r="AQ197" s="26"/>
      <c r="AR197" s="26"/>
      <c r="AS197" s="26"/>
      <c r="AT197" s="26"/>
      <c r="AU197" s="26"/>
      <c r="AV197" s="26"/>
      <c r="AW197" s="26"/>
      <c r="AX197" s="26"/>
      <c r="AY197" s="26"/>
      <c r="AZ197" s="26"/>
      <c r="BA197" s="26"/>
      <c r="BB197" s="26"/>
      <c r="BC197" s="26"/>
      <c r="BD197" s="26"/>
      <c r="BE197" s="26"/>
      <c r="BF197" s="26"/>
      <c r="BG197" s="26"/>
      <c r="BH197" s="26"/>
      <c r="BI197" s="26"/>
    </row>
    <row r="198" ht="14.25" customHeight="1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  <c r="AM198" s="26"/>
      <c r="AN198" s="26"/>
      <c r="AO198" s="26"/>
      <c r="AP198" s="26"/>
      <c r="AQ198" s="26"/>
      <c r="AR198" s="26"/>
      <c r="AS198" s="26"/>
      <c r="AT198" s="26"/>
      <c r="AU198" s="26"/>
      <c r="AV198" s="26"/>
      <c r="AW198" s="26"/>
      <c r="AX198" s="26"/>
      <c r="AY198" s="26"/>
      <c r="AZ198" s="26"/>
      <c r="BA198" s="26"/>
      <c r="BB198" s="26"/>
      <c r="BC198" s="26"/>
      <c r="BD198" s="26"/>
      <c r="BE198" s="26"/>
      <c r="BF198" s="26"/>
      <c r="BG198" s="26"/>
      <c r="BH198" s="26"/>
      <c r="BI198" s="26"/>
    </row>
    <row r="199" ht="14.25" customHeight="1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  <c r="AM199" s="26"/>
      <c r="AN199" s="26"/>
      <c r="AO199" s="26"/>
      <c r="AP199" s="26"/>
      <c r="AQ199" s="26"/>
      <c r="AR199" s="26"/>
      <c r="AS199" s="26"/>
      <c r="AT199" s="26"/>
      <c r="AU199" s="26"/>
      <c r="AV199" s="26"/>
      <c r="AW199" s="26"/>
      <c r="AX199" s="26"/>
      <c r="AY199" s="26"/>
      <c r="AZ199" s="26"/>
      <c r="BA199" s="26"/>
      <c r="BB199" s="26"/>
      <c r="BC199" s="26"/>
      <c r="BD199" s="26"/>
      <c r="BE199" s="26"/>
      <c r="BF199" s="26"/>
      <c r="BG199" s="26"/>
      <c r="BH199" s="26"/>
      <c r="BI199" s="26"/>
    </row>
    <row r="200" ht="14.25" customHeight="1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  <c r="AM200" s="26"/>
      <c r="AN200" s="26"/>
      <c r="AO200" s="26"/>
      <c r="AP200" s="26"/>
      <c r="AQ200" s="26"/>
      <c r="AR200" s="26"/>
      <c r="AS200" s="26"/>
      <c r="AT200" s="26"/>
      <c r="AU200" s="26"/>
      <c r="AV200" s="26"/>
      <c r="AW200" s="26"/>
      <c r="AX200" s="26"/>
      <c r="AY200" s="26"/>
      <c r="AZ200" s="26"/>
      <c r="BA200" s="26"/>
      <c r="BB200" s="26"/>
      <c r="BC200" s="26"/>
      <c r="BD200" s="26"/>
      <c r="BE200" s="26"/>
      <c r="BF200" s="26"/>
      <c r="BG200" s="26"/>
      <c r="BH200" s="26"/>
      <c r="BI200" s="26"/>
    </row>
    <row r="201" ht="14.25" customHeight="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  <c r="AM201" s="26"/>
      <c r="AN201" s="26"/>
      <c r="AO201" s="26"/>
      <c r="AP201" s="26"/>
      <c r="AQ201" s="26"/>
      <c r="AR201" s="26"/>
      <c r="AS201" s="26"/>
      <c r="AT201" s="26"/>
      <c r="AU201" s="26"/>
      <c r="AV201" s="26"/>
      <c r="AW201" s="26"/>
      <c r="AX201" s="26"/>
      <c r="AY201" s="26"/>
      <c r="AZ201" s="26"/>
      <c r="BA201" s="26"/>
      <c r="BB201" s="26"/>
      <c r="BC201" s="26"/>
      <c r="BD201" s="26"/>
      <c r="BE201" s="26"/>
      <c r="BF201" s="26"/>
      <c r="BG201" s="26"/>
      <c r="BH201" s="26"/>
      <c r="BI201" s="26"/>
    </row>
    <row r="202" ht="14.25" customHeight="1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  <c r="AM202" s="26"/>
      <c r="AN202" s="26"/>
      <c r="AO202" s="26"/>
      <c r="AP202" s="26"/>
      <c r="AQ202" s="26"/>
      <c r="AR202" s="26"/>
      <c r="AS202" s="26"/>
      <c r="AT202" s="26"/>
      <c r="AU202" s="26"/>
      <c r="AV202" s="26"/>
      <c r="AW202" s="26"/>
      <c r="AX202" s="26"/>
      <c r="AY202" s="26"/>
      <c r="AZ202" s="26"/>
      <c r="BA202" s="26"/>
      <c r="BB202" s="26"/>
      <c r="BC202" s="26"/>
      <c r="BD202" s="26"/>
      <c r="BE202" s="26"/>
      <c r="BF202" s="26"/>
      <c r="BG202" s="26"/>
      <c r="BH202" s="26"/>
      <c r="BI202" s="26"/>
    </row>
    <row r="203" ht="14.25" customHeight="1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  <c r="AM203" s="26"/>
      <c r="AN203" s="26"/>
      <c r="AO203" s="26"/>
      <c r="AP203" s="26"/>
      <c r="AQ203" s="26"/>
      <c r="AR203" s="26"/>
      <c r="AS203" s="26"/>
      <c r="AT203" s="26"/>
      <c r="AU203" s="26"/>
      <c r="AV203" s="26"/>
      <c r="AW203" s="26"/>
      <c r="AX203" s="26"/>
      <c r="AY203" s="26"/>
      <c r="AZ203" s="26"/>
      <c r="BA203" s="26"/>
      <c r="BB203" s="26"/>
      <c r="BC203" s="26"/>
      <c r="BD203" s="26"/>
      <c r="BE203" s="26"/>
      <c r="BF203" s="26"/>
      <c r="BG203" s="26"/>
      <c r="BH203" s="26"/>
      <c r="BI203" s="26"/>
    </row>
    <row r="204" ht="14.25" customHeight="1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  <c r="AM204" s="26"/>
      <c r="AN204" s="26"/>
      <c r="AO204" s="26"/>
      <c r="AP204" s="26"/>
      <c r="AQ204" s="26"/>
      <c r="AR204" s="26"/>
      <c r="AS204" s="26"/>
      <c r="AT204" s="26"/>
      <c r="AU204" s="26"/>
      <c r="AV204" s="26"/>
      <c r="AW204" s="26"/>
      <c r="AX204" s="26"/>
      <c r="AY204" s="26"/>
      <c r="AZ204" s="26"/>
      <c r="BA204" s="26"/>
      <c r="BB204" s="26"/>
      <c r="BC204" s="26"/>
      <c r="BD204" s="26"/>
      <c r="BE204" s="26"/>
      <c r="BF204" s="26"/>
      <c r="BG204" s="26"/>
      <c r="BH204" s="26"/>
      <c r="BI204" s="26"/>
    </row>
    <row r="205" ht="14.25" customHeight="1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  <c r="AM205" s="26"/>
      <c r="AN205" s="26"/>
      <c r="AO205" s="26"/>
      <c r="AP205" s="26"/>
      <c r="AQ205" s="26"/>
      <c r="AR205" s="26"/>
      <c r="AS205" s="26"/>
      <c r="AT205" s="26"/>
      <c r="AU205" s="26"/>
      <c r="AV205" s="26"/>
      <c r="AW205" s="26"/>
      <c r="AX205" s="26"/>
      <c r="AY205" s="26"/>
      <c r="AZ205" s="26"/>
      <c r="BA205" s="26"/>
      <c r="BB205" s="26"/>
      <c r="BC205" s="26"/>
      <c r="BD205" s="26"/>
      <c r="BE205" s="26"/>
      <c r="BF205" s="26"/>
      <c r="BG205" s="26"/>
      <c r="BH205" s="26"/>
      <c r="BI205" s="26"/>
    </row>
    <row r="206" ht="14.25" customHeight="1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  <c r="AM206" s="26"/>
      <c r="AN206" s="26"/>
      <c r="AO206" s="26"/>
      <c r="AP206" s="26"/>
      <c r="AQ206" s="26"/>
      <c r="AR206" s="26"/>
      <c r="AS206" s="26"/>
      <c r="AT206" s="26"/>
      <c r="AU206" s="26"/>
      <c r="AV206" s="26"/>
      <c r="AW206" s="26"/>
      <c r="AX206" s="26"/>
      <c r="AY206" s="26"/>
      <c r="AZ206" s="26"/>
      <c r="BA206" s="26"/>
      <c r="BB206" s="26"/>
      <c r="BC206" s="26"/>
      <c r="BD206" s="26"/>
      <c r="BE206" s="26"/>
      <c r="BF206" s="26"/>
      <c r="BG206" s="26"/>
      <c r="BH206" s="26"/>
      <c r="BI206" s="26"/>
    </row>
    <row r="207" ht="14.25" customHeight="1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  <c r="AM207" s="26"/>
      <c r="AN207" s="26"/>
      <c r="AO207" s="26"/>
      <c r="AP207" s="26"/>
      <c r="AQ207" s="26"/>
      <c r="AR207" s="26"/>
      <c r="AS207" s="26"/>
      <c r="AT207" s="26"/>
      <c r="AU207" s="26"/>
      <c r="AV207" s="26"/>
      <c r="AW207" s="26"/>
      <c r="AX207" s="26"/>
      <c r="AY207" s="26"/>
      <c r="AZ207" s="26"/>
      <c r="BA207" s="26"/>
      <c r="BB207" s="26"/>
      <c r="BC207" s="26"/>
      <c r="BD207" s="26"/>
      <c r="BE207" s="26"/>
      <c r="BF207" s="26"/>
      <c r="BG207" s="26"/>
      <c r="BH207" s="26"/>
      <c r="BI207" s="26"/>
    </row>
    <row r="208" ht="14.25" customHeight="1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  <c r="AM208" s="26"/>
      <c r="AN208" s="26"/>
      <c r="AO208" s="26"/>
      <c r="AP208" s="26"/>
      <c r="AQ208" s="26"/>
      <c r="AR208" s="26"/>
      <c r="AS208" s="26"/>
      <c r="AT208" s="26"/>
      <c r="AU208" s="26"/>
      <c r="AV208" s="26"/>
      <c r="AW208" s="26"/>
      <c r="AX208" s="26"/>
      <c r="AY208" s="26"/>
      <c r="AZ208" s="26"/>
      <c r="BA208" s="26"/>
      <c r="BB208" s="26"/>
      <c r="BC208" s="26"/>
      <c r="BD208" s="26"/>
      <c r="BE208" s="26"/>
      <c r="BF208" s="26"/>
      <c r="BG208" s="26"/>
      <c r="BH208" s="26"/>
      <c r="BI208" s="26"/>
    </row>
    <row r="209" ht="14.25" customHeight="1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  <c r="AM209" s="26"/>
      <c r="AN209" s="26"/>
      <c r="AO209" s="26"/>
      <c r="AP209" s="26"/>
      <c r="AQ209" s="26"/>
      <c r="AR209" s="26"/>
      <c r="AS209" s="26"/>
      <c r="AT209" s="26"/>
      <c r="AU209" s="26"/>
      <c r="AV209" s="26"/>
      <c r="AW209" s="26"/>
      <c r="AX209" s="26"/>
      <c r="AY209" s="26"/>
      <c r="AZ209" s="26"/>
      <c r="BA209" s="26"/>
      <c r="BB209" s="26"/>
      <c r="BC209" s="26"/>
      <c r="BD209" s="26"/>
      <c r="BE209" s="26"/>
      <c r="BF209" s="26"/>
      <c r="BG209" s="26"/>
      <c r="BH209" s="26"/>
      <c r="BI209" s="26"/>
    </row>
    <row r="210" ht="14.25" customHeight="1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  <c r="AM210" s="26"/>
      <c r="AN210" s="26"/>
      <c r="AO210" s="26"/>
      <c r="AP210" s="26"/>
      <c r="AQ210" s="26"/>
      <c r="AR210" s="26"/>
      <c r="AS210" s="26"/>
      <c r="AT210" s="26"/>
      <c r="AU210" s="26"/>
      <c r="AV210" s="26"/>
      <c r="AW210" s="26"/>
      <c r="AX210" s="26"/>
      <c r="AY210" s="26"/>
      <c r="AZ210" s="26"/>
      <c r="BA210" s="26"/>
      <c r="BB210" s="26"/>
      <c r="BC210" s="26"/>
      <c r="BD210" s="26"/>
      <c r="BE210" s="26"/>
      <c r="BF210" s="26"/>
      <c r="BG210" s="26"/>
      <c r="BH210" s="26"/>
      <c r="BI210" s="26"/>
    </row>
    <row r="211" ht="14.25" customHeight="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  <c r="AM211" s="26"/>
      <c r="AN211" s="26"/>
      <c r="AO211" s="26"/>
      <c r="AP211" s="26"/>
      <c r="AQ211" s="26"/>
      <c r="AR211" s="26"/>
      <c r="AS211" s="26"/>
      <c r="AT211" s="26"/>
      <c r="AU211" s="26"/>
      <c r="AV211" s="26"/>
      <c r="AW211" s="26"/>
      <c r="AX211" s="26"/>
      <c r="AY211" s="26"/>
      <c r="AZ211" s="26"/>
      <c r="BA211" s="26"/>
      <c r="BB211" s="26"/>
      <c r="BC211" s="26"/>
      <c r="BD211" s="26"/>
      <c r="BE211" s="26"/>
      <c r="BF211" s="26"/>
      <c r="BG211" s="26"/>
      <c r="BH211" s="26"/>
      <c r="BI211" s="26"/>
    </row>
    <row r="212" ht="14.25" customHeight="1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  <c r="AM212" s="26"/>
      <c r="AN212" s="26"/>
      <c r="AO212" s="26"/>
      <c r="AP212" s="26"/>
      <c r="AQ212" s="26"/>
      <c r="AR212" s="26"/>
      <c r="AS212" s="26"/>
      <c r="AT212" s="26"/>
      <c r="AU212" s="26"/>
      <c r="AV212" s="26"/>
      <c r="AW212" s="26"/>
      <c r="AX212" s="26"/>
      <c r="AY212" s="26"/>
      <c r="AZ212" s="26"/>
      <c r="BA212" s="26"/>
      <c r="BB212" s="26"/>
      <c r="BC212" s="26"/>
      <c r="BD212" s="26"/>
      <c r="BE212" s="26"/>
      <c r="BF212" s="26"/>
      <c r="BG212" s="26"/>
      <c r="BH212" s="26"/>
      <c r="BI212" s="26"/>
    </row>
    <row r="213" ht="14.25" customHeight="1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  <c r="AM213" s="26"/>
      <c r="AN213" s="26"/>
      <c r="AO213" s="26"/>
      <c r="AP213" s="26"/>
      <c r="AQ213" s="26"/>
      <c r="AR213" s="26"/>
      <c r="AS213" s="26"/>
      <c r="AT213" s="26"/>
      <c r="AU213" s="26"/>
      <c r="AV213" s="26"/>
      <c r="AW213" s="26"/>
      <c r="AX213" s="26"/>
      <c r="AY213" s="26"/>
      <c r="AZ213" s="26"/>
      <c r="BA213" s="26"/>
      <c r="BB213" s="26"/>
      <c r="BC213" s="26"/>
      <c r="BD213" s="26"/>
      <c r="BE213" s="26"/>
      <c r="BF213" s="26"/>
      <c r="BG213" s="26"/>
      <c r="BH213" s="26"/>
      <c r="BI213" s="26"/>
    </row>
    <row r="214" ht="14.25" customHeight="1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  <c r="AM214" s="26"/>
      <c r="AN214" s="26"/>
      <c r="AO214" s="26"/>
      <c r="AP214" s="26"/>
      <c r="AQ214" s="26"/>
      <c r="AR214" s="26"/>
      <c r="AS214" s="26"/>
      <c r="AT214" s="26"/>
      <c r="AU214" s="26"/>
      <c r="AV214" s="26"/>
      <c r="AW214" s="26"/>
      <c r="AX214" s="26"/>
      <c r="AY214" s="26"/>
      <c r="AZ214" s="26"/>
      <c r="BA214" s="26"/>
      <c r="BB214" s="26"/>
      <c r="BC214" s="26"/>
      <c r="BD214" s="26"/>
      <c r="BE214" s="26"/>
      <c r="BF214" s="26"/>
      <c r="BG214" s="26"/>
      <c r="BH214" s="26"/>
      <c r="BI214" s="26"/>
    </row>
    <row r="215" ht="14.25" customHeight="1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  <c r="AM215" s="26"/>
      <c r="AN215" s="26"/>
      <c r="AO215" s="26"/>
      <c r="AP215" s="26"/>
      <c r="AQ215" s="26"/>
      <c r="AR215" s="26"/>
      <c r="AS215" s="26"/>
      <c r="AT215" s="26"/>
      <c r="AU215" s="26"/>
      <c r="AV215" s="26"/>
      <c r="AW215" s="26"/>
      <c r="AX215" s="26"/>
      <c r="AY215" s="26"/>
      <c r="AZ215" s="26"/>
      <c r="BA215" s="26"/>
      <c r="BB215" s="26"/>
      <c r="BC215" s="26"/>
      <c r="BD215" s="26"/>
      <c r="BE215" s="26"/>
      <c r="BF215" s="26"/>
      <c r="BG215" s="26"/>
      <c r="BH215" s="26"/>
      <c r="BI215" s="26"/>
    </row>
    <row r="216" ht="14.25" customHeight="1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  <c r="AM216" s="26"/>
      <c r="AN216" s="26"/>
      <c r="AO216" s="26"/>
      <c r="AP216" s="26"/>
      <c r="AQ216" s="26"/>
      <c r="AR216" s="26"/>
      <c r="AS216" s="26"/>
      <c r="AT216" s="26"/>
      <c r="AU216" s="26"/>
      <c r="AV216" s="26"/>
      <c r="AW216" s="26"/>
      <c r="AX216" s="26"/>
      <c r="AY216" s="26"/>
      <c r="AZ216" s="26"/>
      <c r="BA216" s="26"/>
      <c r="BB216" s="26"/>
      <c r="BC216" s="26"/>
      <c r="BD216" s="26"/>
      <c r="BE216" s="26"/>
      <c r="BF216" s="26"/>
      <c r="BG216" s="26"/>
      <c r="BH216" s="26"/>
      <c r="BI216" s="26"/>
    </row>
    <row r="217" ht="14.25" customHeight="1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  <c r="AM217" s="26"/>
      <c r="AN217" s="26"/>
      <c r="AO217" s="26"/>
      <c r="AP217" s="26"/>
      <c r="AQ217" s="26"/>
      <c r="AR217" s="26"/>
      <c r="AS217" s="26"/>
      <c r="AT217" s="26"/>
      <c r="AU217" s="26"/>
      <c r="AV217" s="26"/>
      <c r="AW217" s="26"/>
      <c r="AX217" s="26"/>
      <c r="AY217" s="26"/>
      <c r="AZ217" s="26"/>
      <c r="BA217" s="26"/>
      <c r="BB217" s="26"/>
      <c r="BC217" s="26"/>
      <c r="BD217" s="26"/>
      <c r="BE217" s="26"/>
      <c r="BF217" s="26"/>
      <c r="BG217" s="26"/>
      <c r="BH217" s="26"/>
      <c r="BI217" s="26"/>
    </row>
    <row r="218" ht="14.25" customHeight="1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  <c r="AM218" s="26"/>
      <c r="AN218" s="26"/>
      <c r="AO218" s="26"/>
      <c r="AP218" s="26"/>
      <c r="AQ218" s="26"/>
      <c r="AR218" s="26"/>
      <c r="AS218" s="26"/>
      <c r="AT218" s="26"/>
      <c r="AU218" s="26"/>
      <c r="AV218" s="26"/>
      <c r="AW218" s="26"/>
      <c r="AX218" s="26"/>
      <c r="AY218" s="26"/>
      <c r="AZ218" s="26"/>
      <c r="BA218" s="26"/>
      <c r="BB218" s="26"/>
      <c r="BC218" s="26"/>
      <c r="BD218" s="26"/>
      <c r="BE218" s="26"/>
      <c r="BF218" s="26"/>
      <c r="BG218" s="26"/>
      <c r="BH218" s="26"/>
      <c r="BI218" s="26"/>
    </row>
    <row r="219" ht="14.25" customHeight="1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  <c r="AM219" s="26"/>
      <c r="AN219" s="26"/>
      <c r="AO219" s="26"/>
      <c r="AP219" s="26"/>
      <c r="AQ219" s="26"/>
      <c r="AR219" s="26"/>
      <c r="AS219" s="26"/>
      <c r="AT219" s="26"/>
      <c r="AU219" s="26"/>
      <c r="AV219" s="26"/>
      <c r="AW219" s="26"/>
      <c r="AX219" s="26"/>
      <c r="AY219" s="26"/>
      <c r="AZ219" s="26"/>
      <c r="BA219" s="26"/>
      <c r="BB219" s="26"/>
      <c r="BC219" s="26"/>
      <c r="BD219" s="26"/>
      <c r="BE219" s="26"/>
      <c r="BF219" s="26"/>
      <c r="BG219" s="26"/>
      <c r="BH219" s="26"/>
      <c r="BI219" s="26"/>
    </row>
    <row r="220" ht="14.25" customHeight="1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  <c r="AM220" s="26"/>
      <c r="AN220" s="26"/>
      <c r="AO220" s="26"/>
      <c r="AP220" s="26"/>
      <c r="AQ220" s="26"/>
      <c r="AR220" s="26"/>
      <c r="AS220" s="26"/>
      <c r="AT220" s="26"/>
      <c r="AU220" s="26"/>
      <c r="AV220" s="26"/>
      <c r="AW220" s="26"/>
      <c r="AX220" s="26"/>
      <c r="AY220" s="26"/>
      <c r="AZ220" s="26"/>
      <c r="BA220" s="26"/>
      <c r="BB220" s="26"/>
      <c r="BC220" s="26"/>
      <c r="BD220" s="26"/>
      <c r="BE220" s="26"/>
      <c r="BF220" s="26"/>
      <c r="BG220" s="26"/>
      <c r="BH220" s="26"/>
      <c r="BI220" s="26"/>
    </row>
    <row r="221" ht="14.25" customHeight="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  <c r="AM221" s="26"/>
      <c r="AN221" s="26"/>
      <c r="AO221" s="26"/>
      <c r="AP221" s="26"/>
      <c r="AQ221" s="26"/>
      <c r="AR221" s="26"/>
      <c r="AS221" s="26"/>
      <c r="AT221" s="26"/>
      <c r="AU221" s="26"/>
      <c r="AV221" s="26"/>
      <c r="AW221" s="26"/>
      <c r="AX221" s="26"/>
      <c r="AY221" s="26"/>
      <c r="AZ221" s="26"/>
      <c r="BA221" s="26"/>
      <c r="BB221" s="26"/>
      <c r="BC221" s="26"/>
      <c r="BD221" s="26"/>
      <c r="BE221" s="26"/>
      <c r="BF221" s="26"/>
      <c r="BG221" s="26"/>
      <c r="BH221" s="26"/>
      <c r="BI221" s="26"/>
    </row>
    <row r="222" ht="14.25" customHeight="1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  <c r="AM222" s="26"/>
      <c r="AN222" s="26"/>
      <c r="AO222" s="26"/>
      <c r="AP222" s="26"/>
      <c r="AQ222" s="26"/>
      <c r="AR222" s="26"/>
      <c r="AS222" s="26"/>
      <c r="AT222" s="26"/>
      <c r="AU222" s="26"/>
      <c r="AV222" s="26"/>
      <c r="AW222" s="26"/>
      <c r="AX222" s="26"/>
      <c r="AY222" s="26"/>
      <c r="AZ222" s="26"/>
      <c r="BA222" s="26"/>
      <c r="BB222" s="26"/>
      <c r="BC222" s="26"/>
      <c r="BD222" s="26"/>
      <c r="BE222" s="26"/>
      <c r="BF222" s="26"/>
      <c r="BG222" s="26"/>
      <c r="BH222" s="26"/>
      <c r="BI222" s="26"/>
    </row>
    <row r="223" ht="14.25" customHeight="1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  <c r="AM223" s="26"/>
      <c r="AN223" s="26"/>
      <c r="AO223" s="26"/>
      <c r="AP223" s="26"/>
      <c r="AQ223" s="26"/>
      <c r="AR223" s="26"/>
      <c r="AS223" s="26"/>
      <c r="AT223" s="26"/>
      <c r="AU223" s="26"/>
      <c r="AV223" s="26"/>
      <c r="AW223" s="26"/>
      <c r="AX223" s="26"/>
      <c r="AY223" s="26"/>
      <c r="AZ223" s="26"/>
      <c r="BA223" s="26"/>
      <c r="BB223" s="26"/>
      <c r="BC223" s="26"/>
      <c r="BD223" s="26"/>
      <c r="BE223" s="26"/>
      <c r="BF223" s="26"/>
      <c r="BG223" s="26"/>
      <c r="BH223" s="26"/>
      <c r="BI223" s="26"/>
    </row>
    <row r="224" ht="14.25" customHeight="1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  <c r="AM224" s="26"/>
      <c r="AN224" s="26"/>
      <c r="AO224" s="26"/>
      <c r="AP224" s="26"/>
      <c r="AQ224" s="26"/>
      <c r="AR224" s="26"/>
      <c r="AS224" s="26"/>
      <c r="AT224" s="26"/>
      <c r="AU224" s="26"/>
      <c r="AV224" s="26"/>
      <c r="AW224" s="26"/>
      <c r="AX224" s="26"/>
      <c r="AY224" s="26"/>
      <c r="AZ224" s="26"/>
      <c r="BA224" s="26"/>
      <c r="BB224" s="26"/>
      <c r="BC224" s="26"/>
      <c r="BD224" s="26"/>
      <c r="BE224" s="26"/>
      <c r="BF224" s="26"/>
      <c r="BG224" s="26"/>
      <c r="BH224" s="26"/>
      <c r="BI224" s="26"/>
    </row>
    <row r="225" ht="14.25" customHeight="1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  <c r="AM225" s="26"/>
      <c r="AN225" s="26"/>
      <c r="AO225" s="26"/>
      <c r="AP225" s="26"/>
      <c r="AQ225" s="26"/>
      <c r="AR225" s="26"/>
      <c r="AS225" s="26"/>
      <c r="AT225" s="26"/>
      <c r="AU225" s="26"/>
      <c r="AV225" s="26"/>
      <c r="AW225" s="26"/>
      <c r="AX225" s="26"/>
      <c r="AY225" s="26"/>
      <c r="AZ225" s="26"/>
      <c r="BA225" s="26"/>
      <c r="BB225" s="26"/>
      <c r="BC225" s="26"/>
      <c r="BD225" s="26"/>
      <c r="BE225" s="26"/>
      <c r="BF225" s="26"/>
      <c r="BG225" s="26"/>
      <c r="BH225" s="26"/>
      <c r="BI225" s="26"/>
    </row>
    <row r="226" ht="14.25" customHeight="1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  <c r="AM226" s="26"/>
      <c r="AN226" s="26"/>
      <c r="AO226" s="26"/>
      <c r="AP226" s="26"/>
      <c r="AQ226" s="26"/>
      <c r="AR226" s="26"/>
      <c r="AS226" s="26"/>
      <c r="AT226" s="26"/>
      <c r="AU226" s="26"/>
      <c r="AV226" s="26"/>
      <c r="AW226" s="26"/>
      <c r="AX226" s="26"/>
      <c r="AY226" s="26"/>
      <c r="AZ226" s="26"/>
      <c r="BA226" s="26"/>
      <c r="BB226" s="26"/>
      <c r="BC226" s="26"/>
      <c r="BD226" s="26"/>
      <c r="BE226" s="26"/>
      <c r="BF226" s="26"/>
      <c r="BG226" s="26"/>
      <c r="BH226" s="26"/>
      <c r="BI226" s="26"/>
    </row>
    <row r="227" ht="14.25" customHeight="1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  <c r="AM227" s="26"/>
      <c r="AN227" s="26"/>
      <c r="AO227" s="26"/>
      <c r="AP227" s="26"/>
      <c r="AQ227" s="26"/>
      <c r="AR227" s="26"/>
      <c r="AS227" s="26"/>
      <c r="AT227" s="26"/>
      <c r="AU227" s="26"/>
      <c r="AV227" s="26"/>
      <c r="AW227" s="26"/>
      <c r="AX227" s="26"/>
      <c r="AY227" s="26"/>
      <c r="AZ227" s="26"/>
      <c r="BA227" s="26"/>
      <c r="BB227" s="26"/>
      <c r="BC227" s="26"/>
      <c r="BD227" s="26"/>
      <c r="BE227" s="26"/>
      <c r="BF227" s="26"/>
      <c r="BG227" s="26"/>
      <c r="BH227" s="26"/>
      <c r="BI227" s="26"/>
    </row>
    <row r="228" ht="14.25" customHeight="1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  <c r="AM228" s="26"/>
      <c r="AN228" s="26"/>
      <c r="AO228" s="26"/>
      <c r="AP228" s="26"/>
      <c r="AQ228" s="26"/>
      <c r="AR228" s="26"/>
      <c r="AS228" s="26"/>
      <c r="AT228" s="26"/>
      <c r="AU228" s="26"/>
      <c r="AV228" s="26"/>
      <c r="AW228" s="26"/>
      <c r="AX228" s="26"/>
      <c r="AY228" s="26"/>
      <c r="AZ228" s="26"/>
      <c r="BA228" s="26"/>
      <c r="BB228" s="26"/>
      <c r="BC228" s="26"/>
      <c r="BD228" s="26"/>
      <c r="BE228" s="26"/>
      <c r="BF228" s="26"/>
      <c r="BG228" s="26"/>
      <c r="BH228" s="26"/>
      <c r="BI228" s="26"/>
    </row>
    <row r="229" ht="14.25" customHeight="1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  <c r="AM229" s="26"/>
      <c r="AN229" s="26"/>
      <c r="AO229" s="26"/>
      <c r="AP229" s="26"/>
      <c r="AQ229" s="26"/>
      <c r="AR229" s="26"/>
      <c r="AS229" s="26"/>
      <c r="AT229" s="26"/>
      <c r="AU229" s="26"/>
      <c r="AV229" s="26"/>
      <c r="AW229" s="26"/>
      <c r="AX229" s="26"/>
      <c r="AY229" s="26"/>
      <c r="AZ229" s="26"/>
      <c r="BA229" s="26"/>
      <c r="BB229" s="26"/>
      <c r="BC229" s="26"/>
      <c r="BD229" s="26"/>
      <c r="BE229" s="26"/>
      <c r="BF229" s="26"/>
      <c r="BG229" s="26"/>
      <c r="BH229" s="26"/>
      <c r="BI229" s="26"/>
    </row>
    <row r="230" ht="14.25" customHeight="1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  <c r="AM230" s="26"/>
      <c r="AN230" s="26"/>
      <c r="AO230" s="26"/>
      <c r="AP230" s="26"/>
      <c r="AQ230" s="26"/>
      <c r="AR230" s="26"/>
      <c r="AS230" s="26"/>
      <c r="AT230" s="26"/>
      <c r="AU230" s="26"/>
      <c r="AV230" s="26"/>
      <c r="AW230" s="26"/>
      <c r="AX230" s="26"/>
      <c r="AY230" s="26"/>
      <c r="AZ230" s="26"/>
      <c r="BA230" s="26"/>
      <c r="BB230" s="26"/>
      <c r="BC230" s="26"/>
      <c r="BD230" s="26"/>
      <c r="BE230" s="26"/>
      <c r="BF230" s="26"/>
      <c r="BG230" s="26"/>
      <c r="BH230" s="26"/>
      <c r="BI230" s="26"/>
    </row>
    <row r="231" ht="14.25" customHeight="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  <c r="AM231" s="26"/>
      <c r="AN231" s="26"/>
      <c r="AO231" s="26"/>
      <c r="AP231" s="26"/>
      <c r="AQ231" s="26"/>
      <c r="AR231" s="26"/>
      <c r="AS231" s="26"/>
      <c r="AT231" s="26"/>
      <c r="AU231" s="26"/>
      <c r="AV231" s="26"/>
      <c r="AW231" s="26"/>
      <c r="AX231" s="26"/>
      <c r="AY231" s="26"/>
      <c r="AZ231" s="26"/>
      <c r="BA231" s="26"/>
      <c r="BB231" s="26"/>
      <c r="BC231" s="26"/>
      <c r="BD231" s="26"/>
      <c r="BE231" s="26"/>
      <c r="BF231" s="26"/>
      <c r="BG231" s="26"/>
      <c r="BH231" s="26"/>
      <c r="BI231" s="26"/>
    </row>
    <row r="232" ht="14.25" customHeight="1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  <c r="AM232" s="26"/>
      <c r="AN232" s="26"/>
      <c r="AO232" s="26"/>
      <c r="AP232" s="26"/>
      <c r="AQ232" s="26"/>
      <c r="AR232" s="26"/>
      <c r="AS232" s="26"/>
      <c r="AT232" s="26"/>
      <c r="AU232" s="26"/>
      <c r="AV232" s="26"/>
      <c r="AW232" s="26"/>
      <c r="AX232" s="26"/>
      <c r="AY232" s="26"/>
      <c r="AZ232" s="26"/>
      <c r="BA232" s="26"/>
      <c r="BB232" s="26"/>
      <c r="BC232" s="26"/>
      <c r="BD232" s="26"/>
      <c r="BE232" s="26"/>
      <c r="BF232" s="26"/>
      <c r="BG232" s="26"/>
      <c r="BH232" s="26"/>
      <c r="BI232" s="26"/>
    </row>
    <row r="233" ht="14.25" customHeight="1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  <c r="AM233" s="26"/>
      <c r="AN233" s="26"/>
      <c r="AO233" s="26"/>
      <c r="AP233" s="26"/>
      <c r="AQ233" s="26"/>
      <c r="AR233" s="26"/>
      <c r="AS233" s="26"/>
      <c r="AT233" s="26"/>
      <c r="AU233" s="26"/>
      <c r="AV233" s="26"/>
      <c r="AW233" s="26"/>
      <c r="AX233" s="26"/>
      <c r="AY233" s="26"/>
      <c r="AZ233" s="26"/>
      <c r="BA233" s="26"/>
      <c r="BB233" s="26"/>
      <c r="BC233" s="26"/>
      <c r="BD233" s="26"/>
      <c r="BE233" s="26"/>
      <c r="BF233" s="26"/>
      <c r="BG233" s="26"/>
      <c r="BH233" s="26"/>
      <c r="BI233" s="26"/>
    </row>
    <row r="234" ht="14.25" customHeight="1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  <c r="AM234" s="26"/>
      <c r="AN234" s="26"/>
      <c r="AO234" s="26"/>
      <c r="AP234" s="26"/>
      <c r="AQ234" s="26"/>
      <c r="AR234" s="26"/>
      <c r="AS234" s="26"/>
      <c r="AT234" s="26"/>
      <c r="AU234" s="26"/>
      <c r="AV234" s="26"/>
      <c r="AW234" s="26"/>
      <c r="AX234" s="26"/>
      <c r="AY234" s="26"/>
      <c r="AZ234" s="26"/>
      <c r="BA234" s="26"/>
      <c r="BB234" s="26"/>
      <c r="BC234" s="26"/>
      <c r="BD234" s="26"/>
      <c r="BE234" s="26"/>
      <c r="BF234" s="26"/>
      <c r="BG234" s="26"/>
      <c r="BH234" s="26"/>
      <c r="BI234" s="26"/>
    </row>
    <row r="235" ht="14.25" customHeight="1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  <c r="AM235" s="26"/>
      <c r="AN235" s="26"/>
      <c r="AO235" s="26"/>
      <c r="AP235" s="26"/>
      <c r="AQ235" s="26"/>
      <c r="AR235" s="26"/>
      <c r="AS235" s="26"/>
      <c r="AT235" s="26"/>
      <c r="AU235" s="26"/>
      <c r="AV235" s="26"/>
      <c r="AW235" s="26"/>
      <c r="AX235" s="26"/>
      <c r="AY235" s="26"/>
      <c r="AZ235" s="26"/>
      <c r="BA235" s="26"/>
      <c r="BB235" s="26"/>
      <c r="BC235" s="26"/>
      <c r="BD235" s="26"/>
      <c r="BE235" s="26"/>
      <c r="BF235" s="26"/>
      <c r="BG235" s="26"/>
      <c r="BH235" s="26"/>
      <c r="BI235" s="26"/>
    </row>
    <row r="236" ht="14.25" customHeight="1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  <c r="AM236" s="26"/>
      <c r="AN236" s="26"/>
      <c r="AO236" s="26"/>
      <c r="AP236" s="26"/>
      <c r="AQ236" s="26"/>
      <c r="AR236" s="26"/>
      <c r="AS236" s="26"/>
      <c r="AT236" s="26"/>
      <c r="AU236" s="26"/>
      <c r="AV236" s="26"/>
      <c r="AW236" s="26"/>
      <c r="AX236" s="26"/>
      <c r="AY236" s="26"/>
      <c r="AZ236" s="26"/>
      <c r="BA236" s="26"/>
      <c r="BB236" s="26"/>
      <c r="BC236" s="26"/>
      <c r="BD236" s="26"/>
      <c r="BE236" s="26"/>
      <c r="BF236" s="26"/>
      <c r="BG236" s="26"/>
      <c r="BH236" s="26"/>
      <c r="BI236" s="26"/>
    </row>
    <row r="237" ht="14.25" customHeight="1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  <c r="AM237" s="26"/>
      <c r="AN237" s="26"/>
      <c r="AO237" s="26"/>
      <c r="AP237" s="26"/>
      <c r="AQ237" s="26"/>
      <c r="AR237" s="26"/>
      <c r="AS237" s="26"/>
      <c r="AT237" s="26"/>
      <c r="AU237" s="26"/>
      <c r="AV237" s="26"/>
      <c r="AW237" s="26"/>
      <c r="AX237" s="26"/>
      <c r="AY237" s="26"/>
      <c r="AZ237" s="26"/>
      <c r="BA237" s="26"/>
      <c r="BB237" s="26"/>
      <c r="BC237" s="26"/>
      <c r="BD237" s="26"/>
      <c r="BE237" s="26"/>
      <c r="BF237" s="26"/>
      <c r="BG237" s="26"/>
      <c r="BH237" s="26"/>
      <c r="BI237" s="26"/>
    </row>
    <row r="238" ht="14.25" customHeight="1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  <c r="AM238" s="26"/>
      <c r="AN238" s="26"/>
      <c r="AO238" s="26"/>
      <c r="AP238" s="26"/>
      <c r="AQ238" s="26"/>
      <c r="AR238" s="26"/>
      <c r="AS238" s="26"/>
      <c r="AT238" s="26"/>
      <c r="AU238" s="26"/>
      <c r="AV238" s="26"/>
      <c r="AW238" s="26"/>
      <c r="AX238" s="26"/>
      <c r="AY238" s="26"/>
      <c r="AZ238" s="26"/>
      <c r="BA238" s="26"/>
      <c r="BB238" s="26"/>
      <c r="BC238" s="26"/>
      <c r="BD238" s="26"/>
      <c r="BE238" s="26"/>
      <c r="BF238" s="26"/>
      <c r="BG238" s="26"/>
      <c r="BH238" s="26"/>
      <c r="BI238" s="26"/>
    </row>
    <row r="239" ht="14.25" customHeight="1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  <c r="AM239" s="26"/>
      <c r="AN239" s="26"/>
      <c r="AO239" s="26"/>
      <c r="AP239" s="26"/>
      <c r="AQ239" s="26"/>
      <c r="AR239" s="26"/>
      <c r="AS239" s="26"/>
      <c r="AT239" s="26"/>
      <c r="AU239" s="26"/>
      <c r="AV239" s="26"/>
      <c r="AW239" s="26"/>
      <c r="AX239" s="26"/>
      <c r="AY239" s="26"/>
      <c r="AZ239" s="26"/>
      <c r="BA239" s="26"/>
      <c r="BB239" s="26"/>
      <c r="BC239" s="26"/>
      <c r="BD239" s="26"/>
      <c r="BE239" s="26"/>
      <c r="BF239" s="26"/>
      <c r="BG239" s="26"/>
      <c r="BH239" s="26"/>
      <c r="BI239" s="26"/>
    </row>
    <row r="240" ht="14.25" customHeight="1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  <c r="AM240" s="26"/>
      <c r="AN240" s="26"/>
      <c r="AO240" s="26"/>
      <c r="AP240" s="26"/>
      <c r="AQ240" s="26"/>
      <c r="AR240" s="26"/>
      <c r="AS240" s="26"/>
      <c r="AT240" s="26"/>
      <c r="AU240" s="26"/>
      <c r="AV240" s="26"/>
      <c r="AW240" s="26"/>
      <c r="AX240" s="26"/>
      <c r="AY240" s="26"/>
      <c r="AZ240" s="26"/>
      <c r="BA240" s="26"/>
      <c r="BB240" s="26"/>
      <c r="BC240" s="26"/>
      <c r="BD240" s="26"/>
      <c r="BE240" s="26"/>
      <c r="BF240" s="26"/>
      <c r="BG240" s="26"/>
      <c r="BH240" s="26"/>
      <c r="BI240" s="26"/>
    </row>
    <row r="241" ht="14.25" customHeight="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  <c r="AM241" s="26"/>
      <c r="AN241" s="26"/>
      <c r="AO241" s="26"/>
      <c r="AP241" s="26"/>
      <c r="AQ241" s="26"/>
      <c r="AR241" s="26"/>
      <c r="AS241" s="26"/>
      <c r="AT241" s="26"/>
      <c r="AU241" s="26"/>
      <c r="AV241" s="26"/>
      <c r="AW241" s="26"/>
      <c r="AX241" s="26"/>
      <c r="AY241" s="26"/>
      <c r="AZ241" s="26"/>
      <c r="BA241" s="26"/>
      <c r="BB241" s="26"/>
      <c r="BC241" s="26"/>
      <c r="BD241" s="26"/>
      <c r="BE241" s="26"/>
      <c r="BF241" s="26"/>
      <c r="BG241" s="26"/>
      <c r="BH241" s="26"/>
      <c r="BI241" s="26"/>
    </row>
    <row r="242" ht="14.25" customHeight="1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  <c r="AM242" s="26"/>
      <c r="AN242" s="26"/>
      <c r="AO242" s="26"/>
      <c r="AP242" s="26"/>
      <c r="AQ242" s="26"/>
      <c r="AR242" s="26"/>
      <c r="AS242" s="26"/>
      <c r="AT242" s="26"/>
      <c r="AU242" s="26"/>
      <c r="AV242" s="26"/>
      <c r="AW242" s="26"/>
      <c r="AX242" s="26"/>
      <c r="AY242" s="26"/>
      <c r="AZ242" s="26"/>
      <c r="BA242" s="26"/>
      <c r="BB242" s="26"/>
      <c r="BC242" s="26"/>
      <c r="BD242" s="26"/>
      <c r="BE242" s="26"/>
      <c r="BF242" s="26"/>
      <c r="BG242" s="26"/>
      <c r="BH242" s="26"/>
      <c r="BI242" s="26"/>
    </row>
    <row r="243" ht="14.25" customHeight="1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  <c r="AM243" s="26"/>
      <c r="AN243" s="26"/>
      <c r="AO243" s="26"/>
      <c r="AP243" s="26"/>
      <c r="AQ243" s="26"/>
      <c r="AR243" s="26"/>
      <c r="AS243" s="26"/>
      <c r="AT243" s="26"/>
      <c r="AU243" s="26"/>
      <c r="AV243" s="26"/>
      <c r="AW243" s="26"/>
      <c r="AX243" s="26"/>
      <c r="AY243" s="26"/>
      <c r="AZ243" s="26"/>
      <c r="BA243" s="26"/>
      <c r="BB243" s="26"/>
      <c r="BC243" s="26"/>
      <c r="BD243" s="26"/>
      <c r="BE243" s="26"/>
      <c r="BF243" s="26"/>
      <c r="BG243" s="26"/>
      <c r="BH243" s="26"/>
      <c r="BI243" s="26"/>
    </row>
    <row r="244" ht="14.25" customHeight="1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  <c r="AM244" s="26"/>
      <c r="AN244" s="26"/>
      <c r="AO244" s="26"/>
      <c r="AP244" s="26"/>
      <c r="AQ244" s="26"/>
      <c r="AR244" s="26"/>
      <c r="AS244" s="26"/>
      <c r="AT244" s="26"/>
      <c r="AU244" s="26"/>
      <c r="AV244" s="26"/>
      <c r="AW244" s="26"/>
      <c r="AX244" s="26"/>
      <c r="AY244" s="26"/>
      <c r="AZ244" s="26"/>
      <c r="BA244" s="26"/>
      <c r="BB244" s="26"/>
      <c r="BC244" s="26"/>
      <c r="BD244" s="26"/>
      <c r="BE244" s="26"/>
      <c r="BF244" s="26"/>
      <c r="BG244" s="26"/>
      <c r="BH244" s="26"/>
      <c r="BI244" s="26"/>
    </row>
    <row r="245" ht="14.25" customHeight="1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  <c r="AM245" s="26"/>
      <c r="AN245" s="26"/>
      <c r="AO245" s="26"/>
      <c r="AP245" s="26"/>
      <c r="AQ245" s="26"/>
      <c r="AR245" s="26"/>
      <c r="AS245" s="26"/>
      <c r="AT245" s="26"/>
      <c r="AU245" s="26"/>
      <c r="AV245" s="26"/>
      <c r="AW245" s="26"/>
      <c r="AX245" s="26"/>
      <c r="AY245" s="26"/>
      <c r="AZ245" s="26"/>
      <c r="BA245" s="26"/>
      <c r="BB245" s="26"/>
      <c r="BC245" s="26"/>
      <c r="BD245" s="26"/>
      <c r="BE245" s="26"/>
      <c r="BF245" s="26"/>
      <c r="BG245" s="26"/>
      <c r="BH245" s="26"/>
      <c r="BI245" s="26"/>
    </row>
    <row r="246" ht="14.25" customHeight="1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  <c r="AM246" s="26"/>
      <c r="AN246" s="26"/>
      <c r="AO246" s="26"/>
      <c r="AP246" s="26"/>
      <c r="AQ246" s="26"/>
      <c r="AR246" s="26"/>
      <c r="AS246" s="26"/>
      <c r="AT246" s="26"/>
      <c r="AU246" s="26"/>
      <c r="AV246" s="26"/>
      <c r="AW246" s="26"/>
      <c r="AX246" s="26"/>
      <c r="AY246" s="26"/>
      <c r="AZ246" s="26"/>
      <c r="BA246" s="26"/>
      <c r="BB246" s="26"/>
      <c r="BC246" s="26"/>
      <c r="BD246" s="26"/>
      <c r="BE246" s="26"/>
      <c r="BF246" s="26"/>
      <c r="BG246" s="26"/>
      <c r="BH246" s="26"/>
      <c r="BI246" s="26"/>
    </row>
    <row r="247" ht="14.25" customHeight="1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  <c r="AM247" s="26"/>
      <c r="AN247" s="26"/>
      <c r="AO247" s="26"/>
      <c r="AP247" s="26"/>
      <c r="AQ247" s="26"/>
      <c r="AR247" s="26"/>
      <c r="AS247" s="26"/>
      <c r="AT247" s="26"/>
      <c r="AU247" s="26"/>
      <c r="AV247" s="26"/>
      <c r="AW247" s="26"/>
      <c r="AX247" s="26"/>
      <c r="AY247" s="26"/>
      <c r="AZ247" s="26"/>
      <c r="BA247" s="26"/>
      <c r="BB247" s="26"/>
      <c r="BC247" s="26"/>
      <c r="BD247" s="26"/>
      <c r="BE247" s="26"/>
      <c r="BF247" s="26"/>
      <c r="BG247" s="26"/>
      <c r="BH247" s="26"/>
      <c r="BI247" s="26"/>
    </row>
    <row r="248" ht="14.25" customHeight="1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  <c r="AM248" s="26"/>
      <c r="AN248" s="26"/>
      <c r="AO248" s="26"/>
      <c r="AP248" s="26"/>
      <c r="AQ248" s="26"/>
      <c r="AR248" s="26"/>
      <c r="AS248" s="26"/>
      <c r="AT248" s="26"/>
      <c r="AU248" s="26"/>
      <c r="AV248" s="26"/>
      <c r="AW248" s="26"/>
      <c r="AX248" s="26"/>
      <c r="AY248" s="26"/>
      <c r="AZ248" s="26"/>
      <c r="BA248" s="26"/>
      <c r="BB248" s="26"/>
      <c r="BC248" s="26"/>
      <c r="BD248" s="26"/>
      <c r="BE248" s="26"/>
      <c r="BF248" s="26"/>
      <c r="BG248" s="26"/>
      <c r="BH248" s="26"/>
      <c r="BI248" s="26"/>
    </row>
    <row r="249" ht="14.25" customHeight="1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  <c r="AM249" s="26"/>
      <c r="AN249" s="26"/>
      <c r="AO249" s="26"/>
      <c r="AP249" s="26"/>
      <c r="AQ249" s="26"/>
      <c r="AR249" s="26"/>
      <c r="AS249" s="26"/>
      <c r="AT249" s="26"/>
      <c r="AU249" s="26"/>
      <c r="AV249" s="26"/>
      <c r="AW249" s="26"/>
      <c r="AX249" s="26"/>
      <c r="AY249" s="26"/>
      <c r="AZ249" s="26"/>
      <c r="BA249" s="26"/>
      <c r="BB249" s="26"/>
      <c r="BC249" s="26"/>
      <c r="BD249" s="26"/>
      <c r="BE249" s="26"/>
      <c r="BF249" s="26"/>
      <c r="BG249" s="26"/>
      <c r="BH249" s="26"/>
      <c r="BI249" s="26"/>
    </row>
    <row r="250" ht="14.25" customHeight="1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  <c r="AM250" s="26"/>
      <c r="AN250" s="26"/>
      <c r="AO250" s="26"/>
      <c r="AP250" s="26"/>
      <c r="AQ250" s="26"/>
      <c r="AR250" s="26"/>
      <c r="AS250" s="26"/>
      <c r="AT250" s="26"/>
      <c r="AU250" s="26"/>
      <c r="AV250" s="26"/>
      <c r="AW250" s="26"/>
      <c r="AX250" s="26"/>
      <c r="AY250" s="26"/>
      <c r="AZ250" s="26"/>
      <c r="BA250" s="26"/>
      <c r="BB250" s="26"/>
      <c r="BC250" s="26"/>
      <c r="BD250" s="26"/>
      <c r="BE250" s="26"/>
      <c r="BF250" s="26"/>
      <c r="BG250" s="26"/>
      <c r="BH250" s="26"/>
      <c r="BI250" s="26"/>
    </row>
    <row r="251" ht="14.25" customHeight="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  <c r="AM251" s="26"/>
      <c r="AN251" s="26"/>
      <c r="AO251" s="26"/>
      <c r="AP251" s="26"/>
      <c r="AQ251" s="26"/>
      <c r="AR251" s="26"/>
      <c r="AS251" s="26"/>
      <c r="AT251" s="26"/>
      <c r="AU251" s="26"/>
      <c r="AV251" s="26"/>
      <c r="AW251" s="26"/>
      <c r="AX251" s="26"/>
      <c r="AY251" s="26"/>
      <c r="AZ251" s="26"/>
      <c r="BA251" s="26"/>
      <c r="BB251" s="26"/>
      <c r="BC251" s="26"/>
      <c r="BD251" s="26"/>
      <c r="BE251" s="26"/>
      <c r="BF251" s="26"/>
      <c r="BG251" s="26"/>
      <c r="BH251" s="26"/>
      <c r="BI251" s="26"/>
    </row>
    <row r="252" ht="14.25" customHeight="1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  <c r="AH252" s="26"/>
      <c r="AI252" s="26"/>
      <c r="AJ252" s="26"/>
      <c r="AK252" s="26"/>
      <c r="AL252" s="26"/>
      <c r="AM252" s="26"/>
      <c r="AN252" s="26"/>
      <c r="AO252" s="26"/>
      <c r="AP252" s="26"/>
      <c r="AQ252" s="26"/>
      <c r="AR252" s="26"/>
      <c r="AS252" s="26"/>
      <c r="AT252" s="26"/>
      <c r="AU252" s="26"/>
      <c r="AV252" s="26"/>
      <c r="AW252" s="26"/>
      <c r="AX252" s="26"/>
      <c r="AY252" s="26"/>
      <c r="AZ252" s="26"/>
      <c r="BA252" s="26"/>
      <c r="BB252" s="26"/>
      <c r="BC252" s="26"/>
      <c r="BD252" s="26"/>
      <c r="BE252" s="26"/>
      <c r="BF252" s="26"/>
      <c r="BG252" s="26"/>
      <c r="BH252" s="26"/>
      <c r="BI252" s="26"/>
    </row>
    <row r="253" ht="14.25" customHeight="1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26"/>
      <c r="AH253" s="26"/>
      <c r="AI253" s="26"/>
      <c r="AJ253" s="26"/>
      <c r="AK253" s="26"/>
      <c r="AL253" s="26"/>
      <c r="AM253" s="26"/>
      <c r="AN253" s="26"/>
      <c r="AO253" s="26"/>
      <c r="AP253" s="26"/>
      <c r="AQ253" s="26"/>
      <c r="AR253" s="26"/>
      <c r="AS253" s="26"/>
      <c r="AT253" s="26"/>
      <c r="AU253" s="26"/>
      <c r="AV253" s="26"/>
      <c r="AW253" s="26"/>
      <c r="AX253" s="26"/>
      <c r="AY253" s="26"/>
      <c r="AZ253" s="26"/>
      <c r="BA253" s="26"/>
      <c r="BB253" s="26"/>
      <c r="BC253" s="26"/>
      <c r="BD253" s="26"/>
      <c r="BE253" s="26"/>
      <c r="BF253" s="26"/>
      <c r="BG253" s="26"/>
      <c r="BH253" s="26"/>
      <c r="BI253" s="26"/>
    </row>
    <row r="254" ht="14.25" customHeight="1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  <c r="AG254" s="26"/>
      <c r="AH254" s="26"/>
      <c r="AI254" s="26"/>
      <c r="AJ254" s="26"/>
      <c r="AK254" s="26"/>
      <c r="AL254" s="26"/>
      <c r="AM254" s="26"/>
      <c r="AN254" s="26"/>
      <c r="AO254" s="26"/>
      <c r="AP254" s="26"/>
      <c r="AQ254" s="26"/>
      <c r="AR254" s="26"/>
      <c r="AS254" s="26"/>
      <c r="AT254" s="26"/>
      <c r="AU254" s="26"/>
      <c r="AV254" s="26"/>
      <c r="AW254" s="26"/>
      <c r="AX254" s="26"/>
      <c r="AY254" s="26"/>
      <c r="AZ254" s="26"/>
      <c r="BA254" s="26"/>
      <c r="BB254" s="26"/>
      <c r="BC254" s="26"/>
      <c r="BD254" s="26"/>
      <c r="BE254" s="26"/>
      <c r="BF254" s="26"/>
      <c r="BG254" s="26"/>
      <c r="BH254" s="26"/>
      <c r="BI254" s="26"/>
    </row>
    <row r="255" ht="14.25" customHeight="1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AG255" s="26"/>
      <c r="AH255" s="26"/>
      <c r="AI255" s="26"/>
      <c r="AJ255" s="26"/>
      <c r="AK255" s="26"/>
      <c r="AL255" s="26"/>
      <c r="AM255" s="26"/>
      <c r="AN255" s="26"/>
      <c r="AO255" s="26"/>
      <c r="AP255" s="26"/>
      <c r="AQ255" s="26"/>
      <c r="AR255" s="26"/>
      <c r="AS255" s="26"/>
      <c r="AT255" s="26"/>
      <c r="AU255" s="26"/>
      <c r="AV255" s="26"/>
      <c r="AW255" s="26"/>
      <c r="AX255" s="26"/>
      <c r="AY255" s="26"/>
      <c r="AZ255" s="26"/>
      <c r="BA255" s="26"/>
      <c r="BB255" s="26"/>
      <c r="BC255" s="26"/>
      <c r="BD255" s="26"/>
      <c r="BE255" s="26"/>
      <c r="BF255" s="26"/>
      <c r="BG255" s="26"/>
      <c r="BH255" s="26"/>
      <c r="BI255" s="26"/>
    </row>
    <row r="256" ht="14.25" customHeight="1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26"/>
      <c r="AH256" s="26"/>
      <c r="AI256" s="26"/>
      <c r="AJ256" s="26"/>
      <c r="AK256" s="26"/>
      <c r="AL256" s="26"/>
      <c r="AM256" s="26"/>
      <c r="AN256" s="26"/>
      <c r="AO256" s="26"/>
      <c r="AP256" s="26"/>
      <c r="AQ256" s="26"/>
      <c r="AR256" s="26"/>
      <c r="AS256" s="26"/>
      <c r="AT256" s="26"/>
      <c r="AU256" s="26"/>
      <c r="AV256" s="26"/>
      <c r="AW256" s="26"/>
      <c r="AX256" s="26"/>
      <c r="AY256" s="26"/>
      <c r="AZ256" s="26"/>
      <c r="BA256" s="26"/>
      <c r="BB256" s="26"/>
      <c r="BC256" s="26"/>
      <c r="BD256" s="26"/>
      <c r="BE256" s="26"/>
      <c r="BF256" s="26"/>
      <c r="BG256" s="26"/>
      <c r="BH256" s="26"/>
      <c r="BI256" s="26"/>
    </row>
    <row r="257" ht="14.25" customHeight="1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26"/>
      <c r="AH257" s="26"/>
      <c r="AI257" s="26"/>
      <c r="AJ257" s="26"/>
      <c r="AK257" s="26"/>
      <c r="AL257" s="26"/>
      <c r="AM257" s="26"/>
      <c r="AN257" s="26"/>
      <c r="AO257" s="26"/>
      <c r="AP257" s="26"/>
      <c r="AQ257" s="26"/>
      <c r="AR257" s="26"/>
      <c r="AS257" s="26"/>
      <c r="AT257" s="26"/>
      <c r="AU257" s="26"/>
      <c r="AV257" s="26"/>
      <c r="AW257" s="26"/>
      <c r="AX257" s="26"/>
      <c r="AY257" s="26"/>
      <c r="AZ257" s="26"/>
      <c r="BA257" s="26"/>
      <c r="BB257" s="26"/>
      <c r="BC257" s="26"/>
      <c r="BD257" s="26"/>
      <c r="BE257" s="26"/>
      <c r="BF257" s="26"/>
      <c r="BG257" s="26"/>
      <c r="BH257" s="26"/>
      <c r="BI257" s="26"/>
    </row>
    <row r="258" ht="14.25" customHeight="1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26"/>
      <c r="AH258" s="26"/>
      <c r="AI258" s="26"/>
      <c r="AJ258" s="26"/>
      <c r="AK258" s="26"/>
      <c r="AL258" s="26"/>
      <c r="AM258" s="26"/>
      <c r="AN258" s="26"/>
      <c r="AO258" s="26"/>
      <c r="AP258" s="26"/>
      <c r="AQ258" s="26"/>
      <c r="AR258" s="26"/>
      <c r="AS258" s="26"/>
      <c r="AT258" s="26"/>
      <c r="AU258" s="26"/>
      <c r="AV258" s="26"/>
      <c r="AW258" s="26"/>
      <c r="AX258" s="26"/>
      <c r="AY258" s="26"/>
      <c r="AZ258" s="26"/>
      <c r="BA258" s="26"/>
      <c r="BB258" s="26"/>
      <c r="BC258" s="26"/>
      <c r="BD258" s="26"/>
      <c r="BE258" s="26"/>
      <c r="BF258" s="26"/>
      <c r="BG258" s="26"/>
      <c r="BH258" s="26"/>
      <c r="BI258" s="26"/>
    </row>
    <row r="259" ht="14.25" customHeight="1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  <c r="AF259" s="26"/>
      <c r="AG259" s="26"/>
      <c r="AH259" s="26"/>
      <c r="AI259" s="26"/>
      <c r="AJ259" s="26"/>
      <c r="AK259" s="26"/>
      <c r="AL259" s="26"/>
      <c r="AM259" s="26"/>
      <c r="AN259" s="26"/>
      <c r="AO259" s="26"/>
      <c r="AP259" s="26"/>
      <c r="AQ259" s="26"/>
      <c r="AR259" s="26"/>
      <c r="AS259" s="26"/>
      <c r="AT259" s="26"/>
      <c r="AU259" s="26"/>
      <c r="AV259" s="26"/>
      <c r="AW259" s="26"/>
      <c r="AX259" s="26"/>
      <c r="AY259" s="26"/>
      <c r="AZ259" s="26"/>
      <c r="BA259" s="26"/>
      <c r="BB259" s="26"/>
      <c r="BC259" s="26"/>
      <c r="BD259" s="26"/>
      <c r="BE259" s="26"/>
      <c r="BF259" s="26"/>
      <c r="BG259" s="26"/>
      <c r="BH259" s="26"/>
      <c r="BI259" s="26"/>
    </row>
    <row r="260" ht="14.25" customHeight="1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26"/>
      <c r="AH260" s="26"/>
      <c r="AI260" s="26"/>
      <c r="AJ260" s="26"/>
      <c r="AK260" s="26"/>
      <c r="AL260" s="26"/>
      <c r="AM260" s="26"/>
      <c r="AN260" s="26"/>
      <c r="AO260" s="26"/>
      <c r="AP260" s="26"/>
      <c r="AQ260" s="26"/>
      <c r="AR260" s="26"/>
      <c r="AS260" s="26"/>
      <c r="AT260" s="26"/>
      <c r="AU260" s="26"/>
      <c r="AV260" s="26"/>
      <c r="AW260" s="26"/>
      <c r="AX260" s="26"/>
      <c r="AY260" s="26"/>
      <c r="AZ260" s="26"/>
      <c r="BA260" s="26"/>
      <c r="BB260" s="26"/>
      <c r="BC260" s="26"/>
      <c r="BD260" s="26"/>
      <c r="BE260" s="26"/>
      <c r="BF260" s="26"/>
      <c r="BG260" s="26"/>
      <c r="BH260" s="26"/>
      <c r="BI260" s="26"/>
    </row>
    <row r="261" ht="14.25" customHeight="1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26"/>
      <c r="AH261" s="26"/>
      <c r="AI261" s="26"/>
      <c r="AJ261" s="26"/>
      <c r="AK261" s="26"/>
      <c r="AL261" s="26"/>
      <c r="AM261" s="26"/>
      <c r="AN261" s="26"/>
      <c r="AO261" s="26"/>
      <c r="AP261" s="26"/>
      <c r="AQ261" s="26"/>
      <c r="AR261" s="26"/>
      <c r="AS261" s="26"/>
      <c r="AT261" s="26"/>
      <c r="AU261" s="26"/>
      <c r="AV261" s="26"/>
      <c r="AW261" s="26"/>
      <c r="AX261" s="26"/>
      <c r="AY261" s="26"/>
      <c r="AZ261" s="26"/>
      <c r="BA261" s="26"/>
      <c r="BB261" s="26"/>
      <c r="BC261" s="26"/>
      <c r="BD261" s="26"/>
      <c r="BE261" s="26"/>
      <c r="BF261" s="26"/>
      <c r="BG261" s="26"/>
      <c r="BH261" s="26"/>
      <c r="BI261" s="26"/>
    </row>
    <row r="262" ht="14.25" customHeight="1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26"/>
      <c r="AH262" s="26"/>
      <c r="AI262" s="26"/>
      <c r="AJ262" s="26"/>
      <c r="AK262" s="26"/>
      <c r="AL262" s="26"/>
      <c r="AM262" s="26"/>
      <c r="AN262" s="26"/>
      <c r="AO262" s="26"/>
      <c r="AP262" s="26"/>
      <c r="AQ262" s="26"/>
      <c r="AR262" s="26"/>
      <c r="AS262" s="26"/>
      <c r="AT262" s="26"/>
      <c r="AU262" s="26"/>
      <c r="AV262" s="26"/>
      <c r="AW262" s="26"/>
      <c r="AX262" s="26"/>
      <c r="AY262" s="26"/>
      <c r="AZ262" s="26"/>
      <c r="BA262" s="26"/>
      <c r="BB262" s="26"/>
      <c r="BC262" s="26"/>
      <c r="BD262" s="26"/>
      <c r="BE262" s="26"/>
      <c r="BF262" s="26"/>
      <c r="BG262" s="26"/>
      <c r="BH262" s="26"/>
      <c r="BI262" s="26"/>
    </row>
    <row r="263" ht="14.25" customHeight="1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26"/>
      <c r="AH263" s="26"/>
      <c r="AI263" s="26"/>
      <c r="AJ263" s="26"/>
      <c r="AK263" s="26"/>
      <c r="AL263" s="26"/>
      <c r="AM263" s="26"/>
      <c r="AN263" s="26"/>
      <c r="AO263" s="26"/>
      <c r="AP263" s="26"/>
      <c r="AQ263" s="26"/>
      <c r="AR263" s="26"/>
      <c r="AS263" s="26"/>
      <c r="AT263" s="26"/>
      <c r="AU263" s="26"/>
      <c r="AV263" s="26"/>
      <c r="AW263" s="26"/>
      <c r="AX263" s="26"/>
      <c r="AY263" s="26"/>
      <c r="AZ263" s="26"/>
      <c r="BA263" s="26"/>
      <c r="BB263" s="26"/>
      <c r="BC263" s="26"/>
      <c r="BD263" s="26"/>
      <c r="BE263" s="26"/>
      <c r="BF263" s="26"/>
      <c r="BG263" s="26"/>
      <c r="BH263" s="26"/>
      <c r="BI263" s="26"/>
    </row>
    <row r="264" ht="14.25" customHeight="1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26"/>
      <c r="AH264" s="26"/>
      <c r="AI264" s="26"/>
      <c r="AJ264" s="26"/>
      <c r="AK264" s="26"/>
      <c r="AL264" s="26"/>
      <c r="AM264" s="26"/>
      <c r="AN264" s="26"/>
      <c r="AO264" s="26"/>
      <c r="AP264" s="26"/>
      <c r="AQ264" s="26"/>
      <c r="AR264" s="26"/>
      <c r="AS264" s="26"/>
      <c r="AT264" s="26"/>
      <c r="AU264" s="26"/>
      <c r="AV264" s="26"/>
      <c r="AW264" s="26"/>
      <c r="AX264" s="26"/>
      <c r="AY264" s="26"/>
      <c r="AZ264" s="26"/>
      <c r="BA264" s="26"/>
      <c r="BB264" s="26"/>
      <c r="BC264" s="26"/>
      <c r="BD264" s="26"/>
      <c r="BE264" s="26"/>
      <c r="BF264" s="26"/>
      <c r="BG264" s="26"/>
      <c r="BH264" s="26"/>
      <c r="BI264" s="26"/>
    </row>
    <row r="265" ht="14.25" customHeight="1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26"/>
      <c r="AH265" s="26"/>
      <c r="AI265" s="26"/>
      <c r="AJ265" s="26"/>
      <c r="AK265" s="26"/>
      <c r="AL265" s="26"/>
      <c r="AM265" s="26"/>
      <c r="AN265" s="26"/>
      <c r="AO265" s="26"/>
      <c r="AP265" s="26"/>
      <c r="AQ265" s="26"/>
      <c r="AR265" s="26"/>
      <c r="AS265" s="26"/>
      <c r="AT265" s="26"/>
      <c r="AU265" s="26"/>
      <c r="AV265" s="26"/>
      <c r="AW265" s="26"/>
      <c r="AX265" s="26"/>
      <c r="AY265" s="26"/>
      <c r="AZ265" s="26"/>
      <c r="BA265" s="26"/>
      <c r="BB265" s="26"/>
      <c r="BC265" s="26"/>
      <c r="BD265" s="26"/>
      <c r="BE265" s="26"/>
      <c r="BF265" s="26"/>
      <c r="BG265" s="26"/>
      <c r="BH265" s="26"/>
      <c r="BI265" s="26"/>
    </row>
    <row r="266" ht="14.25" customHeight="1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26"/>
      <c r="AH266" s="26"/>
      <c r="AI266" s="26"/>
      <c r="AJ266" s="26"/>
      <c r="AK266" s="26"/>
      <c r="AL266" s="26"/>
      <c r="AM266" s="26"/>
      <c r="AN266" s="26"/>
      <c r="AO266" s="26"/>
      <c r="AP266" s="26"/>
      <c r="AQ266" s="26"/>
      <c r="AR266" s="26"/>
      <c r="AS266" s="26"/>
      <c r="AT266" s="26"/>
      <c r="AU266" s="26"/>
      <c r="AV266" s="26"/>
      <c r="AW266" s="26"/>
      <c r="AX266" s="26"/>
      <c r="AY266" s="26"/>
      <c r="AZ266" s="26"/>
      <c r="BA266" s="26"/>
      <c r="BB266" s="26"/>
      <c r="BC266" s="26"/>
      <c r="BD266" s="26"/>
      <c r="BE266" s="26"/>
      <c r="BF266" s="26"/>
      <c r="BG266" s="26"/>
      <c r="BH266" s="26"/>
      <c r="BI266" s="26"/>
    </row>
    <row r="267" ht="14.25" customHeight="1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  <c r="AG267" s="26"/>
      <c r="AH267" s="26"/>
      <c r="AI267" s="26"/>
      <c r="AJ267" s="26"/>
      <c r="AK267" s="26"/>
      <c r="AL267" s="26"/>
      <c r="AM267" s="26"/>
      <c r="AN267" s="26"/>
      <c r="AO267" s="26"/>
      <c r="AP267" s="26"/>
      <c r="AQ267" s="26"/>
      <c r="AR267" s="26"/>
      <c r="AS267" s="26"/>
      <c r="AT267" s="26"/>
      <c r="AU267" s="26"/>
      <c r="AV267" s="26"/>
      <c r="AW267" s="26"/>
      <c r="AX267" s="26"/>
      <c r="AY267" s="26"/>
      <c r="AZ267" s="26"/>
      <c r="BA267" s="26"/>
      <c r="BB267" s="26"/>
      <c r="BC267" s="26"/>
      <c r="BD267" s="26"/>
      <c r="BE267" s="26"/>
      <c r="BF267" s="26"/>
      <c r="BG267" s="26"/>
      <c r="BH267" s="26"/>
      <c r="BI267" s="26"/>
    </row>
    <row r="268" ht="14.25" customHeight="1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26"/>
      <c r="AH268" s="26"/>
      <c r="AI268" s="26"/>
      <c r="AJ268" s="26"/>
      <c r="AK268" s="26"/>
      <c r="AL268" s="26"/>
      <c r="AM268" s="26"/>
      <c r="AN268" s="26"/>
      <c r="AO268" s="26"/>
      <c r="AP268" s="26"/>
      <c r="AQ268" s="26"/>
      <c r="AR268" s="26"/>
      <c r="AS268" s="26"/>
      <c r="AT268" s="26"/>
      <c r="AU268" s="26"/>
      <c r="AV268" s="26"/>
      <c r="AW268" s="26"/>
      <c r="AX268" s="26"/>
      <c r="AY268" s="26"/>
      <c r="AZ268" s="26"/>
      <c r="BA268" s="26"/>
      <c r="BB268" s="26"/>
      <c r="BC268" s="26"/>
      <c r="BD268" s="26"/>
      <c r="BE268" s="26"/>
      <c r="BF268" s="26"/>
      <c r="BG268" s="26"/>
      <c r="BH268" s="26"/>
      <c r="BI268" s="26"/>
    </row>
    <row r="269" ht="14.25" customHeight="1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  <c r="AE269" s="26"/>
      <c r="AF269" s="26"/>
      <c r="AG269" s="26"/>
      <c r="AH269" s="26"/>
      <c r="AI269" s="26"/>
      <c r="AJ269" s="26"/>
      <c r="AK269" s="26"/>
      <c r="AL269" s="26"/>
      <c r="AM269" s="26"/>
      <c r="AN269" s="26"/>
      <c r="AO269" s="26"/>
      <c r="AP269" s="26"/>
      <c r="AQ269" s="26"/>
      <c r="AR269" s="26"/>
      <c r="AS269" s="26"/>
      <c r="AT269" s="26"/>
      <c r="AU269" s="26"/>
      <c r="AV269" s="26"/>
      <c r="AW269" s="26"/>
      <c r="AX269" s="26"/>
      <c r="AY269" s="26"/>
      <c r="AZ269" s="26"/>
      <c r="BA269" s="26"/>
      <c r="BB269" s="26"/>
      <c r="BC269" s="26"/>
      <c r="BD269" s="26"/>
      <c r="BE269" s="26"/>
      <c r="BF269" s="26"/>
      <c r="BG269" s="26"/>
      <c r="BH269" s="26"/>
      <c r="BI269" s="26"/>
    </row>
    <row r="270" ht="14.25" customHeight="1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26"/>
      <c r="AH270" s="26"/>
      <c r="AI270" s="26"/>
      <c r="AJ270" s="26"/>
      <c r="AK270" s="26"/>
      <c r="AL270" s="26"/>
      <c r="AM270" s="26"/>
      <c r="AN270" s="26"/>
      <c r="AO270" s="26"/>
      <c r="AP270" s="26"/>
      <c r="AQ270" s="26"/>
      <c r="AR270" s="26"/>
      <c r="AS270" s="26"/>
      <c r="AT270" s="26"/>
      <c r="AU270" s="26"/>
      <c r="AV270" s="26"/>
      <c r="AW270" s="26"/>
      <c r="AX270" s="26"/>
      <c r="AY270" s="26"/>
      <c r="AZ270" s="26"/>
      <c r="BA270" s="26"/>
      <c r="BB270" s="26"/>
      <c r="BC270" s="26"/>
      <c r="BD270" s="26"/>
      <c r="BE270" s="26"/>
      <c r="BF270" s="26"/>
      <c r="BG270" s="26"/>
      <c r="BH270" s="26"/>
      <c r="BI270" s="26"/>
    </row>
    <row r="271" ht="14.25" customHeight="1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  <c r="AG271" s="26"/>
      <c r="AH271" s="26"/>
      <c r="AI271" s="26"/>
      <c r="AJ271" s="26"/>
      <c r="AK271" s="26"/>
      <c r="AL271" s="26"/>
      <c r="AM271" s="26"/>
      <c r="AN271" s="26"/>
      <c r="AO271" s="26"/>
      <c r="AP271" s="26"/>
      <c r="AQ271" s="26"/>
      <c r="AR271" s="26"/>
      <c r="AS271" s="26"/>
      <c r="AT271" s="26"/>
      <c r="AU271" s="26"/>
      <c r="AV271" s="26"/>
      <c r="AW271" s="26"/>
      <c r="AX271" s="26"/>
      <c r="AY271" s="26"/>
      <c r="AZ271" s="26"/>
      <c r="BA271" s="26"/>
      <c r="BB271" s="26"/>
      <c r="BC271" s="26"/>
      <c r="BD271" s="26"/>
      <c r="BE271" s="26"/>
      <c r="BF271" s="26"/>
      <c r="BG271" s="26"/>
      <c r="BH271" s="26"/>
      <c r="BI271" s="26"/>
    </row>
    <row r="272" ht="14.25" customHeight="1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26"/>
      <c r="AH272" s="26"/>
      <c r="AI272" s="26"/>
      <c r="AJ272" s="26"/>
      <c r="AK272" s="26"/>
      <c r="AL272" s="26"/>
      <c r="AM272" s="26"/>
      <c r="AN272" s="26"/>
      <c r="AO272" s="26"/>
      <c r="AP272" s="26"/>
      <c r="AQ272" s="26"/>
      <c r="AR272" s="26"/>
      <c r="AS272" s="26"/>
      <c r="AT272" s="26"/>
      <c r="AU272" s="26"/>
      <c r="AV272" s="26"/>
      <c r="AW272" s="26"/>
      <c r="AX272" s="26"/>
      <c r="AY272" s="26"/>
      <c r="AZ272" s="26"/>
      <c r="BA272" s="26"/>
      <c r="BB272" s="26"/>
      <c r="BC272" s="26"/>
      <c r="BD272" s="26"/>
      <c r="BE272" s="26"/>
      <c r="BF272" s="26"/>
      <c r="BG272" s="26"/>
      <c r="BH272" s="26"/>
      <c r="BI272" s="26"/>
    </row>
    <row r="273" ht="14.25" customHeight="1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  <c r="AG273" s="26"/>
      <c r="AH273" s="26"/>
      <c r="AI273" s="26"/>
      <c r="AJ273" s="26"/>
      <c r="AK273" s="26"/>
      <c r="AL273" s="26"/>
      <c r="AM273" s="26"/>
      <c r="AN273" s="26"/>
      <c r="AO273" s="26"/>
      <c r="AP273" s="26"/>
      <c r="AQ273" s="26"/>
      <c r="AR273" s="26"/>
      <c r="AS273" s="26"/>
      <c r="AT273" s="26"/>
      <c r="AU273" s="26"/>
      <c r="AV273" s="26"/>
      <c r="AW273" s="26"/>
      <c r="AX273" s="26"/>
      <c r="AY273" s="26"/>
      <c r="AZ273" s="26"/>
      <c r="BA273" s="26"/>
      <c r="BB273" s="26"/>
      <c r="BC273" s="26"/>
      <c r="BD273" s="26"/>
      <c r="BE273" s="26"/>
      <c r="BF273" s="26"/>
      <c r="BG273" s="26"/>
      <c r="BH273" s="26"/>
      <c r="BI273" s="26"/>
    </row>
    <row r="274" ht="14.25" customHeight="1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26"/>
      <c r="AH274" s="26"/>
      <c r="AI274" s="26"/>
      <c r="AJ274" s="26"/>
      <c r="AK274" s="26"/>
      <c r="AL274" s="26"/>
      <c r="AM274" s="26"/>
      <c r="AN274" s="26"/>
      <c r="AO274" s="26"/>
      <c r="AP274" s="26"/>
      <c r="AQ274" s="26"/>
      <c r="AR274" s="26"/>
      <c r="AS274" s="26"/>
      <c r="AT274" s="26"/>
      <c r="AU274" s="26"/>
      <c r="AV274" s="26"/>
      <c r="AW274" s="26"/>
      <c r="AX274" s="26"/>
      <c r="AY274" s="26"/>
      <c r="AZ274" s="26"/>
      <c r="BA274" s="26"/>
      <c r="BB274" s="26"/>
      <c r="BC274" s="26"/>
      <c r="BD274" s="26"/>
      <c r="BE274" s="26"/>
      <c r="BF274" s="26"/>
      <c r="BG274" s="26"/>
      <c r="BH274" s="26"/>
      <c r="BI274" s="26"/>
    </row>
    <row r="275" ht="14.25" customHeight="1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  <c r="AG275" s="26"/>
      <c r="AH275" s="26"/>
      <c r="AI275" s="26"/>
      <c r="AJ275" s="26"/>
      <c r="AK275" s="26"/>
      <c r="AL275" s="26"/>
      <c r="AM275" s="26"/>
      <c r="AN275" s="26"/>
      <c r="AO275" s="26"/>
      <c r="AP275" s="26"/>
      <c r="AQ275" s="26"/>
      <c r="AR275" s="26"/>
      <c r="AS275" s="26"/>
      <c r="AT275" s="26"/>
      <c r="AU275" s="26"/>
      <c r="AV275" s="26"/>
      <c r="AW275" s="26"/>
      <c r="AX275" s="26"/>
      <c r="AY275" s="26"/>
      <c r="AZ275" s="26"/>
      <c r="BA275" s="26"/>
      <c r="BB275" s="26"/>
      <c r="BC275" s="26"/>
      <c r="BD275" s="26"/>
      <c r="BE275" s="26"/>
      <c r="BF275" s="26"/>
      <c r="BG275" s="26"/>
      <c r="BH275" s="26"/>
      <c r="BI275" s="26"/>
    </row>
    <row r="276" ht="14.25" customHeight="1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26"/>
      <c r="AH276" s="26"/>
      <c r="AI276" s="26"/>
      <c r="AJ276" s="26"/>
      <c r="AK276" s="26"/>
      <c r="AL276" s="26"/>
      <c r="AM276" s="26"/>
      <c r="AN276" s="26"/>
      <c r="AO276" s="26"/>
      <c r="AP276" s="26"/>
      <c r="AQ276" s="26"/>
      <c r="AR276" s="26"/>
      <c r="AS276" s="26"/>
      <c r="AT276" s="26"/>
      <c r="AU276" s="26"/>
      <c r="AV276" s="26"/>
      <c r="AW276" s="26"/>
      <c r="AX276" s="26"/>
      <c r="AY276" s="26"/>
      <c r="AZ276" s="26"/>
      <c r="BA276" s="26"/>
      <c r="BB276" s="26"/>
      <c r="BC276" s="26"/>
      <c r="BD276" s="26"/>
      <c r="BE276" s="26"/>
      <c r="BF276" s="26"/>
      <c r="BG276" s="26"/>
      <c r="BH276" s="26"/>
      <c r="BI276" s="26"/>
    </row>
    <row r="277" ht="14.25" customHeight="1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  <c r="AF277" s="26"/>
      <c r="AG277" s="26"/>
      <c r="AH277" s="26"/>
      <c r="AI277" s="26"/>
      <c r="AJ277" s="26"/>
      <c r="AK277" s="26"/>
      <c r="AL277" s="26"/>
      <c r="AM277" s="26"/>
      <c r="AN277" s="26"/>
      <c r="AO277" s="26"/>
      <c r="AP277" s="26"/>
      <c r="AQ277" s="26"/>
      <c r="AR277" s="26"/>
      <c r="AS277" s="26"/>
      <c r="AT277" s="26"/>
      <c r="AU277" s="26"/>
      <c r="AV277" s="26"/>
      <c r="AW277" s="26"/>
      <c r="AX277" s="26"/>
      <c r="AY277" s="26"/>
      <c r="AZ277" s="26"/>
      <c r="BA277" s="26"/>
      <c r="BB277" s="26"/>
      <c r="BC277" s="26"/>
      <c r="BD277" s="26"/>
      <c r="BE277" s="26"/>
      <c r="BF277" s="26"/>
      <c r="BG277" s="26"/>
      <c r="BH277" s="26"/>
      <c r="BI277" s="26"/>
    </row>
    <row r="278" ht="14.25" customHeight="1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  <c r="AF278" s="26"/>
      <c r="AG278" s="26"/>
      <c r="AH278" s="26"/>
      <c r="AI278" s="26"/>
      <c r="AJ278" s="26"/>
      <c r="AK278" s="26"/>
      <c r="AL278" s="26"/>
      <c r="AM278" s="26"/>
      <c r="AN278" s="26"/>
      <c r="AO278" s="26"/>
      <c r="AP278" s="26"/>
      <c r="AQ278" s="26"/>
      <c r="AR278" s="26"/>
      <c r="AS278" s="26"/>
      <c r="AT278" s="26"/>
      <c r="AU278" s="26"/>
      <c r="AV278" s="26"/>
      <c r="AW278" s="26"/>
      <c r="AX278" s="26"/>
      <c r="AY278" s="26"/>
      <c r="AZ278" s="26"/>
      <c r="BA278" s="26"/>
      <c r="BB278" s="26"/>
      <c r="BC278" s="26"/>
      <c r="BD278" s="26"/>
      <c r="BE278" s="26"/>
      <c r="BF278" s="26"/>
      <c r="BG278" s="26"/>
      <c r="BH278" s="26"/>
      <c r="BI278" s="26"/>
    </row>
    <row r="279" ht="14.25" customHeight="1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  <c r="AE279" s="26"/>
      <c r="AF279" s="26"/>
      <c r="AG279" s="26"/>
      <c r="AH279" s="26"/>
      <c r="AI279" s="26"/>
      <c r="AJ279" s="26"/>
      <c r="AK279" s="26"/>
      <c r="AL279" s="26"/>
      <c r="AM279" s="26"/>
      <c r="AN279" s="26"/>
      <c r="AO279" s="26"/>
      <c r="AP279" s="26"/>
      <c r="AQ279" s="26"/>
      <c r="AR279" s="26"/>
      <c r="AS279" s="26"/>
      <c r="AT279" s="26"/>
      <c r="AU279" s="26"/>
      <c r="AV279" s="26"/>
      <c r="AW279" s="26"/>
      <c r="AX279" s="26"/>
      <c r="AY279" s="26"/>
      <c r="AZ279" s="26"/>
      <c r="BA279" s="26"/>
      <c r="BB279" s="26"/>
      <c r="BC279" s="26"/>
      <c r="BD279" s="26"/>
      <c r="BE279" s="26"/>
      <c r="BF279" s="26"/>
      <c r="BG279" s="26"/>
      <c r="BH279" s="26"/>
      <c r="BI279" s="26"/>
    </row>
    <row r="280" ht="14.25" customHeight="1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  <c r="AG280" s="26"/>
      <c r="AH280" s="26"/>
      <c r="AI280" s="26"/>
      <c r="AJ280" s="26"/>
      <c r="AK280" s="26"/>
      <c r="AL280" s="26"/>
      <c r="AM280" s="26"/>
      <c r="AN280" s="26"/>
      <c r="AO280" s="26"/>
      <c r="AP280" s="26"/>
      <c r="AQ280" s="26"/>
      <c r="AR280" s="26"/>
      <c r="AS280" s="26"/>
      <c r="AT280" s="26"/>
      <c r="AU280" s="26"/>
      <c r="AV280" s="26"/>
      <c r="AW280" s="26"/>
      <c r="AX280" s="26"/>
      <c r="AY280" s="26"/>
      <c r="AZ280" s="26"/>
      <c r="BA280" s="26"/>
      <c r="BB280" s="26"/>
      <c r="BC280" s="26"/>
      <c r="BD280" s="26"/>
      <c r="BE280" s="26"/>
      <c r="BF280" s="26"/>
      <c r="BG280" s="26"/>
      <c r="BH280" s="26"/>
      <c r="BI280" s="26"/>
    </row>
    <row r="281" ht="14.25" customHeight="1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  <c r="AF281" s="26"/>
      <c r="AG281" s="26"/>
      <c r="AH281" s="26"/>
      <c r="AI281" s="26"/>
      <c r="AJ281" s="26"/>
      <c r="AK281" s="26"/>
      <c r="AL281" s="26"/>
      <c r="AM281" s="26"/>
      <c r="AN281" s="26"/>
      <c r="AO281" s="26"/>
      <c r="AP281" s="26"/>
      <c r="AQ281" s="26"/>
      <c r="AR281" s="26"/>
      <c r="AS281" s="26"/>
      <c r="AT281" s="26"/>
      <c r="AU281" s="26"/>
      <c r="AV281" s="26"/>
      <c r="AW281" s="26"/>
      <c r="AX281" s="26"/>
      <c r="AY281" s="26"/>
      <c r="AZ281" s="26"/>
      <c r="BA281" s="26"/>
      <c r="BB281" s="26"/>
      <c r="BC281" s="26"/>
      <c r="BD281" s="26"/>
      <c r="BE281" s="26"/>
      <c r="BF281" s="26"/>
      <c r="BG281" s="26"/>
      <c r="BH281" s="26"/>
      <c r="BI281" s="26"/>
    </row>
    <row r="282" ht="14.25" customHeight="1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  <c r="AG282" s="26"/>
      <c r="AH282" s="26"/>
      <c r="AI282" s="26"/>
      <c r="AJ282" s="26"/>
      <c r="AK282" s="26"/>
      <c r="AL282" s="26"/>
      <c r="AM282" s="26"/>
      <c r="AN282" s="26"/>
      <c r="AO282" s="26"/>
      <c r="AP282" s="26"/>
      <c r="AQ282" s="26"/>
      <c r="AR282" s="26"/>
      <c r="AS282" s="26"/>
      <c r="AT282" s="26"/>
      <c r="AU282" s="26"/>
      <c r="AV282" s="26"/>
      <c r="AW282" s="26"/>
      <c r="AX282" s="26"/>
      <c r="AY282" s="26"/>
      <c r="AZ282" s="26"/>
      <c r="BA282" s="26"/>
      <c r="BB282" s="26"/>
      <c r="BC282" s="26"/>
      <c r="BD282" s="26"/>
      <c r="BE282" s="26"/>
      <c r="BF282" s="26"/>
      <c r="BG282" s="26"/>
      <c r="BH282" s="26"/>
      <c r="BI282" s="26"/>
    </row>
    <row r="283" ht="14.25" customHeight="1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  <c r="AF283" s="26"/>
      <c r="AG283" s="26"/>
      <c r="AH283" s="26"/>
      <c r="AI283" s="26"/>
      <c r="AJ283" s="26"/>
      <c r="AK283" s="26"/>
      <c r="AL283" s="26"/>
      <c r="AM283" s="26"/>
      <c r="AN283" s="26"/>
      <c r="AO283" s="26"/>
      <c r="AP283" s="26"/>
      <c r="AQ283" s="26"/>
      <c r="AR283" s="26"/>
      <c r="AS283" s="26"/>
      <c r="AT283" s="26"/>
      <c r="AU283" s="26"/>
      <c r="AV283" s="26"/>
      <c r="AW283" s="26"/>
      <c r="AX283" s="26"/>
      <c r="AY283" s="26"/>
      <c r="AZ283" s="26"/>
      <c r="BA283" s="26"/>
      <c r="BB283" s="26"/>
      <c r="BC283" s="26"/>
      <c r="BD283" s="26"/>
      <c r="BE283" s="26"/>
      <c r="BF283" s="26"/>
      <c r="BG283" s="26"/>
      <c r="BH283" s="26"/>
      <c r="BI283" s="26"/>
    </row>
    <row r="284" ht="14.25" customHeight="1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  <c r="AE284" s="26"/>
      <c r="AF284" s="26"/>
      <c r="AG284" s="26"/>
      <c r="AH284" s="26"/>
      <c r="AI284" s="26"/>
      <c r="AJ284" s="26"/>
      <c r="AK284" s="26"/>
      <c r="AL284" s="26"/>
      <c r="AM284" s="26"/>
      <c r="AN284" s="26"/>
      <c r="AO284" s="26"/>
      <c r="AP284" s="26"/>
      <c r="AQ284" s="26"/>
      <c r="AR284" s="26"/>
      <c r="AS284" s="26"/>
      <c r="AT284" s="26"/>
      <c r="AU284" s="26"/>
      <c r="AV284" s="26"/>
      <c r="AW284" s="26"/>
      <c r="AX284" s="26"/>
      <c r="AY284" s="26"/>
      <c r="AZ284" s="26"/>
      <c r="BA284" s="26"/>
      <c r="BB284" s="26"/>
      <c r="BC284" s="26"/>
      <c r="BD284" s="26"/>
      <c r="BE284" s="26"/>
      <c r="BF284" s="26"/>
      <c r="BG284" s="26"/>
      <c r="BH284" s="26"/>
      <c r="BI284" s="26"/>
    </row>
    <row r="285" ht="14.25" customHeight="1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  <c r="AG285" s="26"/>
      <c r="AH285" s="26"/>
      <c r="AI285" s="26"/>
      <c r="AJ285" s="26"/>
      <c r="AK285" s="26"/>
      <c r="AL285" s="26"/>
      <c r="AM285" s="26"/>
      <c r="AN285" s="26"/>
      <c r="AO285" s="26"/>
      <c r="AP285" s="26"/>
      <c r="AQ285" s="26"/>
      <c r="AR285" s="26"/>
      <c r="AS285" s="26"/>
      <c r="AT285" s="26"/>
      <c r="AU285" s="26"/>
      <c r="AV285" s="26"/>
      <c r="AW285" s="26"/>
      <c r="AX285" s="26"/>
      <c r="AY285" s="26"/>
      <c r="AZ285" s="26"/>
      <c r="BA285" s="26"/>
      <c r="BB285" s="26"/>
      <c r="BC285" s="26"/>
      <c r="BD285" s="26"/>
      <c r="BE285" s="26"/>
      <c r="BF285" s="26"/>
      <c r="BG285" s="26"/>
      <c r="BH285" s="26"/>
      <c r="BI285" s="26"/>
    </row>
    <row r="286" ht="14.25" customHeight="1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  <c r="AE286" s="26"/>
      <c r="AF286" s="26"/>
      <c r="AG286" s="26"/>
      <c r="AH286" s="26"/>
      <c r="AI286" s="26"/>
      <c r="AJ286" s="26"/>
      <c r="AK286" s="26"/>
      <c r="AL286" s="26"/>
      <c r="AM286" s="26"/>
      <c r="AN286" s="26"/>
      <c r="AO286" s="26"/>
      <c r="AP286" s="26"/>
      <c r="AQ286" s="26"/>
      <c r="AR286" s="26"/>
      <c r="AS286" s="26"/>
      <c r="AT286" s="26"/>
      <c r="AU286" s="26"/>
      <c r="AV286" s="26"/>
      <c r="AW286" s="26"/>
      <c r="AX286" s="26"/>
      <c r="AY286" s="26"/>
      <c r="AZ286" s="26"/>
      <c r="BA286" s="26"/>
      <c r="BB286" s="26"/>
      <c r="BC286" s="26"/>
      <c r="BD286" s="26"/>
      <c r="BE286" s="26"/>
      <c r="BF286" s="26"/>
      <c r="BG286" s="26"/>
      <c r="BH286" s="26"/>
      <c r="BI286" s="26"/>
    </row>
    <row r="287" ht="14.25" customHeight="1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  <c r="AE287" s="26"/>
      <c r="AF287" s="26"/>
      <c r="AG287" s="26"/>
      <c r="AH287" s="26"/>
      <c r="AI287" s="26"/>
      <c r="AJ287" s="26"/>
      <c r="AK287" s="26"/>
      <c r="AL287" s="26"/>
      <c r="AM287" s="26"/>
      <c r="AN287" s="26"/>
      <c r="AO287" s="26"/>
      <c r="AP287" s="26"/>
      <c r="AQ287" s="26"/>
      <c r="AR287" s="26"/>
      <c r="AS287" s="26"/>
      <c r="AT287" s="26"/>
      <c r="AU287" s="26"/>
      <c r="AV287" s="26"/>
      <c r="AW287" s="26"/>
      <c r="AX287" s="26"/>
      <c r="AY287" s="26"/>
      <c r="AZ287" s="26"/>
      <c r="BA287" s="26"/>
      <c r="BB287" s="26"/>
      <c r="BC287" s="26"/>
      <c r="BD287" s="26"/>
      <c r="BE287" s="26"/>
      <c r="BF287" s="26"/>
      <c r="BG287" s="26"/>
      <c r="BH287" s="26"/>
      <c r="BI287" s="26"/>
    </row>
    <row r="288" ht="14.25" customHeight="1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  <c r="AF288" s="26"/>
      <c r="AG288" s="26"/>
      <c r="AH288" s="26"/>
      <c r="AI288" s="26"/>
      <c r="AJ288" s="26"/>
      <c r="AK288" s="26"/>
      <c r="AL288" s="26"/>
      <c r="AM288" s="26"/>
      <c r="AN288" s="26"/>
      <c r="AO288" s="26"/>
      <c r="AP288" s="26"/>
      <c r="AQ288" s="26"/>
      <c r="AR288" s="26"/>
      <c r="AS288" s="26"/>
      <c r="AT288" s="26"/>
      <c r="AU288" s="26"/>
      <c r="AV288" s="26"/>
      <c r="AW288" s="26"/>
      <c r="AX288" s="26"/>
      <c r="AY288" s="26"/>
      <c r="AZ288" s="26"/>
      <c r="BA288" s="26"/>
      <c r="BB288" s="26"/>
      <c r="BC288" s="26"/>
      <c r="BD288" s="26"/>
      <c r="BE288" s="26"/>
      <c r="BF288" s="26"/>
      <c r="BG288" s="26"/>
      <c r="BH288" s="26"/>
      <c r="BI288" s="26"/>
    </row>
    <row r="289" ht="14.25" customHeight="1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  <c r="AF289" s="26"/>
      <c r="AG289" s="26"/>
      <c r="AH289" s="26"/>
      <c r="AI289" s="26"/>
      <c r="AJ289" s="26"/>
      <c r="AK289" s="26"/>
      <c r="AL289" s="26"/>
      <c r="AM289" s="26"/>
      <c r="AN289" s="26"/>
      <c r="AO289" s="26"/>
      <c r="AP289" s="26"/>
      <c r="AQ289" s="26"/>
      <c r="AR289" s="26"/>
      <c r="AS289" s="26"/>
      <c r="AT289" s="26"/>
      <c r="AU289" s="26"/>
      <c r="AV289" s="26"/>
      <c r="AW289" s="26"/>
      <c r="AX289" s="26"/>
      <c r="AY289" s="26"/>
      <c r="AZ289" s="26"/>
      <c r="BA289" s="26"/>
      <c r="BB289" s="26"/>
      <c r="BC289" s="26"/>
      <c r="BD289" s="26"/>
      <c r="BE289" s="26"/>
      <c r="BF289" s="26"/>
      <c r="BG289" s="26"/>
      <c r="BH289" s="26"/>
      <c r="BI289" s="26"/>
    </row>
    <row r="290" ht="14.25" customHeight="1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  <c r="AF290" s="26"/>
      <c r="AG290" s="26"/>
      <c r="AH290" s="26"/>
      <c r="AI290" s="26"/>
      <c r="AJ290" s="26"/>
      <c r="AK290" s="26"/>
      <c r="AL290" s="26"/>
      <c r="AM290" s="26"/>
      <c r="AN290" s="26"/>
      <c r="AO290" s="26"/>
      <c r="AP290" s="26"/>
      <c r="AQ290" s="26"/>
      <c r="AR290" s="26"/>
      <c r="AS290" s="26"/>
      <c r="AT290" s="26"/>
      <c r="AU290" s="26"/>
      <c r="AV290" s="26"/>
      <c r="AW290" s="26"/>
      <c r="AX290" s="26"/>
      <c r="AY290" s="26"/>
      <c r="AZ290" s="26"/>
      <c r="BA290" s="26"/>
      <c r="BB290" s="26"/>
      <c r="BC290" s="26"/>
      <c r="BD290" s="26"/>
      <c r="BE290" s="26"/>
      <c r="BF290" s="26"/>
      <c r="BG290" s="26"/>
      <c r="BH290" s="26"/>
      <c r="BI290" s="26"/>
    </row>
    <row r="291" ht="14.25" customHeight="1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  <c r="AF291" s="26"/>
      <c r="AG291" s="26"/>
      <c r="AH291" s="26"/>
      <c r="AI291" s="26"/>
      <c r="AJ291" s="26"/>
      <c r="AK291" s="26"/>
      <c r="AL291" s="26"/>
      <c r="AM291" s="26"/>
      <c r="AN291" s="26"/>
      <c r="AO291" s="26"/>
      <c r="AP291" s="26"/>
      <c r="AQ291" s="26"/>
      <c r="AR291" s="26"/>
      <c r="AS291" s="26"/>
      <c r="AT291" s="26"/>
      <c r="AU291" s="26"/>
      <c r="AV291" s="26"/>
      <c r="AW291" s="26"/>
      <c r="AX291" s="26"/>
      <c r="AY291" s="26"/>
      <c r="AZ291" s="26"/>
      <c r="BA291" s="26"/>
      <c r="BB291" s="26"/>
      <c r="BC291" s="26"/>
      <c r="BD291" s="26"/>
      <c r="BE291" s="26"/>
      <c r="BF291" s="26"/>
      <c r="BG291" s="26"/>
      <c r="BH291" s="26"/>
      <c r="BI291" s="26"/>
    </row>
    <row r="292" ht="14.25" customHeight="1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  <c r="AF292" s="26"/>
      <c r="AG292" s="26"/>
      <c r="AH292" s="26"/>
      <c r="AI292" s="26"/>
      <c r="AJ292" s="26"/>
      <c r="AK292" s="26"/>
      <c r="AL292" s="26"/>
      <c r="AM292" s="26"/>
      <c r="AN292" s="26"/>
      <c r="AO292" s="26"/>
      <c r="AP292" s="26"/>
      <c r="AQ292" s="26"/>
      <c r="AR292" s="26"/>
      <c r="AS292" s="26"/>
      <c r="AT292" s="26"/>
      <c r="AU292" s="26"/>
      <c r="AV292" s="26"/>
      <c r="AW292" s="26"/>
      <c r="AX292" s="26"/>
      <c r="AY292" s="26"/>
      <c r="AZ292" s="26"/>
      <c r="BA292" s="26"/>
      <c r="BB292" s="26"/>
      <c r="BC292" s="26"/>
      <c r="BD292" s="26"/>
      <c r="BE292" s="26"/>
      <c r="BF292" s="26"/>
      <c r="BG292" s="26"/>
      <c r="BH292" s="26"/>
      <c r="BI292" s="26"/>
    </row>
    <row r="293" ht="14.25" customHeight="1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  <c r="AE293" s="26"/>
      <c r="AF293" s="26"/>
      <c r="AG293" s="26"/>
      <c r="AH293" s="26"/>
      <c r="AI293" s="26"/>
      <c r="AJ293" s="26"/>
      <c r="AK293" s="26"/>
      <c r="AL293" s="26"/>
      <c r="AM293" s="26"/>
      <c r="AN293" s="26"/>
      <c r="AO293" s="26"/>
      <c r="AP293" s="26"/>
      <c r="AQ293" s="26"/>
      <c r="AR293" s="26"/>
      <c r="AS293" s="26"/>
      <c r="AT293" s="26"/>
      <c r="AU293" s="26"/>
      <c r="AV293" s="26"/>
      <c r="AW293" s="26"/>
      <c r="AX293" s="26"/>
      <c r="AY293" s="26"/>
      <c r="AZ293" s="26"/>
      <c r="BA293" s="26"/>
      <c r="BB293" s="26"/>
      <c r="BC293" s="26"/>
      <c r="BD293" s="26"/>
      <c r="BE293" s="26"/>
      <c r="BF293" s="26"/>
      <c r="BG293" s="26"/>
      <c r="BH293" s="26"/>
      <c r="BI293" s="26"/>
    </row>
    <row r="294" ht="14.25" customHeight="1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  <c r="AE294" s="26"/>
      <c r="AF294" s="26"/>
      <c r="AG294" s="26"/>
      <c r="AH294" s="26"/>
      <c r="AI294" s="26"/>
      <c r="AJ294" s="26"/>
      <c r="AK294" s="26"/>
      <c r="AL294" s="26"/>
      <c r="AM294" s="26"/>
      <c r="AN294" s="26"/>
      <c r="AO294" s="26"/>
      <c r="AP294" s="26"/>
      <c r="AQ294" s="26"/>
      <c r="AR294" s="26"/>
      <c r="AS294" s="26"/>
      <c r="AT294" s="26"/>
      <c r="AU294" s="26"/>
      <c r="AV294" s="26"/>
      <c r="AW294" s="26"/>
      <c r="AX294" s="26"/>
      <c r="AY294" s="26"/>
      <c r="AZ294" s="26"/>
      <c r="BA294" s="26"/>
      <c r="BB294" s="26"/>
      <c r="BC294" s="26"/>
      <c r="BD294" s="26"/>
      <c r="BE294" s="26"/>
      <c r="BF294" s="26"/>
      <c r="BG294" s="26"/>
      <c r="BH294" s="26"/>
      <c r="BI294" s="26"/>
    </row>
    <row r="295" ht="14.25" customHeight="1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  <c r="AE295" s="26"/>
      <c r="AF295" s="26"/>
      <c r="AG295" s="26"/>
      <c r="AH295" s="26"/>
      <c r="AI295" s="26"/>
      <c r="AJ295" s="26"/>
      <c r="AK295" s="26"/>
      <c r="AL295" s="26"/>
      <c r="AM295" s="26"/>
      <c r="AN295" s="26"/>
      <c r="AO295" s="26"/>
      <c r="AP295" s="26"/>
      <c r="AQ295" s="26"/>
      <c r="AR295" s="26"/>
      <c r="AS295" s="26"/>
      <c r="AT295" s="26"/>
      <c r="AU295" s="26"/>
      <c r="AV295" s="26"/>
      <c r="AW295" s="26"/>
      <c r="AX295" s="26"/>
      <c r="AY295" s="26"/>
      <c r="AZ295" s="26"/>
      <c r="BA295" s="26"/>
      <c r="BB295" s="26"/>
      <c r="BC295" s="26"/>
      <c r="BD295" s="26"/>
      <c r="BE295" s="26"/>
      <c r="BF295" s="26"/>
      <c r="BG295" s="26"/>
      <c r="BH295" s="26"/>
      <c r="BI295" s="26"/>
    </row>
    <row r="296" ht="14.25" customHeight="1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  <c r="AE296" s="26"/>
      <c r="AF296" s="26"/>
      <c r="AG296" s="26"/>
      <c r="AH296" s="26"/>
      <c r="AI296" s="26"/>
      <c r="AJ296" s="26"/>
      <c r="AK296" s="26"/>
      <c r="AL296" s="26"/>
      <c r="AM296" s="26"/>
      <c r="AN296" s="26"/>
      <c r="AO296" s="26"/>
      <c r="AP296" s="26"/>
      <c r="AQ296" s="26"/>
      <c r="AR296" s="26"/>
      <c r="AS296" s="26"/>
      <c r="AT296" s="26"/>
      <c r="AU296" s="26"/>
      <c r="AV296" s="26"/>
      <c r="AW296" s="26"/>
      <c r="AX296" s="26"/>
      <c r="AY296" s="26"/>
      <c r="AZ296" s="26"/>
      <c r="BA296" s="26"/>
      <c r="BB296" s="26"/>
      <c r="BC296" s="26"/>
      <c r="BD296" s="26"/>
      <c r="BE296" s="26"/>
      <c r="BF296" s="26"/>
      <c r="BG296" s="26"/>
      <c r="BH296" s="26"/>
      <c r="BI296" s="26"/>
    </row>
    <row r="297" ht="14.25" customHeight="1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  <c r="AE297" s="26"/>
      <c r="AF297" s="26"/>
      <c r="AG297" s="26"/>
      <c r="AH297" s="26"/>
      <c r="AI297" s="26"/>
      <c r="AJ297" s="26"/>
      <c r="AK297" s="26"/>
      <c r="AL297" s="26"/>
      <c r="AM297" s="26"/>
      <c r="AN297" s="26"/>
      <c r="AO297" s="26"/>
      <c r="AP297" s="26"/>
      <c r="AQ297" s="26"/>
      <c r="AR297" s="26"/>
      <c r="AS297" s="26"/>
      <c r="AT297" s="26"/>
      <c r="AU297" s="26"/>
      <c r="AV297" s="26"/>
      <c r="AW297" s="26"/>
      <c r="AX297" s="26"/>
      <c r="AY297" s="26"/>
      <c r="AZ297" s="26"/>
      <c r="BA297" s="26"/>
      <c r="BB297" s="26"/>
      <c r="BC297" s="26"/>
      <c r="BD297" s="26"/>
      <c r="BE297" s="26"/>
      <c r="BF297" s="26"/>
      <c r="BG297" s="26"/>
      <c r="BH297" s="26"/>
      <c r="BI297" s="26"/>
    </row>
    <row r="298" ht="14.25" customHeight="1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  <c r="AE298" s="26"/>
      <c r="AF298" s="26"/>
      <c r="AG298" s="26"/>
      <c r="AH298" s="26"/>
      <c r="AI298" s="26"/>
      <c r="AJ298" s="26"/>
      <c r="AK298" s="26"/>
      <c r="AL298" s="26"/>
      <c r="AM298" s="26"/>
      <c r="AN298" s="26"/>
      <c r="AO298" s="26"/>
      <c r="AP298" s="26"/>
      <c r="AQ298" s="26"/>
      <c r="AR298" s="26"/>
      <c r="AS298" s="26"/>
      <c r="AT298" s="26"/>
      <c r="AU298" s="26"/>
      <c r="AV298" s="26"/>
      <c r="AW298" s="26"/>
      <c r="AX298" s="26"/>
      <c r="AY298" s="26"/>
      <c r="AZ298" s="26"/>
      <c r="BA298" s="26"/>
      <c r="BB298" s="26"/>
      <c r="BC298" s="26"/>
      <c r="BD298" s="26"/>
      <c r="BE298" s="26"/>
      <c r="BF298" s="26"/>
      <c r="BG298" s="26"/>
      <c r="BH298" s="26"/>
      <c r="BI298" s="26"/>
    </row>
    <row r="299" ht="14.25" customHeight="1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  <c r="AE299" s="26"/>
      <c r="AF299" s="26"/>
      <c r="AG299" s="26"/>
      <c r="AH299" s="26"/>
      <c r="AI299" s="26"/>
      <c r="AJ299" s="26"/>
      <c r="AK299" s="26"/>
      <c r="AL299" s="26"/>
      <c r="AM299" s="26"/>
      <c r="AN299" s="26"/>
      <c r="AO299" s="26"/>
      <c r="AP299" s="26"/>
      <c r="AQ299" s="26"/>
      <c r="AR299" s="26"/>
      <c r="AS299" s="26"/>
      <c r="AT299" s="26"/>
      <c r="AU299" s="26"/>
      <c r="AV299" s="26"/>
      <c r="AW299" s="26"/>
      <c r="AX299" s="26"/>
      <c r="AY299" s="26"/>
      <c r="AZ299" s="26"/>
      <c r="BA299" s="26"/>
      <c r="BB299" s="26"/>
      <c r="BC299" s="26"/>
      <c r="BD299" s="26"/>
      <c r="BE299" s="26"/>
      <c r="BF299" s="26"/>
      <c r="BG299" s="26"/>
      <c r="BH299" s="26"/>
      <c r="BI299" s="26"/>
    </row>
    <row r="300" ht="14.25" customHeight="1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  <c r="AF300" s="26"/>
      <c r="AG300" s="26"/>
      <c r="AH300" s="26"/>
      <c r="AI300" s="26"/>
      <c r="AJ300" s="26"/>
      <c r="AK300" s="26"/>
      <c r="AL300" s="26"/>
      <c r="AM300" s="26"/>
      <c r="AN300" s="26"/>
      <c r="AO300" s="26"/>
      <c r="AP300" s="26"/>
      <c r="AQ300" s="26"/>
      <c r="AR300" s="26"/>
      <c r="AS300" s="26"/>
      <c r="AT300" s="26"/>
      <c r="AU300" s="26"/>
      <c r="AV300" s="26"/>
      <c r="AW300" s="26"/>
      <c r="AX300" s="26"/>
      <c r="AY300" s="26"/>
      <c r="AZ300" s="26"/>
      <c r="BA300" s="26"/>
      <c r="BB300" s="26"/>
      <c r="BC300" s="26"/>
      <c r="BD300" s="26"/>
      <c r="BE300" s="26"/>
      <c r="BF300" s="26"/>
      <c r="BG300" s="26"/>
      <c r="BH300" s="26"/>
      <c r="BI300" s="26"/>
    </row>
    <row r="301" ht="14.25" customHeight="1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  <c r="AE301" s="26"/>
      <c r="AF301" s="26"/>
      <c r="AG301" s="26"/>
      <c r="AH301" s="26"/>
      <c r="AI301" s="26"/>
      <c r="AJ301" s="26"/>
      <c r="AK301" s="26"/>
      <c r="AL301" s="26"/>
      <c r="AM301" s="26"/>
      <c r="AN301" s="26"/>
      <c r="AO301" s="26"/>
      <c r="AP301" s="26"/>
      <c r="AQ301" s="26"/>
      <c r="AR301" s="26"/>
      <c r="AS301" s="26"/>
      <c r="AT301" s="26"/>
      <c r="AU301" s="26"/>
      <c r="AV301" s="26"/>
      <c r="AW301" s="26"/>
      <c r="AX301" s="26"/>
      <c r="AY301" s="26"/>
      <c r="AZ301" s="26"/>
      <c r="BA301" s="26"/>
      <c r="BB301" s="26"/>
      <c r="BC301" s="26"/>
      <c r="BD301" s="26"/>
      <c r="BE301" s="26"/>
      <c r="BF301" s="26"/>
      <c r="BG301" s="26"/>
      <c r="BH301" s="26"/>
      <c r="BI301" s="26"/>
    </row>
    <row r="302" ht="14.25" customHeight="1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  <c r="AF302" s="26"/>
      <c r="AG302" s="26"/>
      <c r="AH302" s="26"/>
      <c r="AI302" s="26"/>
      <c r="AJ302" s="26"/>
      <c r="AK302" s="26"/>
      <c r="AL302" s="26"/>
      <c r="AM302" s="26"/>
      <c r="AN302" s="26"/>
      <c r="AO302" s="26"/>
      <c r="AP302" s="26"/>
      <c r="AQ302" s="26"/>
      <c r="AR302" s="26"/>
      <c r="AS302" s="26"/>
      <c r="AT302" s="26"/>
      <c r="AU302" s="26"/>
      <c r="AV302" s="26"/>
      <c r="AW302" s="26"/>
      <c r="AX302" s="26"/>
      <c r="AY302" s="26"/>
      <c r="AZ302" s="26"/>
      <c r="BA302" s="26"/>
      <c r="BB302" s="26"/>
      <c r="BC302" s="26"/>
      <c r="BD302" s="26"/>
      <c r="BE302" s="26"/>
      <c r="BF302" s="26"/>
      <c r="BG302" s="26"/>
      <c r="BH302" s="26"/>
      <c r="BI302" s="26"/>
    </row>
    <row r="303" ht="14.25" customHeight="1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  <c r="AF303" s="26"/>
      <c r="AG303" s="26"/>
      <c r="AH303" s="26"/>
      <c r="AI303" s="26"/>
      <c r="AJ303" s="26"/>
      <c r="AK303" s="26"/>
      <c r="AL303" s="26"/>
      <c r="AM303" s="26"/>
      <c r="AN303" s="26"/>
      <c r="AO303" s="26"/>
      <c r="AP303" s="26"/>
      <c r="AQ303" s="26"/>
      <c r="AR303" s="26"/>
      <c r="AS303" s="26"/>
      <c r="AT303" s="26"/>
      <c r="AU303" s="26"/>
      <c r="AV303" s="26"/>
      <c r="AW303" s="26"/>
      <c r="AX303" s="26"/>
      <c r="AY303" s="26"/>
      <c r="AZ303" s="26"/>
      <c r="BA303" s="26"/>
      <c r="BB303" s="26"/>
      <c r="BC303" s="26"/>
      <c r="BD303" s="26"/>
      <c r="BE303" s="26"/>
      <c r="BF303" s="26"/>
      <c r="BG303" s="26"/>
      <c r="BH303" s="26"/>
      <c r="BI303" s="26"/>
    </row>
    <row r="304" ht="14.25" customHeight="1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  <c r="AG304" s="26"/>
      <c r="AH304" s="26"/>
      <c r="AI304" s="26"/>
      <c r="AJ304" s="26"/>
      <c r="AK304" s="26"/>
      <c r="AL304" s="26"/>
      <c r="AM304" s="26"/>
      <c r="AN304" s="26"/>
      <c r="AO304" s="26"/>
      <c r="AP304" s="26"/>
      <c r="AQ304" s="26"/>
      <c r="AR304" s="26"/>
      <c r="AS304" s="26"/>
      <c r="AT304" s="26"/>
      <c r="AU304" s="26"/>
      <c r="AV304" s="26"/>
      <c r="AW304" s="26"/>
      <c r="AX304" s="26"/>
      <c r="AY304" s="26"/>
      <c r="AZ304" s="26"/>
      <c r="BA304" s="26"/>
      <c r="BB304" s="26"/>
      <c r="BC304" s="26"/>
      <c r="BD304" s="26"/>
      <c r="BE304" s="26"/>
      <c r="BF304" s="26"/>
      <c r="BG304" s="26"/>
      <c r="BH304" s="26"/>
      <c r="BI304" s="26"/>
    </row>
    <row r="305" ht="14.25" customHeight="1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  <c r="AF305" s="26"/>
      <c r="AG305" s="26"/>
      <c r="AH305" s="26"/>
      <c r="AI305" s="26"/>
      <c r="AJ305" s="26"/>
      <c r="AK305" s="26"/>
      <c r="AL305" s="26"/>
      <c r="AM305" s="26"/>
      <c r="AN305" s="26"/>
      <c r="AO305" s="26"/>
      <c r="AP305" s="26"/>
      <c r="AQ305" s="26"/>
      <c r="AR305" s="26"/>
      <c r="AS305" s="26"/>
      <c r="AT305" s="26"/>
      <c r="AU305" s="26"/>
      <c r="AV305" s="26"/>
      <c r="AW305" s="26"/>
      <c r="AX305" s="26"/>
      <c r="AY305" s="26"/>
      <c r="AZ305" s="26"/>
      <c r="BA305" s="26"/>
      <c r="BB305" s="26"/>
      <c r="BC305" s="26"/>
      <c r="BD305" s="26"/>
      <c r="BE305" s="26"/>
      <c r="BF305" s="26"/>
      <c r="BG305" s="26"/>
      <c r="BH305" s="26"/>
      <c r="BI305" s="26"/>
    </row>
    <row r="306" ht="14.25" customHeight="1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  <c r="AF306" s="26"/>
      <c r="AG306" s="26"/>
      <c r="AH306" s="26"/>
      <c r="AI306" s="26"/>
      <c r="AJ306" s="26"/>
      <c r="AK306" s="26"/>
      <c r="AL306" s="26"/>
      <c r="AM306" s="26"/>
      <c r="AN306" s="26"/>
      <c r="AO306" s="26"/>
      <c r="AP306" s="26"/>
      <c r="AQ306" s="26"/>
      <c r="AR306" s="26"/>
      <c r="AS306" s="26"/>
      <c r="AT306" s="26"/>
      <c r="AU306" s="26"/>
      <c r="AV306" s="26"/>
      <c r="AW306" s="26"/>
      <c r="AX306" s="26"/>
      <c r="AY306" s="26"/>
      <c r="AZ306" s="26"/>
      <c r="BA306" s="26"/>
      <c r="BB306" s="26"/>
      <c r="BC306" s="26"/>
      <c r="BD306" s="26"/>
      <c r="BE306" s="26"/>
      <c r="BF306" s="26"/>
      <c r="BG306" s="26"/>
      <c r="BH306" s="26"/>
      <c r="BI306" s="26"/>
    </row>
    <row r="307" ht="14.25" customHeight="1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  <c r="AE307" s="26"/>
      <c r="AF307" s="26"/>
      <c r="AG307" s="26"/>
      <c r="AH307" s="26"/>
      <c r="AI307" s="26"/>
      <c r="AJ307" s="26"/>
      <c r="AK307" s="26"/>
      <c r="AL307" s="26"/>
      <c r="AM307" s="26"/>
      <c r="AN307" s="26"/>
      <c r="AO307" s="26"/>
      <c r="AP307" s="26"/>
      <c r="AQ307" s="26"/>
      <c r="AR307" s="26"/>
      <c r="AS307" s="26"/>
      <c r="AT307" s="26"/>
      <c r="AU307" s="26"/>
      <c r="AV307" s="26"/>
      <c r="AW307" s="26"/>
      <c r="AX307" s="26"/>
      <c r="AY307" s="26"/>
      <c r="AZ307" s="26"/>
      <c r="BA307" s="26"/>
      <c r="BB307" s="26"/>
      <c r="BC307" s="26"/>
      <c r="BD307" s="26"/>
      <c r="BE307" s="26"/>
      <c r="BF307" s="26"/>
      <c r="BG307" s="26"/>
      <c r="BH307" s="26"/>
      <c r="BI307" s="26"/>
    </row>
    <row r="308" ht="14.25" customHeight="1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  <c r="AE308" s="26"/>
      <c r="AF308" s="26"/>
      <c r="AG308" s="26"/>
      <c r="AH308" s="26"/>
      <c r="AI308" s="26"/>
      <c r="AJ308" s="26"/>
      <c r="AK308" s="26"/>
      <c r="AL308" s="26"/>
      <c r="AM308" s="26"/>
      <c r="AN308" s="26"/>
      <c r="AO308" s="26"/>
      <c r="AP308" s="26"/>
      <c r="AQ308" s="26"/>
      <c r="AR308" s="26"/>
      <c r="AS308" s="26"/>
      <c r="AT308" s="26"/>
      <c r="AU308" s="26"/>
      <c r="AV308" s="26"/>
      <c r="AW308" s="26"/>
      <c r="AX308" s="26"/>
      <c r="AY308" s="26"/>
      <c r="AZ308" s="26"/>
      <c r="BA308" s="26"/>
      <c r="BB308" s="26"/>
      <c r="BC308" s="26"/>
      <c r="BD308" s="26"/>
      <c r="BE308" s="26"/>
      <c r="BF308" s="26"/>
      <c r="BG308" s="26"/>
      <c r="BH308" s="26"/>
      <c r="BI308" s="26"/>
    </row>
    <row r="309" ht="14.25" customHeight="1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  <c r="AE309" s="26"/>
      <c r="AF309" s="26"/>
      <c r="AG309" s="26"/>
      <c r="AH309" s="26"/>
      <c r="AI309" s="26"/>
      <c r="AJ309" s="26"/>
      <c r="AK309" s="26"/>
      <c r="AL309" s="26"/>
      <c r="AM309" s="26"/>
      <c r="AN309" s="26"/>
      <c r="AO309" s="26"/>
      <c r="AP309" s="26"/>
      <c r="AQ309" s="26"/>
      <c r="AR309" s="26"/>
      <c r="AS309" s="26"/>
      <c r="AT309" s="26"/>
      <c r="AU309" s="26"/>
      <c r="AV309" s="26"/>
      <c r="AW309" s="26"/>
      <c r="AX309" s="26"/>
      <c r="AY309" s="26"/>
      <c r="AZ309" s="26"/>
      <c r="BA309" s="26"/>
      <c r="BB309" s="26"/>
      <c r="BC309" s="26"/>
      <c r="BD309" s="26"/>
      <c r="BE309" s="26"/>
      <c r="BF309" s="26"/>
      <c r="BG309" s="26"/>
      <c r="BH309" s="26"/>
      <c r="BI309" s="26"/>
    </row>
    <row r="310" ht="14.25" customHeight="1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  <c r="AE310" s="26"/>
      <c r="AF310" s="26"/>
      <c r="AG310" s="26"/>
      <c r="AH310" s="26"/>
      <c r="AI310" s="26"/>
      <c r="AJ310" s="26"/>
      <c r="AK310" s="26"/>
      <c r="AL310" s="26"/>
      <c r="AM310" s="26"/>
      <c r="AN310" s="26"/>
      <c r="AO310" s="26"/>
      <c r="AP310" s="26"/>
      <c r="AQ310" s="26"/>
      <c r="AR310" s="26"/>
      <c r="AS310" s="26"/>
      <c r="AT310" s="26"/>
      <c r="AU310" s="26"/>
      <c r="AV310" s="26"/>
      <c r="AW310" s="26"/>
      <c r="AX310" s="26"/>
      <c r="AY310" s="26"/>
      <c r="AZ310" s="26"/>
      <c r="BA310" s="26"/>
      <c r="BB310" s="26"/>
      <c r="BC310" s="26"/>
      <c r="BD310" s="26"/>
      <c r="BE310" s="26"/>
      <c r="BF310" s="26"/>
      <c r="BG310" s="26"/>
      <c r="BH310" s="26"/>
      <c r="BI310" s="26"/>
    </row>
    <row r="311" ht="14.25" customHeight="1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  <c r="AE311" s="26"/>
      <c r="AF311" s="26"/>
      <c r="AG311" s="26"/>
      <c r="AH311" s="26"/>
      <c r="AI311" s="26"/>
      <c r="AJ311" s="26"/>
      <c r="AK311" s="26"/>
      <c r="AL311" s="26"/>
      <c r="AM311" s="26"/>
      <c r="AN311" s="26"/>
      <c r="AO311" s="26"/>
      <c r="AP311" s="26"/>
      <c r="AQ311" s="26"/>
      <c r="AR311" s="26"/>
      <c r="AS311" s="26"/>
      <c r="AT311" s="26"/>
      <c r="AU311" s="26"/>
      <c r="AV311" s="26"/>
      <c r="AW311" s="26"/>
      <c r="AX311" s="26"/>
      <c r="AY311" s="26"/>
      <c r="AZ311" s="26"/>
      <c r="BA311" s="26"/>
      <c r="BB311" s="26"/>
      <c r="BC311" s="26"/>
      <c r="BD311" s="26"/>
      <c r="BE311" s="26"/>
      <c r="BF311" s="26"/>
      <c r="BG311" s="26"/>
      <c r="BH311" s="26"/>
      <c r="BI311" s="26"/>
    </row>
    <row r="312" ht="14.25" customHeight="1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26"/>
      <c r="AF312" s="26"/>
      <c r="AG312" s="26"/>
      <c r="AH312" s="26"/>
      <c r="AI312" s="26"/>
      <c r="AJ312" s="26"/>
      <c r="AK312" s="26"/>
      <c r="AL312" s="26"/>
      <c r="AM312" s="26"/>
      <c r="AN312" s="26"/>
      <c r="AO312" s="26"/>
      <c r="AP312" s="26"/>
      <c r="AQ312" s="26"/>
      <c r="AR312" s="26"/>
      <c r="AS312" s="26"/>
      <c r="AT312" s="26"/>
      <c r="AU312" s="26"/>
      <c r="AV312" s="26"/>
      <c r="AW312" s="26"/>
      <c r="AX312" s="26"/>
      <c r="AY312" s="26"/>
      <c r="AZ312" s="26"/>
      <c r="BA312" s="26"/>
      <c r="BB312" s="26"/>
      <c r="BC312" s="26"/>
      <c r="BD312" s="26"/>
      <c r="BE312" s="26"/>
      <c r="BF312" s="26"/>
      <c r="BG312" s="26"/>
      <c r="BH312" s="26"/>
      <c r="BI312" s="26"/>
    </row>
    <row r="313" ht="14.25" customHeight="1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  <c r="AE313" s="26"/>
      <c r="AF313" s="26"/>
      <c r="AG313" s="26"/>
      <c r="AH313" s="26"/>
      <c r="AI313" s="26"/>
      <c r="AJ313" s="26"/>
      <c r="AK313" s="26"/>
      <c r="AL313" s="26"/>
      <c r="AM313" s="26"/>
      <c r="AN313" s="26"/>
      <c r="AO313" s="26"/>
      <c r="AP313" s="26"/>
      <c r="AQ313" s="26"/>
      <c r="AR313" s="26"/>
      <c r="AS313" s="26"/>
      <c r="AT313" s="26"/>
      <c r="AU313" s="26"/>
      <c r="AV313" s="26"/>
      <c r="AW313" s="26"/>
      <c r="AX313" s="26"/>
      <c r="AY313" s="26"/>
      <c r="AZ313" s="26"/>
      <c r="BA313" s="26"/>
      <c r="BB313" s="26"/>
      <c r="BC313" s="26"/>
      <c r="BD313" s="26"/>
      <c r="BE313" s="26"/>
      <c r="BF313" s="26"/>
      <c r="BG313" s="26"/>
      <c r="BH313" s="26"/>
      <c r="BI313" s="26"/>
    </row>
    <row r="314" ht="14.25" customHeight="1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  <c r="AF314" s="26"/>
      <c r="AG314" s="26"/>
      <c r="AH314" s="26"/>
      <c r="AI314" s="26"/>
      <c r="AJ314" s="26"/>
      <c r="AK314" s="26"/>
      <c r="AL314" s="26"/>
      <c r="AM314" s="26"/>
      <c r="AN314" s="26"/>
      <c r="AO314" s="26"/>
      <c r="AP314" s="26"/>
      <c r="AQ314" s="26"/>
      <c r="AR314" s="26"/>
      <c r="AS314" s="26"/>
      <c r="AT314" s="26"/>
      <c r="AU314" s="26"/>
      <c r="AV314" s="26"/>
      <c r="AW314" s="26"/>
      <c r="AX314" s="26"/>
      <c r="AY314" s="26"/>
      <c r="AZ314" s="26"/>
      <c r="BA314" s="26"/>
      <c r="BB314" s="26"/>
      <c r="BC314" s="26"/>
      <c r="BD314" s="26"/>
      <c r="BE314" s="26"/>
      <c r="BF314" s="26"/>
      <c r="BG314" s="26"/>
      <c r="BH314" s="26"/>
      <c r="BI314" s="26"/>
    </row>
    <row r="315" ht="14.25" customHeight="1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  <c r="AF315" s="26"/>
      <c r="AG315" s="26"/>
      <c r="AH315" s="26"/>
      <c r="AI315" s="26"/>
      <c r="AJ315" s="26"/>
      <c r="AK315" s="26"/>
      <c r="AL315" s="26"/>
      <c r="AM315" s="26"/>
      <c r="AN315" s="26"/>
      <c r="AO315" s="26"/>
      <c r="AP315" s="26"/>
      <c r="AQ315" s="26"/>
      <c r="AR315" s="26"/>
      <c r="AS315" s="26"/>
      <c r="AT315" s="26"/>
      <c r="AU315" s="26"/>
      <c r="AV315" s="26"/>
      <c r="AW315" s="26"/>
      <c r="AX315" s="26"/>
      <c r="AY315" s="26"/>
      <c r="AZ315" s="26"/>
      <c r="BA315" s="26"/>
      <c r="BB315" s="26"/>
      <c r="BC315" s="26"/>
      <c r="BD315" s="26"/>
      <c r="BE315" s="26"/>
      <c r="BF315" s="26"/>
      <c r="BG315" s="26"/>
      <c r="BH315" s="26"/>
      <c r="BI315" s="26"/>
    </row>
    <row r="316" ht="14.25" customHeight="1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  <c r="AE316" s="26"/>
      <c r="AF316" s="26"/>
      <c r="AG316" s="26"/>
      <c r="AH316" s="26"/>
      <c r="AI316" s="26"/>
      <c r="AJ316" s="26"/>
      <c r="AK316" s="26"/>
      <c r="AL316" s="26"/>
      <c r="AM316" s="26"/>
      <c r="AN316" s="26"/>
      <c r="AO316" s="26"/>
      <c r="AP316" s="26"/>
      <c r="AQ316" s="26"/>
      <c r="AR316" s="26"/>
      <c r="AS316" s="26"/>
      <c r="AT316" s="26"/>
      <c r="AU316" s="26"/>
      <c r="AV316" s="26"/>
      <c r="AW316" s="26"/>
      <c r="AX316" s="26"/>
      <c r="AY316" s="26"/>
      <c r="AZ316" s="26"/>
      <c r="BA316" s="26"/>
      <c r="BB316" s="26"/>
      <c r="BC316" s="26"/>
      <c r="BD316" s="26"/>
      <c r="BE316" s="26"/>
      <c r="BF316" s="26"/>
      <c r="BG316" s="26"/>
      <c r="BH316" s="26"/>
      <c r="BI316" s="26"/>
    </row>
    <row r="317" ht="14.25" customHeight="1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  <c r="AE317" s="26"/>
      <c r="AF317" s="26"/>
      <c r="AG317" s="26"/>
      <c r="AH317" s="26"/>
      <c r="AI317" s="26"/>
      <c r="AJ317" s="26"/>
      <c r="AK317" s="26"/>
      <c r="AL317" s="26"/>
      <c r="AM317" s="26"/>
      <c r="AN317" s="26"/>
      <c r="AO317" s="26"/>
      <c r="AP317" s="26"/>
      <c r="AQ317" s="26"/>
      <c r="AR317" s="26"/>
      <c r="AS317" s="26"/>
      <c r="AT317" s="26"/>
      <c r="AU317" s="26"/>
      <c r="AV317" s="26"/>
      <c r="AW317" s="26"/>
      <c r="AX317" s="26"/>
      <c r="AY317" s="26"/>
      <c r="AZ317" s="26"/>
      <c r="BA317" s="26"/>
      <c r="BB317" s="26"/>
      <c r="BC317" s="26"/>
      <c r="BD317" s="26"/>
      <c r="BE317" s="26"/>
      <c r="BF317" s="26"/>
      <c r="BG317" s="26"/>
      <c r="BH317" s="26"/>
      <c r="BI317" s="26"/>
    </row>
    <row r="318" ht="14.25" customHeight="1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  <c r="AF318" s="26"/>
      <c r="AG318" s="26"/>
      <c r="AH318" s="26"/>
      <c r="AI318" s="26"/>
      <c r="AJ318" s="26"/>
      <c r="AK318" s="26"/>
      <c r="AL318" s="26"/>
      <c r="AM318" s="26"/>
      <c r="AN318" s="26"/>
      <c r="AO318" s="26"/>
      <c r="AP318" s="26"/>
      <c r="AQ318" s="26"/>
      <c r="AR318" s="26"/>
      <c r="AS318" s="26"/>
      <c r="AT318" s="26"/>
      <c r="AU318" s="26"/>
      <c r="AV318" s="26"/>
      <c r="AW318" s="26"/>
      <c r="AX318" s="26"/>
      <c r="AY318" s="26"/>
      <c r="AZ318" s="26"/>
      <c r="BA318" s="26"/>
      <c r="BB318" s="26"/>
      <c r="BC318" s="26"/>
      <c r="BD318" s="26"/>
      <c r="BE318" s="26"/>
      <c r="BF318" s="26"/>
      <c r="BG318" s="26"/>
      <c r="BH318" s="26"/>
      <c r="BI318" s="26"/>
    </row>
    <row r="319" ht="14.25" customHeight="1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  <c r="AE319" s="26"/>
      <c r="AF319" s="26"/>
      <c r="AG319" s="26"/>
      <c r="AH319" s="26"/>
      <c r="AI319" s="26"/>
      <c r="AJ319" s="26"/>
      <c r="AK319" s="26"/>
      <c r="AL319" s="26"/>
      <c r="AM319" s="26"/>
      <c r="AN319" s="26"/>
      <c r="AO319" s="26"/>
      <c r="AP319" s="26"/>
      <c r="AQ319" s="26"/>
      <c r="AR319" s="26"/>
      <c r="AS319" s="26"/>
      <c r="AT319" s="26"/>
      <c r="AU319" s="26"/>
      <c r="AV319" s="26"/>
      <c r="AW319" s="26"/>
      <c r="AX319" s="26"/>
      <c r="AY319" s="26"/>
      <c r="AZ319" s="26"/>
      <c r="BA319" s="26"/>
      <c r="BB319" s="26"/>
      <c r="BC319" s="26"/>
      <c r="BD319" s="26"/>
      <c r="BE319" s="26"/>
      <c r="BF319" s="26"/>
      <c r="BG319" s="26"/>
      <c r="BH319" s="26"/>
      <c r="BI319" s="26"/>
    </row>
    <row r="320" ht="14.25" customHeight="1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  <c r="AF320" s="26"/>
      <c r="AG320" s="26"/>
      <c r="AH320" s="26"/>
      <c r="AI320" s="26"/>
      <c r="AJ320" s="26"/>
      <c r="AK320" s="26"/>
      <c r="AL320" s="26"/>
      <c r="AM320" s="26"/>
      <c r="AN320" s="26"/>
      <c r="AO320" s="26"/>
      <c r="AP320" s="26"/>
      <c r="AQ320" s="26"/>
      <c r="AR320" s="26"/>
      <c r="AS320" s="26"/>
      <c r="AT320" s="26"/>
      <c r="AU320" s="26"/>
      <c r="AV320" s="26"/>
      <c r="AW320" s="26"/>
      <c r="AX320" s="26"/>
      <c r="AY320" s="26"/>
      <c r="AZ320" s="26"/>
      <c r="BA320" s="26"/>
      <c r="BB320" s="26"/>
      <c r="BC320" s="26"/>
      <c r="BD320" s="26"/>
      <c r="BE320" s="26"/>
      <c r="BF320" s="26"/>
      <c r="BG320" s="26"/>
      <c r="BH320" s="26"/>
      <c r="BI320" s="26"/>
    </row>
    <row r="321" ht="14.25" customHeight="1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  <c r="AE321" s="26"/>
      <c r="AF321" s="26"/>
      <c r="AG321" s="26"/>
      <c r="AH321" s="26"/>
      <c r="AI321" s="26"/>
      <c r="AJ321" s="26"/>
      <c r="AK321" s="26"/>
      <c r="AL321" s="26"/>
      <c r="AM321" s="26"/>
      <c r="AN321" s="26"/>
      <c r="AO321" s="26"/>
      <c r="AP321" s="26"/>
      <c r="AQ321" s="26"/>
      <c r="AR321" s="26"/>
      <c r="AS321" s="26"/>
      <c r="AT321" s="26"/>
      <c r="AU321" s="26"/>
      <c r="AV321" s="26"/>
      <c r="AW321" s="26"/>
      <c r="AX321" s="26"/>
      <c r="AY321" s="26"/>
      <c r="AZ321" s="26"/>
      <c r="BA321" s="26"/>
      <c r="BB321" s="26"/>
      <c r="BC321" s="26"/>
      <c r="BD321" s="26"/>
      <c r="BE321" s="26"/>
      <c r="BF321" s="26"/>
      <c r="BG321" s="26"/>
      <c r="BH321" s="26"/>
      <c r="BI321" s="26"/>
    </row>
    <row r="322" ht="14.25" customHeight="1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  <c r="AE322" s="26"/>
      <c r="AF322" s="26"/>
      <c r="AG322" s="26"/>
      <c r="AH322" s="26"/>
      <c r="AI322" s="26"/>
      <c r="AJ322" s="26"/>
      <c r="AK322" s="26"/>
      <c r="AL322" s="26"/>
      <c r="AM322" s="26"/>
      <c r="AN322" s="26"/>
      <c r="AO322" s="26"/>
      <c r="AP322" s="26"/>
      <c r="AQ322" s="26"/>
      <c r="AR322" s="26"/>
      <c r="AS322" s="26"/>
      <c r="AT322" s="26"/>
      <c r="AU322" s="26"/>
      <c r="AV322" s="26"/>
      <c r="AW322" s="26"/>
      <c r="AX322" s="26"/>
      <c r="AY322" s="26"/>
      <c r="AZ322" s="26"/>
      <c r="BA322" s="26"/>
      <c r="BB322" s="26"/>
      <c r="BC322" s="26"/>
      <c r="BD322" s="26"/>
      <c r="BE322" s="26"/>
      <c r="BF322" s="26"/>
      <c r="BG322" s="26"/>
      <c r="BH322" s="26"/>
      <c r="BI322" s="26"/>
    </row>
    <row r="323" ht="14.25" customHeight="1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  <c r="AE323" s="26"/>
      <c r="AF323" s="26"/>
      <c r="AG323" s="26"/>
      <c r="AH323" s="26"/>
      <c r="AI323" s="26"/>
      <c r="AJ323" s="26"/>
      <c r="AK323" s="26"/>
      <c r="AL323" s="26"/>
      <c r="AM323" s="26"/>
      <c r="AN323" s="26"/>
      <c r="AO323" s="26"/>
      <c r="AP323" s="26"/>
      <c r="AQ323" s="26"/>
      <c r="AR323" s="26"/>
      <c r="AS323" s="26"/>
      <c r="AT323" s="26"/>
      <c r="AU323" s="26"/>
      <c r="AV323" s="26"/>
      <c r="AW323" s="26"/>
      <c r="AX323" s="26"/>
      <c r="AY323" s="26"/>
      <c r="AZ323" s="26"/>
      <c r="BA323" s="26"/>
      <c r="BB323" s="26"/>
      <c r="BC323" s="26"/>
      <c r="BD323" s="26"/>
      <c r="BE323" s="26"/>
      <c r="BF323" s="26"/>
      <c r="BG323" s="26"/>
      <c r="BH323" s="26"/>
      <c r="BI323" s="26"/>
    </row>
    <row r="324" ht="14.25" customHeight="1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  <c r="AE324" s="26"/>
      <c r="AF324" s="26"/>
      <c r="AG324" s="26"/>
      <c r="AH324" s="26"/>
      <c r="AI324" s="26"/>
      <c r="AJ324" s="26"/>
      <c r="AK324" s="26"/>
      <c r="AL324" s="26"/>
      <c r="AM324" s="26"/>
      <c r="AN324" s="26"/>
      <c r="AO324" s="26"/>
      <c r="AP324" s="26"/>
      <c r="AQ324" s="26"/>
      <c r="AR324" s="26"/>
      <c r="AS324" s="26"/>
      <c r="AT324" s="26"/>
      <c r="AU324" s="26"/>
      <c r="AV324" s="26"/>
      <c r="AW324" s="26"/>
      <c r="AX324" s="26"/>
      <c r="AY324" s="26"/>
      <c r="AZ324" s="26"/>
      <c r="BA324" s="26"/>
      <c r="BB324" s="26"/>
      <c r="BC324" s="26"/>
      <c r="BD324" s="26"/>
      <c r="BE324" s="26"/>
      <c r="BF324" s="26"/>
      <c r="BG324" s="26"/>
      <c r="BH324" s="26"/>
      <c r="BI324" s="26"/>
    </row>
    <row r="325" ht="14.25" customHeight="1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  <c r="AE325" s="26"/>
      <c r="AF325" s="26"/>
      <c r="AG325" s="26"/>
      <c r="AH325" s="26"/>
      <c r="AI325" s="26"/>
      <c r="AJ325" s="26"/>
      <c r="AK325" s="26"/>
      <c r="AL325" s="26"/>
      <c r="AM325" s="26"/>
      <c r="AN325" s="26"/>
      <c r="AO325" s="26"/>
      <c r="AP325" s="26"/>
      <c r="AQ325" s="26"/>
      <c r="AR325" s="26"/>
      <c r="AS325" s="26"/>
      <c r="AT325" s="26"/>
      <c r="AU325" s="26"/>
      <c r="AV325" s="26"/>
      <c r="AW325" s="26"/>
      <c r="AX325" s="26"/>
      <c r="AY325" s="26"/>
      <c r="AZ325" s="26"/>
      <c r="BA325" s="26"/>
      <c r="BB325" s="26"/>
      <c r="BC325" s="26"/>
      <c r="BD325" s="26"/>
      <c r="BE325" s="26"/>
      <c r="BF325" s="26"/>
      <c r="BG325" s="26"/>
      <c r="BH325" s="26"/>
      <c r="BI325" s="26"/>
    </row>
    <row r="326" ht="14.25" customHeight="1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  <c r="AE326" s="26"/>
      <c r="AF326" s="26"/>
      <c r="AG326" s="26"/>
      <c r="AH326" s="26"/>
      <c r="AI326" s="26"/>
      <c r="AJ326" s="26"/>
      <c r="AK326" s="26"/>
      <c r="AL326" s="26"/>
      <c r="AM326" s="26"/>
      <c r="AN326" s="26"/>
      <c r="AO326" s="26"/>
      <c r="AP326" s="26"/>
      <c r="AQ326" s="26"/>
      <c r="AR326" s="26"/>
      <c r="AS326" s="26"/>
      <c r="AT326" s="26"/>
      <c r="AU326" s="26"/>
      <c r="AV326" s="26"/>
      <c r="AW326" s="26"/>
      <c r="AX326" s="26"/>
      <c r="AY326" s="26"/>
      <c r="AZ326" s="26"/>
      <c r="BA326" s="26"/>
      <c r="BB326" s="26"/>
      <c r="BC326" s="26"/>
      <c r="BD326" s="26"/>
      <c r="BE326" s="26"/>
      <c r="BF326" s="26"/>
      <c r="BG326" s="26"/>
      <c r="BH326" s="26"/>
      <c r="BI326" s="26"/>
    </row>
    <row r="327" ht="14.25" customHeight="1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  <c r="AE327" s="26"/>
      <c r="AF327" s="26"/>
      <c r="AG327" s="26"/>
      <c r="AH327" s="26"/>
      <c r="AI327" s="26"/>
      <c r="AJ327" s="26"/>
      <c r="AK327" s="26"/>
      <c r="AL327" s="26"/>
      <c r="AM327" s="26"/>
      <c r="AN327" s="26"/>
      <c r="AO327" s="26"/>
      <c r="AP327" s="26"/>
      <c r="AQ327" s="26"/>
      <c r="AR327" s="26"/>
      <c r="AS327" s="26"/>
      <c r="AT327" s="26"/>
      <c r="AU327" s="26"/>
      <c r="AV327" s="26"/>
      <c r="AW327" s="26"/>
      <c r="AX327" s="26"/>
      <c r="AY327" s="26"/>
      <c r="AZ327" s="26"/>
      <c r="BA327" s="26"/>
      <c r="BB327" s="26"/>
      <c r="BC327" s="26"/>
      <c r="BD327" s="26"/>
      <c r="BE327" s="26"/>
      <c r="BF327" s="26"/>
      <c r="BG327" s="26"/>
      <c r="BH327" s="26"/>
      <c r="BI327" s="26"/>
    </row>
    <row r="328" ht="14.25" customHeight="1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  <c r="AE328" s="26"/>
      <c r="AF328" s="26"/>
      <c r="AG328" s="26"/>
      <c r="AH328" s="26"/>
      <c r="AI328" s="26"/>
      <c r="AJ328" s="26"/>
      <c r="AK328" s="26"/>
      <c r="AL328" s="26"/>
      <c r="AM328" s="26"/>
      <c r="AN328" s="26"/>
      <c r="AO328" s="26"/>
      <c r="AP328" s="26"/>
      <c r="AQ328" s="26"/>
      <c r="AR328" s="26"/>
      <c r="AS328" s="26"/>
      <c r="AT328" s="26"/>
      <c r="AU328" s="26"/>
      <c r="AV328" s="26"/>
      <c r="AW328" s="26"/>
      <c r="AX328" s="26"/>
      <c r="AY328" s="26"/>
      <c r="AZ328" s="26"/>
      <c r="BA328" s="26"/>
      <c r="BB328" s="26"/>
      <c r="BC328" s="26"/>
      <c r="BD328" s="26"/>
      <c r="BE328" s="26"/>
      <c r="BF328" s="26"/>
      <c r="BG328" s="26"/>
      <c r="BH328" s="26"/>
      <c r="BI328" s="26"/>
    </row>
    <row r="329" ht="14.25" customHeight="1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  <c r="AE329" s="26"/>
      <c r="AF329" s="26"/>
      <c r="AG329" s="26"/>
      <c r="AH329" s="26"/>
      <c r="AI329" s="26"/>
      <c r="AJ329" s="26"/>
      <c r="AK329" s="26"/>
      <c r="AL329" s="26"/>
      <c r="AM329" s="26"/>
      <c r="AN329" s="26"/>
      <c r="AO329" s="26"/>
      <c r="AP329" s="26"/>
      <c r="AQ329" s="26"/>
      <c r="AR329" s="26"/>
      <c r="AS329" s="26"/>
      <c r="AT329" s="26"/>
      <c r="AU329" s="26"/>
      <c r="AV329" s="26"/>
      <c r="AW329" s="26"/>
      <c r="AX329" s="26"/>
      <c r="AY329" s="26"/>
      <c r="AZ329" s="26"/>
      <c r="BA329" s="26"/>
      <c r="BB329" s="26"/>
      <c r="BC329" s="26"/>
      <c r="BD329" s="26"/>
      <c r="BE329" s="26"/>
      <c r="BF329" s="26"/>
      <c r="BG329" s="26"/>
      <c r="BH329" s="26"/>
      <c r="BI329" s="26"/>
    </row>
    <row r="330" ht="14.25" customHeight="1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  <c r="AE330" s="26"/>
      <c r="AF330" s="26"/>
      <c r="AG330" s="26"/>
      <c r="AH330" s="26"/>
      <c r="AI330" s="26"/>
      <c r="AJ330" s="26"/>
      <c r="AK330" s="26"/>
      <c r="AL330" s="26"/>
      <c r="AM330" s="26"/>
      <c r="AN330" s="26"/>
      <c r="AO330" s="26"/>
      <c r="AP330" s="26"/>
      <c r="AQ330" s="26"/>
      <c r="AR330" s="26"/>
      <c r="AS330" s="26"/>
      <c r="AT330" s="26"/>
      <c r="AU330" s="26"/>
      <c r="AV330" s="26"/>
      <c r="AW330" s="26"/>
      <c r="AX330" s="26"/>
      <c r="AY330" s="26"/>
      <c r="AZ330" s="26"/>
      <c r="BA330" s="26"/>
      <c r="BB330" s="26"/>
      <c r="BC330" s="26"/>
      <c r="BD330" s="26"/>
      <c r="BE330" s="26"/>
      <c r="BF330" s="26"/>
      <c r="BG330" s="26"/>
      <c r="BH330" s="26"/>
      <c r="BI330" s="26"/>
    </row>
    <row r="331" ht="14.25" customHeight="1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  <c r="AE331" s="26"/>
      <c r="AF331" s="26"/>
      <c r="AG331" s="26"/>
      <c r="AH331" s="26"/>
      <c r="AI331" s="26"/>
      <c r="AJ331" s="26"/>
      <c r="AK331" s="26"/>
      <c r="AL331" s="26"/>
      <c r="AM331" s="26"/>
      <c r="AN331" s="26"/>
      <c r="AO331" s="26"/>
      <c r="AP331" s="26"/>
      <c r="AQ331" s="26"/>
      <c r="AR331" s="26"/>
      <c r="AS331" s="26"/>
      <c r="AT331" s="26"/>
      <c r="AU331" s="26"/>
      <c r="AV331" s="26"/>
      <c r="AW331" s="26"/>
      <c r="AX331" s="26"/>
      <c r="AY331" s="26"/>
      <c r="AZ331" s="26"/>
      <c r="BA331" s="26"/>
      <c r="BB331" s="26"/>
      <c r="BC331" s="26"/>
      <c r="BD331" s="26"/>
      <c r="BE331" s="26"/>
      <c r="BF331" s="26"/>
      <c r="BG331" s="26"/>
      <c r="BH331" s="26"/>
      <c r="BI331" s="26"/>
    </row>
    <row r="332" ht="14.25" customHeight="1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  <c r="AE332" s="26"/>
      <c r="AF332" s="26"/>
      <c r="AG332" s="26"/>
      <c r="AH332" s="26"/>
      <c r="AI332" s="26"/>
      <c r="AJ332" s="26"/>
      <c r="AK332" s="26"/>
      <c r="AL332" s="26"/>
      <c r="AM332" s="26"/>
      <c r="AN332" s="26"/>
      <c r="AO332" s="26"/>
      <c r="AP332" s="26"/>
      <c r="AQ332" s="26"/>
      <c r="AR332" s="26"/>
      <c r="AS332" s="26"/>
      <c r="AT332" s="26"/>
      <c r="AU332" s="26"/>
      <c r="AV332" s="26"/>
      <c r="AW332" s="26"/>
      <c r="AX332" s="26"/>
      <c r="AY332" s="26"/>
      <c r="AZ332" s="26"/>
      <c r="BA332" s="26"/>
      <c r="BB332" s="26"/>
      <c r="BC332" s="26"/>
      <c r="BD332" s="26"/>
      <c r="BE332" s="26"/>
      <c r="BF332" s="26"/>
      <c r="BG332" s="26"/>
      <c r="BH332" s="26"/>
      <c r="BI332" s="26"/>
    </row>
    <row r="333" ht="14.25" customHeight="1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  <c r="AE333" s="26"/>
      <c r="AF333" s="26"/>
      <c r="AG333" s="26"/>
      <c r="AH333" s="26"/>
      <c r="AI333" s="26"/>
      <c r="AJ333" s="26"/>
      <c r="AK333" s="26"/>
      <c r="AL333" s="26"/>
      <c r="AM333" s="26"/>
      <c r="AN333" s="26"/>
      <c r="AO333" s="26"/>
      <c r="AP333" s="26"/>
      <c r="AQ333" s="26"/>
      <c r="AR333" s="26"/>
      <c r="AS333" s="26"/>
      <c r="AT333" s="26"/>
      <c r="AU333" s="26"/>
      <c r="AV333" s="26"/>
      <c r="AW333" s="26"/>
      <c r="AX333" s="26"/>
      <c r="AY333" s="26"/>
      <c r="AZ333" s="26"/>
      <c r="BA333" s="26"/>
      <c r="BB333" s="26"/>
      <c r="BC333" s="26"/>
      <c r="BD333" s="26"/>
      <c r="BE333" s="26"/>
      <c r="BF333" s="26"/>
      <c r="BG333" s="26"/>
      <c r="BH333" s="26"/>
      <c r="BI333" s="26"/>
    </row>
    <row r="334" ht="14.25" customHeight="1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  <c r="AE334" s="26"/>
      <c r="AF334" s="26"/>
      <c r="AG334" s="26"/>
      <c r="AH334" s="26"/>
      <c r="AI334" s="26"/>
      <c r="AJ334" s="26"/>
      <c r="AK334" s="26"/>
      <c r="AL334" s="26"/>
      <c r="AM334" s="26"/>
      <c r="AN334" s="26"/>
      <c r="AO334" s="26"/>
      <c r="AP334" s="26"/>
      <c r="AQ334" s="26"/>
      <c r="AR334" s="26"/>
      <c r="AS334" s="26"/>
      <c r="AT334" s="26"/>
      <c r="AU334" s="26"/>
      <c r="AV334" s="26"/>
      <c r="AW334" s="26"/>
      <c r="AX334" s="26"/>
      <c r="AY334" s="26"/>
      <c r="AZ334" s="26"/>
      <c r="BA334" s="26"/>
      <c r="BB334" s="26"/>
      <c r="BC334" s="26"/>
      <c r="BD334" s="26"/>
      <c r="BE334" s="26"/>
      <c r="BF334" s="26"/>
      <c r="BG334" s="26"/>
      <c r="BH334" s="26"/>
      <c r="BI334" s="26"/>
    </row>
    <row r="335" ht="14.25" customHeight="1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  <c r="AE335" s="26"/>
      <c r="AF335" s="26"/>
      <c r="AG335" s="26"/>
      <c r="AH335" s="26"/>
      <c r="AI335" s="26"/>
      <c r="AJ335" s="26"/>
      <c r="AK335" s="26"/>
      <c r="AL335" s="26"/>
      <c r="AM335" s="26"/>
      <c r="AN335" s="26"/>
      <c r="AO335" s="26"/>
      <c r="AP335" s="26"/>
      <c r="AQ335" s="26"/>
      <c r="AR335" s="26"/>
      <c r="AS335" s="26"/>
      <c r="AT335" s="26"/>
      <c r="AU335" s="26"/>
      <c r="AV335" s="26"/>
      <c r="AW335" s="26"/>
      <c r="AX335" s="26"/>
      <c r="AY335" s="26"/>
      <c r="AZ335" s="26"/>
      <c r="BA335" s="26"/>
      <c r="BB335" s="26"/>
      <c r="BC335" s="26"/>
      <c r="BD335" s="26"/>
      <c r="BE335" s="26"/>
      <c r="BF335" s="26"/>
      <c r="BG335" s="26"/>
      <c r="BH335" s="26"/>
      <c r="BI335" s="26"/>
    </row>
    <row r="336" ht="14.25" customHeight="1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  <c r="AE336" s="26"/>
      <c r="AF336" s="26"/>
      <c r="AG336" s="26"/>
      <c r="AH336" s="26"/>
      <c r="AI336" s="26"/>
      <c r="AJ336" s="26"/>
      <c r="AK336" s="26"/>
      <c r="AL336" s="26"/>
      <c r="AM336" s="26"/>
      <c r="AN336" s="26"/>
      <c r="AO336" s="26"/>
      <c r="AP336" s="26"/>
      <c r="AQ336" s="26"/>
      <c r="AR336" s="26"/>
      <c r="AS336" s="26"/>
      <c r="AT336" s="26"/>
      <c r="AU336" s="26"/>
      <c r="AV336" s="26"/>
      <c r="AW336" s="26"/>
      <c r="AX336" s="26"/>
      <c r="AY336" s="26"/>
      <c r="AZ336" s="26"/>
      <c r="BA336" s="26"/>
      <c r="BB336" s="26"/>
      <c r="BC336" s="26"/>
      <c r="BD336" s="26"/>
      <c r="BE336" s="26"/>
      <c r="BF336" s="26"/>
      <c r="BG336" s="26"/>
      <c r="BH336" s="26"/>
      <c r="BI336" s="26"/>
    </row>
    <row r="337" ht="14.25" customHeight="1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  <c r="AE337" s="26"/>
      <c r="AF337" s="26"/>
      <c r="AG337" s="26"/>
      <c r="AH337" s="26"/>
      <c r="AI337" s="26"/>
      <c r="AJ337" s="26"/>
      <c r="AK337" s="26"/>
      <c r="AL337" s="26"/>
      <c r="AM337" s="26"/>
      <c r="AN337" s="26"/>
      <c r="AO337" s="26"/>
      <c r="AP337" s="26"/>
      <c r="AQ337" s="26"/>
      <c r="AR337" s="26"/>
      <c r="AS337" s="26"/>
      <c r="AT337" s="26"/>
      <c r="AU337" s="26"/>
      <c r="AV337" s="26"/>
      <c r="AW337" s="26"/>
      <c r="AX337" s="26"/>
      <c r="AY337" s="26"/>
      <c r="AZ337" s="26"/>
      <c r="BA337" s="26"/>
      <c r="BB337" s="26"/>
      <c r="BC337" s="26"/>
      <c r="BD337" s="26"/>
      <c r="BE337" s="26"/>
      <c r="BF337" s="26"/>
      <c r="BG337" s="26"/>
      <c r="BH337" s="26"/>
      <c r="BI337" s="26"/>
    </row>
    <row r="338" ht="14.25" customHeight="1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  <c r="AE338" s="26"/>
      <c r="AF338" s="26"/>
      <c r="AG338" s="26"/>
      <c r="AH338" s="26"/>
      <c r="AI338" s="26"/>
      <c r="AJ338" s="26"/>
      <c r="AK338" s="26"/>
      <c r="AL338" s="26"/>
      <c r="AM338" s="26"/>
      <c r="AN338" s="26"/>
      <c r="AO338" s="26"/>
      <c r="AP338" s="26"/>
      <c r="AQ338" s="26"/>
      <c r="AR338" s="26"/>
      <c r="AS338" s="26"/>
      <c r="AT338" s="26"/>
      <c r="AU338" s="26"/>
      <c r="AV338" s="26"/>
      <c r="AW338" s="26"/>
      <c r="AX338" s="26"/>
      <c r="AY338" s="26"/>
      <c r="AZ338" s="26"/>
      <c r="BA338" s="26"/>
      <c r="BB338" s="26"/>
      <c r="BC338" s="26"/>
      <c r="BD338" s="26"/>
      <c r="BE338" s="26"/>
      <c r="BF338" s="26"/>
      <c r="BG338" s="26"/>
      <c r="BH338" s="26"/>
      <c r="BI338" s="26"/>
    </row>
    <row r="339" ht="14.25" customHeight="1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  <c r="AD339" s="26"/>
      <c r="AE339" s="26"/>
      <c r="AF339" s="26"/>
      <c r="AG339" s="26"/>
      <c r="AH339" s="26"/>
      <c r="AI339" s="26"/>
      <c r="AJ339" s="26"/>
      <c r="AK339" s="26"/>
      <c r="AL339" s="26"/>
      <c r="AM339" s="26"/>
      <c r="AN339" s="26"/>
      <c r="AO339" s="26"/>
      <c r="AP339" s="26"/>
      <c r="AQ339" s="26"/>
      <c r="AR339" s="26"/>
      <c r="AS339" s="26"/>
      <c r="AT339" s="26"/>
      <c r="AU339" s="26"/>
      <c r="AV339" s="26"/>
      <c r="AW339" s="26"/>
      <c r="AX339" s="26"/>
      <c r="AY339" s="26"/>
      <c r="AZ339" s="26"/>
      <c r="BA339" s="26"/>
      <c r="BB339" s="26"/>
      <c r="BC339" s="26"/>
      <c r="BD339" s="26"/>
      <c r="BE339" s="26"/>
      <c r="BF339" s="26"/>
      <c r="BG339" s="26"/>
      <c r="BH339" s="26"/>
      <c r="BI339" s="26"/>
    </row>
    <row r="340" ht="14.25" customHeight="1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  <c r="AE340" s="26"/>
      <c r="AF340" s="26"/>
      <c r="AG340" s="26"/>
      <c r="AH340" s="26"/>
      <c r="AI340" s="26"/>
      <c r="AJ340" s="26"/>
      <c r="AK340" s="26"/>
      <c r="AL340" s="26"/>
      <c r="AM340" s="26"/>
      <c r="AN340" s="26"/>
      <c r="AO340" s="26"/>
      <c r="AP340" s="26"/>
      <c r="AQ340" s="26"/>
      <c r="AR340" s="26"/>
      <c r="AS340" s="26"/>
      <c r="AT340" s="26"/>
      <c r="AU340" s="26"/>
      <c r="AV340" s="26"/>
      <c r="AW340" s="26"/>
      <c r="AX340" s="26"/>
      <c r="AY340" s="26"/>
      <c r="AZ340" s="26"/>
      <c r="BA340" s="26"/>
      <c r="BB340" s="26"/>
      <c r="BC340" s="26"/>
      <c r="BD340" s="26"/>
      <c r="BE340" s="26"/>
      <c r="BF340" s="26"/>
      <c r="BG340" s="26"/>
      <c r="BH340" s="26"/>
      <c r="BI340" s="26"/>
    </row>
    <row r="341" ht="14.25" customHeight="1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  <c r="AE341" s="26"/>
      <c r="AF341" s="26"/>
      <c r="AG341" s="26"/>
      <c r="AH341" s="26"/>
      <c r="AI341" s="26"/>
      <c r="AJ341" s="26"/>
      <c r="AK341" s="26"/>
      <c r="AL341" s="26"/>
      <c r="AM341" s="26"/>
      <c r="AN341" s="26"/>
      <c r="AO341" s="26"/>
      <c r="AP341" s="26"/>
      <c r="AQ341" s="26"/>
      <c r="AR341" s="26"/>
      <c r="AS341" s="26"/>
      <c r="AT341" s="26"/>
      <c r="AU341" s="26"/>
      <c r="AV341" s="26"/>
      <c r="AW341" s="26"/>
      <c r="AX341" s="26"/>
      <c r="AY341" s="26"/>
      <c r="AZ341" s="26"/>
      <c r="BA341" s="26"/>
      <c r="BB341" s="26"/>
      <c r="BC341" s="26"/>
      <c r="BD341" s="26"/>
      <c r="BE341" s="26"/>
      <c r="BF341" s="26"/>
      <c r="BG341" s="26"/>
      <c r="BH341" s="26"/>
      <c r="BI341" s="26"/>
    </row>
    <row r="342" ht="14.25" customHeight="1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  <c r="AE342" s="26"/>
      <c r="AF342" s="26"/>
      <c r="AG342" s="26"/>
      <c r="AH342" s="26"/>
      <c r="AI342" s="26"/>
      <c r="AJ342" s="26"/>
      <c r="AK342" s="26"/>
      <c r="AL342" s="26"/>
      <c r="AM342" s="26"/>
      <c r="AN342" s="26"/>
      <c r="AO342" s="26"/>
      <c r="AP342" s="26"/>
      <c r="AQ342" s="26"/>
      <c r="AR342" s="26"/>
      <c r="AS342" s="26"/>
      <c r="AT342" s="26"/>
      <c r="AU342" s="26"/>
      <c r="AV342" s="26"/>
      <c r="AW342" s="26"/>
      <c r="AX342" s="26"/>
      <c r="AY342" s="26"/>
      <c r="AZ342" s="26"/>
      <c r="BA342" s="26"/>
      <c r="BB342" s="26"/>
      <c r="BC342" s="26"/>
      <c r="BD342" s="26"/>
      <c r="BE342" s="26"/>
      <c r="BF342" s="26"/>
      <c r="BG342" s="26"/>
      <c r="BH342" s="26"/>
      <c r="BI342" s="26"/>
    </row>
    <row r="343" ht="14.25" customHeight="1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  <c r="AE343" s="26"/>
      <c r="AF343" s="26"/>
      <c r="AG343" s="26"/>
      <c r="AH343" s="26"/>
      <c r="AI343" s="26"/>
      <c r="AJ343" s="26"/>
      <c r="AK343" s="26"/>
      <c r="AL343" s="26"/>
      <c r="AM343" s="26"/>
      <c r="AN343" s="26"/>
      <c r="AO343" s="26"/>
      <c r="AP343" s="26"/>
      <c r="AQ343" s="26"/>
      <c r="AR343" s="26"/>
      <c r="AS343" s="26"/>
      <c r="AT343" s="26"/>
      <c r="AU343" s="26"/>
      <c r="AV343" s="26"/>
      <c r="AW343" s="26"/>
      <c r="AX343" s="26"/>
      <c r="AY343" s="26"/>
      <c r="AZ343" s="26"/>
      <c r="BA343" s="26"/>
      <c r="BB343" s="26"/>
      <c r="BC343" s="26"/>
      <c r="BD343" s="26"/>
      <c r="BE343" s="26"/>
      <c r="BF343" s="26"/>
      <c r="BG343" s="26"/>
      <c r="BH343" s="26"/>
      <c r="BI343" s="26"/>
    </row>
    <row r="344" ht="14.25" customHeight="1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  <c r="AF344" s="26"/>
      <c r="AG344" s="26"/>
      <c r="AH344" s="26"/>
      <c r="AI344" s="26"/>
      <c r="AJ344" s="26"/>
      <c r="AK344" s="26"/>
      <c r="AL344" s="26"/>
      <c r="AM344" s="26"/>
      <c r="AN344" s="26"/>
      <c r="AO344" s="26"/>
      <c r="AP344" s="26"/>
      <c r="AQ344" s="26"/>
      <c r="AR344" s="26"/>
      <c r="AS344" s="26"/>
      <c r="AT344" s="26"/>
      <c r="AU344" s="26"/>
      <c r="AV344" s="26"/>
      <c r="AW344" s="26"/>
      <c r="AX344" s="26"/>
      <c r="AY344" s="26"/>
      <c r="AZ344" s="26"/>
      <c r="BA344" s="26"/>
      <c r="BB344" s="26"/>
      <c r="BC344" s="26"/>
      <c r="BD344" s="26"/>
      <c r="BE344" s="26"/>
      <c r="BF344" s="26"/>
      <c r="BG344" s="26"/>
      <c r="BH344" s="26"/>
      <c r="BI344" s="26"/>
    </row>
    <row r="345" ht="14.25" customHeight="1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  <c r="AE345" s="26"/>
      <c r="AF345" s="26"/>
      <c r="AG345" s="26"/>
      <c r="AH345" s="26"/>
      <c r="AI345" s="26"/>
      <c r="AJ345" s="26"/>
      <c r="AK345" s="26"/>
      <c r="AL345" s="26"/>
      <c r="AM345" s="26"/>
      <c r="AN345" s="26"/>
      <c r="AO345" s="26"/>
      <c r="AP345" s="26"/>
      <c r="AQ345" s="26"/>
      <c r="AR345" s="26"/>
      <c r="AS345" s="26"/>
      <c r="AT345" s="26"/>
      <c r="AU345" s="26"/>
      <c r="AV345" s="26"/>
      <c r="AW345" s="26"/>
      <c r="AX345" s="26"/>
      <c r="AY345" s="26"/>
      <c r="AZ345" s="26"/>
      <c r="BA345" s="26"/>
      <c r="BB345" s="26"/>
      <c r="BC345" s="26"/>
      <c r="BD345" s="26"/>
      <c r="BE345" s="26"/>
      <c r="BF345" s="26"/>
      <c r="BG345" s="26"/>
      <c r="BH345" s="26"/>
      <c r="BI345" s="26"/>
    </row>
    <row r="346" ht="14.25" customHeight="1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  <c r="AF346" s="26"/>
      <c r="AG346" s="26"/>
      <c r="AH346" s="26"/>
      <c r="AI346" s="26"/>
      <c r="AJ346" s="26"/>
      <c r="AK346" s="26"/>
      <c r="AL346" s="26"/>
      <c r="AM346" s="26"/>
      <c r="AN346" s="26"/>
      <c r="AO346" s="26"/>
      <c r="AP346" s="26"/>
      <c r="AQ346" s="26"/>
      <c r="AR346" s="26"/>
      <c r="AS346" s="26"/>
      <c r="AT346" s="26"/>
      <c r="AU346" s="26"/>
      <c r="AV346" s="26"/>
      <c r="AW346" s="26"/>
      <c r="AX346" s="26"/>
      <c r="AY346" s="26"/>
      <c r="AZ346" s="26"/>
      <c r="BA346" s="26"/>
      <c r="BB346" s="26"/>
      <c r="BC346" s="26"/>
      <c r="BD346" s="26"/>
      <c r="BE346" s="26"/>
      <c r="BF346" s="26"/>
      <c r="BG346" s="26"/>
      <c r="BH346" s="26"/>
      <c r="BI346" s="26"/>
    </row>
    <row r="347" ht="14.25" customHeight="1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  <c r="AE347" s="26"/>
      <c r="AF347" s="26"/>
      <c r="AG347" s="26"/>
      <c r="AH347" s="26"/>
      <c r="AI347" s="26"/>
      <c r="AJ347" s="26"/>
      <c r="AK347" s="26"/>
      <c r="AL347" s="26"/>
      <c r="AM347" s="26"/>
      <c r="AN347" s="26"/>
      <c r="AO347" s="26"/>
      <c r="AP347" s="26"/>
      <c r="AQ347" s="26"/>
      <c r="AR347" s="26"/>
      <c r="AS347" s="26"/>
      <c r="AT347" s="26"/>
      <c r="AU347" s="26"/>
      <c r="AV347" s="26"/>
      <c r="AW347" s="26"/>
      <c r="AX347" s="26"/>
      <c r="AY347" s="26"/>
      <c r="AZ347" s="26"/>
      <c r="BA347" s="26"/>
      <c r="BB347" s="26"/>
      <c r="BC347" s="26"/>
      <c r="BD347" s="26"/>
      <c r="BE347" s="26"/>
      <c r="BF347" s="26"/>
      <c r="BG347" s="26"/>
      <c r="BH347" s="26"/>
      <c r="BI347" s="26"/>
    </row>
    <row r="348" ht="14.25" customHeight="1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  <c r="AE348" s="26"/>
      <c r="AF348" s="26"/>
      <c r="AG348" s="26"/>
      <c r="AH348" s="26"/>
      <c r="AI348" s="26"/>
      <c r="AJ348" s="26"/>
      <c r="AK348" s="26"/>
      <c r="AL348" s="26"/>
      <c r="AM348" s="26"/>
      <c r="AN348" s="26"/>
      <c r="AO348" s="26"/>
      <c r="AP348" s="26"/>
      <c r="AQ348" s="26"/>
      <c r="AR348" s="26"/>
      <c r="AS348" s="26"/>
      <c r="AT348" s="26"/>
      <c r="AU348" s="26"/>
      <c r="AV348" s="26"/>
      <c r="AW348" s="26"/>
      <c r="AX348" s="26"/>
      <c r="AY348" s="26"/>
      <c r="AZ348" s="26"/>
      <c r="BA348" s="26"/>
      <c r="BB348" s="26"/>
      <c r="BC348" s="26"/>
      <c r="BD348" s="26"/>
      <c r="BE348" s="26"/>
      <c r="BF348" s="26"/>
      <c r="BG348" s="26"/>
      <c r="BH348" s="26"/>
      <c r="BI348" s="26"/>
    </row>
    <row r="349" ht="14.25" customHeight="1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  <c r="AE349" s="26"/>
      <c r="AF349" s="26"/>
      <c r="AG349" s="26"/>
      <c r="AH349" s="26"/>
      <c r="AI349" s="26"/>
      <c r="AJ349" s="26"/>
      <c r="AK349" s="26"/>
      <c r="AL349" s="26"/>
      <c r="AM349" s="26"/>
      <c r="AN349" s="26"/>
      <c r="AO349" s="26"/>
      <c r="AP349" s="26"/>
      <c r="AQ349" s="26"/>
      <c r="AR349" s="26"/>
      <c r="AS349" s="26"/>
      <c r="AT349" s="26"/>
      <c r="AU349" s="26"/>
      <c r="AV349" s="26"/>
      <c r="AW349" s="26"/>
      <c r="AX349" s="26"/>
      <c r="AY349" s="26"/>
      <c r="AZ349" s="26"/>
      <c r="BA349" s="26"/>
      <c r="BB349" s="26"/>
      <c r="BC349" s="26"/>
      <c r="BD349" s="26"/>
      <c r="BE349" s="26"/>
      <c r="BF349" s="26"/>
      <c r="BG349" s="26"/>
      <c r="BH349" s="26"/>
      <c r="BI349" s="26"/>
    </row>
    <row r="350" ht="14.25" customHeight="1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  <c r="AE350" s="26"/>
      <c r="AF350" s="26"/>
      <c r="AG350" s="26"/>
      <c r="AH350" s="26"/>
      <c r="AI350" s="26"/>
      <c r="AJ350" s="26"/>
      <c r="AK350" s="26"/>
      <c r="AL350" s="26"/>
      <c r="AM350" s="26"/>
      <c r="AN350" s="26"/>
      <c r="AO350" s="26"/>
      <c r="AP350" s="26"/>
      <c r="AQ350" s="26"/>
      <c r="AR350" s="26"/>
      <c r="AS350" s="26"/>
      <c r="AT350" s="26"/>
      <c r="AU350" s="26"/>
      <c r="AV350" s="26"/>
      <c r="AW350" s="26"/>
      <c r="AX350" s="26"/>
      <c r="AY350" s="26"/>
      <c r="AZ350" s="26"/>
      <c r="BA350" s="26"/>
      <c r="BB350" s="26"/>
      <c r="BC350" s="26"/>
      <c r="BD350" s="26"/>
      <c r="BE350" s="26"/>
      <c r="BF350" s="26"/>
      <c r="BG350" s="26"/>
      <c r="BH350" s="26"/>
      <c r="BI350" s="26"/>
    </row>
    <row r="351" ht="14.25" customHeight="1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  <c r="AE351" s="26"/>
      <c r="AF351" s="26"/>
      <c r="AG351" s="26"/>
      <c r="AH351" s="26"/>
      <c r="AI351" s="26"/>
      <c r="AJ351" s="26"/>
      <c r="AK351" s="26"/>
      <c r="AL351" s="26"/>
      <c r="AM351" s="26"/>
      <c r="AN351" s="26"/>
      <c r="AO351" s="26"/>
      <c r="AP351" s="26"/>
      <c r="AQ351" s="26"/>
      <c r="AR351" s="26"/>
      <c r="AS351" s="26"/>
      <c r="AT351" s="26"/>
      <c r="AU351" s="26"/>
      <c r="AV351" s="26"/>
      <c r="AW351" s="26"/>
      <c r="AX351" s="26"/>
      <c r="AY351" s="26"/>
      <c r="AZ351" s="26"/>
      <c r="BA351" s="26"/>
      <c r="BB351" s="26"/>
      <c r="BC351" s="26"/>
      <c r="BD351" s="26"/>
      <c r="BE351" s="26"/>
      <c r="BF351" s="26"/>
      <c r="BG351" s="26"/>
      <c r="BH351" s="26"/>
      <c r="BI351" s="26"/>
    </row>
    <row r="352" ht="14.25" customHeight="1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  <c r="AE352" s="26"/>
      <c r="AF352" s="26"/>
      <c r="AG352" s="26"/>
      <c r="AH352" s="26"/>
      <c r="AI352" s="26"/>
      <c r="AJ352" s="26"/>
      <c r="AK352" s="26"/>
      <c r="AL352" s="26"/>
      <c r="AM352" s="26"/>
      <c r="AN352" s="26"/>
      <c r="AO352" s="26"/>
      <c r="AP352" s="26"/>
      <c r="AQ352" s="26"/>
      <c r="AR352" s="26"/>
      <c r="AS352" s="26"/>
      <c r="AT352" s="26"/>
      <c r="AU352" s="26"/>
      <c r="AV352" s="26"/>
      <c r="AW352" s="26"/>
      <c r="AX352" s="26"/>
      <c r="AY352" s="26"/>
      <c r="AZ352" s="26"/>
      <c r="BA352" s="26"/>
      <c r="BB352" s="26"/>
      <c r="BC352" s="26"/>
      <c r="BD352" s="26"/>
      <c r="BE352" s="26"/>
      <c r="BF352" s="26"/>
      <c r="BG352" s="26"/>
      <c r="BH352" s="26"/>
      <c r="BI352" s="26"/>
    </row>
    <row r="353" ht="14.25" customHeight="1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  <c r="AE353" s="26"/>
      <c r="AF353" s="26"/>
      <c r="AG353" s="26"/>
      <c r="AH353" s="26"/>
      <c r="AI353" s="26"/>
      <c r="AJ353" s="26"/>
      <c r="AK353" s="26"/>
      <c r="AL353" s="26"/>
      <c r="AM353" s="26"/>
      <c r="AN353" s="26"/>
      <c r="AO353" s="26"/>
      <c r="AP353" s="26"/>
      <c r="AQ353" s="26"/>
      <c r="AR353" s="26"/>
      <c r="AS353" s="26"/>
      <c r="AT353" s="26"/>
      <c r="AU353" s="26"/>
      <c r="AV353" s="26"/>
      <c r="AW353" s="26"/>
      <c r="AX353" s="26"/>
      <c r="AY353" s="26"/>
      <c r="AZ353" s="26"/>
      <c r="BA353" s="26"/>
      <c r="BB353" s="26"/>
      <c r="BC353" s="26"/>
      <c r="BD353" s="26"/>
      <c r="BE353" s="26"/>
      <c r="BF353" s="26"/>
      <c r="BG353" s="26"/>
      <c r="BH353" s="26"/>
      <c r="BI353" s="26"/>
    </row>
    <row r="354" ht="14.25" customHeight="1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  <c r="AE354" s="26"/>
      <c r="AF354" s="26"/>
      <c r="AG354" s="26"/>
      <c r="AH354" s="26"/>
      <c r="AI354" s="26"/>
      <c r="AJ354" s="26"/>
      <c r="AK354" s="26"/>
      <c r="AL354" s="26"/>
      <c r="AM354" s="26"/>
      <c r="AN354" s="26"/>
      <c r="AO354" s="26"/>
      <c r="AP354" s="26"/>
      <c r="AQ354" s="26"/>
      <c r="AR354" s="26"/>
      <c r="AS354" s="26"/>
      <c r="AT354" s="26"/>
      <c r="AU354" s="26"/>
      <c r="AV354" s="26"/>
      <c r="AW354" s="26"/>
      <c r="AX354" s="26"/>
      <c r="AY354" s="26"/>
      <c r="AZ354" s="26"/>
      <c r="BA354" s="26"/>
      <c r="BB354" s="26"/>
      <c r="BC354" s="26"/>
      <c r="BD354" s="26"/>
      <c r="BE354" s="26"/>
      <c r="BF354" s="26"/>
      <c r="BG354" s="26"/>
      <c r="BH354" s="26"/>
      <c r="BI354" s="26"/>
    </row>
    <row r="355" ht="14.25" customHeight="1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  <c r="AE355" s="26"/>
      <c r="AF355" s="26"/>
      <c r="AG355" s="26"/>
      <c r="AH355" s="26"/>
      <c r="AI355" s="26"/>
      <c r="AJ355" s="26"/>
      <c r="AK355" s="26"/>
      <c r="AL355" s="26"/>
      <c r="AM355" s="26"/>
      <c r="AN355" s="26"/>
      <c r="AO355" s="26"/>
      <c r="AP355" s="26"/>
      <c r="AQ355" s="26"/>
      <c r="AR355" s="26"/>
      <c r="AS355" s="26"/>
      <c r="AT355" s="26"/>
      <c r="AU355" s="26"/>
      <c r="AV355" s="26"/>
      <c r="AW355" s="26"/>
      <c r="AX355" s="26"/>
      <c r="AY355" s="26"/>
      <c r="AZ355" s="26"/>
      <c r="BA355" s="26"/>
      <c r="BB355" s="26"/>
      <c r="BC355" s="26"/>
      <c r="BD355" s="26"/>
      <c r="BE355" s="26"/>
      <c r="BF355" s="26"/>
      <c r="BG355" s="26"/>
      <c r="BH355" s="26"/>
      <c r="BI355" s="26"/>
    </row>
    <row r="356" ht="14.25" customHeight="1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  <c r="AE356" s="26"/>
      <c r="AF356" s="26"/>
      <c r="AG356" s="26"/>
      <c r="AH356" s="26"/>
      <c r="AI356" s="26"/>
      <c r="AJ356" s="26"/>
      <c r="AK356" s="26"/>
      <c r="AL356" s="26"/>
      <c r="AM356" s="26"/>
      <c r="AN356" s="26"/>
      <c r="AO356" s="26"/>
      <c r="AP356" s="26"/>
      <c r="AQ356" s="26"/>
      <c r="AR356" s="26"/>
      <c r="AS356" s="26"/>
      <c r="AT356" s="26"/>
      <c r="AU356" s="26"/>
      <c r="AV356" s="26"/>
      <c r="AW356" s="26"/>
      <c r="AX356" s="26"/>
      <c r="AY356" s="26"/>
      <c r="AZ356" s="26"/>
      <c r="BA356" s="26"/>
      <c r="BB356" s="26"/>
      <c r="BC356" s="26"/>
      <c r="BD356" s="26"/>
      <c r="BE356" s="26"/>
      <c r="BF356" s="26"/>
      <c r="BG356" s="26"/>
      <c r="BH356" s="26"/>
      <c r="BI356" s="26"/>
    </row>
    <row r="357" ht="14.25" customHeight="1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  <c r="AE357" s="26"/>
      <c r="AF357" s="26"/>
      <c r="AG357" s="26"/>
      <c r="AH357" s="26"/>
      <c r="AI357" s="26"/>
      <c r="AJ357" s="26"/>
      <c r="AK357" s="26"/>
      <c r="AL357" s="26"/>
      <c r="AM357" s="26"/>
      <c r="AN357" s="26"/>
      <c r="AO357" s="26"/>
      <c r="AP357" s="26"/>
      <c r="AQ357" s="26"/>
      <c r="AR357" s="26"/>
      <c r="AS357" s="26"/>
      <c r="AT357" s="26"/>
      <c r="AU357" s="26"/>
      <c r="AV357" s="26"/>
      <c r="AW357" s="26"/>
      <c r="AX357" s="26"/>
      <c r="AY357" s="26"/>
      <c r="AZ357" s="26"/>
      <c r="BA357" s="26"/>
      <c r="BB357" s="26"/>
      <c r="BC357" s="26"/>
      <c r="BD357" s="26"/>
      <c r="BE357" s="26"/>
      <c r="BF357" s="26"/>
      <c r="BG357" s="26"/>
      <c r="BH357" s="26"/>
      <c r="BI357" s="26"/>
    </row>
    <row r="358" ht="14.25" customHeight="1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  <c r="AF358" s="26"/>
      <c r="AG358" s="26"/>
      <c r="AH358" s="26"/>
      <c r="AI358" s="26"/>
      <c r="AJ358" s="26"/>
      <c r="AK358" s="26"/>
      <c r="AL358" s="26"/>
      <c r="AM358" s="26"/>
      <c r="AN358" s="26"/>
      <c r="AO358" s="26"/>
      <c r="AP358" s="26"/>
      <c r="AQ358" s="26"/>
      <c r="AR358" s="26"/>
      <c r="AS358" s="26"/>
      <c r="AT358" s="26"/>
      <c r="AU358" s="26"/>
      <c r="AV358" s="26"/>
      <c r="AW358" s="26"/>
      <c r="AX358" s="26"/>
      <c r="AY358" s="26"/>
      <c r="AZ358" s="26"/>
      <c r="BA358" s="26"/>
      <c r="BB358" s="26"/>
      <c r="BC358" s="26"/>
      <c r="BD358" s="26"/>
      <c r="BE358" s="26"/>
      <c r="BF358" s="26"/>
      <c r="BG358" s="26"/>
      <c r="BH358" s="26"/>
      <c r="BI358" s="26"/>
    </row>
    <row r="359" ht="14.25" customHeight="1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  <c r="AE359" s="26"/>
      <c r="AF359" s="26"/>
      <c r="AG359" s="26"/>
      <c r="AH359" s="26"/>
      <c r="AI359" s="26"/>
      <c r="AJ359" s="26"/>
      <c r="AK359" s="26"/>
      <c r="AL359" s="26"/>
      <c r="AM359" s="26"/>
      <c r="AN359" s="26"/>
      <c r="AO359" s="26"/>
      <c r="AP359" s="26"/>
      <c r="AQ359" s="26"/>
      <c r="AR359" s="26"/>
      <c r="AS359" s="26"/>
      <c r="AT359" s="26"/>
      <c r="AU359" s="26"/>
      <c r="AV359" s="26"/>
      <c r="AW359" s="26"/>
      <c r="AX359" s="26"/>
      <c r="AY359" s="26"/>
      <c r="AZ359" s="26"/>
      <c r="BA359" s="26"/>
      <c r="BB359" s="26"/>
      <c r="BC359" s="26"/>
      <c r="BD359" s="26"/>
      <c r="BE359" s="26"/>
      <c r="BF359" s="26"/>
      <c r="BG359" s="26"/>
      <c r="BH359" s="26"/>
      <c r="BI359" s="26"/>
    </row>
    <row r="360" ht="14.25" customHeight="1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  <c r="AE360" s="26"/>
      <c r="AF360" s="26"/>
      <c r="AG360" s="26"/>
      <c r="AH360" s="26"/>
      <c r="AI360" s="26"/>
      <c r="AJ360" s="26"/>
      <c r="AK360" s="26"/>
      <c r="AL360" s="26"/>
      <c r="AM360" s="26"/>
      <c r="AN360" s="26"/>
      <c r="AO360" s="26"/>
      <c r="AP360" s="26"/>
      <c r="AQ360" s="26"/>
      <c r="AR360" s="26"/>
      <c r="AS360" s="26"/>
      <c r="AT360" s="26"/>
      <c r="AU360" s="26"/>
      <c r="AV360" s="26"/>
      <c r="AW360" s="26"/>
      <c r="AX360" s="26"/>
      <c r="AY360" s="26"/>
      <c r="AZ360" s="26"/>
      <c r="BA360" s="26"/>
      <c r="BB360" s="26"/>
      <c r="BC360" s="26"/>
      <c r="BD360" s="26"/>
      <c r="BE360" s="26"/>
      <c r="BF360" s="26"/>
      <c r="BG360" s="26"/>
      <c r="BH360" s="26"/>
      <c r="BI360" s="26"/>
    </row>
    <row r="361" ht="14.25" customHeight="1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  <c r="AE361" s="26"/>
      <c r="AF361" s="26"/>
      <c r="AG361" s="26"/>
      <c r="AH361" s="26"/>
      <c r="AI361" s="26"/>
      <c r="AJ361" s="26"/>
      <c r="AK361" s="26"/>
      <c r="AL361" s="26"/>
      <c r="AM361" s="26"/>
      <c r="AN361" s="26"/>
      <c r="AO361" s="26"/>
      <c r="AP361" s="26"/>
      <c r="AQ361" s="26"/>
      <c r="AR361" s="26"/>
      <c r="AS361" s="26"/>
      <c r="AT361" s="26"/>
      <c r="AU361" s="26"/>
      <c r="AV361" s="26"/>
      <c r="AW361" s="26"/>
      <c r="AX361" s="26"/>
      <c r="AY361" s="26"/>
      <c r="AZ361" s="26"/>
      <c r="BA361" s="26"/>
      <c r="BB361" s="26"/>
      <c r="BC361" s="26"/>
      <c r="BD361" s="26"/>
      <c r="BE361" s="26"/>
      <c r="BF361" s="26"/>
      <c r="BG361" s="26"/>
      <c r="BH361" s="26"/>
      <c r="BI361" s="26"/>
    </row>
    <row r="362" ht="14.25" customHeight="1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  <c r="AE362" s="26"/>
      <c r="AF362" s="26"/>
      <c r="AG362" s="26"/>
      <c r="AH362" s="26"/>
      <c r="AI362" s="26"/>
      <c r="AJ362" s="26"/>
      <c r="AK362" s="26"/>
      <c r="AL362" s="26"/>
      <c r="AM362" s="26"/>
      <c r="AN362" s="26"/>
      <c r="AO362" s="26"/>
      <c r="AP362" s="26"/>
      <c r="AQ362" s="26"/>
      <c r="AR362" s="26"/>
      <c r="AS362" s="26"/>
      <c r="AT362" s="26"/>
      <c r="AU362" s="26"/>
      <c r="AV362" s="26"/>
      <c r="AW362" s="26"/>
      <c r="AX362" s="26"/>
      <c r="AY362" s="26"/>
      <c r="AZ362" s="26"/>
      <c r="BA362" s="26"/>
      <c r="BB362" s="26"/>
      <c r="BC362" s="26"/>
      <c r="BD362" s="26"/>
      <c r="BE362" s="26"/>
      <c r="BF362" s="26"/>
      <c r="BG362" s="26"/>
      <c r="BH362" s="26"/>
      <c r="BI362" s="26"/>
    </row>
    <row r="363" ht="14.25" customHeight="1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  <c r="AE363" s="26"/>
      <c r="AF363" s="26"/>
      <c r="AG363" s="26"/>
      <c r="AH363" s="26"/>
      <c r="AI363" s="26"/>
      <c r="AJ363" s="26"/>
      <c r="AK363" s="26"/>
      <c r="AL363" s="26"/>
      <c r="AM363" s="26"/>
      <c r="AN363" s="26"/>
      <c r="AO363" s="26"/>
      <c r="AP363" s="26"/>
      <c r="AQ363" s="26"/>
      <c r="AR363" s="26"/>
      <c r="AS363" s="26"/>
      <c r="AT363" s="26"/>
      <c r="AU363" s="26"/>
      <c r="AV363" s="26"/>
      <c r="AW363" s="26"/>
      <c r="AX363" s="26"/>
      <c r="AY363" s="26"/>
      <c r="AZ363" s="26"/>
      <c r="BA363" s="26"/>
      <c r="BB363" s="26"/>
      <c r="BC363" s="26"/>
      <c r="BD363" s="26"/>
      <c r="BE363" s="26"/>
      <c r="BF363" s="26"/>
      <c r="BG363" s="26"/>
      <c r="BH363" s="26"/>
      <c r="BI363" s="26"/>
    </row>
    <row r="364" ht="14.25" customHeight="1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  <c r="AE364" s="26"/>
      <c r="AF364" s="26"/>
      <c r="AG364" s="26"/>
      <c r="AH364" s="26"/>
      <c r="AI364" s="26"/>
      <c r="AJ364" s="26"/>
      <c r="AK364" s="26"/>
      <c r="AL364" s="26"/>
      <c r="AM364" s="26"/>
      <c r="AN364" s="26"/>
      <c r="AO364" s="26"/>
      <c r="AP364" s="26"/>
      <c r="AQ364" s="26"/>
      <c r="AR364" s="26"/>
      <c r="AS364" s="26"/>
      <c r="AT364" s="26"/>
      <c r="AU364" s="26"/>
      <c r="AV364" s="26"/>
      <c r="AW364" s="26"/>
      <c r="AX364" s="26"/>
      <c r="AY364" s="26"/>
      <c r="AZ364" s="26"/>
      <c r="BA364" s="26"/>
      <c r="BB364" s="26"/>
      <c r="BC364" s="26"/>
      <c r="BD364" s="26"/>
      <c r="BE364" s="26"/>
      <c r="BF364" s="26"/>
      <c r="BG364" s="26"/>
      <c r="BH364" s="26"/>
      <c r="BI364" s="26"/>
    </row>
    <row r="365" ht="14.25" customHeight="1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  <c r="AE365" s="26"/>
      <c r="AF365" s="26"/>
      <c r="AG365" s="26"/>
      <c r="AH365" s="26"/>
      <c r="AI365" s="26"/>
      <c r="AJ365" s="26"/>
      <c r="AK365" s="26"/>
      <c r="AL365" s="26"/>
      <c r="AM365" s="26"/>
      <c r="AN365" s="26"/>
      <c r="AO365" s="26"/>
      <c r="AP365" s="26"/>
      <c r="AQ365" s="26"/>
      <c r="AR365" s="26"/>
      <c r="AS365" s="26"/>
      <c r="AT365" s="26"/>
      <c r="AU365" s="26"/>
      <c r="AV365" s="26"/>
      <c r="AW365" s="26"/>
      <c r="AX365" s="26"/>
      <c r="AY365" s="26"/>
      <c r="AZ365" s="26"/>
      <c r="BA365" s="26"/>
      <c r="BB365" s="26"/>
      <c r="BC365" s="26"/>
      <c r="BD365" s="26"/>
      <c r="BE365" s="26"/>
      <c r="BF365" s="26"/>
      <c r="BG365" s="26"/>
      <c r="BH365" s="26"/>
      <c r="BI365" s="26"/>
    </row>
    <row r="366" ht="14.25" customHeight="1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  <c r="AF366" s="26"/>
      <c r="AG366" s="26"/>
      <c r="AH366" s="26"/>
      <c r="AI366" s="26"/>
      <c r="AJ366" s="26"/>
      <c r="AK366" s="26"/>
      <c r="AL366" s="26"/>
      <c r="AM366" s="26"/>
      <c r="AN366" s="26"/>
      <c r="AO366" s="26"/>
      <c r="AP366" s="26"/>
      <c r="AQ366" s="26"/>
      <c r="AR366" s="26"/>
      <c r="AS366" s="26"/>
      <c r="AT366" s="26"/>
      <c r="AU366" s="26"/>
      <c r="AV366" s="26"/>
      <c r="AW366" s="26"/>
      <c r="AX366" s="26"/>
      <c r="AY366" s="26"/>
      <c r="AZ366" s="26"/>
      <c r="BA366" s="26"/>
      <c r="BB366" s="26"/>
      <c r="BC366" s="26"/>
      <c r="BD366" s="26"/>
      <c r="BE366" s="26"/>
      <c r="BF366" s="26"/>
      <c r="BG366" s="26"/>
      <c r="BH366" s="26"/>
      <c r="BI366" s="26"/>
    </row>
    <row r="367" ht="14.25" customHeight="1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  <c r="AE367" s="26"/>
      <c r="AF367" s="26"/>
      <c r="AG367" s="26"/>
      <c r="AH367" s="26"/>
      <c r="AI367" s="26"/>
      <c r="AJ367" s="26"/>
      <c r="AK367" s="26"/>
      <c r="AL367" s="26"/>
      <c r="AM367" s="26"/>
      <c r="AN367" s="26"/>
      <c r="AO367" s="26"/>
      <c r="AP367" s="26"/>
      <c r="AQ367" s="26"/>
      <c r="AR367" s="26"/>
      <c r="AS367" s="26"/>
      <c r="AT367" s="26"/>
      <c r="AU367" s="26"/>
      <c r="AV367" s="26"/>
      <c r="AW367" s="26"/>
      <c r="AX367" s="26"/>
      <c r="AY367" s="26"/>
      <c r="AZ367" s="26"/>
      <c r="BA367" s="26"/>
      <c r="BB367" s="26"/>
      <c r="BC367" s="26"/>
      <c r="BD367" s="26"/>
      <c r="BE367" s="26"/>
      <c r="BF367" s="26"/>
      <c r="BG367" s="26"/>
      <c r="BH367" s="26"/>
      <c r="BI367" s="26"/>
    </row>
    <row r="368" ht="14.25" customHeight="1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  <c r="AE368" s="26"/>
      <c r="AF368" s="26"/>
      <c r="AG368" s="26"/>
      <c r="AH368" s="26"/>
      <c r="AI368" s="26"/>
      <c r="AJ368" s="26"/>
      <c r="AK368" s="26"/>
      <c r="AL368" s="26"/>
      <c r="AM368" s="26"/>
      <c r="AN368" s="26"/>
      <c r="AO368" s="26"/>
      <c r="AP368" s="26"/>
      <c r="AQ368" s="26"/>
      <c r="AR368" s="26"/>
      <c r="AS368" s="26"/>
      <c r="AT368" s="26"/>
      <c r="AU368" s="26"/>
      <c r="AV368" s="26"/>
      <c r="AW368" s="26"/>
      <c r="AX368" s="26"/>
      <c r="AY368" s="26"/>
      <c r="AZ368" s="26"/>
      <c r="BA368" s="26"/>
      <c r="BB368" s="26"/>
      <c r="BC368" s="26"/>
      <c r="BD368" s="26"/>
      <c r="BE368" s="26"/>
      <c r="BF368" s="26"/>
      <c r="BG368" s="26"/>
      <c r="BH368" s="26"/>
      <c r="BI368" s="26"/>
    </row>
    <row r="369" ht="14.25" customHeight="1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  <c r="AE369" s="26"/>
      <c r="AF369" s="26"/>
      <c r="AG369" s="26"/>
      <c r="AH369" s="26"/>
      <c r="AI369" s="26"/>
      <c r="AJ369" s="26"/>
      <c r="AK369" s="26"/>
      <c r="AL369" s="26"/>
      <c r="AM369" s="26"/>
      <c r="AN369" s="26"/>
      <c r="AO369" s="26"/>
      <c r="AP369" s="26"/>
      <c r="AQ369" s="26"/>
      <c r="AR369" s="26"/>
      <c r="AS369" s="26"/>
      <c r="AT369" s="26"/>
      <c r="AU369" s="26"/>
      <c r="AV369" s="26"/>
      <c r="AW369" s="26"/>
      <c r="AX369" s="26"/>
      <c r="AY369" s="26"/>
      <c r="AZ369" s="26"/>
      <c r="BA369" s="26"/>
      <c r="BB369" s="26"/>
      <c r="BC369" s="26"/>
      <c r="BD369" s="26"/>
      <c r="BE369" s="26"/>
      <c r="BF369" s="26"/>
      <c r="BG369" s="26"/>
      <c r="BH369" s="26"/>
      <c r="BI369" s="26"/>
    </row>
    <row r="370" ht="14.25" customHeight="1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  <c r="AF370" s="26"/>
      <c r="AG370" s="26"/>
      <c r="AH370" s="26"/>
      <c r="AI370" s="26"/>
      <c r="AJ370" s="26"/>
      <c r="AK370" s="26"/>
      <c r="AL370" s="26"/>
      <c r="AM370" s="26"/>
      <c r="AN370" s="26"/>
      <c r="AO370" s="26"/>
      <c r="AP370" s="26"/>
      <c r="AQ370" s="26"/>
      <c r="AR370" s="26"/>
      <c r="AS370" s="26"/>
      <c r="AT370" s="26"/>
      <c r="AU370" s="26"/>
      <c r="AV370" s="26"/>
      <c r="AW370" s="26"/>
      <c r="AX370" s="26"/>
      <c r="AY370" s="26"/>
      <c r="AZ370" s="26"/>
      <c r="BA370" s="26"/>
      <c r="BB370" s="26"/>
      <c r="BC370" s="26"/>
      <c r="BD370" s="26"/>
      <c r="BE370" s="26"/>
      <c r="BF370" s="26"/>
      <c r="BG370" s="26"/>
      <c r="BH370" s="26"/>
      <c r="BI370" s="26"/>
    </row>
    <row r="371" ht="14.25" customHeight="1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  <c r="AE371" s="26"/>
      <c r="AF371" s="26"/>
      <c r="AG371" s="26"/>
      <c r="AH371" s="26"/>
      <c r="AI371" s="26"/>
      <c r="AJ371" s="26"/>
      <c r="AK371" s="26"/>
      <c r="AL371" s="26"/>
      <c r="AM371" s="26"/>
      <c r="AN371" s="26"/>
      <c r="AO371" s="26"/>
      <c r="AP371" s="26"/>
      <c r="AQ371" s="26"/>
      <c r="AR371" s="26"/>
      <c r="AS371" s="26"/>
      <c r="AT371" s="26"/>
      <c r="AU371" s="26"/>
      <c r="AV371" s="26"/>
      <c r="AW371" s="26"/>
      <c r="AX371" s="26"/>
      <c r="AY371" s="26"/>
      <c r="AZ371" s="26"/>
      <c r="BA371" s="26"/>
      <c r="BB371" s="26"/>
      <c r="BC371" s="26"/>
      <c r="BD371" s="26"/>
      <c r="BE371" s="26"/>
      <c r="BF371" s="26"/>
      <c r="BG371" s="26"/>
      <c r="BH371" s="26"/>
      <c r="BI371" s="26"/>
    </row>
    <row r="372" ht="14.25" customHeight="1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  <c r="AE372" s="26"/>
      <c r="AF372" s="26"/>
      <c r="AG372" s="26"/>
      <c r="AH372" s="26"/>
      <c r="AI372" s="26"/>
      <c r="AJ372" s="26"/>
      <c r="AK372" s="26"/>
      <c r="AL372" s="26"/>
      <c r="AM372" s="26"/>
      <c r="AN372" s="26"/>
      <c r="AO372" s="26"/>
      <c r="AP372" s="26"/>
      <c r="AQ372" s="26"/>
      <c r="AR372" s="26"/>
      <c r="AS372" s="26"/>
      <c r="AT372" s="26"/>
      <c r="AU372" s="26"/>
      <c r="AV372" s="26"/>
      <c r="AW372" s="26"/>
      <c r="AX372" s="26"/>
      <c r="AY372" s="26"/>
      <c r="AZ372" s="26"/>
      <c r="BA372" s="26"/>
      <c r="BB372" s="26"/>
      <c r="BC372" s="26"/>
      <c r="BD372" s="26"/>
      <c r="BE372" s="26"/>
      <c r="BF372" s="26"/>
      <c r="BG372" s="26"/>
      <c r="BH372" s="26"/>
      <c r="BI372" s="26"/>
    </row>
    <row r="373" ht="14.25" customHeight="1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  <c r="AE373" s="26"/>
      <c r="AF373" s="26"/>
      <c r="AG373" s="26"/>
      <c r="AH373" s="26"/>
      <c r="AI373" s="26"/>
      <c r="AJ373" s="26"/>
      <c r="AK373" s="26"/>
      <c r="AL373" s="26"/>
      <c r="AM373" s="26"/>
      <c r="AN373" s="26"/>
      <c r="AO373" s="26"/>
      <c r="AP373" s="26"/>
      <c r="AQ373" s="26"/>
      <c r="AR373" s="26"/>
      <c r="AS373" s="26"/>
      <c r="AT373" s="26"/>
      <c r="AU373" s="26"/>
      <c r="AV373" s="26"/>
      <c r="AW373" s="26"/>
      <c r="AX373" s="26"/>
      <c r="AY373" s="26"/>
      <c r="AZ373" s="26"/>
      <c r="BA373" s="26"/>
      <c r="BB373" s="26"/>
      <c r="BC373" s="26"/>
      <c r="BD373" s="26"/>
      <c r="BE373" s="26"/>
      <c r="BF373" s="26"/>
      <c r="BG373" s="26"/>
      <c r="BH373" s="26"/>
      <c r="BI373" s="26"/>
    </row>
    <row r="374" ht="14.25" customHeight="1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  <c r="AE374" s="26"/>
      <c r="AF374" s="26"/>
      <c r="AG374" s="26"/>
      <c r="AH374" s="26"/>
      <c r="AI374" s="26"/>
      <c r="AJ374" s="26"/>
      <c r="AK374" s="26"/>
      <c r="AL374" s="26"/>
      <c r="AM374" s="26"/>
      <c r="AN374" s="26"/>
      <c r="AO374" s="26"/>
      <c r="AP374" s="26"/>
      <c r="AQ374" s="26"/>
      <c r="AR374" s="26"/>
      <c r="AS374" s="26"/>
      <c r="AT374" s="26"/>
      <c r="AU374" s="26"/>
      <c r="AV374" s="26"/>
      <c r="AW374" s="26"/>
      <c r="AX374" s="26"/>
      <c r="AY374" s="26"/>
      <c r="AZ374" s="26"/>
      <c r="BA374" s="26"/>
      <c r="BB374" s="26"/>
      <c r="BC374" s="26"/>
      <c r="BD374" s="26"/>
      <c r="BE374" s="26"/>
      <c r="BF374" s="26"/>
      <c r="BG374" s="26"/>
      <c r="BH374" s="26"/>
      <c r="BI374" s="26"/>
    </row>
    <row r="375" ht="14.25" customHeight="1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  <c r="AE375" s="26"/>
      <c r="AF375" s="26"/>
      <c r="AG375" s="26"/>
      <c r="AH375" s="26"/>
      <c r="AI375" s="26"/>
      <c r="AJ375" s="26"/>
      <c r="AK375" s="26"/>
      <c r="AL375" s="26"/>
      <c r="AM375" s="26"/>
      <c r="AN375" s="26"/>
      <c r="AO375" s="26"/>
      <c r="AP375" s="26"/>
      <c r="AQ375" s="26"/>
      <c r="AR375" s="26"/>
      <c r="AS375" s="26"/>
      <c r="AT375" s="26"/>
      <c r="AU375" s="26"/>
      <c r="AV375" s="26"/>
      <c r="AW375" s="26"/>
      <c r="AX375" s="26"/>
      <c r="AY375" s="26"/>
      <c r="AZ375" s="26"/>
      <c r="BA375" s="26"/>
      <c r="BB375" s="26"/>
      <c r="BC375" s="26"/>
      <c r="BD375" s="26"/>
      <c r="BE375" s="26"/>
      <c r="BF375" s="26"/>
      <c r="BG375" s="26"/>
      <c r="BH375" s="26"/>
      <c r="BI375" s="26"/>
    </row>
    <row r="376" ht="14.25" customHeight="1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26"/>
      <c r="AF376" s="26"/>
      <c r="AG376" s="26"/>
      <c r="AH376" s="26"/>
      <c r="AI376" s="26"/>
      <c r="AJ376" s="26"/>
      <c r="AK376" s="26"/>
      <c r="AL376" s="26"/>
      <c r="AM376" s="26"/>
      <c r="AN376" s="26"/>
      <c r="AO376" s="26"/>
      <c r="AP376" s="26"/>
      <c r="AQ376" s="26"/>
      <c r="AR376" s="26"/>
      <c r="AS376" s="26"/>
      <c r="AT376" s="26"/>
      <c r="AU376" s="26"/>
      <c r="AV376" s="26"/>
      <c r="AW376" s="26"/>
      <c r="AX376" s="26"/>
      <c r="AY376" s="26"/>
      <c r="AZ376" s="26"/>
      <c r="BA376" s="26"/>
      <c r="BB376" s="26"/>
      <c r="BC376" s="26"/>
      <c r="BD376" s="26"/>
      <c r="BE376" s="26"/>
      <c r="BF376" s="26"/>
      <c r="BG376" s="26"/>
      <c r="BH376" s="26"/>
      <c r="BI376" s="26"/>
    </row>
    <row r="377" ht="14.25" customHeight="1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  <c r="AE377" s="26"/>
      <c r="AF377" s="26"/>
      <c r="AG377" s="26"/>
      <c r="AH377" s="26"/>
      <c r="AI377" s="26"/>
      <c r="AJ377" s="26"/>
      <c r="AK377" s="26"/>
      <c r="AL377" s="26"/>
      <c r="AM377" s="26"/>
      <c r="AN377" s="26"/>
      <c r="AO377" s="26"/>
      <c r="AP377" s="26"/>
      <c r="AQ377" s="26"/>
      <c r="AR377" s="26"/>
      <c r="AS377" s="26"/>
      <c r="AT377" s="26"/>
      <c r="AU377" s="26"/>
      <c r="AV377" s="26"/>
      <c r="AW377" s="26"/>
      <c r="AX377" s="26"/>
      <c r="AY377" s="26"/>
      <c r="AZ377" s="26"/>
      <c r="BA377" s="26"/>
      <c r="BB377" s="26"/>
      <c r="BC377" s="26"/>
      <c r="BD377" s="26"/>
      <c r="BE377" s="26"/>
      <c r="BF377" s="26"/>
      <c r="BG377" s="26"/>
      <c r="BH377" s="26"/>
      <c r="BI377" s="26"/>
    </row>
    <row r="378" ht="14.25" customHeight="1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  <c r="AE378" s="26"/>
      <c r="AF378" s="26"/>
      <c r="AG378" s="26"/>
      <c r="AH378" s="26"/>
      <c r="AI378" s="26"/>
      <c r="AJ378" s="26"/>
      <c r="AK378" s="26"/>
      <c r="AL378" s="26"/>
      <c r="AM378" s="26"/>
      <c r="AN378" s="26"/>
      <c r="AO378" s="26"/>
      <c r="AP378" s="26"/>
      <c r="AQ378" s="26"/>
      <c r="AR378" s="26"/>
      <c r="AS378" s="26"/>
      <c r="AT378" s="26"/>
      <c r="AU378" s="26"/>
      <c r="AV378" s="26"/>
      <c r="AW378" s="26"/>
      <c r="AX378" s="26"/>
      <c r="AY378" s="26"/>
      <c r="AZ378" s="26"/>
      <c r="BA378" s="26"/>
      <c r="BB378" s="26"/>
      <c r="BC378" s="26"/>
      <c r="BD378" s="26"/>
      <c r="BE378" s="26"/>
      <c r="BF378" s="26"/>
      <c r="BG378" s="26"/>
      <c r="BH378" s="26"/>
      <c r="BI378" s="26"/>
    </row>
    <row r="379" ht="14.25" customHeight="1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  <c r="AE379" s="26"/>
      <c r="AF379" s="26"/>
      <c r="AG379" s="26"/>
      <c r="AH379" s="26"/>
      <c r="AI379" s="26"/>
      <c r="AJ379" s="26"/>
      <c r="AK379" s="26"/>
      <c r="AL379" s="26"/>
      <c r="AM379" s="26"/>
      <c r="AN379" s="26"/>
      <c r="AO379" s="26"/>
      <c r="AP379" s="26"/>
      <c r="AQ379" s="26"/>
      <c r="AR379" s="26"/>
      <c r="AS379" s="26"/>
      <c r="AT379" s="26"/>
      <c r="AU379" s="26"/>
      <c r="AV379" s="26"/>
      <c r="AW379" s="26"/>
      <c r="AX379" s="26"/>
      <c r="AY379" s="26"/>
      <c r="AZ379" s="26"/>
      <c r="BA379" s="26"/>
      <c r="BB379" s="26"/>
      <c r="BC379" s="26"/>
      <c r="BD379" s="26"/>
      <c r="BE379" s="26"/>
      <c r="BF379" s="26"/>
      <c r="BG379" s="26"/>
      <c r="BH379" s="26"/>
      <c r="BI379" s="26"/>
    </row>
    <row r="380" ht="14.25" customHeight="1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  <c r="AF380" s="26"/>
      <c r="AG380" s="26"/>
      <c r="AH380" s="26"/>
      <c r="AI380" s="26"/>
      <c r="AJ380" s="26"/>
      <c r="AK380" s="26"/>
      <c r="AL380" s="26"/>
      <c r="AM380" s="26"/>
      <c r="AN380" s="26"/>
      <c r="AO380" s="26"/>
      <c r="AP380" s="26"/>
      <c r="AQ380" s="26"/>
      <c r="AR380" s="26"/>
      <c r="AS380" s="26"/>
      <c r="AT380" s="26"/>
      <c r="AU380" s="26"/>
      <c r="AV380" s="26"/>
      <c r="AW380" s="26"/>
      <c r="AX380" s="26"/>
      <c r="AY380" s="26"/>
      <c r="AZ380" s="26"/>
      <c r="BA380" s="26"/>
      <c r="BB380" s="26"/>
      <c r="BC380" s="26"/>
      <c r="BD380" s="26"/>
      <c r="BE380" s="26"/>
      <c r="BF380" s="26"/>
      <c r="BG380" s="26"/>
      <c r="BH380" s="26"/>
      <c r="BI380" s="26"/>
    </row>
    <row r="381" ht="14.25" customHeight="1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  <c r="AE381" s="26"/>
      <c r="AF381" s="26"/>
      <c r="AG381" s="26"/>
      <c r="AH381" s="26"/>
      <c r="AI381" s="26"/>
      <c r="AJ381" s="26"/>
      <c r="AK381" s="26"/>
      <c r="AL381" s="26"/>
      <c r="AM381" s="26"/>
      <c r="AN381" s="26"/>
      <c r="AO381" s="26"/>
      <c r="AP381" s="26"/>
      <c r="AQ381" s="26"/>
      <c r="AR381" s="26"/>
      <c r="AS381" s="26"/>
      <c r="AT381" s="26"/>
      <c r="AU381" s="26"/>
      <c r="AV381" s="26"/>
      <c r="AW381" s="26"/>
      <c r="AX381" s="26"/>
      <c r="AY381" s="26"/>
      <c r="AZ381" s="26"/>
      <c r="BA381" s="26"/>
      <c r="BB381" s="26"/>
      <c r="BC381" s="26"/>
      <c r="BD381" s="26"/>
      <c r="BE381" s="26"/>
      <c r="BF381" s="26"/>
      <c r="BG381" s="26"/>
      <c r="BH381" s="26"/>
      <c r="BI381" s="26"/>
    </row>
    <row r="382" ht="14.25" customHeight="1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  <c r="AE382" s="26"/>
      <c r="AF382" s="26"/>
      <c r="AG382" s="26"/>
      <c r="AH382" s="26"/>
      <c r="AI382" s="26"/>
      <c r="AJ382" s="26"/>
      <c r="AK382" s="26"/>
      <c r="AL382" s="26"/>
      <c r="AM382" s="26"/>
      <c r="AN382" s="26"/>
      <c r="AO382" s="26"/>
      <c r="AP382" s="26"/>
      <c r="AQ382" s="26"/>
      <c r="AR382" s="26"/>
      <c r="AS382" s="26"/>
      <c r="AT382" s="26"/>
      <c r="AU382" s="26"/>
      <c r="AV382" s="26"/>
      <c r="AW382" s="26"/>
      <c r="AX382" s="26"/>
      <c r="AY382" s="26"/>
      <c r="AZ382" s="26"/>
      <c r="BA382" s="26"/>
      <c r="BB382" s="26"/>
      <c r="BC382" s="26"/>
      <c r="BD382" s="26"/>
      <c r="BE382" s="26"/>
      <c r="BF382" s="26"/>
      <c r="BG382" s="26"/>
      <c r="BH382" s="26"/>
      <c r="BI382" s="26"/>
    </row>
    <row r="383" ht="14.25" customHeight="1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  <c r="AE383" s="26"/>
      <c r="AF383" s="26"/>
      <c r="AG383" s="26"/>
      <c r="AH383" s="26"/>
      <c r="AI383" s="26"/>
      <c r="AJ383" s="26"/>
      <c r="AK383" s="26"/>
      <c r="AL383" s="26"/>
      <c r="AM383" s="26"/>
      <c r="AN383" s="26"/>
      <c r="AO383" s="26"/>
      <c r="AP383" s="26"/>
      <c r="AQ383" s="26"/>
      <c r="AR383" s="26"/>
      <c r="AS383" s="26"/>
      <c r="AT383" s="26"/>
      <c r="AU383" s="26"/>
      <c r="AV383" s="26"/>
      <c r="AW383" s="26"/>
      <c r="AX383" s="26"/>
      <c r="AY383" s="26"/>
      <c r="AZ383" s="26"/>
      <c r="BA383" s="26"/>
      <c r="BB383" s="26"/>
      <c r="BC383" s="26"/>
      <c r="BD383" s="26"/>
      <c r="BE383" s="26"/>
      <c r="BF383" s="26"/>
      <c r="BG383" s="26"/>
      <c r="BH383" s="26"/>
      <c r="BI383" s="26"/>
    </row>
    <row r="384" ht="14.25" customHeight="1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  <c r="AE384" s="26"/>
      <c r="AF384" s="26"/>
      <c r="AG384" s="26"/>
      <c r="AH384" s="26"/>
      <c r="AI384" s="26"/>
      <c r="AJ384" s="26"/>
      <c r="AK384" s="26"/>
      <c r="AL384" s="26"/>
      <c r="AM384" s="26"/>
      <c r="AN384" s="26"/>
      <c r="AO384" s="26"/>
      <c r="AP384" s="26"/>
      <c r="AQ384" s="26"/>
      <c r="AR384" s="26"/>
      <c r="AS384" s="26"/>
      <c r="AT384" s="26"/>
      <c r="AU384" s="26"/>
      <c r="AV384" s="26"/>
      <c r="AW384" s="26"/>
      <c r="AX384" s="26"/>
      <c r="AY384" s="26"/>
      <c r="AZ384" s="26"/>
      <c r="BA384" s="26"/>
      <c r="BB384" s="26"/>
      <c r="BC384" s="26"/>
      <c r="BD384" s="26"/>
      <c r="BE384" s="26"/>
      <c r="BF384" s="26"/>
      <c r="BG384" s="26"/>
      <c r="BH384" s="26"/>
      <c r="BI384" s="26"/>
    </row>
    <row r="385" ht="14.25" customHeight="1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  <c r="AE385" s="26"/>
      <c r="AF385" s="26"/>
      <c r="AG385" s="26"/>
      <c r="AH385" s="26"/>
      <c r="AI385" s="26"/>
      <c r="AJ385" s="26"/>
      <c r="AK385" s="26"/>
      <c r="AL385" s="26"/>
      <c r="AM385" s="26"/>
      <c r="AN385" s="26"/>
      <c r="AO385" s="26"/>
      <c r="AP385" s="26"/>
      <c r="AQ385" s="26"/>
      <c r="AR385" s="26"/>
      <c r="AS385" s="26"/>
      <c r="AT385" s="26"/>
      <c r="AU385" s="26"/>
      <c r="AV385" s="26"/>
      <c r="AW385" s="26"/>
      <c r="AX385" s="26"/>
      <c r="AY385" s="26"/>
      <c r="AZ385" s="26"/>
      <c r="BA385" s="26"/>
      <c r="BB385" s="26"/>
      <c r="BC385" s="26"/>
      <c r="BD385" s="26"/>
      <c r="BE385" s="26"/>
      <c r="BF385" s="26"/>
      <c r="BG385" s="26"/>
      <c r="BH385" s="26"/>
      <c r="BI385" s="26"/>
    </row>
    <row r="386" ht="14.25" customHeight="1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  <c r="AE386" s="26"/>
      <c r="AF386" s="26"/>
      <c r="AG386" s="26"/>
      <c r="AH386" s="26"/>
      <c r="AI386" s="26"/>
      <c r="AJ386" s="26"/>
      <c r="AK386" s="26"/>
      <c r="AL386" s="26"/>
      <c r="AM386" s="26"/>
      <c r="AN386" s="26"/>
      <c r="AO386" s="26"/>
      <c r="AP386" s="26"/>
      <c r="AQ386" s="26"/>
      <c r="AR386" s="26"/>
      <c r="AS386" s="26"/>
      <c r="AT386" s="26"/>
      <c r="AU386" s="26"/>
      <c r="AV386" s="26"/>
      <c r="AW386" s="26"/>
      <c r="AX386" s="26"/>
      <c r="AY386" s="26"/>
      <c r="AZ386" s="26"/>
      <c r="BA386" s="26"/>
      <c r="BB386" s="26"/>
      <c r="BC386" s="26"/>
      <c r="BD386" s="26"/>
      <c r="BE386" s="26"/>
      <c r="BF386" s="26"/>
      <c r="BG386" s="26"/>
      <c r="BH386" s="26"/>
      <c r="BI386" s="26"/>
    </row>
    <row r="387" ht="14.25" customHeight="1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  <c r="AD387" s="26"/>
      <c r="AE387" s="26"/>
      <c r="AF387" s="26"/>
      <c r="AG387" s="26"/>
      <c r="AH387" s="26"/>
      <c r="AI387" s="26"/>
      <c r="AJ387" s="26"/>
      <c r="AK387" s="26"/>
      <c r="AL387" s="26"/>
      <c r="AM387" s="26"/>
      <c r="AN387" s="26"/>
      <c r="AO387" s="26"/>
      <c r="AP387" s="26"/>
      <c r="AQ387" s="26"/>
      <c r="AR387" s="26"/>
      <c r="AS387" s="26"/>
      <c r="AT387" s="26"/>
      <c r="AU387" s="26"/>
      <c r="AV387" s="26"/>
      <c r="AW387" s="26"/>
      <c r="AX387" s="26"/>
      <c r="AY387" s="26"/>
      <c r="AZ387" s="26"/>
      <c r="BA387" s="26"/>
      <c r="BB387" s="26"/>
      <c r="BC387" s="26"/>
      <c r="BD387" s="26"/>
      <c r="BE387" s="26"/>
      <c r="BF387" s="26"/>
      <c r="BG387" s="26"/>
      <c r="BH387" s="26"/>
      <c r="BI387" s="26"/>
    </row>
    <row r="388" ht="14.25" customHeight="1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  <c r="AE388" s="26"/>
      <c r="AF388" s="26"/>
      <c r="AG388" s="26"/>
      <c r="AH388" s="26"/>
      <c r="AI388" s="26"/>
      <c r="AJ388" s="26"/>
      <c r="AK388" s="26"/>
      <c r="AL388" s="26"/>
      <c r="AM388" s="26"/>
      <c r="AN388" s="26"/>
      <c r="AO388" s="26"/>
      <c r="AP388" s="26"/>
      <c r="AQ388" s="26"/>
      <c r="AR388" s="26"/>
      <c r="AS388" s="26"/>
      <c r="AT388" s="26"/>
      <c r="AU388" s="26"/>
      <c r="AV388" s="26"/>
      <c r="AW388" s="26"/>
      <c r="AX388" s="26"/>
      <c r="AY388" s="26"/>
      <c r="AZ388" s="26"/>
      <c r="BA388" s="26"/>
      <c r="BB388" s="26"/>
      <c r="BC388" s="26"/>
      <c r="BD388" s="26"/>
      <c r="BE388" s="26"/>
      <c r="BF388" s="26"/>
      <c r="BG388" s="26"/>
      <c r="BH388" s="26"/>
      <c r="BI388" s="26"/>
    </row>
    <row r="389" ht="14.25" customHeight="1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26"/>
      <c r="AE389" s="26"/>
      <c r="AF389" s="26"/>
      <c r="AG389" s="26"/>
      <c r="AH389" s="26"/>
      <c r="AI389" s="26"/>
      <c r="AJ389" s="26"/>
      <c r="AK389" s="26"/>
      <c r="AL389" s="26"/>
      <c r="AM389" s="26"/>
      <c r="AN389" s="26"/>
      <c r="AO389" s="26"/>
      <c r="AP389" s="26"/>
      <c r="AQ389" s="26"/>
      <c r="AR389" s="26"/>
      <c r="AS389" s="26"/>
      <c r="AT389" s="26"/>
      <c r="AU389" s="26"/>
      <c r="AV389" s="26"/>
      <c r="AW389" s="26"/>
      <c r="AX389" s="26"/>
      <c r="AY389" s="26"/>
      <c r="AZ389" s="26"/>
      <c r="BA389" s="26"/>
      <c r="BB389" s="26"/>
      <c r="BC389" s="26"/>
      <c r="BD389" s="26"/>
      <c r="BE389" s="26"/>
      <c r="BF389" s="26"/>
      <c r="BG389" s="26"/>
      <c r="BH389" s="26"/>
      <c r="BI389" s="26"/>
    </row>
    <row r="390" ht="14.25" customHeight="1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  <c r="AE390" s="26"/>
      <c r="AF390" s="26"/>
      <c r="AG390" s="26"/>
      <c r="AH390" s="26"/>
      <c r="AI390" s="26"/>
      <c r="AJ390" s="26"/>
      <c r="AK390" s="26"/>
      <c r="AL390" s="26"/>
      <c r="AM390" s="26"/>
      <c r="AN390" s="26"/>
      <c r="AO390" s="26"/>
      <c r="AP390" s="26"/>
      <c r="AQ390" s="26"/>
      <c r="AR390" s="26"/>
      <c r="AS390" s="26"/>
      <c r="AT390" s="26"/>
      <c r="AU390" s="26"/>
      <c r="AV390" s="26"/>
      <c r="AW390" s="26"/>
      <c r="AX390" s="26"/>
      <c r="AY390" s="26"/>
      <c r="AZ390" s="26"/>
      <c r="BA390" s="26"/>
      <c r="BB390" s="26"/>
      <c r="BC390" s="26"/>
      <c r="BD390" s="26"/>
      <c r="BE390" s="26"/>
      <c r="BF390" s="26"/>
      <c r="BG390" s="26"/>
      <c r="BH390" s="26"/>
      <c r="BI390" s="26"/>
    </row>
    <row r="391" ht="14.25" customHeight="1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  <c r="AD391" s="26"/>
      <c r="AE391" s="26"/>
      <c r="AF391" s="26"/>
      <c r="AG391" s="26"/>
      <c r="AH391" s="26"/>
      <c r="AI391" s="26"/>
      <c r="AJ391" s="26"/>
      <c r="AK391" s="26"/>
      <c r="AL391" s="26"/>
      <c r="AM391" s="26"/>
      <c r="AN391" s="26"/>
      <c r="AO391" s="26"/>
      <c r="AP391" s="26"/>
      <c r="AQ391" s="26"/>
      <c r="AR391" s="26"/>
      <c r="AS391" s="26"/>
      <c r="AT391" s="26"/>
      <c r="AU391" s="26"/>
      <c r="AV391" s="26"/>
      <c r="AW391" s="26"/>
      <c r="AX391" s="26"/>
      <c r="AY391" s="26"/>
      <c r="AZ391" s="26"/>
      <c r="BA391" s="26"/>
      <c r="BB391" s="26"/>
      <c r="BC391" s="26"/>
      <c r="BD391" s="26"/>
      <c r="BE391" s="26"/>
      <c r="BF391" s="26"/>
      <c r="BG391" s="26"/>
      <c r="BH391" s="26"/>
      <c r="BI391" s="26"/>
    </row>
    <row r="392" ht="14.25" customHeight="1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  <c r="AE392" s="26"/>
      <c r="AF392" s="26"/>
      <c r="AG392" s="26"/>
      <c r="AH392" s="26"/>
      <c r="AI392" s="26"/>
      <c r="AJ392" s="26"/>
      <c r="AK392" s="26"/>
      <c r="AL392" s="26"/>
      <c r="AM392" s="26"/>
      <c r="AN392" s="26"/>
      <c r="AO392" s="26"/>
      <c r="AP392" s="26"/>
      <c r="AQ392" s="26"/>
      <c r="AR392" s="26"/>
      <c r="AS392" s="26"/>
      <c r="AT392" s="26"/>
      <c r="AU392" s="26"/>
      <c r="AV392" s="26"/>
      <c r="AW392" s="26"/>
      <c r="AX392" s="26"/>
      <c r="AY392" s="26"/>
      <c r="AZ392" s="26"/>
      <c r="BA392" s="26"/>
      <c r="BB392" s="26"/>
      <c r="BC392" s="26"/>
      <c r="BD392" s="26"/>
      <c r="BE392" s="26"/>
      <c r="BF392" s="26"/>
      <c r="BG392" s="26"/>
      <c r="BH392" s="26"/>
      <c r="BI392" s="26"/>
    </row>
    <row r="393" ht="14.25" customHeight="1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  <c r="AE393" s="26"/>
      <c r="AF393" s="26"/>
      <c r="AG393" s="26"/>
      <c r="AH393" s="26"/>
      <c r="AI393" s="26"/>
      <c r="AJ393" s="26"/>
      <c r="AK393" s="26"/>
      <c r="AL393" s="26"/>
      <c r="AM393" s="26"/>
      <c r="AN393" s="26"/>
      <c r="AO393" s="26"/>
      <c r="AP393" s="26"/>
      <c r="AQ393" s="26"/>
      <c r="AR393" s="26"/>
      <c r="AS393" s="26"/>
      <c r="AT393" s="26"/>
      <c r="AU393" s="26"/>
      <c r="AV393" s="26"/>
      <c r="AW393" s="26"/>
      <c r="AX393" s="26"/>
      <c r="AY393" s="26"/>
      <c r="AZ393" s="26"/>
      <c r="BA393" s="26"/>
      <c r="BB393" s="26"/>
      <c r="BC393" s="26"/>
      <c r="BD393" s="26"/>
      <c r="BE393" s="26"/>
      <c r="BF393" s="26"/>
      <c r="BG393" s="26"/>
      <c r="BH393" s="26"/>
      <c r="BI393" s="26"/>
    </row>
    <row r="394" ht="14.25" customHeight="1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  <c r="AE394" s="26"/>
      <c r="AF394" s="26"/>
      <c r="AG394" s="26"/>
      <c r="AH394" s="26"/>
      <c r="AI394" s="26"/>
      <c r="AJ394" s="26"/>
      <c r="AK394" s="26"/>
      <c r="AL394" s="26"/>
      <c r="AM394" s="26"/>
      <c r="AN394" s="26"/>
      <c r="AO394" s="26"/>
      <c r="AP394" s="26"/>
      <c r="AQ394" s="26"/>
      <c r="AR394" s="26"/>
      <c r="AS394" s="26"/>
      <c r="AT394" s="26"/>
      <c r="AU394" s="26"/>
      <c r="AV394" s="26"/>
      <c r="AW394" s="26"/>
      <c r="AX394" s="26"/>
      <c r="AY394" s="26"/>
      <c r="AZ394" s="26"/>
      <c r="BA394" s="26"/>
      <c r="BB394" s="26"/>
      <c r="BC394" s="26"/>
      <c r="BD394" s="26"/>
      <c r="BE394" s="26"/>
      <c r="BF394" s="26"/>
      <c r="BG394" s="26"/>
      <c r="BH394" s="26"/>
      <c r="BI394" s="26"/>
    </row>
    <row r="395" ht="14.25" customHeight="1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  <c r="AE395" s="26"/>
      <c r="AF395" s="26"/>
      <c r="AG395" s="26"/>
      <c r="AH395" s="26"/>
      <c r="AI395" s="26"/>
      <c r="AJ395" s="26"/>
      <c r="AK395" s="26"/>
      <c r="AL395" s="26"/>
      <c r="AM395" s="26"/>
      <c r="AN395" s="26"/>
      <c r="AO395" s="26"/>
      <c r="AP395" s="26"/>
      <c r="AQ395" s="26"/>
      <c r="AR395" s="26"/>
      <c r="AS395" s="26"/>
      <c r="AT395" s="26"/>
      <c r="AU395" s="26"/>
      <c r="AV395" s="26"/>
      <c r="AW395" s="26"/>
      <c r="AX395" s="26"/>
      <c r="AY395" s="26"/>
      <c r="AZ395" s="26"/>
      <c r="BA395" s="26"/>
      <c r="BB395" s="26"/>
      <c r="BC395" s="26"/>
      <c r="BD395" s="26"/>
      <c r="BE395" s="26"/>
      <c r="BF395" s="26"/>
      <c r="BG395" s="26"/>
      <c r="BH395" s="26"/>
      <c r="BI395" s="26"/>
    </row>
    <row r="396" ht="14.25" customHeight="1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  <c r="AE396" s="26"/>
      <c r="AF396" s="26"/>
      <c r="AG396" s="26"/>
      <c r="AH396" s="26"/>
      <c r="AI396" s="26"/>
      <c r="AJ396" s="26"/>
      <c r="AK396" s="26"/>
      <c r="AL396" s="26"/>
      <c r="AM396" s="26"/>
      <c r="AN396" s="26"/>
      <c r="AO396" s="26"/>
      <c r="AP396" s="26"/>
      <c r="AQ396" s="26"/>
      <c r="AR396" s="26"/>
      <c r="AS396" s="26"/>
      <c r="AT396" s="26"/>
      <c r="AU396" s="26"/>
      <c r="AV396" s="26"/>
      <c r="AW396" s="26"/>
      <c r="AX396" s="26"/>
      <c r="AY396" s="26"/>
      <c r="AZ396" s="26"/>
      <c r="BA396" s="26"/>
      <c r="BB396" s="26"/>
      <c r="BC396" s="26"/>
      <c r="BD396" s="26"/>
      <c r="BE396" s="26"/>
      <c r="BF396" s="26"/>
      <c r="BG396" s="26"/>
      <c r="BH396" s="26"/>
      <c r="BI396" s="26"/>
    </row>
    <row r="397" ht="14.25" customHeight="1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  <c r="AE397" s="26"/>
      <c r="AF397" s="26"/>
      <c r="AG397" s="26"/>
      <c r="AH397" s="26"/>
      <c r="AI397" s="26"/>
      <c r="AJ397" s="26"/>
      <c r="AK397" s="26"/>
      <c r="AL397" s="26"/>
      <c r="AM397" s="26"/>
      <c r="AN397" s="26"/>
      <c r="AO397" s="26"/>
      <c r="AP397" s="26"/>
      <c r="AQ397" s="26"/>
      <c r="AR397" s="26"/>
      <c r="AS397" s="26"/>
      <c r="AT397" s="26"/>
      <c r="AU397" s="26"/>
      <c r="AV397" s="26"/>
      <c r="AW397" s="26"/>
      <c r="AX397" s="26"/>
      <c r="AY397" s="26"/>
      <c r="AZ397" s="26"/>
      <c r="BA397" s="26"/>
      <c r="BB397" s="26"/>
      <c r="BC397" s="26"/>
      <c r="BD397" s="26"/>
      <c r="BE397" s="26"/>
      <c r="BF397" s="26"/>
      <c r="BG397" s="26"/>
      <c r="BH397" s="26"/>
      <c r="BI397" s="26"/>
    </row>
    <row r="398" ht="14.25" customHeight="1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  <c r="AE398" s="26"/>
      <c r="AF398" s="26"/>
      <c r="AG398" s="26"/>
      <c r="AH398" s="26"/>
      <c r="AI398" s="26"/>
      <c r="AJ398" s="26"/>
      <c r="AK398" s="26"/>
      <c r="AL398" s="26"/>
      <c r="AM398" s="26"/>
      <c r="AN398" s="26"/>
      <c r="AO398" s="26"/>
      <c r="AP398" s="26"/>
      <c r="AQ398" s="26"/>
      <c r="AR398" s="26"/>
      <c r="AS398" s="26"/>
      <c r="AT398" s="26"/>
      <c r="AU398" s="26"/>
      <c r="AV398" s="26"/>
      <c r="AW398" s="26"/>
      <c r="AX398" s="26"/>
      <c r="AY398" s="26"/>
      <c r="AZ398" s="26"/>
      <c r="BA398" s="26"/>
      <c r="BB398" s="26"/>
      <c r="BC398" s="26"/>
      <c r="BD398" s="26"/>
      <c r="BE398" s="26"/>
      <c r="BF398" s="26"/>
      <c r="BG398" s="26"/>
      <c r="BH398" s="26"/>
      <c r="BI398" s="26"/>
    </row>
    <row r="399" ht="14.25" customHeight="1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  <c r="AE399" s="26"/>
      <c r="AF399" s="26"/>
      <c r="AG399" s="26"/>
      <c r="AH399" s="26"/>
      <c r="AI399" s="26"/>
      <c r="AJ399" s="26"/>
      <c r="AK399" s="26"/>
      <c r="AL399" s="26"/>
      <c r="AM399" s="26"/>
      <c r="AN399" s="26"/>
      <c r="AO399" s="26"/>
      <c r="AP399" s="26"/>
      <c r="AQ399" s="26"/>
      <c r="AR399" s="26"/>
      <c r="AS399" s="26"/>
      <c r="AT399" s="26"/>
      <c r="AU399" s="26"/>
      <c r="AV399" s="26"/>
      <c r="AW399" s="26"/>
      <c r="AX399" s="26"/>
      <c r="AY399" s="26"/>
      <c r="AZ399" s="26"/>
      <c r="BA399" s="26"/>
      <c r="BB399" s="26"/>
      <c r="BC399" s="26"/>
      <c r="BD399" s="26"/>
      <c r="BE399" s="26"/>
      <c r="BF399" s="26"/>
      <c r="BG399" s="26"/>
      <c r="BH399" s="26"/>
      <c r="BI399" s="26"/>
    </row>
    <row r="400" ht="14.25" customHeight="1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  <c r="AE400" s="26"/>
      <c r="AF400" s="26"/>
      <c r="AG400" s="26"/>
      <c r="AH400" s="26"/>
      <c r="AI400" s="26"/>
      <c r="AJ400" s="26"/>
      <c r="AK400" s="26"/>
      <c r="AL400" s="26"/>
      <c r="AM400" s="26"/>
      <c r="AN400" s="26"/>
      <c r="AO400" s="26"/>
      <c r="AP400" s="26"/>
      <c r="AQ400" s="26"/>
      <c r="AR400" s="26"/>
      <c r="AS400" s="26"/>
      <c r="AT400" s="26"/>
      <c r="AU400" s="26"/>
      <c r="AV400" s="26"/>
      <c r="AW400" s="26"/>
      <c r="AX400" s="26"/>
      <c r="AY400" s="26"/>
      <c r="AZ400" s="26"/>
      <c r="BA400" s="26"/>
      <c r="BB400" s="26"/>
      <c r="BC400" s="26"/>
      <c r="BD400" s="26"/>
      <c r="BE400" s="26"/>
      <c r="BF400" s="26"/>
      <c r="BG400" s="26"/>
      <c r="BH400" s="26"/>
      <c r="BI400" s="26"/>
    </row>
    <row r="401" ht="14.25" customHeight="1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  <c r="AD401" s="26"/>
      <c r="AE401" s="26"/>
      <c r="AF401" s="26"/>
      <c r="AG401" s="26"/>
      <c r="AH401" s="26"/>
      <c r="AI401" s="26"/>
      <c r="AJ401" s="26"/>
      <c r="AK401" s="26"/>
      <c r="AL401" s="26"/>
      <c r="AM401" s="26"/>
      <c r="AN401" s="26"/>
      <c r="AO401" s="26"/>
      <c r="AP401" s="26"/>
      <c r="AQ401" s="26"/>
      <c r="AR401" s="26"/>
      <c r="AS401" s="26"/>
      <c r="AT401" s="26"/>
      <c r="AU401" s="26"/>
      <c r="AV401" s="26"/>
      <c r="AW401" s="26"/>
      <c r="AX401" s="26"/>
      <c r="AY401" s="26"/>
      <c r="AZ401" s="26"/>
      <c r="BA401" s="26"/>
      <c r="BB401" s="26"/>
      <c r="BC401" s="26"/>
      <c r="BD401" s="26"/>
      <c r="BE401" s="26"/>
      <c r="BF401" s="26"/>
      <c r="BG401" s="26"/>
      <c r="BH401" s="26"/>
      <c r="BI401" s="26"/>
    </row>
    <row r="402" ht="14.25" customHeight="1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  <c r="AD402" s="26"/>
      <c r="AE402" s="26"/>
      <c r="AF402" s="26"/>
      <c r="AG402" s="26"/>
      <c r="AH402" s="26"/>
      <c r="AI402" s="26"/>
      <c r="AJ402" s="26"/>
      <c r="AK402" s="26"/>
      <c r="AL402" s="26"/>
      <c r="AM402" s="26"/>
      <c r="AN402" s="26"/>
      <c r="AO402" s="26"/>
      <c r="AP402" s="26"/>
      <c r="AQ402" s="26"/>
      <c r="AR402" s="26"/>
      <c r="AS402" s="26"/>
      <c r="AT402" s="26"/>
      <c r="AU402" s="26"/>
      <c r="AV402" s="26"/>
      <c r="AW402" s="26"/>
      <c r="AX402" s="26"/>
      <c r="AY402" s="26"/>
      <c r="AZ402" s="26"/>
      <c r="BA402" s="26"/>
      <c r="BB402" s="26"/>
      <c r="BC402" s="26"/>
      <c r="BD402" s="26"/>
      <c r="BE402" s="26"/>
      <c r="BF402" s="26"/>
      <c r="BG402" s="26"/>
      <c r="BH402" s="26"/>
      <c r="BI402" s="26"/>
    </row>
    <row r="403" ht="14.25" customHeight="1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  <c r="AD403" s="26"/>
      <c r="AE403" s="26"/>
      <c r="AF403" s="26"/>
      <c r="AG403" s="26"/>
      <c r="AH403" s="26"/>
      <c r="AI403" s="26"/>
      <c r="AJ403" s="26"/>
      <c r="AK403" s="26"/>
      <c r="AL403" s="26"/>
      <c r="AM403" s="26"/>
      <c r="AN403" s="26"/>
      <c r="AO403" s="26"/>
      <c r="AP403" s="26"/>
      <c r="AQ403" s="26"/>
      <c r="AR403" s="26"/>
      <c r="AS403" s="26"/>
      <c r="AT403" s="26"/>
      <c r="AU403" s="26"/>
      <c r="AV403" s="26"/>
      <c r="AW403" s="26"/>
      <c r="AX403" s="26"/>
      <c r="AY403" s="26"/>
      <c r="AZ403" s="26"/>
      <c r="BA403" s="26"/>
      <c r="BB403" s="26"/>
      <c r="BC403" s="26"/>
      <c r="BD403" s="26"/>
      <c r="BE403" s="26"/>
      <c r="BF403" s="26"/>
      <c r="BG403" s="26"/>
      <c r="BH403" s="26"/>
      <c r="BI403" s="26"/>
    </row>
    <row r="404" ht="14.25" customHeight="1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  <c r="AE404" s="26"/>
      <c r="AF404" s="26"/>
      <c r="AG404" s="26"/>
      <c r="AH404" s="26"/>
      <c r="AI404" s="26"/>
      <c r="AJ404" s="26"/>
      <c r="AK404" s="26"/>
      <c r="AL404" s="26"/>
      <c r="AM404" s="26"/>
      <c r="AN404" s="26"/>
      <c r="AO404" s="26"/>
      <c r="AP404" s="26"/>
      <c r="AQ404" s="26"/>
      <c r="AR404" s="26"/>
      <c r="AS404" s="26"/>
      <c r="AT404" s="26"/>
      <c r="AU404" s="26"/>
      <c r="AV404" s="26"/>
      <c r="AW404" s="26"/>
      <c r="AX404" s="26"/>
      <c r="AY404" s="26"/>
      <c r="AZ404" s="26"/>
      <c r="BA404" s="26"/>
      <c r="BB404" s="26"/>
      <c r="BC404" s="26"/>
      <c r="BD404" s="26"/>
      <c r="BE404" s="26"/>
      <c r="BF404" s="26"/>
      <c r="BG404" s="26"/>
      <c r="BH404" s="26"/>
      <c r="BI404" s="26"/>
    </row>
    <row r="405" ht="14.25" customHeight="1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  <c r="AD405" s="26"/>
      <c r="AE405" s="26"/>
      <c r="AF405" s="26"/>
      <c r="AG405" s="26"/>
      <c r="AH405" s="26"/>
      <c r="AI405" s="26"/>
      <c r="AJ405" s="26"/>
      <c r="AK405" s="26"/>
      <c r="AL405" s="26"/>
      <c r="AM405" s="26"/>
      <c r="AN405" s="26"/>
      <c r="AO405" s="26"/>
      <c r="AP405" s="26"/>
      <c r="AQ405" s="26"/>
      <c r="AR405" s="26"/>
      <c r="AS405" s="26"/>
      <c r="AT405" s="26"/>
      <c r="AU405" s="26"/>
      <c r="AV405" s="26"/>
      <c r="AW405" s="26"/>
      <c r="AX405" s="26"/>
      <c r="AY405" s="26"/>
      <c r="AZ405" s="26"/>
      <c r="BA405" s="26"/>
      <c r="BB405" s="26"/>
      <c r="BC405" s="26"/>
      <c r="BD405" s="26"/>
      <c r="BE405" s="26"/>
      <c r="BF405" s="26"/>
      <c r="BG405" s="26"/>
      <c r="BH405" s="26"/>
      <c r="BI405" s="26"/>
    </row>
    <row r="406" ht="14.25" customHeight="1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  <c r="AE406" s="26"/>
      <c r="AF406" s="26"/>
      <c r="AG406" s="26"/>
      <c r="AH406" s="26"/>
      <c r="AI406" s="26"/>
      <c r="AJ406" s="26"/>
      <c r="AK406" s="26"/>
      <c r="AL406" s="26"/>
      <c r="AM406" s="26"/>
      <c r="AN406" s="26"/>
      <c r="AO406" s="26"/>
      <c r="AP406" s="26"/>
      <c r="AQ406" s="26"/>
      <c r="AR406" s="26"/>
      <c r="AS406" s="26"/>
      <c r="AT406" s="26"/>
      <c r="AU406" s="26"/>
      <c r="AV406" s="26"/>
      <c r="AW406" s="26"/>
      <c r="AX406" s="26"/>
      <c r="AY406" s="26"/>
      <c r="AZ406" s="26"/>
      <c r="BA406" s="26"/>
      <c r="BB406" s="26"/>
      <c r="BC406" s="26"/>
      <c r="BD406" s="26"/>
      <c r="BE406" s="26"/>
      <c r="BF406" s="26"/>
      <c r="BG406" s="26"/>
      <c r="BH406" s="26"/>
      <c r="BI406" s="26"/>
    </row>
    <row r="407" ht="14.25" customHeight="1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  <c r="AD407" s="26"/>
      <c r="AE407" s="26"/>
      <c r="AF407" s="26"/>
      <c r="AG407" s="26"/>
      <c r="AH407" s="26"/>
      <c r="AI407" s="26"/>
      <c r="AJ407" s="26"/>
      <c r="AK407" s="26"/>
      <c r="AL407" s="26"/>
      <c r="AM407" s="26"/>
      <c r="AN407" s="26"/>
      <c r="AO407" s="26"/>
      <c r="AP407" s="26"/>
      <c r="AQ407" s="26"/>
      <c r="AR407" s="26"/>
      <c r="AS407" s="26"/>
      <c r="AT407" s="26"/>
      <c r="AU407" s="26"/>
      <c r="AV407" s="26"/>
      <c r="AW407" s="26"/>
      <c r="AX407" s="26"/>
      <c r="AY407" s="26"/>
      <c r="AZ407" s="26"/>
      <c r="BA407" s="26"/>
      <c r="BB407" s="26"/>
      <c r="BC407" s="26"/>
      <c r="BD407" s="26"/>
      <c r="BE407" s="26"/>
      <c r="BF407" s="26"/>
      <c r="BG407" s="26"/>
      <c r="BH407" s="26"/>
      <c r="BI407" s="26"/>
    </row>
    <row r="408" ht="14.25" customHeight="1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  <c r="AD408" s="26"/>
      <c r="AE408" s="26"/>
      <c r="AF408" s="26"/>
      <c r="AG408" s="26"/>
      <c r="AH408" s="26"/>
      <c r="AI408" s="26"/>
      <c r="AJ408" s="26"/>
      <c r="AK408" s="26"/>
      <c r="AL408" s="26"/>
      <c r="AM408" s="26"/>
      <c r="AN408" s="26"/>
      <c r="AO408" s="26"/>
      <c r="AP408" s="26"/>
      <c r="AQ408" s="26"/>
      <c r="AR408" s="26"/>
      <c r="AS408" s="26"/>
      <c r="AT408" s="26"/>
      <c r="AU408" s="26"/>
      <c r="AV408" s="26"/>
      <c r="AW408" s="26"/>
      <c r="AX408" s="26"/>
      <c r="AY408" s="26"/>
      <c r="AZ408" s="26"/>
      <c r="BA408" s="26"/>
      <c r="BB408" s="26"/>
      <c r="BC408" s="26"/>
      <c r="BD408" s="26"/>
      <c r="BE408" s="26"/>
      <c r="BF408" s="26"/>
      <c r="BG408" s="26"/>
      <c r="BH408" s="26"/>
      <c r="BI408" s="26"/>
    </row>
    <row r="409" ht="14.25" customHeight="1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  <c r="AD409" s="26"/>
      <c r="AE409" s="26"/>
      <c r="AF409" s="26"/>
      <c r="AG409" s="26"/>
      <c r="AH409" s="26"/>
      <c r="AI409" s="26"/>
      <c r="AJ409" s="26"/>
      <c r="AK409" s="26"/>
      <c r="AL409" s="26"/>
      <c r="AM409" s="26"/>
      <c r="AN409" s="26"/>
      <c r="AO409" s="26"/>
      <c r="AP409" s="26"/>
      <c r="AQ409" s="26"/>
      <c r="AR409" s="26"/>
      <c r="AS409" s="26"/>
      <c r="AT409" s="26"/>
      <c r="AU409" s="26"/>
      <c r="AV409" s="26"/>
      <c r="AW409" s="26"/>
      <c r="AX409" s="26"/>
      <c r="AY409" s="26"/>
      <c r="AZ409" s="26"/>
      <c r="BA409" s="26"/>
      <c r="BB409" s="26"/>
      <c r="BC409" s="26"/>
      <c r="BD409" s="26"/>
      <c r="BE409" s="26"/>
      <c r="BF409" s="26"/>
      <c r="BG409" s="26"/>
      <c r="BH409" s="26"/>
      <c r="BI409" s="26"/>
    </row>
    <row r="410" ht="14.25" customHeight="1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  <c r="AE410" s="26"/>
      <c r="AF410" s="26"/>
      <c r="AG410" s="26"/>
      <c r="AH410" s="26"/>
      <c r="AI410" s="26"/>
      <c r="AJ410" s="26"/>
      <c r="AK410" s="26"/>
      <c r="AL410" s="26"/>
      <c r="AM410" s="26"/>
      <c r="AN410" s="26"/>
      <c r="AO410" s="26"/>
      <c r="AP410" s="26"/>
      <c r="AQ410" s="26"/>
      <c r="AR410" s="26"/>
      <c r="AS410" s="26"/>
      <c r="AT410" s="26"/>
      <c r="AU410" s="26"/>
      <c r="AV410" s="26"/>
      <c r="AW410" s="26"/>
      <c r="AX410" s="26"/>
      <c r="AY410" s="26"/>
      <c r="AZ410" s="26"/>
      <c r="BA410" s="26"/>
      <c r="BB410" s="26"/>
      <c r="BC410" s="26"/>
      <c r="BD410" s="26"/>
      <c r="BE410" s="26"/>
      <c r="BF410" s="26"/>
      <c r="BG410" s="26"/>
      <c r="BH410" s="26"/>
      <c r="BI410" s="26"/>
    </row>
    <row r="411" ht="14.25" customHeight="1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  <c r="AD411" s="26"/>
      <c r="AE411" s="26"/>
      <c r="AF411" s="26"/>
      <c r="AG411" s="26"/>
      <c r="AH411" s="26"/>
      <c r="AI411" s="26"/>
      <c r="AJ411" s="26"/>
      <c r="AK411" s="26"/>
      <c r="AL411" s="26"/>
      <c r="AM411" s="26"/>
      <c r="AN411" s="26"/>
      <c r="AO411" s="26"/>
      <c r="AP411" s="26"/>
      <c r="AQ411" s="26"/>
      <c r="AR411" s="26"/>
      <c r="AS411" s="26"/>
      <c r="AT411" s="26"/>
      <c r="AU411" s="26"/>
      <c r="AV411" s="26"/>
      <c r="AW411" s="26"/>
      <c r="AX411" s="26"/>
      <c r="AY411" s="26"/>
      <c r="AZ411" s="26"/>
      <c r="BA411" s="26"/>
      <c r="BB411" s="26"/>
      <c r="BC411" s="26"/>
      <c r="BD411" s="26"/>
      <c r="BE411" s="26"/>
      <c r="BF411" s="26"/>
      <c r="BG411" s="26"/>
      <c r="BH411" s="26"/>
      <c r="BI411" s="26"/>
    </row>
    <row r="412" ht="14.25" customHeight="1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  <c r="AD412" s="26"/>
      <c r="AE412" s="26"/>
      <c r="AF412" s="26"/>
      <c r="AG412" s="26"/>
      <c r="AH412" s="26"/>
      <c r="AI412" s="26"/>
      <c r="AJ412" s="26"/>
      <c r="AK412" s="26"/>
      <c r="AL412" s="26"/>
      <c r="AM412" s="26"/>
      <c r="AN412" s="26"/>
      <c r="AO412" s="26"/>
      <c r="AP412" s="26"/>
      <c r="AQ412" s="26"/>
      <c r="AR412" s="26"/>
      <c r="AS412" s="26"/>
      <c r="AT412" s="26"/>
      <c r="AU412" s="26"/>
      <c r="AV412" s="26"/>
      <c r="AW412" s="26"/>
      <c r="AX412" s="26"/>
      <c r="AY412" s="26"/>
      <c r="AZ412" s="26"/>
      <c r="BA412" s="26"/>
      <c r="BB412" s="26"/>
      <c r="BC412" s="26"/>
      <c r="BD412" s="26"/>
      <c r="BE412" s="26"/>
      <c r="BF412" s="26"/>
      <c r="BG412" s="26"/>
      <c r="BH412" s="26"/>
      <c r="BI412" s="26"/>
    </row>
    <row r="413" ht="14.25" customHeight="1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  <c r="AD413" s="26"/>
      <c r="AE413" s="26"/>
      <c r="AF413" s="26"/>
      <c r="AG413" s="26"/>
      <c r="AH413" s="26"/>
      <c r="AI413" s="26"/>
      <c r="AJ413" s="26"/>
      <c r="AK413" s="26"/>
      <c r="AL413" s="26"/>
      <c r="AM413" s="26"/>
      <c r="AN413" s="26"/>
      <c r="AO413" s="26"/>
      <c r="AP413" s="26"/>
      <c r="AQ413" s="26"/>
      <c r="AR413" s="26"/>
      <c r="AS413" s="26"/>
      <c r="AT413" s="26"/>
      <c r="AU413" s="26"/>
      <c r="AV413" s="26"/>
      <c r="AW413" s="26"/>
      <c r="AX413" s="26"/>
      <c r="AY413" s="26"/>
      <c r="AZ413" s="26"/>
      <c r="BA413" s="26"/>
      <c r="BB413" s="26"/>
      <c r="BC413" s="26"/>
      <c r="BD413" s="26"/>
      <c r="BE413" s="26"/>
      <c r="BF413" s="26"/>
      <c r="BG413" s="26"/>
      <c r="BH413" s="26"/>
      <c r="BI413" s="26"/>
    </row>
    <row r="414" ht="14.25" customHeight="1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  <c r="AE414" s="26"/>
      <c r="AF414" s="26"/>
      <c r="AG414" s="26"/>
      <c r="AH414" s="26"/>
      <c r="AI414" s="26"/>
      <c r="AJ414" s="26"/>
      <c r="AK414" s="26"/>
      <c r="AL414" s="26"/>
      <c r="AM414" s="26"/>
      <c r="AN414" s="26"/>
      <c r="AO414" s="26"/>
      <c r="AP414" s="26"/>
      <c r="AQ414" s="26"/>
      <c r="AR414" s="26"/>
      <c r="AS414" s="26"/>
      <c r="AT414" s="26"/>
      <c r="AU414" s="26"/>
      <c r="AV414" s="26"/>
      <c r="AW414" s="26"/>
      <c r="AX414" s="26"/>
      <c r="AY414" s="26"/>
      <c r="AZ414" s="26"/>
      <c r="BA414" s="26"/>
      <c r="BB414" s="26"/>
      <c r="BC414" s="26"/>
      <c r="BD414" s="26"/>
      <c r="BE414" s="26"/>
      <c r="BF414" s="26"/>
      <c r="BG414" s="26"/>
      <c r="BH414" s="26"/>
      <c r="BI414" s="26"/>
    </row>
    <row r="415" ht="14.25" customHeight="1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  <c r="AD415" s="26"/>
      <c r="AE415" s="26"/>
      <c r="AF415" s="26"/>
      <c r="AG415" s="26"/>
      <c r="AH415" s="26"/>
      <c r="AI415" s="26"/>
      <c r="AJ415" s="26"/>
      <c r="AK415" s="26"/>
      <c r="AL415" s="26"/>
      <c r="AM415" s="26"/>
      <c r="AN415" s="26"/>
      <c r="AO415" s="26"/>
      <c r="AP415" s="26"/>
      <c r="AQ415" s="26"/>
      <c r="AR415" s="26"/>
      <c r="AS415" s="26"/>
      <c r="AT415" s="26"/>
      <c r="AU415" s="26"/>
      <c r="AV415" s="26"/>
      <c r="AW415" s="26"/>
      <c r="AX415" s="26"/>
      <c r="AY415" s="26"/>
      <c r="AZ415" s="26"/>
      <c r="BA415" s="26"/>
      <c r="BB415" s="26"/>
      <c r="BC415" s="26"/>
      <c r="BD415" s="26"/>
      <c r="BE415" s="26"/>
      <c r="BF415" s="26"/>
      <c r="BG415" s="26"/>
      <c r="BH415" s="26"/>
      <c r="BI415" s="26"/>
    </row>
    <row r="416" ht="14.25" customHeight="1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  <c r="AE416" s="26"/>
      <c r="AF416" s="26"/>
      <c r="AG416" s="26"/>
      <c r="AH416" s="26"/>
      <c r="AI416" s="26"/>
      <c r="AJ416" s="26"/>
      <c r="AK416" s="26"/>
      <c r="AL416" s="26"/>
      <c r="AM416" s="26"/>
      <c r="AN416" s="26"/>
      <c r="AO416" s="26"/>
      <c r="AP416" s="26"/>
      <c r="AQ416" s="26"/>
      <c r="AR416" s="26"/>
      <c r="AS416" s="26"/>
      <c r="AT416" s="26"/>
      <c r="AU416" s="26"/>
      <c r="AV416" s="26"/>
      <c r="AW416" s="26"/>
      <c r="AX416" s="26"/>
      <c r="AY416" s="26"/>
      <c r="AZ416" s="26"/>
      <c r="BA416" s="26"/>
      <c r="BB416" s="26"/>
      <c r="BC416" s="26"/>
      <c r="BD416" s="26"/>
      <c r="BE416" s="26"/>
      <c r="BF416" s="26"/>
      <c r="BG416" s="26"/>
      <c r="BH416" s="26"/>
      <c r="BI416" s="26"/>
    </row>
    <row r="417" ht="14.25" customHeight="1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  <c r="AD417" s="26"/>
      <c r="AE417" s="26"/>
      <c r="AF417" s="26"/>
      <c r="AG417" s="26"/>
      <c r="AH417" s="26"/>
      <c r="AI417" s="26"/>
      <c r="AJ417" s="26"/>
      <c r="AK417" s="26"/>
      <c r="AL417" s="26"/>
      <c r="AM417" s="26"/>
      <c r="AN417" s="26"/>
      <c r="AO417" s="26"/>
      <c r="AP417" s="26"/>
      <c r="AQ417" s="26"/>
      <c r="AR417" s="26"/>
      <c r="AS417" s="26"/>
      <c r="AT417" s="26"/>
      <c r="AU417" s="26"/>
      <c r="AV417" s="26"/>
      <c r="AW417" s="26"/>
      <c r="AX417" s="26"/>
      <c r="AY417" s="26"/>
      <c r="AZ417" s="26"/>
      <c r="BA417" s="26"/>
      <c r="BB417" s="26"/>
      <c r="BC417" s="26"/>
      <c r="BD417" s="26"/>
      <c r="BE417" s="26"/>
      <c r="BF417" s="26"/>
      <c r="BG417" s="26"/>
      <c r="BH417" s="26"/>
      <c r="BI417" s="26"/>
    </row>
    <row r="418" ht="14.25" customHeight="1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  <c r="AD418" s="26"/>
      <c r="AE418" s="26"/>
      <c r="AF418" s="26"/>
      <c r="AG418" s="26"/>
      <c r="AH418" s="26"/>
      <c r="AI418" s="26"/>
      <c r="AJ418" s="26"/>
      <c r="AK418" s="26"/>
      <c r="AL418" s="26"/>
      <c r="AM418" s="26"/>
      <c r="AN418" s="26"/>
      <c r="AO418" s="26"/>
      <c r="AP418" s="26"/>
      <c r="AQ418" s="26"/>
      <c r="AR418" s="26"/>
      <c r="AS418" s="26"/>
      <c r="AT418" s="26"/>
      <c r="AU418" s="26"/>
      <c r="AV418" s="26"/>
      <c r="AW418" s="26"/>
      <c r="AX418" s="26"/>
      <c r="AY418" s="26"/>
      <c r="AZ418" s="26"/>
      <c r="BA418" s="26"/>
      <c r="BB418" s="26"/>
      <c r="BC418" s="26"/>
      <c r="BD418" s="26"/>
      <c r="BE418" s="26"/>
      <c r="BF418" s="26"/>
      <c r="BG418" s="26"/>
      <c r="BH418" s="26"/>
      <c r="BI418" s="26"/>
    </row>
    <row r="419" ht="14.25" customHeight="1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  <c r="AC419" s="26"/>
      <c r="AD419" s="26"/>
      <c r="AE419" s="26"/>
      <c r="AF419" s="26"/>
      <c r="AG419" s="26"/>
      <c r="AH419" s="26"/>
      <c r="AI419" s="26"/>
      <c r="AJ419" s="26"/>
      <c r="AK419" s="26"/>
      <c r="AL419" s="26"/>
      <c r="AM419" s="26"/>
      <c r="AN419" s="26"/>
      <c r="AO419" s="26"/>
      <c r="AP419" s="26"/>
      <c r="AQ419" s="26"/>
      <c r="AR419" s="26"/>
      <c r="AS419" s="26"/>
      <c r="AT419" s="26"/>
      <c r="AU419" s="26"/>
      <c r="AV419" s="26"/>
      <c r="AW419" s="26"/>
      <c r="AX419" s="26"/>
      <c r="AY419" s="26"/>
      <c r="AZ419" s="26"/>
      <c r="BA419" s="26"/>
      <c r="BB419" s="26"/>
      <c r="BC419" s="26"/>
      <c r="BD419" s="26"/>
      <c r="BE419" s="26"/>
      <c r="BF419" s="26"/>
      <c r="BG419" s="26"/>
      <c r="BH419" s="26"/>
      <c r="BI419" s="26"/>
    </row>
    <row r="420" ht="14.25" customHeight="1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  <c r="AD420" s="26"/>
      <c r="AE420" s="26"/>
      <c r="AF420" s="26"/>
      <c r="AG420" s="26"/>
      <c r="AH420" s="26"/>
      <c r="AI420" s="26"/>
      <c r="AJ420" s="26"/>
      <c r="AK420" s="26"/>
      <c r="AL420" s="26"/>
      <c r="AM420" s="26"/>
      <c r="AN420" s="26"/>
      <c r="AO420" s="26"/>
      <c r="AP420" s="26"/>
      <c r="AQ420" s="26"/>
      <c r="AR420" s="26"/>
      <c r="AS420" s="26"/>
      <c r="AT420" s="26"/>
      <c r="AU420" s="26"/>
      <c r="AV420" s="26"/>
      <c r="AW420" s="26"/>
      <c r="AX420" s="26"/>
      <c r="AY420" s="26"/>
      <c r="AZ420" s="26"/>
      <c r="BA420" s="26"/>
      <c r="BB420" s="26"/>
      <c r="BC420" s="26"/>
      <c r="BD420" s="26"/>
      <c r="BE420" s="26"/>
      <c r="BF420" s="26"/>
      <c r="BG420" s="26"/>
      <c r="BH420" s="26"/>
      <c r="BI420" s="26"/>
    </row>
    <row r="421" ht="14.25" customHeight="1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  <c r="AC421" s="26"/>
      <c r="AD421" s="26"/>
      <c r="AE421" s="26"/>
      <c r="AF421" s="26"/>
      <c r="AG421" s="26"/>
      <c r="AH421" s="26"/>
      <c r="AI421" s="26"/>
      <c r="AJ421" s="26"/>
      <c r="AK421" s="26"/>
      <c r="AL421" s="26"/>
      <c r="AM421" s="26"/>
      <c r="AN421" s="26"/>
      <c r="AO421" s="26"/>
      <c r="AP421" s="26"/>
      <c r="AQ421" s="26"/>
      <c r="AR421" s="26"/>
      <c r="AS421" s="26"/>
      <c r="AT421" s="26"/>
      <c r="AU421" s="26"/>
      <c r="AV421" s="26"/>
      <c r="AW421" s="26"/>
      <c r="AX421" s="26"/>
      <c r="AY421" s="26"/>
      <c r="AZ421" s="26"/>
      <c r="BA421" s="26"/>
      <c r="BB421" s="26"/>
      <c r="BC421" s="26"/>
      <c r="BD421" s="26"/>
      <c r="BE421" s="26"/>
      <c r="BF421" s="26"/>
      <c r="BG421" s="26"/>
      <c r="BH421" s="26"/>
      <c r="BI421" s="26"/>
    </row>
    <row r="422" ht="14.25" customHeight="1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6"/>
      <c r="AD422" s="26"/>
      <c r="AE422" s="26"/>
      <c r="AF422" s="26"/>
      <c r="AG422" s="26"/>
      <c r="AH422" s="26"/>
      <c r="AI422" s="26"/>
      <c r="AJ422" s="26"/>
      <c r="AK422" s="26"/>
      <c r="AL422" s="26"/>
      <c r="AM422" s="26"/>
      <c r="AN422" s="26"/>
      <c r="AO422" s="26"/>
      <c r="AP422" s="26"/>
      <c r="AQ422" s="26"/>
      <c r="AR422" s="26"/>
      <c r="AS422" s="26"/>
      <c r="AT422" s="26"/>
      <c r="AU422" s="26"/>
      <c r="AV422" s="26"/>
      <c r="AW422" s="26"/>
      <c r="AX422" s="26"/>
      <c r="AY422" s="26"/>
      <c r="AZ422" s="26"/>
      <c r="BA422" s="26"/>
      <c r="BB422" s="26"/>
      <c r="BC422" s="26"/>
      <c r="BD422" s="26"/>
      <c r="BE422" s="26"/>
      <c r="BF422" s="26"/>
      <c r="BG422" s="26"/>
      <c r="BH422" s="26"/>
      <c r="BI422" s="26"/>
    </row>
    <row r="423" ht="14.25" customHeight="1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  <c r="AD423" s="26"/>
      <c r="AE423" s="26"/>
      <c r="AF423" s="26"/>
      <c r="AG423" s="26"/>
      <c r="AH423" s="26"/>
      <c r="AI423" s="26"/>
      <c r="AJ423" s="26"/>
      <c r="AK423" s="26"/>
      <c r="AL423" s="26"/>
      <c r="AM423" s="26"/>
      <c r="AN423" s="26"/>
      <c r="AO423" s="26"/>
      <c r="AP423" s="26"/>
      <c r="AQ423" s="26"/>
      <c r="AR423" s="26"/>
      <c r="AS423" s="26"/>
      <c r="AT423" s="26"/>
      <c r="AU423" s="26"/>
      <c r="AV423" s="26"/>
      <c r="AW423" s="26"/>
      <c r="AX423" s="26"/>
      <c r="AY423" s="26"/>
      <c r="AZ423" s="26"/>
      <c r="BA423" s="26"/>
      <c r="BB423" s="26"/>
      <c r="BC423" s="26"/>
      <c r="BD423" s="26"/>
      <c r="BE423" s="26"/>
      <c r="BF423" s="26"/>
      <c r="BG423" s="26"/>
      <c r="BH423" s="26"/>
      <c r="BI423" s="26"/>
    </row>
    <row r="424" ht="14.25" customHeight="1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  <c r="AD424" s="26"/>
      <c r="AE424" s="26"/>
      <c r="AF424" s="26"/>
      <c r="AG424" s="26"/>
      <c r="AH424" s="26"/>
      <c r="AI424" s="26"/>
      <c r="AJ424" s="26"/>
      <c r="AK424" s="26"/>
      <c r="AL424" s="26"/>
      <c r="AM424" s="26"/>
      <c r="AN424" s="26"/>
      <c r="AO424" s="26"/>
      <c r="AP424" s="26"/>
      <c r="AQ424" s="26"/>
      <c r="AR424" s="26"/>
      <c r="AS424" s="26"/>
      <c r="AT424" s="26"/>
      <c r="AU424" s="26"/>
      <c r="AV424" s="26"/>
      <c r="AW424" s="26"/>
      <c r="AX424" s="26"/>
      <c r="AY424" s="26"/>
      <c r="AZ424" s="26"/>
      <c r="BA424" s="26"/>
      <c r="BB424" s="26"/>
      <c r="BC424" s="26"/>
      <c r="BD424" s="26"/>
      <c r="BE424" s="26"/>
      <c r="BF424" s="26"/>
      <c r="BG424" s="26"/>
      <c r="BH424" s="26"/>
      <c r="BI424" s="26"/>
    </row>
    <row r="425" ht="14.25" customHeight="1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  <c r="AD425" s="26"/>
      <c r="AE425" s="26"/>
      <c r="AF425" s="26"/>
      <c r="AG425" s="26"/>
      <c r="AH425" s="26"/>
      <c r="AI425" s="26"/>
      <c r="AJ425" s="26"/>
      <c r="AK425" s="26"/>
      <c r="AL425" s="26"/>
      <c r="AM425" s="26"/>
      <c r="AN425" s="26"/>
      <c r="AO425" s="26"/>
      <c r="AP425" s="26"/>
      <c r="AQ425" s="26"/>
      <c r="AR425" s="26"/>
      <c r="AS425" s="26"/>
      <c r="AT425" s="26"/>
      <c r="AU425" s="26"/>
      <c r="AV425" s="26"/>
      <c r="AW425" s="26"/>
      <c r="AX425" s="26"/>
      <c r="AY425" s="26"/>
      <c r="AZ425" s="26"/>
      <c r="BA425" s="26"/>
      <c r="BB425" s="26"/>
      <c r="BC425" s="26"/>
      <c r="BD425" s="26"/>
      <c r="BE425" s="26"/>
      <c r="BF425" s="26"/>
      <c r="BG425" s="26"/>
      <c r="BH425" s="26"/>
      <c r="BI425" s="26"/>
    </row>
    <row r="426" ht="14.25" customHeight="1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  <c r="AD426" s="26"/>
      <c r="AE426" s="26"/>
      <c r="AF426" s="26"/>
      <c r="AG426" s="26"/>
      <c r="AH426" s="26"/>
      <c r="AI426" s="26"/>
      <c r="AJ426" s="26"/>
      <c r="AK426" s="26"/>
      <c r="AL426" s="26"/>
      <c r="AM426" s="26"/>
      <c r="AN426" s="26"/>
      <c r="AO426" s="26"/>
      <c r="AP426" s="26"/>
      <c r="AQ426" s="26"/>
      <c r="AR426" s="26"/>
      <c r="AS426" s="26"/>
      <c r="AT426" s="26"/>
      <c r="AU426" s="26"/>
      <c r="AV426" s="26"/>
      <c r="AW426" s="26"/>
      <c r="AX426" s="26"/>
      <c r="AY426" s="26"/>
      <c r="AZ426" s="26"/>
      <c r="BA426" s="26"/>
      <c r="BB426" s="26"/>
      <c r="BC426" s="26"/>
      <c r="BD426" s="26"/>
      <c r="BE426" s="26"/>
      <c r="BF426" s="26"/>
      <c r="BG426" s="26"/>
      <c r="BH426" s="26"/>
      <c r="BI426" s="26"/>
    </row>
    <row r="427" ht="14.25" customHeight="1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  <c r="AD427" s="26"/>
      <c r="AE427" s="26"/>
      <c r="AF427" s="26"/>
      <c r="AG427" s="26"/>
      <c r="AH427" s="26"/>
      <c r="AI427" s="26"/>
      <c r="AJ427" s="26"/>
      <c r="AK427" s="26"/>
      <c r="AL427" s="26"/>
      <c r="AM427" s="26"/>
      <c r="AN427" s="26"/>
      <c r="AO427" s="26"/>
      <c r="AP427" s="26"/>
      <c r="AQ427" s="26"/>
      <c r="AR427" s="26"/>
      <c r="AS427" s="26"/>
      <c r="AT427" s="26"/>
      <c r="AU427" s="26"/>
      <c r="AV427" s="26"/>
      <c r="AW427" s="26"/>
      <c r="AX427" s="26"/>
      <c r="AY427" s="26"/>
      <c r="AZ427" s="26"/>
      <c r="BA427" s="26"/>
      <c r="BB427" s="26"/>
      <c r="BC427" s="26"/>
      <c r="BD427" s="26"/>
      <c r="BE427" s="26"/>
      <c r="BF427" s="26"/>
      <c r="BG427" s="26"/>
      <c r="BH427" s="26"/>
      <c r="BI427" s="26"/>
    </row>
    <row r="428" ht="14.25" customHeight="1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  <c r="AD428" s="26"/>
      <c r="AE428" s="26"/>
      <c r="AF428" s="26"/>
      <c r="AG428" s="26"/>
      <c r="AH428" s="26"/>
      <c r="AI428" s="26"/>
      <c r="AJ428" s="26"/>
      <c r="AK428" s="26"/>
      <c r="AL428" s="26"/>
      <c r="AM428" s="26"/>
      <c r="AN428" s="26"/>
      <c r="AO428" s="26"/>
      <c r="AP428" s="26"/>
      <c r="AQ428" s="26"/>
      <c r="AR428" s="26"/>
      <c r="AS428" s="26"/>
      <c r="AT428" s="26"/>
      <c r="AU428" s="26"/>
      <c r="AV428" s="26"/>
      <c r="AW428" s="26"/>
      <c r="AX428" s="26"/>
      <c r="AY428" s="26"/>
      <c r="AZ428" s="26"/>
      <c r="BA428" s="26"/>
      <c r="BB428" s="26"/>
      <c r="BC428" s="26"/>
      <c r="BD428" s="26"/>
      <c r="BE428" s="26"/>
      <c r="BF428" s="26"/>
      <c r="BG428" s="26"/>
      <c r="BH428" s="26"/>
      <c r="BI428" s="26"/>
    </row>
    <row r="429" ht="14.25" customHeight="1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  <c r="AD429" s="26"/>
      <c r="AE429" s="26"/>
      <c r="AF429" s="26"/>
      <c r="AG429" s="26"/>
      <c r="AH429" s="26"/>
      <c r="AI429" s="26"/>
      <c r="AJ429" s="26"/>
      <c r="AK429" s="26"/>
      <c r="AL429" s="26"/>
      <c r="AM429" s="26"/>
      <c r="AN429" s="26"/>
      <c r="AO429" s="26"/>
      <c r="AP429" s="26"/>
      <c r="AQ429" s="26"/>
      <c r="AR429" s="26"/>
      <c r="AS429" s="26"/>
      <c r="AT429" s="26"/>
      <c r="AU429" s="26"/>
      <c r="AV429" s="26"/>
      <c r="AW429" s="26"/>
      <c r="AX429" s="26"/>
      <c r="AY429" s="26"/>
      <c r="AZ429" s="26"/>
      <c r="BA429" s="26"/>
      <c r="BB429" s="26"/>
      <c r="BC429" s="26"/>
      <c r="BD429" s="26"/>
      <c r="BE429" s="26"/>
      <c r="BF429" s="26"/>
      <c r="BG429" s="26"/>
      <c r="BH429" s="26"/>
      <c r="BI429" s="26"/>
    </row>
    <row r="430" ht="14.25" customHeight="1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  <c r="AD430" s="26"/>
      <c r="AE430" s="26"/>
      <c r="AF430" s="26"/>
      <c r="AG430" s="26"/>
      <c r="AH430" s="26"/>
      <c r="AI430" s="26"/>
      <c r="AJ430" s="26"/>
      <c r="AK430" s="26"/>
      <c r="AL430" s="26"/>
      <c r="AM430" s="26"/>
      <c r="AN430" s="26"/>
      <c r="AO430" s="26"/>
      <c r="AP430" s="26"/>
      <c r="AQ430" s="26"/>
      <c r="AR430" s="26"/>
      <c r="AS430" s="26"/>
      <c r="AT430" s="26"/>
      <c r="AU430" s="26"/>
      <c r="AV430" s="26"/>
      <c r="AW430" s="26"/>
      <c r="AX430" s="26"/>
      <c r="AY430" s="26"/>
      <c r="AZ430" s="26"/>
      <c r="BA430" s="26"/>
      <c r="BB430" s="26"/>
      <c r="BC430" s="26"/>
      <c r="BD430" s="26"/>
      <c r="BE430" s="26"/>
      <c r="BF430" s="26"/>
      <c r="BG430" s="26"/>
      <c r="BH430" s="26"/>
      <c r="BI430" s="26"/>
    </row>
    <row r="431" ht="14.25" customHeight="1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  <c r="AD431" s="26"/>
      <c r="AE431" s="26"/>
      <c r="AF431" s="26"/>
      <c r="AG431" s="26"/>
      <c r="AH431" s="26"/>
      <c r="AI431" s="26"/>
      <c r="AJ431" s="26"/>
      <c r="AK431" s="26"/>
      <c r="AL431" s="26"/>
      <c r="AM431" s="26"/>
      <c r="AN431" s="26"/>
      <c r="AO431" s="26"/>
      <c r="AP431" s="26"/>
      <c r="AQ431" s="26"/>
      <c r="AR431" s="26"/>
      <c r="AS431" s="26"/>
      <c r="AT431" s="26"/>
      <c r="AU431" s="26"/>
      <c r="AV431" s="26"/>
      <c r="AW431" s="26"/>
      <c r="AX431" s="26"/>
      <c r="AY431" s="26"/>
      <c r="AZ431" s="26"/>
      <c r="BA431" s="26"/>
      <c r="BB431" s="26"/>
      <c r="BC431" s="26"/>
      <c r="BD431" s="26"/>
      <c r="BE431" s="26"/>
      <c r="BF431" s="26"/>
      <c r="BG431" s="26"/>
      <c r="BH431" s="26"/>
      <c r="BI431" s="26"/>
    </row>
    <row r="432" ht="14.25" customHeight="1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  <c r="AC432" s="26"/>
      <c r="AD432" s="26"/>
      <c r="AE432" s="26"/>
      <c r="AF432" s="26"/>
      <c r="AG432" s="26"/>
      <c r="AH432" s="26"/>
      <c r="AI432" s="26"/>
      <c r="AJ432" s="26"/>
      <c r="AK432" s="26"/>
      <c r="AL432" s="26"/>
      <c r="AM432" s="26"/>
      <c r="AN432" s="26"/>
      <c r="AO432" s="26"/>
      <c r="AP432" s="26"/>
      <c r="AQ432" s="26"/>
      <c r="AR432" s="26"/>
      <c r="AS432" s="26"/>
      <c r="AT432" s="26"/>
      <c r="AU432" s="26"/>
      <c r="AV432" s="26"/>
      <c r="AW432" s="26"/>
      <c r="AX432" s="26"/>
      <c r="AY432" s="26"/>
      <c r="AZ432" s="26"/>
      <c r="BA432" s="26"/>
      <c r="BB432" s="26"/>
      <c r="BC432" s="26"/>
      <c r="BD432" s="26"/>
      <c r="BE432" s="26"/>
      <c r="BF432" s="26"/>
      <c r="BG432" s="26"/>
      <c r="BH432" s="26"/>
      <c r="BI432" s="26"/>
    </row>
    <row r="433" ht="14.25" customHeight="1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  <c r="AC433" s="26"/>
      <c r="AD433" s="26"/>
      <c r="AE433" s="26"/>
      <c r="AF433" s="26"/>
      <c r="AG433" s="26"/>
      <c r="AH433" s="26"/>
      <c r="AI433" s="26"/>
      <c r="AJ433" s="26"/>
      <c r="AK433" s="26"/>
      <c r="AL433" s="26"/>
      <c r="AM433" s="26"/>
      <c r="AN433" s="26"/>
      <c r="AO433" s="26"/>
      <c r="AP433" s="26"/>
      <c r="AQ433" s="26"/>
      <c r="AR433" s="26"/>
      <c r="AS433" s="26"/>
      <c r="AT433" s="26"/>
      <c r="AU433" s="26"/>
      <c r="AV433" s="26"/>
      <c r="AW433" s="26"/>
      <c r="AX433" s="26"/>
      <c r="AY433" s="26"/>
      <c r="AZ433" s="26"/>
      <c r="BA433" s="26"/>
      <c r="BB433" s="26"/>
      <c r="BC433" s="26"/>
      <c r="BD433" s="26"/>
      <c r="BE433" s="26"/>
      <c r="BF433" s="26"/>
      <c r="BG433" s="26"/>
      <c r="BH433" s="26"/>
      <c r="BI433" s="26"/>
    </row>
    <row r="434" ht="14.25" customHeight="1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  <c r="AC434" s="26"/>
      <c r="AD434" s="26"/>
      <c r="AE434" s="26"/>
      <c r="AF434" s="26"/>
      <c r="AG434" s="26"/>
      <c r="AH434" s="26"/>
      <c r="AI434" s="26"/>
      <c r="AJ434" s="26"/>
      <c r="AK434" s="26"/>
      <c r="AL434" s="26"/>
      <c r="AM434" s="26"/>
      <c r="AN434" s="26"/>
      <c r="AO434" s="26"/>
      <c r="AP434" s="26"/>
      <c r="AQ434" s="26"/>
      <c r="AR434" s="26"/>
      <c r="AS434" s="26"/>
      <c r="AT434" s="26"/>
      <c r="AU434" s="26"/>
      <c r="AV434" s="26"/>
      <c r="AW434" s="26"/>
      <c r="AX434" s="26"/>
      <c r="AY434" s="26"/>
      <c r="AZ434" s="26"/>
      <c r="BA434" s="26"/>
      <c r="BB434" s="26"/>
      <c r="BC434" s="26"/>
      <c r="BD434" s="26"/>
      <c r="BE434" s="26"/>
      <c r="BF434" s="26"/>
      <c r="BG434" s="26"/>
      <c r="BH434" s="26"/>
      <c r="BI434" s="26"/>
    </row>
    <row r="435" ht="14.25" customHeight="1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  <c r="AC435" s="26"/>
      <c r="AD435" s="26"/>
      <c r="AE435" s="26"/>
      <c r="AF435" s="26"/>
      <c r="AG435" s="26"/>
      <c r="AH435" s="26"/>
      <c r="AI435" s="26"/>
      <c r="AJ435" s="26"/>
      <c r="AK435" s="26"/>
      <c r="AL435" s="26"/>
      <c r="AM435" s="26"/>
      <c r="AN435" s="26"/>
      <c r="AO435" s="26"/>
      <c r="AP435" s="26"/>
      <c r="AQ435" s="26"/>
      <c r="AR435" s="26"/>
      <c r="AS435" s="26"/>
      <c r="AT435" s="26"/>
      <c r="AU435" s="26"/>
      <c r="AV435" s="26"/>
      <c r="AW435" s="26"/>
      <c r="AX435" s="26"/>
      <c r="AY435" s="26"/>
      <c r="AZ435" s="26"/>
      <c r="BA435" s="26"/>
      <c r="BB435" s="26"/>
      <c r="BC435" s="26"/>
      <c r="BD435" s="26"/>
      <c r="BE435" s="26"/>
      <c r="BF435" s="26"/>
      <c r="BG435" s="26"/>
      <c r="BH435" s="26"/>
      <c r="BI435" s="26"/>
    </row>
    <row r="436" ht="14.25" customHeight="1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  <c r="AC436" s="26"/>
      <c r="AD436" s="26"/>
      <c r="AE436" s="26"/>
      <c r="AF436" s="26"/>
      <c r="AG436" s="26"/>
      <c r="AH436" s="26"/>
      <c r="AI436" s="26"/>
      <c r="AJ436" s="26"/>
      <c r="AK436" s="26"/>
      <c r="AL436" s="26"/>
      <c r="AM436" s="26"/>
      <c r="AN436" s="26"/>
      <c r="AO436" s="26"/>
      <c r="AP436" s="26"/>
      <c r="AQ436" s="26"/>
      <c r="AR436" s="26"/>
      <c r="AS436" s="26"/>
      <c r="AT436" s="26"/>
      <c r="AU436" s="26"/>
      <c r="AV436" s="26"/>
      <c r="AW436" s="26"/>
      <c r="AX436" s="26"/>
      <c r="AY436" s="26"/>
      <c r="AZ436" s="26"/>
      <c r="BA436" s="26"/>
      <c r="BB436" s="26"/>
      <c r="BC436" s="26"/>
      <c r="BD436" s="26"/>
      <c r="BE436" s="26"/>
      <c r="BF436" s="26"/>
      <c r="BG436" s="26"/>
      <c r="BH436" s="26"/>
      <c r="BI436" s="26"/>
    </row>
    <row r="437" ht="14.25" customHeight="1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  <c r="AC437" s="26"/>
      <c r="AD437" s="26"/>
      <c r="AE437" s="26"/>
      <c r="AF437" s="26"/>
      <c r="AG437" s="26"/>
      <c r="AH437" s="26"/>
      <c r="AI437" s="26"/>
      <c r="AJ437" s="26"/>
      <c r="AK437" s="26"/>
      <c r="AL437" s="26"/>
      <c r="AM437" s="26"/>
      <c r="AN437" s="26"/>
      <c r="AO437" s="26"/>
      <c r="AP437" s="26"/>
      <c r="AQ437" s="26"/>
      <c r="AR437" s="26"/>
      <c r="AS437" s="26"/>
      <c r="AT437" s="26"/>
      <c r="AU437" s="26"/>
      <c r="AV437" s="26"/>
      <c r="AW437" s="26"/>
      <c r="AX437" s="26"/>
      <c r="AY437" s="26"/>
      <c r="AZ437" s="26"/>
      <c r="BA437" s="26"/>
      <c r="BB437" s="26"/>
      <c r="BC437" s="26"/>
      <c r="BD437" s="26"/>
      <c r="BE437" s="26"/>
      <c r="BF437" s="26"/>
      <c r="BG437" s="26"/>
      <c r="BH437" s="26"/>
      <c r="BI437" s="26"/>
    </row>
    <row r="438" ht="14.25" customHeight="1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  <c r="AC438" s="26"/>
      <c r="AD438" s="26"/>
      <c r="AE438" s="26"/>
      <c r="AF438" s="26"/>
      <c r="AG438" s="26"/>
      <c r="AH438" s="26"/>
      <c r="AI438" s="26"/>
      <c r="AJ438" s="26"/>
      <c r="AK438" s="26"/>
      <c r="AL438" s="26"/>
      <c r="AM438" s="26"/>
      <c r="AN438" s="26"/>
      <c r="AO438" s="26"/>
      <c r="AP438" s="26"/>
      <c r="AQ438" s="26"/>
      <c r="AR438" s="26"/>
      <c r="AS438" s="26"/>
      <c r="AT438" s="26"/>
      <c r="AU438" s="26"/>
      <c r="AV438" s="26"/>
      <c r="AW438" s="26"/>
      <c r="AX438" s="26"/>
      <c r="AY438" s="26"/>
      <c r="AZ438" s="26"/>
      <c r="BA438" s="26"/>
      <c r="BB438" s="26"/>
      <c r="BC438" s="26"/>
      <c r="BD438" s="26"/>
      <c r="BE438" s="26"/>
      <c r="BF438" s="26"/>
      <c r="BG438" s="26"/>
      <c r="BH438" s="26"/>
      <c r="BI438" s="26"/>
    </row>
    <row r="439" ht="14.25" customHeight="1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  <c r="AC439" s="26"/>
      <c r="AD439" s="26"/>
      <c r="AE439" s="26"/>
      <c r="AF439" s="26"/>
      <c r="AG439" s="26"/>
      <c r="AH439" s="26"/>
      <c r="AI439" s="26"/>
      <c r="AJ439" s="26"/>
      <c r="AK439" s="26"/>
      <c r="AL439" s="26"/>
      <c r="AM439" s="26"/>
      <c r="AN439" s="26"/>
      <c r="AO439" s="26"/>
      <c r="AP439" s="26"/>
      <c r="AQ439" s="26"/>
      <c r="AR439" s="26"/>
      <c r="AS439" s="26"/>
      <c r="AT439" s="26"/>
      <c r="AU439" s="26"/>
      <c r="AV439" s="26"/>
      <c r="AW439" s="26"/>
      <c r="AX439" s="26"/>
      <c r="AY439" s="26"/>
      <c r="AZ439" s="26"/>
      <c r="BA439" s="26"/>
      <c r="BB439" s="26"/>
      <c r="BC439" s="26"/>
      <c r="BD439" s="26"/>
      <c r="BE439" s="26"/>
      <c r="BF439" s="26"/>
      <c r="BG439" s="26"/>
      <c r="BH439" s="26"/>
      <c r="BI439" s="26"/>
    </row>
    <row r="440" ht="14.25" customHeight="1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  <c r="AC440" s="26"/>
      <c r="AD440" s="26"/>
      <c r="AE440" s="26"/>
      <c r="AF440" s="26"/>
      <c r="AG440" s="26"/>
      <c r="AH440" s="26"/>
      <c r="AI440" s="26"/>
      <c r="AJ440" s="26"/>
      <c r="AK440" s="26"/>
      <c r="AL440" s="26"/>
      <c r="AM440" s="26"/>
      <c r="AN440" s="26"/>
      <c r="AO440" s="26"/>
      <c r="AP440" s="26"/>
      <c r="AQ440" s="26"/>
      <c r="AR440" s="26"/>
      <c r="AS440" s="26"/>
      <c r="AT440" s="26"/>
      <c r="AU440" s="26"/>
      <c r="AV440" s="26"/>
      <c r="AW440" s="26"/>
      <c r="AX440" s="26"/>
      <c r="AY440" s="26"/>
      <c r="AZ440" s="26"/>
      <c r="BA440" s="26"/>
      <c r="BB440" s="26"/>
      <c r="BC440" s="26"/>
      <c r="BD440" s="26"/>
      <c r="BE440" s="26"/>
      <c r="BF440" s="26"/>
      <c r="BG440" s="26"/>
      <c r="BH440" s="26"/>
      <c r="BI440" s="26"/>
    </row>
    <row r="441" ht="14.25" customHeight="1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  <c r="AC441" s="26"/>
      <c r="AD441" s="26"/>
      <c r="AE441" s="26"/>
      <c r="AF441" s="26"/>
      <c r="AG441" s="26"/>
      <c r="AH441" s="26"/>
      <c r="AI441" s="26"/>
      <c r="AJ441" s="26"/>
      <c r="AK441" s="26"/>
      <c r="AL441" s="26"/>
      <c r="AM441" s="26"/>
      <c r="AN441" s="26"/>
      <c r="AO441" s="26"/>
      <c r="AP441" s="26"/>
      <c r="AQ441" s="26"/>
      <c r="AR441" s="26"/>
      <c r="AS441" s="26"/>
      <c r="AT441" s="26"/>
      <c r="AU441" s="26"/>
      <c r="AV441" s="26"/>
      <c r="AW441" s="26"/>
      <c r="AX441" s="26"/>
      <c r="AY441" s="26"/>
      <c r="AZ441" s="26"/>
      <c r="BA441" s="26"/>
      <c r="BB441" s="26"/>
      <c r="BC441" s="26"/>
      <c r="BD441" s="26"/>
      <c r="BE441" s="26"/>
      <c r="BF441" s="26"/>
      <c r="BG441" s="26"/>
      <c r="BH441" s="26"/>
      <c r="BI441" s="26"/>
    </row>
    <row r="442" ht="14.25" customHeight="1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  <c r="AC442" s="26"/>
      <c r="AD442" s="26"/>
      <c r="AE442" s="26"/>
      <c r="AF442" s="26"/>
      <c r="AG442" s="26"/>
      <c r="AH442" s="26"/>
      <c r="AI442" s="26"/>
      <c r="AJ442" s="26"/>
      <c r="AK442" s="26"/>
      <c r="AL442" s="26"/>
      <c r="AM442" s="26"/>
      <c r="AN442" s="26"/>
      <c r="AO442" s="26"/>
      <c r="AP442" s="26"/>
      <c r="AQ442" s="26"/>
      <c r="AR442" s="26"/>
      <c r="AS442" s="26"/>
      <c r="AT442" s="26"/>
      <c r="AU442" s="26"/>
      <c r="AV442" s="26"/>
      <c r="AW442" s="26"/>
      <c r="AX442" s="26"/>
      <c r="AY442" s="26"/>
      <c r="AZ442" s="26"/>
      <c r="BA442" s="26"/>
      <c r="BB442" s="26"/>
      <c r="BC442" s="26"/>
      <c r="BD442" s="26"/>
      <c r="BE442" s="26"/>
      <c r="BF442" s="26"/>
      <c r="BG442" s="26"/>
      <c r="BH442" s="26"/>
      <c r="BI442" s="26"/>
    </row>
    <row r="443" ht="14.25" customHeight="1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  <c r="AC443" s="26"/>
      <c r="AD443" s="26"/>
      <c r="AE443" s="26"/>
      <c r="AF443" s="26"/>
      <c r="AG443" s="26"/>
      <c r="AH443" s="26"/>
      <c r="AI443" s="26"/>
      <c r="AJ443" s="26"/>
      <c r="AK443" s="26"/>
      <c r="AL443" s="26"/>
      <c r="AM443" s="26"/>
      <c r="AN443" s="26"/>
      <c r="AO443" s="26"/>
      <c r="AP443" s="26"/>
      <c r="AQ443" s="26"/>
      <c r="AR443" s="26"/>
      <c r="AS443" s="26"/>
      <c r="AT443" s="26"/>
      <c r="AU443" s="26"/>
      <c r="AV443" s="26"/>
      <c r="AW443" s="26"/>
      <c r="AX443" s="26"/>
      <c r="AY443" s="26"/>
      <c r="AZ443" s="26"/>
      <c r="BA443" s="26"/>
      <c r="BB443" s="26"/>
      <c r="BC443" s="26"/>
      <c r="BD443" s="26"/>
      <c r="BE443" s="26"/>
      <c r="BF443" s="26"/>
      <c r="BG443" s="26"/>
      <c r="BH443" s="26"/>
      <c r="BI443" s="26"/>
    </row>
    <row r="444" ht="14.25" customHeight="1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  <c r="AC444" s="26"/>
      <c r="AD444" s="26"/>
      <c r="AE444" s="26"/>
      <c r="AF444" s="26"/>
      <c r="AG444" s="26"/>
      <c r="AH444" s="26"/>
      <c r="AI444" s="26"/>
      <c r="AJ444" s="26"/>
      <c r="AK444" s="26"/>
      <c r="AL444" s="26"/>
      <c r="AM444" s="26"/>
      <c r="AN444" s="26"/>
      <c r="AO444" s="26"/>
      <c r="AP444" s="26"/>
      <c r="AQ444" s="26"/>
      <c r="AR444" s="26"/>
      <c r="AS444" s="26"/>
      <c r="AT444" s="26"/>
      <c r="AU444" s="26"/>
      <c r="AV444" s="26"/>
      <c r="AW444" s="26"/>
      <c r="AX444" s="26"/>
      <c r="AY444" s="26"/>
      <c r="AZ444" s="26"/>
      <c r="BA444" s="26"/>
      <c r="BB444" s="26"/>
      <c r="BC444" s="26"/>
      <c r="BD444" s="26"/>
      <c r="BE444" s="26"/>
      <c r="BF444" s="26"/>
      <c r="BG444" s="26"/>
      <c r="BH444" s="26"/>
      <c r="BI444" s="26"/>
    </row>
    <row r="445" ht="14.25" customHeight="1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  <c r="AC445" s="26"/>
      <c r="AD445" s="26"/>
      <c r="AE445" s="26"/>
      <c r="AF445" s="26"/>
      <c r="AG445" s="26"/>
      <c r="AH445" s="26"/>
      <c r="AI445" s="26"/>
      <c r="AJ445" s="26"/>
      <c r="AK445" s="26"/>
      <c r="AL445" s="26"/>
      <c r="AM445" s="26"/>
      <c r="AN445" s="26"/>
      <c r="AO445" s="26"/>
      <c r="AP445" s="26"/>
      <c r="AQ445" s="26"/>
      <c r="AR445" s="26"/>
      <c r="AS445" s="26"/>
      <c r="AT445" s="26"/>
      <c r="AU445" s="26"/>
      <c r="AV445" s="26"/>
      <c r="AW445" s="26"/>
      <c r="AX445" s="26"/>
      <c r="AY445" s="26"/>
      <c r="AZ445" s="26"/>
      <c r="BA445" s="26"/>
      <c r="BB445" s="26"/>
      <c r="BC445" s="26"/>
      <c r="BD445" s="26"/>
      <c r="BE445" s="26"/>
      <c r="BF445" s="26"/>
      <c r="BG445" s="26"/>
      <c r="BH445" s="26"/>
      <c r="BI445" s="26"/>
    </row>
    <row r="446" ht="14.25" customHeight="1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  <c r="AC446" s="26"/>
      <c r="AD446" s="26"/>
      <c r="AE446" s="26"/>
      <c r="AF446" s="26"/>
      <c r="AG446" s="26"/>
      <c r="AH446" s="26"/>
      <c r="AI446" s="26"/>
      <c r="AJ446" s="26"/>
      <c r="AK446" s="26"/>
      <c r="AL446" s="26"/>
      <c r="AM446" s="26"/>
      <c r="AN446" s="26"/>
      <c r="AO446" s="26"/>
      <c r="AP446" s="26"/>
      <c r="AQ446" s="26"/>
      <c r="AR446" s="26"/>
      <c r="AS446" s="26"/>
      <c r="AT446" s="26"/>
      <c r="AU446" s="26"/>
      <c r="AV446" s="26"/>
      <c r="AW446" s="26"/>
      <c r="AX446" s="26"/>
      <c r="AY446" s="26"/>
      <c r="AZ446" s="26"/>
      <c r="BA446" s="26"/>
      <c r="BB446" s="26"/>
      <c r="BC446" s="26"/>
      <c r="BD446" s="26"/>
      <c r="BE446" s="26"/>
      <c r="BF446" s="26"/>
      <c r="BG446" s="26"/>
      <c r="BH446" s="26"/>
      <c r="BI446" s="26"/>
    </row>
    <row r="447" ht="14.25" customHeight="1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  <c r="AC447" s="26"/>
      <c r="AD447" s="26"/>
      <c r="AE447" s="26"/>
      <c r="AF447" s="26"/>
      <c r="AG447" s="26"/>
      <c r="AH447" s="26"/>
      <c r="AI447" s="26"/>
      <c r="AJ447" s="26"/>
      <c r="AK447" s="26"/>
      <c r="AL447" s="26"/>
      <c r="AM447" s="26"/>
      <c r="AN447" s="26"/>
      <c r="AO447" s="26"/>
      <c r="AP447" s="26"/>
      <c r="AQ447" s="26"/>
      <c r="AR447" s="26"/>
      <c r="AS447" s="26"/>
      <c r="AT447" s="26"/>
      <c r="AU447" s="26"/>
      <c r="AV447" s="26"/>
      <c r="AW447" s="26"/>
      <c r="AX447" s="26"/>
      <c r="AY447" s="26"/>
      <c r="AZ447" s="26"/>
      <c r="BA447" s="26"/>
      <c r="BB447" s="26"/>
      <c r="BC447" s="26"/>
      <c r="BD447" s="26"/>
      <c r="BE447" s="26"/>
      <c r="BF447" s="26"/>
      <c r="BG447" s="26"/>
      <c r="BH447" s="26"/>
      <c r="BI447" s="26"/>
    </row>
    <row r="448" ht="14.25" customHeight="1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  <c r="AC448" s="26"/>
      <c r="AD448" s="26"/>
      <c r="AE448" s="26"/>
      <c r="AF448" s="26"/>
      <c r="AG448" s="26"/>
      <c r="AH448" s="26"/>
      <c r="AI448" s="26"/>
      <c r="AJ448" s="26"/>
      <c r="AK448" s="26"/>
      <c r="AL448" s="26"/>
      <c r="AM448" s="26"/>
      <c r="AN448" s="26"/>
      <c r="AO448" s="26"/>
      <c r="AP448" s="26"/>
      <c r="AQ448" s="26"/>
      <c r="AR448" s="26"/>
      <c r="AS448" s="26"/>
      <c r="AT448" s="26"/>
      <c r="AU448" s="26"/>
      <c r="AV448" s="26"/>
      <c r="AW448" s="26"/>
      <c r="AX448" s="26"/>
      <c r="AY448" s="26"/>
      <c r="AZ448" s="26"/>
      <c r="BA448" s="26"/>
      <c r="BB448" s="26"/>
      <c r="BC448" s="26"/>
      <c r="BD448" s="26"/>
      <c r="BE448" s="26"/>
      <c r="BF448" s="26"/>
      <c r="BG448" s="26"/>
      <c r="BH448" s="26"/>
      <c r="BI448" s="26"/>
    </row>
    <row r="449" ht="14.25" customHeight="1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  <c r="AC449" s="26"/>
      <c r="AD449" s="26"/>
      <c r="AE449" s="26"/>
      <c r="AF449" s="26"/>
      <c r="AG449" s="26"/>
      <c r="AH449" s="26"/>
      <c r="AI449" s="26"/>
      <c r="AJ449" s="26"/>
      <c r="AK449" s="26"/>
      <c r="AL449" s="26"/>
      <c r="AM449" s="26"/>
      <c r="AN449" s="26"/>
      <c r="AO449" s="26"/>
      <c r="AP449" s="26"/>
      <c r="AQ449" s="26"/>
      <c r="AR449" s="26"/>
      <c r="AS449" s="26"/>
      <c r="AT449" s="26"/>
      <c r="AU449" s="26"/>
      <c r="AV449" s="26"/>
      <c r="AW449" s="26"/>
      <c r="AX449" s="26"/>
      <c r="AY449" s="26"/>
      <c r="AZ449" s="26"/>
      <c r="BA449" s="26"/>
      <c r="BB449" s="26"/>
      <c r="BC449" s="26"/>
      <c r="BD449" s="26"/>
      <c r="BE449" s="26"/>
      <c r="BF449" s="26"/>
      <c r="BG449" s="26"/>
      <c r="BH449" s="26"/>
      <c r="BI449" s="26"/>
    </row>
    <row r="450" ht="14.25" customHeight="1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  <c r="AC450" s="26"/>
      <c r="AD450" s="26"/>
      <c r="AE450" s="26"/>
      <c r="AF450" s="26"/>
      <c r="AG450" s="26"/>
      <c r="AH450" s="26"/>
      <c r="AI450" s="26"/>
      <c r="AJ450" s="26"/>
      <c r="AK450" s="26"/>
      <c r="AL450" s="26"/>
      <c r="AM450" s="26"/>
      <c r="AN450" s="26"/>
      <c r="AO450" s="26"/>
      <c r="AP450" s="26"/>
      <c r="AQ450" s="26"/>
      <c r="AR450" s="26"/>
      <c r="AS450" s="26"/>
      <c r="AT450" s="26"/>
      <c r="AU450" s="26"/>
      <c r="AV450" s="26"/>
      <c r="AW450" s="26"/>
      <c r="AX450" s="26"/>
      <c r="AY450" s="26"/>
      <c r="AZ450" s="26"/>
      <c r="BA450" s="26"/>
      <c r="BB450" s="26"/>
      <c r="BC450" s="26"/>
      <c r="BD450" s="26"/>
      <c r="BE450" s="26"/>
      <c r="BF450" s="26"/>
      <c r="BG450" s="26"/>
      <c r="BH450" s="26"/>
      <c r="BI450" s="26"/>
    </row>
    <row r="451" ht="14.25" customHeight="1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  <c r="AC451" s="26"/>
      <c r="AD451" s="26"/>
      <c r="AE451" s="26"/>
      <c r="AF451" s="26"/>
      <c r="AG451" s="26"/>
      <c r="AH451" s="26"/>
      <c r="AI451" s="26"/>
      <c r="AJ451" s="26"/>
      <c r="AK451" s="26"/>
      <c r="AL451" s="26"/>
      <c r="AM451" s="26"/>
      <c r="AN451" s="26"/>
      <c r="AO451" s="26"/>
      <c r="AP451" s="26"/>
      <c r="AQ451" s="26"/>
      <c r="AR451" s="26"/>
      <c r="AS451" s="26"/>
      <c r="AT451" s="26"/>
      <c r="AU451" s="26"/>
      <c r="AV451" s="26"/>
      <c r="AW451" s="26"/>
      <c r="AX451" s="26"/>
      <c r="AY451" s="26"/>
      <c r="AZ451" s="26"/>
      <c r="BA451" s="26"/>
      <c r="BB451" s="26"/>
      <c r="BC451" s="26"/>
      <c r="BD451" s="26"/>
      <c r="BE451" s="26"/>
      <c r="BF451" s="26"/>
      <c r="BG451" s="26"/>
      <c r="BH451" s="26"/>
      <c r="BI451" s="26"/>
    </row>
    <row r="452" ht="14.25" customHeight="1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  <c r="AC452" s="26"/>
      <c r="AD452" s="26"/>
      <c r="AE452" s="26"/>
      <c r="AF452" s="26"/>
      <c r="AG452" s="26"/>
      <c r="AH452" s="26"/>
      <c r="AI452" s="26"/>
      <c r="AJ452" s="26"/>
      <c r="AK452" s="26"/>
      <c r="AL452" s="26"/>
      <c r="AM452" s="26"/>
      <c r="AN452" s="26"/>
      <c r="AO452" s="26"/>
      <c r="AP452" s="26"/>
      <c r="AQ452" s="26"/>
      <c r="AR452" s="26"/>
      <c r="AS452" s="26"/>
      <c r="AT452" s="26"/>
      <c r="AU452" s="26"/>
      <c r="AV452" s="26"/>
      <c r="AW452" s="26"/>
      <c r="AX452" s="26"/>
      <c r="AY452" s="26"/>
      <c r="AZ452" s="26"/>
      <c r="BA452" s="26"/>
      <c r="BB452" s="26"/>
      <c r="BC452" s="26"/>
      <c r="BD452" s="26"/>
      <c r="BE452" s="26"/>
      <c r="BF452" s="26"/>
      <c r="BG452" s="26"/>
      <c r="BH452" s="26"/>
      <c r="BI452" s="26"/>
    </row>
    <row r="453" ht="14.25" customHeight="1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  <c r="AC453" s="26"/>
      <c r="AD453" s="26"/>
      <c r="AE453" s="26"/>
      <c r="AF453" s="26"/>
      <c r="AG453" s="26"/>
      <c r="AH453" s="26"/>
      <c r="AI453" s="26"/>
      <c r="AJ453" s="26"/>
      <c r="AK453" s="26"/>
      <c r="AL453" s="26"/>
      <c r="AM453" s="26"/>
      <c r="AN453" s="26"/>
      <c r="AO453" s="26"/>
      <c r="AP453" s="26"/>
      <c r="AQ453" s="26"/>
      <c r="AR453" s="26"/>
      <c r="AS453" s="26"/>
      <c r="AT453" s="26"/>
      <c r="AU453" s="26"/>
      <c r="AV453" s="26"/>
      <c r="AW453" s="26"/>
      <c r="AX453" s="26"/>
      <c r="AY453" s="26"/>
      <c r="AZ453" s="26"/>
      <c r="BA453" s="26"/>
      <c r="BB453" s="26"/>
      <c r="BC453" s="26"/>
      <c r="BD453" s="26"/>
      <c r="BE453" s="26"/>
      <c r="BF453" s="26"/>
      <c r="BG453" s="26"/>
      <c r="BH453" s="26"/>
      <c r="BI453" s="26"/>
    </row>
    <row r="454" ht="14.25" customHeight="1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  <c r="AC454" s="26"/>
      <c r="AD454" s="26"/>
      <c r="AE454" s="26"/>
      <c r="AF454" s="26"/>
      <c r="AG454" s="26"/>
      <c r="AH454" s="26"/>
      <c r="AI454" s="26"/>
      <c r="AJ454" s="26"/>
      <c r="AK454" s="26"/>
      <c r="AL454" s="26"/>
      <c r="AM454" s="26"/>
      <c r="AN454" s="26"/>
      <c r="AO454" s="26"/>
      <c r="AP454" s="26"/>
      <c r="AQ454" s="26"/>
      <c r="AR454" s="26"/>
      <c r="AS454" s="26"/>
      <c r="AT454" s="26"/>
      <c r="AU454" s="26"/>
      <c r="AV454" s="26"/>
      <c r="AW454" s="26"/>
      <c r="AX454" s="26"/>
      <c r="AY454" s="26"/>
      <c r="AZ454" s="26"/>
      <c r="BA454" s="26"/>
      <c r="BB454" s="26"/>
      <c r="BC454" s="26"/>
      <c r="BD454" s="26"/>
      <c r="BE454" s="26"/>
      <c r="BF454" s="26"/>
      <c r="BG454" s="26"/>
      <c r="BH454" s="26"/>
      <c r="BI454" s="26"/>
    </row>
    <row r="455" ht="14.25" customHeight="1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  <c r="AC455" s="26"/>
      <c r="AD455" s="26"/>
      <c r="AE455" s="26"/>
      <c r="AF455" s="26"/>
      <c r="AG455" s="26"/>
      <c r="AH455" s="26"/>
      <c r="AI455" s="26"/>
      <c r="AJ455" s="26"/>
      <c r="AK455" s="26"/>
      <c r="AL455" s="26"/>
      <c r="AM455" s="26"/>
      <c r="AN455" s="26"/>
      <c r="AO455" s="26"/>
      <c r="AP455" s="26"/>
      <c r="AQ455" s="26"/>
      <c r="AR455" s="26"/>
      <c r="AS455" s="26"/>
      <c r="AT455" s="26"/>
      <c r="AU455" s="26"/>
      <c r="AV455" s="26"/>
      <c r="AW455" s="26"/>
      <c r="AX455" s="26"/>
      <c r="AY455" s="26"/>
      <c r="AZ455" s="26"/>
      <c r="BA455" s="26"/>
      <c r="BB455" s="26"/>
      <c r="BC455" s="26"/>
      <c r="BD455" s="26"/>
      <c r="BE455" s="26"/>
      <c r="BF455" s="26"/>
      <c r="BG455" s="26"/>
      <c r="BH455" s="26"/>
      <c r="BI455" s="26"/>
    </row>
    <row r="456" ht="14.25" customHeight="1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  <c r="AC456" s="26"/>
      <c r="AD456" s="26"/>
      <c r="AE456" s="26"/>
      <c r="AF456" s="26"/>
      <c r="AG456" s="26"/>
      <c r="AH456" s="26"/>
      <c r="AI456" s="26"/>
      <c r="AJ456" s="26"/>
      <c r="AK456" s="26"/>
      <c r="AL456" s="26"/>
      <c r="AM456" s="26"/>
      <c r="AN456" s="26"/>
      <c r="AO456" s="26"/>
      <c r="AP456" s="26"/>
      <c r="AQ456" s="26"/>
      <c r="AR456" s="26"/>
      <c r="AS456" s="26"/>
      <c r="AT456" s="26"/>
      <c r="AU456" s="26"/>
      <c r="AV456" s="26"/>
      <c r="AW456" s="26"/>
      <c r="AX456" s="26"/>
      <c r="AY456" s="26"/>
      <c r="AZ456" s="26"/>
      <c r="BA456" s="26"/>
      <c r="BB456" s="26"/>
      <c r="BC456" s="26"/>
      <c r="BD456" s="26"/>
      <c r="BE456" s="26"/>
      <c r="BF456" s="26"/>
      <c r="BG456" s="26"/>
      <c r="BH456" s="26"/>
      <c r="BI456" s="26"/>
    </row>
    <row r="457" ht="14.25" customHeight="1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  <c r="AC457" s="26"/>
      <c r="AD457" s="26"/>
      <c r="AE457" s="26"/>
      <c r="AF457" s="26"/>
      <c r="AG457" s="26"/>
      <c r="AH457" s="26"/>
      <c r="AI457" s="26"/>
      <c r="AJ457" s="26"/>
      <c r="AK457" s="26"/>
      <c r="AL457" s="26"/>
      <c r="AM457" s="26"/>
      <c r="AN457" s="26"/>
      <c r="AO457" s="26"/>
      <c r="AP457" s="26"/>
      <c r="AQ457" s="26"/>
      <c r="AR457" s="26"/>
      <c r="AS457" s="26"/>
      <c r="AT457" s="26"/>
      <c r="AU457" s="26"/>
      <c r="AV457" s="26"/>
      <c r="AW457" s="26"/>
      <c r="AX457" s="26"/>
      <c r="AY457" s="26"/>
      <c r="AZ457" s="26"/>
      <c r="BA457" s="26"/>
      <c r="BB457" s="26"/>
      <c r="BC457" s="26"/>
      <c r="BD457" s="26"/>
      <c r="BE457" s="26"/>
      <c r="BF457" s="26"/>
      <c r="BG457" s="26"/>
      <c r="BH457" s="26"/>
      <c r="BI457" s="26"/>
    </row>
    <row r="458" ht="14.25" customHeight="1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  <c r="AC458" s="26"/>
      <c r="AD458" s="26"/>
      <c r="AE458" s="26"/>
      <c r="AF458" s="26"/>
      <c r="AG458" s="26"/>
      <c r="AH458" s="26"/>
      <c r="AI458" s="26"/>
      <c r="AJ458" s="26"/>
      <c r="AK458" s="26"/>
      <c r="AL458" s="26"/>
      <c r="AM458" s="26"/>
      <c r="AN458" s="26"/>
      <c r="AO458" s="26"/>
      <c r="AP458" s="26"/>
      <c r="AQ458" s="26"/>
      <c r="AR458" s="26"/>
      <c r="AS458" s="26"/>
      <c r="AT458" s="26"/>
      <c r="AU458" s="26"/>
      <c r="AV458" s="26"/>
      <c r="AW458" s="26"/>
      <c r="AX458" s="26"/>
      <c r="AY458" s="26"/>
      <c r="AZ458" s="26"/>
      <c r="BA458" s="26"/>
      <c r="BB458" s="26"/>
      <c r="BC458" s="26"/>
      <c r="BD458" s="26"/>
      <c r="BE458" s="26"/>
      <c r="BF458" s="26"/>
      <c r="BG458" s="26"/>
      <c r="BH458" s="26"/>
      <c r="BI458" s="26"/>
    </row>
    <row r="459" ht="14.25" customHeight="1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  <c r="AC459" s="26"/>
      <c r="AD459" s="26"/>
      <c r="AE459" s="26"/>
      <c r="AF459" s="26"/>
      <c r="AG459" s="26"/>
      <c r="AH459" s="26"/>
      <c r="AI459" s="26"/>
      <c r="AJ459" s="26"/>
      <c r="AK459" s="26"/>
      <c r="AL459" s="26"/>
      <c r="AM459" s="26"/>
      <c r="AN459" s="26"/>
      <c r="AO459" s="26"/>
      <c r="AP459" s="26"/>
      <c r="AQ459" s="26"/>
      <c r="AR459" s="26"/>
      <c r="AS459" s="26"/>
      <c r="AT459" s="26"/>
      <c r="AU459" s="26"/>
      <c r="AV459" s="26"/>
      <c r="AW459" s="26"/>
      <c r="AX459" s="26"/>
      <c r="AY459" s="26"/>
      <c r="AZ459" s="26"/>
      <c r="BA459" s="26"/>
      <c r="BB459" s="26"/>
      <c r="BC459" s="26"/>
      <c r="BD459" s="26"/>
      <c r="BE459" s="26"/>
      <c r="BF459" s="26"/>
      <c r="BG459" s="26"/>
      <c r="BH459" s="26"/>
      <c r="BI459" s="26"/>
    </row>
    <row r="460" ht="14.25" customHeight="1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  <c r="AC460" s="26"/>
      <c r="AD460" s="26"/>
      <c r="AE460" s="26"/>
      <c r="AF460" s="26"/>
      <c r="AG460" s="26"/>
      <c r="AH460" s="26"/>
      <c r="AI460" s="26"/>
      <c r="AJ460" s="26"/>
      <c r="AK460" s="26"/>
      <c r="AL460" s="26"/>
      <c r="AM460" s="26"/>
      <c r="AN460" s="26"/>
      <c r="AO460" s="26"/>
      <c r="AP460" s="26"/>
      <c r="AQ460" s="26"/>
      <c r="AR460" s="26"/>
      <c r="AS460" s="26"/>
      <c r="AT460" s="26"/>
      <c r="AU460" s="26"/>
      <c r="AV460" s="26"/>
      <c r="AW460" s="26"/>
      <c r="AX460" s="26"/>
      <c r="AY460" s="26"/>
      <c r="AZ460" s="26"/>
      <c r="BA460" s="26"/>
      <c r="BB460" s="26"/>
      <c r="BC460" s="26"/>
      <c r="BD460" s="26"/>
      <c r="BE460" s="26"/>
      <c r="BF460" s="26"/>
      <c r="BG460" s="26"/>
      <c r="BH460" s="26"/>
      <c r="BI460" s="26"/>
    </row>
    <row r="461" ht="14.25" customHeight="1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  <c r="AC461" s="26"/>
      <c r="AD461" s="26"/>
      <c r="AE461" s="26"/>
      <c r="AF461" s="26"/>
      <c r="AG461" s="26"/>
      <c r="AH461" s="26"/>
      <c r="AI461" s="26"/>
      <c r="AJ461" s="26"/>
      <c r="AK461" s="26"/>
      <c r="AL461" s="26"/>
      <c r="AM461" s="26"/>
      <c r="AN461" s="26"/>
      <c r="AO461" s="26"/>
      <c r="AP461" s="26"/>
      <c r="AQ461" s="26"/>
      <c r="AR461" s="26"/>
      <c r="AS461" s="26"/>
      <c r="AT461" s="26"/>
      <c r="AU461" s="26"/>
      <c r="AV461" s="26"/>
      <c r="AW461" s="26"/>
      <c r="AX461" s="26"/>
      <c r="AY461" s="26"/>
      <c r="AZ461" s="26"/>
      <c r="BA461" s="26"/>
      <c r="BB461" s="26"/>
      <c r="BC461" s="26"/>
      <c r="BD461" s="26"/>
      <c r="BE461" s="26"/>
      <c r="BF461" s="26"/>
      <c r="BG461" s="26"/>
      <c r="BH461" s="26"/>
      <c r="BI461" s="26"/>
    </row>
    <row r="462" ht="14.25" customHeight="1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  <c r="AC462" s="26"/>
      <c r="AD462" s="26"/>
      <c r="AE462" s="26"/>
      <c r="AF462" s="26"/>
      <c r="AG462" s="26"/>
      <c r="AH462" s="26"/>
      <c r="AI462" s="26"/>
      <c r="AJ462" s="26"/>
      <c r="AK462" s="26"/>
      <c r="AL462" s="26"/>
      <c r="AM462" s="26"/>
      <c r="AN462" s="26"/>
      <c r="AO462" s="26"/>
      <c r="AP462" s="26"/>
      <c r="AQ462" s="26"/>
      <c r="AR462" s="26"/>
      <c r="AS462" s="26"/>
      <c r="AT462" s="26"/>
      <c r="AU462" s="26"/>
      <c r="AV462" s="26"/>
      <c r="AW462" s="26"/>
      <c r="AX462" s="26"/>
      <c r="AY462" s="26"/>
      <c r="AZ462" s="26"/>
      <c r="BA462" s="26"/>
      <c r="BB462" s="26"/>
      <c r="BC462" s="26"/>
      <c r="BD462" s="26"/>
      <c r="BE462" s="26"/>
      <c r="BF462" s="26"/>
      <c r="BG462" s="26"/>
      <c r="BH462" s="26"/>
      <c r="BI462" s="26"/>
    </row>
    <row r="463" ht="14.25" customHeight="1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  <c r="AC463" s="26"/>
      <c r="AD463" s="26"/>
      <c r="AE463" s="26"/>
      <c r="AF463" s="26"/>
      <c r="AG463" s="26"/>
      <c r="AH463" s="26"/>
      <c r="AI463" s="26"/>
      <c r="AJ463" s="26"/>
      <c r="AK463" s="26"/>
      <c r="AL463" s="26"/>
      <c r="AM463" s="26"/>
      <c r="AN463" s="26"/>
      <c r="AO463" s="26"/>
      <c r="AP463" s="26"/>
      <c r="AQ463" s="26"/>
      <c r="AR463" s="26"/>
      <c r="AS463" s="26"/>
      <c r="AT463" s="26"/>
      <c r="AU463" s="26"/>
      <c r="AV463" s="26"/>
      <c r="AW463" s="26"/>
      <c r="AX463" s="26"/>
      <c r="AY463" s="26"/>
      <c r="AZ463" s="26"/>
      <c r="BA463" s="26"/>
      <c r="BB463" s="26"/>
      <c r="BC463" s="26"/>
      <c r="BD463" s="26"/>
      <c r="BE463" s="26"/>
      <c r="BF463" s="26"/>
      <c r="BG463" s="26"/>
      <c r="BH463" s="26"/>
      <c r="BI463" s="26"/>
    </row>
    <row r="464" ht="14.25" customHeight="1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  <c r="AC464" s="26"/>
      <c r="AD464" s="26"/>
      <c r="AE464" s="26"/>
      <c r="AF464" s="26"/>
      <c r="AG464" s="26"/>
      <c r="AH464" s="26"/>
      <c r="AI464" s="26"/>
      <c r="AJ464" s="26"/>
      <c r="AK464" s="26"/>
      <c r="AL464" s="26"/>
      <c r="AM464" s="26"/>
      <c r="AN464" s="26"/>
      <c r="AO464" s="26"/>
      <c r="AP464" s="26"/>
      <c r="AQ464" s="26"/>
      <c r="AR464" s="26"/>
      <c r="AS464" s="26"/>
      <c r="AT464" s="26"/>
      <c r="AU464" s="26"/>
      <c r="AV464" s="26"/>
      <c r="AW464" s="26"/>
      <c r="AX464" s="26"/>
      <c r="AY464" s="26"/>
      <c r="AZ464" s="26"/>
      <c r="BA464" s="26"/>
      <c r="BB464" s="26"/>
      <c r="BC464" s="26"/>
      <c r="BD464" s="26"/>
      <c r="BE464" s="26"/>
      <c r="BF464" s="26"/>
      <c r="BG464" s="26"/>
      <c r="BH464" s="26"/>
      <c r="BI464" s="26"/>
    </row>
    <row r="465" ht="14.25" customHeight="1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  <c r="AC465" s="26"/>
      <c r="AD465" s="26"/>
      <c r="AE465" s="26"/>
      <c r="AF465" s="26"/>
      <c r="AG465" s="26"/>
      <c r="AH465" s="26"/>
      <c r="AI465" s="26"/>
      <c r="AJ465" s="26"/>
      <c r="AK465" s="26"/>
      <c r="AL465" s="26"/>
      <c r="AM465" s="26"/>
      <c r="AN465" s="26"/>
      <c r="AO465" s="26"/>
      <c r="AP465" s="26"/>
      <c r="AQ465" s="26"/>
      <c r="AR465" s="26"/>
      <c r="AS465" s="26"/>
      <c r="AT465" s="26"/>
      <c r="AU465" s="26"/>
      <c r="AV465" s="26"/>
      <c r="AW465" s="26"/>
      <c r="AX465" s="26"/>
      <c r="AY465" s="26"/>
      <c r="AZ465" s="26"/>
      <c r="BA465" s="26"/>
      <c r="BB465" s="26"/>
      <c r="BC465" s="26"/>
      <c r="BD465" s="26"/>
      <c r="BE465" s="26"/>
      <c r="BF465" s="26"/>
      <c r="BG465" s="26"/>
      <c r="BH465" s="26"/>
      <c r="BI465" s="26"/>
    </row>
    <row r="466" ht="14.25" customHeight="1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  <c r="AC466" s="26"/>
      <c r="AD466" s="26"/>
      <c r="AE466" s="26"/>
      <c r="AF466" s="26"/>
      <c r="AG466" s="26"/>
      <c r="AH466" s="26"/>
      <c r="AI466" s="26"/>
      <c r="AJ466" s="26"/>
      <c r="AK466" s="26"/>
      <c r="AL466" s="26"/>
      <c r="AM466" s="26"/>
      <c r="AN466" s="26"/>
      <c r="AO466" s="26"/>
      <c r="AP466" s="26"/>
      <c r="AQ466" s="26"/>
      <c r="AR466" s="26"/>
      <c r="AS466" s="26"/>
      <c r="AT466" s="26"/>
      <c r="AU466" s="26"/>
      <c r="AV466" s="26"/>
      <c r="AW466" s="26"/>
      <c r="AX466" s="26"/>
      <c r="AY466" s="26"/>
      <c r="AZ466" s="26"/>
      <c r="BA466" s="26"/>
      <c r="BB466" s="26"/>
      <c r="BC466" s="26"/>
      <c r="BD466" s="26"/>
      <c r="BE466" s="26"/>
      <c r="BF466" s="26"/>
      <c r="BG466" s="26"/>
      <c r="BH466" s="26"/>
      <c r="BI466" s="26"/>
    </row>
    <row r="467" ht="14.25" customHeight="1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  <c r="AC467" s="26"/>
      <c r="AD467" s="26"/>
      <c r="AE467" s="26"/>
      <c r="AF467" s="26"/>
      <c r="AG467" s="26"/>
      <c r="AH467" s="26"/>
      <c r="AI467" s="26"/>
      <c r="AJ467" s="26"/>
      <c r="AK467" s="26"/>
      <c r="AL467" s="26"/>
      <c r="AM467" s="26"/>
      <c r="AN467" s="26"/>
      <c r="AO467" s="26"/>
      <c r="AP467" s="26"/>
      <c r="AQ467" s="26"/>
      <c r="AR467" s="26"/>
      <c r="AS467" s="26"/>
      <c r="AT467" s="26"/>
      <c r="AU467" s="26"/>
      <c r="AV467" s="26"/>
      <c r="AW467" s="26"/>
      <c r="AX467" s="26"/>
      <c r="AY467" s="26"/>
      <c r="AZ467" s="26"/>
      <c r="BA467" s="26"/>
      <c r="BB467" s="26"/>
      <c r="BC467" s="26"/>
      <c r="BD467" s="26"/>
      <c r="BE467" s="26"/>
      <c r="BF467" s="26"/>
      <c r="BG467" s="26"/>
      <c r="BH467" s="26"/>
      <c r="BI467" s="26"/>
    </row>
    <row r="468" ht="14.25" customHeight="1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  <c r="AC468" s="26"/>
      <c r="AD468" s="26"/>
      <c r="AE468" s="26"/>
      <c r="AF468" s="26"/>
      <c r="AG468" s="26"/>
      <c r="AH468" s="26"/>
      <c r="AI468" s="26"/>
      <c r="AJ468" s="26"/>
      <c r="AK468" s="26"/>
      <c r="AL468" s="26"/>
      <c r="AM468" s="26"/>
      <c r="AN468" s="26"/>
      <c r="AO468" s="26"/>
      <c r="AP468" s="26"/>
      <c r="AQ468" s="26"/>
      <c r="AR468" s="26"/>
      <c r="AS468" s="26"/>
      <c r="AT468" s="26"/>
      <c r="AU468" s="26"/>
      <c r="AV468" s="26"/>
      <c r="AW468" s="26"/>
      <c r="AX468" s="26"/>
      <c r="AY468" s="26"/>
      <c r="AZ468" s="26"/>
      <c r="BA468" s="26"/>
      <c r="BB468" s="26"/>
      <c r="BC468" s="26"/>
      <c r="BD468" s="26"/>
      <c r="BE468" s="26"/>
      <c r="BF468" s="26"/>
      <c r="BG468" s="26"/>
      <c r="BH468" s="26"/>
      <c r="BI468" s="26"/>
    </row>
    <row r="469" ht="14.25" customHeight="1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  <c r="AC469" s="26"/>
      <c r="AD469" s="26"/>
      <c r="AE469" s="26"/>
      <c r="AF469" s="26"/>
      <c r="AG469" s="26"/>
      <c r="AH469" s="26"/>
      <c r="AI469" s="26"/>
      <c r="AJ469" s="26"/>
      <c r="AK469" s="26"/>
      <c r="AL469" s="26"/>
      <c r="AM469" s="26"/>
      <c r="AN469" s="26"/>
      <c r="AO469" s="26"/>
      <c r="AP469" s="26"/>
      <c r="AQ469" s="26"/>
      <c r="AR469" s="26"/>
      <c r="AS469" s="26"/>
      <c r="AT469" s="26"/>
      <c r="AU469" s="26"/>
      <c r="AV469" s="26"/>
      <c r="AW469" s="26"/>
      <c r="AX469" s="26"/>
      <c r="AY469" s="26"/>
      <c r="AZ469" s="26"/>
      <c r="BA469" s="26"/>
      <c r="BB469" s="26"/>
      <c r="BC469" s="26"/>
      <c r="BD469" s="26"/>
      <c r="BE469" s="26"/>
      <c r="BF469" s="26"/>
      <c r="BG469" s="26"/>
      <c r="BH469" s="26"/>
      <c r="BI469" s="26"/>
    </row>
    <row r="470" ht="14.25" customHeight="1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  <c r="AC470" s="26"/>
      <c r="AD470" s="26"/>
      <c r="AE470" s="26"/>
      <c r="AF470" s="26"/>
      <c r="AG470" s="26"/>
      <c r="AH470" s="26"/>
      <c r="AI470" s="26"/>
      <c r="AJ470" s="26"/>
      <c r="AK470" s="26"/>
      <c r="AL470" s="26"/>
      <c r="AM470" s="26"/>
      <c r="AN470" s="26"/>
      <c r="AO470" s="26"/>
      <c r="AP470" s="26"/>
      <c r="AQ470" s="26"/>
      <c r="AR470" s="26"/>
      <c r="AS470" s="26"/>
      <c r="AT470" s="26"/>
      <c r="AU470" s="26"/>
      <c r="AV470" s="26"/>
      <c r="AW470" s="26"/>
      <c r="AX470" s="26"/>
      <c r="AY470" s="26"/>
      <c r="AZ470" s="26"/>
      <c r="BA470" s="26"/>
      <c r="BB470" s="26"/>
      <c r="BC470" s="26"/>
      <c r="BD470" s="26"/>
      <c r="BE470" s="26"/>
      <c r="BF470" s="26"/>
      <c r="BG470" s="26"/>
      <c r="BH470" s="26"/>
      <c r="BI470" s="26"/>
    </row>
    <row r="471" ht="14.25" customHeight="1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  <c r="AC471" s="26"/>
      <c r="AD471" s="26"/>
      <c r="AE471" s="26"/>
      <c r="AF471" s="26"/>
      <c r="AG471" s="26"/>
      <c r="AH471" s="26"/>
      <c r="AI471" s="26"/>
      <c r="AJ471" s="26"/>
      <c r="AK471" s="26"/>
      <c r="AL471" s="26"/>
      <c r="AM471" s="26"/>
      <c r="AN471" s="26"/>
      <c r="AO471" s="26"/>
      <c r="AP471" s="26"/>
      <c r="AQ471" s="26"/>
      <c r="AR471" s="26"/>
      <c r="AS471" s="26"/>
      <c r="AT471" s="26"/>
      <c r="AU471" s="26"/>
      <c r="AV471" s="26"/>
      <c r="AW471" s="26"/>
      <c r="AX471" s="26"/>
      <c r="AY471" s="26"/>
      <c r="AZ471" s="26"/>
      <c r="BA471" s="26"/>
      <c r="BB471" s="26"/>
      <c r="BC471" s="26"/>
      <c r="BD471" s="26"/>
      <c r="BE471" s="26"/>
      <c r="BF471" s="26"/>
      <c r="BG471" s="26"/>
      <c r="BH471" s="26"/>
      <c r="BI471" s="26"/>
    </row>
    <row r="472" ht="14.25" customHeight="1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  <c r="AC472" s="26"/>
      <c r="AD472" s="26"/>
      <c r="AE472" s="26"/>
      <c r="AF472" s="26"/>
      <c r="AG472" s="26"/>
      <c r="AH472" s="26"/>
      <c r="AI472" s="26"/>
      <c r="AJ472" s="26"/>
      <c r="AK472" s="26"/>
      <c r="AL472" s="26"/>
      <c r="AM472" s="26"/>
      <c r="AN472" s="26"/>
      <c r="AO472" s="26"/>
      <c r="AP472" s="26"/>
      <c r="AQ472" s="26"/>
      <c r="AR472" s="26"/>
      <c r="AS472" s="26"/>
      <c r="AT472" s="26"/>
      <c r="AU472" s="26"/>
      <c r="AV472" s="26"/>
      <c r="AW472" s="26"/>
      <c r="AX472" s="26"/>
      <c r="AY472" s="26"/>
      <c r="AZ472" s="26"/>
      <c r="BA472" s="26"/>
      <c r="BB472" s="26"/>
      <c r="BC472" s="26"/>
      <c r="BD472" s="26"/>
      <c r="BE472" s="26"/>
      <c r="BF472" s="26"/>
      <c r="BG472" s="26"/>
      <c r="BH472" s="26"/>
      <c r="BI472" s="26"/>
    </row>
    <row r="473" ht="14.25" customHeight="1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  <c r="AC473" s="26"/>
      <c r="AD473" s="26"/>
      <c r="AE473" s="26"/>
      <c r="AF473" s="26"/>
      <c r="AG473" s="26"/>
      <c r="AH473" s="26"/>
      <c r="AI473" s="26"/>
      <c r="AJ473" s="26"/>
      <c r="AK473" s="26"/>
      <c r="AL473" s="26"/>
      <c r="AM473" s="26"/>
      <c r="AN473" s="26"/>
      <c r="AO473" s="26"/>
      <c r="AP473" s="26"/>
      <c r="AQ473" s="26"/>
      <c r="AR473" s="26"/>
      <c r="AS473" s="26"/>
      <c r="AT473" s="26"/>
      <c r="AU473" s="26"/>
      <c r="AV473" s="26"/>
      <c r="AW473" s="26"/>
      <c r="AX473" s="26"/>
      <c r="AY473" s="26"/>
      <c r="AZ473" s="26"/>
      <c r="BA473" s="26"/>
      <c r="BB473" s="26"/>
      <c r="BC473" s="26"/>
      <c r="BD473" s="26"/>
      <c r="BE473" s="26"/>
      <c r="BF473" s="26"/>
      <c r="BG473" s="26"/>
      <c r="BH473" s="26"/>
      <c r="BI473" s="26"/>
    </row>
    <row r="474" ht="14.25" customHeight="1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  <c r="AC474" s="26"/>
      <c r="AD474" s="26"/>
      <c r="AE474" s="26"/>
      <c r="AF474" s="26"/>
      <c r="AG474" s="26"/>
      <c r="AH474" s="26"/>
      <c r="AI474" s="26"/>
      <c r="AJ474" s="26"/>
      <c r="AK474" s="26"/>
      <c r="AL474" s="26"/>
      <c r="AM474" s="26"/>
      <c r="AN474" s="26"/>
      <c r="AO474" s="26"/>
      <c r="AP474" s="26"/>
      <c r="AQ474" s="26"/>
      <c r="AR474" s="26"/>
      <c r="AS474" s="26"/>
      <c r="AT474" s="26"/>
      <c r="AU474" s="26"/>
      <c r="AV474" s="26"/>
      <c r="AW474" s="26"/>
      <c r="AX474" s="26"/>
      <c r="AY474" s="26"/>
      <c r="AZ474" s="26"/>
      <c r="BA474" s="26"/>
      <c r="BB474" s="26"/>
      <c r="BC474" s="26"/>
      <c r="BD474" s="26"/>
      <c r="BE474" s="26"/>
      <c r="BF474" s="26"/>
      <c r="BG474" s="26"/>
      <c r="BH474" s="26"/>
      <c r="BI474" s="26"/>
    </row>
    <row r="475" ht="14.25" customHeight="1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  <c r="AC475" s="26"/>
      <c r="AD475" s="26"/>
      <c r="AE475" s="26"/>
      <c r="AF475" s="26"/>
      <c r="AG475" s="26"/>
      <c r="AH475" s="26"/>
      <c r="AI475" s="26"/>
      <c r="AJ475" s="26"/>
      <c r="AK475" s="26"/>
      <c r="AL475" s="26"/>
      <c r="AM475" s="26"/>
      <c r="AN475" s="26"/>
      <c r="AO475" s="26"/>
      <c r="AP475" s="26"/>
      <c r="AQ475" s="26"/>
      <c r="AR475" s="26"/>
      <c r="AS475" s="26"/>
      <c r="AT475" s="26"/>
      <c r="AU475" s="26"/>
      <c r="AV475" s="26"/>
      <c r="AW475" s="26"/>
      <c r="AX475" s="26"/>
      <c r="AY475" s="26"/>
      <c r="AZ475" s="26"/>
      <c r="BA475" s="26"/>
      <c r="BB475" s="26"/>
      <c r="BC475" s="26"/>
      <c r="BD475" s="26"/>
      <c r="BE475" s="26"/>
      <c r="BF475" s="26"/>
      <c r="BG475" s="26"/>
      <c r="BH475" s="26"/>
      <c r="BI475" s="26"/>
    </row>
    <row r="476" ht="14.25" customHeight="1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  <c r="AC476" s="26"/>
      <c r="AD476" s="26"/>
      <c r="AE476" s="26"/>
      <c r="AF476" s="26"/>
      <c r="AG476" s="26"/>
      <c r="AH476" s="26"/>
      <c r="AI476" s="26"/>
      <c r="AJ476" s="26"/>
      <c r="AK476" s="26"/>
      <c r="AL476" s="26"/>
      <c r="AM476" s="26"/>
      <c r="AN476" s="26"/>
      <c r="AO476" s="26"/>
      <c r="AP476" s="26"/>
      <c r="AQ476" s="26"/>
      <c r="AR476" s="26"/>
      <c r="AS476" s="26"/>
      <c r="AT476" s="26"/>
      <c r="AU476" s="26"/>
      <c r="AV476" s="26"/>
      <c r="AW476" s="26"/>
      <c r="AX476" s="26"/>
      <c r="AY476" s="26"/>
      <c r="AZ476" s="26"/>
      <c r="BA476" s="26"/>
      <c r="BB476" s="26"/>
      <c r="BC476" s="26"/>
      <c r="BD476" s="26"/>
      <c r="BE476" s="26"/>
      <c r="BF476" s="26"/>
      <c r="BG476" s="26"/>
      <c r="BH476" s="26"/>
      <c r="BI476" s="26"/>
    </row>
    <row r="477" ht="14.25" customHeight="1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  <c r="AC477" s="26"/>
      <c r="AD477" s="26"/>
      <c r="AE477" s="26"/>
      <c r="AF477" s="26"/>
      <c r="AG477" s="26"/>
      <c r="AH477" s="26"/>
      <c r="AI477" s="26"/>
      <c r="AJ477" s="26"/>
      <c r="AK477" s="26"/>
      <c r="AL477" s="26"/>
      <c r="AM477" s="26"/>
      <c r="AN477" s="26"/>
      <c r="AO477" s="26"/>
      <c r="AP477" s="26"/>
      <c r="AQ477" s="26"/>
      <c r="AR477" s="26"/>
      <c r="AS477" s="26"/>
      <c r="AT477" s="26"/>
      <c r="AU477" s="26"/>
      <c r="AV477" s="26"/>
      <c r="AW477" s="26"/>
      <c r="AX477" s="26"/>
      <c r="AY477" s="26"/>
      <c r="AZ477" s="26"/>
      <c r="BA477" s="26"/>
      <c r="BB477" s="26"/>
      <c r="BC477" s="26"/>
      <c r="BD477" s="26"/>
      <c r="BE477" s="26"/>
      <c r="BF477" s="26"/>
      <c r="BG477" s="26"/>
      <c r="BH477" s="26"/>
      <c r="BI477" s="26"/>
    </row>
    <row r="478" ht="14.25" customHeight="1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  <c r="AC478" s="26"/>
      <c r="AD478" s="26"/>
      <c r="AE478" s="26"/>
      <c r="AF478" s="26"/>
      <c r="AG478" s="26"/>
      <c r="AH478" s="26"/>
      <c r="AI478" s="26"/>
      <c r="AJ478" s="26"/>
      <c r="AK478" s="26"/>
      <c r="AL478" s="26"/>
      <c r="AM478" s="26"/>
      <c r="AN478" s="26"/>
      <c r="AO478" s="26"/>
      <c r="AP478" s="26"/>
      <c r="AQ478" s="26"/>
      <c r="AR478" s="26"/>
      <c r="AS478" s="26"/>
      <c r="AT478" s="26"/>
      <c r="AU478" s="26"/>
      <c r="AV478" s="26"/>
      <c r="AW478" s="26"/>
      <c r="AX478" s="26"/>
      <c r="AY478" s="26"/>
      <c r="AZ478" s="26"/>
      <c r="BA478" s="26"/>
      <c r="BB478" s="26"/>
      <c r="BC478" s="26"/>
      <c r="BD478" s="26"/>
      <c r="BE478" s="26"/>
      <c r="BF478" s="26"/>
      <c r="BG478" s="26"/>
      <c r="BH478" s="26"/>
      <c r="BI478" s="26"/>
    </row>
    <row r="479" ht="14.25" customHeight="1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  <c r="AC479" s="26"/>
      <c r="AD479" s="26"/>
      <c r="AE479" s="26"/>
      <c r="AF479" s="26"/>
      <c r="AG479" s="26"/>
      <c r="AH479" s="26"/>
      <c r="AI479" s="26"/>
      <c r="AJ479" s="26"/>
      <c r="AK479" s="26"/>
      <c r="AL479" s="26"/>
      <c r="AM479" s="26"/>
      <c r="AN479" s="26"/>
      <c r="AO479" s="26"/>
      <c r="AP479" s="26"/>
      <c r="AQ479" s="26"/>
      <c r="AR479" s="26"/>
      <c r="AS479" s="26"/>
      <c r="AT479" s="26"/>
      <c r="AU479" s="26"/>
      <c r="AV479" s="26"/>
      <c r="AW479" s="26"/>
      <c r="AX479" s="26"/>
      <c r="AY479" s="26"/>
      <c r="AZ479" s="26"/>
      <c r="BA479" s="26"/>
      <c r="BB479" s="26"/>
      <c r="BC479" s="26"/>
      <c r="BD479" s="26"/>
      <c r="BE479" s="26"/>
      <c r="BF479" s="26"/>
      <c r="BG479" s="26"/>
      <c r="BH479" s="26"/>
      <c r="BI479" s="26"/>
    </row>
    <row r="480" ht="14.25" customHeight="1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  <c r="AC480" s="26"/>
      <c r="AD480" s="26"/>
      <c r="AE480" s="26"/>
      <c r="AF480" s="26"/>
      <c r="AG480" s="26"/>
      <c r="AH480" s="26"/>
      <c r="AI480" s="26"/>
      <c r="AJ480" s="26"/>
      <c r="AK480" s="26"/>
      <c r="AL480" s="26"/>
      <c r="AM480" s="26"/>
      <c r="AN480" s="26"/>
      <c r="AO480" s="26"/>
      <c r="AP480" s="26"/>
      <c r="AQ480" s="26"/>
      <c r="AR480" s="26"/>
      <c r="AS480" s="26"/>
      <c r="AT480" s="26"/>
      <c r="AU480" s="26"/>
      <c r="AV480" s="26"/>
      <c r="AW480" s="26"/>
      <c r="AX480" s="26"/>
      <c r="AY480" s="26"/>
      <c r="AZ480" s="26"/>
      <c r="BA480" s="26"/>
      <c r="BB480" s="26"/>
      <c r="BC480" s="26"/>
      <c r="BD480" s="26"/>
      <c r="BE480" s="26"/>
      <c r="BF480" s="26"/>
      <c r="BG480" s="26"/>
      <c r="BH480" s="26"/>
      <c r="BI480" s="26"/>
    </row>
    <row r="481" ht="14.25" customHeight="1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  <c r="AC481" s="26"/>
      <c r="AD481" s="26"/>
      <c r="AE481" s="26"/>
      <c r="AF481" s="26"/>
      <c r="AG481" s="26"/>
      <c r="AH481" s="26"/>
      <c r="AI481" s="26"/>
      <c r="AJ481" s="26"/>
      <c r="AK481" s="26"/>
      <c r="AL481" s="26"/>
      <c r="AM481" s="26"/>
      <c r="AN481" s="26"/>
      <c r="AO481" s="26"/>
      <c r="AP481" s="26"/>
      <c r="AQ481" s="26"/>
      <c r="AR481" s="26"/>
      <c r="AS481" s="26"/>
      <c r="AT481" s="26"/>
      <c r="AU481" s="26"/>
      <c r="AV481" s="26"/>
      <c r="AW481" s="26"/>
      <c r="AX481" s="26"/>
      <c r="AY481" s="26"/>
      <c r="AZ481" s="26"/>
      <c r="BA481" s="26"/>
      <c r="BB481" s="26"/>
      <c r="BC481" s="26"/>
      <c r="BD481" s="26"/>
      <c r="BE481" s="26"/>
      <c r="BF481" s="26"/>
      <c r="BG481" s="26"/>
      <c r="BH481" s="26"/>
      <c r="BI481" s="26"/>
    </row>
    <row r="482" ht="14.25" customHeight="1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  <c r="AC482" s="26"/>
      <c r="AD482" s="26"/>
      <c r="AE482" s="26"/>
      <c r="AF482" s="26"/>
      <c r="AG482" s="26"/>
      <c r="AH482" s="26"/>
      <c r="AI482" s="26"/>
      <c r="AJ482" s="26"/>
      <c r="AK482" s="26"/>
      <c r="AL482" s="26"/>
      <c r="AM482" s="26"/>
      <c r="AN482" s="26"/>
      <c r="AO482" s="26"/>
      <c r="AP482" s="26"/>
      <c r="AQ482" s="26"/>
      <c r="AR482" s="26"/>
      <c r="AS482" s="26"/>
      <c r="AT482" s="26"/>
      <c r="AU482" s="26"/>
      <c r="AV482" s="26"/>
      <c r="AW482" s="26"/>
      <c r="AX482" s="26"/>
      <c r="AY482" s="26"/>
      <c r="AZ482" s="26"/>
      <c r="BA482" s="26"/>
      <c r="BB482" s="26"/>
      <c r="BC482" s="26"/>
      <c r="BD482" s="26"/>
      <c r="BE482" s="26"/>
      <c r="BF482" s="26"/>
      <c r="BG482" s="26"/>
      <c r="BH482" s="26"/>
      <c r="BI482" s="26"/>
    </row>
    <row r="483" ht="14.25" customHeight="1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  <c r="AC483" s="26"/>
      <c r="AD483" s="26"/>
      <c r="AE483" s="26"/>
      <c r="AF483" s="26"/>
      <c r="AG483" s="26"/>
      <c r="AH483" s="26"/>
      <c r="AI483" s="26"/>
      <c r="AJ483" s="26"/>
      <c r="AK483" s="26"/>
      <c r="AL483" s="26"/>
      <c r="AM483" s="26"/>
      <c r="AN483" s="26"/>
      <c r="AO483" s="26"/>
      <c r="AP483" s="26"/>
      <c r="AQ483" s="26"/>
      <c r="AR483" s="26"/>
      <c r="AS483" s="26"/>
      <c r="AT483" s="26"/>
      <c r="AU483" s="26"/>
      <c r="AV483" s="26"/>
      <c r="AW483" s="26"/>
      <c r="AX483" s="26"/>
      <c r="AY483" s="26"/>
      <c r="AZ483" s="26"/>
      <c r="BA483" s="26"/>
      <c r="BB483" s="26"/>
      <c r="BC483" s="26"/>
      <c r="BD483" s="26"/>
      <c r="BE483" s="26"/>
      <c r="BF483" s="26"/>
      <c r="BG483" s="26"/>
      <c r="BH483" s="26"/>
      <c r="BI483" s="26"/>
    </row>
    <row r="484" ht="14.25" customHeight="1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  <c r="AC484" s="26"/>
      <c r="AD484" s="26"/>
      <c r="AE484" s="26"/>
      <c r="AF484" s="26"/>
      <c r="AG484" s="26"/>
      <c r="AH484" s="26"/>
      <c r="AI484" s="26"/>
      <c r="AJ484" s="26"/>
      <c r="AK484" s="26"/>
      <c r="AL484" s="26"/>
      <c r="AM484" s="26"/>
      <c r="AN484" s="26"/>
      <c r="AO484" s="26"/>
      <c r="AP484" s="26"/>
      <c r="AQ484" s="26"/>
      <c r="AR484" s="26"/>
      <c r="AS484" s="26"/>
      <c r="AT484" s="26"/>
      <c r="AU484" s="26"/>
      <c r="AV484" s="26"/>
      <c r="AW484" s="26"/>
      <c r="AX484" s="26"/>
      <c r="AY484" s="26"/>
      <c r="AZ484" s="26"/>
      <c r="BA484" s="26"/>
      <c r="BB484" s="26"/>
      <c r="BC484" s="26"/>
      <c r="BD484" s="26"/>
      <c r="BE484" s="26"/>
      <c r="BF484" s="26"/>
      <c r="BG484" s="26"/>
      <c r="BH484" s="26"/>
      <c r="BI484" s="26"/>
    </row>
    <row r="485" ht="14.25" customHeight="1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  <c r="AC485" s="26"/>
      <c r="AD485" s="26"/>
      <c r="AE485" s="26"/>
      <c r="AF485" s="26"/>
      <c r="AG485" s="26"/>
      <c r="AH485" s="26"/>
      <c r="AI485" s="26"/>
      <c r="AJ485" s="26"/>
      <c r="AK485" s="26"/>
      <c r="AL485" s="26"/>
      <c r="AM485" s="26"/>
      <c r="AN485" s="26"/>
      <c r="AO485" s="26"/>
      <c r="AP485" s="26"/>
      <c r="AQ485" s="26"/>
      <c r="AR485" s="26"/>
      <c r="AS485" s="26"/>
      <c r="AT485" s="26"/>
      <c r="AU485" s="26"/>
      <c r="AV485" s="26"/>
      <c r="AW485" s="26"/>
      <c r="AX485" s="26"/>
      <c r="AY485" s="26"/>
      <c r="AZ485" s="26"/>
      <c r="BA485" s="26"/>
      <c r="BB485" s="26"/>
      <c r="BC485" s="26"/>
      <c r="BD485" s="26"/>
      <c r="BE485" s="26"/>
      <c r="BF485" s="26"/>
      <c r="BG485" s="26"/>
      <c r="BH485" s="26"/>
      <c r="BI485" s="26"/>
    </row>
    <row r="486" ht="14.25" customHeight="1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  <c r="AC486" s="26"/>
      <c r="AD486" s="26"/>
      <c r="AE486" s="26"/>
      <c r="AF486" s="26"/>
      <c r="AG486" s="26"/>
      <c r="AH486" s="26"/>
      <c r="AI486" s="26"/>
      <c r="AJ486" s="26"/>
      <c r="AK486" s="26"/>
      <c r="AL486" s="26"/>
      <c r="AM486" s="26"/>
      <c r="AN486" s="26"/>
      <c r="AO486" s="26"/>
      <c r="AP486" s="26"/>
      <c r="AQ486" s="26"/>
      <c r="AR486" s="26"/>
      <c r="AS486" s="26"/>
      <c r="AT486" s="26"/>
      <c r="AU486" s="26"/>
      <c r="AV486" s="26"/>
      <c r="AW486" s="26"/>
      <c r="AX486" s="26"/>
      <c r="AY486" s="26"/>
      <c r="AZ486" s="26"/>
      <c r="BA486" s="26"/>
      <c r="BB486" s="26"/>
      <c r="BC486" s="26"/>
      <c r="BD486" s="26"/>
      <c r="BE486" s="26"/>
      <c r="BF486" s="26"/>
      <c r="BG486" s="26"/>
      <c r="BH486" s="26"/>
      <c r="BI486" s="26"/>
    </row>
    <row r="487" ht="14.25" customHeight="1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  <c r="AC487" s="26"/>
      <c r="AD487" s="26"/>
      <c r="AE487" s="26"/>
      <c r="AF487" s="26"/>
      <c r="AG487" s="26"/>
      <c r="AH487" s="26"/>
      <c r="AI487" s="26"/>
      <c r="AJ487" s="26"/>
      <c r="AK487" s="26"/>
      <c r="AL487" s="26"/>
      <c r="AM487" s="26"/>
      <c r="AN487" s="26"/>
      <c r="AO487" s="26"/>
      <c r="AP487" s="26"/>
      <c r="AQ487" s="26"/>
      <c r="AR487" s="26"/>
      <c r="AS487" s="26"/>
      <c r="AT487" s="26"/>
      <c r="AU487" s="26"/>
      <c r="AV487" s="26"/>
      <c r="AW487" s="26"/>
      <c r="AX487" s="26"/>
      <c r="AY487" s="26"/>
      <c r="AZ487" s="26"/>
      <c r="BA487" s="26"/>
      <c r="BB487" s="26"/>
      <c r="BC487" s="26"/>
      <c r="BD487" s="26"/>
      <c r="BE487" s="26"/>
      <c r="BF487" s="26"/>
      <c r="BG487" s="26"/>
      <c r="BH487" s="26"/>
      <c r="BI487" s="26"/>
    </row>
    <row r="488" ht="14.25" customHeight="1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  <c r="AC488" s="26"/>
      <c r="AD488" s="26"/>
      <c r="AE488" s="26"/>
      <c r="AF488" s="26"/>
      <c r="AG488" s="26"/>
      <c r="AH488" s="26"/>
      <c r="AI488" s="26"/>
      <c r="AJ488" s="26"/>
      <c r="AK488" s="26"/>
      <c r="AL488" s="26"/>
      <c r="AM488" s="26"/>
      <c r="AN488" s="26"/>
      <c r="AO488" s="26"/>
      <c r="AP488" s="26"/>
      <c r="AQ488" s="26"/>
      <c r="AR488" s="26"/>
      <c r="AS488" s="26"/>
      <c r="AT488" s="26"/>
      <c r="AU488" s="26"/>
      <c r="AV488" s="26"/>
      <c r="AW488" s="26"/>
      <c r="AX488" s="26"/>
      <c r="AY488" s="26"/>
      <c r="AZ488" s="26"/>
      <c r="BA488" s="26"/>
      <c r="BB488" s="26"/>
      <c r="BC488" s="26"/>
      <c r="BD488" s="26"/>
      <c r="BE488" s="26"/>
      <c r="BF488" s="26"/>
      <c r="BG488" s="26"/>
      <c r="BH488" s="26"/>
      <c r="BI488" s="26"/>
    </row>
    <row r="489" ht="14.25" customHeight="1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  <c r="AC489" s="26"/>
      <c r="AD489" s="26"/>
      <c r="AE489" s="26"/>
      <c r="AF489" s="26"/>
      <c r="AG489" s="26"/>
      <c r="AH489" s="26"/>
      <c r="AI489" s="26"/>
      <c r="AJ489" s="26"/>
      <c r="AK489" s="26"/>
      <c r="AL489" s="26"/>
      <c r="AM489" s="26"/>
      <c r="AN489" s="26"/>
      <c r="AO489" s="26"/>
      <c r="AP489" s="26"/>
      <c r="AQ489" s="26"/>
      <c r="AR489" s="26"/>
      <c r="AS489" s="26"/>
      <c r="AT489" s="26"/>
      <c r="AU489" s="26"/>
      <c r="AV489" s="26"/>
      <c r="AW489" s="26"/>
      <c r="AX489" s="26"/>
      <c r="AY489" s="26"/>
      <c r="AZ489" s="26"/>
      <c r="BA489" s="26"/>
      <c r="BB489" s="26"/>
      <c r="BC489" s="26"/>
      <c r="BD489" s="26"/>
      <c r="BE489" s="26"/>
      <c r="BF489" s="26"/>
      <c r="BG489" s="26"/>
      <c r="BH489" s="26"/>
      <c r="BI489" s="26"/>
    </row>
    <row r="490" ht="14.25" customHeight="1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  <c r="AC490" s="26"/>
      <c r="AD490" s="26"/>
      <c r="AE490" s="26"/>
      <c r="AF490" s="26"/>
      <c r="AG490" s="26"/>
      <c r="AH490" s="26"/>
      <c r="AI490" s="26"/>
      <c r="AJ490" s="26"/>
      <c r="AK490" s="26"/>
      <c r="AL490" s="26"/>
      <c r="AM490" s="26"/>
      <c r="AN490" s="26"/>
      <c r="AO490" s="26"/>
      <c r="AP490" s="26"/>
      <c r="AQ490" s="26"/>
      <c r="AR490" s="26"/>
      <c r="AS490" s="26"/>
      <c r="AT490" s="26"/>
      <c r="AU490" s="26"/>
      <c r="AV490" s="26"/>
      <c r="AW490" s="26"/>
      <c r="AX490" s="26"/>
      <c r="AY490" s="26"/>
      <c r="AZ490" s="26"/>
      <c r="BA490" s="26"/>
      <c r="BB490" s="26"/>
      <c r="BC490" s="26"/>
      <c r="BD490" s="26"/>
      <c r="BE490" s="26"/>
      <c r="BF490" s="26"/>
      <c r="BG490" s="26"/>
      <c r="BH490" s="26"/>
      <c r="BI490" s="26"/>
    </row>
    <row r="491" ht="14.25" customHeight="1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  <c r="AC491" s="26"/>
      <c r="AD491" s="26"/>
      <c r="AE491" s="26"/>
      <c r="AF491" s="26"/>
      <c r="AG491" s="26"/>
      <c r="AH491" s="26"/>
      <c r="AI491" s="26"/>
      <c r="AJ491" s="26"/>
      <c r="AK491" s="26"/>
      <c r="AL491" s="26"/>
      <c r="AM491" s="26"/>
      <c r="AN491" s="26"/>
      <c r="AO491" s="26"/>
      <c r="AP491" s="26"/>
      <c r="AQ491" s="26"/>
      <c r="AR491" s="26"/>
      <c r="AS491" s="26"/>
      <c r="AT491" s="26"/>
      <c r="AU491" s="26"/>
      <c r="AV491" s="26"/>
      <c r="AW491" s="26"/>
      <c r="AX491" s="26"/>
      <c r="AY491" s="26"/>
      <c r="AZ491" s="26"/>
      <c r="BA491" s="26"/>
      <c r="BB491" s="26"/>
      <c r="BC491" s="26"/>
      <c r="BD491" s="26"/>
      <c r="BE491" s="26"/>
      <c r="BF491" s="26"/>
      <c r="BG491" s="26"/>
      <c r="BH491" s="26"/>
      <c r="BI491" s="26"/>
    </row>
    <row r="492" ht="14.25" customHeight="1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  <c r="AC492" s="26"/>
      <c r="AD492" s="26"/>
      <c r="AE492" s="26"/>
      <c r="AF492" s="26"/>
      <c r="AG492" s="26"/>
      <c r="AH492" s="26"/>
      <c r="AI492" s="26"/>
      <c r="AJ492" s="26"/>
      <c r="AK492" s="26"/>
      <c r="AL492" s="26"/>
      <c r="AM492" s="26"/>
      <c r="AN492" s="26"/>
      <c r="AO492" s="26"/>
      <c r="AP492" s="26"/>
      <c r="AQ492" s="26"/>
      <c r="AR492" s="26"/>
      <c r="AS492" s="26"/>
      <c r="AT492" s="26"/>
      <c r="AU492" s="26"/>
      <c r="AV492" s="26"/>
      <c r="AW492" s="26"/>
      <c r="AX492" s="26"/>
      <c r="AY492" s="26"/>
      <c r="AZ492" s="26"/>
      <c r="BA492" s="26"/>
      <c r="BB492" s="26"/>
      <c r="BC492" s="26"/>
      <c r="BD492" s="26"/>
      <c r="BE492" s="26"/>
      <c r="BF492" s="26"/>
      <c r="BG492" s="26"/>
      <c r="BH492" s="26"/>
      <c r="BI492" s="26"/>
    </row>
    <row r="493" ht="14.25" customHeight="1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  <c r="AC493" s="26"/>
      <c r="AD493" s="26"/>
      <c r="AE493" s="26"/>
      <c r="AF493" s="26"/>
      <c r="AG493" s="26"/>
      <c r="AH493" s="26"/>
      <c r="AI493" s="26"/>
      <c r="AJ493" s="26"/>
      <c r="AK493" s="26"/>
      <c r="AL493" s="26"/>
      <c r="AM493" s="26"/>
      <c r="AN493" s="26"/>
      <c r="AO493" s="26"/>
      <c r="AP493" s="26"/>
      <c r="AQ493" s="26"/>
      <c r="AR493" s="26"/>
      <c r="AS493" s="26"/>
      <c r="AT493" s="26"/>
      <c r="AU493" s="26"/>
      <c r="AV493" s="26"/>
      <c r="AW493" s="26"/>
      <c r="AX493" s="26"/>
      <c r="AY493" s="26"/>
      <c r="AZ493" s="26"/>
      <c r="BA493" s="26"/>
      <c r="BB493" s="26"/>
      <c r="BC493" s="26"/>
      <c r="BD493" s="26"/>
      <c r="BE493" s="26"/>
      <c r="BF493" s="26"/>
      <c r="BG493" s="26"/>
      <c r="BH493" s="26"/>
      <c r="BI493" s="26"/>
    </row>
    <row r="494" ht="14.25" customHeight="1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  <c r="AC494" s="26"/>
      <c r="AD494" s="26"/>
      <c r="AE494" s="26"/>
      <c r="AF494" s="26"/>
      <c r="AG494" s="26"/>
      <c r="AH494" s="26"/>
      <c r="AI494" s="26"/>
      <c r="AJ494" s="26"/>
      <c r="AK494" s="26"/>
      <c r="AL494" s="26"/>
      <c r="AM494" s="26"/>
      <c r="AN494" s="26"/>
      <c r="AO494" s="26"/>
      <c r="AP494" s="26"/>
      <c r="AQ494" s="26"/>
      <c r="AR494" s="26"/>
      <c r="AS494" s="26"/>
      <c r="AT494" s="26"/>
      <c r="AU494" s="26"/>
      <c r="AV494" s="26"/>
      <c r="AW494" s="26"/>
      <c r="AX494" s="26"/>
      <c r="AY494" s="26"/>
      <c r="AZ494" s="26"/>
      <c r="BA494" s="26"/>
      <c r="BB494" s="26"/>
      <c r="BC494" s="26"/>
      <c r="BD494" s="26"/>
      <c r="BE494" s="26"/>
      <c r="BF494" s="26"/>
      <c r="BG494" s="26"/>
      <c r="BH494" s="26"/>
      <c r="BI494" s="26"/>
    </row>
    <row r="495" ht="14.25" customHeight="1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  <c r="AC495" s="26"/>
      <c r="AD495" s="26"/>
      <c r="AE495" s="26"/>
      <c r="AF495" s="26"/>
      <c r="AG495" s="26"/>
      <c r="AH495" s="26"/>
      <c r="AI495" s="26"/>
      <c r="AJ495" s="26"/>
      <c r="AK495" s="26"/>
      <c r="AL495" s="26"/>
      <c r="AM495" s="26"/>
      <c r="AN495" s="26"/>
      <c r="AO495" s="26"/>
      <c r="AP495" s="26"/>
      <c r="AQ495" s="26"/>
      <c r="AR495" s="26"/>
      <c r="AS495" s="26"/>
      <c r="AT495" s="26"/>
      <c r="AU495" s="26"/>
      <c r="AV495" s="26"/>
      <c r="AW495" s="26"/>
      <c r="AX495" s="26"/>
      <c r="AY495" s="26"/>
      <c r="AZ495" s="26"/>
      <c r="BA495" s="26"/>
      <c r="BB495" s="26"/>
      <c r="BC495" s="26"/>
      <c r="BD495" s="26"/>
      <c r="BE495" s="26"/>
      <c r="BF495" s="26"/>
      <c r="BG495" s="26"/>
      <c r="BH495" s="26"/>
      <c r="BI495" s="26"/>
    </row>
    <row r="496" ht="14.25" customHeight="1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  <c r="AC496" s="26"/>
      <c r="AD496" s="26"/>
      <c r="AE496" s="26"/>
      <c r="AF496" s="26"/>
      <c r="AG496" s="26"/>
      <c r="AH496" s="26"/>
      <c r="AI496" s="26"/>
      <c r="AJ496" s="26"/>
      <c r="AK496" s="26"/>
      <c r="AL496" s="26"/>
      <c r="AM496" s="26"/>
      <c r="AN496" s="26"/>
      <c r="AO496" s="26"/>
      <c r="AP496" s="26"/>
      <c r="AQ496" s="26"/>
      <c r="AR496" s="26"/>
      <c r="AS496" s="26"/>
      <c r="AT496" s="26"/>
      <c r="AU496" s="26"/>
      <c r="AV496" s="26"/>
      <c r="AW496" s="26"/>
      <c r="AX496" s="26"/>
      <c r="AY496" s="26"/>
      <c r="AZ496" s="26"/>
      <c r="BA496" s="26"/>
      <c r="BB496" s="26"/>
      <c r="BC496" s="26"/>
      <c r="BD496" s="26"/>
      <c r="BE496" s="26"/>
      <c r="BF496" s="26"/>
      <c r="BG496" s="26"/>
      <c r="BH496" s="26"/>
      <c r="BI496" s="26"/>
    </row>
    <row r="497" ht="14.25" customHeight="1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  <c r="AC497" s="26"/>
      <c r="AD497" s="26"/>
      <c r="AE497" s="26"/>
      <c r="AF497" s="26"/>
      <c r="AG497" s="26"/>
      <c r="AH497" s="26"/>
      <c r="AI497" s="26"/>
      <c r="AJ497" s="26"/>
      <c r="AK497" s="26"/>
      <c r="AL497" s="26"/>
      <c r="AM497" s="26"/>
      <c r="AN497" s="26"/>
      <c r="AO497" s="26"/>
      <c r="AP497" s="26"/>
      <c r="AQ497" s="26"/>
      <c r="AR497" s="26"/>
      <c r="AS497" s="26"/>
      <c r="AT497" s="26"/>
      <c r="AU497" s="26"/>
      <c r="AV497" s="26"/>
      <c r="AW497" s="26"/>
      <c r="AX497" s="26"/>
      <c r="AY497" s="26"/>
      <c r="AZ497" s="26"/>
      <c r="BA497" s="26"/>
      <c r="BB497" s="26"/>
      <c r="BC497" s="26"/>
      <c r="BD497" s="26"/>
      <c r="BE497" s="26"/>
      <c r="BF497" s="26"/>
      <c r="BG497" s="26"/>
      <c r="BH497" s="26"/>
      <c r="BI497" s="26"/>
    </row>
    <row r="498" ht="14.25" customHeight="1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  <c r="AC498" s="26"/>
      <c r="AD498" s="26"/>
      <c r="AE498" s="26"/>
      <c r="AF498" s="26"/>
      <c r="AG498" s="26"/>
      <c r="AH498" s="26"/>
      <c r="AI498" s="26"/>
      <c r="AJ498" s="26"/>
      <c r="AK498" s="26"/>
      <c r="AL498" s="26"/>
      <c r="AM498" s="26"/>
      <c r="AN498" s="26"/>
      <c r="AO498" s="26"/>
      <c r="AP498" s="26"/>
      <c r="AQ498" s="26"/>
      <c r="AR498" s="26"/>
      <c r="AS498" s="26"/>
      <c r="AT498" s="26"/>
      <c r="AU498" s="26"/>
      <c r="AV498" s="26"/>
      <c r="AW498" s="26"/>
      <c r="AX498" s="26"/>
      <c r="AY498" s="26"/>
      <c r="AZ498" s="26"/>
      <c r="BA498" s="26"/>
      <c r="BB498" s="26"/>
      <c r="BC498" s="26"/>
      <c r="BD498" s="26"/>
      <c r="BE498" s="26"/>
      <c r="BF498" s="26"/>
      <c r="BG498" s="26"/>
      <c r="BH498" s="26"/>
      <c r="BI498" s="26"/>
    </row>
    <row r="499" ht="14.25" customHeight="1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  <c r="AC499" s="26"/>
      <c r="AD499" s="26"/>
      <c r="AE499" s="26"/>
      <c r="AF499" s="26"/>
      <c r="AG499" s="26"/>
      <c r="AH499" s="26"/>
      <c r="AI499" s="26"/>
      <c r="AJ499" s="26"/>
      <c r="AK499" s="26"/>
      <c r="AL499" s="26"/>
      <c r="AM499" s="26"/>
      <c r="AN499" s="26"/>
      <c r="AO499" s="26"/>
      <c r="AP499" s="26"/>
      <c r="AQ499" s="26"/>
      <c r="AR499" s="26"/>
      <c r="AS499" s="26"/>
      <c r="AT499" s="26"/>
      <c r="AU499" s="26"/>
      <c r="AV499" s="26"/>
      <c r="AW499" s="26"/>
      <c r="AX499" s="26"/>
      <c r="AY499" s="26"/>
      <c r="AZ499" s="26"/>
      <c r="BA499" s="26"/>
      <c r="BB499" s="26"/>
      <c r="BC499" s="26"/>
      <c r="BD499" s="26"/>
      <c r="BE499" s="26"/>
      <c r="BF499" s="26"/>
      <c r="BG499" s="26"/>
      <c r="BH499" s="26"/>
      <c r="BI499" s="26"/>
    </row>
    <row r="500" ht="14.25" customHeight="1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  <c r="AC500" s="26"/>
      <c r="AD500" s="26"/>
      <c r="AE500" s="26"/>
      <c r="AF500" s="26"/>
      <c r="AG500" s="26"/>
      <c r="AH500" s="26"/>
      <c r="AI500" s="26"/>
      <c r="AJ500" s="26"/>
      <c r="AK500" s="26"/>
      <c r="AL500" s="26"/>
      <c r="AM500" s="26"/>
      <c r="AN500" s="26"/>
      <c r="AO500" s="26"/>
      <c r="AP500" s="26"/>
      <c r="AQ500" s="26"/>
      <c r="AR500" s="26"/>
      <c r="AS500" s="26"/>
      <c r="AT500" s="26"/>
      <c r="AU500" s="26"/>
      <c r="AV500" s="26"/>
      <c r="AW500" s="26"/>
      <c r="AX500" s="26"/>
      <c r="AY500" s="26"/>
      <c r="AZ500" s="26"/>
      <c r="BA500" s="26"/>
      <c r="BB500" s="26"/>
      <c r="BC500" s="26"/>
      <c r="BD500" s="26"/>
      <c r="BE500" s="26"/>
      <c r="BF500" s="26"/>
      <c r="BG500" s="26"/>
      <c r="BH500" s="26"/>
      <c r="BI500" s="26"/>
    </row>
    <row r="501" ht="14.25" customHeight="1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  <c r="AC501" s="26"/>
      <c r="AD501" s="26"/>
      <c r="AE501" s="26"/>
      <c r="AF501" s="26"/>
      <c r="AG501" s="26"/>
      <c r="AH501" s="26"/>
      <c r="AI501" s="26"/>
      <c r="AJ501" s="26"/>
      <c r="AK501" s="26"/>
      <c r="AL501" s="26"/>
      <c r="AM501" s="26"/>
      <c r="AN501" s="26"/>
      <c r="AO501" s="26"/>
      <c r="AP501" s="26"/>
      <c r="AQ501" s="26"/>
      <c r="AR501" s="26"/>
      <c r="AS501" s="26"/>
      <c r="AT501" s="26"/>
      <c r="AU501" s="26"/>
      <c r="AV501" s="26"/>
      <c r="AW501" s="26"/>
      <c r="AX501" s="26"/>
      <c r="AY501" s="26"/>
      <c r="AZ501" s="26"/>
      <c r="BA501" s="26"/>
      <c r="BB501" s="26"/>
      <c r="BC501" s="26"/>
      <c r="BD501" s="26"/>
      <c r="BE501" s="26"/>
      <c r="BF501" s="26"/>
      <c r="BG501" s="26"/>
      <c r="BH501" s="26"/>
      <c r="BI501" s="26"/>
    </row>
    <row r="502" ht="14.25" customHeight="1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  <c r="AC502" s="26"/>
      <c r="AD502" s="26"/>
      <c r="AE502" s="26"/>
      <c r="AF502" s="26"/>
      <c r="AG502" s="26"/>
      <c r="AH502" s="26"/>
      <c r="AI502" s="26"/>
      <c r="AJ502" s="26"/>
      <c r="AK502" s="26"/>
      <c r="AL502" s="26"/>
      <c r="AM502" s="26"/>
      <c r="AN502" s="26"/>
      <c r="AO502" s="26"/>
      <c r="AP502" s="26"/>
      <c r="AQ502" s="26"/>
      <c r="AR502" s="26"/>
      <c r="AS502" s="26"/>
      <c r="AT502" s="26"/>
      <c r="AU502" s="26"/>
      <c r="AV502" s="26"/>
      <c r="AW502" s="26"/>
      <c r="AX502" s="26"/>
      <c r="AY502" s="26"/>
      <c r="AZ502" s="26"/>
      <c r="BA502" s="26"/>
      <c r="BB502" s="26"/>
      <c r="BC502" s="26"/>
      <c r="BD502" s="26"/>
      <c r="BE502" s="26"/>
      <c r="BF502" s="26"/>
      <c r="BG502" s="26"/>
      <c r="BH502" s="26"/>
      <c r="BI502" s="26"/>
    </row>
    <row r="503" ht="14.25" customHeight="1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  <c r="AC503" s="26"/>
      <c r="AD503" s="26"/>
      <c r="AE503" s="26"/>
      <c r="AF503" s="26"/>
      <c r="AG503" s="26"/>
      <c r="AH503" s="26"/>
      <c r="AI503" s="26"/>
      <c r="AJ503" s="26"/>
      <c r="AK503" s="26"/>
      <c r="AL503" s="26"/>
      <c r="AM503" s="26"/>
      <c r="AN503" s="26"/>
      <c r="AO503" s="26"/>
      <c r="AP503" s="26"/>
      <c r="AQ503" s="26"/>
      <c r="AR503" s="26"/>
      <c r="AS503" s="26"/>
      <c r="AT503" s="26"/>
      <c r="AU503" s="26"/>
      <c r="AV503" s="26"/>
      <c r="AW503" s="26"/>
      <c r="AX503" s="26"/>
      <c r="AY503" s="26"/>
      <c r="AZ503" s="26"/>
      <c r="BA503" s="26"/>
      <c r="BB503" s="26"/>
      <c r="BC503" s="26"/>
      <c r="BD503" s="26"/>
      <c r="BE503" s="26"/>
      <c r="BF503" s="26"/>
      <c r="BG503" s="26"/>
      <c r="BH503" s="26"/>
      <c r="BI503" s="26"/>
    </row>
    <row r="504" ht="14.25" customHeight="1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  <c r="AC504" s="26"/>
      <c r="AD504" s="26"/>
      <c r="AE504" s="26"/>
      <c r="AF504" s="26"/>
      <c r="AG504" s="26"/>
      <c r="AH504" s="26"/>
      <c r="AI504" s="26"/>
      <c r="AJ504" s="26"/>
      <c r="AK504" s="26"/>
      <c r="AL504" s="26"/>
      <c r="AM504" s="26"/>
      <c r="AN504" s="26"/>
      <c r="AO504" s="26"/>
      <c r="AP504" s="26"/>
      <c r="AQ504" s="26"/>
      <c r="AR504" s="26"/>
      <c r="AS504" s="26"/>
      <c r="AT504" s="26"/>
      <c r="AU504" s="26"/>
      <c r="AV504" s="26"/>
      <c r="AW504" s="26"/>
      <c r="AX504" s="26"/>
      <c r="AY504" s="26"/>
      <c r="AZ504" s="26"/>
      <c r="BA504" s="26"/>
      <c r="BB504" s="26"/>
      <c r="BC504" s="26"/>
      <c r="BD504" s="26"/>
      <c r="BE504" s="26"/>
      <c r="BF504" s="26"/>
      <c r="BG504" s="26"/>
      <c r="BH504" s="26"/>
      <c r="BI504" s="26"/>
    </row>
    <row r="505" ht="14.25" customHeight="1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  <c r="AC505" s="26"/>
      <c r="AD505" s="26"/>
      <c r="AE505" s="26"/>
      <c r="AF505" s="26"/>
      <c r="AG505" s="26"/>
      <c r="AH505" s="26"/>
      <c r="AI505" s="26"/>
      <c r="AJ505" s="26"/>
      <c r="AK505" s="26"/>
      <c r="AL505" s="26"/>
      <c r="AM505" s="26"/>
      <c r="AN505" s="26"/>
      <c r="AO505" s="26"/>
      <c r="AP505" s="26"/>
      <c r="AQ505" s="26"/>
      <c r="AR505" s="26"/>
      <c r="AS505" s="26"/>
      <c r="AT505" s="26"/>
      <c r="AU505" s="26"/>
      <c r="AV505" s="26"/>
      <c r="AW505" s="26"/>
      <c r="AX505" s="26"/>
      <c r="AY505" s="26"/>
      <c r="AZ505" s="26"/>
      <c r="BA505" s="26"/>
      <c r="BB505" s="26"/>
      <c r="BC505" s="26"/>
      <c r="BD505" s="26"/>
      <c r="BE505" s="26"/>
      <c r="BF505" s="26"/>
      <c r="BG505" s="26"/>
      <c r="BH505" s="26"/>
      <c r="BI505" s="26"/>
    </row>
    <row r="506" ht="14.25" customHeight="1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  <c r="AC506" s="26"/>
      <c r="AD506" s="26"/>
      <c r="AE506" s="26"/>
      <c r="AF506" s="26"/>
      <c r="AG506" s="26"/>
      <c r="AH506" s="26"/>
      <c r="AI506" s="26"/>
      <c r="AJ506" s="26"/>
      <c r="AK506" s="26"/>
      <c r="AL506" s="26"/>
      <c r="AM506" s="26"/>
      <c r="AN506" s="26"/>
      <c r="AO506" s="26"/>
      <c r="AP506" s="26"/>
      <c r="AQ506" s="26"/>
      <c r="AR506" s="26"/>
      <c r="AS506" s="26"/>
      <c r="AT506" s="26"/>
      <c r="AU506" s="26"/>
      <c r="AV506" s="26"/>
      <c r="AW506" s="26"/>
      <c r="AX506" s="26"/>
      <c r="AY506" s="26"/>
      <c r="AZ506" s="26"/>
      <c r="BA506" s="26"/>
      <c r="BB506" s="26"/>
      <c r="BC506" s="26"/>
      <c r="BD506" s="26"/>
      <c r="BE506" s="26"/>
      <c r="BF506" s="26"/>
      <c r="BG506" s="26"/>
      <c r="BH506" s="26"/>
      <c r="BI506" s="26"/>
    </row>
    <row r="507" ht="14.25" customHeight="1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  <c r="AC507" s="26"/>
      <c r="AD507" s="26"/>
      <c r="AE507" s="26"/>
      <c r="AF507" s="26"/>
      <c r="AG507" s="26"/>
      <c r="AH507" s="26"/>
      <c r="AI507" s="26"/>
      <c r="AJ507" s="26"/>
      <c r="AK507" s="26"/>
      <c r="AL507" s="26"/>
      <c r="AM507" s="26"/>
      <c r="AN507" s="26"/>
      <c r="AO507" s="26"/>
      <c r="AP507" s="26"/>
      <c r="AQ507" s="26"/>
      <c r="AR507" s="26"/>
      <c r="AS507" s="26"/>
      <c r="AT507" s="26"/>
      <c r="AU507" s="26"/>
      <c r="AV507" s="26"/>
      <c r="AW507" s="26"/>
      <c r="AX507" s="26"/>
      <c r="AY507" s="26"/>
      <c r="AZ507" s="26"/>
      <c r="BA507" s="26"/>
      <c r="BB507" s="26"/>
      <c r="BC507" s="26"/>
      <c r="BD507" s="26"/>
      <c r="BE507" s="26"/>
      <c r="BF507" s="26"/>
      <c r="BG507" s="26"/>
      <c r="BH507" s="26"/>
      <c r="BI507" s="26"/>
    </row>
    <row r="508" ht="14.25" customHeight="1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  <c r="AC508" s="26"/>
      <c r="AD508" s="26"/>
      <c r="AE508" s="26"/>
      <c r="AF508" s="26"/>
      <c r="AG508" s="26"/>
      <c r="AH508" s="26"/>
      <c r="AI508" s="26"/>
      <c r="AJ508" s="26"/>
      <c r="AK508" s="26"/>
      <c r="AL508" s="26"/>
      <c r="AM508" s="26"/>
      <c r="AN508" s="26"/>
      <c r="AO508" s="26"/>
      <c r="AP508" s="26"/>
      <c r="AQ508" s="26"/>
      <c r="AR508" s="26"/>
      <c r="AS508" s="26"/>
      <c r="AT508" s="26"/>
      <c r="AU508" s="26"/>
      <c r="AV508" s="26"/>
      <c r="AW508" s="26"/>
      <c r="AX508" s="26"/>
      <c r="AY508" s="26"/>
      <c r="AZ508" s="26"/>
      <c r="BA508" s="26"/>
      <c r="BB508" s="26"/>
      <c r="BC508" s="26"/>
      <c r="BD508" s="26"/>
      <c r="BE508" s="26"/>
      <c r="BF508" s="26"/>
      <c r="BG508" s="26"/>
      <c r="BH508" s="26"/>
      <c r="BI508" s="26"/>
    </row>
    <row r="509" ht="14.25" customHeight="1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  <c r="AC509" s="26"/>
      <c r="AD509" s="26"/>
      <c r="AE509" s="26"/>
      <c r="AF509" s="26"/>
      <c r="AG509" s="26"/>
      <c r="AH509" s="26"/>
      <c r="AI509" s="26"/>
      <c r="AJ509" s="26"/>
      <c r="AK509" s="26"/>
      <c r="AL509" s="26"/>
      <c r="AM509" s="26"/>
      <c r="AN509" s="26"/>
      <c r="AO509" s="26"/>
      <c r="AP509" s="26"/>
      <c r="AQ509" s="26"/>
      <c r="AR509" s="26"/>
      <c r="AS509" s="26"/>
      <c r="AT509" s="26"/>
      <c r="AU509" s="26"/>
      <c r="AV509" s="26"/>
      <c r="AW509" s="26"/>
      <c r="AX509" s="26"/>
      <c r="AY509" s="26"/>
      <c r="AZ509" s="26"/>
      <c r="BA509" s="26"/>
      <c r="BB509" s="26"/>
      <c r="BC509" s="26"/>
      <c r="BD509" s="26"/>
      <c r="BE509" s="26"/>
      <c r="BF509" s="26"/>
      <c r="BG509" s="26"/>
      <c r="BH509" s="26"/>
      <c r="BI509" s="26"/>
    </row>
    <row r="510" ht="14.25" customHeight="1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  <c r="AC510" s="26"/>
      <c r="AD510" s="26"/>
      <c r="AE510" s="26"/>
      <c r="AF510" s="26"/>
      <c r="AG510" s="26"/>
      <c r="AH510" s="26"/>
      <c r="AI510" s="26"/>
      <c r="AJ510" s="26"/>
      <c r="AK510" s="26"/>
      <c r="AL510" s="26"/>
      <c r="AM510" s="26"/>
      <c r="AN510" s="26"/>
      <c r="AO510" s="26"/>
      <c r="AP510" s="26"/>
      <c r="AQ510" s="26"/>
      <c r="AR510" s="26"/>
      <c r="AS510" s="26"/>
      <c r="AT510" s="26"/>
      <c r="AU510" s="26"/>
      <c r="AV510" s="26"/>
      <c r="AW510" s="26"/>
      <c r="AX510" s="26"/>
      <c r="AY510" s="26"/>
      <c r="AZ510" s="26"/>
      <c r="BA510" s="26"/>
      <c r="BB510" s="26"/>
      <c r="BC510" s="26"/>
      <c r="BD510" s="26"/>
      <c r="BE510" s="26"/>
      <c r="BF510" s="26"/>
      <c r="BG510" s="26"/>
      <c r="BH510" s="26"/>
      <c r="BI510" s="26"/>
    </row>
    <row r="511" ht="14.25" customHeight="1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  <c r="AC511" s="26"/>
      <c r="AD511" s="26"/>
      <c r="AE511" s="26"/>
      <c r="AF511" s="26"/>
      <c r="AG511" s="26"/>
      <c r="AH511" s="26"/>
      <c r="AI511" s="26"/>
      <c r="AJ511" s="26"/>
      <c r="AK511" s="26"/>
      <c r="AL511" s="26"/>
      <c r="AM511" s="26"/>
      <c r="AN511" s="26"/>
      <c r="AO511" s="26"/>
      <c r="AP511" s="26"/>
      <c r="AQ511" s="26"/>
      <c r="AR511" s="26"/>
      <c r="AS511" s="26"/>
      <c r="AT511" s="26"/>
      <c r="AU511" s="26"/>
      <c r="AV511" s="26"/>
      <c r="AW511" s="26"/>
      <c r="AX511" s="26"/>
      <c r="AY511" s="26"/>
      <c r="AZ511" s="26"/>
      <c r="BA511" s="26"/>
      <c r="BB511" s="26"/>
      <c r="BC511" s="26"/>
      <c r="BD511" s="26"/>
      <c r="BE511" s="26"/>
      <c r="BF511" s="26"/>
      <c r="BG511" s="26"/>
      <c r="BH511" s="26"/>
      <c r="BI511" s="26"/>
    </row>
    <row r="512" ht="14.25" customHeight="1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  <c r="AC512" s="26"/>
      <c r="AD512" s="26"/>
      <c r="AE512" s="26"/>
      <c r="AF512" s="26"/>
      <c r="AG512" s="26"/>
      <c r="AH512" s="26"/>
      <c r="AI512" s="26"/>
      <c r="AJ512" s="26"/>
      <c r="AK512" s="26"/>
      <c r="AL512" s="26"/>
      <c r="AM512" s="26"/>
      <c r="AN512" s="26"/>
      <c r="AO512" s="26"/>
      <c r="AP512" s="26"/>
      <c r="AQ512" s="26"/>
      <c r="AR512" s="26"/>
      <c r="AS512" s="26"/>
      <c r="AT512" s="26"/>
      <c r="AU512" s="26"/>
      <c r="AV512" s="26"/>
      <c r="AW512" s="26"/>
      <c r="AX512" s="26"/>
      <c r="AY512" s="26"/>
      <c r="AZ512" s="26"/>
      <c r="BA512" s="26"/>
      <c r="BB512" s="26"/>
      <c r="BC512" s="26"/>
      <c r="BD512" s="26"/>
      <c r="BE512" s="26"/>
      <c r="BF512" s="26"/>
      <c r="BG512" s="26"/>
      <c r="BH512" s="26"/>
      <c r="BI512" s="26"/>
    </row>
    <row r="513" ht="14.25" customHeight="1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  <c r="AC513" s="26"/>
      <c r="AD513" s="26"/>
      <c r="AE513" s="26"/>
      <c r="AF513" s="26"/>
      <c r="AG513" s="26"/>
      <c r="AH513" s="26"/>
      <c r="AI513" s="26"/>
      <c r="AJ513" s="26"/>
      <c r="AK513" s="26"/>
      <c r="AL513" s="26"/>
      <c r="AM513" s="26"/>
      <c r="AN513" s="26"/>
      <c r="AO513" s="26"/>
      <c r="AP513" s="26"/>
      <c r="AQ513" s="26"/>
      <c r="AR513" s="26"/>
      <c r="AS513" s="26"/>
      <c r="AT513" s="26"/>
      <c r="AU513" s="26"/>
      <c r="AV513" s="26"/>
      <c r="AW513" s="26"/>
      <c r="AX513" s="26"/>
      <c r="AY513" s="26"/>
      <c r="AZ513" s="26"/>
      <c r="BA513" s="26"/>
      <c r="BB513" s="26"/>
      <c r="BC513" s="26"/>
      <c r="BD513" s="26"/>
      <c r="BE513" s="26"/>
      <c r="BF513" s="26"/>
      <c r="BG513" s="26"/>
      <c r="BH513" s="26"/>
      <c r="BI513" s="26"/>
    </row>
    <row r="514" ht="14.25" customHeight="1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  <c r="AC514" s="26"/>
      <c r="AD514" s="26"/>
      <c r="AE514" s="26"/>
      <c r="AF514" s="26"/>
      <c r="AG514" s="26"/>
      <c r="AH514" s="26"/>
      <c r="AI514" s="26"/>
      <c r="AJ514" s="26"/>
      <c r="AK514" s="26"/>
      <c r="AL514" s="26"/>
      <c r="AM514" s="26"/>
      <c r="AN514" s="26"/>
      <c r="AO514" s="26"/>
      <c r="AP514" s="26"/>
      <c r="AQ514" s="26"/>
      <c r="AR514" s="26"/>
      <c r="AS514" s="26"/>
      <c r="AT514" s="26"/>
      <c r="AU514" s="26"/>
      <c r="AV514" s="26"/>
      <c r="AW514" s="26"/>
      <c r="AX514" s="26"/>
      <c r="AY514" s="26"/>
      <c r="AZ514" s="26"/>
      <c r="BA514" s="26"/>
      <c r="BB514" s="26"/>
      <c r="BC514" s="26"/>
      <c r="BD514" s="26"/>
      <c r="BE514" s="26"/>
      <c r="BF514" s="26"/>
      <c r="BG514" s="26"/>
      <c r="BH514" s="26"/>
      <c r="BI514" s="26"/>
    </row>
    <row r="515" ht="14.25" customHeight="1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  <c r="AC515" s="26"/>
      <c r="AD515" s="26"/>
      <c r="AE515" s="26"/>
      <c r="AF515" s="26"/>
      <c r="AG515" s="26"/>
      <c r="AH515" s="26"/>
      <c r="AI515" s="26"/>
      <c r="AJ515" s="26"/>
      <c r="AK515" s="26"/>
      <c r="AL515" s="26"/>
      <c r="AM515" s="26"/>
      <c r="AN515" s="26"/>
      <c r="AO515" s="26"/>
      <c r="AP515" s="26"/>
      <c r="AQ515" s="26"/>
      <c r="AR515" s="26"/>
      <c r="AS515" s="26"/>
      <c r="AT515" s="26"/>
      <c r="AU515" s="26"/>
      <c r="AV515" s="26"/>
      <c r="AW515" s="26"/>
      <c r="AX515" s="26"/>
      <c r="AY515" s="26"/>
      <c r="AZ515" s="26"/>
      <c r="BA515" s="26"/>
      <c r="BB515" s="26"/>
      <c r="BC515" s="26"/>
      <c r="BD515" s="26"/>
      <c r="BE515" s="26"/>
      <c r="BF515" s="26"/>
      <c r="BG515" s="26"/>
      <c r="BH515" s="26"/>
      <c r="BI515" s="26"/>
    </row>
    <row r="516" ht="14.25" customHeight="1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  <c r="AC516" s="26"/>
      <c r="AD516" s="26"/>
      <c r="AE516" s="26"/>
      <c r="AF516" s="26"/>
      <c r="AG516" s="26"/>
      <c r="AH516" s="26"/>
      <c r="AI516" s="26"/>
      <c r="AJ516" s="26"/>
      <c r="AK516" s="26"/>
      <c r="AL516" s="26"/>
      <c r="AM516" s="26"/>
      <c r="AN516" s="26"/>
      <c r="AO516" s="26"/>
      <c r="AP516" s="26"/>
      <c r="AQ516" s="26"/>
      <c r="AR516" s="26"/>
      <c r="AS516" s="26"/>
      <c r="AT516" s="26"/>
      <c r="AU516" s="26"/>
      <c r="AV516" s="26"/>
      <c r="AW516" s="26"/>
      <c r="AX516" s="26"/>
      <c r="AY516" s="26"/>
      <c r="AZ516" s="26"/>
      <c r="BA516" s="26"/>
      <c r="BB516" s="26"/>
      <c r="BC516" s="26"/>
      <c r="BD516" s="26"/>
      <c r="BE516" s="26"/>
      <c r="BF516" s="26"/>
      <c r="BG516" s="26"/>
      <c r="BH516" s="26"/>
      <c r="BI516" s="26"/>
    </row>
    <row r="517" ht="14.25" customHeight="1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  <c r="AC517" s="26"/>
      <c r="AD517" s="26"/>
      <c r="AE517" s="26"/>
      <c r="AF517" s="26"/>
      <c r="AG517" s="26"/>
      <c r="AH517" s="26"/>
      <c r="AI517" s="26"/>
      <c r="AJ517" s="26"/>
      <c r="AK517" s="26"/>
      <c r="AL517" s="26"/>
      <c r="AM517" s="26"/>
      <c r="AN517" s="26"/>
      <c r="AO517" s="26"/>
      <c r="AP517" s="26"/>
      <c r="AQ517" s="26"/>
      <c r="AR517" s="26"/>
      <c r="AS517" s="26"/>
      <c r="AT517" s="26"/>
      <c r="AU517" s="26"/>
      <c r="AV517" s="26"/>
      <c r="AW517" s="26"/>
      <c r="AX517" s="26"/>
      <c r="AY517" s="26"/>
      <c r="AZ517" s="26"/>
      <c r="BA517" s="26"/>
      <c r="BB517" s="26"/>
      <c r="BC517" s="26"/>
      <c r="BD517" s="26"/>
      <c r="BE517" s="26"/>
      <c r="BF517" s="26"/>
      <c r="BG517" s="26"/>
      <c r="BH517" s="26"/>
      <c r="BI517" s="26"/>
    </row>
    <row r="518" ht="14.25" customHeight="1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  <c r="AC518" s="26"/>
      <c r="AD518" s="26"/>
      <c r="AE518" s="26"/>
      <c r="AF518" s="26"/>
      <c r="AG518" s="26"/>
      <c r="AH518" s="26"/>
      <c r="AI518" s="26"/>
      <c r="AJ518" s="26"/>
      <c r="AK518" s="26"/>
      <c r="AL518" s="26"/>
      <c r="AM518" s="26"/>
      <c r="AN518" s="26"/>
      <c r="AO518" s="26"/>
      <c r="AP518" s="26"/>
      <c r="AQ518" s="26"/>
      <c r="AR518" s="26"/>
      <c r="AS518" s="26"/>
      <c r="AT518" s="26"/>
      <c r="AU518" s="26"/>
      <c r="AV518" s="26"/>
      <c r="AW518" s="26"/>
      <c r="AX518" s="26"/>
      <c r="AY518" s="26"/>
      <c r="AZ518" s="26"/>
      <c r="BA518" s="26"/>
      <c r="BB518" s="26"/>
      <c r="BC518" s="26"/>
      <c r="BD518" s="26"/>
      <c r="BE518" s="26"/>
      <c r="BF518" s="26"/>
      <c r="BG518" s="26"/>
      <c r="BH518" s="26"/>
      <c r="BI518" s="26"/>
    </row>
    <row r="519" ht="14.25" customHeight="1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  <c r="AC519" s="26"/>
      <c r="AD519" s="26"/>
      <c r="AE519" s="26"/>
      <c r="AF519" s="26"/>
      <c r="AG519" s="26"/>
      <c r="AH519" s="26"/>
      <c r="AI519" s="26"/>
      <c r="AJ519" s="26"/>
      <c r="AK519" s="26"/>
      <c r="AL519" s="26"/>
      <c r="AM519" s="26"/>
      <c r="AN519" s="26"/>
      <c r="AO519" s="26"/>
      <c r="AP519" s="26"/>
      <c r="AQ519" s="26"/>
      <c r="AR519" s="26"/>
      <c r="AS519" s="26"/>
      <c r="AT519" s="26"/>
      <c r="AU519" s="26"/>
      <c r="AV519" s="26"/>
      <c r="AW519" s="26"/>
      <c r="AX519" s="26"/>
      <c r="AY519" s="26"/>
      <c r="AZ519" s="26"/>
      <c r="BA519" s="26"/>
      <c r="BB519" s="26"/>
      <c r="BC519" s="26"/>
      <c r="BD519" s="26"/>
      <c r="BE519" s="26"/>
      <c r="BF519" s="26"/>
      <c r="BG519" s="26"/>
      <c r="BH519" s="26"/>
      <c r="BI519" s="26"/>
    </row>
    <row r="520" ht="14.25" customHeight="1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  <c r="AC520" s="26"/>
      <c r="AD520" s="26"/>
      <c r="AE520" s="26"/>
      <c r="AF520" s="26"/>
      <c r="AG520" s="26"/>
      <c r="AH520" s="26"/>
      <c r="AI520" s="26"/>
      <c r="AJ520" s="26"/>
      <c r="AK520" s="26"/>
      <c r="AL520" s="26"/>
      <c r="AM520" s="26"/>
      <c r="AN520" s="26"/>
      <c r="AO520" s="26"/>
      <c r="AP520" s="26"/>
      <c r="AQ520" s="26"/>
      <c r="AR520" s="26"/>
      <c r="AS520" s="26"/>
      <c r="AT520" s="26"/>
      <c r="AU520" s="26"/>
      <c r="AV520" s="26"/>
      <c r="AW520" s="26"/>
      <c r="AX520" s="26"/>
      <c r="AY520" s="26"/>
      <c r="AZ520" s="26"/>
      <c r="BA520" s="26"/>
      <c r="BB520" s="26"/>
      <c r="BC520" s="26"/>
      <c r="BD520" s="26"/>
      <c r="BE520" s="26"/>
      <c r="BF520" s="26"/>
      <c r="BG520" s="26"/>
      <c r="BH520" s="26"/>
      <c r="BI520" s="26"/>
    </row>
    <row r="521" ht="14.25" customHeight="1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  <c r="AC521" s="26"/>
      <c r="AD521" s="26"/>
      <c r="AE521" s="26"/>
      <c r="AF521" s="26"/>
      <c r="AG521" s="26"/>
      <c r="AH521" s="26"/>
      <c r="AI521" s="26"/>
      <c r="AJ521" s="26"/>
      <c r="AK521" s="26"/>
      <c r="AL521" s="26"/>
      <c r="AM521" s="26"/>
      <c r="AN521" s="26"/>
      <c r="AO521" s="26"/>
      <c r="AP521" s="26"/>
      <c r="AQ521" s="26"/>
      <c r="AR521" s="26"/>
      <c r="AS521" s="26"/>
      <c r="AT521" s="26"/>
      <c r="AU521" s="26"/>
      <c r="AV521" s="26"/>
      <c r="AW521" s="26"/>
      <c r="AX521" s="26"/>
      <c r="AY521" s="26"/>
      <c r="AZ521" s="26"/>
      <c r="BA521" s="26"/>
      <c r="BB521" s="26"/>
      <c r="BC521" s="26"/>
      <c r="BD521" s="26"/>
      <c r="BE521" s="26"/>
      <c r="BF521" s="26"/>
      <c r="BG521" s="26"/>
      <c r="BH521" s="26"/>
      <c r="BI521" s="26"/>
    </row>
    <row r="522" ht="14.25" customHeight="1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  <c r="AC522" s="26"/>
      <c r="AD522" s="26"/>
      <c r="AE522" s="26"/>
      <c r="AF522" s="26"/>
      <c r="AG522" s="26"/>
      <c r="AH522" s="26"/>
      <c r="AI522" s="26"/>
      <c r="AJ522" s="26"/>
      <c r="AK522" s="26"/>
      <c r="AL522" s="26"/>
      <c r="AM522" s="26"/>
      <c r="AN522" s="26"/>
      <c r="AO522" s="26"/>
      <c r="AP522" s="26"/>
      <c r="AQ522" s="26"/>
      <c r="AR522" s="26"/>
      <c r="AS522" s="26"/>
      <c r="AT522" s="26"/>
      <c r="AU522" s="26"/>
      <c r="AV522" s="26"/>
      <c r="AW522" s="26"/>
      <c r="AX522" s="26"/>
      <c r="AY522" s="26"/>
      <c r="AZ522" s="26"/>
      <c r="BA522" s="26"/>
      <c r="BB522" s="26"/>
      <c r="BC522" s="26"/>
      <c r="BD522" s="26"/>
      <c r="BE522" s="26"/>
      <c r="BF522" s="26"/>
      <c r="BG522" s="26"/>
      <c r="BH522" s="26"/>
      <c r="BI522" s="26"/>
    </row>
    <row r="523" ht="14.25" customHeight="1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  <c r="AC523" s="26"/>
      <c r="AD523" s="26"/>
      <c r="AE523" s="26"/>
      <c r="AF523" s="26"/>
      <c r="AG523" s="26"/>
      <c r="AH523" s="26"/>
      <c r="AI523" s="26"/>
      <c r="AJ523" s="26"/>
      <c r="AK523" s="26"/>
      <c r="AL523" s="26"/>
      <c r="AM523" s="26"/>
      <c r="AN523" s="26"/>
      <c r="AO523" s="26"/>
      <c r="AP523" s="26"/>
      <c r="AQ523" s="26"/>
      <c r="AR523" s="26"/>
      <c r="AS523" s="26"/>
      <c r="AT523" s="26"/>
      <c r="AU523" s="26"/>
      <c r="AV523" s="26"/>
      <c r="AW523" s="26"/>
      <c r="AX523" s="26"/>
      <c r="AY523" s="26"/>
      <c r="AZ523" s="26"/>
      <c r="BA523" s="26"/>
      <c r="BB523" s="26"/>
      <c r="BC523" s="26"/>
      <c r="BD523" s="26"/>
      <c r="BE523" s="26"/>
      <c r="BF523" s="26"/>
      <c r="BG523" s="26"/>
      <c r="BH523" s="26"/>
      <c r="BI523" s="26"/>
    </row>
    <row r="524" ht="14.25" customHeight="1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  <c r="AC524" s="26"/>
      <c r="AD524" s="26"/>
      <c r="AE524" s="26"/>
      <c r="AF524" s="26"/>
      <c r="AG524" s="26"/>
      <c r="AH524" s="26"/>
      <c r="AI524" s="26"/>
      <c r="AJ524" s="26"/>
      <c r="AK524" s="26"/>
      <c r="AL524" s="26"/>
      <c r="AM524" s="26"/>
      <c r="AN524" s="26"/>
      <c r="AO524" s="26"/>
      <c r="AP524" s="26"/>
      <c r="AQ524" s="26"/>
      <c r="AR524" s="26"/>
      <c r="AS524" s="26"/>
      <c r="AT524" s="26"/>
      <c r="AU524" s="26"/>
      <c r="AV524" s="26"/>
      <c r="AW524" s="26"/>
      <c r="AX524" s="26"/>
      <c r="AY524" s="26"/>
      <c r="AZ524" s="26"/>
      <c r="BA524" s="26"/>
      <c r="BB524" s="26"/>
      <c r="BC524" s="26"/>
      <c r="BD524" s="26"/>
      <c r="BE524" s="26"/>
      <c r="BF524" s="26"/>
      <c r="BG524" s="26"/>
      <c r="BH524" s="26"/>
      <c r="BI524" s="26"/>
    </row>
    <row r="525" ht="14.25" customHeight="1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  <c r="AC525" s="26"/>
      <c r="AD525" s="26"/>
      <c r="AE525" s="26"/>
      <c r="AF525" s="26"/>
      <c r="AG525" s="26"/>
      <c r="AH525" s="26"/>
      <c r="AI525" s="26"/>
      <c r="AJ525" s="26"/>
      <c r="AK525" s="26"/>
      <c r="AL525" s="26"/>
      <c r="AM525" s="26"/>
      <c r="AN525" s="26"/>
      <c r="AO525" s="26"/>
      <c r="AP525" s="26"/>
      <c r="AQ525" s="26"/>
      <c r="AR525" s="26"/>
      <c r="AS525" s="26"/>
      <c r="AT525" s="26"/>
      <c r="AU525" s="26"/>
      <c r="AV525" s="26"/>
      <c r="AW525" s="26"/>
      <c r="AX525" s="26"/>
      <c r="AY525" s="26"/>
      <c r="AZ525" s="26"/>
      <c r="BA525" s="26"/>
      <c r="BB525" s="26"/>
      <c r="BC525" s="26"/>
      <c r="BD525" s="26"/>
      <c r="BE525" s="26"/>
      <c r="BF525" s="26"/>
      <c r="BG525" s="26"/>
      <c r="BH525" s="26"/>
      <c r="BI525" s="26"/>
    </row>
    <row r="526" ht="14.25" customHeight="1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  <c r="AC526" s="26"/>
      <c r="AD526" s="26"/>
      <c r="AE526" s="26"/>
      <c r="AF526" s="26"/>
      <c r="AG526" s="26"/>
      <c r="AH526" s="26"/>
      <c r="AI526" s="26"/>
      <c r="AJ526" s="26"/>
      <c r="AK526" s="26"/>
      <c r="AL526" s="26"/>
      <c r="AM526" s="26"/>
      <c r="AN526" s="26"/>
      <c r="AO526" s="26"/>
      <c r="AP526" s="26"/>
      <c r="AQ526" s="26"/>
      <c r="AR526" s="26"/>
      <c r="AS526" s="26"/>
      <c r="AT526" s="26"/>
      <c r="AU526" s="26"/>
      <c r="AV526" s="26"/>
      <c r="AW526" s="26"/>
      <c r="AX526" s="26"/>
      <c r="AY526" s="26"/>
      <c r="AZ526" s="26"/>
      <c r="BA526" s="26"/>
      <c r="BB526" s="26"/>
      <c r="BC526" s="26"/>
      <c r="BD526" s="26"/>
      <c r="BE526" s="26"/>
      <c r="BF526" s="26"/>
      <c r="BG526" s="26"/>
      <c r="BH526" s="26"/>
      <c r="BI526" s="26"/>
    </row>
    <row r="527" ht="14.25" customHeight="1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  <c r="AC527" s="26"/>
      <c r="AD527" s="26"/>
      <c r="AE527" s="26"/>
      <c r="AF527" s="26"/>
      <c r="AG527" s="26"/>
      <c r="AH527" s="26"/>
      <c r="AI527" s="26"/>
      <c r="AJ527" s="26"/>
      <c r="AK527" s="26"/>
      <c r="AL527" s="26"/>
      <c r="AM527" s="26"/>
      <c r="AN527" s="26"/>
      <c r="AO527" s="26"/>
      <c r="AP527" s="26"/>
      <c r="AQ527" s="26"/>
      <c r="AR527" s="26"/>
      <c r="AS527" s="26"/>
      <c r="AT527" s="26"/>
      <c r="AU527" s="26"/>
      <c r="AV527" s="26"/>
      <c r="AW527" s="26"/>
      <c r="AX527" s="26"/>
      <c r="AY527" s="26"/>
      <c r="AZ527" s="26"/>
      <c r="BA527" s="26"/>
      <c r="BB527" s="26"/>
      <c r="BC527" s="26"/>
      <c r="BD527" s="26"/>
      <c r="BE527" s="26"/>
      <c r="BF527" s="26"/>
      <c r="BG527" s="26"/>
      <c r="BH527" s="26"/>
      <c r="BI527" s="26"/>
    </row>
    <row r="528" ht="14.25" customHeight="1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  <c r="AC528" s="26"/>
      <c r="AD528" s="26"/>
      <c r="AE528" s="26"/>
      <c r="AF528" s="26"/>
      <c r="AG528" s="26"/>
      <c r="AH528" s="26"/>
      <c r="AI528" s="26"/>
      <c r="AJ528" s="26"/>
      <c r="AK528" s="26"/>
      <c r="AL528" s="26"/>
      <c r="AM528" s="26"/>
      <c r="AN528" s="26"/>
      <c r="AO528" s="26"/>
      <c r="AP528" s="26"/>
      <c r="AQ528" s="26"/>
      <c r="AR528" s="26"/>
      <c r="AS528" s="26"/>
      <c r="AT528" s="26"/>
      <c r="AU528" s="26"/>
      <c r="AV528" s="26"/>
      <c r="AW528" s="26"/>
      <c r="AX528" s="26"/>
      <c r="AY528" s="26"/>
      <c r="AZ528" s="26"/>
      <c r="BA528" s="26"/>
      <c r="BB528" s="26"/>
      <c r="BC528" s="26"/>
      <c r="BD528" s="26"/>
      <c r="BE528" s="26"/>
      <c r="BF528" s="26"/>
      <c r="BG528" s="26"/>
      <c r="BH528" s="26"/>
      <c r="BI528" s="26"/>
    </row>
    <row r="529" ht="14.25" customHeight="1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  <c r="AC529" s="26"/>
      <c r="AD529" s="26"/>
      <c r="AE529" s="26"/>
      <c r="AF529" s="26"/>
      <c r="AG529" s="26"/>
      <c r="AH529" s="26"/>
      <c r="AI529" s="26"/>
      <c r="AJ529" s="26"/>
      <c r="AK529" s="26"/>
      <c r="AL529" s="26"/>
      <c r="AM529" s="26"/>
      <c r="AN529" s="26"/>
      <c r="AO529" s="26"/>
      <c r="AP529" s="26"/>
      <c r="AQ529" s="26"/>
      <c r="AR529" s="26"/>
      <c r="AS529" s="26"/>
      <c r="AT529" s="26"/>
      <c r="AU529" s="26"/>
      <c r="AV529" s="26"/>
      <c r="AW529" s="26"/>
      <c r="AX529" s="26"/>
      <c r="AY529" s="26"/>
      <c r="AZ529" s="26"/>
      <c r="BA529" s="26"/>
      <c r="BB529" s="26"/>
      <c r="BC529" s="26"/>
      <c r="BD529" s="26"/>
      <c r="BE529" s="26"/>
      <c r="BF529" s="26"/>
      <c r="BG529" s="26"/>
      <c r="BH529" s="26"/>
      <c r="BI529" s="26"/>
    </row>
    <row r="530" ht="14.25" customHeight="1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  <c r="AC530" s="26"/>
      <c r="AD530" s="26"/>
      <c r="AE530" s="26"/>
      <c r="AF530" s="26"/>
      <c r="AG530" s="26"/>
      <c r="AH530" s="26"/>
      <c r="AI530" s="26"/>
      <c r="AJ530" s="26"/>
      <c r="AK530" s="26"/>
      <c r="AL530" s="26"/>
      <c r="AM530" s="26"/>
      <c r="AN530" s="26"/>
      <c r="AO530" s="26"/>
      <c r="AP530" s="26"/>
      <c r="AQ530" s="26"/>
      <c r="AR530" s="26"/>
      <c r="AS530" s="26"/>
      <c r="AT530" s="26"/>
      <c r="AU530" s="26"/>
      <c r="AV530" s="26"/>
      <c r="AW530" s="26"/>
      <c r="AX530" s="26"/>
      <c r="AY530" s="26"/>
      <c r="AZ530" s="26"/>
      <c r="BA530" s="26"/>
      <c r="BB530" s="26"/>
      <c r="BC530" s="26"/>
      <c r="BD530" s="26"/>
      <c r="BE530" s="26"/>
      <c r="BF530" s="26"/>
      <c r="BG530" s="26"/>
      <c r="BH530" s="26"/>
      <c r="BI530" s="26"/>
    </row>
    <row r="531" ht="14.25" customHeight="1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  <c r="AC531" s="26"/>
      <c r="AD531" s="26"/>
      <c r="AE531" s="26"/>
      <c r="AF531" s="26"/>
      <c r="AG531" s="26"/>
      <c r="AH531" s="26"/>
      <c r="AI531" s="26"/>
      <c r="AJ531" s="26"/>
      <c r="AK531" s="26"/>
      <c r="AL531" s="26"/>
      <c r="AM531" s="26"/>
      <c r="AN531" s="26"/>
      <c r="AO531" s="26"/>
      <c r="AP531" s="26"/>
      <c r="AQ531" s="26"/>
      <c r="AR531" s="26"/>
      <c r="AS531" s="26"/>
      <c r="AT531" s="26"/>
      <c r="AU531" s="26"/>
      <c r="AV531" s="26"/>
      <c r="AW531" s="26"/>
      <c r="AX531" s="26"/>
      <c r="AY531" s="26"/>
      <c r="AZ531" s="26"/>
      <c r="BA531" s="26"/>
      <c r="BB531" s="26"/>
      <c r="BC531" s="26"/>
      <c r="BD531" s="26"/>
      <c r="BE531" s="26"/>
      <c r="BF531" s="26"/>
      <c r="BG531" s="26"/>
      <c r="BH531" s="26"/>
      <c r="BI531" s="26"/>
    </row>
    <row r="532" ht="14.25" customHeight="1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  <c r="AC532" s="26"/>
      <c r="AD532" s="26"/>
      <c r="AE532" s="26"/>
      <c r="AF532" s="26"/>
      <c r="AG532" s="26"/>
      <c r="AH532" s="26"/>
      <c r="AI532" s="26"/>
      <c r="AJ532" s="26"/>
      <c r="AK532" s="26"/>
      <c r="AL532" s="26"/>
      <c r="AM532" s="26"/>
      <c r="AN532" s="26"/>
      <c r="AO532" s="26"/>
      <c r="AP532" s="26"/>
      <c r="AQ532" s="26"/>
      <c r="AR532" s="26"/>
      <c r="AS532" s="26"/>
      <c r="AT532" s="26"/>
      <c r="AU532" s="26"/>
      <c r="AV532" s="26"/>
      <c r="AW532" s="26"/>
      <c r="AX532" s="26"/>
      <c r="AY532" s="26"/>
      <c r="AZ532" s="26"/>
      <c r="BA532" s="26"/>
      <c r="BB532" s="26"/>
      <c r="BC532" s="26"/>
      <c r="BD532" s="26"/>
      <c r="BE532" s="26"/>
      <c r="BF532" s="26"/>
      <c r="BG532" s="26"/>
      <c r="BH532" s="26"/>
      <c r="BI532" s="26"/>
    </row>
    <row r="533" ht="14.25" customHeight="1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  <c r="AC533" s="26"/>
      <c r="AD533" s="26"/>
      <c r="AE533" s="26"/>
      <c r="AF533" s="26"/>
      <c r="AG533" s="26"/>
      <c r="AH533" s="26"/>
      <c r="AI533" s="26"/>
      <c r="AJ533" s="26"/>
      <c r="AK533" s="26"/>
      <c r="AL533" s="26"/>
      <c r="AM533" s="26"/>
      <c r="AN533" s="26"/>
      <c r="AO533" s="26"/>
      <c r="AP533" s="26"/>
      <c r="AQ533" s="26"/>
      <c r="AR533" s="26"/>
      <c r="AS533" s="26"/>
      <c r="AT533" s="26"/>
      <c r="AU533" s="26"/>
      <c r="AV533" s="26"/>
      <c r="AW533" s="26"/>
      <c r="AX533" s="26"/>
      <c r="AY533" s="26"/>
      <c r="AZ533" s="26"/>
      <c r="BA533" s="26"/>
      <c r="BB533" s="26"/>
      <c r="BC533" s="26"/>
      <c r="BD533" s="26"/>
      <c r="BE533" s="26"/>
      <c r="BF533" s="26"/>
      <c r="BG533" s="26"/>
      <c r="BH533" s="26"/>
      <c r="BI533" s="26"/>
    </row>
    <row r="534" ht="14.25" customHeight="1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  <c r="AC534" s="26"/>
      <c r="AD534" s="26"/>
      <c r="AE534" s="26"/>
      <c r="AF534" s="26"/>
      <c r="AG534" s="26"/>
      <c r="AH534" s="26"/>
      <c r="AI534" s="26"/>
      <c r="AJ534" s="26"/>
      <c r="AK534" s="26"/>
      <c r="AL534" s="26"/>
      <c r="AM534" s="26"/>
      <c r="AN534" s="26"/>
      <c r="AO534" s="26"/>
      <c r="AP534" s="26"/>
      <c r="AQ534" s="26"/>
      <c r="AR534" s="26"/>
      <c r="AS534" s="26"/>
      <c r="AT534" s="26"/>
      <c r="AU534" s="26"/>
      <c r="AV534" s="26"/>
      <c r="AW534" s="26"/>
      <c r="AX534" s="26"/>
      <c r="AY534" s="26"/>
      <c r="AZ534" s="26"/>
      <c r="BA534" s="26"/>
      <c r="BB534" s="26"/>
      <c r="BC534" s="26"/>
      <c r="BD534" s="26"/>
      <c r="BE534" s="26"/>
      <c r="BF534" s="26"/>
      <c r="BG534" s="26"/>
      <c r="BH534" s="26"/>
      <c r="BI534" s="26"/>
    </row>
    <row r="535" ht="14.25" customHeight="1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  <c r="AC535" s="26"/>
      <c r="AD535" s="26"/>
      <c r="AE535" s="26"/>
      <c r="AF535" s="26"/>
      <c r="AG535" s="26"/>
      <c r="AH535" s="26"/>
      <c r="AI535" s="26"/>
      <c r="AJ535" s="26"/>
      <c r="AK535" s="26"/>
      <c r="AL535" s="26"/>
      <c r="AM535" s="26"/>
      <c r="AN535" s="26"/>
      <c r="AO535" s="26"/>
      <c r="AP535" s="26"/>
      <c r="AQ535" s="26"/>
      <c r="AR535" s="26"/>
      <c r="AS535" s="26"/>
      <c r="AT535" s="26"/>
      <c r="AU535" s="26"/>
      <c r="AV535" s="26"/>
      <c r="AW535" s="26"/>
      <c r="AX535" s="26"/>
      <c r="AY535" s="26"/>
      <c r="AZ535" s="26"/>
      <c r="BA535" s="26"/>
      <c r="BB535" s="26"/>
      <c r="BC535" s="26"/>
      <c r="BD535" s="26"/>
      <c r="BE535" s="26"/>
      <c r="BF535" s="26"/>
      <c r="BG535" s="26"/>
      <c r="BH535" s="26"/>
      <c r="BI535" s="26"/>
    </row>
    <row r="536" ht="14.25" customHeight="1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  <c r="AC536" s="26"/>
      <c r="AD536" s="26"/>
      <c r="AE536" s="26"/>
      <c r="AF536" s="26"/>
      <c r="AG536" s="26"/>
      <c r="AH536" s="26"/>
      <c r="AI536" s="26"/>
      <c r="AJ536" s="26"/>
      <c r="AK536" s="26"/>
      <c r="AL536" s="26"/>
      <c r="AM536" s="26"/>
      <c r="AN536" s="26"/>
      <c r="AO536" s="26"/>
      <c r="AP536" s="26"/>
      <c r="AQ536" s="26"/>
      <c r="AR536" s="26"/>
      <c r="AS536" s="26"/>
      <c r="AT536" s="26"/>
      <c r="AU536" s="26"/>
      <c r="AV536" s="26"/>
      <c r="AW536" s="26"/>
      <c r="AX536" s="26"/>
      <c r="AY536" s="26"/>
      <c r="AZ536" s="26"/>
      <c r="BA536" s="26"/>
      <c r="BB536" s="26"/>
      <c r="BC536" s="26"/>
      <c r="BD536" s="26"/>
      <c r="BE536" s="26"/>
      <c r="BF536" s="26"/>
      <c r="BG536" s="26"/>
      <c r="BH536" s="26"/>
      <c r="BI536" s="26"/>
    </row>
    <row r="537" ht="14.25" customHeight="1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  <c r="AC537" s="26"/>
      <c r="AD537" s="26"/>
      <c r="AE537" s="26"/>
      <c r="AF537" s="26"/>
      <c r="AG537" s="26"/>
      <c r="AH537" s="26"/>
      <c r="AI537" s="26"/>
      <c r="AJ537" s="26"/>
      <c r="AK537" s="26"/>
      <c r="AL537" s="26"/>
      <c r="AM537" s="26"/>
      <c r="AN537" s="26"/>
      <c r="AO537" s="26"/>
      <c r="AP537" s="26"/>
      <c r="AQ537" s="26"/>
      <c r="AR537" s="26"/>
      <c r="AS537" s="26"/>
      <c r="AT537" s="26"/>
      <c r="AU537" s="26"/>
      <c r="AV537" s="26"/>
      <c r="AW537" s="26"/>
      <c r="AX537" s="26"/>
      <c r="AY537" s="26"/>
      <c r="AZ537" s="26"/>
      <c r="BA537" s="26"/>
      <c r="BB537" s="26"/>
      <c r="BC537" s="26"/>
      <c r="BD537" s="26"/>
      <c r="BE537" s="26"/>
      <c r="BF537" s="26"/>
      <c r="BG537" s="26"/>
      <c r="BH537" s="26"/>
      <c r="BI537" s="26"/>
    </row>
    <row r="538" ht="14.25" customHeight="1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  <c r="AC538" s="26"/>
      <c r="AD538" s="26"/>
      <c r="AE538" s="26"/>
      <c r="AF538" s="26"/>
      <c r="AG538" s="26"/>
      <c r="AH538" s="26"/>
      <c r="AI538" s="26"/>
      <c r="AJ538" s="26"/>
      <c r="AK538" s="26"/>
      <c r="AL538" s="26"/>
      <c r="AM538" s="26"/>
      <c r="AN538" s="26"/>
      <c r="AO538" s="26"/>
      <c r="AP538" s="26"/>
      <c r="AQ538" s="26"/>
      <c r="AR538" s="26"/>
      <c r="AS538" s="26"/>
      <c r="AT538" s="26"/>
      <c r="AU538" s="26"/>
      <c r="AV538" s="26"/>
      <c r="AW538" s="26"/>
      <c r="AX538" s="26"/>
      <c r="AY538" s="26"/>
      <c r="AZ538" s="26"/>
      <c r="BA538" s="26"/>
      <c r="BB538" s="26"/>
      <c r="BC538" s="26"/>
      <c r="BD538" s="26"/>
      <c r="BE538" s="26"/>
      <c r="BF538" s="26"/>
      <c r="BG538" s="26"/>
      <c r="BH538" s="26"/>
      <c r="BI538" s="26"/>
    </row>
    <row r="539" ht="14.25" customHeight="1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  <c r="AC539" s="26"/>
      <c r="AD539" s="26"/>
      <c r="AE539" s="26"/>
      <c r="AF539" s="26"/>
      <c r="AG539" s="26"/>
      <c r="AH539" s="26"/>
      <c r="AI539" s="26"/>
      <c r="AJ539" s="26"/>
      <c r="AK539" s="26"/>
      <c r="AL539" s="26"/>
      <c r="AM539" s="26"/>
      <c r="AN539" s="26"/>
      <c r="AO539" s="26"/>
      <c r="AP539" s="26"/>
      <c r="AQ539" s="26"/>
      <c r="AR539" s="26"/>
      <c r="AS539" s="26"/>
      <c r="AT539" s="26"/>
      <c r="AU539" s="26"/>
      <c r="AV539" s="26"/>
      <c r="AW539" s="26"/>
      <c r="AX539" s="26"/>
      <c r="AY539" s="26"/>
      <c r="AZ539" s="26"/>
      <c r="BA539" s="26"/>
      <c r="BB539" s="26"/>
      <c r="BC539" s="26"/>
      <c r="BD539" s="26"/>
      <c r="BE539" s="26"/>
      <c r="BF539" s="26"/>
      <c r="BG539" s="26"/>
      <c r="BH539" s="26"/>
      <c r="BI539" s="26"/>
    </row>
    <row r="540" ht="14.25" customHeight="1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  <c r="AC540" s="26"/>
      <c r="AD540" s="26"/>
      <c r="AE540" s="26"/>
      <c r="AF540" s="26"/>
      <c r="AG540" s="26"/>
      <c r="AH540" s="26"/>
      <c r="AI540" s="26"/>
      <c r="AJ540" s="26"/>
      <c r="AK540" s="26"/>
      <c r="AL540" s="26"/>
      <c r="AM540" s="26"/>
      <c r="AN540" s="26"/>
      <c r="AO540" s="26"/>
      <c r="AP540" s="26"/>
      <c r="AQ540" s="26"/>
      <c r="AR540" s="26"/>
      <c r="AS540" s="26"/>
      <c r="AT540" s="26"/>
      <c r="AU540" s="26"/>
      <c r="AV540" s="26"/>
      <c r="AW540" s="26"/>
      <c r="AX540" s="26"/>
      <c r="AY540" s="26"/>
      <c r="AZ540" s="26"/>
      <c r="BA540" s="26"/>
      <c r="BB540" s="26"/>
      <c r="BC540" s="26"/>
      <c r="BD540" s="26"/>
      <c r="BE540" s="26"/>
      <c r="BF540" s="26"/>
      <c r="BG540" s="26"/>
      <c r="BH540" s="26"/>
      <c r="BI540" s="26"/>
    </row>
    <row r="541" ht="14.25" customHeight="1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  <c r="AC541" s="26"/>
      <c r="AD541" s="26"/>
      <c r="AE541" s="26"/>
      <c r="AF541" s="26"/>
      <c r="AG541" s="26"/>
      <c r="AH541" s="26"/>
      <c r="AI541" s="26"/>
      <c r="AJ541" s="26"/>
      <c r="AK541" s="26"/>
      <c r="AL541" s="26"/>
      <c r="AM541" s="26"/>
      <c r="AN541" s="26"/>
      <c r="AO541" s="26"/>
      <c r="AP541" s="26"/>
      <c r="AQ541" s="26"/>
      <c r="AR541" s="26"/>
      <c r="AS541" s="26"/>
      <c r="AT541" s="26"/>
      <c r="AU541" s="26"/>
      <c r="AV541" s="26"/>
      <c r="AW541" s="26"/>
      <c r="AX541" s="26"/>
      <c r="AY541" s="26"/>
      <c r="AZ541" s="26"/>
      <c r="BA541" s="26"/>
      <c r="BB541" s="26"/>
      <c r="BC541" s="26"/>
      <c r="BD541" s="26"/>
      <c r="BE541" s="26"/>
      <c r="BF541" s="26"/>
      <c r="BG541" s="26"/>
      <c r="BH541" s="26"/>
      <c r="BI541" s="26"/>
    </row>
    <row r="542" ht="14.25" customHeight="1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  <c r="AC542" s="26"/>
      <c r="AD542" s="26"/>
      <c r="AE542" s="26"/>
      <c r="AF542" s="26"/>
      <c r="AG542" s="26"/>
      <c r="AH542" s="26"/>
      <c r="AI542" s="26"/>
      <c r="AJ542" s="26"/>
      <c r="AK542" s="26"/>
      <c r="AL542" s="26"/>
      <c r="AM542" s="26"/>
      <c r="AN542" s="26"/>
      <c r="AO542" s="26"/>
      <c r="AP542" s="26"/>
      <c r="AQ542" s="26"/>
      <c r="AR542" s="26"/>
      <c r="AS542" s="26"/>
      <c r="AT542" s="26"/>
      <c r="AU542" s="26"/>
      <c r="AV542" s="26"/>
      <c r="AW542" s="26"/>
      <c r="AX542" s="26"/>
      <c r="AY542" s="26"/>
      <c r="AZ542" s="26"/>
      <c r="BA542" s="26"/>
      <c r="BB542" s="26"/>
      <c r="BC542" s="26"/>
      <c r="BD542" s="26"/>
      <c r="BE542" s="26"/>
      <c r="BF542" s="26"/>
      <c r="BG542" s="26"/>
      <c r="BH542" s="26"/>
      <c r="BI542" s="26"/>
    </row>
    <row r="543" ht="14.25" customHeight="1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  <c r="AC543" s="26"/>
      <c r="AD543" s="26"/>
      <c r="AE543" s="26"/>
      <c r="AF543" s="26"/>
      <c r="AG543" s="26"/>
      <c r="AH543" s="26"/>
      <c r="AI543" s="26"/>
      <c r="AJ543" s="26"/>
      <c r="AK543" s="26"/>
      <c r="AL543" s="26"/>
      <c r="AM543" s="26"/>
      <c r="AN543" s="26"/>
      <c r="AO543" s="26"/>
      <c r="AP543" s="26"/>
      <c r="AQ543" s="26"/>
      <c r="AR543" s="26"/>
      <c r="AS543" s="26"/>
      <c r="AT543" s="26"/>
      <c r="AU543" s="26"/>
      <c r="AV543" s="26"/>
      <c r="AW543" s="26"/>
      <c r="AX543" s="26"/>
      <c r="AY543" s="26"/>
      <c r="AZ543" s="26"/>
      <c r="BA543" s="26"/>
      <c r="BB543" s="26"/>
      <c r="BC543" s="26"/>
      <c r="BD543" s="26"/>
      <c r="BE543" s="26"/>
      <c r="BF543" s="26"/>
      <c r="BG543" s="26"/>
      <c r="BH543" s="26"/>
      <c r="BI543" s="26"/>
    </row>
    <row r="544" ht="14.25" customHeight="1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  <c r="AC544" s="26"/>
      <c r="AD544" s="26"/>
      <c r="AE544" s="26"/>
      <c r="AF544" s="26"/>
      <c r="AG544" s="26"/>
      <c r="AH544" s="26"/>
      <c r="AI544" s="26"/>
      <c r="AJ544" s="26"/>
      <c r="AK544" s="26"/>
      <c r="AL544" s="26"/>
      <c r="AM544" s="26"/>
      <c r="AN544" s="26"/>
      <c r="AO544" s="26"/>
      <c r="AP544" s="26"/>
      <c r="AQ544" s="26"/>
      <c r="AR544" s="26"/>
      <c r="AS544" s="26"/>
      <c r="AT544" s="26"/>
      <c r="AU544" s="26"/>
      <c r="AV544" s="26"/>
      <c r="AW544" s="26"/>
      <c r="AX544" s="26"/>
      <c r="AY544" s="26"/>
      <c r="AZ544" s="26"/>
      <c r="BA544" s="26"/>
      <c r="BB544" s="26"/>
      <c r="BC544" s="26"/>
      <c r="BD544" s="26"/>
      <c r="BE544" s="26"/>
      <c r="BF544" s="26"/>
      <c r="BG544" s="26"/>
      <c r="BH544" s="26"/>
      <c r="BI544" s="26"/>
    </row>
    <row r="545" ht="14.25" customHeight="1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  <c r="AC545" s="26"/>
      <c r="AD545" s="26"/>
      <c r="AE545" s="26"/>
      <c r="AF545" s="26"/>
      <c r="AG545" s="26"/>
      <c r="AH545" s="26"/>
      <c r="AI545" s="26"/>
      <c r="AJ545" s="26"/>
      <c r="AK545" s="26"/>
      <c r="AL545" s="26"/>
      <c r="AM545" s="26"/>
      <c r="AN545" s="26"/>
      <c r="AO545" s="26"/>
      <c r="AP545" s="26"/>
      <c r="AQ545" s="26"/>
      <c r="AR545" s="26"/>
      <c r="AS545" s="26"/>
      <c r="AT545" s="26"/>
      <c r="AU545" s="26"/>
      <c r="AV545" s="26"/>
      <c r="AW545" s="26"/>
      <c r="AX545" s="26"/>
      <c r="AY545" s="26"/>
      <c r="AZ545" s="26"/>
      <c r="BA545" s="26"/>
      <c r="BB545" s="26"/>
      <c r="BC545" s="26"/>
      <c r="BD545" s="26"/>
      <c r="BE545" s="26"/>
      <c r="BF545" s="26"/>
      <c r="BG545" s="26"/>
      <c r="BH545" s="26"/>
      <c r="BI545" s="26"/>
    </row>
    <row r="546" ht="14.25" customHeight="1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  <c r="AC546" s="26"/>
      <c r="AD546" s="26"/>
      <c r="AE546" s="26"/>
      <c r="AF546" s="26"/>
      <c r="AG546" s="26"/>
      <c r="AH546" s="26"/>
      <c r="AI546" s="26"/>
      <c r="AJ546" s="26"/>
      <c r="AK546" s="26"/>
      <c r="AL546" s="26"/>
      <c r="AM546" s="26"/>
      <c r="AN546" s="26"/>
      <c r="AO546" s="26"/>
      <c r="AP546" s="26"/>
      <c r="AQ546" s="26"/>
      <c r="AR546" s="26"/>
      <c r="AS546" s="26"/>
      <c r="AT546" s="26"/>
      <c r="AU546" s="26"/>
      <c r="AV546" s="26"/>
      <c r="AW546" s="26"/>
      <c r="AX546" s="26"/>
      <c r="AY546" s="26"/>
      <c r="AZ546" s="26"/>
      <c r="BA546" s="26"/>
      <c r="BB546" s="26"/>
      <c r="BC546" s="26"/>
      <c r="BD546" s="26"/>
      <c r="BE546" s="26"/>
      <c r="BF546" s="26"/>
      <c r="BG546" s="26"/>
      <c r="BH546" s="26"/>
      <c r="BI546" s="26"/>
    </row>
    <row r="547" ht="14.25" customHeight="1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  <c r="AC547" s="26"/>
      <c r="AD547" s="26"/>
      <c r="AE547" s="26"/>
      <c r="AF547" s="26"/>
      <c r="AG547" s="26"/>
      <c r="AH547" s="26"/>
      <c r="AI547" s="26"/>
      <c r="AJ547" s="26"/>
      <c r="AK547" s="26"/>
      <c r="AL547" s="26"/>
      <c r="AM547" s="26"/>
      <c r="AN547" s="26"/>
      <c r="AO547" s="26"/>
      <c r="AP547" s="26"/>
      <c r="AQ547" s="26"/>
      <c r="AR547" s="26"/>
      <c r="AS547" s="26"/>
      <c r="AT547" s="26"/>
      <c r="AU547" s="26"/>
      <c r="AV547" s="26"/>
      <c r="AW547" s="26"/>
      <c r="AX547" s="26"/>
      <c r="AY547" s="26"/>
      <c r="AZ547" s="26"/>
      <c r="BA547" s="26"/>
      <c r="BB547" s="26"/>
      <c r="BC547" s="26"/>
      <c r="BD547" s="26"/>
      <c r="BE547" s="26"/>
      <c r="BF547" s="26"/>
      <c r="BG547" s="26"/>
      <c r="BH547" s="26"/>
      <c r="BI547" s="26"/>
    </row>
    <row r="548" ht="14.25" customHeight="1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  <c r="AC548" s="26"/>
      <c r="AD548" s="26"/>
      <c r="AE548" s="26"/>
      <c r="AF548" s="26"/>
      <c r="AG548" s="26"/>
      <c r="AH548" s="26"/>
      <c r="AI548" s="26"/>
      <c r="AJ548" s="26"/>
      <c r="AK548" s="26"/>
      <c r="AL548" s="26"/>
      <c r="AM548" s="26"/>
      <c r="AN548" s="26"/>
      <c r="AO548" s="26"/>
      <c r="AP548" s="26"/>
      <c r="AQ548" s="26"/>
      <c r="AR548" s="26"/>
      <c r="AS548" s="26"/>
      <c r="AT548" s="26"/>
      <c r="AU548" s="26"/>
      <c r="AV548" s="26"/>
      <c r="AW548" s="26"/>
      <c r="AX548" s="26"/>
      <c r="AY548" s="26"/>
      <c r="AZ548" s="26"/>
      <c r="BA548" s="26"/>
      <c r="BB548" s="26"/>
      <c r="BC548" s="26"/>
      <c r="BD548" s="26"/>
      <c r="BE548" s="26"/>
      <c r="BF548" s="26"/>
      <c r="BG548" s="26"/>
      <c r="BH548" s="26"/>
      <c r="BI548" s="26"/>
    </row>
    <row r="549" ht="14.25" customHeight="1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  <c r="AC549" s="26"/>
      <c r="AD549" s="26"/>
      <c r="AE549" s="26"/>
      <c r="AF549" s="26"/>
      <c r="AG549" s="26"/>
      <c r="AH549" s="26"/>
      <c r="AI549" s="26"/>
      <c r="AJ549" s="26"/>
      <c r="AK549" s="26"/>
      <c r="AL549" s="26"/>
      <c r="AM549" s="26"/>
      <c r="AN549" s="26"/>
      <c r="AO549" s="26"/>
      <c r="AP549" s="26"/>
      <c r="AQ549" s="26"/>
      <c r="AR549" s="26"/>
      <c r="AS549" s="26"/>
      <c r="AT549" s="26"/>
      <c r="AU549" s="26"/>
      <c r="AV549" s="26"/>
      <c r="AW549" s="26"/>
      <c r="AX549" s="26"/>
      <c r="AY549" s="26"/>
      <c r="AZ549" s="26"/>
      <c r="BA549" s="26"/>
      <c r="BB549" s="26"/>
      <c r="BC549" s="26"/>
      <c r="BD549" s="26"/>
      <c r="BE549" s="26"/>
      <c r="BF549" s="26"/>
      <c r="BG549" s="26"/>
      <c r="BH549" s="26"/>
      <c r="BI549" s="26"/>
    </row>
    <row r="550" ht="14.25" customHeight="1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  <c r="AC550" s="26"/>
      <c r="AD550" s="26"/>
      <c r="AE550" s="26"/>
      <c r="AF550" s="26"/>
      <c r="AG550" s="26"/>
      <c r="AH550" s="26"/>
      <c r="AI550" s="26"/>
      <c r="AJ550" s="26"/>
      <c r="AK550" s="26"/>
      <c r="AL550" s="26"/>
      <c r="AM550" s="26"/>
      <c r="AN550" s="26"/>
      <c r="AO550" s="26"/>
      <c r="AP550" s="26"/>
      <c r="AQ550" s="26"/>
      <c r="AR550" s="26"/>
      <c r="AS550" s="26"/>
      <c r="AT550" s="26"/>
      <c r="AU550" s="26"/>
      <c r="AV550" s="26"/>
      <c r="AW550" s="26"/>
      <c r="AX550" s="26"/>
      <c r="AY550" s="26"/>
      <c r="AZ550" s="26"/>
      <c r="BA550" s="26"/>
      <c r="BB550" s="26"/>
      <c r="BC550" s="26"/>
      <c r="BD550" s="26"/>
      <c r="BE550" s="26"/>
      <c r="BF550" s="26"/>
      <c r="BG550" s="26"/>
      <c r="BH550" s="26"/>
      <c r="BI550" s="26"/>
    </row>
    <row r="551" ht="14.25" customHeight="1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  <c r="AC551" s="26"/>
      <c r="AD551" s="26"/>
      <c r="AE551" s="26"/>
      <c r="AF551" s="26"/>
      <c r="AG551" s="26"/>
      <c r="AH551" s="26"/>
      <c r="AI551" s="26"/>
      <c r="AJ551" s="26"/>
      <c r="AK551" s="26"/>
      <c r="AL551" s="26"/>
      <c r="AM551" s="26"/>
      <c r="AN551" s="26"/>
      <c r="AO551" s="26"/>
      <c r="AP551" s="26"/>
      <c r="AQ551" s="26"/>
      <c r="AR551" s="26"/>
      <c r="AS551" s="26"/>
      <c r="AT551" s="26"/>
      <c r="AU551" s="26"/>
      <c r="AV551" s="26"/>
      <c r="AW551" s="26"/>
      <c r="AX551" s="26"/>
      <c r="AY551" s="26"/>
      <c r="AZ551" s="26"/>
      <c r="BA551" s="26"/>
      <c r="BB551" s="26"/>
      <c r="BC551" s="26"/>
      <c r="BD551" s="26"/>
      <c r="BE551" s="26"/>
      <c r="BF551" s="26"/>
      <c r="BG551" s="26"/>
      <c r="BH551" s="26"/>
      <c r="BI551" s="26"/>
    </row>
    <row r="552" ht="14.25" customHeight="1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  <c r="AC552" s="26"/>
      <c r="AD552" s="26"/>
      <c r="AE552" s="26"/>
      <c r="AF552" s="26"/>
      <c r="AG552" s="26"/>
      <c r="AH552" s="26"/>
      <c r="AI552" s="26"/>
      <c r="AJ552" s="26"/>
      <c r="AK552" s="26"/>
      <c r="AL552" s="26"/>
      <c r="AM552" s="26"/>
      <c r="AN552" s="26"/>
      <c r="AO552" s="26"/>
      <c r="AP552" s="26"/>
      <c r="AQ552" s="26"/>
      <c r="AR552" s="26"/>
      <c r="AS552" s="26"/>
      <c r="AT552" s="26"/>
      <c r="AU552" s="26"/>
      <c r="AV552" s="26"/>
      <c r="AW552" s="26"/>
      <c r="AX552" s="26"/>
      <c r="AY552" s="26"/>
      <c r="AZ552" s="26"/>
      <c r="BA552" s="26"/>
      <c r="BB552" s="26"/>
      <c r="BC552" s="26"/>
      <c r="BD552" s="26"/>
      <c r="BE552" s="26"/>
      <c r="BF552" s="26"/>
      <c r="BG552" s="26"/>
      <c r="BH552" s="26"/>
      <c r="BI552" s="26"/>
    </row>
    <row r="553" ht="14.25" customHeight="1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  <c r="AC553" s="26"/>
      <c r="AD553" s="26"/>
      <c r="AE553" s="26"/>
      <c r="AF553" s="26"/>
      <c r="AG553" s="26"/>
      <c r="AH553" s="26"/>
      <c r="AI553" s="26"/>
      <c r="AJ553" s="26"/>
      <c r="AK553" s="26"/>
      <c r="AL553" s="26"/>
      <c r="AM553" s="26"/>
      <c r="AN553" s="26"/>
      <c r="AO553" s="26"/>
      <c r="AP553" s="26"/>
      <c r="AQ553" s="26"/>
      <c r="AR553" s="26"/>
      <c r="AS553" s="26"/>
      <c r="AT553" s="26"/>
      <c r="AU553" s="26"/>
      <c r="AV553" s="26"/>
      <c r="AW553" s="26"/>
      <c r="AX553" s="26"/>
      <c r="AY553" s="26"/>
      <c r="AZ553" s="26"/>
      <c r="BA553" s="26"/>
      <c r="BB553" s="26"/>
      <c r="BC553" s="26"/>
      <c r="BD553" s="26"/>
      <c r="BE553" s="26"/>
      <c r="BF553" s="26"/>
      <c r="BG553" s="26"/>
      <c r="BH553" s="26"/>
      <c r="BI553" s="26"/>
    </row>
    <row r="554" ht="14.25" customHeight="1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  <c r="AC554" s="26"/>
      <c r="AD554" s="26"/>
      <c r="AE554" s="26"/>
      <c r="AF554" s="26"/>
      <c r="AG554" s="26"/>
      <c r="AH554" s="26"/>
      <c r="AI554" s="26"/>
      <c r="AJ554" s="26"/>
      <c r="AK554" s="26"/>
      <c r="AL554" s="26"/>
      <c r="AM554" s="26"/>
      <c r="AN554" s="26"/>
      <c r="AO554" s="26"/>
      <c r="AP554" s="26"/>
      <c r="AQ554" s="26"/>
      <c r="AR554" s="26"/>
      <c r="AS554" s="26"/>
      <c r="AT554" s="26"/>
      <c r="AU554" s="26"/>
      <c r="AV554" s="26"/>
      <c r="AW554" s="26"/>
      <c r="AX554" s="26"/>
      <c r="AY554" s="26"/>
      <c r="AZ554" s="26"/>
      <c r="BA554" s="26"/>
      <c r="BB554" s="26"/>
      <c r="BC554" s="26"/>
      <c r="BD554" s="26"/>
      <c r="BE554" s="26"/>
      <c r="BF554" s="26"/>
      <c r="BG554" s="26"/>
      <c r="BH554" s="26"/>
      <c r="BI554" s="26"/>
    </row>
    <row r="555" ht="14.25" customHeight="1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  <c r="AC555" s="26"/>
      <c r="AD555" s="26"/>
      <c r="AE555" s="26"/>
      <c r="AF555" s="26"/>
      <c r="AG555" s="26"/>
      <c r="AH555" s="26"/>
      <c r="AI555" s="26"/>
      <c r="AJ555" s="26"/>
      <c r="AK555" s="26"/>
      <c r="AL555" s="26"/>
      <c r="AM555" s="26"/>
      <c r="AN555" s="26"/>
      <c r="AO555" s="26"/>
      <c r="AP555" s="26"/>
      <c r="AQ555" s="26"/>
      <c r="AR555" s="26"/>
      <c r="AS555" s="26"/>
      <c r="AT555" s="26"/>
      <c r="AU555" s="26"/>
      <c r="AV555" s="26"/>
      <c r="AW555" s="26"/>
      <c r="AX555" s="26"/>
      <c r="AY555" s="26"/>
      <c r="AZ555" s="26"/>
      <c r="BA555" s="26"/>
      <c r="BB555" s="26"/>
      <c r="BC555" s="26"/>
      <c r="BD555" s="26"/>
      <c r="BE555" s="26"/>
      <c r="BF555" s="26"/>
      <c r="BG555" s="26"/>
      <c r="BH555" s="26"/>
      <c r="BI555" s="26"/>
    </row>
    <row r="556" ht="14.25" customHeight="1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  <c r="AC556" s="26"/>
      <c r="AD556" s="26"/>
      <c r="AE556" s="26"/>
      <c r="AF556" s="26"/>
      <c r="AG556" s="26"/>
      <c r="AH556" s="26"/>
      <c r="AI556" s="26"/>
      <c r="AJ556" s="26"/>
      <c r="AK556" s="26"/>
      <c r="AL556" s="26"/>
      <c r="AM556" s="26"/>
      <c r="AN556" s="26"/>
      <c r="AO556" s="26"/>
      <c r="AP556" s="26"/>
      <c r="AQ556" s="26"/>
      <c r="AR556" s="26"/>
      <c r="AS556" s="26"/>
      <c r="AT556" s="26"/>
      <c r="AU556" s="26"/>
      <c r="AV556" s="26"/>
      <c r="AW556" s="26"/>
      <c r="AX556" s="26"/>
      <c r="AY556" s="26"/>
      <c r="AZ556" s="26"/>
      <c r="BA556" s="26"/>
      <c r="BB556" s="26"/>
      <c r="BC556" s="26"/>
      <c r="BD556" s="26"/>
      <c r="BE556" s="26"/>
      <c r="BF556" s="26"/>
      <c r="BG556" s="26"/>
      <c r="BH556" s="26"/>
      <c r="BI556" s="26"/>
    </row>
    <row r="557" ht="14.25" customHeight="1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  <c r="AC557" s="26"/>
      <c r="AD557" s="26"/>
      <c r="AE557" s="26"/>
      <c r="AF557" s="26"/>
      <c r="AG557" s="26"/>
      <c r="AH557" s="26"/>
      <c r="AI557" s="26"/>
      <c r="AJ557" s="26"/>
      <c r="AK557" s="26"/>
      <c r="AL557" s="26"/>
      <c r="AM557" s="26"/>
      <c r="AN557" s="26"/>
      <c r="AO557" s="26"/>
      <c r="AP557" s="26"/>
      <c r="AQ557" s="26"/>
      <c r="AR557" s="26"/>
      <c r="AS557" s="26"/>
      <c r="AT557" s="26"/>
      <c r="AU557" s="26"/>
      <c r="AV557" s="26"/>
      <c r="AW557" s="26"/>
      <c r="AX557" s="26"/>
      <c r="AY557" s="26"/>
      <c r="AZ557" s="26"/>
      <c r="BA557" s="26"/>
      <c r="BB557" s="26"/>
      <c r="BC557" s="26"/>
      <c r="BD557" s="26"/>
      <c r="BE557" s="26"/>
      <c r="BF557" s="26"/>
      <c r="BG557" s="26"/>
      <c r="BH557" s="26"/>
      <c r="BI557" s="26"/>
    </row>
    <row r="558" ht="14.25" customHeight="1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  <c r="AC558" s="26"/>
      <c r="AD558" s="26"/>
      <c r="AE558" s="26"/>
      <c r="AF558" s="26"/>
      <c r="AG558" s="26"/>
      <c r="AH558" s="26"/>
      <c r="AI558" s="26"/>
      <c r="AJ558" s="26"/>
      <c r="AK558" s="26"/>
      <c r="AL558" s="26"/>
      <c r="AM558" s="26"/>
      <c r="AN558" s="26"/>
      <c r="AO558" s="26"/>
      <c r="AP558" s="26"/>
      <c r="AQ558" s="26"/>
      <c r="AR558" s="26"/>
      <c r="AS558" s="26"/>
      <c r="AT558" s="26"/>
      <c r="AU558" s="26"/>
      <c r="AV558" s="26"/>
      <c r="AW558" s="26"/>
      <c r="AX558" s="26"/>
      <c r="AY558" s="26"/>
      <c r="AZ558" s="26"/>
      <c r="BA558" s="26"/>
      <c r="BB558" s="26"/>
      <c r="BC558" s="26"/>
      <c r="BD558" s="26"/>
      <c r="BE558" s="26"/>
      <c r="BF558" s="26"/>
      <c r="BG558" s="26"/>
      <c r="BH558" s="26"/>
      <c r="BI558" s="26"/>
    </row>
    <row r="559" ht="14.25" customHeight="1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  <c r="AB559" s="26"/>
      <c r="AC559" s="26"/>
      <c r="AD559" s="26"/>
      <c r="AE559" s="26"/>
      <c r="AF559" s="26"/>
      <c r="AG559" s="26"/>
      <c r="AH559" s="26"/>
      <c r="AI559" s="26"/>
      <c r="AJ559" s="26"/>
      <c r="AK559" s="26"/>
      <c r="AL559" s="26"/>
      <c r="AM559" s="26"/>
      <c r="AN559" s="26"/>
      <c r="AO559" s="26"/>
      <c r="AP559" s="26"/>
      <c r="AQ559" s="26"/>
      <c r="AR559" s="26"/>
      <c r="AS559" s="26"/>
      <c r="AT559" s="26"/>
      <c r="AU559" s="26"/>
      <c r="AV559" s="26"/>
      <c r="AW559" s="26"/>
      <c r="AX559" s="26"/>
      <c r="AY559" s="26"/>
      <c r="AZ559" s="26"/>
      <c r="BA559" s="26"/>
      <c r="BB559" s="26"/>
      <c r="BC559" s="26"/>
      <c r="BD559" s="26"/>
      <c r="BE559" s="26"/>
      <c r="BF559" s="26"/>
      <c r="BG559" s="26"/>
      <c r="BH559" s="26"/>
      <c r="BI559" s="26"/>
    </row>
    <row r="560" ht="14.25" customHeight="1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  <c r="AC560" s="26"/>
      <c r="AD560" s="26"/>
      <c r="AE560" s="26"/>
      <c r="AF560" s="26"/>
      <c r="AG560" s="26"/>
      <c r="AH560" s="26"/>
      <c r="AI560" s="26"/>
      <c r="AJ560" s="26"/>
      <c r="AK560" s="26"/>
      <c r="AL560" s="26"/>
      <c r="AM560" s="26"/>
      <c r="AN560" s="26"/>
      <c r="AO560" s="26"/>
      <c r="AP560" s="26"/>
      <c r="AQ560" s="26"/>
      <c r="AR560" s="26"/>
      <c r="AS560" s="26"/>
      <c r="AT560" s="26"/>
      <c r="AU560" s="26"/>
      <c r="AV560" s="26"/>
      <c r="AW560" s="26"/>
      <c r="AX560" s="26"/>
      <c r="AY560" s="26"/>
      <c r="AZ560" s="26"/>
      <c r="BA560" s="26"/>
      <c r="BB560" s="26"/>
      <c r="BC560" s="26"/>
      <c r="BD560" s="26"/>
      <c r="BE560" s="26"/>
      <c r="BF560" s="26"/>
      <c r="BG560" s="26"/>
      <c r="BH560" s="26"/>
      <c r="BI560" s="26"/>
    </row>
    <row r="561" ht="14.25" customHeight="1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  <c r="AC561" s="26"/>
      <c r="AD561" s="26"/>
      <c r="AE561" s="26"/>
      <c r="AF561" s="26"/>
      <c r="AG561" s="26"/>
      <c r="AH561" s="26"/>
      <c r="AI561" s="26"/>
      <c r="AJ561" s="26"/>
      <c r="AK561" s="26"/>
      <c r="AL561" s="26"/>
      <c r="AM561" s="26"/>
      <c r="AN561" s="26"/>
      <c r="AO561" s="26"/>
      <c r="AP561" s="26"/>
      <c r="AQ561" s="26"/>
      <c r="AR561" s="26"/>
      <c r="AS561" s="26"/>
      <c r="AT561" s="26"/>
      <c r="AU561" s="26"/>
      <c r="AV561" s="26"/>
      <c r="AW561" s="26"/>
      <c r="AX561" s="26"/>
      <c r="AY561" s="26"/>
      <c r="AZ561" s="26"/>
      <c r="BA561" s="26"/>
      <c r="BB561" s="26"/>
      <c r="BC561" s="26"/>
      <c r="BD561" s="26"/>
      <c r="BE561" s="26"/>
      <c r="BF561" s="26"/>
      <c r="BG561" s="26"/>
      <c r="BH561" s="26"/>
      <c r="BI561" s="26"/>
    </row>
    <row r="562" ht="14.25" customHeight="1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  <c r="AC562" s="26"/>
      <c r="AD562" s="26"/>
      <c r="AE562" s="26"/>
      <c r="AF562" s="26"/>
      <c r="AG562" s="26"/>
      <c r="AH562" s="26"/>
      <c r="AI562" s="26"/>
      <c r="AJ562" s="26"/>
      <c r="AK562" s="26"/>
      <c r="AL562" s="26"/>
      <c r="AM562" s="26"/>
      <c r="AN562" s="26"/>
      <c r="AO562" s="26"/>
      <c r="AP562" s="26"/>
      <c r="AQ562" s="26"/>
      <c r="AR562" s="26"/>
      <c r="AS562" s="26"/>
      <c r="AT562" s="26"/>
      <c r="AU562" s="26"/>
      <c r="AV562" s="26"/>
      <c r="AW562" s="26"/>
      <c r="AX562" s="26"/>
      <c r="AY562" s="26"/>
      <c r="AZ562" s="26"/>
      <c r="BA562" s="26"/>
      <c r="BB562" s="26"/>
      <c r="BC562" s="26"/>
      <c r="BD562" s="26"/>
      <c r="BE562" s="26"/>
      <c r="BF562" s="26"/>
      <c r="BG562" s="26"/>
      <c r="BH562" s="26"/>
      <c r="BI562" s="26"/>
    </row>
    <row r="563" ht="14.25" customHeight="1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  <c r="AC563" s="26"/>
      <c r="AD563" s="26"/>
      <c r="AE563" s="26"/>
      <c r="AF563" s="26"/>
      <c r="AG563" s="26"/>
      <c r="AH563" s="26"/>
      <c r="AI563" s="26"/>
      <c r="AJ563" s="26"/>
      <c r="AK563" s="26"/>
      <c r="AL563" s="26"/>
      <c r="AM563" s="26"/>
      <c r="AN563" s="26"/>
      <c r="AO563" s="26"/>
      <c r="AP563" s="26"/>
      <c r="AQ563" s="26"/>
      <c r="AR563" s="26"/>
      <c r="AS563" s="26"/>
      <c r="AT563" s="26"/>
      <c r="AU563" s="26"/>
      <c r="AV563" s="26"/>
      <c r="AW563" s="26"/>
      <c r="AX563" s="26"/>
      <c r="AY563" s="26"/>
      <c r="AZ563" s="26"/>
      <c r="BA563" s="26"/>
      <c r="BB563" s="26"/>
      <c r="BC563" s="26"/>
      <c r="BD563" s="26"/>
      <c r="BE563" s="26"/>
      <c r="BF563" s="26"/>
      <c r="BG563" s="26"/>
      <c r="BH563" s="26"/>
      <c r="BI563" s="26"/>
    </row>
    <row r="564" ht="14.25" customHeight="1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  <c r="AC564" s="26"/>
      <c r="AD564" s="26"/>
      <c r="AE564" s="26"/>
      <c r="AF564" s="26"/>
      <c r="AG564" s="26"/>
      <c r="AH564" s="26"/>
      <c r="AI564" s="26"/>
      <c r="AJ564" s="26"/>
      <c r="AK564" s="26"/>
      <c r="AL564" s="26"/>
      <c r="AM564" s="26"/>
      <c r="AN564" s="26"/>
      <c r="AO564" s="26"/>
      <c r="AP564" s="26"/>
      <c r="AQ564" s="26"/>
      <c r="AR564" s="26"/>
      <c r="AS564" s="26"/>
      <c r="AT564" s="26"/>
      <c r="AU564" s="26"/>
      <c r="AV564" s="26"/>
      <c r="AW564" s="26"/>
      <c r="AX564" s="26"/>
      <c r="AY564" s="26"/>
      <c r="AZ564" s="26"/>
      <c r="BA564" s="26"/>
      <c r="BB564" s="26"/>
      <c r="BC564" s="26"/>
      <c r="BD564" s="26"/>
      <c r="BE564" s="26"/>
      <c r="BF564" s="26"/>
      <c r="BG564" s="26"/>
      <c r="BH564" s="26"/>
      <c r="BI564" s="26"/>
    </row>
    <row r="565" ht="14.25" customHeight="1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  <c r="AC565" s="26"/>
      <c r="AD565" s="26"/>
      <c r="AE565" s="26"/>
      <c r="AF565" s="26"/>
      <c r="AG565" s="26"/>
      <c r="AH565" s="26"/>
      <c r="AI565" s="26"/>
      <c r="AJ565" s="26"/>
      <c r="AK565" s="26"/>
      <c r="AL565" s="26"/>
      <c r="AM565" s="26"/>
      <c r="AN565" s="26"/>
      <c r="AO565" s="26"/>
      <c r="AP565" s="26"/>
      <c r="AQ565" s="26"/>
      <c r="AR565" s="26"/>
      <c r="AS565" s="26"/>
      <c r="AT565" s="26"/>
      <c r="AU565" s="26"/>
      <c r="AV565" s="26"/>
      <c r="AW565" s="26"/>
      <c r="AX565" s="26"/>
      <c r="AY565" s="26"/>
      <c r="AZ565" s="26"/>
      <c r="BA565" s="26"/>
      <c r="BB565" s="26"/>
      <c r="BC565" s="26"/>
      <c r="BD565" s="26"/>
      <c r="BE565" s="26"/>
      <c r="BF565" s="26"/>
      <c r="BG565" s="26"/>
      <c r="BH565" s="26"/>
      <c r="BI565" s="26"/>
    </row>
    <row r="566" ht="14.25" customHeight="1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  <c r="AC566" s="26"/>
      <c r="AD566" s="26"/>
      <c r="AE566" s="26"/>
      <c r="AF566" s="26"/>
      <c r="AG566" s="26"/>
      <c r="AH566" s="26"/>
      <c r="AI566" s="26"/>
      <c r="AJ566" s="26"/>
      <c r="AK566" s="26"/>
      <c r="AL566" s="26"/>
      <c r="AM566" s="26"/>
      <c r="AN566" s="26"/>
      <c r="AO566" s="26"/>
      <c r="AP566" s="26"/>
      <c r="AQ566" s="26"/>
      <c r="AR566" s="26"/>
      <c r="AS566" s="26"/>
      <c r="AT566" s="26"/>
      <c r="AU566" s="26"/>
      <c r="AV566" s="26"/>
      <c r="AW566" s="26"/>
      <c r="AX566" s="26"/>
      <c r="AY566" s="26"/>
      <c r="AZ566" s="26"/>
      <c r="BA566" s="26"/>
      <c r="BB566" s="26"/>
      <c r="BC566" s="26"/>
      <c r="BD566" s="26"/>
      <c r="BE566" s="26"/>
      <c r="BF566" s="26"/>
      <c r="BG566" s="26"/>
      <c r="BH566" s="26"/>
      <c r="BI566" s="26"/>
    </row>
    <row r="567" ht="14.25" customHeight="1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26"/>
      <c r="AB567" s="26"/>
      <c r="AC567" s="26"/>
      <c r="AD567" s="26"/>
      <c r="AE567" s="26"/>
      <c r="AF567" s="26"/>
      <c r="AG567" s="26"/>
      <c r="AH567" s="26"/>
      <c r="AI567" s="26"/>
      <c r="AJ567" s="26"/>
      <c r="AK567" s="26"/>
      <c r="AL567" s="26"/>
      <c r="AM567" s="26"/>
      <c r="AN567" s="26"/>
      <c r="AO567" s="26"/>
      <c r="AP567" s="26"/>
      <c r="AQ567" s="26"/>
      <c r="AR567" s="26"/>
      <c r="AS567" s="26"/>
      <c r="AT567" s="26"/>
      <c r="AU567" s="26"/>
      <c r="AV567" s="26"/>
      <c r="AW567" s="26"/>
      <c r="AX567" s="26"/>
      <c r="AY567" s="26"/>
      <c r="AZ567" s="26"/>
      <c r="BA567" s="26"/>
      <c r="BB567" s="26"/>
      <c r="BC567" s="26"/>
      <c r="BD567" s="26"/>
      <c r="BE567" s="26"/>
      <c r="BF567" s="26"/>
      <c r="BG567" s="26"/>
      <c r="BH567" s="26"/>
      <c r="BI567" s="26"/>
    </row>
    <row r="568" ht="14.25" customHeight="1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  <c r="AC568" s="26"/>
      <c r="AD568" s="26"/>
      <c r="AE568" s="26"/>
      <c r="AF568" s="26"/>
      <c r="AG568" s="26"/>
      <c r="AH568" s="26"/>
      <c r="AI568" s="26"/>
      <c r="AJ568" s="26"/>
      <c r="AK568" s="26"/>
      <c r="AL568" s="26"/>
      <c r="AM568" s="26"/>
      <c r="AN568" s="26"/>
      <c r="AO568" s="26"/>
      <c r="AP568" s="26"/>
      <c r="AQ568" s="26"/>
      <c r="AR568" s="26"/>
      <c r="AS568" s="26"/>
      <c r="AT568" s="26"/>
      <c r="AU568" s="26"/>
      <c r="AV568" s="26"/>
      <c r="AW568" s="26"/>
      <c r="AX568" s="26"/>
      <c r="AY568" s="26"/>
      <c r="AZ568" s="26"/>
      <c r="BA568" s="26"/>
      <c r="BB568" s="26"/>
      <c r="BC568" s="26"/>
      <c r="BD568" s="26"/>
      <c r="BE568" s="26"/>
      <c r="BF568" s="26"/>
      <c r="BG568" s="26"/>
      <c r="BH568" s="26"/>
      <c r="BI568" s="26"/>
    </row>
    <row r="569" ht="14.25" customHeight="1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A569" s="26"/>
      <c r="AB569" s="26"/>
      <c r="AC569" s="26"/>
      <c r="AD569" s="26"/>
      <c r="AE569" s="26"/>
      <c r="AF569" s="26"/>
      <c r="AG569" s="26"/>
      <c r="AH569" s="26"/>
      <c r="AI569" s="26"/>
      <c r="AJ569" s="26"/>
      <c r="AK569" s="26"/>
      <c r="AL569" s="26"/>
      <c r="AM569" s="26"/>
      <c r="AN569" s="26"/>
      <c r="AO569" s="26"/>
      <c r="AP569" s="26"/>
      <c r="AQ569" s="26"/>
      <c r="AR569" s="26"/>
      <c r="AS569" s="26"/>
      <c r="AT569" s="26"/>
      <c r="AU569" s="26"/>
      <c r="AV569" s="26"/>
      <c r="AW569" s="26"/>
      <c r="AX569" s="26"/>
      <c r="AY569" s="26"/>
      <c r="AZ569" s="26"/>
      <c r="BA569" s="26"/>
      <c r="BB569" s="26"/>
      <c r="BC569" s="26"/>
      <c r="BD569" s="26"/>
      <c r="BE569" s="26"/>
      <c r="BF569" s="26"/>
      <c r="BG569" s="26"/>
      <c r="BH569" s="26"/>
      <c r="BI569" s="26"/>
    </row>
    <row r="570" ht="14.25" customHeight="1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  <c r="AC570" s="26"/>
      <c r="AD570" s="26"/>
      <c r="AE570" s="26"/>
      <c r="AF570" s="26"/>
      <c r="AG570" s="26"/>
      <c r="AH570" s="26"/>
      <c r="AI570" s="26"/>
      <c r="AJ570" s="26"/>
      <c r="AK570" s="26"/>
      <c r="AL570" s="26"/>
      <c r="AM570" s="26"/>
      <c r="AN570" s="26"/>
      <c r="AO570" s="26"/>
      <c r="AP570" s="26"/>
      <c r="AQ570" s="26"/>
      <c r="AR570" s="26"/>
      <c r="AS570" s="26"/>
      <c r="AT570" s="26"/>
      <c r="AU570" s="26"/>
      <c r="AV570" s="26"/>
      <c r="AW570" s="26"/>
      <c r="AX570" s="26"/>
      <c r="AY570" s="26"/>
      <c r="AZ570" s="26"/>
      <c r="BA570" s="26"/>
      <c r="BB570" s="26"/>
      <c r="BC570" s="26"/>
      <c r="BD570" s="26"/>
      <c r="BE570" s="26"/>
      <c r="BF570" s="26"/>
      <c r="BG570" s="26"/>
      <c r="BH570" s="26"/>
      <c r="BI570" s="26"/>
    </row>
    <row r="571" ht="14.25" customHeight="1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  <c r="AC571" s="26"/>
      <c r="AD571" s="26"/>
      <c r="AE571" s="26"/>
      <c r="AF571" s="26"/>
      <c r="AG571" s="26"/>
      <c r="AH571" s="26"/>
      <c r="AI571" s="26"/>
      <c r="AJ571" s="26"/>
      <c r="AK571" s="26"/>
      <c r="AL571" s="26"/>
      <c r="AM571" s="26"/>
      <c r="AN571" s="26"/>
      <c r="AO571" s="26"/>
      <c r="AP571" s="26"/>
      <c r="AQ571" s="26"/>
      <c r="AR571" s="26"/>
      <c r="AS571" s="26"/>
      <c r="AT571" s="26"/>
      <c r="AU571" s="26"/>
      <c r="AV571" s="26"/>
      <c r="AW571" s="26"/>
      <c r="AX571" s="26"/>
      <c r="AY571" s="26"/>
      <c r="AZ571" s="26"/>
      <c r="BA571" s="26"/>
      <c r="BB571" s="26"/>
      <c r="BC571" s="26"/>
      <c r="BD571" s="26"/>
      <c r="BE571" s="26"/>
      <c r="BF571" s="26"/>
      <c r="BG571" s="26"/>
      <c r="BH571" s="26"/>
      <c r="BI571" s="26"/>
    </row>
    <row r="572" ht="14.25" customHeight="1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  <c r="AC572" s="26"/>
      <c r="AD572" s="26"/>
      <c r="AE572" s="26"/>
      <c r="AF572" s="26"/>
      <c r="AG572" s="26"/>
      <c r="AH572" s="26"/>
      <c r="AI572" s="26"/>
      <c r="AJ572" s="26"/>
      <c r="AK572" s="26"/>
      <c r="AL572" s="26"/>
      <c r="AM572" s="26"/>
      <c r="AN572" s="26"/>
      <c r="AO572" s="26"/>
      <c r="AP572" s="26"/>
      <c r="AQ572" s="26"/>
      <c r="AR572" s="26"/>
      <c r="AS572" s="26"/>
      <c r="AT572" s="26"/>
      <c r="AU572" s="26"/>
      <c r="AV572" s="26"/>
      <c r="AW572" s="26"/>
      <c r="AX572" s="26"/>
      <c r="AY572" s="26"/>
      <c r="AZ572" s="26"/>
      <c r="BA572" s="26"/>
      <c r="BB572" s="26"/>
      <c r="BC572" s="26"/>
      <c r="BD572" s="26"/>
      <c r="BE572" s="26"/>
      <c r="BF572" s="26"/>
      <c r="BG572" s="26"/>
      <c r="BH572" s="26"/>
      <c r="BI572" s="26"/>
    </row>
    <row r="573" ht="14.25" customHeight="1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26"/>
      <c r="AB573" s="26"/>
      <c r="AC573" s="26"/>
      <c r="AD573" s="26"/>
      <c r="AE573" s="26"/>
      <c r="AF573" s="26"/>
      <c r="AG573" s="26"/>
      <c r="AH573" s="26"/>
      <c r="AI573" s="26"/>
      <c r="AJ573" s="26"/>
      <c r="AK573" s="26"/>
      <c r="AL573" s="26"/>
      <c r="AM573" s="26"/>
      <c r="AN573" s="26"/>
      <c r="AO573" s="26"/>
      <c r="AP573" s="26"/>
      <c r="AQ573" s="26"/>
      <c r="AR573" s="26"/>
      <c r="AS573" s="26"/>
      <c r="AT573" s="26"/>
      <c r="AU573" s="26"/>
      <c r="AV573" s="26"/>
      <c r="AW573" s="26"/>
      <c r="AX573" s="26"/>
      <c r="AY573" s="26"/>
      <c r="AZ573" s="26"/>
      <c r="BA573" s="26"/>
      <c r="BB573" s="26"/>
      <c r="BC573" s="26"/>
      <c r="BD573" s="26"/>
      <c r="BE573" s="26"/>
      <c r="BF573" s="26"/>
      <c r="BG573" s="26"/>
      <c r="BH573" s="26"/>
      <c r="BI573" s="26"/>
    </row>
    <row r="574" ht="14.25" customHeight="1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  <c r="AC574" s="26"/>
      <c r="AD574" s="26"/>
      <c r="AE574" s="26"/>
      <c r="AF574" s="26"/>
      <c r="AG574" s="26"/>
      <c r="AH574" s="26"/>
      <c r="AI574" s="26"/>
      <c r="AJ574" s="26"/>
      <c r="AK574" s="26"/>
      <c r="AL574" s="26"/>
      <c r="AM574" s="26"/>
      <c r="AN574" s="26"/>
      <c r="AO574" s="26"/>
      <c r="AP574" s="26"/>
      <c r="AQ574" s="26"/>
      <c r="AR574" s="26"/>
      <c r="AS574" s="26"/>
      <c r="AT574" s="26"/>
      <c r="AU574" s="26"/>
      <c r="AV574" s="26"/>
      <c r="AW574" s="26"/>
      <c r="AX574" s="26"/>
      <c r="AY574" s="26"/>
      <c r="AZ574" s="26"/>
      <c r="BA574" s="26"/>
      <c r="BB574" s="26"/>
      <c r="BC574" s="26"/>
      <c r="BD574" s="26"/>
      <c r="BE574" s="26"/>
      <c r="BF574" s="26"/>
      <c r="BG574" s="26"/>
      <c r="BH574" s="26"/>
      <c r="BI574" s="26"/>
    </row>
    <row r="575" ht="14.25" customHeight="1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26"/>
      <c r="AB575" s="26"/>
      <c r="AC575" s="26"/>
      <c r="AD575" s="26"/>
      <c r="AE575" s="26"/>
      <c r="AF575" s="26"/>
      <c r="AG575" s="26"/>
      <c r="AH575" s="26"/>
      <c r="AI575" s="26"/>
      <c r="AJ575" s="26"/>
      <c r="AK575" s="26"/>
      <c r="AL575" s="26"/>
      <c r="AM575" s="26"/>
      <c r="AN575" s="26"/>
      <c r="AO575" s="26"/>
      <c r="AP575" s="26"/>
      <c r="AQ575" s="26"/>
      <c r="AR575" s="26"/>
      <c r="AS575" s="26"/>
      <c r="AT575" s="26"/>
      <c r="AU575" s="26"/>
      <c r="AV575" s="26"/>
      <c r="AW575" s="26"/>
      <c r="AX575" s="26"/>
      <c r="AY575" s="26"/>
      <c r="AZ575" s="26"/>
      <c r="BA575" s="26"/>
      <c r="BB575" s="26"/>
      <c r="BC575" s="26"/>
      <c r="BD575" s="26"/>
      <c r="BE575" s="26"/>
      <c r="BF575" s="26"/>
      <c r="BG575" s="26"/>
      <c r="BH575" s="26"/>
      <c r="BI575" s="26"/>
    </row>
    <row r="576" ht="14.25" customHeight="1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  <c r="AC576" s="26"/>
      <c r="AD576" s="26"/>
      <c r="AE576" s="26"/>
      <c r="AF576" s="26"/>
      <c r="AG576" s="26"/>
      <c r="AH576" s="26"/>
      <c r="AI576" s="26"/>
      <c r="AJ576" s="26"/>
      <c r="AK576" s="26"/>
      <c r="AL576" s="26"/>
      <c r="AM576" s="26"/>
      <c r="AN576" s="26"/>
      <c r="AO576" s="26"/>
      <c r="AP576" s="26"/>
      <c r="AQ576" s="26"/>
      <c r="AR576" s="26"/>
      <c r="AS576" s="26"/>
      <c r="AT576" s="26"/>
      <c r="AU576" s="26"/>
      <c r="AV576" s="26"/>
      <c r="AW576" s="26"/>
      <c r="AX576" s="26"/>
      <c r="AY576" s="26"/>
      <c r="AZ576" s="26"/>
      <c r="BA576" s="26"/>
      <c r="BB576" s="26"/>
      <c r="BC576" s="26"/>
      <c r="BD576" s="26"/>
      <c r="BE576" s="26"/>
      <c r="BF576" s="26"/>
      <c r="BG576" s="26"/>
      <c r="BH576" s="26"/>
      <c r="BI576" s="26"/>
    </row>
    <row r="577" ht="14.25" customHeight="1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  <c r="AA577" s="26"/>
      <c r="AB577" s="26"/>
      <c r="AC577" s="26"/>
      <c r="AD577" s="26"/>
      <c r="AE577" s="26"/>
      <c r="AF577" s="26"/>
      <c r="AG577" s="26"/>
      <c r="AH577" s="26"/>
      <c r="AI577" s="26"/>
      <c r="AJ577" s="26"/>
      <c r="AK577" s="26"/>
      <c r="AL577" s="26"/>
      <c r="AM577" s="26"/>
      <c r="AN577" s="26"/>
      <c r="AO577" s="26"/>
      <c r="AP577" s="26"/>
      <c r="AQ577" s="26"/>
      <c r="AR577" s="26"/>
      <c r="AS577" s="26"/>
      <c r="AT577" s="26"/>
      <c r="AU577" s="26"/>
      <c r="AV577" s="26"/>
      <c r="AW577" s="26"/>
      <c r="AX577" s="26"/>
      <c r="AY577" s="26"/>
      <c r="AZ577" s="26"/>
      <c r="BA577" s="26"/>
      <c r="BB577" s="26"/>
      <c r="BC577" s="26"/>
      <c r="BD577" s="26"/>
      <c r="BE577" s="26"/>
      <c r="BF577" s="26"/>
      <c r="BG577" s="26"/>
      <c r="BH577" s="26"/>
      <c r="BI577" s="26"/>
    </row>
    <row r="578" ht="14.25" customHeight="1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  <c r="AC578" s="26"/>
      <c r="AD578" s="26"/>
      <c r="AE578" s="26"/>
      <c r="AF578" s="26"/>
      <c r="AG578" s="26"/>
      <c r="AH578" s="26"/>
      <c r="AI578" s="26"/>
      <c r="AJ578" s="26"/>
      <c r="AK578" s="26"/>
      <c r="AL578" s="26"/>
      <c r="AM578" s="26"/>
      <c r="AN578" s="26"/>
      <c r="AO578" s="26"/>
      <c r="AP578" s="26"/>
      <c r="AQ578" s="26"/>
      <c r="AR578" s="26"/>
      <c r="AS578" s="26"/>
      <c r="AT578" s="26"/>
      <c r="AU578" s="26"/>
      <c r="AV578" s="26"/>
      <c r="AW578" s="26"/>
      <c r="AX578" s="26"/>
      <c r="AY578" s="26"/>
      <c r="AZ578" s="26"/>
      <c r="BA578" s="26"/>
      <c r="BB578" s="26"/>
      <c r="BC578" s="26"/>
      <c r="BD578" s="26"/>
      <c r="BE578" s="26"/>
      <c r="BF578" s="26"/>
      <c r="BG578" s="26"/>
      <c r="BH578" s="26"/>
      <c r="BI578" s="26"/>
    </row>
    <row r="579" ht="14.25" customHeight="1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  <c r="AC579" s="26"/>
      <c r="AD579" s="26"/>
      <c r="AE579" s="26"/>
      <c r="AF579" s="26"/>
      <c r="AG579" s="26"/>
      <c r="AH579" s="26"/>
      <c r="AI579" s="26"/>
      <c r="AJ579" s="26"/>
      <c r="AK579" s="26"/>
      <c r="AL579" s="26"/>
      <c r="AM579" s="26"/>
      <c r="AN579" s="26"/>
      <c r="AO579" s="26"/>
      <c r="AP579" s="26"/>
      <c r="AQ579" s="26"/>
      <c r="AR579" s="26"/>
      <c r="AS579" s="26"/>
      <c r="AT579" s="26"/>
      <c r="AU579" s="26"/>
      <c r="AV579" s="26"/>
      <c r="AW579" s="26"/>
      <c r="AX579" s="26"/>
      <c r="AY579" s="26"/>
      <c r="AZ579" s="26"/>
      <c r="BA579" s="26"/>
      <c r="BB579" s="26"/>
      <c r="BC579" s="26"/>
      <c r="BD579" s="26"/>
      <c r="BE579" s="26"/>
      <c r="BF579" s="26"/>
      <c r="BG579" s="26"/>
      <c r="BH579" s="26"/>
      <c r="BI579" s="26"/>
    </row>
    <row r="580" ht="14.25" customHeight="1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  <c r="AC580" s="26"/>
      <c r="AD580" s="26"/>
      <c r="AE580" s="26"/>
      <c r="AF580" s="26"/>
      <c r="AG580" s="26"/>
      <c r="AH580" s="26"/>
      <c r="AI580" s="26"/>
      <c r="AJ580" s="26"/>
      <c r="AK580" s="26"/>
      <c r="AL580" s="26"/>
      <c r="AM580" s="26"/>
      <c r="AN580" s="26"/>
      <c r="AO580" s="26"/>
      <c r="AP580" s="26"/>
      <c r="AQ580" s="26"/>
      <c r="AR580" s="26"/>
      <c r="AS580" s="26"/>
      <c r="AT580" s="26"/>
      <c r="AU580" s="26"/>
      <c r="AV580" s="26"/>
      <c r="AW580" s="26"/>
      <c r="AX580" s="26"/>
      <c r="AY580" s="26"/>
      <c r="AZ580" s="26"/>
      <c r="BA580" s="26"/>
      <c r="BB580" s="26"/>
      <c r="BC580" s="26"/>
      <c r="BD580" s="26"/>
      <c r="BE580" s="26"/>
      <c r="BF580" s="26"/>
      <c r="BG580" s="26"/>
      <c r="BH580" s="26"/>
      <c r="BI580" s="26"/>
    </row>
    <row r="581" ht="14.25" customHeight="1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  <c r="AC581" s="26"/>
      <c r="AD581" s="26"/>
      <c r="AE581" s="26"/>
      <c r="AF581" s="26"/>
      <c r="AG581" s="26"/>
      <c r="AH581" s="26"/>
      <c r="AI581" s="26"/>
      <c r="AJ581" s="26"/>
      <c r="AK581" s="26"/>
      <c r="AL581" s="26"/>
      <c r="AM581" s="26"/>
      <c r="AN581" s="26"/>
      <c r="AO581" s="26"/>
      <c r="AP581" s="26"/>
      <c r="AQ581" s="26"/>
      <c r="AR581" s="26"/>
      <c r="AS581" s="26"/>
      <c r="AT581" s="26"/>
      <c r="AU581" s="26"/>
      <c r="AV581" s="26"/>
      <c r="AW581" s="26"/>
      <c r="AX581" s="26"/>
      <c r="AY581" s="26"/>
      <c r="AZ581" s="26"/>
      <c r="BA581" s="26"/>
      <c r="BB581" s="26"/>
      <c r="BC581" s="26"/>
      <c r="BD581" s="26"/>
      <c r="BE581" s="26"/>
      <c r="BF581" s="26"/>
      <c r="BG581" s="26"/>
      <c r="BH581" s="26"/>
      <c r="BI581" s="26"/>
    </row>
    <row r="582" ht="14.25" customHeight="1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  <c r="AC582" s="26"/>
      <c r="AD582" s="26"/>
      <c r="AE582" s="26"/>
      <c r="AF582" s="26"/>
      <c r="AG582" s="26"/>
      <c r="AH582" s="26"/>
      <c r="AI582" s="26"/>
      <c r="AJ582" s="26"/>
      <c r="AK582" s="26"/>
      <c r="AL582" s="26"/>
      <c r="AM582" s="26"/>
      <c r="AN582" s="26"/>
      <c r="AO582" s="26"/>
      <c r="AP582" s="26"/>
      <c r="AQ582" s="26"/>
      <c r="AR582" s="26"/>
      <c r="AS582" s="26"/>
      <c r="AT582" s="26"/>
      <c r="AU582" s="26"/>
      <c r="AV582" s="26"/>
      <c r="AW582" s="26"/>
      <c r="AX582" s="26"/>
      <c r="AY582" s="26"/>
      <c r="AZ582" s="26"/>
      <c r="BA582" s="26"/>
      <c r="BB582" s="26"/>
      <c r="BC582" s="26"/>
      <c r="BD582" s="26"/>
      <c r="BE582" s="26"/>
      <c r="BF582" s="26"/>
      <c r="BG582" s="26"/>
      <c r="BH582" s="26"/>
      <c r="BI582" s="26"/>
    </row>
    <row r="583" ht="14.25" customHeight="1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  <c r="AB583" s="26"/>
      <c r="AC583" s="26"/>
      <c r="AD583" s="26"/>
      <c r="AE583" s="26"/>
      <c r="AF583" s="26"/>
      <c r="AG583" s="26"/>
      <c r="AH583" s="26"/>
      <c r="AI583" s="26"/>
      <c r="AJ583" s="26"/>
      <c r="AK583" s="26"/>
      <c r="AL583" s="26"/>
      <c r="AM583" s="26"/>
      <c r="AN583" s="26"/>
      <c r="AO583" s="26"/>
      <c r="AP583" s="26"/>
      <c r="AQ583" s="26"/>
      <c r="AR583" s="26"/>
      <c r="AS583" s="26"/>
      <c r="AT583" s="26"/>
      <c r="AU583" s="26"/>
      <c r="AV583" s="26"/>
      <c r="AW583" s="26"/>
      <c r="AX583" s="26"/>
      <c r="AY583" s="26"/>
      <c r="AZ583" s="26"/>
      <c r="BA583" s="26"/>
      <c r="BB583" s="26"/>
      <c r="BC583" s="26"/>
      <c r="BD583" s="26"/>
      <c r="BE583" s="26"/>
      <c r="BF583" s="26"/>
      <c r="BG583" s="26"/>
      <c r="BH583" s="26"/>
      <c r="BI583" s="26"/>
    </row>
    <row r="584" ht="14.25" customHeight="1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  <c r="AC584" s="26"/>
      <c r="AD584" s="26"/>
      <c r="AE584" s="26"/>
      <c r="AF584" s="26"/>
      <c r="AG584" s="26"/>
      <c r="AH584" s="26"/>
      <c r="AI584" s="26"/>
      <c r="AJ584" s="26"/>
      <c r="AK584" s="26"/>
      <c r="AL584" s="26"/>
      <c r="AM584" s="26"/>
      <c r="AN584" s="26"/>
      <c r="AO584" s="26"/>
      <c r="AP584" s="26"/>
      <c r="AQ584" s="26"/>
      <c r="AR584" s="26"/>
      <c r="AS584" s="26"/>
      <c r="AT584" s="26"/>
      <c r="AU584" s="26"/>
      <c r="AV584" s="26"/>
      <c r="AW584" s="26"/>
      <c r="AX584" s="26"/>
      <c r="AY584" s="26"/>
      <c r="AZ584" s="26"/>
      <c r="BA584" s="26"/>
      <c r="BB584" s="26"/>
      <c r="BC584" s="26"/>
      <c r="BD584" s="26"/>
      <c r="BE584" s="26"/>
      <c r="BF584" s="26"/>
      <c r="BG584" s="26"/>
      <c r="BH584" s="26"/>
      <c r="BI584" s="26"/>
    </row>
    <row r="585" ht="14.25" customHeight="1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/>
      <c r="AB585" s="26"/>
      <c r="AC585" s="26"/>
      <c r="AD585" s="26"/>
      <c r="AE585" s="26"/>
      <c r="AF585" s="26"/>
      <c r="AG585" s="26"/>
      <c r="AH585" s="26"/>
      <c r="AI585" s="26"/>
      <c r="AJ585" s="26"/>
      <c r="AK585" s="26"/>
      <c r="AL585" s="26"/>
      <c r="AM585" s="26"/>
      <c r="AN585" s="26"/>
      <c r="AO585" s="26"/>
      <c r="AP585" s="26"/>
      <c r="AQ585" s="26"/>
      <c r="AR585" s="26"/>
      <c r="AS585" s="26"/>
      <c r="AT585" s="26"/>
      <c r="AU585" s="26"/>
      <c r="AV585" s="26"/>
      <c r="AW585" s="26"/>
      <c r="AX585" s="26"/>
      <c r="AY585" s="26"/>
      <c r="AZ585" s="26"/>
      <c r="BA585" s="26"/>
      <c r="BB585" s="26"/>
      <c r="BC585" s="26"/>
      <c r="BD585" s="26"/>
      <c r="BE585" s="26"/>
      <c r="BF585" s="26"/>
      <c r="BG585" s="26"/>
      <c r="BH585" s="26"/>
      <c r="BI585" s="26"/>
    </row>
    <row r="586" ht="14.25" customHeight="1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  <c r="AC586" s="26"/>
      <c r="AD586" s="26"/>
      <c r="AE586" s="26"/>
      <c r="AF586" s="26"/>
      <c r="AG586" s="26"/>
      <c r="AH586" s="26"/>
      <c r="AI586" s="26"/>
      <c r="AJ586" s="26"/>
      <c r="AK586" s="26"/>
      <c r="AL586" s="26"/>
      <c r="AM586" s="26"/>
      <c r="AN586" s="26"/>
      <c r="AO586" s="26"/>
      <c r="AP586" s="26"/>
      <c r="AQ586" s="26"/>
      <c r="AR586" s="26"/>
      <c r="AS586" s="26"/>
      <c r="AT586" s="26"/>
      <c r="AU586" s="26"/>
      <c r="AV586" s="26"/>
      <c r="AW586" s="26"/>
      <c r="AX586" s="26"/>
      <c r="AY586" s="26"/>
      <c r="AZ586" s="26"/>
      <c r="BA586" s="26"/>
      <c r="BB586" s="26"/>
      <c r="BC586" s="26"/>
      <c r="BD586" s="26"/>
      <c r="BE586" s="26"/>
      <c r="BF586" s="26"/>
      <c r="BG586" s="26"/>
      <c r="BH586" s="26"/>
      <c r="BI586" s="26"/>
    </row>
    <row r="587" ht="14.25" customHeight="1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  <c r="AC587" s="26"/>
      <c r="AD587" s="26"/>
      <c r="AE587" s="26"/>
      <c r="AF587" s="26"/>
      <c r="AG587" s="26"/>
      <c r="AH587" s="26"/>
      <c r="AI587" s="26"/>
      <c r="AJ587" s="26"/>
      <c r="AK587" s="26"/>
      <c r="AL587" s="26"/>
      <c r="AM587" s="26"/>
      <c r="AN587" s="26"/>
      <c r="AO587" s="26"/>
      <c r="AP587" s="26"/>
      <c r="AQ587" s="26"/>
      <c r="AR587" s="26"/>
      <c r="AS587" s="26"/>
      <c r="AT587" s="26"/>
      <c r="AU587" s="26"/>
      <c r="AV587" s="26"/>
      <c r="AW587" s="26"/>
      <c r="AX587" s="26"/>
      <c r="AY587" s="26"/>
      <c r="AZ587" s="26"/>
      <c r="BA587" s="26"/>
      <c r="BB587" s="26"/>
      <c r="BC587" s="26"/>
      <c r="BD587" s="26"/>
      <c r="BE587" s="26"/>
      <c r="BF587" s="26"/>
      <c r="BG587" s="26"/>
      <c r="BH587" s="26"/>
      <c r="BI587" s="26"/>
    </row>
    <row r="588" ht="14.25" customHeight="1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  <c r="AC588" s="26"/>
      <c r="AD588" s="26"/>
      <c r="AE588" s="26"/>
      <c r="AF588" s="26"/>
      <c r="AG588" s="26"/>
      <c r="AH588" s="26"/>
      <c r="AI588" s="26"/>
      <c r="AJ588" s="26"/>
      <c r="AK588" s="26"/>
      <c r="AL588" s="26"/>
      <c r="AM588" s="26"/>
      <c r="AN588" s="26"/>
      <c r="AO588" s="26"/>
      <c r="AP588" s="26"/>
      <c r="AQ588" s="26"/>
      <c r="AR588" s="26"/>
      <c r="AS588" s="26"/>
      <c r="AT588" s="26"/>
      <c r="AU588" s="26"/>
      <c r="AV588" s="26"/>
      <c r="AW588" s="26"/>
      <c r="AX588" s="26"/>
      <c r="AY588" s="26"/>
      <c r="AZ588" s="26"/>
      <c r="BA588" s="26"/>
      <c r="BB588" s="26"/>
      <c r="BC588" s="26"/>
      <c r="BD588" s="26"/>
      <c r="BE588" s="26"/>
      <c r="BF588" s="26"/>
      <c r="BG588" s="26"/>
      <c r="BH588" s="26"/>
      <c r="BI588" s="26"/>
    </row>
    <row r="589" ht="14.25" customHeight="1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/>
      <c r="AB589" s="26"/>
      <c r="AC589" s="26"/>
      <c r="AD589" s="26"/>
      <c r="AE589" s="26"/>
      <c r="AF589" s="26"/>
      <c r="AG589" s="26"/>
      <c r="AH589" s="26"/>
      <c r="AI589" s="26"/>
      <c r="AJ589" s="26"/>
      <c r="AK589" s="26"/>
      <c r="AL589" s="26"/>
      <c r="AM589" s="26"/>
      <c r="AN589" s="26"/>
      <c r="AO589" s="26"/>
      <c r="AP589" s="26"/>
      <c r="AQ589" s="26"/>
      <c r="AR589" s="26"/>
      <c r="AS589" s="26"/>
      <c r="AT589" s="26"/>
      <c r="AU589" s="26"/>
      <c r="AV589" s="26"/>
      <c r="AW589" s="26"/>
      <c r="AX589" s="26"/>
      <c r="AY589" s="26"/>
      <c r="AZ589" s="26"/>
      <c r="BA589" s="26"/>
      <c r="BB589" s="26"/>
      <c r="BC589" s="26"/>
      <c r="BD589" s="26"/>
      <c r="BE589" s="26"/>
      <c r="BF589" s="26"/>
      <c r="BG589" s="26"/>
      <c r="BH589" s="26"/>
      <c r="BI589" s="26"/>
    </row>
    <row r="590" ht="14.25" customHeight="1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  <c r="AC590" s="26"/>
      <c r="AD590" s="26"/>
      <c r="AE590" s="26"/>
      <c r="AF590" s="26"/>
      <c r="AG590" s="26"/>
      <c r="AH590" s="26"/>
      <c r="AI590" s="26"/>
      <c r="AJ590" s="26"/>
      <c r="AK590" s="26"/>
      <c r="AL590" s="26"/>
      <c r="AM590" s="26"/>
      <c r="AN590" s="26"/>
      <c r="AO590" s="26"/>
      <c r="AP590" s="26"/>
      <c r="AQ590" s="26"/>
      <c r="AR590" s="26"/>
      <c r="AS590" s="26"/>
      <c r="AT590" s="26"/>
      <c r="AU590" s="26"/>
      <c r="AV590" s="26"/>
      <c r="AW590" s="26"/>
      <c r="AX590" s="26"/>
      <c r="AY590" s="26"/>
      <c r="AZ590" s="26"/>
      <c r="BA590" s="26"/>
      <c r="BB590" s="26"/>
      <c r="BC590" s="26"/>
      <c r="BD590" s="26"/>
      <c r="BE590" s="26"/>
      <c r="BF590" s="26"/>
      <c r="BG590" s="26"/>
      <c r="BH590" s="26"/>
      <c r="BI590" s="26"/>
    </row>
    <row r="591" ht="14.25" customHeight="1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  <c r="AB591" s="26"/>
      <c r="AC591" s="26"/>
      <c r="AD591" s="26"/>
      <c r="AE591" s="26"/>
      <c r="AF591" s="26"/>
      <c r="AG591" s="26"/>
      <c r="AH591" s="26"/>
      <c r="AI591" s="26"/>
      <c r="AJ591" s="26"/>
      <c r="AK591" s="26"/>
      <c r="AL591" s="26"/>
      <c r="AM591" s="26"/>
      <c r="AN591" s="26"/>
      <c r="AO591" s="26"/>
      <c r="AP591" s="26"/>
      <c r="AQ591" s="26"/>
      <c r="AR591" s="26"/>
      <c r="AS591" s="26"/>
      <c r="AT591" s="26"/>
      <c r="AU591" s="26"/>
      <c r="AV591" s="26"/>
      <c r="AW591" s="26"/>
      <c r="AX591" s="26"/>
      <c r="AY591" s="26"/>
      <c r="AZ591" s="26"/>
      <c r="BA591" s="26"/>
      <c r="BB591" s="26"/>
      <c r="BC591" s="26"/>
      <c r="BD591" s="26"/>
      <c r="BE591" s="26"/>
      <c r="BF591" s="26"/>
      <c r="BG591" s="26"/>
      <c r="BH591" s="26"/>
      <c r="BI591" s="26"/>
    </row>
    <row r="592" ht="14.25" customHeight="1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  <c r="AC592" s="26"/>
      <c r="AD592" s="26"/>
      <c r="AE592" s="26"/>
      <c r="AF592" s="26"/>
      <c r="AG592" s="26"/>
      <c r="AH592" s="26"/>
      <c r="AI592" s="26"/>
      <c r="AJ592" s="26"/>
      <c r="AK592" s="26"/>
      <c r="AL592" s="26"/>
      <c r="AM592" s="26"/>
      <c r="AN592" s="26"/>
      <c r="AO592" s="26"/>
      <c r="AP592" s="26"/>
      <c r="AQ592" s="26"/>
      <c r="AR592" s="26"/>
      <c r="AS592" s="26"/>
      <c r="AT592" s="26"/>
      <c r="AU592" s="26"/>
      <c r="AV592" s="26"/>
      <c r="AW592" s="26"/>
      <c r="AX592" s="26"/>
      <c r="AY592" s="26"/>
      <c r="AZ592" s="26"/>
      <c r="BA592" s="26"/>
      <c r="BB592" s="26"/>
      <c r="BC592" s="26"/>
      <c r="BD592" s="26"/>
      <c r="BE592" s="26"/>
      <c r="BF592" s="26"/>
      <c r="BG592" s="26"/>
      <c r="BH592" s="26"/>
      <c r="BI592" s="26"/>
    </row>
    <row r="593" ht="14.25" customHeight="1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26"/>
      <c r="AB593" s="26"/>
      <c r="AC593" s="26"/>
      <c r="AD593" s="26"/>
      <c r="AE593" s="26"/>
      <c r="AF593" s="26"/>
      <c r="AG593" s="26"/>
      <c r="AH593" s="26"/>
      <c r="AI593" s="26"/>
      <c r="AJ593" s="26"/>
      <c r="AK593" s="26"/>
      <c r="AL593" s="26"/>
      <c r="AM593" s="26"/>
      <c r="AN593" s="26"/>
      <c r="AO593" s="26"/>
      <c r="AP593" s="26"/>
      <c r="AQ593" s="26"/>
      <c r="AR593" s="26"/>
      <c r="AS593" s="26"/>
      <c r="AT593" s="26"/>
      <c r="AU593" s="26"/>
      <c r="AV593" s="26"/>
      <c r="AW593" s="26"/>
      <c r="AX593" s="26"/>
      <c r="AY593" s="26"/>
      <c r="AZ593" s="26"/>
      <c r="BA593" s="26"/>
      <c r="BB593" s="26"/>
      <c r="BC593" s="26"/>
      <c r="BD593" s="26"/>
      <c r="BE593" s="26"/>
      <c r="BF593" s="26"/>
      <c r="BG593" s="26"/>
      <c r="BH593" s="26"/>
      <c r="BI593" s="26"/>
    </row>
    <row r="594" ht="14.25" customHeight="1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  <c r="AC594" s="26"/>
      <c r="AD594" s="26"/>
      <c r="AE594" s="26"/>
      <c r="AF594" s="26"/>
      <c r="AG594" s="26"/>
      <c r="AH594" s="26"/>
      <c r="AI594" s="26"/>
      <c r="AJ594" s="26"/>
      <c r="AK594" s="26"/>
      <c r="AL594" s="26"/>
      <c r="AM594" s="26"/>
      <c r="AN594" s="26"/>
      <c r="AO594" s="26"/>
      <c r="AP594" s="26"/>
      <c r="AQ594" s="26"/>
      <c r="AR594" s="26"/>
      <c r="AS594" s="26"/>
      <c r="AT594" s="26"/>
      <c r="AU594" s="26"/>
      <c r="AV594" s="26"/>
      <c r="AW594" s="26"/>
      <c r="AX594" s="26"/>
      <c r="AY594" s="26"/>
      <c r="AZ594" s="26"/>
      <c r="BA594" s="26"/>
      <c r="BB594" s="26"/>
      <c r="BC594" s="26"/>
      <c r="BD594" s="26"/>
      <c r="BE594" s="26"/>
      <c r="BF594" s="26"/>
      <c r="BG594" s="26"/>
      <c r="BH594" s="26"/>
      <c r="BI594" s="26"/>
    </row>
    <row r="595" ht="14.25" customHeight="1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26"/>
      <c r="AB595" s="26"/>
      <c r="AC595" s="26"/>
      <c r="AD595" s="26"/>
      <c r="AE595" s="26"/>
      <c r="AF595" s="26"/>
      <c r="AG595" s="26"/>
      <c r="AH595" s="26"/>
      <c r="AI595" s="26"/>
      <c r="AJ595" s="26"/>
      <c r="AK595" s="26"/>
      <c r="AL595" s="26"/>
      <c r="AM595" s="26"/>
      <c r="AN595" s="26"/>
      <c r="AO595" s="26"/>
      <c r="AP595" s="26"/>
      <c r="AQ595" s="26"/>
      <c r="AR595" s="26"/>
      <c r="AS595" s="26"/>
      <c r="AT595" s="26"/>
      <c r="AU595" s="26"/>
      <c r="AV595" s="26"/>
      <c r="AW595" s="26"/>
      <c r="AX595" s="26"/>
      <c r="AY595" s="26"/>
      <c r="AZ595" s="26"/>
      <c r="BA595" s="26"/>
      <c r="BB595" s="26"/>
      <c r="BC595" s="26"/>
      <c r="BD595" s="26"/>
      <c r="BE595" s="26"/>
      <c r="BF595" s="26"/>
      <c r="BG595" s="26"/>
      <c r="BH595" s="26"/>
      <c r="BI595" s="26"/>
    </row>
    <row r="596" ht="14.25" customHeight="1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  <c r="AC596" s="26"/>
      <c r="AD596" s="26"/>
      <c r="AE596" s="26"/>
      <c r="AF596" s="26"/>
      <c r="AG596" s="26"/>
      <c r="AH596" s="26"/>
      <c r="AI596" s="26"/>
      <c r="AJ596" s="26"/>
      <c r="AK596" s="26"/>
      <c r="AL596" s="26"/>
      <c r="AM596" s="26"/>
      <c r="AN596" s="26"/>
      <c r="AO596" s="26"/>
      <c r="AP596" s="26"/>
      <c r="AQ596" s="26"/>
      <c r="AR596" s="26"/>
      <c r="AS596" s="26"/>
      <c r="AT596" s="26"/>
      <c r="AU596" s="26"/>
      <c r="AV596" s="26"/>
      <c r="AW596" s="26"/>
      <c r="AX596" s="26"/>
      <c r="AY596" s="26"/>
      <c r="AZ596" s="26"/>
      <c r="BA596" s="26"/>
      <c r="BB596" s="26"/>
      <c r="BC596" s="26"/>
      <c r="BD596" s="26"/>
      <c r="BE596" s="26"/>
      <c r="BF596" s="26"/>
      <c r="BG596" s="26"/>
      <c r="BH596" s="26"/>
      <c r="BI596" s="26"/>
    </row>
    <row r="597" ht="14.25" customHeight="1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  <c r="AC597" s="26"/>
      <c r="AD597" s="26"/>
      <c r="AE597" s="26"/>
      <c r="AF597" s="26"/>
      <c r="AG597" s="26"/>
      <c r="AH597" s="26"/>
      <c r="AI597" s="26"/>
      <c r="AJ597" s="26"/>
      <c r="AK597" s="26"/>
      <c r="AL597" s="26"/>
      <c r="AM597" s="26"/>
      <c r="AN597" s="26"/>
      <c r="AO597" s="26"/>
      <c r="AP597" s="26"/>
      <c r="AQ597" s="26"/>
      <c r="AR597" s="26"/>
      <c r="AS597" s="26"/>
      <c r="AT597" s="26"/>
      <c r="AU597" s="26"/>
      <c r="AV597" s="26"/>
      <c r="AW597" s="26"/>
      <c r="AX597" s="26"/>
      <c r="AY597" s="26"/>
      <c r="AZ597" s="26"/>
      <c r="BA597" s="26"/>
      <c r="BB597" s="26"/>
      <c r="BC597" s="26"/>
      <c r="BD597" s="26"/>
      <c r="BE597" s="26"/>
      <c r="BF597" s="26"/>
      <c r="BG597" s="26"/>
      <c r="BH597" s="26"/>
      <c r="BI597" s="26"/>
    </row>
    <row r="598" ht="14.25" customHeight="1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  <c r="AC598" s="26"/>
      <c r="AD598" s="26"/>
      <c r="AE598" s="26"/>
      <c r="AF598" s="26"/>
      <c r="AG598" s="26"/>
      <c r="AH598" s="26"/>
      <c r="AI598" s="26"/>
      <c r="AJ598" s="26"/>
      <c r="AK598" s="26"/>
      <c r="AL598" s="26"/>
      <c r="AM598" s="26"/>
      <c r="AN598" s="26"/>
      <c r="AO598" s="26"/>
      <c r="AP598" s="26"/>
      <c r="AQ598" s="26"/>
      <c r="AR598" s="26"/>
      <c r="AS598" s="26"/>
      <c r="AT598" s="26"/>
      <c r="AU598" s="26"/>
      <c r="AV598" s="26"/>
      <c r="AW598" s="26"/>
      <c r="AX598" s="26"/>
      <c r="AY598" s="26"/>
      <c r="AZ598" s="26"/>
      <c r="BA598" s="26"/>
      <c r="BB598" s="26"/>
      <c r="BC598" s="26"/>
      <c r="BD598" s="26"/>
      <c r="BE598" s="26"/>
      <c r="BF598" s="26"/>
      <c r="BG598" s="26"/>
      <c r="BH598" s="26"/>
      <c r="BI598" s="26"/>
    </row>
    <row r="599" ht="14.25" customHeight="1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  <c r="AB599" s="26"/>
      <c r="AC599" s="26"/>
      <c r="AD599" s="26"/>
      <c r="AE599" s="26"/>
      <c r="AF599" s="26"/>
      <c r="AG599" s="26"/>
      <c r="AH599" s="26"/>
      <c r="AI599" s="26"/>
      <c r="AJ599" s="26"/>
      <c r="AK599" s="26"/>
      <c r="AL599" s="26"/>
      <c r="AM599" s="26"/>
      <c r="AN599" s="26"/>
      <c r="AO599" s="26"/>
      <c r="AP599" s="26"/>
      <c r="AQ599" s="26"/>
      <c r="AR599" s="26"/>
      <c r="AS599" s="26"/>
      <c r="AT599" s="26"/>
      <c r="AU599" s="26"/>
      <c r="AV599" s="26"/>
      <c r="AW599" s="26"/>
      <c r="AX599" s="26"/>
      <c r="AY599" s="26"/>
      <c r="AZ599" s="26"/>
      <c r="BA599" s="26"/>
      <c r="BB599" s="26"/>
      <c r="BC599" s="26"/>
      <c r="BD599" s="26"/>
      <c r="BE599" s="26"/>
      <c r="BF599" s="26"/>
      <c r="BG599" s="26"/>
      <c r="BH599" s="26"/>
      <c r="BI599" s="26"/>
    </row>
    <row r="600" ht="14.25" customHeight="1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  <c r="AC600" s="26"/>
      <c r="AD600" s="26"/>
      <c r="AE600" s="26"/>
      <c r="AF600" s="26"/>
      <c r="AG600" s="26"/>
      <c r="AH600" s="26"/>
      <c r="AI600" s="26"/>
      <c r="AJ600" s="26"/>
      <c r="AK600" s="26"/>
      <c r="AL600" s="26"/>
      <c r="AM600" s="26"/>
      <c r="AN600" s="26"/>
      <c r="AO600" s="26"/>
      <c r="AP600" s="26"/>
      <c r="AQ600" s="26"/>
      <c r="AR600" s="26"/>
      <c r="AS600" s="26"/>
      <c r="AT600" s="26"/>
      <c r="AU600" s="26"/>
      <c r="AV600" s="26"/>
      <c r="AW600" s="26"/>
      <c r="AX600" s="26"/>
      <c r="AY600" s="26"/>
      <c r="AZ600" s="26"/>
      <c r="BA600" s="26"/>
      <c r="BB600" s="26"/>
      <c r="BC600" s="26"/>
      <c r="BD600" s="26"/>
      <c r="BE600" s="26"/>
      <c r="BF600" s="26"/>
      <c r="BG600" s="26"/>
      <c r="BH600" s="26"/>
      <c r="BI600" s="26"/>
    </row>
    <row r="601" ht="14.25" customHeight="1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26"/>
      <c r="AB601" s="26"/>
      <c r="AC601" s="26"/>
      <c r="AD601" s="26"/>
      <c r="AE601" s="26"/>
      <c r="AF601" s="26"/>
      <c r="AG601" s="26"/>
      <c r="AH601" s="26"/>
      <c r="AI601" s="26"/>
      <c r="AJ601" s="26"/>
      <c r="AK601" s="26"/>
      <c r="AL601" s="26"/>
      <c r="AM601" s="26"/>
      <c r="AN601" s="26"/>
      <c r="AO601" s="26"/>
      <c r="AP601" s="26"/>
      <c r="AQ601" s="26"/>
      <c r="AR601" s="26"/>
      <c r="AS601" s="26"/>
      <c r="AT601" s="26"/>
      <c r="AU601" s="26"/>
      <c r="AV601" s="26"/>
      <c r="AW601" s="26"/>
      <c r="AX601" s="26"/>
      <c r="AY601" s="26"/>
      <c r="AZ601" s="26"/>
      <c r="BA601" s="26"/>
      <c r="BB601" s="26"/>
      <c r="BC601" s="26"/>
      <c r="BD601" s="26"/>
      <c r="BE601" s="26"/>
      <c r="BF601" s="26"/>
      <c r="BG601" s="26"/>
      <c r="BH601" s="26"/>
      <c r="BI601" s="26"/>
    </row>
    <row r="602" ht="14.25" customHeight="1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  <c r="AB602" s="26"/>
      <c r="AC602" s="26"/>
      <c r="AD602" s="26"/>
      <c r="AE602" s="26"/>
      <c r="AF602" s="26"/>
      <c r="AG602" s="26"/>
      <c r="AH602" s="26"/>
      <c r="AI602" s="26"/>
      <c r="AJ602" s="26"/>
      <c r="AK602" s="26"/>
      <c r="AL602" s="26"/>
      <c r="AM602" s="26"/>
      <c r="AN602" s="26"/>
      <c r="AO602" s="26"/>
      <c r="AP602" s="26"/>
      <c r="AQ602" s="26"/>
      <c r="AR602" s="26"/>
      <c r="AS602" s="26"/>
      <c r="AT602" s="26"/>
      <c r="AU602" s="26"/>
      <c r="AV602" s="26"/>
      <c r="AW602" s="26"/>
      <c r="AX602" s="26"/>
      <c r="AY602" s="26"/>
      <c r="AZ602" s="26"/>
      <c r="BA602" s="26"/>
      <c r="BB602" s="26"/>
      <c r="BC602" s="26"/>
      <c r="BD602" s="26"/>
      <c r="BE602" s="26"/>
      <c r="BF602" s="26"/>
      <c r="BG602" s="26"/>
      <c r="BH602" s="26"/>
      <c r="BI602" s="26"/>
    </row>
    <row r="603" ht="14.25" customHeight="1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  <c r="AB603" s="26"/>
      <c r="AC603" s="26"/>
      <c r="AD603" s="26"/>
      <c r="AE603" s="26"/>
      <c r="AF603" s="26"/>
      <c r="AG603" s="26"/>
      <c r="AH603" s="26"/>
      <c r="AI603" s="26"/>
      <c r="AJ603" s="26"/>
      <c r="AK603" s="26"/>
      <c r="AL603" s="26"/>
      <c r="AM603" s="26"/>
      <c r="AN603" s="26"/>
      <c r="AO603" s="26"/>
      <c r="AP603" s="26"/>
      <c r="AQ603" s="26"/>
      <c r="AR603" s="26"/>
      <c r="AS603" s="26"/>
      <c r="AT603" s="26"/>
      <c r="AU603" s="26"/>
      <c r="AV603" s="26"/>
      <c r="AW603" s="26"/>
      <c r="AX603" s="26"/>
      <c r="AY603" s="26"/>
      <c r="AZ603" s="26"/>
      <c r="BA603" s="26"/>
      <c r="BB603" s="26"/>
      <c r="BC603" s="26"/>
      <c r="BD603" s="26"/>
      <c r="BE603" s="26"/>
      <c r="BF603" s="26"/>
      <c r="BG603" s="26"/>
      <c r="BH603" s="26"/>
      <c r="BI603" s="26"/>
    </row>
    <row r="604" ht="14.25" customHeight="1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  <c r="AC604" s="26"/>
      <c r="AD604" s="26"/>
      <c r="AE604" s="26"/>
      <c r="AF604" s="26"/>
      <c r="AG604" s="26"/>
      <c r="AH604" s="26"/>
      <c r="AI604" s="26"/>
      <c r="AJ604" s="26"/>
      <c r="AK604" s="26"/>
      <c r="AL604" s="26"/>
      <c r="AM604" s="26"/>
      <c r="AN604" s="26"/>
      <c r="AO604" s="26"/>
      <c r="AP604" s="26"/>
      <c r="AQ604" s="26"/>
      <c r="AR604" s="26"/>
      <c r="AS604" s="26"/>
      <c r="AT604" s="26"/>
      <c r="AU604" s="26"/>
      <c r="AV604" s="26"/>
      <c r="AW604" s="26"/>
      <c r="AX604" s="26"/>
      <c r="AY604" s="26"/>
      <c r="AZ604" s="26"/>
      <c r="BA604" s="26"/>
      <c r="BB604" s="26"/>
      <c r="BC604" s="26"/>
      <c r="BD604" s="26"/>
      <c r="BE604" s="26"/>
      <c r="BF604" s="26"/>
      <c r="BG604" s="26"/>
      <c r="BH604" s="26"/>
      <c r="BI604" s="26"/>
    </row>
    <row r="605" ht="14.25" customHeight="1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  <c r="AB605" s="26"/>
      <c r="AC605" s="26"/>
      <c r="AD605" s="26"/>
      <c r="AE605" s="26"/>
      <c r="AF605" s="26"/>
      <c r="AG605" s="26"/>
      <c r="AH605" s="26"/>
      <c r="AI605" s="26"/>
      <c r="AJ605" s="26"/>
      <c r="AK605" s="26"/>
      <c r="AL605" s="26"/>
      <c r="AM605" s="26"/>
      <c r="AN605" s="26"/>
      <c r="AO605" s="26"/>
      <c r="AP605" s="26"/>
      <c r="AQ605" s="26"/>
      <c r="AR605" s="26"/>
      <c r="AS605" s="26"/>
      <c r="AT605" s="26"/>
      <c r="AU605" s="26"/>
      <c r="AV605" s="26"/>
      <c r="AW605" s="26"/>
      <c r="AX605" s="26"/>
      <c r="AY605" s="26"/>
      <c r="AZ605" s="26"/>
      <c r="BA605" s="26"/>
      <c r="BB605" s="26"/>
      <c r="BC605" s="26"/>
      <c r="BD605" s="26"/>
      <c r="BE605" s="26"/>
      <c r="BF605" s="26"/>
      <c r="BG605" s="26"/>
      <c r="BH605" s="26"/>
      <c r="BI605" s="26"/>
    </row>
    <row r="606" ht="14.25" customHeight="1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  <c r="AC606" s="26"/>
      <c r="AD606" s="26"/>
      <c r="AE606" s="26"/>
      <c r="AF606" s="26"/>
      <c r="AG606" s="26"/>
      <c r="AH606" s="26"/>
      <c r="AI606" s="26"/>
      <c r="AJ606" s="26"/>
      <c r="AK606" s="26"/>
      <c r="AL606" s="26"/>
      <c r="AM606" s="26"/>
      <c r="AN606" s="26"/>
      <c r="AO606" s="26"/>
      <c r="AP606" s="26"/>
      <c r="AQ606" s="26"/>
      <c r="AR606" s="26"/>
      <c r="AS606" s="26"/>
      <c r="AT606" s="26"/>
      <c r="AU606" s="26"/>
      <c r="AV606" s="26"/>
      <c r="AW606" s="26"/>
      <c r="AX606" s="26"/>
      <c r="AY606" s="26"/>
      <c r="AZ606" s="26"/>
      <c r="BA606" s="26"/>
      <c r="BB606" s="26"/>
      <c r="BC606" s="26"/>
      <c r="BD606" s="26"/>
      <c r="BE606" s="26"/>
      <c r="BF606" s="26"/>
      <c r="BG606" s="26"/>
      <c r="BH606" s="26"/>
      <c r="BI606" s="26"/>
    </row>
    <row r="607" ht="14.25" customHeight="1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/>
      <c r="AB607" s="26"/>
      <c r="AC607" s="26"/>
      <c r="AD607" s="26"/>
      <c r="AE607" s="26"/>
      <c r="AF607" s="26"/>
      <c r="AG607" s="26"/>
      <c r="AH607" s="26"/>
      <c r="AI607" s="26"/>
      <c r="AJ607" s="26"/>
      <c r="AK607" s="26"/>
      <c r="AL607" s="26"/>
      <c r="AM607" s="26"/>
      <c r="AN607" s="26"/>
      <c r="AO607" s="26"/>
      <c r="AP607" s="26"/>
      <c r="AQ607" s="26"/>
      <c r="AR607" s="26"/>
      <c r="AS607" s="26"/>
      <c r="AT607" s="26"/>
      <c r="AU607" s="26"/>
      <c r="AV607" s="26"/>
      <c r="AW607" s="26"/>
      <c r="AX607" s="26"/>
      <c r="AY607" s="26"/>
      <c r="AZ607" s="26"/>
      <c r="BA607" s="26"/>
      <c r="BB607" s="26"/>
      <c r="BC607" s="26"/>
      <c r="BD607" s="26"/>
      <c r="BE607" s="26"/>
      <c r="BF607" s="26"/>
      <c r="BG607" s="26"/>
      <c r="BH607" s="26"/>
      <c r="BI607" s="26"/>
    </row>
    <row r="608" ht="14.25" customHeight="1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  <c r="AC608" s="26"/>
      <c r="AD608" s="26"/>
      <c r="AE608" s="26"/>
      <c r="AF608" s="26"/>
      <c r="AG608" s="26"/>
      <c r="AH608" s="26"/>
      <c r="AI608" s="26"/>
      <c r="AJ608" s="26"/>
      <c r="AK608" s="26"/>
      <c r="AL608" s="26"/>
      <c r="AM608" s="26"/>
      <c r="AN608" s="26"/>
      <c r="AO608" s="26"/>
      <c r="AP608" s="26"/>
      <c r="AQ608" s="26"/>
      <c r="AR608" s="26"/>
      <c r="AS608" s="26"/>
      <c r="AT608" s="26"/>
      <c r="AU608" s="26"/>
      <c r="AV608" s="26"/>
      <c r="AW608" s="26"/>
      <c r="AX608" s="26"/>
      <c r="AY608" s="26"/>
      <c r="AZ608" s="26"/>
      <c r="BA608" s="26"/>
      <c r="BB608" s="26"/>
      <c r="BC608" s="26"/>
      <c r="BD608" s="26"/>
      <c r="BE608" s="26"/>
      <c r="BF608" s="26"/>
      <c r="BG608" s="26"/>
      <c r="BH608" s="26"/>
      <c r="BI608" s="26"/>
    </row>
    <row r="609" ht="14.25" customHeight="1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  <c r="AA609" s="26"/>
      <c r="AB609" s="26"/>
      <c r="AC609" s="26"/>
      <c r="AD609" s="26"/>
      <c r="AE609" s="26"/>
      <c r="AF609" s="26"/>
      <c r="AG609" s="26"/>
      <c r="AH609" s="26"/>
      <c r="AI609" s="26"/>
      <c r="AJ609" s="26"/>
      <c r="AK609" s="26"/>
      <c r="AL609" s="26"/>
      <c r="AM609" s="26"/>
      <c r="AN609" s="26"/>
      <c r="AO609" s="26"/>
      <c r="AP609" s="26"/>
      <c r="AQ609" s="26"/>
      <c r="AR609" s="26"/>
      <c r="AS609" s="26"/>
      <c r="AT609" s="26"/>
      <c r="AU609" s="26"/>
      <c r="AV609" s="26"/>
      <c r="AW609" s="26"/>
      <c r="AX609" s="26"/>
      <c r="AY609" s="26"/>
      <c r="AZ609" s="26"/>
      <c r="BA609" s="26"/>
      <c r="BB609" s="26"/>
      <c r="BC609" s="26"/>
      <c r="BD609" s="26"/>
      <c r="BE609" s="26"/>
      <c r="BF609" s="26"/>
      <c r="BG609" s="26"/>
      <c r="BH609" s="26"/>
      <c r="BI609" s="26"/>
    </row>
    <row r="610" ht="14.25" customHeight="1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  <c r="AC610" s="26"/>
      <c r="AD610" s="26"/>
      <c r="AE610" s="26"/>
      <c r="AF610" s="26"/>
      <c r="AG610" s="26"/>
      <c r="AH610" s="26"/>
      <c r="AI610" s="26"/>
      <c r="AJ610" s="26"/>
      <c r="AK610" s="26"/>
      <c r="AL610" s="26"/>
      <c r="AM610" s="26"/>
      <c r="AN610" s="26"/>
      <c r="AO610" s="26"/>
      <c r="AP610" s="26"/>
      <c r="AQ610" s="26"/>
      <c r="AR610" s="26"/>
      <c r="AS610" s="26"/>
      <c r="AT610" s="26"/>
      <c r="AU610" s="26"/>
      <c r="AV610" s="26"/>
      <c r="AW610" s="26"/>
      <c r="AX610" s="26"/>
      <c r="AY610" s="26"/>
      <c r="AZ610" s="26"/>
      <c r="BA610" s="26"/>
      <c r="BB610" s="26"/>
      <c r="BC610" s="26"/>
      <c r="BD610" s="26"/>
      <c r="BE610" s="26"/>
      <c r="BF610" s="26"/>
      <c r="BG610" s="26"/>
      <c r="BH610" s="26"/>
      <c r="BI610" s="26"/>
    </row>
    <row r="611" ht="14.25" customHeight="1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A611" s="26"/>
      <c r="AB611" s="26"/>
      <c r="AC611" s="26"/>
      <c r="AD611" s="26"/>
      <c r="AE611" s="26"/>
      <c r="AF611" s="26"/>
      <c r="AG611" s="26"/>
      <c r="AH611" s="26"/>
      <c r="AI611" s="26"/>
      <c r="AJ611" s="26"/>
      <c r="AK611" s="26"/>
      <c r="AL611" s="26"/>
      <c r="AM611" s="26"/>
      <c r="AN611" s="26"/>
      <c r="AO611" s="26"/>
      <c r="AP611" s="26"/>
      <c r="AQ611" s="26"/>
      <c r="AR611" s="26"/>
      <c r="AS611" s="26"/>
      <c r="AT611" s="26"/>
      <c r="AU611" s="26"/>
      <c r="AV611" s="26"/>
      <c r="AW611" s="26"/>
      <c r="AX611" s="26"/>
      <c r="AY611" s="26"/>
      <c r="AZ611" s="26"/>
      <c r="BA611" s="26"/>
      <c r="BB611" s="26"/>
      <c r="BC611" s="26"/>
      <c r="BD611" s="26"/>
      <c r="BE611" s="26"/>
      <c r="BF611" s="26"/>
      <c r="BG611" s="26"/>
      <c r="BH611" s="26"/>
      <c r="BI611" s="26"/>
    </row>
    <row r="612" ht="14.25" customHeight="1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  <c r="AC612" s="26"/>
      <c r="AD612" s="26"/>
      <c r="AE612" s="26"/>
      <c r="AF612" s="26"/>
      <c r="AG612" s="26"/>
      <c r="AH612" s="26"/>
      <c r="AI612" s="26"/>
      <c r="AJ612" s="26"/>
      <c r="AK612" s="26"/>
      <c r="AL612" s="26"/>
      <c r="AM612" s="26"/>
      <c r="AN612" s="26"/>
      <c r="AO612" s="26"/>
      <c r="AP612" s="26"/>
      <c r="AQ612" s="26"/>
      <c r="AR612" s="26"/>
      <c r="AS612" s="26"/>
      <c r="AT612" s="26"/>
      <c r="AU612" s="26"/>
      <c r="AV612" s="26"/>
      <c r="AW612" s="26"/>
      <c r="AX612" s="26"/>
      <c r="AY612" s="26"/>
      <c r="AZ612" s="26"/>
      <c r="BA612" s="26"/>
      <c r="BB612" s="26"/>
      <c r="BC612" s="26"/>
      <c r="BD612" s="26"/>
      <c r="BE612" s="26"/>
      <c r="BF612" s="26"/>
      <c r="BG612" s="26"/>
      <c r="BH612" s="26"/>
      <c r="BI612" s="26"/>
    </row>
    <row r="613" ht="14.25" customHeight="1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26"/>
      <c r="AB613" s="26"/>
      <c r="AC613" s="26"/>
      <c r="AD613" s="26"/>
      <c r="AE613" s="26"/>
      <c r="AF613" s="26"/>
      <c r="AG613" s="26"/>
      <c r="AH613" s="26"/>
      <c r="AI613" s="26"/>
      <c r="AJ613" s="26"/>
      <c r="AK613" s="26"/>
      <c r="AL613" s="26"/>
      <c r="AM613" s="26"/>
      <c r="AN613" s="26"/>
      <c r="AO613" s="26"/>
      <c r="AP613" s="26"/>
      <c r="AQ613" s="26"/>
      <c r="AR613" s="26"/>
      <c r="AS613" s="26"/>
      <c r="AT613" s="26"/>
      <c r="AU613" s="26"/>
      <c r="AV613" s="26"/>
      <c r="AW613" s="26"/>
      <c r="AX613" s="26"/>
      <c r="AY613" s="26"/>
      <c r="AZ613" s="26"/>
      <c r="BA613" s="26"/>
      <c r="BB613" s="26"/>
      <c r="BC613" s="26"/>
      <c r="BD613" s="26"/>
      <c r="BE613" s="26"/>
      <c r="BF613" s="26"/>
      <c r="BG613" s="26"/>
      <c r="BH613" s="26"/>
      <c r="BI613" s="26"/>
    </row>
    <row r="614" ht="14.25" customHeight="1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  <c r="AC614" s="26"/>
      <c r="AD614" s="26"/>
      <c r="AE614" s="26"/>
      <c r="AF614" s="26"/>
      <c r="AG614" s="26"/>
      <c r="AH614" s="26"/>
      <c r="AI614" s="26"/>
      <c r="AJ614" s="26"/>
      <c r="AK614" s="26"/>
      <c r="AL614" s="26"/>
      <c r="AM614" s="26"/>
      <c r="AN614" s="26"/>
      <c r="AO614" s="26"/>
      <c r="AP614" s="26"/>
      <c r="AQ614" s="26"/>
      <c r="AR614" s="26"/>
      <c r="AS614" s="26"/>
      <c r="AT614" s="26"/>
      <c r="AU614" s="26"/>
      <c r="AV614" s="26"/>
      <c r="AW614" s="26"/>
      <c r="AX614" s="26"/>
      <c r="AY614" s="26"/>
      <c r="AZ614" s="26"/>
      <c r="BA614" s="26"/>
      <c r="BB614" s="26"/>
      <c r="BC614" s="26"/>
      <c r="BD614" s="26"/>
      <c r="BE614" s="26"/>
      <c r="BF614" s="26"/>
      <c r="BG614" s="26"/>
      <c r="BH614" s="26"/>
      <c r="BI614" s="26"/>
    </row>
    <row r="615" ht="14.25" customHeight="1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A615" s="26"/>
      <c r="AB615" s="26"/>
      <c r="AC615" s="26"/>
      <c r="AD615" s="26"/>
      <c r="AE615" s="26"/>
      <c r="AF615" s="26"/>
      <c r="AG615" s="26"/>
      <c r="AH615" s="26"/>
      <c r="AI615" s="26"/>
      <c r="AJ615" s="26"/>
      <c r="AK615" s="26"/>
      <c r="AL615" s="26"/>
      <c r="AM615" s="26"/>
      <c r="AN615" s="26"/>
      <c r="AO615" s="26"/>
      <c r="AP615" s="26"/>
      <c r="AQ615" s="26"/>
      <c r="AR615" s="26"/>
      <c r="AS615" s="26"/>
      <c r="AT615" s="26"/>
      <c r="AU615" s="26"/>
      <c r="AV615" s="26"/>
      <c r="AW615" s="26"/>
      <c r="AX615" s="26"/>
      <c r="AY615" s="26"/>
      <c r="AZ615" s="26"/>
      <c r="BA615" s="26"/>
      <c r="BB615" s="26"/>
      <c r="BC615" s="26"/>
      <c r="BD615" s="26"/>
      <c r="BE615" s="26"/>
      <c r="BF615" s="26"/>
      <c r="BG615" s="26"/>
      <c r="BH615" s="26"/>
      <c r="BI615" s="26"/>
    </row>
    <row r="616" ht="14.25" customHeight="1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  <c r="AC616" s="26"/>
      <c r="AD616" s="26"/>
      <c r="AE616" s="26"/>
      <c r="AF616" s="26"/>
      <c r="AG616" s="26"/>
      <c r="AH616" s="26"/>
      <c r="AI616" s="26"/>
      <c r="AJ616" s="26"/>
      <c r="AK616" s="26"/>
      <c r="AL616" s="26"/>
      <c r="AM616" s="26"/>
      <c r="AN616" s="26"/>
      <c r="AO616" s="26"/>
      <c r="AP616" s="26"/>
      <c r="AQ616" s="26"/>
      <c r="AR616" s="26"/>
      <c r="AS616" s="26"/>
      <c r="AT616" s="26"/>
      <c r="AU616" s="26"/>
      <c r="AV616" s="26"/>
      <c r="AW616" s="26"/>
      <c r="AX616" s="26"/>
      <c r="AY616" s="26"/>
      <c r="AZ616" s="26"/>
      <c r="BA616" s="26"/>
      <c r="BB616" s="26"/>
      <c r="BC616" s="26"/>
      <c r="BD616" s="26"/>
      <c r="BE616" s="26"/>
      <c r="BF616" s="26"/>
      <c r="BG616" s="26"/>
      <c r="BH616" s="26"/>
      <c r="BI616" s="26"/>
    </row>
    <row r="617" ht="14.25" customHeight="1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  <c r="AB617" s="26"/>
      <c r="AC617" s="26"/>
      <c r="AD617" s="26"/>
      <c r="AE617" s="26"/>
      <c r="AF617" s="26"/>
      <c r="AG617" s="26"/>
      <c r="AH617" s="26"/>
      <c r="AI617" s="26"/>
      <c r="AJ617" s="26"/>
      <c r="AK617" s="26"/>
      <c r="AL617" s="26"/>
      <c r="AM617" s="26"/>
      <c r="AN617" s="26"/>
      <c r="AO617" s="26"/>
      <c r="AP617" s="26"/>
      <c r="AQ617" s="26"/>
      <c r="AR617" s="26"/>
      <c r="AS617" s="26"/>
      <c r="AT617" s="26"/>
      <c r="AU617" s="26"/>
      <c r="AV617" s="26"/>
      <c r="AW617" s="26"/>
      <c r="AX617" s="26"/>
      <c r="AY617" s="26"/>
      <c r="AZ617" s="26"/>
      <c r="BA617" s="26"/>
      <c r="BB617" s="26"/>
      <c r="BC617" s="26"/>
      <c r="BD617" s="26"/>
      <c r="BE617" s="26"/>
      <c r="BF617" s="26"/>
      <c r="BG617" s="26"/>
      <c r="BH617" s="26"/>
      <c r="BI617" s="26"/>
    </row>
    <row r="618" ht="14.25" customHeight="1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  <c r="AC618" s="26"/>
      <c r="AD618" s="26"/>
      <c r="AE618" s="26"/>
      <c r="AF618" s="26"/>
      <c r="AG618" s="26"/>
      <c r="AH618" s="26"/>
      <c r="AI618" s="26"/>
      <c r="AJ618" s="26"/>
      <c r="AK618" s="26"/>
      <c r="AL618" s="26"/>
      <c r="AM618" s="26"/>
      <c r="AN618" s="26"/>
      <c r="AO618" s="26"/>
      <c r="AP618" s="26"/>
      <c r="AQ618" s="26"/>
      <c r="AR618" s="26"/>
      <c r="AS618" s="26"/>
      <c r="AT618" s="26"/>
      <c r="AU618" s="26"/>
      <c r="AV618" s="26"/>
      <c r="AW618" s="26"/>
      <c r="AX618" s="26"/>
      <c r="AY618" s="26"/>
      <c r="AZ618" s="26"/>
      <c r="BA618" s="26"/>
      <c r="BB618" s="26"/>
      <c r="BC618" s="26"/>
      <c r="BD618" s="26"/>
      <c r="BE618" s="26"/>
      <c r="BF618" s="26"/>
      <c r="BG618" s="26"/>
      <c r="BH618" s="26"/>
      <c r="BI618" s="26"/>
    </row>
    <row r="619" ht="14.25" customHeight="1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  <c r="AB619" s="26"/>
      <c r="AC619" s="26"/>
      <c r="AD619" s="26"/>
      <c r="AE619" s="26"/>
      <c r="AF619" s="26"/>
      <c r="AG619" s="26"/>
      <c r="AH619" s="26"/>
      <c r="AI619" s="26"/>
      <c r="AJ619" s="26"/>
      <c r="AK619" s="26"/>
      <c r="AL619" s="26"/>
      <c r="AM619" s="26"/>
      <c r="AN619" s="26"/>
      <c r="AO619" s="26"/>
      <c r="AP619" s="26"/>
      <c r="AQ619" s="26"/>
      <c r="AR619" s="26"/>
      <c r="AS619" s="26"/>
      <c r="AT619" s="26"/>
      <c r="AU619" s="26"/>
      <c r="AV619" s="26"/>
      <c r="AW619" s="26"/>
      <c r="AX619" s="26"/>
      <c r="AY619" s="26"/>
      <c r="AZ619" s="26"/>
      <c r="BA619" s="26"/>
      <c r="BB619" s="26"/>
      <c r="BC619" s="26"/>
      <c r="BD619" s="26"/>
      <c r="BE619" s="26"/>
      <c r="BF619" s="26"/>
      <c r="BG619" s="26"/>
      <c r="BH619" s="26"/>
      <c r="BI619" s="26"/>
    </row>
    <row r="620" ht="14.25" customHeight="1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  <c r="AC620" s="26"/>
      <c r="AD620" s="26"/>
      <c r="AE620" s="26"/>
      <c r="AF620" s="26"/>
      <c r="AG620" s="26"/>
      <c r="AH620" s="26"/>
      <c r="AI620" s="26"/>
      <c r="AJ620" s="26"/>
      <c r="AK620" s="26"/>
      <c r="AL620" s="26"/>
      <c r="AM620" s="26"/>
      <c r="AN620" s="26"/>
      <c r="AO620" s="26"/>
      <c r="AP620" s="26"/>
      <c r="AQ620" s="26"/>
      <c r="AR620" s="26"/>
      <c r="AS620" s="26"/>
      <c r="AT620" s="26"/>
      <c r="AU620" s="26"/>
      <c r="AV620" s="26"/>
      <c r="AW620" s="26"/>
      <c r="AX620" s="26"/>
      <c r="AY620" s="26"/>
      <c r="AZ620" s="26"/>
      <c r="BA620" s="26"/>
      <c r="BB620" s="26"/>
      <c r="BC620" s="26"/>
      <c r="BD620" s="26"/>
      <c r="BE620" s="26"/>
      <c r="BF620" s="26"/>
      <c r="BG620" s="26"/>
      <c r="BH620" s="26"/>
      <c r="BI620" s="26"/>
    </row>
    <row r="621" ht="14.25" customHeight="1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  <c r="AB621" s="26"/>
      <c r="AC621" s="26"/>
      <c r="AD621" s="26"/>
      <c r="AE621" s="26"/>
      <c r="AF621" s="26"/>
      <c r="AG621" s="26"/>
      <c r="AH621" s="26"/>
      <c r="AI621" s="26"/>
      <c r="AJ621" s="26"/>
      <c r="AK621" s="26"/>
      <c r="AL621" s="26"/>
      <c r="AM621" s="26"/>
      <c r="AN621" s="26"/>
      <c r="AO621" s="26"/>
      <c r="AP621" s="26"/>
      <c r="AQ621" s="26"/>
      <c r="AR621" s="26"/>
      <c r="AS621" s="26"/>
      <c r="AT621" s="26"/>
      <c r="AU621" s="26"/>
      <c r="AV621" s="26"/>
      <c r="AW621" s="26"/>
      <c r="AX621" s="26"/>
      <c r="AY621" s="26"/>
      <c r="AZ621" s="26"/>
      <c r="BA621" s="26"/>
      <c r="BB621" s="26"/>
      <c r="BC621" s="26"/>
      <c r="BD621" s="26"/>
      <c r="BE621" s="26"/>
      <c r="BF621" s="26"/>
      <c r="BG621" s="26"/>
      <c r="BH621" s="26"/>
      <c r="BI621" s="26"/>
    </row>
    <row r="622" ht="14.25" customHeight="1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  <c r="AC622" s="26"/>
      <c r="AD622" s="26"/>
      <c r="AE622" s="26"/>
      <c r="AF622" s="26"/>
      <c r="AG622" s="26"/>
      <c r="AH622" s="26"/>
      <c r="AI622" s="26"/>
      <c r="AJ622" s="26"/>
      <c r="AK622" s="26"/>
      <c r="AL622" s="26"/>
      <c r="AM622" s="26"/>
      <c r="AN622" s="26"/>
      <c r="AO622" s="26"/>
      <c r="AP622" s="26"/>
      <c r="AQ622" s="26"/>
      <c r="AR622" s="26"/>
      <c r="AS622" s="26"/>
      <c r="AT622" s="26"/>
      <c r="AU622" s="26"/>
      <c r="AV622" s="26"/>
      <c r="AW622" s="26"/>
      <c r="AX622" s="26"/>
      <c r="AY622" s="26"/>
      <c r="AZ622" s="26"/>
      <c r="BA622" s="26"/>
      <c r="BB622" s="26"/>
      <c r="BC622" s="26"/>
      <c r="BD622" s="26"/>
      <c r="BE622" s="26"/>
      <c r="BF622" s="26"/>
      <c r="BG622" s="26"/>
      <c r="BH622" s="26"/>
      <c r="BI622" s="26"/>
    </row>
    <row r="623" ht="14.25" customHeight="1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26"/>
      <c r="AB623" s="26"/>
      <c r="AC623" s="26"/>
      <c r="AD623" s="26"/>
      <c r="AE623" s="26"/>
      <c r="AF623" s="26"/>
      <c r="AG623" s="26"/>
      <c r="AH623" s="26"/>
      <c r="AI623" s="26"/>
      <c r="AJ623" s="26"/>
      <c r="AK623" s="26"/>
      <c r="AL623" s="26"/>
      <c r="AM623" s="26"/>
      <c r="AN623" s="26"/>
      <c r="AO623" s="26"/>
      <c r="AP623" s="26"/>
      <c r="AQ623" s="26"/>
      <c r="AR623" s="26"/>
      <c r="AS623" s="26"/>
      <c r="AT623" s="26"/>
      <c r="AU623" s="26"/>
      <c r="AV623" s="26"/>
      <c r="AW623" s="26"/>
      <c r="AX623" s="26"/>
      <c r="AY623" s="26"/>
      <c r="AZ623" s="26"/>
      <c r="BA623" s="26"/>
      <c r="BB623" s="26"/>
      <c r="BC623" s="26"/>
      <c r="BD623" s="26"/>
      <c r="BE623" s="26"/>
      <c r="BF623" s="26"/>
      <c r="BG623" s="26"/>
      <c r="BH623" s="26"/>
      <c r="BI623" s="26"/>
    </row>
    <row r="624" ht="14.25" customHeight="1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  <c r="AC624" s="26"/>
      <c r="AD624" s="26"/>
      <c r="AE624" s="26"/>
      <c r="AF624" s="26"/>
      <c r="AG624" s="26"/>
      <c r="AH624" s="26"/>
      <c r="AI624" s="26"/>
      <c r="AJ624" s="26"/>
      <c r="AK624" s="26"/>
      <c r="AL624" s="26"/>
      <c r="AM624" s="26"/>
      <c r="AN624" s="26"/>
      <c r="AO624" s="26"/>
      <c r="AP624" s="26"/>
      <c r="AQ624" s="26"/>
      <c r="AR624" s="26"/>
      <c r="AS624" s="26"/>
      <c r="AT624" s="26"/>
      <c r="AU624" s="26"/>
      <c r="AV624" s="26"/>
      <c r="AW624" s="26"/>
      <c r="AX624" s="26"/>
      <c r="AY624" s="26"/>
      <c r="AZ624" s="26"/>
      <c r="BA624" s="26"/>
      <c r="BB624" s="26"/>
      <c r="BC624" s="26"/>
      <c r="BD624" s="26"/>
      <c r="BE624" s="26"/>
      <c r="BF624" s="26"/>
      <c r="BG624" s="26"/>
      <c r="BH624" s="26"/>
      <c r="BI624" s="26"/>
    </row>
    <row r="625" ht="14.25" customHeight="1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  <c r="AC625" s="26"/>
      <c r="AD625" s="26"/>
      <c r="AE625" s="26"/>
      <c r="AF625" s="26"/>
      <c r="AG625" s="26"/>
      <c r="AH625" s="26"/>
      <c r="AI625" s="26"/>
      <c r="AJ625" s="26"/>
      <c r="AK625" s="26"/>
      <c r="AL625" s="26"/>
      <c r="AM625" s="26"/>
      <c r="AN625" s="26"/>
      <c r="AO625" s="26"/>
      <c r="AP625" s="26"/>
      <c r="AQ625" s="26"/>
      <c r="AR625" s="26"/>
      <c r="AS625" s="26"/>
      <c r="AT625" s="26"/>
      <c r="AU625" s="26"/>
      <c r="AV625" s="26"/>
      <c r="AW625" s="26"/>
      <c r="AX625" s="26"/>
      <c r="AY625" s="26"/>
      <c r="AZ625" s="26"/>
      <c r="BA625" s="26"/>
      <c r="BB625" s="26"/>
      <c r="BC625" s="26"/>
      <c r="BD625" s="26"/>
      <c r="BE625" s="26"/>
      <c r="BF625" s="26"/>
      <c r="BG625" s="26"/>
      <c r="BH625" s="26"/>
      <c r="BI625" s="26"/>
    </row>
    <row r="626" ht="14.25" customHeight="1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  <c r="AC626" s="26"/>
      <c r="AD626" s="26"/>
      <c r="AE626" s="26"/>
      <c r="AF626" s="26"/>
      <c r="AG626" s="26"/>
      <c r="AH626" s="26"/>
      <c r="AI626" s="26"/>
      <c r="AJ626" s="26"/>
      <c r="AK626" s="26"/>
      <c r="AL626" s="26"/>
      <c r="AM626" s="26"/>
      <c r="AN626" s="26"/>
      <c r="AO626" s="26"/>
      <c r="AP626" s="26"/>
      <c r="AQ626" s="26"/>
      <c r="AR626" s="26"/>
      <c r="AS626" s="26"/>
      <c r="AT626" s="26"/>
      <c r="AU626" s="26"/>
      <c r="AV626" s="26"/>
      <c r="AW626" s="26"/>
      <c r="AX626" s="26"/>
      <c r="AY626" s="26"/>
      <c r="AZ626" s="26"/>
      <c r="BA626" s="26"/>
      <c r="BB626" s="26"/>
      <c r="BC626" s="26"/>
      <c r="BD626" s="26"/>
      <c r="BE626" s="26"/>
      <c r="BF626" s="26"/>
      <c r="BG626" s="26"/>
      <c r="BH626" s="26"/>
      <c r="BI626" s="26"/>
    </row>
    <row r="627" ht="14.25" customHeight="1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  <c r="AC627" s="26"/>
      <c r="AD627" s="26"/>
      <c r="AE627" s="26"/>
      <c r="AF627" s="26"/>
      <c r="AG627" s="26"/>
      <c r="AH627" s="26"/>
      <c r="AI627" s="26"/>
      <c r="AJ627" s="26"/>
      <c r="AK627" s="26"/>
      <c r="AL627" s="26"/>
      <c r="AM627" s="26"/>
      <c r="AN627" s="26"/>
      <c r="AO627" s="26"/>
      <c r="AP627" s="26"/>
      <c r="AQ627" s="26"/>
      <c r="AR627" s="26"/>
      <c r="AS627" s="26"/>
      <c r="AT627" s="26"/>
      <c r="AU627" s="26"/>
      <c r="AV627" s="26"/>
      <c r="AW627" s="26"/>
      <c r="AX627" s="26"/>
      <c r="AY627" s="26"/>
      <c r="AZ627" s="26"/>
      <c r="BA627" s="26"/>
      <c r="BB627" s="26"/>
      <c r="BC627" s="26"/>
      <c r="BD627" s="26"/>
      <c r="BE627" s="26"/>
      <c r="BF627" s="26"/>
      <c r="BG627" s="26"/>
      <c r="BH627" s="26"/>
      <c r="BI627" s="26"/>
    </row>
    <row r="628" ht="14.25" customHeight="1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  <c r="AC628" s="26"/>
      <c r="AD628" s="26"/>
      <c r="AE628" s="26"/>
      <c r="AF628" s="26"/>
      <c r="AG628" s="26"/>
      <c r="AH628" s="26"/>
      <c r="AI628" s="26"/>
      <c r="AJ628" s="26"/>
      <c r="AK628" s="26"/>
      <c r="AL628" s="26"/>
      <c r="AM628" s="26"/>
      <c r="AN628" s="26"/>
      <c r="AO628" s="26"/>
      <c r="AP628" s="26"/>
      <c r="AQ628" s="26"/>
      <c r="AR628" s="26"/>
      <c r="AS628" s="26"/>
      <c r="AT628" s="26"/>
      <c r="AU628" s="26"/>
      <c r="AV628" s="26"/>
      <c r="AW628" s="26"/>
      <c r="AX628" s="26"/>
      <c r="AY628" s="26"/>
      <c r="AZ628" s="26"/>
      <c r="BA628" s="26"/>
      <c r="BB628" s="26"/>
      <c r="BC628" s="26"/>
      <c r="BD628" s="26"/>
      <c r="BE628" s="26"/>
      <c r="BF628" s="26"/>
      <c r="BG628" s="26"/>
      <c r="BH628" s="26"/>
      <c r="BI628" s="26"/>
    </row>
    <row r="629" ht="14.25" customHeight="1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  <c r="AB629" s="26"/>
      <c r="AC629" s="26"/>
      <c r="AD629" s="26"/>
      <c r="AE629" s="26"/>
      <c r="AF629" s="26"/>
      <c r="AG629" s="26"/>
      <c r="AH629" s="26"/>
      <c r="AI629" s="26"/>
      <c r="AJ629" s="26"/>
      <c r="AK629" s="26"/>
      <c r="AL629" s="26"/>
      <c r="AM629" s="26"/>
      <c r="AN629" s="26"/>
      <c r="AO629" s="26"/>
      <c r="AP629" s="26"/>
      <c r="AQ629" s="26"/>
      <c r="AR629" s="26"/>
      <c r="AS629" s="26"/>
      <c r="AT629" s="26"/>
      <c r="AU629" s="26"/>
      <c r="AV629" s="26"/>
      <c r="AW629" s="26"/>
      <c r="AX629" s="26"/>
      <c r="AY629" s="26"/>
      <c r="AZ629" s="26"/>
      <c r="BA629" s="26"/>
      <c r="BB629" s="26"/>
      <c r="BC629" s="26"/>
      <c r="BD629" s="26"/>
      <c r="BE629" s="26"/>
      <c r="BF629" s="26"/>
      <c r="BG629" s="26"/>
      <c r="BH629" s="26"/>
      <c r="BI629" s="26"/>
    </row>
    <row r="630" ht="14.25" customHeight="1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  <c r="AC630" s="26"/>
      <c r="AD630" s="26"/>
      <c r="AE630" s="26"/>
      <c r="AF630" s="26"/>
      <c r="AG630" s="26"/>
      <c r="AH630" s="26"/>
      <c r="AI630" s="26"/>
      <c r="AJ630" s="26"/>
      <c r="AK630" s="26"/>
      <c r="AL630" s="26"/>
      <c r="AM630" s="26"/>
      <c r="AN630" s="26"/>
      <c r="AO630" s="26"/>
      <c r="AP630" s="26"/>
      <c r="AQ630" s="26"/>
      <c r="AR630" s="26"/>
      <c r="AS630" s="26"/>
      <c r="AT630" s="26"/>
      <c r="AU630" s="26"/>
      <c r="AV630" s="26"/>
      <c r="AW630" s="26"/>
      <c r="AX630" s="26"/>
      <c r="AY630" s="26"/>
      <c r="AZ630" s="26"/>
      <c r="BA630" s="26"/>
      <c r="BB630" s="26"/>
      <c r="BC630" s="26"/>
      <c r="BD630" s="26"/>
      <c r="BE630" s="26"/>
      <c r="BF630" s="26"/>
      <c r="BG630" s="26"/>
      <c r="BH630" s="26"/>
      <c r="BI630" s="26"/>
    </row>
    <row r="631" ht="14.25" customHeight="1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A631" s="26"/>
      <c r="AB631" s="26"/>
      <c r="AC631" s="26"/>
      <c r="AD631" s="26"/>
      <c r="AE631" s="26"/>
      <c r="AF631" s="26"/>
      <c r="AG631" s="26"/>
      <c r="AH631" s="26"/>
      <c r="AI631" s="26"/>
      <c r="AJ631" s="26"/>
      <c r="AK631" s="26"/>
      <c r="AL631" s="26"/>
      <c r="AM631" s="26"/>
      <c r="AN631" s="26"/>
      <c r="AO631" s="26"/>
      <c r="AP631" s="26"/>
      <c r="AQ631" s="26"/>
      <c r="AR631" s="26"/>
      <c r="AS631" s="26"/>
      <c r="AT631" s="26"/>
      <c r="AU631" s="26"/>
      <c r="AV631" s="26"/>
      <c r="AW631" s="26"/>
      <c r="AX631" s="26"/>
      <c r="AY631" s="26"/>
      <c r="AZ631" s="26"/>
      <c r="BA631" s="26"/>
      <c r="BB631" s="26"/>
      <c r="BC631" s="26"/>
      <c r="BD631" s="26"/>
      <c r="BE631" s="26"/>
      <c r="BF631" s="26"/>
      <c r="BG631" s="26"/>
      <c r="BH631" s="26"/>
      <c r="BI631" s="26"/>
    </row>
    <row r="632" ht="14.25" customHeight="1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  <c r="AC632" s="26"/>
      <c r="AD632" s="26"/>
      <c r="AE632" s="26"/>
      <c r="AF632" s="26"/>
      <c r="AG632" s="26"/>
      <c r="AH632" s="26"/>
      <c r="AI632" s="26"/>
      <c r="AJ632" s="26"/>
      <c r="AK632" s="26"/>
      <c r="AL632" s="26"/>
      <c r="AM632" s="26"/>
      <c r="AN632" s="26"/>
      <c r="AO632" s="26"/>
      <c r="AP632" s="26"/>
      <c r="AQ632" s="26"/>
      <c r="AR632" s="26"/>
      <c r="AS632" s="26"/>
      <c r="AT632" s="26"/>
      <c r="AU632" s="26"/>
      <c r="AV632" s="26"/>
      <c r="AW632" s="26"/>
      <c r="AX632" s="26"/>
      <c r="AY632" s="26"/>
      <c r="AZ632" s="26"/>
      <c r="BA632" s="26"/>
      <c r="BB632" s="26"/>
      <c r="BC632" s="26"/>
      <c r="BD632" s="26"/>
      <c r="BE632" s="26"/>
      <c r="BF632" s="26"/>
      <c r="BG632" s="26"/>
      <c r="BH632" s="26"/>
      <c r="BI632" s="26"/>
    </row>
    <row r="633" ht="14.25" customHeight="1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26"/>
      <c r="AB633" s="26"/>
      <c r="AC633" s="26"/>
      <c r="AD633" s="26"/>
      <c r="AE633" s="26"/>
      <c r="AF633" s="26"/>
      <c r="AG633" s="26"/>
      <c r="AH633" s="26"/>
      <c r="AI633" s="26"/>
      <c r="AJ633" s="26"/>
      <c r="AK633" s="26"/>
      <c r="AL633" s="26"/>
      <c r="AM633" s="26"/>
      <c r="AN633" s="26"/>
      <c r="AO633" s="26"/>
      <c r="AP633" s="26"/>
      <c r="AQ633" s="26"/>
      <c r="AR633" s="26"/>
      <c r="AS633" s="26"/>
      <c r="AT633" s="26"/>
      <c r="AU633" s="26"/>
      <c r="AV633" s="26"/>
      <c r="AW633" s="26"/>
      <c r="AX633" s="26"/>
      <c r="AY633" s="26"/>
      <c r="AZ633" s="26"/>
      <c r="BA633" s="26"/>
      <c r="BB633" s="26"/>
      <c r="BC633" s="26"/>
      <c r="BD633" s="26"/>
      <c r="BE633" s="26"/>
      <c r="BF633" s="26"/>
      <c r="BG633" s="26"/>
      <c r="BH633" s="26"/>
      <c r="BI633" s="26"/>
    </row>
    <row r="634" ht="14.25" customHeight="1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  <c r="AC634" s="26"/>
      <c r="AD634" s="26"/>
      <c r="AE634" s="26"/>
      <c r="AF634" s="26"/>
      <c r="AG634" s="26"/>
      <c r="AH634" s="26"/>
      <c r="AI634" s="26"/>
      <c r="AJ634" s="26"/>
      <c r="AK634" s="26"/>
      <c r="AL634" s="26"/>
      <c r="AM634" s="26"/>
      <c r="AN634" s="26"/>
      <c r="AO634" s="26"/>
      <c r="AP634" s="26"/>
      <c r="AQ634" s="26"/>
      <c r="AR634" s="26"/>
      <c r="AS634" s="26"/>
      <c r="AT634" s="26"/>
      <c r="AU634" s="26"/>
      <c r="AV634" s="26"/>
      <c r="AW634" s="26"/>
      <c r="AX634" s="26"/>
      <c r="AY634" s="26"/>
      <c r="AZ634" s="26"/>
      <c r="BA634" s="26"/>
      <c r="BB634" s="26"/>
      <c r="BC634" s="26"/>
      <c r="BD634" s="26"/>
      <c r="BE634" s="26"/>
      <c r="BF634" s="26"/>
      <c r="BG634" s="26"/>
      <c r="BH634" s="26"/>
      <c r="BI634" s="26"/>
    </row>
    <row r="635" ht="14.25" customHeight="1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  <c r="AC635" s="26"/>
      <c r="AD635" s="26"/>
      <c r="AE635" s="26"/>
      <c r="AF635" s="26"/>
      <c r="AG635" s="26"/>
      <c r="AH635" s="26"/>
      <c r="AI635" s="26"/>
      <c r="AJ635" s="26"/>
      <c r="AK635" s="26"/>
      <c r="AL635" s="26"/>
      <c r="AM635" s="26"/>
      <c r="AN635" s="26"/>
      <c r="AO635" s="26"/>
      <c r="AP635" s="26"/>
      <c r="AQ635" s="26"/>
      <c r="AR635" s="26"/>
      <c r="AS635" s="26"/>
      <c r="AT635" s="26"/>
      <c r="AU635" s="26"/>
      <c r="AV635" s="26"/>
      <c r="AW635" s="26"/>
      <c r="AX635" s="26"/>
      <c r="AY635" s="26"/>
      <c r="AZ635" s="26"/>
      <c r="BA635" s="26"/>
      <c r="BB635" s="26"/>
      <c r="BC635" s="26"/>
      <c r="BD635" s="26"/>
      <c r="BE635" s="26"/>
      <c r="BF635" s="26"/>
      <c r="BG635" s="26"/>
      <c r="BH635" s="26"/>
      <c r="BI635" s="26"/>
    </row>
    <row r="636" ht="14.25" customHeight="1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  <c r="AC636" s="26"/>
      <c r="AD636" s="26"/>
      <c r="AE636" s="26"/>
      <c r="AF636" s="26"/>
      <c r="AG636" s="26"/>
      <c r="AH636" s="26"/>
      <c r="AI636" s="26"/>
      <c r="AJ636" s="26"/>
      <c r="AK636" s="26"/>
      <c r="AL636" s="26"/>
      <c r="AM636" s="26"/>
      <c r="AN636" s="26"/>
      <c r="AO636" s="26"/>
      <c r="AP636" s="26"/>
      <c r="AQ636" s="26"/>
      <c r="AR636" s="26"/>
      <c r="AS636" s="26"/>
      <c r="AT636" s="26"/>
      <c r="AU636" s="26"/>
      <c r="AV636" s="26"/>
      <c r="AW636" s="26"/>
      <c r="AX636" s="26"/>
      <c r="AY636" s="26"/>
      <c r="AZ636" s="26"/>
      <c r="BA636" s="26"/>
      <c r="BB636" s="26"/>
      <c r="BC636" s="26"/>
      <c r="BD636" s="26"/>
      <c r="BE636" s="26"/>
      <c r="BF636" s="26"/>
      <c r="BG636" s="26"/>
      <c r="BH636" s="26"/>
      <c r="BI636" s="26"/>
    </row>
    <row r="637" ht="14.25" customHeight="1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  <c r="AC637" s="26"/>
      <c r="AD637" s="26"/>
      <c r="AE637" s="26"/>
      <c r="AF637" s="26"/>
      <c r="AG637" s="26"/>
      <c r="AH637" s="26"/>
      <c r="AI637" s="26"/>
      <c r="AJ637" s="26"/>
      <c r="AK637" s="26"/>
      <c r="AL637" s="26"/>
      <c r="AM637" s="26"/>
      <c r="AN637" s="26"/>
      <c r="AO637" s="26"/>
      <c r="AP637" s="26"/>
      <c r="AQ637" s="26"/>
      <c r="AR637" s="26"/>
      <c r="AS637" s="26"/>
      <c r="AT637" s="26"/>
      <c r="AU637" s="26"/>
      <c r="AV637" s="26"/>
      <c r="AW637" s="26"/>
      <c r="AX637" s="26"/>
      <c r="AY637" s="26"/>
      <c r="AZ637" s="26"/>
      <c r="BA637" s="26"/>
      <c r="BB637" s="26"/>
      <c r="BC637" s="26"/>
      <c r="BD637" s="26"/>
      <c r="BE637" s="26"/>
      <c r="BF637" s="26"/>
      <c r="BG637" s="26"/>
      <c r="BH637" s="26"/>
      <c r="BI637" s="26"/>
    </row>
    <row r="638" ht="14.25" customHeight="1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  <c r="AC638" s="26"/>
      <c r="AD638" s="26"/>
      <c r="AE638" s="26"/>
      <c r="AF638" s="26"/>
      <c r="AG638" s="26"/>
      <c r="AH638" s="26"/>
      <c r="AI638" s="26"/>
      <c r="AJ638" s="26"/>
      <c r="AK638" s="26"/>
      <c r="AL638" s="26"/>
      <c r="AM638" s="26"/>
      <c r="AN638" s="26"/>
      <c r="AO638" s="26"/>
      <c r="AP638" s="26"/>
      <c r="AQ638" s="26"/>
      <c r="AR638" s="26"/>
      <c r="AS638" s="26"/>
      <c r="AT638" s="26"/>
      <c r="AU638" s="26"/>
      <c r="AV638" s="26"/>
      <c r="AW638" s="26"/>
      <c r="AX638" s="26"/>
      <c r="AY638" s="26"/>
      <c r="AZ638" s="26"/>
      <c r="BA638" s="26"/>
      <c r="BB638" s="26"/>
      <c r="BC638" s="26"/>
      <c r="BD638" s="26"/>
      <c r="BE638" s="26"/>
      <c r="BF638" s="26"/>
      <c r="BG638" s="26"/>
      <c r="BH638" s="26"/>
      <c r="BI638" s="26"/>
    </row>
    <row r="639" ht="14.25" customHeight="1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  <c r="AC639" s="26"/>
      <c r="AD639" s="26"/>
      <c r="AE639" s="26"/>
      <c r="AF639" s="26"/>
      <c r="AG639" s="26"/>
      <c r="AH639" s="26"/>
      <c r="AI639" s="26"/>
      <c r="AJ639" s="26"/>
      <c r="AK639" s="26"/>
      <c r="AL639" s="26"/>
      <c r="AM639" s="26"/>
      <c r="AN639" s="26"/>
      <c r="AO639" s="26"/>
      <c r="AP639" s="26"/>
      <c r="AQ639" s="26"/>
      <c r="AR639" s="26"/>
      <c r="AS639" s="26"/>
      <c r="AT639" s="26"/>
      <c r="AU639" s="26"/>
      <c r="AV639" s="26"/>
      <c r="AW639" s="26"/>
      <c r="AX639" s="26"/>
      <c r="AY639" s="26"/>
      <c r="AZ639" s="26"/>
      <c r="BA639" s="26"/>
      <c r="BB639" s="26"/>
      <c r="BC639" s="26"/>
      <c r="BD639" s="26"/>
      <c r="BE639" s="26"/>
      <c r="BF639" s="26"/>
      <c r="BG639" s="26"/>
      <c r="BH639" s="26"/>
      <c r="BI639" s="26"/>
    </row>
    <row r="640" ht="14.25" customHeight="1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  <c r="AC640" s="26"/>
      <c r="AD640" s="26"/>
      <c r="AE640" s="26"/>
      <c r="AF640" s="26"/>
      <c r="AG640" s="26"/>
      <c r="AH640" s="26"/>
      <c r="AI640" s="26"/>
      <c r="AJ640" s="26"/>
      <c r="AK640" s="26"/>
      <c r="AL640" s="26"/>
      <c r="AM640" s="26"/>
      <c r="AN640" s="26"/>
      <c r="AO640" s="26"/>
      <c r="AP640" s="26"/>
      <c r="AQ640" s="26"/>
      <c r="AR640" s="26"/>
      <c r="AS640" s="26"/>
      <c r="AT640" s="26"/>
      <c r="AU640" s="26"/>
      <c r="AV640" s="26"/>
      <c r="AW640" s="26"/>
      <c r="AX640" s="26"/>
      <c r="AY640" s="26"/>
      <c r="AZ640" s="26"/>
      <c r="BA640" s="26"/>
      <c r="BB640" s="26"/>
      <c r="BC640" s="26"/>
      <c r="BD640" s="26"/>
      <c r="BE640" s="26"/>
      <c r="BF640" s="26"/>
      <c r="BG640" s="26"/>
      <c r="BH640" s="26"/>
      <c r="BI640" s="26"/>
    </row>
    <row r="641" ht="14.25" customHeight="1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  <c r="AC641" s="26"/>
      <c r="AD641" s="26"/>
      <c r="AE641" s="26"/>
      <c r="AF641" s="26"/>
      <c r="AG641" s="26"/>
      <c r="AH641" s="26"/>
      <c r="AI641" s="26"/>
      <c r="AJ641" s="26"/>
      <c r="AK641" s="26"/>
      <c r="AL641" s="26"/>
      <c r="AM641" s="26"/>
      <c r="AN641" s="26"/>
      <c r="AO641" s="26"/>
      <c r="AP641" s="26"/>
      <c r="AQ641" s="26"/>
      <c r="AR641" s="26"/>
      <c r="AS641" s="26"/>
      <c r="AT641" s="26"/>
      <c r="AU641" s="26"/>
      <c r="AV641" s="26"/>
      <c r="AW641" s="26"/>
      <c r="AX641" s="26"/>
      <c r="AY641" s="26"/>
      <c r="AZ641" s="26"/>
      <c r="BA641" s="26"/>
      <c r="BB641" s="26"/>
      <c r="BC641" s="26"/>
      <c r="BD641" s="26"/>
      <c r="BE641" s="26"/>
      <c r="BF641" s="26"/>
      <c r="BG641" s="26"/>
      <c r="BH641" s="26"/>
      <c r="BI641" s="26"/>
    </row>
    <row r="642" ht="14.25" customHeight="1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  <c r="AC642" s="26"/>
      <c r="AD642" s="26"/>
      <c r="AE642" s="26"/>
      <c r="AF642" s="26"/>
      <c r="AG642" s="26"/>
      <c r="AH642" s="26"/>
      <c r="AI642" s="26"/>
      <c r="AJ642" s="26"/>
      <c r="AK642" s="26"/>
      <c r="AL642" s="26"/>
      <c r="AM642" s="26"/>
      <c r="AN642" s="26"/>
      <c r="AO642" s="26"/>
      <c r="AP642" s="26"/>
      <c r="AQ642" s="26"/>
      <c r="AR642" s="26"/>
      <c r="AS642" s="26"/>
      <c r="AT642" s="26"/>
      <c r="AU642" s="26"/>
      <c r="AV642" s="26"/>
      <c r="AW642" s="26"/>
      <c r="AX642" s="26"/>
      <c r="AY642" s="26"/>
      <c r="AZ642" s="26"/>
      <c r="BA642" s="26"/>
      <c r="BB642" s="26"/>
      <c r="BC642" s="26"/>
      <c r="BD642" s="26"/>
      <c r="BE642" s="26"/>
      <c r="BF642" s="26"/>
      <c r="BG642" s="26"/>
      <c r="BH642" s="26"/>
      <c r="BI642" s="26"/>
    </row>
    <row r="643" ht="14.25" customHeight="1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  <c r="AB643" s="26"/>
      <c r="AC643" s="26"/>
      <c r="AD643" s="26"/>
      <c r="AE643" s="26"/>
      <c r="AF643" s="26"/>
      <c r="AG643" s="26"/>
      <c r="AH643" s="26"/>
      <c r="AI643" s="26"/>
      <c r="AJ643" s="26"/>
      <c r="AK643" s="26"/>
      <c r="AL643" s="26"/>
      <c r="AM643" s="26"/>
      <c r="AN643" s="26"/>
      <c r="AO643" s="26"/>
      <c r="AP643" s="26"/>
      <c r="AQ643" s="26"/>
      <c r="AR643" s="26"/>
      <c r="AS643" s="26"/>
      <c r="AT643" s="26"/>
      <c r="AU643" s="26"/>
      <c r="AV643" s="26"/>
      <c r="AW643" s="26"/>
      <c r="AX643" s="26"/>
      <c r="AY643" s="26"/>
      <c r="AZ643" s="26"/>
      <c r="BA643" s="26"/>
      <c r="BB643" s="26"/>
      <c r="BC643" s="26"/>
      <c r="BD643" s="26"/>
      <c r="BE643" s="26"/>
      <c r="BF643" s="26"/>
      <c r="BG643" s="26"/>
      <c r="BH643" s="26"/>
      <c r="BI643" s="26"/>
    </row>
    <row r="644" ht="14.25" customHeight="1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  <c r="AC644" s="26"/>
      <c r="AD644" s="26"/>
      <c r="AE644" s="26"/>
      <c r="AF644" s="26"/>
      <c r="AG644" s="26"/>
      <c r="AH644" s="26"/>
      <c r="AI644" s="26"/>
      <c r="AJ644" s="26"/>
      <c r="AK644" s="26"/>
      <c r="AL644" s="26"/>
      <c r="AM644" s="26"/>
      <c r="AN644" s="26"/>
      <c r="AO644" s="26"/>
      <c r="AP644" s="26"/>
      <c r="AQ644" s="26"/>
      <c r="AR644" s="26"/>
      <c r="AS644" s="26"/>
      <c r="AT644" s="26"/>
      <c r="AU644" s="26"/>
      <c r="AV644" s="26"/>
      <c r="AW644" s="26"/>
      <c r="AX644" s="26"/>
      <c r="AY644" s="26"/>
      <c r="AZ644" s="26"/>
      <c r="BA644" s="26"/>
      <c r="BB644" s="26"/>
      <c r="BC644" s="26"/>
      <c r="BD644" s="26"/>
      <c r="BE644" s="26"/>
      <c r="BF644" s="26"/>
      <c r="BG644" s="26"/>
      <c r="BH644" s="26"/>
      <c r="BI644" s="26"/>
    </row>
    <row r="645" ht="14.25" customHeight="1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  <c r="AB645" s="26"/>
      <c r="AC645" s="26"/>
      <c r="AD645" s="26"/>
      <c r="AE645" s="26"/>
      <c r="AF645" s="26"/>
      <c r="AG645" s="26"/>
      <c r="AH645" s="26"/>
      <c r="AI645" s="26"/>
      <c r="AJ645" s="26"/>
      <c r="AK645" s="26"/>
      <c r="AL645" s="26"/>
      <c r="AM645" s="26"/>
      <c r="AN645" s="26"/>
      <c r="AO645" s="26"/>
      <c r="AP645" s="26"/>
      <c r="AQ645" s="26"/>
      <c r="AR645" s="26"/>
      <c r="AS645" s="26"/>
      <c r="AT645" s="26"/>
      <c r="AU645" s="26"/>
      <c r="AV645" s="26"/>
      <c r="AW645" s="26"/>
      <c r="AX645" s="26"/>
      <c r="AY645" s="26"/>
      <c r="AZ645" s="26"/>
      <c r="BA645" s="26"/>
      <c r="BB645" s="26"/>
      <c r="BC645" s="26"/>
      <c r="BD645" s="26"/>
      <c r="BE645" s="26"/>
      <c r="BF645" s="26"/>
      <c r="BG645" s="26"/>
      <c r="BH645" s="26"/>
      <c r="BI645" s="26"/>
    </row>
    <row r="646" ht="14.25" customHeight="1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  <c r="AC646" s="26"/>
      <c r="AD646" s="26"/>
      <c r="AE646" s="26"/>
      <c r="AF646" s="26"/>
      <c r="AG646" s="26"/>
      <c r="AH646" s="26"/>
      <c r="AI646" s="26"/>
      <c r="AJ646" s="26"/>
      <c r="AK646" s="26"/>
      <c r="AL646" s="26"/>
      <c r="AM646" s="26"/>
      <c r="AN646" s="26"/>
      <c r="AO646" s="26"/>
      <c r="AP646" s="26"/>
      <c r="AQ646" s="26"/>
      <c r="AR646" s="26"/>
      <c r="AS646" s="26"/>
      <c r="AT646" s="26"/>
      <c r="AU646" s="26"/>
      <c r="AV646" s="26"/>
      <c r="AW646" s="26"/>
      <c r="AX646" s="26"/>
      <c r="AY646" s="26"/>
      <c r="AZ646" s="26"/>
      <c r="BA646" s="26"/>
      <c r="BB646" s="26"/>
      <c r="BC646" s="26"/>
      <c r="BD646" s="26"/>
      <c r="BE646" s="26"/>
      <c r="BF646" s="26"/>
      <c r="BG646" s="26"/>
      <c r="BH646" s="26"/>
      <c r="BI646" s="26"/>
    </row>
    <row r="647" ht="14.25" customHeight="1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  <c r="AB647" s="26"/>
      <c r="AC647" s="26"/>
      <c r="AD647" s="26"/>
      <c r="AE647" s="26"/>
      <c r="AF647" s="26"/>
      <c r="AG647" s="26"/>
      <c r="AH647" s="26"/>
      <c r="AI647" s="26"/>
      <c r="AJ647" s="26"/>
      <c r="AK647" s="26"/>
      <c r="AL647" s="26"/>
      <c r="AM647" s="26"/>
      <c r="AN647" s="26"/>
      <c r="AO647" s="26"/>
      <c r="AP647" s="26"/>
      <c r="AQ647" s="26"/>
      <c r="AR647" s="26"/>
      <c r="AS647" s="26"/>
      <c r="AT647" s="26"/>
      <c r="AU647" s="26"/>
      <c r="AV647" s="26"/>
      <c r="AW647" s="26"/>
      <c r="AX647" s="26"/>
      <c r="AY647" s="26"/>
      <c r="AZ647" s="26"/>
      <c r="BA647" s="26"/>
      <c r="BB647" s="26"/>
      <c r="BC647" s="26"/>
      <c r="BD647" s="26"/>
      <c r="BE647" s="26"/>
      <c r="BF647" s="26"/>
      <c r="BG647" s="26"/>
      <c r="BH647" s="26"/>
      <c r="BI647" s="26"/>
    </row>
    <row r="648" ht="14.25" customHeight="1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  <c r="AC648" s="26"/>
      <c r="AD648" s="26"/>
      <c r="AE648" s="26"/>
      <c r="AF648" s="26"/>
      <c r="AG648" s="26"/>
      <c r="AH648" s="26"/>
      <c r="AI648" s="26"/>
      <c r="AJ648" s="26"/>
      <c r="AK648" s="26"/>
      <c r="AL648" s="26"/>
      <c r="AM648" s="26"/>
      <c r="AN648" s="26"/>
      <c r="AO648" s="26"/>
      <c r="AP648" s="26"/>
      <c r="AQ648" s="26"/>
      <c r="AR648" s="26"/>
      <c r="AS648" s="26"/>
      <c r="AT648" s="26"/>
      <c r="AU648" s="26"/>
      <c r="AV648" s="26"/>
      <c r="AW648" s="26"/>
      <c r="AX648" s="26"/>
      <c r="AY648" s="26"/>
      <c r="AZ648" s="26"/>
      <c r="BA648" s="26"/>
      <c r="BB648" s="26"/>
      <c r="BC648" s="26"/>
      <c r="BD648" s="26"/>
      <c r="BE648" s="26"/>
      <c r="BF648" s="26"/>
      <c r="BG648" s="26"/>
      <c r="BH648" s="26"/>
      <c r="BI648" s="26"/>
    </row>
    <row r="649" ht="14.25" customHeight="1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  <c r="AB649" s="26"/>
      <c r="AC649" s="26"/>
      <c r="AD649" s="26"/>
      <c r="AE649" s="26"/>
      <c r="AF649" s="26"/>
      <c r="AG649" s="26"/>
      <c r="AH649" s="26"/>
      <c r="AI649" s="26"/>
      <c r="AJ649" s="26"/>
      <c r="AK649" s="26"/>
      <c r="AL649" s="26"/>
      <c r="AM649" s="26"/>
      <c r="AN649" s="26"/>
      <c r="AO649" s="26"/>
      <c r="AP649" s="26"/>
      <c r="AQ649" s="26"/>
      <c r="AR649" s="26"/>
      <c r="AS649" s="26"/>
      <c r="AT649" s="26"/>
      <c r="AU649" s="26"/>
      <c r="AV649" s="26"/>
      <c r="AW649" s="26"/>
      <c r="AX649" s="26"/>
      <c r="AY649" s="26"/>
      <c r="AZ649" s="26"/>
      <c r="BA649" s="26"/>
      <c r="BB649" s="26"/>
      <c r="BC649" s="26"/>
      <c r="BD649" s="26"/>
      <c r="BE649" s="26"/>
      <c r="BF649" s="26"/>
      <c r="BG649" s="26"/>
      <c r="BH649" s="26"/>
      <c r="BI649" s="26"/>
    </row>
    <row r="650" ht="14.25" customHeight="1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  <c r="AC650" s="26"/>
      <c r="AD650" s="26"/>
      <c r="AE650" s="26"/>
      <c r="AF650" s="26"/>
      <c r="AG650" s="26"/>
      <c r="AH650" s="26"/>
      <c r="AI650" s="26"/>
      <c r="AJ650" s="26"/>
      <c r="AK650" s="26"/>
      <c r="AL650" s="26"/>
      <c r="AM650" s="26"/>
      <c r="AN650" s="26"/>
      <c r="AO650" s="26"/>
      <c r="AP650" s="26"/>
      <c r="AQ650" s="26"/>
      <c r="AR650" s="26"/>
      <c r="AS650" s="26"/>
      <c r="AT650" s="26"/>
      <c r="AU650" s="26"/>
      <c r="AV650" s="26"/>
      <c r="AW650" s="26"/>
      <c r="AX650" s="26"/>
      <c r="AY650" s="26"/>
      <c r="AZ650" s="26"/>
      <c r="BA650" s="26"/>
      <c r="BB650" s="26"/>
      <c r="BC650" s="26"/>
      <c r="BD650" s="26"/>
      <c r="BE650" s="26"/>
      <c r="BF650" s="26"/>
      <c r="BG650" s="26"/>
      <c r="BH650" s="26"/>
      <c r="BI650" s="26"/>
    </row>
    <row r="651" ht="14.25" customHeight="1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A651" s="26"/>
      <c r="AB651" s="26"/>
      <c r="AC651" s="26"/>
      <c r="AD651" s="26"/>
      <c r="AE651" s="26"/>
      <c r="AF651" s="26"/>
      <c r="AG651" s="26"/>
      <c r="AH651" s="26"/>
      <c r="AI651" s="26"/>
      <c r="AJ651" s="26"/>
      <c r="AK651" s="26"/>
      <c r="AL651" s="26"/>
      <c r="AM651" s="26"/>
      <c r="AN651" s="26"/>
      <c r="AO651" s="26"/>
      <c r="AP651" s="26"/>
      <c r="AQ651" s="26"/>
      <c r="AR651" s="26"/>
      <c r="AS651" s="26"/>
      <c r="AT651" s="26"/>
      <c r="AU651" s="26"/>
      <c r="AV651" s="26"/>
      <c r="AW651" s="26"/>
      <c r="AX651" s="26"/>
      <c r="AY651" s="26"/>
      <c r="AZ651" s="26"/>
      <c r="BA651" s="26"/>
      <c r="BB651" s="26"/>
      <c r="BC651" s="26"/>
      <c r="BD651" s="26"/>
      <c r="BE651" s="26"/>
      <c r="BF651" s="26"/>
      <c r="BG651" s="26"/>
      <c r="BH651" s="26"/>
      <c r="BI651" s="26"/>
    </row>
    <row r="652" ht="14.25" customHeight="1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  <c r="AC652" s="26"/>
      <c r="AD652" s="26"/>
      <c r="AE652" s="26"/>
      <c r="AF652" s="26"/>
      <c r="AG652" s="26"/>
      <c r="AH652" s="26"/>
      <c r="AI652" s="26"/>
      <c r="AJ652" s="26"/>
      <c r="AK652" s="26"/>
      <c r="AL652" s="26"/>
      <c r="AM652" s="26"/>
      <c r="AN652" s="26"/>
      <c r="AO652" s="26"/>
      <c r="AP652" s="26"/>
      <c r="AQ652" s="26"/>
      <c r="AR652" s="26"/>
      <c r="AS652" s="26"/>
      <c r="AT652" s="26"/>
      <c r="AU652" s="26"/>
      <c r="AV652" s="26"/>
      <c r="AW652" s="26"/>
      <c r="AX652" s="26"/>
      <c r="AY652" s="26"/>
      <c r="AZ652" s="26"/>
      <c r="BA652" s="26"/>
      <c r="BB652" s="26"/>
      <c r="BC652" s="26"/>
      <c r="BD652" s="26"/>
      <c r="BE652" s="26"/>
      <c r="BF652" s="26"/>
      <c r="BG652" s="26"/>
      <c r="BH652" s="26"/>
      <c r="BI652" s="26"/>
    </row>
    <row r="653" ht="14.25" customHeight="1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  <c r="AB653" s="26"/>
      <c r="AC653" s="26"/>
      <c r="AD653" s="26"/>
      <c r="AE653" s="26"/>
      <c r="AF653" s="26"/>
      <c r="AG653" s="26"/>
      <c r="AH653" s="26"/>
      <c r="AI653" s="26"/>
      <c r="AJ653" s="26"/>
      <c r="AK653" s="26"/>
      <c r="AL653" s="26"/>
      <c r="AM653" s="26"/>
      <c r="AN653" s="26"/>
      <c r="AO653" s="26"/>
      <c r="AP653" s="26"/>
      <c r="AQ653" s="26"/>
      <c r="AR653" s="26"/>
      <c r="AS653" s="26"/>
      <c r="AT653" s="26"/>
      <c r="AU653" s="26"/>
      <c r="AV653" s="26"/>
      <c r="AW653" s="26"/>
      <c r="AX653" s="26"/>
      <c r="AY653" s="26"/>
      <c r="AZ653" s="26"/>
      <c r="BA653" s="26"/>
      <c r="BB653" s="26"/>
      <c r="BC653" s="26"/>
      <c r="BD653" s="26"/>
      <c r="BE653" s="26"/>
      <c r="BF653" s="26"/>
      <c r="BG653" s="26"/>
      <c r="BH653" s="26"/>
      <c r="BI653" s="26"/>
    </row>
    <row r="654" ht="14.25" customHeight="1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  <c r="AC654" s="26"/>
      <c r="AD654" s="26"/>
      <c r="AE654" s="26"/>
      <c r="AF654" s="26"/>
      <c r="AG654" s="26"/>
      <c r="AH654" s="26"/>
      <c r="AI654" s="26"/>
      <c r="AJ654" s="26"/>
      <c r="AK654" s="26"/>
      <c r="AL654" s="26"/>
      <c r="AM654" s="26"/>
      <c r="AN654" s="26"/>
      <c r="AO654" s="26"/>
      <c r="AP654" s="26"/>
      <c r="AQ654" s="26"/>
      <c r="AR654" s="26"/>
      <c r="AS654" s="26"/>
      <c r="AT654" s="26"/>
      <c r="AU654" s="26"/>
      <c r="AV654" s="26"/>
      <c r="AW654" s="26"/>
      <c r="AX654" s="26"/>
      <c r="AY654" s="26"/>
      <c r="AZ654" s="26"/>
      <c r="BA654" s="26"/>
      <c r="BB654" s="26"/>
      <c r="BC654" s="26"/>
      <c r="BD654" s="26"/>
      <c r="BE654" s="26"/>
      <c r="BF654" s="26"/>
      <c r="BG654" s="26"/>
      <c r="BH654" s="26"/>
      <c r="BI654" s="26"/>
    </row>
    <row r="655" ht="14.25" customHeight="1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  <c r="AB655" s="26"/>
      <c r="AC655" s="26"/>
      <c r="AD655" s="26"/>
      <c r="AE655" s="26"/>
      <c r="AF655" s="26"/>
      <c r="AG655" s="26"/>
      <c r="AH655" s="26"/>
      <c r="AI655" s="26"/>
      <c r="AJ655" s="26"/>
      <c r="AK655" s="26"/>
      <c r="AL655" s="26"/>
      <c r="AM655" s="26"/>
      <c r="AN655" s="26"/>
      <c r="AO655" s="26"/>
      <c r="AP655" s="26"/>
      <c r="AQ655" s="26"/>
      <c r="AR655" s="26"/>
      <c r="AS655" s="26"/>
      <c r="AT655" s="26"/>
      <c r="AU655" s="26"/>
      <c r="AV655" s="26"/>
      <c r="AW655" s="26"/>
      <c r="AX655" s="26"/>
      <c r="AY655" s="26"/>
      <c r="AZ655" s="26"/>
      <c r="BA655" s="26"/>
      <c r="BB655" s="26"/>
      <c r="BC655" s="26"/>
      <c r="BD655" s="26"/>
      <c r="BE655" s="26"/>
      <c r="BF655" s="26"/>
      <c r="BG655" s="26"/>
      <c r="BH655" s="26"/>
      <c r="BI655" s="26"/>
    </row>
    <row r="656" ht="14.25" customHeight="1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  <c r="AC656" s="26"/>
      <c r="AD656" s="26"/>
      <c r="AE656" s="26"/>
      <c r="AF656" s="26"/>
      <c r="AG656" s="26"/>
      <c r="AH656" s="26"/>
      <c r="AI656" s="26"/>
      <c r="AJ656" s="26"/>
      <c r="AK656" s="26"/>
      <c r="AL656" s="26"/>
      <c r="AM656" s="26"/>
      <c r="AN656" s="26"/>
      <c r="AO656" s="26"/>
      <c r="AP656" s="26"/>
      <c r="AQ656" s="26"/>
      <c r="AR656" s="26"/>
      <c r="AS656" s="26"/>
      <c r="AT656" s="26"/>
      <c r="AU656" s="26"/>
      <c r="AV656" s="26"/>
      <c r="AW656" s="26"/>
      <c r="AX656" s="26"/>
      <c r="AY656" s="26"/>
      <c r="AZ656" s="26"/>
      <c r="BA656" s="26"/>
      <c r="BB656" s="26"/>
      <c r="BC656" s="26"/>
      <c r="BD656" s="26"/>
      <c r="BE656" s="26"/>
      <c r="BF656" s="26"/>
      <c r="BG656" s="26"/>
      <c r="BH656" s="26"/>
      <c r="BI656" s="26"/>
    </row>
    <row r="657" ht="14.25" customHeight="1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  <c r="AB657" s="26"/>
      <c r="AC657" s="26"/>
      <c r="AD657" s="26"/>
      <c r="AE657" s="26"/>
      <c r="AF657" s="26"/>
      <c r="AG657" s="26"/>
      <c r="AH657" s="26"/>
      <c r="AI657" s="26"/>
      <c r="AJ657" s="26"/>
      <c r="AK657" s="26"/>
      <c r="AL657" s="26"/>
      <c r="AM657" s="26"/>
      <c r="AN657" s="26"/>
      <c r="AO657" s="26"/>
      <c r="AP657" s="26"/>
      <c r="AQ657" s="26"/>
      <c r="AR657" s="26"/>
      <c r="AS657" s="26"/>
      <c r="AT657" s="26"/>
      <c r="AU657" s="26"/>
      <c r="AV657" s="26"/>
      <c r="AW657" s="26"/>
      <c r="AX657" s="26"/>
      <c r="AY657" s="26"/>
      <c r="AZ657" s="26"/>
      <c r="BA657" s="26"/>
      <c r="BB657" s="26"/>
      <c r="BC657" s="26"/>
      <c r="BD657" s="26"/>
      <c r="BE657" s="26"/>
      <c r="BF657" s="26"/>
      <c r="BG657" s="26"/>
      <c r="BH657" s="26"/>
      <c r="BI657" s="26"/>
    </row>
    <row r="658" ht="14.25" customHeight="1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  <c r="AC658" s="26"/>
      <c r="AD658" s="26"/>
      <c r="AE658" s="26"/>
      <c r="AF658" s="26"/>
      <c r="AG658" s="26"/>
      <c r="AH658" s="26"/>
      <c r="AI658" s="26"/>
      <c r="AJ658" s="26"/>
      <c r="AK658" s="26"/>
      <c r="AL658" s="26"/>
      <c r="AM658" s="26"/>
      <c r="AN658" s="26"/>
      <c r="AO658" s="26"/>
      <c r="AP658" s="26"/>
      <c r="AQ658" s="26"/>
      <c r="AR658" s="26"/>
      <c r="AS658" s="26"/>
      <c r="AT658" s="26"/>
      <c r="AU658" s="26"/>
      <c r="AV658" s="26"/>
      <c r="AW658" s="26"/>
      <c r="AX658" s="26"/>
      <c r="AY658" s="26"/>
      <c r="AZ658" s="26"/>
      <c r="BA658" s="26"/>
      <c r="BB658" s="26"/>
      <c r="BC658" s="26"/>
      <c r="BD658" s="26"/>
      <c r="BE658" s="26"/>
      <c r="BF658" s="26"/>
      <c r="BG658" s="26"/>
      <c r="BH658" s="26"/>
      <c r="BI658" s="26"/>
    </row>
    <row r="659" ht="14.25" customHeight="1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26"/>
      <c r="AB659" s="26"/>
      <c r="AC659" s="26"/>
      <c r="AD659" s="26"/>
      <c r="AE659" s="26"/>
      <c r="AF659" s="26"/>
      <c r="AG659" s="26"/>
      <c r="AH659" s="26"/>
      <c r="AI659" s="26"/>
      <c r="AJ659" s="26"/>
      <c r="AK659" s="26"/>
      <c r="AL659" s="26"/>
      <c r="AM659" s="26"/>
      <c r="AN659" s="26"/>
      <c r="AO659" s="26"/>
      <c r="AP659" s="26"/>
      <c r="AQ659" s="26"/>
      <c r="AR659" s="26"/>
      <c r="AS659" s="26"/>
      <c r="AT659" s="26"/>
      <c r="AU659" s="26"/>
      <c r="AV659" s="26"/>
      <c r="AW659" s="26"/>
      <c r="AX659" s="26"/>
      <c r="AY659" s="26"/>
      <c r="AZ659" s="26"/>
      <c r="BA659" s="26"/>
      <c r="BB659" s="26"/>
      <c r="BC659" s="26"/>
      <c r="BD659" s="26"/>
      <c r="BE659" s="26"/>
      <c r="BF659" s="26"/>
      <c r="BG659" s="26"/>
      <c r="BH659" s="26"/>
      <c r="BI659" s="26"/>
    </row>
    <row r="660" ht="14.25" customHeight="1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  <c r="AC660" s="26"/>
      <c r="AD660" s="26"/>
      <c r="AE660" s="26"/>
      <c r="AF660" s="26"/>
      <c r="AG660" s="26"/>
      <c r="AH660" s="26"/>
      <c r="AI660" s="26"/>
      <c r="AJ660" s="26"/>
      <c r="AK660" s="26"/>
      <c r="AL660" s="26"/>
      <c r="AM660" s="26"/>
      <c r="AN660" s="26"/>
      <c r="AO660" s="26"/>
      <c r="AP660" s="26"/>
      <c r="AQ660" s="26"/>
      <c r="AR660" s="26"/>
      <c r="AS660" s="26"/>
      <c r="AT660" s="26"/>
      <c r="AU660" s="26"/>
      <c r="AV660" s="26"/>
      <c r="AW660" s="26"/>
      <c r="AX660" s="26"/>
      <c r="AY660" s="26"/>
      <c r="AZ660" s="26"/>
      <c r="BA660" s="26"/>
      <c r="BB660" s="26"/>
      <c r="BC660" s="26"/>
      <c r="BD660" s="26"/>
      <c r="BE660" s="26"/>
      <c r="BF660" s="26"/>
      <c r="BG660" s="26"/>
      <c r="BH660" s="26"/>
      <c r="BI660" s="26"/>
    </row>
    <row r="661" ht="14.25" customHeight="1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  <c r="AB661" s="26"/>
      <c r="AC661" s="26"/>
      <c r="AD661" s="26"/>
      <c r="AE661" s="26"/>
      <c r="AF661" s="26"/>
      <c r="AG661" s="26"/>
      <c r="AH661" s="26"/>
      <c r="AI661" s="26"/>
      <c r="AJ661" s="26"/>
      <c r="AK661" s="26"/>
      <c r="AL661" s="26"/>
      <c r="AM661" s="26"/>
      <c r="AN661" s="26"/>
      <c r="AO661" s="26"/>
      <c r="AP661" s="26"/>
      <c r="AQ661" s="26"/>
      <c r="AR661" s="26"/>
      <c r="AS661" s="26"/>
      <c r="AT661" s="26"/>
      <c r="AU661" s="26"/>
      <c r="AV661" s="26"/>
      <c r="AW661" s="26"/>
      <c r="AX661" s="26"/>
      <c r="AY661" s="26"/>
      <c r="AZ661" s="26"/>
      <c r="BA661" s="26"/>
      <c r="BB661" s="26"/>
      <c r="BC661" s="26"/>
      <c r="BD661" s="26"/>
      <c r="BE661" s="26"/>
      <c r="BF661" s="26"/>
      <c r="BG661" s="26"/>
      <c r="BH661" s="26"/>
      <c r="BI661" s="26"/>
    </row>
    <row r="662" ht="14.25" customHeight="1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  <c r="AC662" s="26"/>
      <c r="AD662" s="26"/>
      <c r="AE662" s="26"/>
      <c r="AF662" s="26"/>
      <c r="AG662" s="26"/>
      <c r="AH662" s="26"/>
      <c r="AI662" s="26"/>
      <c r="AJ662" s="26"/>
      <c r="AK662" s="26"/>
      <c r="AL662" s="26"/>
      <c r="AM662" s="26"/>
      <c r="AN662" s="26"/>
      <c r="AO662" s="26"/>
      <c r="AP662" s="26"/>
      <c r="AQ662" s="26"/>
      <c r="AR662" s="26"/>
      <c r="AS662" s="26"/>
      <c r="AT662" s="26"/>
      <c r="AU662" s="26"/>
      <c r="AV662" s="26"/>
      <c r="AW662" s="26"/>
      <c r="AX662" s="26"/>
      <c r="AY662" s="26"/>
      <c r="AZ662" s="26"/>
      <c r="BA662" s="26"/>
      <c r="BB662" s="26"/>
      <c r="BC662" s="26"/>
      <c r="BD662" s="26"/>
      <c r="BE662" s="26"/>
      <c r="BF662" s="26"/>
      <c r="BG662" s="26"/>
      <c r="BH662" s="26"/>
      <c r="BI662" s="26"/>
    </row>
    <row r="663" ht="14.25" customHeight="1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26"/>
      <c r="AB663" s="26"/>
      <c r="AC663" s="26"/>
      <c r="AD663" s="26"/>
      <c r="AE663" s="26"/>
      <c r="AF663" s="26"/>
      <c r="AG663" s="26"/>
      <c r="AH663" s="26"/>
      <c r="AI663" s="26"/>
      <c r="AJ663" s="26"/>
      <c r="AK663" s="26"/>
      <c r="AL663" s="26"/>
      <c r="AM663" s="26"/>
      <c r="AN663" s="26"/>
      <c r="AO663" s="26"/>
      <c r="AP663" s="26"/>
      <c r="AQ663" s="26"/>
      <c r="AR663" s="26"/>
      <c r="AS663" s="26"/>
      <c r="AT663" s="26"/>
      <c r="AU663" s="26"/>
      <c r="AV663" s="26"/>
      <c r="AW663" s="26"/>
      <c r="AX663" s="26"/>
      <c r="AY663" s="26"/>
      <c r="AZ663" s="26"/>
      <c r="BA663" s="26"/>
      <c r="BB663" s="26"/>
      <c r="BC663" s="26"/>
      <c r="BD663" s="26"/>
      <c r="BE663" s="26"/>
      <c r="BF663" s="26"/>
      <c r="BG663" s="26"/>
      <c r="BH663" s="26"/>
      <c r="BI663" s="26"/>
    </row>
    <row r="664" ht="14.25" customHeight="1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  <c r="AC664" s="26"/>
      <c r="AD664" s="26"/>
      <c r="AE664" s="26"/>
      <c r="AF664" s="26"/>
      <c r="AG664" s="26"/>
      <c r="AH664" s="26"/>
      <c r="AI664" s="26"/>
      <c r="AJ664" s="26"/>
      <c r="AK664" s="26"/>
      <c r="AL664" s="26"/>
      <c r="AM664" s="26"/>
      <c r="AN664" s="26"/>
      <c r="AO664" s="26"/>
      <c r="AP664" s="26"/>
      <c r="AQ664" s="26"/>
      <c r="AR664" s="26"/>
      <c r="AS664" s="26"/>
      <c r="AT664" s="26"/>
      <c r="AU664" s="26"/>
      <c r="AV664" s="26"/>
      <c r="AW664" s="26"/>
      <c r="AX664" s="26"/>
      <c r="AY664" s="26"/>
      <c r="AZ664" s="26"/>
      <c r="BA664" s="26"/>
      <c r="BB664" s="26"/>
      <c r="BC664" s="26"/>
      <c r="BD664" s="26"/>
      <c r="BE664" s="26"/>
      <c r="BF664" s="26"/>
      <c r="BG664" s="26"/>
      <c r="BH664" s="26"/>
      <c r="BI664" s="26"/>
    </row>
    <row r="665" ht="14.25" customHeight="1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/>
      <c r="AB665" s="26"/>
      <c r="AC665" s="26"/>
      <c r="AD665" s="26"/>
      <c r="AE665" s="26"/>
      <c r="AF665" s="26"/>
      <c r="AG665" s="26"/>
      <c r="AH665" s="26"/>
      <c r="AI665" s="26"/>
      <c r="AJ665" s="26"/>
      <c r="AK665" s="26"/>
      <c r="AL665" s="26"/>
      <c r="AM665" s="26"/>
      <c r="AN665" s="26"/>
      <c r="AO665" s="26"/>
      <c r="AP665" s="26"/>
      <c r="AQ665" s="26"/>
      <c r="AR665" s="26"/>
      <c r="AS665" s="26"/>
      <c r="AT665" s="26"/>
      <c r="AU665" s="26"/>
      <c r="AV665" s="26"/>
      <c r="AW665" s="26"/>
      <c r="AX665" s="26"/>
      <c r="AY665" s="26"/>
      <c r="AZ665" s="26"/>
      <c r="BA665" s="26"/>
      <c r="BB665" s="26"/>
      <c r="BC665" s="26"/>
      <c r="BD665" s="26"/>
      <c r="BE665" s="26"/>
      <c r="BF665" s="26"/>
      <c r="BG665" s="26"/>
      <c r="BH665" s="26"/>
      <c r="BI665" s="26"/>
    </row>
    <row r="666" ht="14.25" customHeight="1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  <c r="AC666" s="26"/>
      <c r="AD666" s="26"/>
      <c r="AE666" s="26"/>
      <c r="AF666" s="26"/>
      <c r="AG666" s="26"/>
      <c r="AH666" s="26"/>
      <c r="AI666" s="26"/>
      <c r="AJ666" s="26"/>
      <c r="AK666" s="26"/>
      <c r="AL666" s="26"/>
      <c r="AM666" s="26"/>
      <c r="AN666" s="26"/>
      <c r="AO666" s="26"/>
      <c r="AP666" s="26"/>
      <c r="AQ666" s="26"/>
      <c r="AR666" s="26"/>
      <c r="AS666" s="26"/>
      <c r="AT666" s="26"/>
      <c r="AU666" s="26"/>
      <c r="AV666" s="26"/>
      <c r="AW666" s="26"/>
      <c r="AX666" s="26"/>
      <c r="AY666" s="26"/>
      <c r="AZ666" s="26"/>
      <c r="BA666" s="26"/>
      <c r="BB666" s="26"/>
      <c r="BC666" s="26"/>
      <c r="BD666" s="26"/>
      <c r="BE666" s="26"/>
      <c r="BF666" s="26"/>
      <c r="BG666" s="26"/>
      <c r="BH666" s="26"/>
      <c r="BI666" s="26"/>
    </row>
    <row r="667" ht="14.25" customHeight="1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/>
      <c r="AB667" s="26"/>
      <c r="AC667" s="26"/>
      <c r="AD667" s="26"/>
      <c r="AE667" s="26"/>
      <c r="AF667" s="26"/>
      <c r="AG667" s="26"/>
      <c r="AH667" s="26"/>
      <c r="AI667" s="26"/>
      <c r="AJ667" s="26"/>
      <c r="AK667" s="26"/>
      <c r="AL667" s="26"/>
      <c r="AM667" s="26"/>
      <c r="AN667" s="26"/>
      <c r="AO667" s="26"/>
      <c r="AP667" s="26"/>
      <c r="AQ667" s="26"/>
      <c r="AR667" s="26"/>
      <c r="AS667" s="26"/>
      <c r="AT667" s="26"/>
      <c r="AU667" s="26"/>
      <c r="AV667" s="26"/>
      <c r="AW667" s="26"/>
      <c r="AX667" s="26"/>
      <c r="AY667" s="26"/>
      <c r="AZ667" s="26"/>
      <c r="BA667" s="26"/>
      <c r="BB667" s="26"/>
      <c r="BC667" s="26"/>
      <c r="BD667" s="26"/>
      <c r="BE667" s="26"/>
      <c r="BF667" s="26"/>
      <c r="BG667" s="26"/>
      <c r="BH667" s="26"/>
      <c r="BI667" s="26"/>
    </row>
    <row r="668" ht="14.25" customHeight="1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  <c r="AC668" s="26"/>
      <c r="AD668" s="26"/>
      <c r="AE668" s="26"/>
      <c r="AF668" s="26"/>
      <c r="AG668" s="26"/>
      <c r="AH668" s="26"/>
      <c r="AI668" s="26"/>
      <c r="AJ668" s="26"/>
      <c r="AK668" s="26"/>
      <c r="AL668" s="26"/>
      <c r="AM668" s="26"/>
      <c r="AN668" s="26"/>
      <c r="AO668" s="26"/>
      <c r="AP668" s="26"/>
      <c r="AQ668" s="26"/>
      <c r="AR668" s="26"/>
      <c r="AS668" s="26"/>
      <c r="AT668" s="26"/>
      <c r="AU668" s="26"/>
      <c r="AV668" s="26"/>
      <c r="AW668" s="26"/>
      <c r="AX668" s="26"/>
      <c r="AY668" s="26"/>
      <c r="AZ668" s="26"/>
      <c r="BA668" s="26"/>
      <c r="BB668" s="26"/>
      <c r="BC668" s="26"/>
      <c r="BD668" s="26"/>
      <c r="BE668" s="26"/>
      <c r="BF668" s="26"/>
      <c r="BG668" s="26"/>
      <c r="BH668" s="26"/>
      <c r="BI668" s="26"/>
    </row>
    <row r="669" ht="14.25" customHeight="1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/>
      <c r="AB669" s="26"/>
      <c r="AC669" s="26"/>
      <c r="AD669" s="26"/>
      <c r="AE669" s="26"/>
      <c r="AF669" s="26"/>
      <c r="AG669" s="26"/>
      <c r="AH669" s="26"/>
      <c r="AI669" s="26"/>
      <c r="AJ669" s="26"/>
      <c r="AK669" s="26"/>
      <c r="AL669" s="26"/>
      <c r="AM669" s="26"/>
      <c r="AN669" s="26"/>
      <c r="AO669" s="26"/>
      <c r="AP669" s="26"/>
      <c r="AQ669" s="26"/>
      <c r="AR669" s="26"/>
      <c r="AS669" s="26"/>
      <c r="AT669" s="26"/>
      <c r="AU669" s="26"/>
      <c r="AV669" s="26"/>
      <c r="AW669" s="26"/>
      <c r="AX669" s="26"/>
      <c r="AY669" s="26"/>
      <c r="AZ669" s="26"/>
      <c r="BA669" s="26"/>
      <c r="BB669" s="26"/>
      <c r="BC669" s="26"/>
      <c r="BD669" s="26"/>
      <c r="BE669" s="26"/>
      <c r="BF669" s="26"/>
      <c r="BG669" s="26"/>
      <c r="BH669" s="26"/>
      <c r="BI669" s="26"/>
    </row>
    <row r="670" ht="14.25" customHeight="1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  <c r="AC670" s="26"/>
      <c r="AD670" s="26"/>
      <c r="AE670" s="26"/>
      <c r="AF670" s="26"/>
      <c r="AG670" s="26"/>
      <c r="AH670" s="26"/>
      <c r="AI670" s="26"/>
      <c r="AJ670" s="26"/>
      <c r="AK670" s="26"/>
      <c r="AL670" s="26"/>
      <c r="AM670" s="26"/>
      <c r="AN670" s="26"/>
      <c r="AO670" s="26"/>
      <c r="AP670" s="26"/>
      <c r="AQ670" s="26"/>
      <c r="AR670" s="26"/>
      <c r="AS670" s="26"/>
      <c r="AT670" s="26"/>
      <c r="AU670" s="26"/>
      <c r="AV670" s="26"/>
      <c r="AW670" s="26"/>
      <c r="AX670" s="26"/>
      <c r="AY670" s="26"/>
      <c r="AZ670" s="26"/>
      <c r="BA670" s="26"/>
      <c r="BB670" s="26"/>
      <c r="BC670" s="26"/>
      <c r="BD670" s="26"/>
      <c r="BE670" s="26"/>
      <c r="BF670" s="26"/>
      <c r="BG670" s="26"/>
      <c r="BH670" s="26"/>
      <c r="BI670" s="26"/>
    </row>
    <row r="671" ht="14.25" customHeight="1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A671" s="26"/>
      <c r="AB671" s="26"/>
      <c r="AC671" s="26"/>
      <c r="AD671" s="26"/>
      <c r="AE671" s="26"/>
      <c r="AF671" s="26"/>
      <c r="AG671" s="26"/>
      <c r="AH671" s="26"/>
      <c r="AI671" s="26"/>
      <c r="AJ671" s="26"/>
      <c r="AK671" s="26"/>
      <c r="AL671" s="26"/>
      <c r="AM671" s="26"/>
      <c r="AN671" s="26"/>
      <c r="AO671" s="26"/>
      <c r="AP671" s="26"/>
      <c r="AQ671" s="26"/>
      <c r="AR671" s="26"/>
      <c r="AS671" s="26"/>
      <c r="AT671" s="26"/>
      <c r="AU671" s="26"/>
      <c r="AV671" s="26"/>
      <c r="AW671" s="26"/>
      <c r="AX671" s="26"/>
      <c r="AY671" s="26"/>
      <c r="AZ671" s="26"/>
      <c r="BA671" s="26"/>
      <c r="BB671" s="26"/>
      <c r="BC671" s="26"/>
      <c r="BD671" s="26"/>
      <c r="BE671" s="26"/>
      <c r="BF671" s="26"/>
      <c r="BG671" s="26"/>
      <c r="BH671" s="26"/>
      <c r="BI671" s="26"/>
    </row>
    <row r="672" ht="14.25" customHeight="1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  <c r="AC672" s="26"/>
      <c r="AD672" s="26"/>
      <c r="AE672" s="26"/>
      <c r="AF672" s="26"/>
      <c r="AG672" s="26"/>
      <c r="AH672" s="26"/>
      <c r="AI672" s="26"/>
      <c r="AJ672" s="26"/>
      <c r="AK672" s="26"/>
      <c r="AL672" s="26"/>
      <c r="AM672" s="26"/>
      <c r="AN672" s="26"/>
      <c r="AO672" s="26"/>
      <c r="AP672" s="26"/>
      <c r="AQ672" s="26"/>
      <c r="AR672" s="26"/>
      <c r="AS672" s="26"/>
      <c r="AT672" s="26"/>
      <c r="AU672" s="26"/>
      <c r="AV672" s="26"/>
      <c r="AW672" s="26"/>
      <c r="AX672" s="26"/>
      <c r="AY672" s="26"/>
      <c r="AZ672" s="26"/>
      <c r="BA672" s="26"/>
      <c r="BB672" s="26"/>
      <c r="BC672" s="26"/>
      <c r="BD672" s="26"/>
      <c r="BE672" s="26"/>
      <c r="BF672" s="26"/>
      <c r="BG672" s="26"/>
      <c r="BH672" s="26"/>
      <c r="BI672" s="26"/>
    </row>
    <row r="673" ht="14.25" customHeight="1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  <c r="AB673" s="26"/>
      <c r="AC673" s="26"/>
      <c r="AD673" s="26"/>
      <c r="AE673" s="26"/>
      <c r="AF673" s="26"/>
      <c r="AG673" s="26"/>
      <c r="AH673" s="26"/>
      <c r="AI673" s="26"/>
      <c r="AJ673" s="26"/>
      <c r="AK673" s="26"/>
      <c r="AL673" s="26"/>
      <c r="AM673" s="26"/>
      <c r="AN673" s="26"/>
      <c r="AO673" s="26"/>
      <c r="AP673" s="26"/>
      <c r="AQ673" s="26"/>
      <c r="AR673" s="26"/>
      <c r="AS673" s="26"/>
      <c r="AT673" s="26"/>
      <c r="AU673" s="26"/>
      <c r="AV673" s="26"/>
      <c r="AW673" s="26"/>
      <c r="AX673" s="26"/>
      <c r="AY673" s="26"/>
      <c r="AZ673" s="26"/>
      <c r="BA673" s="26"/>
      <c r="BB673" s="26"/>
      <c r="BC673" s="26"/>
      <c r="BD673" s="26"/>
      <c r="BE673" s="26"/>
      <c r="BF673" s="26"/>
      <c r="BG673" s="26"/>
      <c r="BH673" s="26"/>
      <c r="BI673" s="26"/>
    </row>
    <row r="674" ht="14.25" customHeight="1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  <c r="AC674" s="26"/>
      <c r="AD674" s="26"/>
      <c r="AE674" s="26"/>
      <c r="AF674" s="26"/>
      <c r="AG674" s="26"/>
      <c r="AH674" s="26"/>
      <c r="AI674" s="26"/>
      <c r="AJ674" s="26"/>
      <c r="AK674" s="26"/>
      <c r="AL674" s="26"/>
      <c r="AM674" s="26"/>
      <c r="AN674" s="26"/>
      <c r="AO674" s="26"/>
      <c r="AP674" s="26"/>
      <c r="AQ674" s="26"/>
      <c r="AR674" s="26"/>
      <c r="AS674" s="26"/>
      <c r="AT674" s="26"/>
      <c r="AU674" s="26"/>
      <c r="AV674" s="26"/>
      <c r="AW674" s="26"/>
      <c r="AX674" s="26"/>
      <c r="AY674" s="26"/>
      <c r="AZ674" s="26"/>
      <c r="BA674" s="26"/>
      <c r="BB674" s="26"/>
      <c r="BC674" s="26"/>
      <c r="BD674" s="26"/>
      <c r="BE674" s="26"/>
      <c r="BF674" s="26"/>
      <c r="BG674" s="26"/>
      <c r="BH674" s="26"/>
      <c r="BI674" s="26"/>
    </row>
    <row r="675" ht="14.25" customHeight="1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/>
      <c r="AB675" s="26"/>
      <c r="AC675" s="26"/>
      <c r="AD675" s="26"/>
      <c r="AE675" s="26"/>
      <c r="AF675" s="26"/>
      <c r="AG675" s="26"/>
      <c r="AH675" s="26"/>
      <c r="AI675" s="26"/>
      <c r="AJ675" s="26"/>
      <c r="AK675" s="26"/>
      <c r="AL675" s="26"/>
      <c r="AM675" s="26"/>
      <c r="AN675" s="26"/>
      <c r="AO675" s="26"/>
      <c r="AP675" s="26"/>
      <c r="AQ675" s="26"/>
      <c r="AR675" s="26"/>
      <c r="AS675" s="26"/>
      <c r="AT675" s="26"/>
      <c r="AU675" s="26"/>
      <c r="AV675" s="26"/>
      <c r="AW675" s="26"/>
      <c r="AX675" s="26"/>
      <c r="AY675" s="26"/>
      <c r="AZ675" s="26"/>
      <c r="BA675" s="26"/>
      <c r="BB675" s="26"/>
      <c r="BC675" s="26"/>
      <c r="BD675" s="26"/>
      <c r="BE675" s="26"/>
      <c r="BF675" s="26"/>
      <c r="BG675" s="26"/>
      <c r="BH675" s="26"/>
      <c r="BI675" s="26"/>
    </row>
    <row r="676" ht="14.25" customHeight="1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  <c r="AC676" s="26"/>
      <c r="AD676" s="26"/>
      <c r="AE676" s="26"/>
      <c r="AF676" s="26"/>
      <c r="AG676" s="26"/>
      <c r="AH676" s="26"/>
      <c r="AI676" s="26"/>
      <c r="AJ676" s="26"/>
      <c r="AK676" s="26"/>
      <c r="AL676" s="26"/>
      <c r="AM676" s="26"/>
      <c r="AN676" s="26"/>
      <c r="AO676" s="26"/>
      <c r="AP676" s="26"/>
      <c r="AQ676" s="26"/>
      <c r="AR676" s="26"/>
      <c r="AS676" s="26"/>
      <c r="AT676" s="26"/>
      <c r="AU676" s="26"/>
      <c r="AV676" s="26"/>
      <c r="AW676" s="26"/>
      <c r="AX676" s="26"/>
      <c r="AY676" s="26"/>
      <c r="AZ676" s="26"/>
      <c r="BA676" s="26"/>
      <c r="BB676" s="26"/>
      <c r="BC676" s="26"/>
      <c r="BD676" s="26"/>
      <c r="BE676" s="26"/>
      <c r="BF676" s="26"/>
      <c r="BG676" s="26"/>
      <c r="BH676" s="26"/>
      <c r="BI676" s="26"/>
    </row>
    <row r="677" ht="14.25" customHeight="1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A677" s="26"/>
      <c r="AB677" s="26"/>
      <c r="AC677" s="26"/>
      <c r="AD677" s="26"/>
      <c r="AE677" s="26"/>
      <c r="AF677" s="26"/>
      <c r="AG677" s="26"/>
      <c r="AH677" s="26"/>
      <c r="AI677" s="26"/>
      <c r="AJ677" s="26"/>
      <c r="AK677" s="26"/>
      <c r="AL677" s="26"/>
      <c r="AM677" s="26"/>
      <c r="AN677" s="26"/>
      <c r="AO677" s="26"/>
      <c r="AP677" s="26"/>
      <c r="AQ677" s="26"/>
      <c r="AR677" s="26"/>
      <c r="AS677" s="26"/>
      <c r="AT677" s="26"/>
      <c r="AU677" s="26"/>
      <c r="AV677" s="26"/>
      <c r="AW677" s="26"/>
      <c r="AX677" s="26"/>
      <c r="AY677" s="26"/>
      <c r="AZ677" s="26"/>
      <c r="BA677" s="26"/>
      <c r="BB677" s="26"/>
      <c r="BC677" s="26"/>
      <c r="BD677" s="26"/>
      <c r="BE677" s="26"/>
      <c r="BF677" s="26"/>
      <c r="BG677" s="26"/>
      <c r="BH677" s="26"/>
      <c r="BI677" s="26"/>
    </row>
    <row r="678" ht="14.25" customHeight="1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  <c r="AC678" s="26"/>
      <c r="AD678" s="26"/>
      <c r="AE678" s="26"/>
      <c r="AF678" s="26"/>
      <c r="AG678" s="26"/>
      <c r="AH678" s="26"/>
      <c r="AI678" s="26"/>
      <c r="AJ678" s="26"/>
      <c r="AK678" s="26"/>
      <c r="AL678" s="26"/>
      <c r="AM678" s="26"/>
      <c r="AN678" s="26"/>
      <c r="AO678" s="26"/>
      <c r="AP678" s="26"/>
      <c r="AQ678" s="26"/>
      <c r="AR678" s="26"/>
      <c r="AS678" s="26"/>
      <c r="AT678" s="26"/>
      <c r="AU678" s="26"/>
      <c r="AV678" s="26"/>
      <c r="AW678" s="26"/>
      <c r="AX678" s="26"/>
      <c r="AY678" s="26"/>
      <c r="AZ678" s="26"/>
      <c r="BA678" s="26"/>
      <c r="BB678" s="26"/>
      <c r="BC678" s="26"/>
      <c r="BD678" s="26"/>
      <c r="BE678" s="26"/>
      <c r="BF678" s="26"/>
      <c r="BG678" s="26"/>
      <c r="BH678" s="26"/>
      <c r="BI678" s="26"/>
    </row>
    <row r="679" ht="14.25" customHeight="1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  <c r="AA679" s="26"/>
      <c r="AB679" s="26"/>
      <c r="AC679" s="26"/>
      <c r="AD679" s="26"/>
      <c r="AE679" s="26"/>
      <c r="AF679" s="26"/>
      <c r="AG679" s="26"/>
      <c r="AH679" s="26"/>
      <c r="AI679" s="26"/>
      <c r="AJ679" s="26"/>
      <c r="AK679" s="26"/>
      <c r="AL679" s="26"/>
      <c r="AM679" s="26"/>
      <c r="AN679" s="26"/>
      <c r="AO679" s="26"/>
      <c r="AP679" s="26"/>
      <c r="AQ679" s="26"/>
      <c r="AR679" s="26"/>
      <c r="AS679" s="26"/>
      <c r="AT679" s="26"/>
      <c r="AU679" s="26"/>
      <c r="AV679" s="26"/>
      <c r="AW679" s="26"/>
      <c r="AX679" s="26"/>
      <c r="AY679" s="26"/>
      <c r="AZ679" s="26"/>
      <c r="BA679" s="26"/>
      <c r="BB679" s="26"/>
      <c r="BC679" s="26"/>
      <c r="BD679" s="26"/>
      <c r="BE679" s="26"/>
      <c r="BF679" s="26"/>
      <c r="BG679" s="26"/>
      <c r="BH679" s="26"/>
      <c r="BI679" s="26"/>
    </row>
    <row r="680" ht="14.25" customHeight="1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  <c r="AC680" s="26"/>
      <c r="AD680" s="26"/>
      <c r="AE680" s="26"/>
      <c r="AF680" s="26"/>
      <c r="AG680" s="26"/>
      <c r="AH680" s="26"/>
      <c r="AI680" s="26"/>
      <c r="AJ680" s="26"/>
      <c r="AK680" s="26"/>
      <c r="AL680" s="26"/>
      <c r="AM680" s="26"/>
      <c r="AN680" s="26"/>
      <c r="AO680" s="26"/>
      <c r="AP680" s="26"/>
      <c r="AQ680" s="26"/>
      <c r="AR680" s="26"/>
      <c r="AS680" s="26"/>
      <c r="AT680" s="26"/>
      <c r="AU680" s="26"/>
      <c r="AV680" s="26"/>
      <c r="AW680" s="26"/>
      <c r="AX680" s="26"/>
      <c r="AY680" s="26"/>
      <c r="AZ680" s="26"/>
      <c r="BA680" s="26"/>
      <c r="BB680" s="26"/>
      <c r="BC680" s="26"/>
      <c r="BD680" s="26"/>
      <c r="BE680" s="26"/>
      <c r="BF680" s="26"/>
      <c r="BG680" s="26"/>
      <c r="BH680" s="26"/>
      <c r="BI680" s="26"/>
    </row>
    <row r="681" ht="14.25" customHeight="1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  <c r="AA681" s="26"/>
      <c r="AB681" s="26"/>
      <c r="AC681" s="26"/>
      <c r="AD681" s="26"/>
      <c r="AE681" s="26"/>
      <c r="AF681" s="26"/>
      <c r="AG681" s="26"/>
      <c r="AH681" s="26"/>
      <c r="AI681" s="26"/>
      <c r="AJ681" s="26"/>
      <c r="AK681" s="26"/>
      <c r="AL681" s="26"/>
      <c r="AM681" s="26"/>
      <c r="AN681" s="26"/>
      <c r="AO681" s="26"/>
      <c r="AP681" s="26"/>
      <c r="AQ681" s="26"/>
      <c r="AR681" s="26"/>
      <c r="AS681" s="26"/>
      <c r="AT681" s="26"/>
      <c r="AU681" s="26"/>
      <c r="AV681" s="26"/>
      <c r="AW681" s="26"/>
      <c r="AX681" s="26"/>
      <c r="AY681" s="26"/>
      <c r="AZ681" s="26"/>
      <c r="BA681" s="26"/>
      <c r="BB681" s="26"/>
      <c r="BC681" s="26"/>
      <c r="BD681" s="26"/>
      <c r="BE681" s="26"/>
      <c r="BF681" s="26"/>
      <c r="BG681" s="26"/>
      <c r="BH681" s="26"/>
      <c r="BI681" s="26"/>
    </row>
    <row r="682" ht="14.25" customHeight="1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  <c r="AC682" s="26"/>
      <c r="AD682" s="26"/>
      <c r="AE682" s="26"/>
      <c r="AF682" s="26"/>
      <c r="AG682" s="26"/>
      <c r="AH682" s="26"/>
      <c r="AI682" s="26"/>
      <c r="AJ682" s="26"/>
      <c r="AK682" s="26"/>
      <c r="AL682" s="26"/>
      <c r="AM682" s="26"/>
      <c r="AN682" s="26"/>
      <c r="AO682" s="26"/>
      <c r="AP682" s="26"/>
      <c r="AQ682" s="26"/>
      <c r="AR682" s="26"/>
      <c r="AS682" s="26"/>
      <c r="AT682" s="26"/>
      <c r="AU682" s="26"/>
      <c r="AV682" s="26"/>
      <c r="AW682" s="26"/>
      <c r="AX682" s="26"/>
      <c r="AY682" s="26"/>
      <c r="AZ682" s="26"/>
      <c r="BA682" s="26"/>
      <c r="BB682" s="26"/>
      <c r="BC682" s="26"/>
      <c r="BD682" s="26"/>
      <c r="BE682" s="26"/>
      <c r="BF682" s="26"/>
      <c r="BG682" s="26"/>
      <c r="BH682" s="26"/>
      <c r="BI682" s="26"/>
    </row>
    <row r="683" ht="14.25" customHeight="1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  <c r="AB683" s="26"/>
      <c r="AC683" s="26"/>
      <c r="AD683" s="26"/>
      <c r="AE683" s="26"/>
      <c r="AF683" s="26"/>
      <c r="AG683" s="26"/>
      <c r="AH683" s="26"/>
      <c r="AI683" s="26"/>
      <c r="AJ683" s="26"/>
      <c r="AK683" s="26"/>
      <c r="AL683" s="26"/>
      <c r="AM683" s="26"/>
      <c r="AN683" s="26"/>
      <c r="AO683" s="26"/>
      <c r="AP683" s="26"/>
      <c r="AQ683" s="26"/>
      <c r="AR683" s="26"/>
      <c r="AS683" s="26"/>
      <c r="AT683" s="26"/>
      <c r="AU683" s="26"/>
      <c r="AV683" s="26"/>
      <c r="AW683" s="26"/>
      <c r="AX683" s="26"/>
      <c r="AY683" s="26"/>
      <c r="AZ683" s="26"/>
      <c r="BA683" s="26"/>
      <c r="BB683" s="26"/>
      <c r="BC683" s="26"/>
      <c r="BD683" s="26"/>
      <c r="BE683" s="26"/>
      <c r="BF683" s="26"/>
      <c r="BG683" s="26"/>
      <c r="BH683" s="26"/>
      <c r="BI683" s="26"/>
    </row>
    <row r="684" ht="14.25" customHeight="1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  <c r="AC684" s="26"/>
      <c r="AD684" s="26"/>
      <c r="AE684" s="26"/>
      <c r="AF684" s="26"/>
      <c r="AG684" s="26"/>
      <c r="AH684" s="26"/>
      <c r="AI684" s="26"/>
      <c r="AJ684" s="26"/>
      <c r="AK684" s="26"/>
      <c r="AL684" s="26"/>
      <c r="AM684" s="26"/>
      <c r="AN684" s="26"/>
      <c r="AO684" s="26"/>
      <c r="AP684" s="26"/>
      <c r="AQ684" s="26"/>
      <c r="AR684" s="26"/>
      <c r="AS684" s="26"/>
      <c r="AT684" s="26"/>
      <c r="AU684" s="26"/>
      <c r="AV684" s="26"/>
      <c r="AW684" s="26"/>
      <c r="AX684" s="26"/>
      <c r="AY684" s="26"/>
      <c r="AZ684" s="26"/>
      <c r="BA684" s="26"/>
      <c r="BB684" s="26"/>
      <c r="BC684" s="26"/>
      <c r="BD684" s="26"/>
      <c r="BE684" s="26"/>
      <c r="BF684" s="26"/>
      <c r="BG684" s="26"/>
      <c r="BH684" s="26"/>
      <c r="BI684" s="26"/>
    </row>
    <row r="685" ht="14.25" customHeight="1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A685" s="26"/>
      <c r="AB685" s="26"/>
      <c r="AC685" s="26"/>
      <c r="AD685" s="26"/>
      <c r="AE685" s="26"/>
      <c r="AF685" s="26"/>
      <c r="AG685" s="26"/>
      <c r="AH685" s="26"/>
      <c r="AI685" s="26"/>
      <c r="AJ685" s="26"/>
      <c r="AK685" s="26"/>
      <c r="AL685" s="26"/>
      <c r="AM685" s="26"/>
      <c r="AN685" s="26"/>
      <c r="AO685" s="26"/>
      <c r="AP685" s="26"/>
      <c r="AQ685" s="26"/>
      <c r="AR685" s="26"/>
      <c r="AS685" s="26"/>
      <c r="AT685" s="26"/>
      <c r="AU685" s="26"/>
      <c r="AV685" s="26"/>
      <c r="AW685" s="26"/>
      <c r="AX685" s="26"/>
      <c r="AY685" s="26"/>
      <c r="AZ685" s="26"/>
      <c r="BA685" s="26"/>
      <c r="BB685" s="26"/>
      <c r="BC685" s="26"/>
      <c r="BD685" s="26"/>
      <c r="BE685" s="26"/>
      <c r="BF685" s="26"/>
      <c r="BG685" s="26"/>
      <c r="BH685" s="26"/>
      <c r="BI685" s="26"/>
    </row>
    <row r="686" ht="14.25" customHeight="1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  <c r="AC686" s="26"/>
      <c r="AD686" s="26"/>
      <c r="AE686" s="26"/>
      <c r="AF686" s="26"/>
      <c r="AG686" s="26"/>
      <c r="AH686" s="26"/>
      <c r="AI686" s="26"/>
      <c r="AJ686" s="26"/>
      <c r="AK686" s="26"/>
      <c r="AL686" s="26"/>
      <c r="AM686" s="26"/>
      <c r="AN686" s="26"/>
      <c r="AO686" s="26"/>
      <c r="AP686" s="26"/>
      <c r="AQ686" s="26"/>
      <c r="AR686" s="26"/>
      <c r="AS686" s="26"/>
      <c r="AT686" s="26"/>
      <c r="AU686" s="26"/>
      <c r="AV686" s="26"/>
      <c r="AW686" s="26"/>
      <c r="AX686" s="26"/>
      <c r="AY686" s="26"/>
      <c r="AZ686" s="26"/>
      <c r="BA686" s="26"/>
      <c r="BB686" s="26"/>
      <c r="BC686" s="26"/>
      <c r="BD686" s="26"/>
      <c r="BE686" s="26"/>
      <c r="BF686" s="26"/>
      <c r="BG686" s="26"/>
      <c r="BH686" s="26"/>
      <c r="BI686" s="26"/>
    </row>
    <row r="687" ht="14.25" customHeight="1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  <c r="AA687" s="26"/>
      <c r="AB687" s="26"/>
      <c r="AC687" s="26"/>
      <c r="AD687" s="26"/>
      <c r="AE687" s="26"/>
      <c r="AF687" s="26"/>
      <c r="AG687" s="26"/>
      <c r="AH687" s="26"/>
      <c r="AI687" s="26"/>
      <c r="AJ687" s="26"/>
      <c r="AK687" s="26"/>
      <c r="AL687" s="26"/>
      <c r="AM687" s="26"/>
      <c r="AN687" s="26"/>
      <c r="AO687" s="26"/>
      <c r="AP687" s="26"/>
      <c r="AQ687" s="26"/>
      <c r="AR687" s="26"/>
      <c r="AS687" s="26"/>
      <c r="AT687" s="26"/>
      <c r="AU687" s="26"/>
      <c r="AV687" s="26"/>
      <c r="AW687" s="26"/>
      <c r="AX687" s="26"/>
      <c r="AY687" s="26"/>
      <c r="AZ687" s="26"/>
      <c r="BA687" s="26"/>
      <c r="BB687" s="26"/>
      <c r="BC687" s="26"/>
      <c r="BD687" s="26"/>
      <c r="BE687" s="26"/>
      <c r="BF687" s="26"/>
      <c r="BG687" s="26"/>
      <c r="BH687" s="26"/>
      <c r="BI687" s="26"/>
    </row>
    <row r="688" ht="14.25" customHeight="1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  <c r="AB688" s="26"/>
      <c r="AC688" s="26"/>
      <c r="AD688" s="26"/>
      <c r="AE688" s="26"/>
      <c r="AF688" s="26"/>
      <c r="AG688" s="26"/>
      <c r="AH688" s="26"/>
      <c r="AI688" s="26"/>
      <c r="AJ688" s="26"/>
      <c r="AK688" s="26"/>
      <c r="AL688" s="26"/>
      <c r="AM688" s="26"/>
      <c r="AN688" s="26"/>
      <c r="AO688" s="26"/>
      <c r="AP688" s="26"/>
      <c r="AQ688" s="26"/>
      <c r="AR688" s="26"/>
      <c r="AS688" s="26"/>
      <c r="AT688" s="26"/>
      <c r="AU688" s="26"/>
      <c r="AV688" s="26"/>
      <c r="AW688" s="26"/>
      <c r="AX688" s="26"/>
      <c r="AY688" s="26"/>
      <c r="AZ688" s="26"/>
      <c r="BA688" s="26"/>
      <c r="BB688" s="26"/>
      <c r="BC688" s="26"/>
      <c r="BD688" s="26"/>
      <c r="BE688" s="26"/>
      <c r="BF688" s="26"/>
      <c r="BG688" s="26"/>
      <c r="BH688" s="26"/>
      <c r="BI688" s="26"/>
    </row>
    <row r="689" ht="14.25" customHeight="1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A689" s="26"/>
      <c r="AB689" s="26"/>
      <c r="AC689" s="26"/>
      <c r="AD689" s="26"/>
      <c r="AE689" s="26"/>
      <c r="AF689" s="26"/>
      <c r="AG689" s="26"/>
      <c r="AH689" s="26"/>
      <c r="AI689" s="26"/>
      <c r="AJ689" s="26"/>
      <c r="AK689" s="26"/>
      <c r="AL689" s="26"/>
      <c r="AM689" s="26"/>
      <c r="AN689" s="26"/>
      <c r="AO689" s="26"/>
      <c r="AP689" s="26"/>
      <c r="AQ689" s="26"/>
      <c r="AR689" s="26"/>
      <c r="AS689" s="26"/>
      <c r="AT689" s="26"/>
      <c r="AU689" s="26"/>
      <c r="AV689" s="26"/>
      <c r="AW689" s="26"/>
      <c r="AX689" s="26"/>
      <c r="AY689" s="26"/>
      <c r="AZ689" s="26"/>
      <c r="BA689" s="26"/>
      <c r="BB689" s="26"/>
      <c r="BC689" s="26"/>
      <c r="BD689" s="26"/>
      <c r="BE689" s="26"/>
      <c r="BF689" s="26"/>
      <c r="BG689" s="26"/>
      <c r="BH689" s="26"/>
      <c r="BI689" s="26"/>
    </row>
    <row r="690" ht="14.25" customHeight="1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  <c r="AC690" s="26"/>
      <c r="AD690" s="26"/>
      <c r="AE690" s="26"/>
      <c r="AF690" s="26"/>
      <c r="AG690" s="26"/>
      <c r="AH690" s="26"/>
      <c r="AI690" s="26"/>
      <c r="AJ690" s="26"/>
      <c r="AK690" s="26"/>
      <c r="AL690" s="26"/>
      <c r="AM690" s="26"/>
      <c r="AN690" s="26"/>
      <c r="AO690" s="26"/>
      <c r="AP690" s="26"/>
      <c r="AQ690" s="26"/>
      <c r="AR690" s="26"/>
      <c r="AS690" s="26"/>
      <c r="AT690" s="26"/>
      <c r="AU690" s="26"/>
      <c r="AV690" s="26"/>
      <c r="AW690" s="26"/>
      <c r="AX690" s="26"/>
      <c r="AY690" s="26"/>
      <c r="AZ690" s="26"/>
      <c r="BA690" s="26"/>
      <c r="BB690" s="26"/>
      <c r="BC690" s="26"/>
      <c r="BD690" s="26"/>
      <c r="BE690" s="26"/>
      <c r="BF690" s="26"/>
      <c r="BG690" s="26"/>
      <c r="BH690" s="26"/>
      <c r="BI690" s="26"/>
    </row>
    <row r="691" ht="14.25" customHeight="1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  <c r="AA691" s="26"/>
      <c r="AB691" s="26"/>
      <c r="AC691" s="26"/>
      <c r="AD691" s="26"/>
      <c r="AE691" s="26"/>
      <c r="AF691" s="26"/>
      <c r="AG691" s="26"/>
      <c r="AH691" s="26"/>
      <c r="AI691" s="26"/>
      <c r="AJ691" s="26"/>
      <c r="AK691" s="26"/>
      <c r="AL691" s="26"/>
      <c r="AM691" s="26"/>
      <c r="AN691" s="26"/>
      <c r="AO691" s="26"/>
      <c r="AP691" s="26"/>
      <c r="AQ691" s="26"/>
      <c r="AR691" s="26"/>
      <c r="AS691" s="26"/>
      <c r="AT691" s="26"/>
      <c r="AU691" s="26"/>
      <c r="AV691" s="26"/>
      <c r="AW691" s="26"/>
      <c r="AX691" s="26"/>
      <c r="AY691" s="26"/>
      <c r="AZ691" s="26"/>
      <c r="BA691" s="26"/>
      <c r="BB691" s="26"/>
      <c r="BC691" s="26"/>
      <c r="BD691" s="26"/>
      <c r="BE691" s="26"/>
      <c r="BF691" s="26"/>
      <c r="BG691" s="26"/>
      <c r="BH691" s="26"/>
      <c r="BI691" s="26"/>
    </row>
    <row r="692" ht="14.25" customHeight="1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  <c r="AB692" s="26"/>
      <c r="AC692" s="26"/>
      <c r="AD692" s="26"/>
      <c r="AE692" s="26"/>
      <c r="AF692" s="26"/>
      <c r="AG692" s="26"/>
      <c r="AH692" s="26"/>
      <c r="AI692" s="26"/>
      <c r="AJ692" s="26"/>
      <c r="AK692" s="26"/>
      <c r="AL692" s="26"/>
      <c r="AM692" s="26"/>
      <c r="AN692" s="26"/>
      <c r="AO692" s="26"/>
      <c r="AP692" s="26"/>
      <c r="AQ692" s="26"/>
      <c r="AR692" s="26"/>
      <c r="AS692" s="26"/>
      <c r="AT692" s="26"/>
      <c r="AU692" s="26"/>
      <c r="AV692" s="26"/>
      <c r="AW692" s="26"/>
      <c r="AX692" s="26"/>
      <c r="AY692" s="26"/>
      <c r="AZ692" s="26"/>
      <c r="BA692" s="26"/>
      <c r="BB692" s="26"/>
      <c r="BC692" s="26"/>
      <c r="BD692" s="26"/>
      <c r="BE692" s="26"/>
      <c r="BF692" s="26"/>
      <c r="BG692" s="26"/>
      <c r="BH692" s="26"/>
      <c r="BI692" s="26"/>
    </row>
    <row r="693" ht="14.25" customHeight="1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  <c r="AA693" s="26"/>
      <c r="AB693" s="26"/>
      <c r="AC693" s="26"/>
      <c r="AD693" s="26"/>
      <c r="AE693" s="26"/>
      <c r="AF693" s="26"/>
      <c r="AG693" s="26"/>
      <c r="AH693" s="26"/>
      <c r="AI693" s="26"/>
      <c r="AJ693" s="26"/>
      <c r="AK693" s="26"/>
      <c r="AL693" s="26"/>
      <c r="AM693" s="26"/>
      <c r="AN693" s="26"/>
      <c r="AO693" s="26"/>
      <c r="AP693" s="26"/>
      <c r="AQ693" s="26"/>
      <c r="AR693" s="26"/>
      <c r="AS693" s="26"/>
      <c r="AT693" s="26"/>
      <c r="AU693" s="26"/>
      <c r="AV693" s="26"/>
      <c r="AW693" s="26"/>
      <c r="AX693" s="26"/>
      <c r="AY693" s="26"/>
      <c r="AZ693" s="26"/>
      <c r="BA693" s="26"/>
      <c r="BB693" s="26"/>
      <c r="BC693" s="26"/>
      <c r="BD693" s="26"/>
      <c r="BE693" s="26"/>
      <c r="BF693" s="26"/>
      <c r="BG693" s="26"/>
      <c r="BH693" s="26"/>
      <c r="BI693" s="26"/>
    </row>
    <row r="694" ht="14.25" customHeight="1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  <c r="AB694" s="26"/>
      <c r="AC694" s="26"/>
      <c r="AD694" s="26"/>
      <c r="AE694" s="26"/>
      <c r="AF694" s="26"/>
      <c r="AG694" s="26"/>
      <c r="AH694" s="26"/>
      <c r="AI694" s="26"/>
      <c r="AJ694" s="26"/>
      <c r="AK694" s="26"/>
      <c r="AL694" s="26"/>
      <c r="AM694" s="26"/>
      <c r="AN694" s="26"/>
      <c r="AO694" s="26"/>
      <c r="AP694" s="26"/>
      <c r="AQ694" s="26"/>
      <c r="AR694" s="26"/>
      <c r="AS694" s="26"/>
      <c r="AT694" s="26"/>
      <c r="AU694" s="26"/>
      <c r="AV694" s="26"/>
      <c r="AW694" s="26"/>
      <c r="AX694" s="26"/>
      <c r="AY694" s="26"/>
      <c r="AZ694" s="26"/>
      <c r="BA694" s="26"/>
      <c r="BB694" s="26"/>
      <c r="BC694" s="26"/>
      <c r="BD694" s="26"/>
      <c r="BE694" s="26"/>
      <c r="BF694" s="26"/>
      <c r="BG694" s="26"/>
      <c r="BH694" s="26"/>
      <c r="BI694" s="26"/>
    </row>
    <row r="695" ht="14.25" customHeight="1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A695" s="26"/>
      <c r="AB695" s="26"/>
      <c r="AC695" s="26"/>
      <c r="AD695" s="26"/>
      <c r="AE695" s="26"/>
      <c r="AF695" s="26"/>
      <c r="AG695" s="26"/>
      <c r="AH695" s="26"/>
      <c r="AI695" s="26"/>
      <c r="AJ695" s="26"/>
      <c r="AK695" s="26"/>
      <c r="AL695" s="26"/>
      <c r="AM695" s="26"/>
      <c r="AN695" s="26"/>
      <c r="AO695" s="26"/>
      <c r="AP695" s="26"/>
      <c r="AQ695" s="26"/>
      <c r="AR695" s="26"/>
      <c r="AS695" s="26"/>
      <c r="AT695" s="26"/>
      <c r="AU695" s="26"/>
      <c r="AV695" s="26"/>
      <c r="AW695" s="26"/>
      <c r="AX695" s="26"/>
      <c r="AY695" s="26"/>
      <c r="AZ695" s="26"/>
      <c r="BA695" s="26"/>
      <c r="BB695" s="26"/>
      <c r="BC695" s="26"/>
      <c r="BD695" s="26"/>
      <c r="BE695" s="26"/>
      <c r="BF695" s="26"/>
      <c r="BG695" s="26"/>
      <c r="BH695" s="26"/>
      <c r="BI695" s="26"/>
    </row>
    <row r="696" ht="14.25" customHeight="1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  <c r="AC696" s="26"/>
      <c r="AD696" s="26"/>
      <c r="AE696" s="26"/>
      <c r="AF696" s="26"/>
      <c r="AG696" s="26"/>
      <c r="AH696" s="26"/>
      <c r="AI696" s="26"/>
      <c r="AJ696" s="26"/>
      <c r="AK696" s="26"/>
      <c r="AL696" s="26"/>
      <c r="AM696" s="26"/>
      <c r="AN696" s="26"/>
      <c r="AO696" s="26"/>
      <c r="AP696" s="26"/>
      <c r="AQ696" s="26"/>
      <c r="AR696" s="26"/>
      <c r="AS696" s="26"/>
      <c r="AT696" s="26"/>
      <c r="AU696" s="26"/>
      <c r="AV696" s="26"/>
      <c r="AW696" s="26"/>
      <c r="AX696" s="26"/>
      <c r="AY696" s="26"/>
      <c r="AZ696" s="26"/>
      <c r="BA696" s="26"/>
      <c r="BB696" s="26"/>
      <c r="BC696" s="26"/>
      <c r="BD696" s="26"/>
      <c r="BE696" s="26"/>
      <c r="BF696" s="26"/>
      <c r="BG696" s="26"/>
      <c r="BH696" s="26"/>
      <c r="BI696" s="26"/>
    </row>
    <row r="697" ht="14.25" customHeight="1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A697" s="26"/>
      <c r="AB697" s="26"/>
      <c r="AC697" s="26"/>
      <c r="AD697" s="26"/>
      <c r="AE697" s="26"/>
      <c r="AF697" s="26"/>
      <c r="AG697" s="26"/>
      <c r="AH697" s="26"/>
      <c r="AI697" s="26"/>
      <c r="AJ697" s="26"/>
      <c r="AK697" s="26"/>
      <c r="AL697" s="26"/>
      <c r="AM697" s="26"/>
      <c r="AN697" s="26"/>
      <c r="AO697" s="26"/>
      <c r="AP697" s="26"/>
      <c r="AQ697" s="26"/>
      <c r="AR697" s="26"/>
      <c r="AS697" s="26"/>
      <c r="AT697" s="26"/>
      <c r="AU697" s="26"/>
      <c r="AV697" s="26"/>
      <c r="AW697" s="26"/>
      <c r="AX697" s="26"/>
      <c r="AY697" s="26"/>
      <c r="AZ697" s="26"/>
      <c r="BA697" s="26"/>
      <c r="BB697" s="26"/>
      <c r="BC697" s="26"/>
      <c r="BD697" s="26"/>
      <c r="BE697" s="26"/>
      <c r="BF697" s="26"/>
      <c r="BG697" s="26"/>
      <c r="BH697" s="26"/>
      <c r="BI697" s="26"/>
    </row>
    <row r="698" ht="14.25" customHeight="1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  <c r="AC698" s="26"/>
      <c r="AD698" s="26"/>
      <c r="AE698" s="26"/>
      <c r="AF698" s="26"/>
      <c r="AG698" s="26"/>
      <c r="AH698" s="26"/>
      <c r="AI698" s="26"/>
      <c r="AJ698" s="26"/>
      <c r="AK698" s="26"/>
      <c r="AL698" s="26"/>
      <c r="AM698" s="26"/>
      <c r="AN698" s="26"/>
      <c r="AO698" s="26"/>
      <c r="AP698" s="26"/>
      <c r="AQ698" s="26"/>
      <c r="AR698" s="26"/>
      <c r="AS698" s="26"/>
      <c r="AT698" s="26"/>
      <c r="AU698" s="26"/>
      <c r="AV698" s="26"/>
      <c r="AW698" s="26"/>
      <c r="AX698" s="26"/>
      <c r="AY698" s="26"/>
      <c r="AZ698" s="26"/>
      <c r="BA698" s="26"/>
      <c r="BB698" s="26"/>
      <c r="BC698" s="26"/>
      <c r="BD698" s="26"/>
      <c r="BE698" s="26"/>
      <c r="BF698" s="26"/>
      <c r="BG698" s="26"/>
      <c r="BH698" s="26"/>
      <c r="BI698" s="26"/>
    </row>
    <row r="699" ht="14.25" customHeight="1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  <c r="AB699" s="26"/>
      <c r="AC699" s="26"/>
      <c r="AD699" s="26"/>
      <c r="AE699" s="26"/>
      <c r="AF699" s="26"/>
      <c r="AG699" s="26"/>
      <c r="AH699" s="26"/>
      <c r="AI699" s="26"/>
      <c r="AJ699" s="26"/>
      <c r="AK699" s="26"/>
      <c r="AL699" s="26"/>
      <c r="AM699" s="26"/>
      <c r="AN699" s="26"/>
      <c r="AO699" s="26"/>
      <c r="AP699" s="26"/>
      <c r="AQ699" s="26"/>
      <c r="AR699" s="26"/>
      <c r="AS699" s="26"/>
      <c r="AT699" s="26"/>
      <c r="AU699" s="26"/>
      <c r="AV699" s="26"/>
      <c r="AW699" s="26"/>
      <c r="AX699" s="26"/>
      <c r="AY699" s="26"/>
      <c r="AZ699" s="26"/>
      <c r="BA699" s="26"/>
      <c r="BB699" s="26"/>
      <c r="BC699" s="26"/>
      <c r="BD699" s="26"/>
      <c r="BE699" s="26"/>
      <c r="BF699" s="26"/>
      <c r="BG699" s="26"/>
      <c r="BH699" s="26"/>
      <c r="BI699" s="26"/>
    </row>
    <row r="700" ht="14.25" customHeight="1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  <c r="AC700" s="26"/>
      <c r="AD700" s="26"/>
      <c r="AE700" s="26"/>
      <c r="AF700" s="26"/>
      <c r="AG700" s="26"/>
      <c r="AH700" s="26"/>
      <c r="AI700" s="26"/>
      <c r="AJ700" s="26"/>
      <c r="AK700" s="26"/>
      <c r="AL700" s="26"/>
      <c r="AM700" s="26"/>
      <c r="AN700" s="26"/>
      <c r="AO700" s="26"/>
      <c r="AP700" s="26"/>
      <c r="AQ700" s="26"/>
      <c r="AR700" s="26"/>
      <c r="AS700" s="26"/>
      <c r="AT700" s="26"/>
      <c r="AU700" s="26"/>
      <c r="AV700" s="26"/>
      <c r="AW700" s="26"/>
      <c r="AX700" s="26"/>
      <c r="AY700" s="26"/>
      <c r="AZ700" s="26"/>
      <c r="BA700" s="26"/>
      <c r="BB700" s="26"/>
      <c r="BC700" s="26"/>
      <c r="BD700" s="26"/>
      <c r="BE700" s="26"/>
      <c r="BF700" s="26"/>
      <c r="BG700" s="26"/>
      <c r="BH700" s="26"/>
      <c r="BI700" s="26"/>
    </row>
    <row r="701" ht="14.25" customHeight="1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  <c r="AA701" s="26"/>
      <c r="AB701" s="26"/>
      <c r="AC701" s="26"/>
      <c r="AD701" s="26"/>
      <c r="AE701" s="26"/>
      <c r="AF701" s="26"/>
      <c r="AG701" s="26"/>
      <c r="AH701" s="26"/>
      <c r="AI701" s="26"/>
      <c r="AJ701" s="26"/>
      <c r="AK701" s="26"/>
      <c r="AL701" s="26"/>
      <c r="AM701" s="26"/>
      <c r="AN701" s="26"/>
      <c r="AO701" s="26"/>
      <c r="AP701" s="26"/>
      <c r="AQ701" s="26"/>
      <c r="AR701" s="26"/>
      <c r="AS701" s="26"/>
      <c r="AT701" s="26"/>
      <c r="AU701" s="26"/>
      <c r="AV701" s="26"/>
      <c r="AW701" s="26"/>
      <c r="AX701" s="26"/>
      <c r="AY701" s="26"/>
      <c r="AZ701" s="26"/>
      <c r="BA701" s="26"/>
      <c r="BB701" s="26"/>
      <c r="BC701" s="26"/>
      <c r="BD701" s="26"/>
      <c r="BE701" s="26"/>
      <c r="BF701" s="26"/>
      <c r="BG701" s="26"/>
      <c r="BH701" s="26"/>
      <c r="BI701" s="26"/>
    </row>
    <row r="702" ht="14.25" customHeight="1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  <c r="AC702" s="26"/>
      <c r="AD702" s="26"/>
      <c r="AE702" s="26"/>
      <c r="AF702" s="26"/>
      <c r="AG702" s="26"/>
      <c r="AH702" s="26"/>
      <c r="AI702" s="26"/>
      <c r="AJ702" s="26"/>
      <c r="AK702" s="26"/>
      <c r="AL702" s="26"/>
      <c r="AM702" s="26"/>
      <c r="AN702" s="26"/>
      <c r="AO702" s="26"/>
      <c r="AP702" s="26"/>
      <c r="AQ702" s="26"/>
      <c r="AR702" s="26"/>
      <c r="AS702" s="26"/>
      <c r="AT702" s="26"/>
      <c r="AU702" s="26"/>
      <c r="AV702" s="26"/>
      <c r="AW702" s="26"/>
      <c r="AX702" s="26"/>
      <c r="AY702" s="26"/>
      <c r="AZ702" s="26"/>
      <c r="BA702" s="26"/>
      <c r="BB702" s="26"/>
      <c r="BC702" s="26"/>
      <c r="BD702" s="26"/>
      <c r="BE702" s="26"/>
      <c r="BF702" s="26"/>
      <c r="BG702" s="26"/>
      <c r="BH702" s="26"/>
      <c r="BI702" s="26"/>
    </row>
    <row r="703" ht="14.25" customHeight="1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  <c r="AA703" s="26"/>
      <c r="AB703" s="26"/>
      <c r="AC703" s="26"/>
      <c r="AD703" s="26"/>
      <c r="AE703" s="26"/>
      <c r="AF703" s="26"/>
      <c r="AG703" s="26"/>
      <c r="AH703" s="26"/>
      <c r="AI703" s="26"/>
      <c r="AJ703" s="26"/>
      <c r="AK703" s="26"/>
      <c r="AL703" s="26"/>
      <c r="AM703" s="26"/>
      <c r="AN703" s="26"/>
      <c r="AO703" s="26"/>
      <c r="AP703" s="26"/>
      <c r="AQ703" s="26"/>
      <c r="AR703" s="26"/>
      <c r="AS703" s="26"/>
      <c r="AT703" s="26"/>
      <c r="AU703" s="26"/>
      <c r="AV703" s="26"/>
      <c r="AW703" s="26"/>
      <c r="AX703" s="26"/>
      <c r="AY703" s="26"/>
      <c r="AZ703" s="26"/>
      <c r="BA703" s="26"/>
      <c r="BB703" s="26"/>
      <c r="BC703" s="26"/>
      <c r="BD703" s="26"/>
      <c r="BE703" s="26"/>
      <c r="BF703" s="26"/>
      <c r="BG703" s="26"/>
      <c r="BH703" s="26"/>
      <c r="BI703" s="26"/>
    </row>
    <row r="704" ht="14.25" customHeight="1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  <c r="AB704" s="26"/>
      <c r="AC704" s="26"/>
      <c r="AD704" s="26"/>
      <c r="AE704" s="26"/>
      <c r="AF704" s="26"/>
      <c r="AG704" s="26"/>
      <c r="AH704" s="26"/>
      <c r="AI704" s="26"/>
      <c r="AJ704" s="26"/>
      <c r="AK704" s="26"/>
      <c r="AL704" s="26"/>
      <c r="AM704" s="26"/>
      <c r="AN704" s="26"/>
      <c r="AO704" s="26"/>
      <c r="AP704" s="26"/>
      <c r="AQ704" s="26"/>
      <c r="AR704" s="26"/>
      <c r="AS704" s="26"/>
      <c r="AT704" s="26"/>
      <c r="AU704" s="26"/>
      <c r="AV704" s="26"/>
      <c r="AW704" s="26"/>
      <c r="AX704" s="26"/>
      <c r="AY704" s="26"/>
      <c r="AZ704" s="26"/>
      <c r="BA704" s="26"/>
      <c r="BB704" s="26"/>
      <c r="BC704" s="26"/>
      <c r="BD704" s="26"/>
      <c r="BE704" s="26"/>
      <c r="BF704" s="26"/>
      <c r="BG704" s="26"/>
      <c r="BH704" s="26"/>
      <c r="BI704" s="26"/>
    </row>
    <row r="705" ht="14.25" customHeight="1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  <c r="AA705" s="26"/>
      <c r="AB705" s="26"/>
      <c r="AC705" s="26"/>
      <c r="AD705" s="26"/>
      <c r="AE705" s="26"/>
      <c r="AF705" s="26"/>
      <c r="AG705" s="26"/>
      <c r="AH705" s="26"/>
      <c r="AI705" s="26"/>
      <c r="AJ705" s="26"/>
      <c r="AK705" s="26"/>
      <c r="AL705" s="26"/>
      <c r="AM705" s="26"/>
      <c r="AN705" s="26"/>
      <c r="AO705" s="26"/>
      <c r="AP705" s="26"/>
      <c r="AQ705" s="26"/>
      <c r="AR705" s="26"/>
      <c r="AS705" s="26"/>
      <c r="AT705" s="26"/>
      <c r="AU705" s="26"/>
      <c r="AV705" s="26"/>
      <c r="AW705" s="26"/>
      <c r="AX705" s="26"/>
      <c r="AY705" s="26"/>
      <c r="AZ705" s="26"/>
      <c r="BA705" s="26"/>
      <c r="BB705" s="26"/>
      <c r="BC705" s="26"/>
      <c r="BD705" s="26"/>
      <c r="BE705" s="26"/>
      <c r="BF705" s="26"/>
      <c r="BG705" s="26"/>
      <c r="BH705" s="26"/>
      <c r="BI705" s="26"/>
    </row>
    <row r="706" ht="14.25" customHeight="1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  <c r="AB706" s="26"/>
      <c r="AC706" s="26"/>
      <c r="AD706" s="26"/>
      <c r="AE706" s="26"/>
      <c r="AF706" s="26"/>
      <c r="AG706" s="26"/>
      <c r="AH706" s="26"/>
      <c r="AI706" s="26"/>
      <c r="AJ706" s="26"/>
      <c r="AK706" s="26"/>
      <c r="AL706" s="26"/>
      <c r="AM706" s="26"/>
      <c r="AN706" s="26"/>
      <c r="AO706" s="26"/>
      <c r="AP706" s="26"/>
      <c r="AQ706" s="26"/>
      <c r="AR706" s="26"/>
      <c r="AS706" s="26"/>
      <c r="AT706" s="26"/>
      <c r="AU706" s="26"/>
      <c r="AV706" s="26"/>
      <c r="AW706" s="26"/>
      <c r="AX706" s="26"/>
      <c r="AY706" s="26"/>
      <c r="AZ706" s="26"/>
      <c r="BA706" s="26"/>
      <c r="BB706" s="26"/>
      <c r="BC706" s="26"/>
      <c r="BD706" s="26"/>
      <c r="BE706" s="26"/>
      <c r="BF706" s="26"/>
      <c r="BG706" s="26"/>
      <c r="BH706" s="26"/>
      <c r="BI706" s="26"/>
    </row>
    <row r="707" ht="14.25" customHeight="1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  <c r="AA707" s="26"/>
      <c r="AB707" s="26"/>
      <c r="AC707" s="26"/>
      <c r="AD707" s="26"/>
      <c r="AE707" s="26"/>
      <c r="AF707" s="26"/>
      <c r="AG707" s="26"/>
      <c r="AH707" s="26"/>
      <c r="AI707" s="26"/>
      <c r="AJ707" s="26"/>
      <c r="AK707" s="26"/>
      <c r="AL707" s="26"/>
      <c r="AM707" s="26"/>
      <c r="AN707" s="26"/>
      <c r="AO707" s="26"/>
      <c r="AP707" s="26"/>
      <c r="AQ707" s="26"/>
      <c r="AR707" s="26"/>
      <c r="AS707" s="26"/>
      <c r="AT707" s="26"/>
      <c r="AU707" s="26"/>
      <c r="AV707" s="26"/>
      <c r="AW707" s="26"/>
      <c r="AX707" s="26"/>
      <c r="AY707" s="26"/>
      <c r="AZ707" s="26"/>
      <c r="BA707" s="26"/>
      <c r="BB707" s="26"/>
      <c r="BC707" s="26"/>
      <c r="BD707" s="26"/>
      <c r="BE707" s="26"/>
      <c r="BF707" s="26"/>
      <c r="BG707" s="26"/>
      <c r="BH707" s="26"/>
      <c r="BI707" s="26"/>
    </row>
    <row r="708" ht="14.25" customHeight="1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  <c r="AB708" s="26"/>
      <c r="AC708" s="26"/>
      <c r="AD708" s="26"/>
      <c r="AE708" s="26"/>
      <c r="AF708" s="26"/>
      <c r="AG708" s="26"/>
      <c r="AH708" s="26"/>
      <c r="AI708" s="26"/>
      <c r="AJ708" s="26"/>
      <c r="AK708" s="26"/>
      <c r="AL708" s="26"/>
      <c r="AM708" s="26"/>
      <c r="AN708" s="26"/>
      <c r="AO708" s="26"/>
      <c r="AP708" s="26"/>
      <c r="AQ708" s="26"/>
      <c r="AR708" s="26"/>
      <c r="AS708" s="26"/>
      <c r="AT708" s="26"/>
      <c r="AU708" s="26"/>
      <c r="AV708" s="26"/>
      <c r="AW708" s="26"/>
      <c r="AX708" s="26"/>
      <c r="AY708" s="26"/>
      <c r="AZ708" s="26"/>
      <c r="BA708" s="26"/>
      <c r="BB708" s="26"/>
      <c r="BC708" s="26"/>
      <c r="BD708" s="26"/>
      <c r="BE708" s="26"/>
      <c r="BF708" s="26"/>
      <c r="BG708" s="26"/>
      <c r="BH708" s="26"/>
      <c r="BI708" s="26"/>
    </row>
    <row r="709" ht="14.25" customHeight="1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/>
      <c r="AB709" s="26"/>
      <c r="AC709" s="26"/>
      <c r="AD709" s="26"/>
      <c r="AE709" s="26"/>
      <c r="AF709" s="26"/>
      <c r="AG709" s="26"/>
      <c r="AH709" s="26"/>
      <c r="AI709" s="26"/>
      <c r="AJ709" s="26"/>
      <c r="AK709" s="26"/>
      <c r="AL709" s="26"/>
      <c r="AM709" s="26"/>
      <c r="AN709" s="26"/>
      <c r="AO709" s="26"/>
      <c r="AP709" s="26"/>
      <c r="AQ709" s="26"/>
      <c r="AR709" s="26"/>
      <c r="AS709" s="26"/>
      <c r="AT709" s="26"/>
      <c r="AU709" s="26"/>
      <c r="AV709" s="26"/>
      <c r="AW709" s="26"/>
      <c r="AX709" s="26"/>
      <c r="AY709" s="26"/>
      <c r="AZ709" s="26"/>
      <c r="BA709" s="26"/>
      <c r="BB709" s="26"/>
      <c r="BC709" s="26"/>
      <c r="BD709" s="26"/>
      <c r="BE709" s="26"/>
      <c r="BF709" s="26"/>
      <c r="BG709" s="26"/>
      <c r="BH709" s="26"/>
      <c r="BI709" s="26"/>
    </row>
    <row r="710" ht="14.25" customHeight="1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  <c r="AB710" s="26"/>
      <c r="AC710" s="26"/>
      <c r="AD710" s="26"/>
      <c r="AE710" s="26"/>
      <c r="AF710" s="26"/>
      <c r="AG710" s="26"/>
      <c r="AH710" s="26"/>
      <c r="AI710" s="26"/>
      <c r="AJ710" s="26"/>
      <c r="AK710" s="26"/>
      <c r="AL710" s="26"/>
      <c r="AM710" s="26"/>
      <c r="AN710" s="26"/>
      <c r="AO710" s="26"/>
      <c r="AP710" s="26"/>
      <c r="AQ710" s="26"/>
      <c r="AR710" s="26"/>
      <c r="AS710" s="26"/>
      <c r="AT710" s="26"/>
      <c r="AU710" s="26"/>
      <c r="AV710" s="26"/>
      <c r="AW710" s="26"/>
      <c r="AX710" s="26"/>
      <c r="AY710" s="26"/>
      <c r="AZ710" s="26"/>
      <c r="BA710" s="26"/>
      <c r="BB710" s="26"/>
      <c r="BC710" s="26"/>
      <c r="BD710" s="26"/>
      <c r="BE710" s="26"/>
      <c r="BF710" s="26"/>
      <c r="BG710" s="26"/>
      <c r="BH710" s="26"/>
      <c r="BI710" s="26"/>
    </row>
    <row r="711" ht="14.25" customHeight="1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  <c r="AA711" s="26"/>
      <c r="AB711" s="26"/>
      <c r="AC711" s="26"/>
      <c r="AD711" s="26"/>
      <c r="AE711" s="26"/>
      <c r="AF711" s="26"/>
      <c r="AG711" s="26"/>
      <c r="AH711" s="26"/>
      <c r="AI711" s="26"/>
      <c r="AJ711" s="26"/>
      <c r="AK711" s="26"/>
      <c r="AL711" s="26"/>
      <c r="AM711" s="26"/>
      <c r="AN711" s="26"/>
      <c r="AO711" s="26"/>
      <c r="AP711" s="26"/>
      <c r="AQ711" s="26"/>
      <c r="AR711" s="26"/>
      <c r="AS711" s="26"/>
      <c r="AT711" s="26"/>
      <c r="AU711" s="26"/>
      <c r="AV711" s="26"/>
      <c r="AW711" s="26"/>
      <c r="AX711" s="26"/>
      <c r="AY711" s="26"/>
      <c r="AZ711" s="26"/>
      <c r="BA711" s="26"/>
      <c r="BB711" s="26"/>
      <c r="BC711" s="26"/>
      <c r="BD711" s="26"/>
      <c r="BE711" s="26"/>
      <c r="BF711" s="26"/>
      <c r="BG711" s="26"/>
      <c r="BH711" s="26"/>
      <c r="BI711" s="26"/>
    </row>
    <row r="712" ht="14.25" customHeight="1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  <c r="AB712" s="26"/>
      <c r="AC712" s="26"/>
      <c r="AD712" s="26"/>
      <c r="AE712" s="26"/>
      <c r="AF712" s="26"/>
      <c r="AG712" s="26"/>
      <c r="AH712" s="26"/>
      <c r="AI712" s="26"/>
      <c r="AJ712" s="26"/>
      <c r="AK712" s="26"/>
      <c r="AL712" s="26"/>
      <c r="AM712" s="26"/>
      <c r="AN712" s="26"/>
      <c r="AO712" s="26"/>
      <c r="AP712" s="26"/>
      <c r="AQ712" s="26"/>
      <c r="AR712" s="26"/>
      <c r="AS712" s="26"/>
      <c r="AT712" s="26"/>
      <c r="AU712" s="26"/>
      <c r="AV712" s="26"/>
      <c r="AW712" s="26"/>
      <c r="AX712" s="26"/>
      <c r="AY712" s="26"/>
      <c r="AZ712" s="26"/>
      <c r="BA712" s="26"/>
      <c r="BB712" s="26"/>
      <c r="BC712" s="26"/>
      <c r="BD712" s="26"/>
      <c r="BE712" s="26"/>
      <c r="BF712" s="26"/>
      <c r="BG712" s="26"/>
      <c r="BH712" s="26"/>
      <c r="BI712" s="26"/>
    </row>
    <row r="713" ht="14.25" customHeight="1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  <c r="AA713" s="26"/>
      <c r="AB713" s="26"/>
      <c r="AC713" s="26"/>
      <c r="AD713" s="26"/>
      <c r="AE713" s="26"/>
      <c r="AF713" s="26"/>
      <c r="AG713" s="26"/>
      <c r="AH713" s="26"/>
      <c r="AI713" s="26"/>
      <c r="AJ713" s="26"/>
      <c r="AK713" s="26"/>
      <c r="AL713" s="26"/>
      <c r="AM713" s="26"/>
      <c r="AN713" s="26"/>
      <c r="AO713" s="26"/>
      <c r="AP713" s="26"/>
      <c r="AQ713" s="26"/>
      <c r="AR713" s="26"/>
      <c r="AS713" s="26"/>
      <c r="AT713" s="26"/>
      <c r="AU713" s="26"/>
      <c r="AV713" s="26"/>
      <c r="AW713" s="26"/>
      <c r="AX713" s="26"/>
      <c r="AY713" s="26"/>
      <c r="AZ713" s="26"/>
      <c r="BA713" s="26"/>
      <c r="BB713" s="26"/>
      <c r="BC713" s="26"/>
      <c r="BD713" s="26"/>
      <c r="BE713" s="26"/>
      <c r="BF713" s="26"/>
      <c r="BG713" s="26"/>
      <c r="BH713" s="26"/>
      <c r="BI713" s="26"/>
    </row>
    <row r="714" ht="14.25" customHeight="1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  <c r="AC714" s="26"/>
      <c r="AD714" s="26"/>
      <c r="AE714" s="26"/>
      <c r="AF714" s="26"/>
      <c r="AG714" s="26"/>
      <c r="AH714" s="26"/>
      <c r="AI714" s="26"/>
      <c r="AJ714" s="26"/>
      <c r="AK714" s="26"/>
      <c r="AL714" s="26"/>
      <c r="AM714" s="26"/>
      <c r="AN714" s="26"/>
      <c r="AO714" s="26"/>
      <c r="AP714" s="26"/>
      <c r="AQ714" s="26"/>
      <c r="AR714" s="26"/>
      <c r="AS714" s="26"/>
      <c r="AT714" s="26"/>
      <c r="AU714" s="26"/>
      <c r="AV714" s="26"/>
      <c r="AW714" s="26"/>
      <c r="AX714" s="26"/>
      <c r="AY714" s="26"/>
      <c r="AZ714" s="26"/>
      <c r="BA714" s="26"/>
      <c r="BB714" s="26"/>
      <c r="BC714" s="26"/>
      <c r="BD714" s="26"/>
      <c r="BE714" s="26"/>
      <c r="BF714" s="26"/>
      <c r="BG714" s="26"/>
      <c r="BH714" s="26"/>
      <c r="BI714" s="26"/>
    </row>
    <row r="715" ht="14.25" customHeight="1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  <c r="AA715" s="26"/>
      <c r="AB715" s="26"/>
      <c r="AC715" s="26"/>
      <c r="AD715" s="26"/>
      <c r="AE715" s="26"/>
      <c r="AF715" s="26"/>
      <c r="AG715" s="26"/>
      <c r="AH715" s="26"/>
      <c r="AI715" s="26"/>
      <c r="AJ715" s="26"/>
      <c r="AK715" s="26"/>
      <c r="AL715" s="26"/>
      <c r="AM715" s="26"/>
      <c r="AN715" s="26"/>
      <c r="AO715" s="26"/>
      <c r="AP715" s="26"/>
      <c r="AQ715" s="26"/>
      <c r="AR715" s="26"/>
      <c r="AS715" s="26"/>
      <c r="AT715" s="26"/>
      <c r="AU715" s="26"/>
      <c r="AV715" s="26"/>
      <c r="AW715" s="26"/>
      <c r="AX715" s="26"/>
      <c r="AY715" s="26"/>
      <c r="AZ715" s="26"/>
      <c r="BA715" s="26"/>
      <c r="BB715" s="26"/>
      <c r="BC715" s="26"/>
      <c r="BD715" s="26"/>
      <c r="BE715" s="26"/>
      <c r="BF715" s="26"/>
      <c r="BG715" s="26"/>
      <c r="BH715" s="26"/>
      <c r="BI715" s="26"/>
    </row>
    <row r="716" ht="14.25" customHeight="1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  <c r="AC716" s="26"/>
      <c r="AD716" s="26"/>
      <c r="AE716" s="26"/>
      <c r="AF716" s="26"/>
      <c r="AG716" s="26"/>
      <c r="AH716" s="26"/>
      <c r="AI716" s="26"/>
      <c r="AJ716" s="26"/>
      <c r="AK716" s="26"/>
      <c r="AL716" s="26"/>
      <c r="AM716" s="26"/>
      <c r="AN716" s="26"/>
      <c r="AO716" s="26"/>
      <c r="AP716" s="26"/>
      <c r="AQ716" s="26"/>
      <c r="AR716" s="26"/>
      <c r="AS716" s="26"/>
      <c r="AT716" s="26"/>
      <c r="AU716" s="26"/>
      <c r="AV716" s="26"/>
      <c r="AW716" s="26"/>
      <c r="AX716" s="26"/>
      <c r="AY716" s="26"/>
      <c r="AZ716" s="26"/>
      <c r="BA716" s="26"/>
      <c r="BB716" s="26"/>
      <c r="BC716" s="26"/>
      <c r="BD716" s="26"/>
      <c r="BE716" s="26"/>
      <c r="BF716" s="26"/>
      <c r="BG716" s="26"/>
      <c r="BH716" s="26"/>
      <c r="BI716" s="26"/>
    </row>
    <row r="717" ht="14.25" customHeight="1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6"/>
      <c r="AB717" s="26"/>
      <c r="AC717" s="26"/>
      <c r="AD717" s="26"/>
      <c r="AE717" s="26"/>
      <c r="AF717" s="26"/>
      <c r="AG717" s="26"/>
      <c r="AH717" s="26"/>
      <c r="AI717" s="26"/>
      <c r="AJ717" s="26"/>
      <c r="AK717" s="26"/>
      <c r="AL717" s="26"/>
      <c r="AM717" s="26"/>
      <c r="AN717" s="26"/>
      <c r="AO717" s="26"/>
      <c r="AP717" s="26"/>
      <c r="AQ717" s="26"/>
      <c r="AR717" s="26"/>
      <c r="AS717" s="26"/>
      <c r="AT717" s="26"/>
      <c r="AU717" s="26"/>
      <c r="AV717" s="26"/>
      <c r="AW717" s="26"/>
      <c r="AX717" s="26"/>
      <c r="AY717" s="26"/>
      <c r="AZ717" s="26"/>
      <c r="BA717" s="26"/>
      <c r="BB717" s="26"/>
      <c r="BC717" s="26"/>
      <c r="BD717" s="26"/>
      <c r="BE717" s="26"/>
      <c r="BF717" s="26"/>
      <c r="BG717" s="26"/>
      <c r="BH717" s="26"/>
      <c r="BI717" s="26"/>
    </row>
    <row r="718" ht="14.25" customHeight="1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  <c r="AB718" s="26"/>
      <c r="AC718" s="26"/>
      <c r="AD718" s="26"/>
      <c r="AE718" s="26"/>
      <c r="AF718" s="26"/>
      <c r="AG718" s="26"/>
      <c r="AH718" s="26"/>
      <c r="AI718" s="26"/>
      <c r="AJ718" s="26"/>
      <c r="AK718" s="26"/>
      <c r="AL718" s="26"/>
      <c r="AM718" s="26"/>
      <c r="AN718" s="26"/>
      <c r="AO718" s="26"/>
      <c r="AP718" s="26"/>
      <c r="AQ718" s="26"/>
      <c r="AR718" s="26"/>
      <c r="AS718" s="26"/>
      <c r="AT718" s="26"/>
      <c r="AU718" s="26"/>
      <c r="AV718" s="26"/>
      <c r="AW718" s="26"/>
      <c r="AX718" s="26"/>
      <c r="AY718" s="26"/>
      <c r="AZ718" s="26"/>
      <c r="BA718" s="26"/>
      <c r="BB718" s="26"/>
      <c r="BC718" s="26"/>
      <c r="BD718" s="26"/>
      <c r="BE718" s="26"/>
      <c r="BF718" s="26"/>
      <c r="BG718" s="26"/>
      <c r="BH718" s="26"/>
      <c r="BI718" s="26"/>
    </row>
    <row r="719" ht="14.25" customHeight="1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  <c r="AA719" s="26"/>
      <c r="AB719" s="26"/>
      <c r="AC719" s="26"/>
      <c r="AD719" s="26"/>
      <c r="AE719" s="26"/>
      <c r="AF719" s="26"/>
      <c r="AG719" s="26"/>
      <c r="AH719" s="26"/>
      <c r="AI719" s="26"/>
      <c r="AJ719" s="26"/>
      <c r="AK719" s="26"/>
      <c r="AL719" s="26"/>
      <c r="AM719" s="26"/>
      <c r="AN719" s="26"/>
      <c r="AO719" s="26"/>
      <c r="AP719" s="26"/>
      <c r="AQ719" s="26"/>
      <c r="AR719" s="26"/>
      <c r="AS719" s="26"/>
      <c r="AT719" s="26"/>
      <c r="AU719" s="26"/>
      <c r="AV719" s="26"/>
      <c r="AW719" s="26"/>
      <c r="AX719" s="26"/>
      <c r="AY719" s="26"/>
      <c r="AZ719" s="26"/>
      <c r="BA719" s="26"/>
      <c r="BB719" s="26"/>
      <c r="BC719" s="26"/>
      <c r="BD719" s="26"/>
      <c r="BE719" s="26"/>
      <c r="BF719" s="26"/>
      <c r="BG719" s="26"/>
      <c r="BH719" s="26"/>
      <c r="BI719" s="26"/>
    </row>
    <row r="720" ht="14.25" customHeight="1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  <c r="AB720" s="26"/>
      <c r="AC720" s="26"/>
      <c r="AD720" s="26"/>
      <c r="AE720" s="26"/>
      <c r="AF720" s="26"/>
      <c r="AG720" s="26"/>
      <c r="AH720" s="26"/>
      <c r="AI720" s="26"/>
      <c r="AJ720" s="26"/>
      <c r="AK720" s="26"/>
      <c r="AL720" s="26"/>
      <c r="AM720" s="26"/>
      <c r="AN720" s="26"/>
      <c r="AO720" s="26"/>
      <c r="AP720" s="26"/>
      <c r="AQ720" s="26"/>
      <c r="AR720" s="26"/>
      <c r="AS720" s="26"/>
      <c r="AT720" s="26"/>
      <c r="AU720" s="26"/>
      <c r="AV720" s="26"/>
      <c r="AW720" s="26"/>
      <c r="AX720" s="26"/>
      <c r="AY720" s="26"/>
      <c r="AZ720" s="26"/>
      <c r="BA720" s="26"/>
      <c r="BB720" s="26"/>
      <c r="BC720" s="26"/>
      <c r="BD720" s="26"/>
      <c r="BE720" s="26"/>
      <c r="BF720" s="26"/>
      <c r="BG720" s="26"/>
      <c r="BH720" s="26"/>
      <c r="BI720" s="26"/>
    </row>
    <row r="721" ht="14.25" customHeight="1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  <c r="AA721" s="26"/>
      <c r="AB721" s="26"/>
      <c r="AC721" s="26"/>
      <c r="AD721" s="26"/>
      <c r="AE721" s="26"/>
      <c r="AF721" s="26"/>
      <c r="AG721" s="26"/>
      <c r="AH721" s="26"/>
      <c r="AI721" s="26"/>
      <c r="AJ721" s="26"/>
      <c r="AK721" s="26"/>
      <c r="AL721" s="26"/>
      <c r="AM721" s="26"/>
      <c r="AN721" s="26"/>
      <c r="AO721" s="26"/>
      <c r="AP721" s="26"/>
      <c r="AQ721" s="26"/>
      <c r="AR721" s="26"/>
      <c r="AS721" s="26"/>
      <c r="AT721" s="26"/>
      <c r="AU721" s="26"/>
      <c r="AV721" s="26"/>
      <c r="AW721" s="26"/>
      <c r="AX721" s="26"/>
      <c r="AY721" s="26"/>
      <c r="AZ721" s="26"/>
      <c r="BA721" s="26"/>
      <c r="BB721" s="26"/>
      <c r="BC721" s="26"/>
      <c r="BD721" s="26"/>
      <c r="BE721" s="26"/>
      <c r="BF721" s="26"/>
      <c r="BG721" s="26"/>
      <c r="BH721" s="26"/>
      <c r="BI721" s="26"/>
    </row>
    <row r="722" ht="14.25" customHeight="1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  <c r="AC722" s="26"/>
      <c r="AD722" s="26"/>
      <c r="AE722" s="26"/>
      <c r="AF722" s="26"/>
      <c r="AG722" s="26"/>
      <c r="AH722" s="26"/>
      <c r="AI722" s="26"/>
      <c r="AJ722" s="26"/>
      <c r="AK722" s="26"/>
      <c r="AL722" s="26"/>
      <c r="AM722" s="26"/>
      <c r="AN722" s="26"/>
      <c r="AO722" s="26"/>
      <c r="AP722" s="26"/>
      <c r="AQ722" s="26"/>
      <c r="AR722" s="26"/>
      <c r="AS722" s="26"/>
      <c r="AT722" s="26"/>
      <c r="AU722" s="26"/>
      <c r="AV722" s="26"/>
      <c r="AW722" s="26"/>
      <c r="AX722" s="26"/>
      <c r="AY722" s="26"/>
      <c r="AZ722" s="26"/>
      <c r="BA722" s="26"/>
      <c r="BB722" s="26"/>
      <c r="BC722" s="26"/>
      <c r="BD722" s="26"/>
      <c r="BE722" s="26"/>
      <c r="BF722" s="26"/>
      <c r="BG722" s="26"/>
      <c r="BH722" s="26"/>
      <c r="BI722" s="26"/>
    </row>
    <row r="723" ht="14.25" customHeight="1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  <c r="AA723" s="26"/>
      <c r="AB723" s="26"/>
      <c r="AC723" s="26"/>
      <c r="AD723" s="26"/>
      <c r="AE723" s="26"/>
      <c r="AF723" s="26"/>
      <c r="AG723" s="26"/>
      <c r="AH723" s="26"/>
      <c r="AI723" s="26"/>
      <c r="AJ723" s="26"/>
      <c r="AK723" s="26"/>
      <c r="AL723" s="26"/>
      <c r="AM723" s="26"/>
      <c r="AN723" s="26"/>
      <c r="AO723" s="26"/>
      <c r="AP723" s="26"/>
      <c r="AQ723" s="26"/>
      <c r="AR723" s="26"/>
      <c r="AS723" s="26"/>
      <c r="AT723" s="26"/>
      <c r="AU723" s="26"/>
      <c r="AV723" s="26"/>
      <c r="AW723" s="26"/>
      <c r="AX723" s="26"/>
      <c r="AY723" s="26"/>
      <c r="AZ723" s="26"/>
      <c r="BA723" s="26"/>
      <c r="BB723" s="26"/>
      <c r="BC723" s="26"/>
      <c r="BD723" s="26"/>
      <c r="BE723" s="26"/>
      <c r="BF723" s="26"/>
      <c r="BG723" s="26"/>
      <c r="BH723" s="26"/>
      <c r="BI723" s="26"/>
    </row>
    <row r="724" ht="14.25" customHeight="1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  <c r="AC724" s="26"/>
      <c r="AD724" s="26"/>
      <c r="AE724" s="26"/>
      <c r="AF724" s="26"/>
      <c r="AG724" s="26"/>
      <c r="AH724" s="26"/>
      <c r="AI724" s="26"/>
      <c r="AJ724" s="26"/>
      <c r="AK724" s="26"/>
      <c r="AL724" s="26"/>
      <c r="AM724" s="26"/>
      <c r="AN724" s="26"/>
      <c r="AO724" s="26"/>
      <c r="AP724" s="26"/>
      <c r="AQ724" s="26"/>
      <c r="AR724" s="26"/>
      <c r="AS724" s="26"/>
      <c r="AT724" s="26"/>
      <c r="AU724" s="26"/>
      <c r="AV724" s="26"/>
      <c r="AW724" s="26"/>
      <c r="AX724" s="26"/>
      <c r="AY724" s="26"/>
      <c r="AZ724" s="26"/>
      <c r="BA724" s="26"/>
      <c r="BB724" s="26"/>
      <c r="BC724" s="26"/>
      <c r="BD724" s="26"/>
      <c r="BE724" s="26"/>
      <c r="BF724" s="26"/>
      <c r="BG724" s="26"/>
      <c r="BH724" s="26"/>
      <c r="BI724" s="26"/>
    </row>
    <row r="725" ht="14.25" customHeight="1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  <c r="AA725" s="26"/>
      <c r="AB725" s="26"/>
      <c r="AC725" s="26"/>
      <c r="AD725" s="26"/>
      <c r="AE725" s="26"/>
      <c r="AF725" s="26"/>
      <c r="AG725" s="26"/>
      <c r="AH725" s="26"/>
      <c r="AI725" s="26"/>
      <c r="AJ725" s="26"/>
      <c r="AK725" s="26"/>
      <c r="AL725" s="26"/>
      <c r="AM725" s="26"/>
      <c r="AN725" s="26"/>
      <c r="AO725" s="26"/>
      <c r="AP725" s="26"/>
      <c r="AQ725" s="26"/>
      <c r="AR725" s="26"/>
      <c r="AS725" s="26"/>
      <c r="AT725" s="26"/>
      <c r="AU725" s="26"/>
      <c r="AV725" s="26"/>
      <c r="AW725" s="26"/>
      <c r="AX725" s="26"/>
      <c r="AY725" s="26"/>
      <c r="AZ725" s="26"/>
      <c r="BA725" s="26"/>
      <c r="BB725" s="26"/>
      <c r="BC725" s="26"/>
      <c r="BD725" s="26"/>
      <c r="BE725" s="26"/>
      <c r="BF725" s="26"/>
      <c r="BG725" s="26"/>
      <c r="BH725" s="26"/>
      <c r="BI725" s="26"/>
    </row>
    <row r="726" ht="14.25" customHeight="1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  <c r="AC726" s="26"/>
      <c r="AD726" s="26"/>
      <c r="AE726" s="26"/>
      <c r="AF726" s="26"/>
      <c r="AG726" s="26"/>
      <c r="AH726" s="26"/>
      <c r="AI726" s="26"/>
      <c r="AJ726" s="26"/>
      <c r="AK726" s="26"/>
      <c r="AL726" s="26"/>
      <c r="AM726" s="26"/>
      <c r="AN726" s="26"/>
      <c r="AO726" s="26"/>
      <c r="AP726" s="26"/>
      <c r="AQ726" s="26"/>
      <c r="AR726" s="26"/>
      <c r="AS726" s="26"/>
      <c r="AT726" s="26"/>
      <c r="AU726" s="26"/>
      <c r="AV726" s="26"/>
      <c r="AW726" s="26"/>
      <c r="AX726" s="26"/>
      <c r="AY726" s="26"/>
      <c r="AZ726" s="26"/>
      <c r="BA726" s="26"/>
      <c r="BB726" s="26"/>
      <c r="BC726" s="26"/>
      <c r="BD726" s="26"/>
      <c r="BE726" s="26"/>
      <c r="BF726" s="26"/>
      <c r="BG726" s="26"/>
      <c r="BH726" s="26"/>
      <c r="BI726" s="26"/>
    </row>
    <row r="727" ht="14.25" customHeight="1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  <c r="AA727" s="26"/>
      <c r="AB727" s="26"/>
      <c r="AC727" s="26"/>
      <c r="AD727" s="26"/>
      <c r="AE727" s="26"/>
      <c r="AF727" s="26"/>
      <c r="AG727" s="26"/>
      <c r="AH727" s="26"/>
      <c r="AI727" s="26"/>
      <c r="AJ727" s="26"/>
      <c r="AK727" s="26"/>
      <c r="AL727" s="26"/>
      <c r="AM727" s="26"/>
      <c r="AN727" s="26"/>
      <c r="AO727" s="26"/>
      <c r="AP727" s="26"/>
      <c r="AQ727" s="26"/>
      <c r="AR727" s="26"/>
      <c r="AS727" s="26"/>
      <c r="AT727" s="26"/>
      <c r="AU727" s="26"/>
      <c r="AV727" s="26"/>
      <c r="AW727" s="26"/>
      <c r="AX727" s="26"/>
      <c r="AY727" s="26"/>
      <c r="AZ727" s="26"/>
      <c r="BA727" s="26"/>
      <c r="BB727" s="26"/>
      <c r="BC727" s="26"/>
      <c r="BD727" s="26"/>
      <c r="BE727" s="26"/>
      <c r="BF727" s="26"/>
      <c r="BG727" s="26"/>
      <c r="BH727" s="26"/>
      <c r="BI727" s="26"/>
    </row>
    <row r="728" ht="14.25" customHeight="1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  <c r="AC728" s="26"/>
      <c r="AD728" s="26"/>
      <c r="AE728" s="26"/>
      <c r="AF728" s="26"/>
      <c r="AG728" s="26"/>
      <c r="AH728" s="26"/>
      <c r="AI728" s="26"/>
      <c r="AJ728" s="26"/>
      <c r="AK728" s="26"/>
      <c r="AL728" s="26"/>
      <c r="AM728" s="26"/>
      <c r="AN728" s="26"/>
      <c r="AO728" s="26"/>
      <c r="AP728" s="26"/>
      <c r="AQ728" s="26"/>
      <c r="AR728" s="26"/>
      <c r="AS728" s="26"/>
      <c r="AT728" s="26"/>
      <c r="AU728" s="26"/>
      <c r="AV728" s="26"/>
      <c r="AW728" s="26"/>
      <c r="AX728" s="26"/>
      <c r="AY728" s="26"/>
      <c r="AZ728" s="26"/>
      <c r="BA728" s="26"/>
      <c r="BB728" s="26"/>
      <c r="BC728" s="26"/>
      <c r="BD728" s="26"/>
      <c r="BE728" s="26"/>
      <c r="BF728" s="26"/>
      <c r="BG728" s="26"/>
      <c r="BH728" s="26"/>
      <c r="BI728" s="26"/>
    </row>
    <row r="729" ht="14.25" customHeight="1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  <c r="AA729" s="26"/>
      <c r="AB729" s="26"/>
      <c r="AC729" s="26"/>
      <c r="AD729" s="26"/>
      <c r="AE729" s="26"/>
      <c r="AF729" s="26"/>
      <c r="AG729" s="26"/>
      <c r="AH729" s="26"/>
      <c r="AI729" s="26"/>
      <c r="AJ729" s="26"/>
      <c r="AK729" s="26"/>
      <c r="AL729" s="26"/>
      <c r="AM729" s="26"/>
      <c r="AN729" s="26"/>
      <c r="AO729" s="26"/>
      <c r="AP729" s="26"/>
      <c r="AQ729" s="26"/>
      <c r="AR729" s="26"/>
      <c r="AS729" s="26"/>
      <c r="AT729" s="26"/>
      <c r="AU729" s="26"/>
      <c r="AV729" s="26"/>
      <c r="AW729" s="26"/>
      <c r="AX729" s="26"/>
      <c r="AY729" s="26"/>
      <c r="AZ729" s="26"/>
      <c r="BA729" s="26"/>
      <c r="BB729" s="26"/>
      <c r="BC729" s="26"/>
      <c r="BD729" s="26"/>
      <c r="BE729" s="26"/>
      <c r="BF729" s="26"/>
      <c r="BG729" s="26"/>
      <c r="BH729" s="26"/>
      <c r="BI729" s="26"/>
    </row>
    <row r="730" ht="14.25" customHeight="1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  <c r="AC730" s="26"/>
      <c r="AD730" s="26"/>
      <c r="AE730" s="26"/>
      <c r="AF730" s="26"/>
      <c r="AG730" s="26"/>
      <c r="AH730" s="26"/>
      <c r="AI730" s="26"/>
      <c r="AJ730" s="26"/>
      <c r="AK730" s="26"/>
      <c r="AL730" s="26"/>
      <c r="AM730" s="26"/>
      <c r="AN730" s="26"/>
      <c r="AO730" s="26"/>
      <c r="AP730" s="26"/>
      <c r="AQ730" s="26"/>
      <c r="AR730" s="26"/>
      <c r="AS730" s="26"/>
      <c r="AT730" s="26"/>
      <c r="AU730" s="26"/>
      <c r="AV730" s="26"/>
      <c r="AW730" s="26"/>
      <c r="AX730" s="26"/>
      <c r="AY730" s="26"/>
      <c r="AZ730" s="26"/>
      <c r="BA730" s="26"/>
      <c r="BB730" s="26"/>
      <c r="BC730" s="26"/>
      <c r="BD730" s="26"/>
      <c r="BE730" s="26"/>
      <c r="BF730" s="26"/>
      <c r="BG730" s="26"/>
      <c r="BH730" s="26"/>
      <c r="BI730" s="26"/>
    </row>
    <row r="731" ht="14.25" customHeight="1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  <c r="AA731" s="26"/>
      <c r="AB731" s="26"/>
      <c r="AC731" s="26"/>
      <c r="AD731" s="26"/>
      <c r="AE731" s="26"/>
      <c r="AF731" s="26"/>
      <c r="AG731" s="26"/>
      <c r="AH731" s="26"/>
      <c r="AI731" s="26"/>
      <c r="AJ731" s="26"/>
      <c r="AK731" s="26"/>
      <c r="AL731" s="26"/>
      <c r="AM731" s="26"/>
      <c r="AN731" s="26"/>
      <c r="AO731" s="26"/>
      <c r="AP731" s="26"/>
      <c r="AQ731" s="26"/>
      <c r="AR731" s="26"/>
      <c r="AS731" s="26"/>
      <c r="AT731" s="26"/>
      <c r="AU731" s="26"/>
      <c r="AV731" s="26"/>
      <c r="AW731" s="26"/>
      <c r="AX731" s="26"/>
      <c r="AY731" s="26"/>
      <c r="AZ731" s="26"/>
      <c r="BA731" s="26"/>
      <c r="BB731" s="26"/>
      <c r="BC731" s="26"/>
      <c r="BD731" s="26"/>
      <c r="BE731" s="26"/>
      <c r="BF731" s="26"/>
      <c r="BG731" s="26"/>
      <c r="BH731" s="26"/>
      <c r="BI731" s="26"/>
    </row>
    <row r="732" ht="14.25" customHeight="1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  <c r="AB732" s="26"/>
      <c r="AC732" s="26"/>
      <c r="AD732" s="26"/>
      <c r="AE732" s="26"/>
      <c r="AF732" s="26"/>
      <c r="AG732" s="26"/>
      <c r="AH732" s="26"/>
      <c r="AI732" s="26"/>
      <c r="AJ732" s="26"/>
      <c r="AK732" s="26"/>
      <c r="AL732" s="26"/>
      <c r="AM732" s="26"/>
      <c r="AN732" s="26"/>
      <c r="AO732" s="26"/>
      <c r="AP732" s="26"/>
      <c r="AQ732" s="26"/>
      <c r="AR732" s="26"/>
      <c r="AS732" s="26"/>
      <c r="AT732" s="26"/>
      <c r="AU732" s="26"/>
      <c r="AV732" s="26"/>
      <c r="AW732" s="26"/>
      <c r="AX732" s="26"/>
      <c r="AY732" s="26"/>
      <c r="AZ732" s="26"/>
      <c r="BA732" s="26"/>
      <c r="BB732" s="26"/>
      <c r="BC732" s="26"/>
      <c r="BD732" s="26"/>
      <c r="BE732" s="26"/>
      <c r="BF732" s="26"/>
      <c r="BG732" s="26"/>
      <c r="BH732" s="26"/>
      <c r="BI732" s="26"/>
    </row>
    <row r="733" ht="14.25" customHeight="1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  <c r="AA733" s="26"/>
      <c r="AB733" s="26"/>
      <c r="AC733" s="26"/>
      <c r="AD733" s="26"/>
      <c r="AE733" s="26"/>
      <c r="AF733" s="26"/>
      <c r="AG733" s="26"/>
      <c r="AH733" s="26"/>
      <c r="AI733" s="26"/>
      <c r="AJ733" s="26"/>
      <c r="AK733" s="26"/>
      <c r="AL733" s="26"/>
      <c r="AM733" s="26"/>
      <c r="AN733" s="26"/>
      <c r="AO733" s="26"/>
      <c r="AP733" s="26"/>
      <c r="AQ733" s="26"/>
      <c r="AR733" s="26"/>
      <c r="AS733" s="26"/>
      <c r="AT733" s="26"/>
      <c r="AU733" s="26"/>
      <c r="AV733" s="26"/>
      <c r="AW733" s="26"/>
      <c r="AX733" s="26"/>
      <c r="AY733" s="26"/>
      <c r="AZ733" s="26"/>
      <c r="BA733" s="26"/>
      <c r="BB733" s="26"/>
      <c r="BC733" s="26"/>
      <c r="BD733" s="26"/>
      <c r="BE733" s="26"/>
      <c r="BF733" s="26"/>
      <c r="BG733" s="26"/>
      <c r="BH733" s="26"/>
      <c r="BI733" s="26"/>
    </row>
    <row r="734" ht="14.25" customHeight="1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  <c r="AB734" s="26"/>
      <c r="AC734" s="26"/>
      <c r="AD734" s="26"/>
      <c r="AE734" s="26"/>
      <c r="AF734" s="26"/>
      <c r="AG734" s="26"/>
      <c r="AH734" s="26"/>
      <c r="AI734" s="26"/>
      <c r="AJ734" s="26"/>
      <c r="AK734" s="26"/>
      <c r="AL734" s="26"/>
      <c r="AM734" s="26"/>
      <c r="AN734" s="26"/>
      <c r="AO734" s="26"/>
      <c r="AP734" s="26"/>
      <c r="AQ734" s="26"/>
      <c r="AR734" s="26"/>
      <c r="AS734" s="26"/>
      <c r="AT734" s="26"/>
      <c r="AU734" s="26"/>
      <c r="AV734" s="26"/>
      <c r="AW734" s="26"/>
      <c r="AX734" s="26"/>
      <c r="AY734" s="26"/>
      <c r="AZ734" s="26"/>
      <c r="BA734" s="26"/>
      <c r="BB734" s="26"/>
      <c r="BC734" s="26"/>
      <c r="BD734" s="26"/>
      <c r="BE734" s="26"/>
      <c r="BF734" s="26"/>
      <c r="BG734" s="26"/>
      <c r="BH734" s="26"/>
      <c r="BI734" s="26"/>
    </row>
    <row r="735" ht="14.25" customHeight="1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  <c r="AA735" s="26"/>
      <c r="AB735" s="26"/>
      <c r="AC735" s="26"/>
      <c r="AD735" s="26"/>
      <c r="AE735" s="26"/>
      <c r="AF735" s="26"/>
      <c r="AG735" s="26"/>
      <c r="AH735" s="26"/>
      <c r="AI735" s="26"/>
      <c r="AJ735" s="26"/>
      <c r="AK735" s="26"/>
      <c r="AL735" s="26"/>
      <c r="AM735" s="26"/>
      <c r="AN735" s="26"/>
      <c r="AO735" s="26"/>
      <c r="AP735" s="26"/>
      <c r="AQ735" s="26"/>
      <c r="AR735" s="26"/>
      <c r="AS735" s="26"/>
      <c r="AT735" s="26"/>
      <c r="AU735" s="26"/>
      <c r="AV735" s="26"/>
      <c r="AW735" s="26"/>
      <c r="AX735" s="26"/>
      <c r="AY735" s="26"/>
      <c r="AZ735" s="26"/>
      <c r="BA735" s="26"/>
      <c r="BB735" s="26"/>
      <c r="BC735" s="26"/>
      <c r="BD735" s="26"/>
      <c r="BE735" s="26"/>
      <c r="BF735" s="26"/>
      <c r="BG735" s="26"/>
      <c r="BH735" s="26"/>
      <c r="BI735" s="26"/>
    </row>
    <row r="736" ht="14.25" customHeight="1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  <c r="AC736" s="26"/>
      <c r="AD736" s="26"/>
      <c r="AE736" s="26"/>
      <c r="AF736" s="26"/>
      <c r="AG736" s="26"/>
      <c r="AH736" s="26"/>
      <c r="AI736" s="26"/>
      <c r="AJ736" s="26"/>
      <c r="AK736" s="26"/>
      <c r="AL736" s="26"/>
      <c r="AM736" s="26"/>
      <c r="AN736" s="26"/>
      <c r="AO736" s="26"/>
      <c r="AP736" s="26"/>
      <c r="AQ736" s="26"/>
      <c r="AR736" s="26"/>
      <c r="AS736" s="26"/>
      <c r="AT736" s="26"/>
      <c r="AU736" s="26"/>
      <c r="AV736" s="26"/>
      <c r="AW736" s="26"/>
      <c r="AX736" s="26"/>
      <c r="AY736" s="26"/>
      <c r="AZ736" s="26"/>
      <c r="BA736" s="26"/>
      <c r="BB736" s="26"/>
      <c r="BC736" s="26"/>
      <c r="BD736" s="26"/>
      <c r="BE736" s="26"/>
      <c r="BF736" s="26"/>
      <c r="BG736" s="26"/>
      <c r="BH736" s="26"/>
      <c r="BI736" s="26"/>
    </row>
    <row r="737" ht="14.25" customHeight="1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  <c r="AA737" s="26"/>
      <c r="AB737" s="26"/>
      <c r="AC737" s="26"/>
      <c r="AD737" s="26"/>
      <c r="AE737" s="26"/>
      <c r="AF737" s="26"/>
      <c r="AG737" s="26"/>
      <c r="AH737" s="26"/>
      <c r="AI737" s="26"/>
      <c r="AJ737" s="26"/>
      <c r="AK737" s="26"/>
      <c r="AL737" s="26"/>
      <c r="AM737" s="26"/>
      <c r="AN737" s="26"/>
      <c r="AO737" s="26"/>
      <c r="AP737" s="26"/>
      <c r="AQ737" s="26"/>
      <c r="AR737" s="26"/>
      <c r="AS737" s="26"/>
      <c r="AT737" s="26"/>
      <c r="AU737" s="26"/>
      <c r="AV737" s="26"/>
      <c r="AW737" s="26"/>
      <c r="AX737" s="26"/>
      <c r="AY737" s="26"/>
      <c r="AZ737" s="26"/>
      <c r="BA737" s="26"/>
      <c r="BB737" s="26"/>
      <c r="BC737" s="26"/>
      <c r="BD737" s="26"/>
      <c r="BE737" s="26"/>
      <c r="BF737" s="26"/>
      <c r="BG737" s="26"/>
      <c r="BH737" s="26"/>
      <c r="BI737" s="26"/>
    </row>
    <row r="738" ht="14.25" customHeight="1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  <c r="AB738" s="26"/>
      <c r="AC738" s="26"/>
      <c r="AD738" s="26"/>
      <c r="AE738" s="26"/>
      <c r="AF738" s="26"/>
      <c r="AG738" s="26"/>
      <c r="AH738" s="26"/>
      <c r="AI738" s="26"/>
      <c r="AJ738" s="26"/>
      <c r="AK738" s="26"/>
      <c r="AL738" s="26"/>
      <c r="AM738" s="26"/>
      <c r="AN738" s="26"/>
      <c r="AO738" s="26"/>
      <c r="AP738" s="26"/>
      <c r="AQ738" s="26"/>
      <c r="AR738" s="26"/>
      <c r="AS738" s="26"/>
      <c r="AT738" s="26"/>
      <c r="AU738" s="26"/>
      <c r="AV738" s="26"/>
      <c r="AW738" s="26"/>
      <c r="AX738" s="26"/>
      <c r="AY738" s="26"/>
      <c r="AZ738" s="26"/>
      <c r="BA738" s="26"/>
      <c r="BB738" s="26"/>
      <c r="BC738" s="26"/>
      <c r="BD738" s="26"/>
      <c r="BE738" s="26"/>
      <c r="BF738" s="26"/>
      <c r="BG738" s="26"/>
      <c r="BH738" s="26"/>
      <c r="BI738" s="26"/>
    </row>
    <row r="739" ht="14.25" customHeight="1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  <c r="AA739" s="26"/>
      <c r="AB739" s="26"/>
      <c r="AC739" s="26"/>
      <c r="AD739" s="26"/>
      <c r="AE739" s="26"/>
      <c r="AF739" s="26"/>
      <c r="AG739" s="26"/>
      <c r="AH739" s="26"/>
      <c r="AI739" s="26"/>
      <c r="AJ739" s="26"/>
      <c r="AK739" s="26"/>
      <c r="AL739" s="26"/>
      <c r="AM739" s="26"/>
      <c r="AN739" s="26"/>
      <c r="AO739" s="26"/>
      <c r="AP739" s="26"/>
      <c r="AQ739" s="26"/>
      <c r="AR739" s="26"/>
      <c r="AS739" s="26"/>
      <c r="AT739" s="26"/>
      <c r="AU739" s="26"/>
      <c r="AV739" s="26"/>
      <c r="AW739" s="26"/>
      <c r="AX739" s="26"/>
      <c r="AY739" s="26"/>
      <c r="AZ739" s="26"/>
      <c r="BA739" s="26"/>
      <c r="BB739" s="26"/>
      <c r="BC739" s="26"/>
      <c r="BD739" s="26"/>
      <c r="BE739" s="26"/>
      <c r="BF739" s="26"/>
      <c r="BG739" s="26"/>
      <c r="BH739" s="26"/>
      <c r="BI739" s="26"/>
    </row>
    <row r="740" ht="14.25" customHeight="1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  <c r="AB740" s="26"/>
      <c r="AC740" s="26"/>
      <c r="AD740" s="26"/>
      <c r="AE740" s="26"/>
      <c r="AF740" s="26"/>
      <c r="AG740" s="26"/>
      <c r="AH740" s="26"/>
      <c r="AI740" s="26"/>
      <c r="AJ740" s="26"/>
      <c r="AK740" s="26"/>
      <c r="AL740" s="26"/>
      <c r="AM740" s="26"/>
      <c r="AN740" s="26"/>
      <c r="AO740" s="26"/>
      <c r="AP740" s="26"/>
      <c r="AQ740" s="26"/>
      <c r="AR740" s="26"/>
      <c r="AS740" s="26"/>
      <c r="AT740" s="26"/>
      <c r="AU740" s="26"/>
      <c r="AV740" s="26"/>
      <c r="AW740" s="26"/>
      <c r="AX740" s="26"/>
      <c r="AY740" s="26"/>
      <c r="AZ740" s="26"/>
      <c r="BA740" s="26"/>
      <c r="BB740" s="26"/>
      <c r="BC740" s="26"/>
      <c r="BD740" s="26"/>
      <c r="BE740" s="26"/>
      <c r="BF740" s="26"/>
      <c r="BG740" s="26"/>
      <c r="BH740" s="26"/>
      <c r="BI740" s="26"/>
    </row>
    <row r="741" ht="14.25" customHeight="1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  <c r="AA741" s="26"/>
      <c r="AB741" s="26"/>
      <c r="AC741" s="26"/>
      <c r="AD741" s="26"/>
      <c r="AE741" s="26"/>
      <c r="AF741" s="26"/>
      <c r="AG741" s="26"/>
      <c r="AH741" s="26"/>
      <c r="AI741" s="26"/>
      <c r="AJ741" s="26"/>
      <c r="AK741" s="26"/>
      <c r="AL741" s="26"/>
      <c r="AM741" s="26"/>
      <c r="AN741" s="26"/>
      <c r="AO741" s="26"/>
      <c r="AP741" s="26"/>
      <c r="AQ741" s="26"/>
      <c r="AR741" s="26"/>
      <c r="AS741" s="26"/>
      <c r="AT741" s="26"/>
      <c r="AU741" s="26"/>
      <c r="AV741" s="26"/>
      <c r="AW741" s="26"/>
      <c r="AX741" s="26"/>
      <c r="AY741" s="26"/>
      <c r="AZ741" s="26"/>
      <c r="BA741" s="26"/>
      <c r="BB741" s="26"/>
      <c r="BC741" s="26"/>
      <c r="BD741" s="26"/>
      <c r="BE741" s="26"/>
      <c r="BF741" s="26"/>
      <c r="BG741" s="26"/>
      <c r="BH741" s="26"/>
      <c r="BI741" s="26"/>
    </row>
    <row r="742" ht="14.25" customHeight="1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  <c r="AB742" s="26"/>
      <c r="AC742" s="26"/>
      <c r="AD742" s="26"/>
      <c r="AE742" s="26"/>
      <c r="AF742" s="26"/>
      <c r="AG742" s="26"/>
      <c r="AH742" s="26"/>
      <c r="AI742" s="26"/>
      <c r="AJ742" s="26"/>
      <c r="AK742" s="26"/>
      <c r="AL742" s="26"/>
      <c r="AM742" s="26"/>
      <c r="AN742" s="26"/>
      <c r="AO742" s="26"/>
      <c r="AP742" s="26"/>
      <c r="AQ742" s="26"/>
      <c r="AR742" s="26"/>
      <c r="AS742" s="26"/>
      <c r="AT742" s="26"/>
      <c r="AU742" s="26"/>
      <c r="AV742" s="26"/>
      <c r="AW742" s="26"/>
      <c r="AX742" s="26"/>
      <c r="AY742" s="26"/>
      <c r="AZ742" s="26"/>
      <c r="BA742" s="26"/>
      <c r="BB742" s="26"/>
      <c r="BC742" s="26"/>
      <c r="BD742" s="26"/>
      <c r="BE742" s="26"/>
      <c r="BF742" s="26"/>
      <c r="BG742" s="26"/>
      <c r="BH742" s="26"/>
      <c r="BI742" s="26"/>
    </row>
    <row r="743" ht="14.25" customHeight="1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  <c r="AA743" s="26"/>
      <c r="AB743" s="26"/>
      <c r="AC743" s="26"/>
      <c r="AD743" s="26"/>
      <c r="AE743" s="26"/>
      <c r="AF743" s="26"/>
      <c r="AG743" s="26"/>
      <c r="AH743" s="26"/>
      <c r="AI743" s="26"/>
      <c r="AJ743" s="26"/>
      <c r="AK743" s="26"/>
      <c r="AL743" s="26"/>
      <c r="AM743" s="26"/>
      <c r="AN743" s="26"/>
      <c r="AO743" s="26"/>
      <c r="AP743" s="26"/>
      <c r="AQ743" s="26"/>
      <c r="AR743" s="26"/>
      <c r="AS743" s="26"/>
      <c r="AT743" s="26"/>
      <c r="AU743" s="26"/>
      <c r="AV743" s="26"/>
      <c r="AW743" s="26"/>
      <c r="AX743" s="26"/>
      <c r="AY743" s="26"/>
      <c r="AZ743" s="26"/>
      <c r="BA743" s="26"/>
      <c r="BB743" s="26"/>
      <c r="BC743" s="26"/>
      <c r="BD743" s="26"/>
      <c r="BE743" s="26"/>
      <c r="BF743" s="26"/>
      <c r="BG743" s="26"/>
      <c r="BH743" s="26"/>
      <c r="BI743" s="26"/>
    </row>
    <row r="744" ht="14.25" customHeight="1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  <c r="AA744" s="26"/>
      <c r="AB744" s="26"/>
      <c r="AC744" s="26"/>
      <c r="AD744" s="26"/>
      <c r="AE744" s="26"/>
      <c r="AF744" s="26"/>
      <c r="AG744" s="26"/>
      <c r="AH744" s="26"/>
      <c r="AI744" s="26"/>
      <c r="AJ744" s="26"/>
      <c r="AK744" s="26"/>
      <c r="AL744" s="26"/>
      <c r="AM744" s="26"/>
      <c r="AN744" s="26"/>
      <c r="AO744" s="26"/>
      <c r="AP744" s="26"/>
      <c r="AQ744" s="26"/>
      <c r="AR744" s="26"/>
      <c r="AS744" s="26"/>
      <c r="AT744" s="26"/>
      <c r="AU744" s="26"/>
      <c r="AV744" s="26"/>
      <c r="AW744" s="26"/>
      <c r="AX744" s="26"/>
      <c r="AY744" s="26"/>
      <c r="AZ744" s="26"/>
      <c r="BA744" s="26"/>
      <c r="BB744" s="26"/>
      <c r="BC744" s="26"/>
      <c r="BD744" s="26"/>
      <c r="BE744" s="26"/>
      <c r="BF744" s="26"/>
      <c r="BG744" s="26"/>
      <c r="BH744" s="26"/>
      <c r="BI744" s="26"/>
    </row>
    <row r="745" ht="14.25" customHeight="1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  <c r="AA745" s="26"/>
      <c r="AB745" s="26"/>
      <c r="AC745" s="26"/>
      <c r="AD745" s="26"/>
      <c r="AE745" s="26"/>
      <c r="AF745" s="26"/>
      <c r="AG745" s="26"/>
      <c r="AH745" s="26"/>
      <c r="AI745" s="26"/>
      <c r="AJ745" s="26"/>
      <c r="AK745" s="26"/>
      <c r="AL745" s="26"/>
      <c r="AM745" s="26"/>
      <c r="AN745" s="26"/>
      <c r="AO745" s="26"/>
      <c r="AP745" s="26"/>
      <c r="AQ745" s="26"/>
      <c r="AR745" s="26"/>
      <c r="AS745" s="26"/>
      <c r="AT745" s="26"/>
      <c r="AU745" s="26"/>
      <c r="AV745" s="26"/>
      <c r="AW745" s="26"/>
      <c r="AX745" s="26"/>
      <c r="AY745" s="26"/>
      <c r="AZ745" s="26"/>
      <c r="BA745" s="26"/>
      <c r="BB745" s="26"/>
      <c r="BC745" s="26"/>
      <c r="BD745" s="26"/>
      <c r="BE745" s="26"/>
      <c r="BF745" s="26"/>
      <c r="BG745" s="26"/>
      <c r="BH745" s="26"/>
      <c r="BI745" s="26"/>
    </row>
    <row r="746" ht="14.25" customHeight="1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  <c r="AA746" s="26"/>
      <c r="AB746" s="26"/>
      <c r="AC746" s="26"/>
      <c r="AD746" s="26"/>
      <c r="AE746" s="26"/>
      <c r="AF746" s="26"/>
      <c r="AG746" s="26"/>
      <c r="AH746" s="26"/>
      <c r="AI746" s="26"/>
      <c r="AJ746" s="26"/>
      <c r="AK746" s="26"/>
      <c r="AL746" s="26"/>
      <c r="AM746" s="26"/>
      <c r="AN746" s="26"/>
      <c r="AO746" s="26"/>
      <c r="AP746" s="26"/>
      <c r="AQ746" s="26"/>
      <c r="AR746" s="26"/>
      <c r="AS746" s="26"/>
      <c r="AT746" s="26"/>
      <c r="AU746" s="26"/>
      <c r="AV746" s="26"/>
      <c r="AW746" s="26"/>
      <c r="AX746" s="26"/>
      <c r="AY746" s="26"/>
      <c r="AZ746" s="26"/>
      <c r="BA746" s="26"/>
      <c r="BB746" s="26"/>
      <c r="BC746" s="26"/>
      <c r="BD746" s="26"/>
      <c r="BE746" s="26"/>
      <c r="BF746" s="26"/>
      <c r="BG746" s="26"/>
      <c r="BH746" s="26"/>
      <c r="BI746" s="26"/>
    </row>
    <row r="747" ht="14.25" customHeight="1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  <c r="AA747" s="26"/>
      <c r="AB747" s="26"/>
      <c r="AC747" s="26"/>
      <c r="AD747" s="26"/>
      <c r="AE747" s="26"/>
      <c r="AF747" s="26"/>
      <c r="AG747" s="26"/>
      <c r="AH747" s="26"/>
      <c r="AI747" s="26"/>
      <c r="AJ747" s="26"/>
      <c r="AK747" s="26"/>
      <c r="AL747" s="26"/>
      <c r="AM747" s="26"/>
      <c r="AN747" s="26"/>
      <c r="AO747" s="26"/>
      <c r="AP747" s="26"/>
      <c r="AQ747" s="26"/>
      <c r="AR747" s="26"/>
      <c r="AS747" s="26"/>
      <c r="AT747" s="26"/>
      <c r="AU747" s="26"/>
      <c r="AV747" s="26"/>
      <c r="AW747" s="26"/>
      <c r="AX747" s="26"/>
      <c r="AY747" s="26"/>
      <c r="AZ747" s="26"/>
      <c r="BA747" s="26"/>
      <c r="BB747" s="26"/>
      <c r="BC747" s="26"/>
      <c r="BD747" s="26"/>
      <c r="BE747" s="26"/>
      <c r="BF747" s="26"/>
      <c r="BG747" s="26"/>
      <c r="BH747" s="26"/>
      <c r="BI747" s="26"/>
    </row>
    <row r="748" ht="14.25" customHeight="1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  <c r="AA748" s="26"/>
      <c r="AB748" s="26"/>
      <c r="AC748" s="26"/>
      <c r="AD748" s="26"/>
      <c r="AE748" s="26"/>
      <c r="AF748" s="26"/>
      <c r="AG748" s="26"/>
      <c r="AH748" s="26"/>
      <c r="AI748" s="26"/>
      <c r="AJ748" s="26"/>
      <c r="AK748" s="26"/>
      <c r="AL748" s="26"/>
      <c r="AM748" s="26"/>
      <c r="AN748" s="26"/>
      <c r="AO748" s="26"/>
      <c r="AP748" s="26"/>
      <c r="AQ748" s="26"/>
      <c r="AR748" s="26"/>
      <c r="AS748" s="26"/>
      <c r="AT748" s="26"/>
      <c r="AU748" s="26"/>
      <c r="AV748" s="26"/>
      <c r="AW748" s="26"/>
      <c r="AX748" s="26"/>
      <c r="AY748" s="26"/>
      <c r="AZ748" s="26"/>
      <c r="BA748" s="26"/>
      <c r="BB748" s="26"/>
      <c r="BC748" s="26"/>
      <c r="BD748" s="26"/>
      <c r="BE748" s="26"/>
      <c r="BF748" s="26"/>
      <c r="BG748" s="26"/>
      <c r="BH748" s="26"/>
      <c r="BI748" s="26"/>
    </row>
    <row r="749" ht="14.25" customHeight="1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  <c r="AA749" s="26"/>
      <c r="AB749" s="26"/>
      <c r="AC749" s="26"/>
      <c r="AD749" s="26"/>
      <c r="AE749" s="26"/>
      <c r="AF749" s="26"/>
      <c r="AG749" s="26"/>
      <c r="AH749" s="26"/>
      <c r="AI749" s="26"/>
      <c r="AJ749" s="26"/>
      <c r="AK749" s="26"/>
      <c r="AL749" s="26"/>
      <c r="AM749" s="26"/>
      <c r="AN749" s="26"/>
      <c r="AO749" s="26"/>
      <c r="AP749" s="26"/>
      <c r="AQ749" s="26"/>
      <c r="AR749" s="26"/>
      <c r="AS749" s="26"/>
      <c r="AT749" s="26"/>
      <c r="AU749" s="26"/>
      <c r="AV749" s="26"/>
      <c r="AW749" s="26"/>
      <c r="AX749" s="26"/>
      <c r="AY749" s="26"/>
      <c r="AZ749" s="26"/>
      <c r="BA749" s="26"/>
      <c r="BB749" s="26"/>
      <c r="BC749" s="26"/>
      <c r="BD749" s="26"/>
      <c r="BE749" s="26"/>
      <c r="BF749" s="26"/>
      <c r="BG749" s="26"/>
      <c r="BH749" s="26"/>
      <c r="BI749" s="26"/>
    </row>
    <row r="750" ht="14.25" customHeight="1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  <c r="AB750" s="26"/>
      <c r="AC750" s="26"/>
      <c r="AD750" s="26"/>
      <c r="AE750" s="26"/>
      <c r="AF750" s="26"/>
      <c r="AG750" s="26"/>
      <c r="AH750" s="26"/>
      <c r="AI750" s="26"/>
      <c r="AJ750" s="26"/>
      <c r="AK750" s="26"/>
      <c r="AL750" s="26"/>
      <c r="AM750" s="26"/>
      <c r="AN750" s="26"/>
      <c r="AO750" s="26"/>
      <c r="AP750" s="26"/>
      <c r="AQ750" s="26"/>
      <c r="AR750" s="26"/>
      <c r="AS750" s="26"/>
      <c r="AT750" s="26"/>
      <c r="AU750" s="26"/>
      <c r="AV750" s="26"/>
      <c r="AW750" s="26"/>
      <c r="AX750" s="26"/>
      <c r="AY750" s="26"/>
      <c r="AZ750" s="26"/>
      <c r="BA750" s="26"/>
      <c r="BB750" s="26"/>
      <c r="BC750" s="26"/>
      <c r="BD750" s="26"/>
      <c r="BE750" s="26"/>
      <c r="BF750" s="26"/>
      <c r="BG750" s="26"/>
      <c r="BH750" s="26"/>
      <c r="BI750" s="26"/>
    </row>
    <row r="751" ht="14.25" customHeight="1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  <c r="AA751" s="26"/>
      <c r="AB751" s="26"/>
      <c r="AC751" s="26"/>
      <c r="AD751" s="26"/>
      <c r="AE751" s="26"/>
      <c r="AF751" s="26"/>
      <c r="AG751" s="26"/>
      <c r="AH751" s="26"/>
      <c r="AI751" s="26"/>
      <c r="AJ751" s="26"/>
      <c r="AK751" s="26"/>
      <c r="AL751" s="26"/>
      <c r="AM751" s="26"/>
      <c r="AN751" s="26"/>
      <c r="AO751" s="26"/>
      <c r="AP751" s="26"/>
      <c r="AQ751" s="26"/>
      <c r="AR751" s="26"/>
      <c r="AS751" s="26"/>
      <c r="AT751" s="26"/>
      <c r="AU751" s="26"/>
      <c r="AV751" s="26"/>
      <c r="AW751" s="26"/>
      <c r="AX751" s="26"/>
      <c r="AY751" s="26"/>
      <c r="AZ751" s="26"/>
      <c r="BA751" s="26"/>
      <c r="BB751" s="26"/>
      <c r="BC751" s="26"/>
      <c r="BD751" s="26"/>
      <c r="BE751" s="26"/>
      <c r="BF751" s="26"/>
      <c r="BG751" s="26"/>
      <c r="BH751" s="26"/>
      <c r="BI751" s="26"/>
    </row>
    <row r="752" ht="14.25" customHeight="1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  <c r="AA752" s="26"/>
      <c r="AB752" s="26"/>
      <c r="AC752" s="26"/>
      <c r="AD752" s="26"/>
      <c r="AE752" s="26"/>
      <c r="AF752" s="26"/>
      <c r="AG752" s="26"/>
      <c r="AH752" s="26"/>
      <c r="AI752" s="26"/>
      <c r="AJ752" s="26"/>
      <c r="AK752" s="26"/>
      <c r="AL752" s="26"/>
      <c r="AM752" s="26"/>
      <c r="AN752" s="26"/>
      <c r="AO752" s="26"/>
      <c r="AP752" s="26"/>
      <c r="AQ752" s="26"/>
      <c r="AR752" s="26"/>
      <c r="AS752" s="26"/>
      <c r="AT752" s="26"/>
      <c r="AU752" s="26"/>
      <c r="AV752" s="26"/>
      <c r="AW752" s="26"/>
      <c r="AX752" s="26"/>
      <c r="AY752" s="26"/>
      <c r="AZ752" s="26"/>
      <c r="BA752" s="26"/>
      <c r="BB752" s="26"/>
      <c r="BC752" s="26"/>
      <c r="BD752" s="26"/>
      <c r="BE752" s="26"/>
      <c r="BF752" s="26"/>
      <c r="BG752" s="26"/>
      <c r="BH752" s="26"/>
      <c r="BI752" s="26"/>
    </row>
    <row r="753" ht="14.25" customHeight="1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  <c r="AA753" s="26"/>
      <c r="AB753" s="26"/>
      <c r="AC753" s="26"/>
      <c r="AD753" s="26"/>
      <c r="AE753" s="26"/>
      <c r="AF753" s="26"/>
      <c r="AG753" s="26"/>
      <c r="AH753" s="26"/>
      <c r="AI753" s="26"/>
      <c r="AJ753" s="26"/>
      <c r="AK753" s="26"/>
      <c r="AL753" s="26"/>
      <c r="AM753" s="26"/>
      <c r="AN753" s="26"/>
      <c r="AO753" s="26"/>
      <c r="AP753" s="26"/>
      <c r="AQ753" s="26"/>
      <c r="AR753" s="26"/>
      <c r="AS753" s="26"/>
      <c r="AT753" s="26"/>
      <c r="AU753" s="26"/>
      <c r="AV753" s="26"/>
      <c r="AW753" s="26"/>
      <c r="AX753" s="26"/>
      <c r="AY753" s="26"/>
      <c r="AZ753" s="26"/>
      <c r="BA753" s="26"/>
      <c r="BB753" s="26"/>
      <c r="BC753" s="26"/>
      <c r="BD753" s="26"/>
      <c r="BE753" s="26"/>
      <c r="BF753" s="26"/>
      <c r="BG753" s="26"/>
      <c r="BH753" s="26"/>
      <c r="BI753" s="26"/>
    </row>
    <row r="754" ht="14.25" customHeight="1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  <c r="AA754" s="26"/>
      <c r="AB754" s="26"/>
      <c r="AC754" s="26"/>
      <c r="AD754" s="26"/>
      <c r="AE754" s="26"/>
      <c r="AF754" s="26"/>
      <c r="AG754" s="26"/>
      <c r="AH754" s="26"/>
      <c r="AI754" s="26"/>
      <c r="AJ754" s="26"/>
      <c r="AK754" s="26"/>
      <c r="AL754" s="26"/>
      <c r="AM754" s="26"/>
      <c r="AN754" s="26"/>
      <c r="AO754" s="26"/>
      <c r="AP754" s="26"/>
      <c r="AQ754" s="26"/>
      <c r="AR754" s="26"/>
      <c r="AS754" s="26"/>
      <c r="AT754" s="26"/>
      <c r="AU754" s="26"/>
      <c r="AV754" s="26"/>
      <c r="AW754" s="26"/>
      <c r="AX754" s="26"/>
      <c r="AY754" s="26"/>
      <c r="AZ754" s="26"/>
      <c r="BA754" s="26"/>
      <c r="BB754" s="26"/>
      <c r="BC754" s="26"/>
      <c r="BD754" s="26"/>
      <c r="BE754" s="26"/>
      <c r="BF754" s="26"/>
      <c r="BG754" s="26"/>
      <c r="BH754" s="26"/>
      <c r="BI754" s="26"/>
    </row>
    <row r="755" ht="14.25" customHeight="1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  <c r="AA755" s="26"/>
      <c r="AB755" s="26"/>
      <c r="AC755" s="26"/>
      <c r="AD755" s="26"/>
      <c r="AE755" s="26"/>
      <c r="AF755" s="26"/>
      <c r="AG755" s="26"/>
      <c r="AH755" s="26"/>
      <c r="AI755" s="26"/>
      <c r="AJ755" s="26"/>
      <c r="AK755" s="26"/>
      <c r="AL755" s="26"/>
      <c r="AM755" s="26"/>
      <c r="AN755" s="26"/>
      <c r="AO755" s="26"/>
      <c r="AP755" s="26"/>
      <c r="AQ755" s="26"/>
      <c r="AR755" s="26"/>
      <c r="AS755" s="26"/>
      <c r="AT755" s="26"/>
      <c r="AU755" s="26"/>
      <c r="AV755" s="26"/>
      <c r="AW755" s="26"/>
      <c r="AX755" s="26"/>
      <c r="AY755" s="26"/>
      <c r="AZ755" s="26"/>
      <c r="BA755" s="26"/>
      <c r="BB755" s="26"/>
      <c r="BC755" s="26"/>
      <c r="BD755" s="26"/>
      <c r="BE755" s="26"/>
      <c r="BF755" s="26"/>
      <c r="BG755" s="26"/>
      <c r="BH755" s="26"/>
      <c r="BI755" s="26"/>
    </row>
    <row r="756" ht="14.25" customHeight="1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  <c r="AA756" s="26"/>
      <c r="AB756" s="26"/>
      <c r="AC756" s="26"/>
      <c r="AD756" s="26"/>
      <c r="AE756" s="26"/>
      <c r="AF756" s="26"/>
      <c r="AG756" s="26"/>
      <c r="AH756" s="26"/>
      <c r="AI756" s="26"/>
      <c r="AJ756" s="26"/>
      <c r="AK756" s="26"/>
      <c r="AL756" s="26"/>
      <c r="AM756" s="26"/>
      <c r="AN756" s="26"/>
      <c r="AO756" s="26"/>
      <c r="AP756" s="26"/>
      <c r="AQ756" s="26"/>
      <c r="AR756" s="26"/>
      <c r="AS756" s="26"/>
      <c r="AT756" s="26"/>
      <c r="AU756" s="26"/>
      <c r="AV756" s="26"/>
      <c r="AW756" s="26"/>
      <c r="AX756" s="26"/>
      <c r="AY756" s="26"/>
      <c r="AZ756" s="26"/>
      <c r="BA756" s="26"/>
      <c r="BB756" s="26"/>
      <c r="BC756" s="26"/>
      <c r="BD756" s="26"/>
      <c r="BE756" s="26"/>
      <c r="BF756" s="26"/>
      <c r="BG756" s="26"/>
      <c r="BH756" s="26"/>
      <c r="BI756" s="26"/>
    </row>
    <row r="757" ht="14.25" customHeight="1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  <c r="AA757" s="26"/>
      <c r="AB757" s="26"/>
      <c r="AC757" s="26"/>
      <c r="AD757" s="26"/>
      <c r="AE757" s="26"/>
      <c r="AF757" s="26"/>
      <c r="AG757" s="26"/>
      <c r="AH757" s="26"/>
      <c r="AI757" s="26"/>
      <c r="AJ757" s="26"/>
      <c r="AK757" s="26"/>
      <c r="AL757" s="26"/>
      <c r="AM757" s="26"/>
      <c r="AN757" s="26"/>
      <c r="AO757" s="26"/>
      <c r="AP757" s="26"/>
      <c r="AQ757" s="26"/>
      <c r="AR757" s="26"/>
      <c r="AS757" s="26"/>
      <c r="AT757" s="26"/>
      <c r="AU757" s="26"/>
      <c r="AV757" s="26"/>
      <c r="AW757" s="26"/>
      <c r="AX757" s="26"/>
      <c r="AY757" s="26"/>
      <c r="AZ757" s="26"/>
      <c r="BA757" s="26"/>
      <c r="BB757" s="26"/>
      <c r="BC757" s="26"/>
      <c r="BD757" s="26"/>
      <c r="BE757" s="26"/>
      <c r="BF757" s="26"/>
      <c r="BG757" s="26"/>
      <c r="BH757" s="26"/>
      <c r="BI757" s="26"/>
    </row>
    <row r="758" ht="14.25" customHeight="1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  <c r="AA758" s="26"/>
      <c r="AB758" s="26"/>
      <c r="AC758" s="26"/>
      <c r="AD758" s="26"/>
      <c r="AE758" s="26"/>
      <c r="AF758" s="26"/>
      <c r="AG758" s="26"/>
      <c r="AH758" s="26"/>
      <c r="AI758" s="26"/>
      <c r="AJ758" s="26"/>
      <c r="AK758" s="26"/>
      <c r="AL758" s="26"/>
      <c r="AM758" s="26"/>
      <c r="AN758" s="26"/>
      <c r="AO758" s="26"/>
      <c r="AP758" s="26"/>
      <c r="AQ758" s="26"/>
      <c r="AR758" s="26"/>
      <c r="AS758" s="26"/>
      <c r="AT758" s="26"/>
      <c r="AU758" s="26"/>
      <c r="AV758" s="26"/>
      <c r="AW758" s="26"/>
      <c r="AX758" s="26"/>
      <c r="AY758" s="26"/>
      <c r="AZ758" s="26"/>
      <c r="BA758" s="26"/>
      <c r="BB758" s="26"/>
      <c r="BC758" s="26"/>
      <c r="BD758" s="26"/>
      <c r="BE758" s="26"/>
      <c r="BF758" s="26"/>
      <c r="BG758" s="26"/>
      <c r="BH758" s="26"/>
      <c r="BI758" s="26"/>
    </row>
    <row r="759" ht="14.25" customHeight="1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  <c r="AA759" s="26"/>
      <c r="AB759" s="26"/>
      <c r="AC759" s="26"/>
      <c r="AD759" s="26"/>
      <c r="AE759" s="26"/>
      <c r="AF759" s="26"/>
      <c r="AG759" s="26"/>
      <c r="AH759" s="26"/>
      <c r="AI759" s="26"/>
      <c r="AJ759" s="26"/>
      <c r="AK759" s="26"/>
      <c r="AL759" s="26"/>
      <c r="AM759" s="26"/>
      <c r="AN759" s="26"/>
      <c r="AO759" s="26"/>
      <c r="AP759" s="26"/>
      <c r="AQ759" s="26"/>
      <c r="AR759" s="26"/>
      <c r="AS759" s="26"/>
      <c r="AT759" s="26"/>
      <c r="AU759" s="26"/>
      <c r="AV759" s="26"/>
      <c r="AW759" s="26"/>
      <c r="AX759" s="26"/>
      <c r="AY759" s="26"/>
      <c r="AZ759" s="26"/>
      <c r="BA759" s="26"/>
      <c r="BB759" s="26"/>
      <c r="BC759" s="26"/>
      <c r="BD759" s="26"/>
      <c r="BE759" s="26"/>
      <c r="BF759" s="26"/>
      <c r="BG759" s="26"/>
      <c r="BH759" s="26"/>
      <c r="BI759" s="26"/>
    </row>
    <row r="760" ht="14.25" customHeight="1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  <c r="AA760" s="26"/>
      <c r="AB760" s="26"/>
      <c r="AC760" s="26"/>
      <c r="AD760" s="26"/>
      <c r="AE760" s="26"/>
      <c r="AF760" s="26"/>
      <c r="AG760" s="26"/>
      <c r="AH760" s="26"/>
      <c r="AI760" s="26"/>
      <c r="AJ760" s="26"/>
      <c r="AK760" s="26"/>
      <c r="AL760" s="26"/>
      <c r="AM760" s="26"/>
      <c r="AN760" s="26"/>
      <c r="AO760" s="26"/>
      <c r="AP760" s="26"/>
      <c r="AQ760" s="26"/>
      <c r="AR760" s="26"/>
      <c r="AS760" s="26"/>
      <c r="AT760" s="26"/>
      <c r="AU760" s="26"/>
      <c r="AV760" s="26"/>
      <c r="AW760" s="26"/>
      <c r="AX760" s="26"/>
      <c r="AY760" s="26"/>
      <c r="AZ760" s="26"/>
      <c r="BA760" s="26"/>
      <c r="BB760" s="26"/>
      <c r="BC760" s="26"/>
      <c r="BD760" s="26"/>
      <c r="BE760" s="26"/>
      <c r="BF760" s="26"/>
      <c r="BG760" s="26"/>
      <c r="BH760" s="26"/>
      <c r="BI760" s="26"/>
    </row>
    <row r="761" ht="14.25" customHeight="1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  <c r="AA761" s="26"/>
      <c r="AB761" s="26"/>
      <c r="AC761" s="26"/>
      <c r="AD761" s="26"/>
      <c r="AE761" s="26"/>
      <c r="AF761" s="26"/>
      <c r="AG761" s="26"/>
      <c r="AH761" s="26"/>
      <c r="AI761" s="26"/>
      <c r="AJ761" s="26"/>
      <c r="AK761" s="26"/>
      <c r="AL761" s="26"/>
      <c r="AM761" s="26"/>
      <c r="AN761" s="26"/>
      <c r="AO761" s="26"/>
      <c r="AP761" s="26"/>
      <c r="AQ761" s="26"/>
      <c r="AR761" s="26"/>
      <c r="AS761" s="26"/>
      <c r="AT761" s="26"/>
      <c r="AU761" s="26"/>
      <c r="AV761" s="26"/>
      <c r="AW761" s="26"/>
      <c r="AX761" s="26"/>
      <c r="AY761" s="26"/>
      <c r="AZ761" s="26"/>
      <c r="BA761" s="26"/>
      <c r="BB761" s="26"/>
      <c r="BC761" s="26"/>
      <c r="BD761" s="26"/>
      <c r="BE761" s="26"/>
      <c r="BF761" s="26"/>
      <c r="BG761" s="26"/>
      <c r="BH761" s="26"/>
      <c r="BI761" s="26"/>
    </row>
    <row r="762" ht="14.25" customHeight="1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  <c r="AA762" s="26"/>
      <c r="AB762" s="26"/>
      <c r="AC762" s="26"/>
      <c r="AD762" s="26"/>
      <c r="AE762" s="26"/>
      <c r="AF762" s="26"/>
      <c r="AG762" s="26"/>
      <c r="AH762" s="26"/>
      <c r="AI762" s="26"/>
      <c r="AJ762" s="26"/>
      <c r="AK762" s="26"/>
      <c r="AL762" s="26"/>
      <c r="AM762" s="26"/>
      <c r="AN762" s="26"/>
      <c r="AO762" s="26"/>
      <c r="AP762" s="26"/>
      <c r="AQ762" s="26"/>
      <c r="AR762" s="26"/>
      <c r="AS762" s="26"/>
      <c r="AT762" s="26"/>
      <c r="AU762" s="26"/>
      <c r="AV762" s="26"/>
      <c r="AW762" s="26"/>
      <c r="AX762" s="26"/>
      <c r="AY762" s="26"/>
      <c r="AZ762" s="26"/>
      <c r="BA762" s="26"/>
      <c r="BB762" s="26"/>
      <c r="BC762" s="26"/>
      <c r="BD762" s="26"/>
      <c r="BE762" s="26"/>
      <c r="BF762" s="26"/>
      <c r="BG762" s="26"/>
      <c r="BH762" s="26"/>
      <c r="BI762" s="26"/>
    </row>
    <row r="763" ht="14.25" customHeight="1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  <c r="AA763" s="26"/>
      <c r="AB763" s="26"/>
      <c r="AC763" s="26"/>
      <c r="AD763" s="26"/>
      <c r="AE763" s="26"/>
      <c r="AF763" s="26"/>
      <c r="AG763" s="26"/>
      <c r="AH763" s="26"/>
      <c r="AI763" s="26"/>
      <c r="AJ763" s="26"/>
      <c r="AK763" s="26"/>
      <c r="AL763" s="26"/>
      <c r="AM763" s="26"/>
      <c r="AN763" s="26"/>
      <c r="AO763" s="26"/>
      <c r="AP763" s="26"/>
      <c r="AQ763" s="26"/>
      <c r="AR763" s="26"/>
      <c r="AS763" s="26"/>
      <c r="AT763" s="26"/>
      <c r="AU763" s="26"/>
      <c r="AV763" s="26"/>
      <c r="AW763" s="26"/>
      <c r="AX763" s="26"/>
      <c r="AY763" s="26"/>
      <c r="AZ763" s="26"/>
      <c r="BA763" s="26"/>
      <c r="BB763" s="26"/>
      <c r="BC763" s="26"/>
      <c r="BD763" s="26"/>
      <c r="BE763" s="26"/>
      <c r="BF763" s="26"/>
      <c r="BG763" s="26"/>
      <c r="BH763" s="26"/>
      <c r="BI763" s="26"/>
    </row>
    <row r="764" ht="14.25" customHeight="1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  <c r="AA764" s="26"/>
      <c r="AB764" s="26"/>
      <c r="AC764" s="26"/>
      <c r="AD764" s="26"/>
      <c r="AE764" s="26"/>
      <c r="AF764" s="26"/>
      <c r="AG764" s="26"/>
      <c r="AH764" s="26"/>
      <c r="AI764" s="26"/>
      <c r="AJ764" s="26"/>
      <c r="AK764" s="26"/>
      <c r="AL764" s="26"/>
      <c r="AM764" s="26"/>
      <c r="AN764" s="26"/>
      <c r="AO764" s="26"/>
      <c r="AP764" s="26"/>
      <c r="AQ764" s="26"/>
      <c r="AR764" s="26"/>
      <c r="AS764" s="26"/>
      <c r="AT764" s="26"/>
      <c r="AU764" s="26"/>
      <c r="AV764" s="26"/>
      <c r="AW764" s="26"/>
      <c r="AX764" s="26"/>
      <c r="AY764" s="26"/>
      <c r="AZ764" s="26"/>
      <c r="BA764" s="26"/>
      <c r="BB764" s="26"/>
      <c r="BC764" s="26"/>
      <c r="BD764" s="26"/>
      <c r="BE764" s="26"/>
      <c r="BF764" s="26"/>
      <c r="BG764" s="26"/>
      <c r="BH764" s="26"/>
      <c r="BI764" s="26"/>
    </row>
    <row r="765" ht="14.25" customHeight="1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  <c r="AA765" s="26"/>
      <c r="AB765" s="26"/>
      <c r="AC765" s="26"/>
      <c r="AD765" s="26"/>
      <c r="AE765" s="26"/>
      <c r="AF765" s="26"/>
      <c r="AG765" s="26"/>
      <c r="AH765" s="26"/>
      <c r="AI765" s="26"/>
      <c r="AJ765" s="26"/>
      <c r="AK765" s="26"/>
      <c r="AL765" s="26"/>
      <c r="AM765" s="26"/>
      <c r="AN765" s="26"/>
      <c r="AO765" s="26"/>
      <c r="AP765" s="26"/>
      <c r="AQ765" s="26"/>
      <c r="AR765" s="26"/>
      <c r="AS765" s="26"/>
      <c r="AT765" s="26"/>
      <c r="AU765" s="26"/>
      <c r="AV765" s="26"/>
      <c r="AW765" s="26"/>
      <c r="AX765" s="26"/>
      <c r="AY765" s="26"/>
      <c r="AZ765" s="26"/>
      <c r="BA765" s="26"/>
      <c r="BB765" s="26"/>
      <c r="BC765" s="26"/>
      <c r="BD765" s="26"/>
      <c r="BE765" s="26"/>
      <c r="BF765" s="26"/>
      <c r="BG765" s="26"/>
      <c r="BH765" s="26"/>
      <c r="BI765" s="26"/>
    </row>
    <row r="766" ht="14.25" customHeight="1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  <c r="AA766" s="26"/>
      <c r="AB766" s="26"/>
      <c r="AC766" s="26"/>
      <c r="AD766" s="26"/>
      <c r="AE766" s="26"/>
      <c r="AF766" s="26"/>
      <c r="AG766" s="26"/>
      <c r="AH766" s="26"/>
      <c r="AI766" s="26"/>
      <c r="AJ766" s="26"/>
      <c r="AK766" s="26"/>
      <c r="AL766" s="26"/>
      <c r="AM766" s="26"/>
      <c r="AN766" s="26"/>
      <c r="AO766" s="26"/>
      <c r="AP766" s="26"/>
      <c r="AQ766" s="26"/>
      <c r="AR766" s="26"/>
      <c r="AS766" s="26"/>
      <c r="AT766" s="26"/>
      <c r="AU766" s="26"/>
      <c r="AV766" s="26"/>
      <c r="AW766" s="26"/>
      <c r="AX766" s="26"/>
      <c r="AY766" s="26"/>
      <c r="AZ766" s="26"/>
      <c r="BA766" s="26"/>
      <c r="BB766" s="26"/>
      <c r="BC766" s="26"/>
      <c r="BD766" s="26"/>
      <c r="BE766" s="26"/>
      <c r="BF766" s="26"/>
      <c r="BG766" s="26"/>
      <c r="BH766" s="26"/>
      <c r="BI766" s="26"/>
    </row>
    <row r="767" ht="14.25" customHeight="1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  <c r="AA767" s="26"/>
      <c r="AB767" s="26"/>
      <c r="AC767" s="26"/>
      <c r="AD767" s="26"/>
      <c r="AE767" s="26"/>
      <c r="AF767" s="26"/>
      <c r="AG767" s="26"/>
      <c r="AH767" s="26"/>
      <c r="AI767" s="26"/>
      <c r="AJ767" s="26"/>
      <c r="AK767" s="26"/>
      <c r="AL767" s="26"/>
      <c r="AM767" s="26"/>
      <c r="AN767" s="26"/>
      <c r="AO767" s="26"/>
      <c r="AP767" s="26"/>
      <c r="AQ767" s="26"/>
      <c r="AR767" s="26"/>
      <c r="AS767" s="26"/>
      <c r="AT767" s="26"/>
      <c r="AU767" s="26"/>
      <c r="AV767" s="26"/>
      <c r="AW767" s="26"/>
      <c r="AX767" s="26"/>
      <c r="AY767" s="26"/>
      <c r="AZ767" s="26"/>
      <c r="BA767" s="26"/>
      <c r="BB767" s="26"/>
      <c r="BC767" s="26"/>
      <c r="BD767" s="26"/>
      <c r="BE767" s="26"/>
      <c r="BF767" s="26"/>
      <c r="BG767" s="26"/>
      <c r="BH767" s="26"/>
      <c r="BI767" s="26"/>
    </row>
    <row r="768" ht="14.25" customHeight="1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  <c r="AA768" s="26"/>
      <c r="AB768" s="26"/>
      <c r="AC768" s="26"/>
      <c r="AD768" s="26"/>
      <c r="AE768" s="26"/>
      <c r="AF768" s="26"/>
      <c r="AG768" s="26"/>
      <c r="AH768" s="26"/>
      <c r="AI768" s="26"/>
      <c r="AJ768" s="26"/>
      <c r="AK768" s="26"/>
      <c r="AL768" s="26"/>
      <c r="AM768" s="26"/>
      <c r="AN768" s="26"/>
      <c r="AO768" s="26"/>
      <c r="AP768" s="26"/>
      <c r="AQ768" s="26"/>
      <c r="AR768" s="26"/>
      <c r="AS768" s="26"/>
      <c r="AT768" s="26"/>
      <c r="AU768" s="26"/>
      <c r="AV768" s="26"/>
      <c r="AW768" s="26"/>
      <c r="AX768" s="26"/>
      <c r="AY768" s="26"/>
      <c r="AZ768" s="26"/>
      <c r="BA768" s="26"/>
      <c r="BB768" s="26"/>
      <c r="BC768" s="26"/>
      <c r="BD768" s="26"/>
      <c r="BE768" s="26"/>
      <c r="BF768" s="26"/>
      <c r="BG768" s="26"/>
      <c r="BH768" s="26"/>
      <c r="BI768" s="26"/>
    </row>
    <row r="769" ht="14.25" customHeight="1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  <c r="AA769" s="26"/>
      <c r="AB769" s="26"/>
      <c r="AC769" s="26"/>
      <c r="AD769" s="26"/>
      <c r="AE769" s="26"/>
      <c r="AF769" s="26"/>
      <c r="AG769" s="26"/>
      <c r="AH769" s="26"/>
      <c r="AI769" s="26"/>
      <c r="AJ769" s="26"/>
      <c r="AK769" s="26"/>
      <c r="AL769" s="26"/>
      <c r="AM769" s="26"/>
      <c r="AN769" s="26"/>
      <c r="AO769" s="26"/>
      <c r="AP769" s="26"/>
      <c r="AQ769" s="26"/>
      <c r="AR769" s="26"/>
      <c r="AS769" s="26"/>
      <c r="AT769" s="26"/>
      <c r="AU769" s="26"/>
      <c r="AV769" s="26"/>
      <c r="AW769" s="26"/>
      <c r="AX769" s="26"/>
      <c r="AY769" s="26"/>
      <c r="AZ769" s="26"/>
      <c r="BA769" s="26"/>
      <c r="BB769" s="26"/>
      <c r="BC769" s="26"/>
      <c r="BD769" s="26"/>
      <c r="BE769" s="26"/>
      <c r="BF769" s="26"/>
      <c r="BG769" s="26"/>
      <c r="BH769" s="26"/>
      <c r="BI769" s="26"/>
    </row>
    <row r="770" ht="14.25" customHeight="1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  <c r="AA770" s="26"/>
      <c r="AB770" s="26"/>
      <c r="AC770" s="26"/>
      <c r="AD770" s="26"/>
      <c r="AE770" s="26"/>
      <c r="AF770" s="26"/>
      <c r="AG770" s="26"/>
      <c r="AH770" s="26"/>
      <c r="AI770" s="26"/>
      <c r="AJ770" s="26"/>
      <c r="AK770" s="26"/>
      <c r="AL770" s="26"/>
      <c r="AM770" s="26"/>
      <c r="AN770" s="26"/>
      <c r="AO770" s="26"/>
      <c r="AP770" s="26"/>
      <c r="AQ770" s="26"/>
      <c r="AR770" s="26"/>
      <c r="AS770" s="26"/>
      <c r="AT770" s="26"/>
      <c r="AU770" s="26"/>
      <c r="AV770" s="26"/>
      <c r="AW770" s="26"/>
      <c r="AX770" s="26"/>
      <c r="AY770" s="26"/>
      <c r="AZ770" s="26"/>
      <c r="BA770" s="26"/>
      <c r="BB770" s="26"/>
      <c r="BC770" s="26"/>
      <c r="BD770" s="26"/>
      <c r="BE770" s="26"/>
      <c r="BF770" s="26"/>
      <c r="BG770" s="26"/>
      <c r="BH770" s="26"/>
      <c r="BI770" s="26"/>
    </row>
    <row r="771" ht="14.25" customHeight="1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  <c r="AA771" s="26"/>
      <c r="AB771" s="26"/>
      <c r="AC771" s="26"/>
      <c r="AD771" s="26"/>
      <c r="AE771" s="26"/>
      <c r="AF771" s="26"/>
      <c r="AG771" s="26"/>
      <c r="AH771" s="26"/>
      <c r="AI771" s="26"/>
      <c r="AJ771" s="26"/>
      <c r="AK771" s="26"/>
      <c r="AL771" s="26"/>
      <c r="AM771" s="26"/>
      <c r="AN771" s="26"/>
      <c r="AO771" s="26"/>
      <c r="AP771" s="26"/>
      <c r="AQ771" s="26"/>
      <c r="AR771" s="26"/>
      <c r="AS771" s="26"/>
      <c r="AT771" s="26"/>
      <c r="AU771" s="26"/>
      <c r="AV771" s="26"/>
      <c r="AW771" s="26"/>
      <c r="AX771" s="26"/>
      <c r="AY771" s="26"/>
      <c r="AZ771" s="26"/>
      <c r="BA771" s="26"/>
      <c r="BB771" s="26"/>
      <c r="BC771" s="26"/>
      <c r="BD771" s="26"/>
      <c r="BE771" s="26"/>
      <c r="BF771" s="26"/>
      <c r="BG771" s="26"/>
      <c r="BH771" s="26"/>
      <c r="BI771" s="26"/>
    </row>
    <row r="772" ht="14.25" customHeight="1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  <c r="AA772" s="26"/>
      <c r="AB772" s="26"/>
      <c r="AC772" s="26"/>
      <c r="AD772" s="26"/>
      <c r="AE772" s="26"/>
      <c r="AF772" s="26"/>
      <c r="AG772" s="26"/>
      <c r="AH772" s="26"/>
      <c r="AI772" s="26"/>
      <c r="AJ772" s="26"/>
      <c r="AK772" s="26"/>
      <c r="AL772" s="26"/>
      <c r="AM772" s="26"/>
      <c r="AN772" s="26"/>
      <c r="AO772" s="26"/>
      <c r="AP772" s="26"/>
      <c r="AQ772" s="26"/>
      <c r="AR772" s="26"/>
      <c r="AS772" s="26"/>
      <c r="AT772" s="26"/>
      <c r="AU772" s="26"/>
      <c r="AV772" s="26"/>
      <c r="AW772" s="26"/>
      <c r="AX772" s="26"/>
      <c r="AY772" s="26"/>
      <c r="AZ772" s="26"/>
      <c r="BA772" s="26"/>
      <c r="BB772" s="26"/>
      <c r="BC772" s="26"/>
      <c r="BD772" s="26"/>
      <c r="BE772" s="26"/>
      <c r="BF772" s="26"/>
      <c r="BG772" s="26"/>
      <c r="BH772" s="26"/>
      <c r="BI772" s="26"/>
    </row>
    <row r="773" ht="14.25" customHeight="1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  <c r="AA773" s="26"/>
      <c r="AB773" s="26"/>
      <c r="AC773" s="26"/>
      <c r="AD773" s="26"/>
      <c r="AE773" s="26"/>
      <c r="AF773" s="26"/>
      <c r="AG773" s="26"/>
      <c r="AH773" s="26"/>
      <c r="AI773" s="26"/>
      <c r="AJ773" s="26"/>
      <c r="AK773" s="26"/>
      <c r="AL773" s="26"/>
      <c r="AM773" s="26"/>
      <c r="AN773" s="26"/>
      <c r="AO773" s="26"/>
      <c r="AP773" s="26"/>
      <c r="AQ773" s="26"/>
      <c r="AR773" s="26"/>
      <c r="AS773" s="26"/>
      <c r="AT773" s="26"/>
      <c r="AU773" s="26"/>
      <c r="AV773" s="26"/>
      <c r="AW773" s="26"/>
      <c r="AX773" s="26"/>
      <c r="AY773" s="26"/>
      <c r="AZ773" s="26"/>
      <c r="BA773" s="26"/>
      <c r="BB773" s="26"/>
      <c r="BC773" s="26"/>
      <c r="BD773" s="26"/>
      <c r="BE773" s="26"/>
      <c r="BF773" s="26"/>
      <c r="BG773" s="26"/>
      <c r="BH773" s="26"/>
      <c r="BI773" s="26"/>
    </row>
    <row r="774" ht="14.25" customHeight="1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  <c r="AA774" s="26"/>
      <c r="AB774" s="26"/>
      <c r="AC774" s="26"/>
      <c r="AD774" s="26"/>
      <c r="AE774" s="26"/>
      <c r="AF774" s="26"/>
      <c r="AG774" s="26"/>
      <c r="AH774" s="26"/>
      <c r="AI774" s="26"/>
      <c r="AJ774" s="26"/>
      <c r="AK774" s="26"/>
      <c r="AL774" s="26"/>
      <c r="AM774" s="26"/>
      <c r="AN774" s="26"/>
      <c r="AO774" s="26"/>
      <c r="AP774" s="26"/>
      <c r="AQ774" s="26"/>
      <c r="AR774" s="26"/>
      <c r="AS774" s="26"/>
      <c r="AT774" s="26"/>
      <c r="AU774" s="26"/>
      <c r="AV774" s="26"/>
      <c r="AW774" s="26"/>
      <c r="AX774" s="26"/>
      <c r="AY774" s="26"/>
      <c r="AZ774" s="26"/>
      <c r="BA774" s="26"/>
      <c r="BB774" s="26"/>
      <c r="BC774" s="26"/>
      <c r="BD774" s="26"/>
      <c r="BE774" s="26"/>
      <c r="BF774" s="26"/>
      <c r="BG774" s="26"/>
      <c r="BH774" s="26"/>
      <c r="BI774" s="26"/>
    </row>
    <row r="775" ht="14.25" customHeight="1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  <c r="AA775" s="26"/>
      <c r="AB775" s="26"/>
      <c r="AC775" s="26"/>
      <c r="AD775" s="26"/>
      <c r="AE775" s="26"/>
      <c r="AF775" s="26"/>
      <c r="AG775" s="26"/>
      <c r="AH775" s="26"/>
      <c r="AI775" s="26"/>
      <c r="AJ775" s="26"/>
      <c r="AK775" s="26"/>
      <c r="AL775" s="26"/>
      <c r="AM775" s="26"/>
      <c r="AN775" s="26"/>
      <c r="AO775" s="26"/>
      <c r="AP775" s="26"/>
      <c r="AQ775" s="26"/>
      <c r="AR775" s="26"/>
      <c r="AS775" s="26"/>
      <c r="AT775" s="26"/>
      <c r="AU775" s="26"/>
      <c r="AV775" s="26"/>
      <c r="AW775" s="26"/>
      <c r="AX775" s="26"/>
      <c r="AY775" s="26"/>
      <c r="AZ775" s="26"/>
      <c r="BA775" s="26"/>
      <c r="BB775" s="26"/>
      <c r="BC775" s="26"/>
      <c r="BD775" s="26"/>
      <c r="BE775" s="26"/>
      <c r="BF775" s="26"/>
      <c r="BG775" s="26"/>
      <c r="BH775" s="26"/>
      <c r="BI775" s="26"/>
    </row>
    <row r="776" ht="14.25" customHeight="1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  <c r="AA776" s="26"/>
      <c r="AB776" s="26"/>
      <c r="AC776" s="26"/>
      <c r="AD776" s="26"/>
      <c r="AE776" s="26"/>
      <c r="AF776" s="26"/>
      <c r="AG776" s="26"/>
      <c r="AH776" s="26"/>
      <c r="AI776" s="26"/>
      <c r="AJ776" s="26"/>
      <c r="AK776" s="26"/>
      <c r="AL776" s="26"/>
      <c r="AM776" s="26"/>
      <c r="AN776" s="26"/>
      <c r="AO776" s="26"/>
      <c r="AP776" s="26"/>
      <c r="AQ776" s="26"/>
      <c r="AR776" s="26"/>
      <c r="AS776" s="26"/>
      <c r="AT776" s="26"/>
      <c r="AU776" s="26"/>
      <c r="AV776" s="26"/>
      <c r="AW776" s="26"/>
      <c r="AX776" s="26"/>
      <c r="AY776" s="26"/>
      <c r="AZ776" s="26"/>
      <c r="BA776" s="26"/>
      <c r="BB776" s="26"/>
      <c r="BC776" s="26"/>
      <c r="BD776" s="26"/>
      <c r="BE776" s="26"/>
      <c r="BF776" s="26"/>
      <c r="BG776" s="26"/>
      <c r="BH776" s="26"/>
      <c r="BI776" s="26"/>
    </row>
    <row r="777" ht="14.25" customHeight="1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  <c r="AA777" s="26"/>
      <c r="AB777" s="26"/>
      <c r="AC777" s="26"/>
      <c r="AD777" s="26"/>
      <c r="AE777" s="26"/>
      <c r="AF777" s="26"/>
      <c r="AG777" s="26"/>
      <c r="AH777" s="26"/>
      <c r="AI777" s="26"/>
      <c r="AJ777" s="26"/>
      <c r="AK777" s="26"/>
      <c r="AL777" s="26"/>
      <c r="AM777" s="26"/>
      <c r="AN777" s="26"/>
      <c r="AO777" s="26"/>
      <c r="AP777" s="26"/>
      <c r="AQ777" s="26"/>
      <c r="AR777" s="26"/>
      <c r="AS777" s="26"/>
      <c r="AT777" s="26"/>
      <c r="AU777" s="26"/>
      <c r="AV777" s="26"/>
      <c r="AW777" s="26"/>
      <c r="AX777" s="26"/>
      <c r="AY777" s="26"/>
      <c r="AZ777" s="26"/>
      <c r="BA777" s="26"/>
      <c r="BB777" s="26"/>
      <c r="BC777" s="26"/>
      <c r="BD777" s="26"/>
      <c r="BE777" s="26"/>
      <c r="BF777" s="26"/>
      <c r="BG777" s="26"/>
      <c r="BH777" s="26"/>
      <c r="BI777" s="26"/>
    </row>
    <row r="778" ht="14.25" customHeight="1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  <c r="AA778" s="26"/>
      <c r="AB778" s="26"/>
      <c r="AC778" s="26"/>
      <c r="AD778" s="26"/>
      <c r="AE778" s="26"/>
      <c r="AF778" s="26"/>
      <c r="AG778" s="26"/>
      <c r="AH778" s="26"/>
      <c r="AI778" s="26"/>
      <c r="AJ778" s="26"/>
      <c r="AK778" s="26"/>
      <c r="AL778" s="26"/>
      <c r="AM778" s="26"/>
      <c r="AN778" s="26"/>
      <c r="AO778" s="26"/>
      <c r="AP778" s="26"/>
      <c r="AQ778" s="26"/>
      <c r="AR778" s="26"/>
      <c r="AS778" s="26"/>
      <c r="AT778" s="26"/>
      <c r="AU778" s="26"/>
      <c r="AV778" s="26"/>
      <c r="AW778" s="26"/>
      <c r="AX778" s="26"/>
      <c r="AY778" s="26"/>
      <c r="AZ778" s="26"/>
      <c r="BA778" s="26"/>
      <c r="BB778" s="26"/>
      <c r="BC778" s="26"/>
      <c r="BD778" s="26"/>
      <c r="BE778" s="26"/>
      <c r="BF778" s="26"/>
      <c r="BG778" s="26"/>
      <c r="BH778" s="26"/>
      <c r="BI778" s="26"/>
    </row>
    <row r="779" ht="14.25" customHeight="1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  <c r="AA779" s="26"/>
      <c r="AB779" s="26"/>
      <c r="AC779" s="26"/>
      <c r="AD779" s="26"/>
      <c r="AE779" s="26"/>
      <c r="AF779" s="26"/>
      <c r="AG779" s="26"/>
      <c r="AH779" s="26"/>
      <c r="AI779" s="26"/>
      <c r="AJ779" s="26"/>
      <c r="AK779" s="26"/>
      <c r="AL779" s="26"/>
      <c r="AM779" s="26"/>
      <c r="AN779" s="26"/>
      <c r="AO779" s="26"/>
      <c r="AP779" s="26"/>
      <c r="AQ779" s="26"/>
      <c r="AR779" s="26"/>
      <c r="AS779" s="26"/>
      <c r="AT779" s="26"/>
      <c r="AU779" s="26"/>
      <c r="AV779" s="26"/>
      <c r="AW779" s="26"/>
      <c r="AX779" s="26"/>
      <c r="AY779" s="26"/>
      <c r="AZ779" s="26"/>
      <c r="BA779" s="26"/>
      <c r="BB779" s="26"/>
      <c r="BC779" s="26"/>
      <c r="BD779" s="26"/>
      <c r="BE779" s="26"/>
      <c r="BF779" s="26"/>
      <c r="BG779" s="26"/>
      <c r="BH779" s="26"/>
      <c r="BI779" s="26"/>
    </row>
    <row r="780" ht="14.25" customHeight="1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  <c r="AA780" s="26"/>
      <c r="AB780" s="26"/>
      <c r="AC780" s="26"/>
      <c r="AD780" s="26"/>
      <c r="AE780" s="26"/>
      <c r="AF780" s="26"/>
      <c r="AG780" s="26"/>
      <c r="AH780" s="26"/>
      <c r="AI780" s="26"/>
      <c r="AJ780" s="26"/>
      <c r="AK780" s="26"/>
      <c r="AL780" s="26"/>
      <c r="AM780" s="26"/>
      <c r="AN780" s="26"/>
      <c r="AO780" s="26"/>
      <c r="AP780" s="26"/>
      <c r="AQ780" s="26"/>
      <c r="AR780" s="26"/>
      <c r="AS780" s="26"/>
      <c r="AT780" s="26"/>
      <c r="AU780" s="26"/>
      <c r="AV780" s="26"/>
      <c r="AW780" s="26"/>
      <c r="AX780" s="26"/>
      <c r="AY780" s="26"/>
      <c r="AZ780" s="26"/>
      <c r="BA780" s="26"/>
      <c r="BB780" s="26"/>
      <c r="BC780" s="26"/>
      <c r="BD780" s="26"/>
      <c r="BE780" s="26"/>
      <c r="BF780" s="26"/>
      <c r="BG780" s="26"/>
      <c r="BH780" s="26"/>
      <c r="BI780" s="26"/>
    </row>
    <row r="781" ht="14.25" customHeight="1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  <c r="AA781" s="26"/>
      <c r="AB781" s="26"/>
      <c r="AC781" s="26"/>
      <c r="AD781" s="26"/>
      <c r="AE781" s="26"/>
      <c r="AF781" s="26"/>
      <c r="AG781" s="26"/>
      <c r="AH781" s="26"/>
      <c r="AI781" s="26"/>
      <c r="AJ781" s="26"/>
      <c r="AK781" s="26"/>
      <c r="AL781" s="26"/>
      <c r="AM781" s="26"/>
      <c r="AN781" s="26"/>
      <c r="AO781" s="26"/>
      <c r="AP781" s="26"/>
      <c r="AQ781" s="26"/>
      <c r="AR781" s="26"/>
      <c r="AS781" s="26"/>
      <c r="AT781" s="26"/>
      <c r="AU781" s="26"/>
      <c r="AV781" s="26"/>
      <c r="AW781" s="26"/>
      <c r="AX781" s="26"/>
      <c r="AY781" s="26"/>
      <c r="AZ781" s="26"/>
      <c r="BA781" s="26"/>
      <c r="BB781" s="26"/>
      <c r="BC781" s="26"/>
      <c r="BD781" s="26"/>
      <c r="BE781" s="26"/>
      <c r="BF781" s="26"/>
      <c r="BG781" s="26"/>
      <c r="BH781" s="26"/>
      <c r="BI781" s="26"/>
    </row>
    <row r="782" ht="14.25" customHeight="1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  <c r="AA782" s="26"/>
      <c r="AB782" s="26"/>
      <c r="AC782" s="26"/>
      <c r="AD782" s="26"/>
      <c r="AE782" s="26"/>
      <c r="AF782" s="26"/>
      <c r="AG782" s="26"/>
      <c r="AH782" s="26"/>
      <c r="AI782" s="26"/>
      <c r="AJ782" s="26"/>
      <c r="AK782" s="26"/>
      <c r="AL782" s="26"/>
      <c r="AM782" s="26"/>
      <c r="AN782" s="26"/>
      <c r="AO782" s="26"/>
      <c r="AP782" s="26"/>
      <c r="AQ782" s="26"/>
      <c r="AR782" s="26"/>
      <c r="AS782" s="26"/>
      <c r="AT782" s="26"/>
      <c r="AU782" s="26"/>
      <c r="AV782" s="26"/>
      <c r="AW782" s="26"/>
      <c r="AX782" s="26"/>
      <c r="AY782" s="26"/>
      <c r="AZ782" s="26"/>
      <c r="BA782" s="26"/>
      <c r="BB782" s="26"/>
      <c r="BC782" s="26"/>
      <c r="BD782" s="26"/>
      <c r="BE782" s="26"/>
      <c r="BF782" s="26"/>
      <c r="BG782" s="26"/>
      <c r="BH782" s="26"/>
      <c r="BI782" s="26"/>
    </row>
    <row r="783" ht="14.25" customHeight="1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  <c r="AA783" s="26"/>
      <c r="AB783" s="26"/>
      <c r="AC783" s="26"/>
      <c r="AD783" s="26"/>
      <c r="AE783" s="26"/>
      <c r="AF783" s="26"/>
      <c r="AG783" s="26"/>
      <c r="AH783" s="26"/>
      <c r="AI783" s="26"/>
      <c r="AJ783" s="26"/>
      <c r="AK783" s="26"/>
      <c r="AL783" s="26"/>
      <c r="AM783" s="26"/>
      <c r="AN783" s="26"/>
      <c r="AO783" s="26"/>
      <c r="AP783" s="26"/>
      <c r="AQ783" s="26"/>
      <c r="AR783" s="26"/>
      <c r="AS783" s="26"/>
      <c r="AT783" s="26"/>
      <c r="AU783" s="26"/>
      <c r="AV783" s="26"/>
      <c r="AW783" s="26"/>
      <c r="AX783" s="26"/>
      <c r="AY783" s="26"/>
      <c r="AZ783" s="26"/>
      <c r="BA783" s="26"/>
      <c r="BB783" s="26"/>
      <c r="BC783" s="26"/>
      <c r="BD783" s="26"/>
      <c r="BE783" s="26"/>
      <c r="BF783" s="26"/>
      <c r="BG783" s="26"/>
      <c r="BH783" s="26"/>
      <c r="BI783" s="26"/>
    </row>
    <row r="784" ht="14.25" customHeight="1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  <c r="AA784" s="26"/>
      <c r="AB784" s="26"/>
      <c r="AC784" s="26"/>
      <c r="AD784" s="26"/>
      <c r="AE784" s="26"/>
      <c r="AF784" s="26"/>
      <c r="AG784" s="26"/>
      <c r="AH784" s="26"/>
      <c r="AI784" s="26"/>
      <c r="AJ784" s="26"/>
      <c r="AK784" s="26"/>
      <c r="AL784" s="26"/>
      <c r="AM784" s="26"/>
      <c r="AN784" s="26"/>
      <c r="AO784" s="26"/>
      <c r="AP784" s="26"/>
      <c r="AQ784" s="26"/>
      <c r="AR784" s="26"/>
      <c r="AS784" s="26"/>
      <c r="AT784" s="26"/>
      <c r="AU784" s="26"/>
      <c r="AV784" s="26"/>
      <c r="AW784" s="26"/>
      <c r="AX784" s="26"/>
      <c r="AY784" s="26"/>
      <c r="AZ784" s="26"/>
      <c r="BA784" s="26"/>
      <c r="BB784" s="26"/>
      <c r="BC784" s="26"/>
      <c r="BD784" s="26"/>
      <c r="BE784" s="26"/>
      <c r="BF784" s="26"/>
      <c r="BG784" s="26"/>
      <c r="BH784" s="26"/>
      <c r="BI784" s="26"/>
    </row>
    <row r="785" ht="14.25" customHeight="1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  <c r="AA785" s="26"/>
      <c r="AB785" s="26"/>
      <c r="AC785" s="26"/>
      <c r="AD785" s="26"/>
      <c r="AE785" s="26"/>
      <c r="AF785" s="26"/>
      <c r="AG785" s="26"/>
      <c r="AH785" s="26"/>
      <c r="AI785" s="26"/>
      <c r="AJ785" s="26"/>
      <c r="AK785" s="26"/>
      <c r="AL785" s="26"/>
      <c r="AM785" s="26"/>
      <c r="AN785" s="26"/>
      <c r="AO785" s="26"/>
      <c r="AP785" s="26"/>
      <c r="AQ785" s="26"/>
      <c r="AR785" s="26"/>
      <c r="AS785" s="26"/>
      <c r="AT785" s="26"/>
      <c r="AU785" s="26"/>
      <c r="AV785" s="26"/>
      <c r="AW785" s="26"/>
      <c r="AX785" s="26"/>
      <c r="AY785" s="26"/>
      <c r="AZ785" s="26"/>
      <c r="BA785" s="26"/>
      <c r="BB785" s="26"/>
      <c r="BC785" s="26"/>
      <c r="BD785" s="26"/>
      <c r="BE785" s="26"/>
      <c r="BF785" s="26"/>
      <c r="BG785" s="26"/>
      <c r="BH785" s="26"/>
      <c r="BI785" s="26"/>
    </row>
    <row r="786" ht="14.25" customHeight="1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  <c r="AA786" s="26"/>
      <c r="AB786" s="26"/>
      <c r="AC786" s="26"/>
      <c r="AD786" s="26"/>
      <c r="AE786" s="26"/>
      <c r="AF786" s="26"/>
      <c r="AG786" s="26"/>
      <c r="AH786" s="26"/>
      <c r="AI786" s="26"/>
      <c r="AJ786" s="26"/>
      <c r="AK786" s="26"/>
      <c r="AL786" s="26"/>
      <c r="AM786" s="26"/>
      <c r="AN786" s="26"/>
      <c r="AO786" s="26"/>
      <c r="AP786" s="26"/>
      <c r="AQ786" s="26"/>
      <c r="AR786" s="26"/>
      <c r="AS786" s="26"/>
      <c r="AT786" s="26"/>
      <c r="AU786" s="26"/>
      <c r="AV786" s="26"/>
      <c r="AW786" s="26"/>
      <c r="AX786" s="26"/>
      <c r="AY786" s="26"/>
      <c r="AZ786" s="26"/>
      <c r="BA786" s="26"/>
      <c r="BB786" s="26"/>
      <c r="BC786" s="26"/>
      <c r="BD786" s="26"/>
      <c r="BE786" s="26"/>
      <c r="BF786" s="26"/>
      <c r="BG786" s="26"/>
      <c r="BH786" s="26"/>
      <c r="BI786" s="26"/>
    </row>
    <row r="787" ht="14.25" customHeight="1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  <c r="AA787" s="26"/>
      <c r="AB787" s="26"/>
      <c r="AC787" s="26"/>
      <c r="AD787" s="26"/>
      <c r="AE787" s="26"/>
      <c r="AF787" s="26"/>
      <c r="AG787" s="26"/>
      <c r="AH787" s="26"/>
      <c r="AI787" s="26"/>
      <c r="AJ787" s="26"/>
      <c r="AK787" s="26"/>
      <c r="AL787" s="26"/>
      <c r="AM787" s="26"/>
      <c r="AN787" s="26"/>
      <c r="AO787" s="26"/>
      <c r="AP787" s="26"/>
      <c r="AQ787" s="26"/>
      <c r="AR787" s="26"/>
      <c r="AS787" s="26"/>
      <c r="AT787" s="26"/>
      <c r="AU787" s="26"/>
      <c r="AV787" s="26"/>
      <c r="AW787" s="26"/>
      <c r="AX787" s="26"/>
      <c r="AY787" s="26"/>
      <c r="AZ787" s="26"/>
      <c r="BA787" s="26"/>
      <c r="BB787" s="26"/>
      <c r="BC787" s="26"/>
      <c r="BD787" s="26"/>
      <c r="BE787" s="26"/>
      <c r="BF787" s="26"/>
      <c r="BG787" s="26"/>
      <c r="BH787" s="26"/>
      <c r="BI787" s="26"/>
    </row>
    <row r="788" ht="14.25" customHeight="1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  <c r="AA788" s="26"/>
      <c r="AB788" s="26"/>
      <c r="AC788" s="26"/>
      <c r="AD788" s="26"/>
      <c r="AE788" s="26"/>
      <c r="AF788" s="26"/>
      <c r="AG788" s="26"/>
      <c r="AH788" s="26"/>
      <c r="AI788" s="26"/>
      <c r="AJ788" s="26"/>
      <c r="AK788" s="26"/>
      <c r="AL788" s="26"/>
      <c r="AM788" s="26"/>
      <c r="AN788" s="26"/>
      <c r="AO788" s="26"/>
      <c r="AP788" s="26"/>
      <c r="AQ788" s="26"/>
      <c r="AR788" s="26"/>
      <c r="AS788" s="26"/>
      <c r="AT788" s="26"/>
      <c r="AU788" s="26"/>
      <c r="AV788" s="26"/>
      <c r="AW788" s="26"/>
      <c r="AX788" s="26"/>
      <c r="AY788" s="26"/>
      <c r="AZ788" s="26"/>
      <c r="BA788" s="26"/>
      <c r="BB788" s="26"/>
      <c r="BC788" s="26"/>
      <c r="BD788" s="26"/>
      <c r="BE788" s="26"/>
      <c r="BF788" s="26"/>
      <c r="BG788" s="26"/>
      <c r="BH788" s="26"/>
      <c r="BI788" s="26"/>
    </row>
    <row r="789" ht="14.25" customHeight="1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  <c r="AA789" s="26"/>
      <c r="AB789" s="26"/>
      <c r="AC789" s="26"/>
      <c r="AD789" s="26"/>
      <c r="AE789" s="26"/>
      <c r="AF789" s="26"/>
      <c r="AG789" s="26"/>
      <c r="AH789" s="26"/>
      <c r="AI789" s="26"/>
      <c r="AJ789" s="26"/>
      <c r="AK789" s="26"/>
      <c r="AL789" s="26"/>
      <c r="AM789" s="26"/>
      <c r="AN789" s="26"/>
      <c r="AO789" s="26"/>
      <c r="AP789" s="26"/>
      <c r="AQ789" s="26"/>
      <c r="AR789" s="26"/>
      <c r="AS789" s="26"/>
      <c r="AT789" s="26"/>
      <c r="AU789" s="26"/>
      <c r="AV789" s="26"/>
      <c r="AW789" s="26"/>
      <c r="AX789" s="26"/>
      <c r="AY789" s="26"/>
      <c r="AZ789" s="26"/>
      <c r="BA789" s="26"/>
      <c r="BB789" s="26"/>
      <c r="BC789" s="26"/>
      <c r="BD789" s="26"/>
      <c r="BE789" s="26"/>
      <c r="BF789" s="26"/>
      <c r="BG789" s="26"/>
      <c r="BH789" s="26"/>
      <c r="BI789" s="26"/>
    </row>
    <row r="790" ht="14.25" customHeight="1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  <c r="AA790" s="26"/>
      <c r="AB790" s="26"/>
      <c r="AC790" s="26"/>
      <c r="AD790" s="26"/>
      <c r="AE790" s="26"/>
      <c r="AF790" s="26"/>
      <c r="AG790" s="26"/>
      <c r="AH790" s="26"/>
      <c r="AI790" s="26"/>
      <c r="AJ790" s="26"/>
      <c r="AK790" s="26"/>
      <c r="AL790" s="26"/>
      <c r="AM790" s="26"/>
      <c r="AN790" s="26"/>
      <c r="AO790" s="26"/>
      <c r="AP790" s="26"/>
      <c r="AQ790" s="26"/>
      <c r="AR790" s="26"/>
      <c r="AS790" s="26"/>
      <c r="AT790" s="26"/>
      <c r="AU790" s="26"/>
      <c r="AV790" s="26"/>
      <c r="AW790" s="26"/>
      <c r="AX790" s="26"/>
      <c r="AY790" s="26"/>
      <c r="AZ790" s="26"/>
      <c r="BA790" s="26"/>
      <c r="BB790" s="26"/>
      <c r="BC790" s="26"/>
      <c r="BD790" s="26"/>
      <c r="BE790" s="26"/>
      <c r="BF790" s="26"/>
      <c r="BG790" s="26"/>
      <c r="BH790" s="26"/>
      <c r="BI790" s="26"/>
    </row>
    <row r="791" ht="14.25" customHeight="1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  <c r="AA791" s="26"/>
      <c r="AB791" s="26"/>
      <c r="AC791" s="26"/>
      <c r="AD791" s="26"/>
      <c r="AE791" s="26"/>
      <c r="AF791" s="26"/>
      <c r="AG791" s="26"/>
      <c r="AH791" s="26"/>
      <c r="AI791" s="26"/>
      <c r="AJ791" s="26"/>
      <c r="AK791" s="26"/>
      <c r="AL791" s="26"/>
      <c r="AM791" s="26"/>
      <c r="AN791" s="26"/>
      <c r="AO791" s="26"/>
      <c r="AP791" s="26"/>
      <c r="AQ791" s="26"/>
      <c r="AR791" s="26"/>
      <c r="AS791" s="26"/>
      <c r="AT791" s="26"/>
      <c r="AU791" s="26"/>
      <c r="AV791" s="26"/>
      <c r="AW791" s="26"/>
      <c r="AX791" s="26"/>
      <c r="AY791" s="26"/>
      <c r="AZ791" s="26"/>
      <c r="BA791" s="26"/>
      <c r="BB791" s="26"/>
      <c r="BC791" s="26"/>
      <c r="BD791" s="26"/>
      <c r="BE791" s="26"/>
      <c r="BF791" s="26"/>
      <c r="BG791" s="26"/>
      <c r="BH791" s="26"/>
      <c r="BI791" s="26"/>
    </row>
    <row r="792" ht="14.25" customHeight="1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  <c r="AA792" s="26"/>
      <c r="AB792" s="26"/>
      <c r="AC792" s="26"/>
      <c r="AD792" s="26"/>
      <c r="AE792" s="26"/>
      <c r="AF792" s="26"/>
      <c r="AG792" s="26"/>
      <c r="AH792" s="26"/>
      <c r="AI792" s="26"/>
      <c r="AJ792" s="26"/>
      <c r="AK792" s="26"/>
      <c r="AL792" s="26"/>
      <c r="AM792" s="26"/>
      <c r="AN792" s="26"/>
      <c r="AO792" s="26"/>
      <c r="AP792" s="26"/>
      <c r="AQ792" s="26"/>
      <c r="AR792" s="26"/>
      <c r="AS792" s="26"/>
      <c r="AT792" s="26"/>
      <c r="AU792" s="26"/>
      <c r="AV792" s="26"/>
      <c r="AW792" s="26"/>
      <c r="AX792" s="26"/>
      <c r="AY792" s="26"/>
      <c r="AZ792" s="26"/>
      <c r="BA792" s="26"/>
      <c r="BB792" s="26"/>
      <c r="BC792" s="26"/>
      <c r="BD792" s="26"/>
      <c r="BE792" s="26"/>
      <c r="BF792" s="26"/>
      <c r="BG792" s="26"/>
      <c r="BH792" s="26"/>
      <c r="BI792" s="26"/>
    </row>
    <row r="793" ht="14.25" customHeight="1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  <c r="AA793" s="26"/>
      <c r="AB793" s="26"/>
      <c r="AC793" s="26"/>
      <c r="AD793" s="26"/>
      <c r="AE793" s="26"/>
      <c r="AF793" s="26"/>
      <c r="AG793" s="26"/>
      <c r="AH793" s="26"/>
      <c r="AI793" s="26"/>
      <c r="AJ793" s="26"/>
      <c r="AK793" s="26"/>
      <c r="AL793" s="26"/>
      <c r="AM793" s="26"/>
      <c r="AN793" s="26"/>
      <c r="AO793" s="26"/>
      <c r="AP793" s="26"/>
      <c r="AQ793" s="26"/>
      <c r="AR793" s="26"/>
      <c r="AS793" s="26"/>
      <c r="AT793" s="26"/>
      <c r="AU793" s="26"/>
      <c r="AV793" s="26"/>
      <c r="AW793" s="26"/>
      <c r="AX793" s="26"/>
      <c r="AY793" s="26"/>
      <c r="AZ793" s="26"/>
      <c r="BA793" s="26"/>
      <c r="BB793" s="26"/>
      <c r="BC793" s="26"/>
      <c r="BD793" s="26"/>
      <c r="BE793" s="26"/>
      <c r="BF793" s="26"/>
      <c r="BG793" s="26"/>
      <c r="BH793" s="26"/>
      <c r="BI793" s="26"/>
    </row>
    <row r="794" ht="14.25" customHeight="1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  <c r="AA794" s="26"/>
      <c r="AB794" s="26"/>
      <c r="AC794" s="26"/>
      <c r="AD794" s="26"/>
      <c r="AE794" s="26"/>
      <c r="AF794" s="26"/>
      <c r="AG794" s="26"/>
      <c r="AH794" s="26"/>
      <c r="AI794" s="26"/>
      <c r="AJ794" s="26"/>
      <c r="AK794" s="26"/>
      <c r="AL794" s="26"/>
      <c r="AM794" s="26"/>
      <c r="AN794" s="26"/>
      <c r="AO794" s="26"/>
      <c r="AP794" s="26"/>
      <c r="AQ794" s="26"/>
      <c r="AR794" s="26"/>
      <c r="AS794" s="26"/>
      <c r="AT794" s="26"/>
      <c r="AU794" s="26"/>
      <c r="AV794" s="26"/>
      <c r="AW794" s="26"/>
      <c r="AX794" s="26"/>
      <c r="AY794" s="26"/>
      <c r="AZ794" s="26"/>
      <c r="BA794" s="26"/>
      <c r="BB794" s="26"/>
      <c r="BC794" s="26"/>
      <c r="BD794" s="26"/>
      <c r="BE794" s="26"/>
      <c r="BF794" s="26"/>
      <c r="BG794" s="26"/>
      <c r="BH794" s="26"/>
      <c r="BI794" s="26"/>
    </row>
    <row r="795" ht="14.25" customHeight="1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  <c r="AA795" s="26"/>
      <c r="AB795" s="26"/>
      <c r="AC795" s="26"/>
      <c r="AD795" s="26"/>
      <c r="AE795" s="26"/>
      <c r="AF795" s="26"/>
      <c r="AG795" s="26"/>
      <c r="AH795" s="26"/>
      <c r="AI795" s="26"/>
      <c r="AJ795" s="26"/>
      <c r="AK795" s="26"/>
      <c r="AL795" s="26"/>
      <c r="AM795" s="26"/>
      <c r="AN795" s="26"/>
      <c r="AO795" s="26"/>
      <c r="AP795" s="26"/>
      <c r="AQ795" s="26"/>
      <c r="AR795" s="26"/>
      <c r="AS795" s="26"/>
      <c r="AT795" s="26"/>
      <c r="AU795" s="26"/>
      <c r="AV795" s="26"/>
      <c r="AW795" s="26"/>
      <c r="AX795" s="26"/>
      <c r="AY795" s="26"/>
      <c r="AZ795" s="26"/>
      <c r="BA795" s="26"/>
      <c r="BB795" s="26"/>
      <c r="BC795" s="26"/>
      <c r="BD795" s="26"/>
      <c r="BE795" s="26"/>
      <c r="BF795" s="26"/>
      <c r="BG795" s="26"/>
      <c r="BH795" s="26"/>
      <c r="BI795" s="26"/>
    </row>
    <row r="796" ht="14.25" customHeight="1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  <c r="AA796" s="26"/>
      <c r="AB796" s="26"/>
      <c r="AC796" s="26"/>
      <c r="AD796" s="26"/>
      <c r="AE796" s="26"/>
      <c r="AF796" s="26"/>
      <c r="AG796" s="26"/>
      <c r="AH796" s="26"/>
      <c r="AI796" s="26"/>
      <c r="AJ796" s="26"/>
      <c r="AK796" s="26"/>
      <c r="AL796" s="26"/>
      <c r="AM796" s="26"/>
      <c r="AN796" s="26"/>
      <c r="AO796" s="26"/>
      <c r="AP796" s="26"/>
      <c r="AQ796" s="26"/>
      <c r="AR796" s="26"/>
      <c r="AS796" s="26"/>
      <c r="AT796" s="26"/>
      <c r="AU796" s="26"/>
      <c r="AV796" s="26"/>
      <c r="AW796" s="26"/>
      <c r="AX796" s="26"/>
      <c r="AY796" s="26"/>
      <c r="AZ796" s="26"/>
      <c r="BA796" s="26"/>
      <c r="BB796" s="26"/>
      <c r="BC796" s="26"/>
      <c r="BD796" s="26"/>
      <c r="BE796" s="26"/>
      <c r="BF796" s="26"/>
      <c r="BG796" s="26"/>
      <c r="BH796" s="26"/>
      <c r="BI796" s="26"/>
    </row>
    <row r="797" ht="14.25" customHeight="1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  <c r="AA797" s="26"/>
      <c r="AB797" s="26"/>
      <c r="AC797" s="26"/>
      <c r="AD797" s="26"/>
      <c r="AE797" s="26"/>
      <c r="AF797" s="26"/>
      <c r="AG797" s="26"/>
      <c r="AH797" s="26"/>
      <c r="AI797" s="26"/>
      <c r="AJ797" s="26"/>
      <c r="AK797" s="26"/>
      <c r="AL797" s="26"/>
      <c r="AM797" s="26"/>
      <c r="AN797" s="26"/>
      <c r="AO797" s="26"/>
      <c r="AP797" s="26"/>
      <c r="AQ797" s="26"/>
      <c r="AR797" s="26"/>
      <c r="AS797" s="26"/>
      <c r="AT797" s="26"/>
      <c r="AU797" s="26"/>
      <c r="AV797" s="26"/>
      <c r="AW797" s="26"/>
      <c r="AX797" s="26"/>
      <c r="AY797" s="26"/>
      <c r="AZ797" s="26"/>
      <c r="BA797" s="26"/>
      <c r="BB797" s="26"/>
      <c r="BC797" s="26"/>
      <c r="BD797" s="26"/>
      <c r="BE797" s="26"/>
      <c r="BF797" s="26"/>
      <c r="BG797" s="26"/>
      <c r="BH797" s="26"/>
      <c r="BI797" s="26"/>
    </row>
    <row r="798" ht="14.25" customHeight="1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  <c r="AA798" s="26"/>
      <c r="AB798" s="26"/>
      <c r="AC798" s="26"/>
      <c r="AD798" s="26"/>
      <c r="AE798" s="26"/>
      <c r="AF798" s="26"/>
      <c r="AG798" s="26"/>
      <c r="AH798" s="26"/>
      <c r="AI798" s="26"/>
      <c r="AJ798" s="26"/>
      <c r="AK798" s="26"/>
      <c r="AL798" s="26"/>
      <c r="AM798" s="26"/>
      <c r="AN798" s="26"/>
      <c r="AO798" s="26"/>
      <c r="AP798" s="26"/>
      <c r="AQ798" s="26"/>
      <c r="AR798" s="26"/>
      <c r="AS798" s="26"/>
      <c r="AT798" s="26"/>
      <c r="AU798" s="26"/>
      <c r="AV798" s="26"/>
      <c r="AW798" s="26"/>
      <c r="AX798" s="26"/>
      <c r="AY798" s="26"/>
      <c r="AZ798" s="26"/>
      <c r="BA798" s="26"/>
      <c r="BB798" s="26"/>
      <c r="BC798" s="26"/>
      <c r="BD798" s="26"/>
      <c r="BE798" s="26"/>
      <c r="BF798" s="26"/>
      <c r="BG798" s="26"/>
      <c r="BH798" s="26"/>
      <c r="BI798" s="26"/>
    </row>
    <row r="799" ht="14.25" customHeight="1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  <c r="AA799" s="26"/>
      <c r="AB799" s="26"/>
      <c r="AC799" s="26"/>
      <c r="AD799" s="26"/>
      <c r="AE799" s="26"/>
      <c r="AF799" s="26"/>
      <c r="AG799" s="26"/>
      <c r="AH799" s="26"/>
      <c r="AI799" s="26"/>
      <c r="AJ799" s="26"/>
      <c r="AK799" s="26"/>
      <c r="AL799" s="26"/>
      <c r="AM799" s="26"/>
      <c r="AN799" s="26"/>
      <c r="AO799" s="26"/>
      <c r="AP799" s="26"/>
      <c r="AQ799" s="26"/>
      <c r="AR799" s="26"/>
      <c r="AS799" s="26"/>
      <c r="AT799" s="26"/>
      <c r="AU799" s="26"/>
      <c r="AV799" s="26"/>
      <c r="AW799" s="26"/>
      <c r="AX799" s="26"/>
      <c r="AY799" s="26"/>
      <c r="AZ799" s="26"/>
      <c r="BA799" s="26"/>
      <c r="BB799" s="26"/>
      <c r="BC799" s="26"/>
      <c r="BD799" s="26"/>
      <c r="BE799" s="26"/>
      <c r="BF799" s="26"/>
      <c r="BG799" s="26"/>
      <c r="BH799" s="26"/>
      <c r="BI799" s="26"/>
    </row>
    <row r="800" ht="14.25" customHeight="1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  <c r="AA800" s="26"/>
      <c r="AB800" s="26"/>
      <c r="AC800" s="26"/>
      <c r="AD800" s="26"/>
      <c r="AE800" s="26"/>
      <c r="AF800" s="26"/>
      <c r="AG800" s="26"/>
      <c r="AH800" s="26"/>
      <c r="AI800" s="26"/>
      <c r="AJ800" s="26"/>
      <c r="AK800" s="26"/>
      <c r="AL800" s="26"/>
      <c r="AM800" s="26"/>
      <c r="AN800" s="26"/>
      <c r="AO800" s="26"/>
      <c r="AP800" s="26"/>
      <c r="AQ800" s="26"/>
      <c r="AR800" s="26"/>
      <c r="AS800" s="26"/>
      <c r="AT800" s="26"/>
      <c r="AU800" s="26"/>
      <c r="AV800" s="26"/>
      <c r="AW800" s="26"/>
      <c r="AX800" s="26"/>
      <c r="AY800" s="26"/>
      <c r="AZ800" s="26"/>
      <c r="BA800" s="26"/>
      <c r="BB800" s="26"/>
      <c r="BC800" s="26"/>
      <c r="BD800" s="26"/>
      <c r="BE800" s="26"/>
      <c r="BF800" s="26"/>
      <c r="BG800" s="26"/>
      <c r="BH800" s="26"/>
      <c r="BI800" s="26"/>
    </row>
    <row r="801" ht="14.25" customHeight="1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  <c r="AA801" s="26"/>
      <c r="AB801" s="26"/>
      <c r="AC801" s="26"/>
      <c r="AD801" s="26"/>
      <c r="AE801" s="26"/>
      <c r="AF801" s="26"/>
      <c r="AG801" s="26"/>
      <c r="AH801" s="26"/>
      <c r="AI801" s="26"/>
      <c r="AJ801" s="26"/>
      <c r="AK801" s="26"/>
      <c r="AL801" s="26"/>
      <c r="AM801" s="26"/>
      <c r="AN801" s="26"/>
      <c r="AO801" s="26"/>
      <c r="AP801" s="26"/>
      <c r="AQ801" s="26"/>
      <c r="AR801" s="26"/>
      <c r="AS801" s="26"/>
      <c r="AT801" s="26"/>
      <c r="AU801" s="26"/>
      <c r="AV801" s="26"/>
      <c r="AW801" s="26"/>
      <c r="AX801" s="26"/>
      <c r="AY801" s="26"/>
      <c r="AZ801" s="26"/>
      <c r="BA801" s="26"/>
      <c r="BB801" s="26"/>
      <c r="BC801" s="26"/>
      <c r="BD801" s="26"/>
      <c r="BE801" s="26"/>
      <c r="BF801" s="26"/>
      <c r="BG801" s="26"/>
      <c r="BH801" s="26"/>
      <c r="BI801" s="26"/>
    </row>
    <row r="802" ht="14.25" customHeight="1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  <c r="AA802" s="26"/>
      <c r="AB802" s="26"/>
      <c r="AC802" s="26"/>
      <c r="AD802" s="26"/>
      <c r="AE802" s="26"/>
      <c r="AF802" s="26"/>
      <c r="AG802" s="26"/>
      <c r="AH802" s="26"/>
      <c r="AI802" s="26"/>
      <c r="AJ802" s="26"/>
      <c r="AK802" s="26"/>
      <c r="AL802" s="26"/>
      <c r="AM802" s="26"/>
      <c r="AN802" s="26"/>
      <c r="AO802" s="26"/>
      <c r="AP802" s="26"/>
      <c r="AQ802" s="26"/>
      <c r="AR802" s="26"/>
      <c r="AS802" s="26"/>
      <c r="AT802" s="26"/>
      <c r="AU802" s="26"/>
      <c r="AV802" s="26"/>
      <c r="AW802" s="26"/>
      <c r="AX802" s="26"/>
      <c r="AY802" s="26"/>
      <c r="AZ802" s="26"/>
      <c r="BA802" s="26"/>
      <c r="BB802" s="26"/>
      <c r="BC802" s="26"/>
      <c r="BD802" s="26"/>
      <c r="BE802" s="26"/>
      <c r="BF802" s="26"/>
      <c r="BG802" s="26"/>
      <c r="BH802" s="26"/>
      <c r="BI802" s="26"/>
    </row>
    <row r="803" ht="14.25" customHeight="1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  <c r="AA803" s="26"/>
      <c r="AB803" s="26"/>
      <c r="AC803" s="26"/>
      <c r="AD803" s="26"/>
      <c r="AE803" s="26"/>
      <c r="AF803" s="26"/>
      <c r="AG803" s="26"/>
      <c r="AH803" s="26"/>
      <c r="AI803" s="26"/>
      <c r="AJ803" s="26"/>
      <c r="AK803" s="26"/>
      <c r="AL803" s="26"/>
      <c r="AM803" s="26"/>
      <c r="AN803" s="26"/>
      <c r="AO803" s="26"/>
      <c r="AP803" s="26"/>
      <c r="AQ803" s="26"/>
      <c r="AR803" s="26"/>
      <c r="AS803" s="26"/>
      <c r="AT803" s="26"/>
      <c r="AU803" s="26"/>
      <c r="AV803" s="26"/>
      <c r="AW803" s="26"/>
      <c r="AX803" s="26"/>
      <c r="AY803" s="26"/>
      <c r="AZ803" s="26"/>
      <c r="BA803" s="26"/>
      <c r="BB803" s="26"/>
      <c r="BC803" s="26"/>
      <c r="BD803" s="26"/>
      <c r="BE803" s="26"/>
      <c r="BF803" s="26"/>
      <c r="BG803" s="26"/>
      <c r="BH803" s="26"/>
      <c r="BI803" s="26"/>
    </row>
    <row r="804" ht="14.25" customHeight="1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  <c r="AB804" s="26"/>
      <c r="AC804" s="26"/>
      <c r="AD804" s="26"/>
      <c r="AE804" s="26"/>
      <c r="AF804" s="26"/>
      <c r="AG804" s="26"/>
      <c r="AH804" s="26"/>
      <c r="AI804" s="26"/>
      <c r="AJ804" s="26"/>
      <c r="AK804" s="26"/>
      <c r="AL804" s="26"/>
      <c r="AM804" s="26"/>
      <c r="AN804" s="26"/>
      <c r="AO804" s="26"/>
      <c r="AP804" s="26"/>
      <c r="AQ804" s="26"/>
      <c r="AR804" s="26"/>
      <c r="AS804" s="26"/>
      <c r="AT804" s="26"/>
      <c r="AU804" s="26"/>
      <c r="AV804" s="26"/>
      <c r="AW804" s="26"/>
      <c r="AX804" s="26"/>
      <c r="AY804" s="26"/>
      <c r="AZ804" s="26"/>
      <c r="BA804" s="26"/>
      <c r="BB804" s="26"/>
      <c r="BC804" s="26"/>
      <c r="BD804" s="26"/>
      <c r="BE804" s="26"/>
      <c r="BF804" s="26"/>
      <c r="BG804" s="26"/>
      <c r="BH804" s="26"/>
      <c r="BI804" s="26"/>
    </row>
    <row r="805" ht="14.25" customHeight="1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  <c r="AA805" s="26"/>
      <c r="AB805" s="26"/>
      <c r="AC805" s="26"/>
      <c r="AD805" s="26"/>
      <c r="AE805" s="26"/>
      <c r="AF805" s="26"/>
      <c r="AG805" s="26"/>
      <c r="AH805" s="26"/>
      <c r="AI805" s="26"/>
      <c r="AJ805" s="26"/>
      <c r="AK805" s="26"/>
      <c r="AL805" s="26"/>
      <c r="AM805" s="26"/>
      <c r="AN805" s="26"/>
      <c r="AO805" s="26"/>
      <c r="AP805" s="26"/>
      <c r="AQ805" s="26"/>
      <c r="AR805" s="26"/>
      <c r="AS805" s="26"/>
      <c r="AT805" s="26"/>
      <c r="AU805" s="26"/>
      <c r="AV805" s="26"/>
      <c r="AW805" s="26"/>
      <c r="AX805" s="26"/>
      <c r="AY805" s="26"/>
      <c r="AZ805" s="26"/>
      <c r="BA805" s="26"/>
      <c r="BB805" s="26"/>
      <c r="BC805" s="26"/>
      <c r="BD805" s="26"/>
      <c r="BE805" s="26"/>
      <c r="BF805" s="26"/>
      <c r="BG805" s="26"/>
      <c r="BH805" s="26"/>
      <c r="BI805" s="26"/>
    </row>
    <row r="806" ht="14.25" customHeight="1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  <c r="AB806" s="26"/>
      <c r="AC806" s="26"/>
      <c r="AD806" s="26"/>
      <c r="AE806" s="26"/>
      <c r="AF806" s="26"/>
      <c r="AG806" s="26"/>
      <c r="AH806" s="26"/>
      <c r="AI806" s="26"/>
      <c r="AJ806" s="26"/>
      <c r="AK806" s="26"/>
      <c r="AL806" s="26"/>
      <c r="AM806" s="26"/>
      <c r="AN806" s="26"/>
      <c r="AO806" s="26"/>
      <c r="AP806" s="26"/>
      <c r="AQ806" s="26"/>
      <c r="AR806" s="26"/>
      <c r="AS806" s="26"/>
      <c r="AT806" s="26"/>
      <c r="AU806" s="26"/>
      <c r="AV806" s="26"/>
      <c r="AW806" s="26"/>
      <c r="AX806" s="26"/>
      <c r="AY806" s="26"/>
      <c r="AZ806" s="26"/>
      <c r="BA806" s="26"/>
      <c r="BB806" s="26"/>
      <c r="BC806" s="26"/>
      <c r="BD806" s="26"/>
      <c r="BE806" s="26"/>
      <c r="BF806" s="26"/>
      <c r="BG806" s="26"/>
      <c r="BH806" s="26"/>
      <c r="BI806" s="26"/>
    </row>
    <row r="807" ht="14.25" customHeight="1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  <c r="AA807" s="26"/>
      <c r="AB807" s="26"/>
      <c r="AC807" s="26"/>
      <c r="AD807" s="26"/>
      <c r="AE807" s="26"/>
      <c r="AF807" s="26"/>
      <c r="AG807" s="26"/>
      <c r="AH807" s="26"/>
      <c r="AI807" s="26"/>
      <c r="AJ807" s="26"/>
      <c r="AK807" s="26"/>
      <c r="AL807" s="26"/>
      <c r="AM807" s="26"/>
      <c r="AN807" s="26"/>
      <c r="AO807" s="26"/>
      <c r="AP807" s="26"/>
      <c r="AQ807" s="26"/>
      <c r="AR807" s="26"/>
      <c r="AS807" s="26"/>
      <c r="AT807" s="26"/>
      <c r="AU807" s="26"/>
      <c r="AV807" s="26"/>
      <c r="AW807" s="26"/>
      <c r="AX807" s="26"/>
      <c r="AY807" s="26"/>
      <c r="AZ807" s="26"/>
      <c r="BA807" s="26"/>
      <c r="BB807" s="26"/>
      <c r="BC807" s="26"/>
      <c r="BD807" s="26"/>
      <c r="BE807" s="26"/>
      <c r="BF807" s="26"/>
      <c r="BG807" s="26"/>
      <c r="BH807" s="26"/>
      <c r="BI807" s="26"/>
    </row>
    <row r="808" ht="14.25" customHeight="1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  <c r="AA808" s="26"/>
      <c r="AB808" s="26"/>
      <c r="AC808" s="26"/>
      <c r="AD808" s="26"/>
      <c r="AE808" s="26"/>
      <c r="AF808" s="26"/>
      <c r="AG808" s="26"/>
      <c r="AH808" s="26"/>
      <c r="AI808" s="26"/>
      <c r="AJ808" s="26"/>
      <c r="AK808" s="26"/>
      <c r="AL808" s="26"/>
      <c r="AM808" s="26"/>
      <c r="AN808" s="26"/>
      <c r="AO808" s="26"/>
      <c r="AP808" s="26"/>
      <c r="AQ808" s="26"/>
      <c r="AR808" s="26"/>
      <c r="AS808" s="26"/>
      <c r="AT808" s="26"/>
      <c r="AU808" s="26"/>
      <c r="AV808" s="26"/>
      <c r="AW808" s="26"/>
      <c r="AX808" s="26"/>
      <c r="AY808" s="26"/>
      <c r="AZ808" s="26"/>
      <c r="BA808" s="26"/>
      <c r="BB808" s="26"/>
      <c r="BC808" s="26"/>
      <c r="BD808" s="26"/>
      <c r="BE808" s="26"/>
      <c r="BF808" s="26"/>
      <c r="BG808" s="26"/>
      <c r="BH808" s="26"/>
      <c r="BI808" s="26"/>
    </row>
    <row r="809" ht="14.25" customHeight="1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  <c r="AA809" s="26"/>
      <c r="AB809" s="26"/>
      <c r="AC809" s="26"/>
      <c r="AD809" s="26"/>
      <c r="AE809" s="26"/>
      <c r="AF809" s="26"/>
      <c r="AG809" s="26"/>
      <c r="AH809" s="26"/>
      <c r="AI809" s="26"/>
      <c r="AJ809" s="26"/>
      <c r="AK809" s="26"/>
      <c r="AL809" s="26"/>
      <c r="AM809" s="26"/>
      <c r="AN809" s="26"/>
      <c r="AO809" s="26"/>
      <c r="AP809" s="26"/>
      <c r="AQ809" s="26"/>
      <c r="AR809" s="26"/>
      <c r="AS809" s="26"/>
      <c r="AT809" s="26"/>
      <c r="AU809" s="26"/>
      <c r="AV809" s="26"/>
      <c r="AW809" s="26"/>
      <c r="AX809" s="26"/>
      <c r="AY809" s="26"/>
      <c r="AZ809" s="26"/>
      <c r="BA809" s="26"/>
      <c r="BB809" s="26"/>
      <c r="BC809" s="26"/>
      <c r="BD809" s="26"/>
      <c r="BE809" s="26"/>
      <c r="BF809" s="26"/>
      <c r="BG809" s="26"/>
      <c r="BH809" s="26"/>
      <c r="BI809" s="26"/>
    </row>
    <row r="810" ht="14.25" customHeight="1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  <c r="AA810" s="26"/>
      <c r="AB810" s="26"/>
      <c r="AC810" s="26"/>
      <c r="AD810" s="26"/>
      <c r="AE810" s="26"/>
      <c r="AF810" s="26"/>
      <c r="AG810" s="26"/>
      <c r="AH810" s="26"/>
      <c r="AI810" s="26"/>
      <c r="AJ810" s="26"/>
      <c r="AK810" s="26"/>
      <c r="AL810" s="26"/>
      <c r="AM810" s="26"/>
      <c r="AN810" s="26"/>
      <c r="AO810" s="26"/>
      <c r="AP810" s="26"/>
      <c r="AQ810" s="26"/>
      <c r="AR810" s="26"/>
      <c r="AS810" s="26"/>
      <c r="AT810" s="26"/>
      <c r="AU810" s="26"/>
      <c r="AV810" s="26"/>
      <c r="AW810" s="26"/>
      <c r="AX810" s="26"/>
      <c r="AY810" s="26"/>
      <c r="AZ810" s="26"/>
      <c r="BA810" s="26"/>
      <c r="BB810" s="26"/>
      <c r="BC810" s="26"/>
      <c r="BD810" s="26"/>
      <c r="BE810" s="26"/>
      <c r="BF810" s="26"/>
      <c r="BG810" s="26"/>
      <c r="BH810" s="26"/>
      <c r="BI810" s="26"/>
    </row>
    <row r="811" ht="14.25" customHeight="1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  <c r="AA811" s="26"/>
      <c r="AB811" s="26"/>
      <c r="AC811" s="26"/>
      <c r="AD811" s="26"/>
      <c r="AE811" s="26"/>
      <c r="AF811" s="26"/>
      <c r="AG811" s="26"/>
      <c r="AH811" s="26"/>
      <c r="AI811" s="26"/>
      <c r="AJ811" s="26"/>
      <c r="AK811" s="26"/>
      <c r="AL811" s="26"/>
      <c r="AM811" s="26"/>
      <c r="AN811" s="26"/>
      <c r="AO811" s="26"/>
      <c r="AP811" s="26"/>
      <c r="AQ811" s="26"/>
      <c r="AR811" s="26"/>
      <c r="AS811" s="26"/>
      <c r="AT811" s="26"/>
      <c r="AU811" s="26"/>
      <c r="AV811" s="26"/>
      <c r="AW811" s="26"/>
      <c r="AX811" s="26"/>
      <c r="AY811" s="26"/>
      <c r="AZ811" s="26"/>
      <c r="BA811" s="26"/>
      <c r="BB811" s="26"/>
      <c r="BC811" s="26"/>
      <c r="BD811" s="26"/>
      <c r="BE811" s="26"/>
      <c r="BF811" s="26"/>
      <c r="BG811" s="26"/>
      <c r="BH811" s="26"/>
      <c r="BI811" s="26"/>
    </row>
    <row r="812" ht="14.25" customHeight="1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  <c r="AA812" s="26"/>
      <c r="AB812" s="26"/>
      <c r="AC812" s="26"/>
      <c r="AD812" s="26"/>
      <c r="AE812" s="26"/>
      <c r="AF812" s="26"/>
      <c r="AG812" s="26"/>
      <c r="AH812" s="26"/>
      <c r="AI812" s="26"/>
      <c r="AJ812" s="26"/>
      <c r="AK812" s="26"/>
      <c r="AL812" s="26"/>
      <c r="AM812" s="26"/>
      <c r="AN812" s="26"/>
      <c r="AO812" s="26"/>
      <c r="AP812" s="26"/>
      <c r="AQ812" s="26"/>
      <c r="AR812" s="26"/>
      <c r="AS812" s="26"/>
      <c r="AT812" s="26"/>
      <c r="AU812" s="26"/>
      <c r="AV812" s="26"/>
      <c r="AW812" s="26"/>
      <c r="AX812" s="26"/>
      <c r="AY812" s="26"/>
      <c r="AZ812" s="26"/>
      <c r="BA812" s="26"/>
      <c r="BB812" s="26"/>
      <c r="BC812" s="26"/>
      <c r="BD812" s="26"/>
      <c r="BE812" s="26"/>
      <c r="BF812" s="26"/>
      <c r="BG812" s="26"/>
      <c r="BH812" s="26"/>
      <c r="BI812" s="26"/>
    </row>
    <row r="813" ht="14.25" customHeight="1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  <c r="AA813" s="26"/>
      <c r="AB813" s="26"/>
      <c r="AC813" s="26"/>
      <c r="AD813" s="26"/>
      <c r="AE813" s="26"/>
      <c r="AF813" s="26"/>
      <c r="AG813" s="26"/>
      <c r="AH813" s="26"/>
      <c r="AI813" s="26"/>
      <c r="AJ813" s="26"/>
      <c r="AK813" s="26"/>
      <c r="AL813" s="26"/>
      <c r="AM813" s="26"/>
      <c r="AN813" s="26"/>
      <c r="AO813" s="26"/>
      <c r="AP813" s="26"/>
      <c r="AQ813" s="26"/>
      <c r="AR813" s="26"/>
      <c r="AS813" s="26"/>
      <c r="AT813" s="26"/>
      <c r="AU813" s="26"/>
      <c r="AV813" s="26"/>
      <c r="AW813" s="26"/>
      <c r="AX813" s="26"/>
      <c r="AY813" s="26"/>
      <c r="AZ813" s="26"/>
      <c r="BA813" s="26"/>
      <c r="BB813" s="26"/>
      <c r="BC813" s="26"/>
      <c r="BD813" s="26"/>
      <c r="BE813" s="26"/>
      <c r="BF813" s="26"/>
      <c r="BG813" s="26"/>
      <c r="BH813" s="26"/>
      <c r="BI813" s="26"/>
    </row>
    <row r="814" ht="14.25" customHeight="1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  <c r="AA814" s="26"/>
      <c r="AB814" s="26"/>
      <c r="AC814" s="26"/>
      <c r="AD814" s="26"/>
      <c r="AE814" s="26"/>
      <c r="AF814" s="26"/>
      <c r="AG814" s="26"/>
      <c r="AH814" s="26"/>
      <c r="AI814" s="26"/>
      <c r="AJ814" s="26"/>
      <c r="AK814" s="26"/>
      <c r="AL814" s="26"/>
      <c r="AM814" s="26"/>
      <c r="AN814" s="26"/>
      <c r="AO814" s="26"/>
      <c r="AP814" s="26"/>
      <c r="AQ814" s="26"/>
      <c r="AR814" s="26"/>
      <c r="AS814" s="26"/>
      <c r="AT814" s="26"/>
      <c r="AU814" s="26"/>
      <c r="AV814" s="26"/>
      <c r="AW814" s="26"/>
      <c r="AX814" s="26"/>
      <c r="AY814" s="26"/>
      <c r="AZ814" s="26"/>
      <c r="BA814" s="26"/>
      <c r="BB814" s="26"/>
      <c r="BC814" s="26"/>
      <c r="BD814" s="26"/>
      <c r="BE814" s="26"/>
      <c r="BF814" s="26"/>
      <c r="BG814" s="26"/>
      <c r="BH814" s="26"/>
      <c r="BI814" s="26"/>
    </row>
    <row r="815" ht="14.25" customHeight="1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  <c r="AA815" s="26"/>
      <c r="AB815" s="26"/>
      <c r="AC815" s="26"/>
      <c r="AD815" s="26"/>
      <c r="AE815" s="26"/>
      <c r="AF815" s="26"/>
      <c r="AG815" s="26"/>
      <c r="AH815" s="26"/>
      <c r="AI815" s="26"/>
      <c r="AJ815" s="26"/>
      <c r="AK815" s="26"/>
      <c r="AL815" s="26"/>
      <c r="AM815" s="26"/>
      <c r="AN815" s="26"/>
      <c r="AO815" s="26"/>
      <c r="AP815" s="26"/>
      <c r="AQ815" s="26"/>
      <c r="AR815" s="26"/>
      <c r="AS815" s="26"/>
      <c r="AT815" s="26"/>
      <c r="AU815" s="26"/>
      <c r="AV815" s="26"/>
      <c r="AW815" s="26"/>
      <c r="AX815" s="26"/>
      <c r="AY815" s="26"/>
      <c r="AZ815" s="26"/>
      <c r="BA815" s="26"/>
      <c r="BB815" s="26"/>
      <c r="BC815" s="26"/>
      <c r="BD815" s="26"/>
      <c r="BE815" s="26"/>
      <c r="BF815" s="26"/>
      <c r="BG815" s="26"/>
      <c r="BH815" s="26"/>
      <c r="BI815" s="26"/>
    </row>
    <row r="816" ht="14.25" customHeight="1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  <c r="AA816" s="26"/>
      <c r="AB816" s="26"/>
      <c r="AC816" s="26"/>
      <c r="AD816" s="26"/>
      <c r="AE816" s="26"/>
      <c r="AF816" s="26"/>
      <c r="AG816" s="26"/>
      <c r="AH816" s="26"/>
      <c r="AI816" s="26"/>
      <c r="AJ816" s="26"/>
      <c r="AK816" s="26"/>
      <c r="AL816" s="26"/>
      <c r="AM816" s="26"/>
      <c r="AN816" s="26"/>
      <c r="AO816" s="26"/>
      <c r="AP816" s="26"/>
      <c r="AQ816" s="26"/>
      <c r="AR816" s="26"/>
      <c r="AS816" s="26"/>
      <c r="AT816" s="26"/>
      <c r="AU816" s="26"/>
      <c r="AV816" s="26"/>
      <c r="AW816" s="26"/>
      <c r="AX816" s="26"/>
      <c r="AY816" s="26"/>
      <c r="AZ816" s="26"/>
      <c r="BA816" s="26"/>
      <c r="BB816" s="26"/>
      <c r="BC816" s="26"/>
      <c r="BD816" s="26"/>
      <c r="BE816" s="26"/>
      <c r="BF816" s="26"/>
      <c r="BG816" s="26"/>
      <c r="BH816" s="26"/>
      <c r="BI816" s="26"/>
    </row>
    <row r="817" ht="14.25" customHeight="1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  <c r="AA817" s="26"/>
      <c r="AB817" s="26"/>
      <c r="AC817" s="26"/>
      <c r="AD817" s="26"/>
      <c r="AE817" s="26"/>
      <c r="AF817" s="26"/>
      <c r="AG817" s="26"/>
      <c r="AH817" s="26"/>
      <c r="AI817" s="26"/>
      <c r="AJ817" s="26"/>
      <c r="AK817" s="26"/>
      <c r="AL817" s="26"/>
      <c r="AM817" s="26"/>
      <c r="AN817" s="26"/>
      <c r="AO817" s="26"/>
      <c r="AP817" s="26"/>
      <c r="AQ817" s="26"/>
      <c r="AR817" s="26"/>
      <c r="AS817" s="26"/>
      <c r="AT817" s="26"/>
      <c r="AU817" s="26"/>
      <c r="AV817" s="26"/>
      <c r="AW817" s="26"/>
      <c r="AX817" s="26"/>
      <c r="AY817" s="26"/>
      <c r="AZ817" s="26"/>
      <c r="BA817" s="26"/>
      <c r="BB817" s="26"/>
      <c r="BC817" s="26"/>
      <c r="BD817" s="26"/>
      <c r="BE817" s="26"/>
      <c r="BF817" s="26"/>
      <c r="BG817" s="26"/>
      <c r="BH817" s="26"/>
      <c r="BI817" s="26"/>
    </row>
    <row r="818" ht="14.25" customHeight="1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  <c r="AA818" s="26"/>
      <c r="AB818" s="26"/>
      <c r="AC818" s="26"/>
      <c r="AD818" s="26"/>
      <c r="AE818" s="26"/>
      <c r="AF818" s="26"/>
      <c r="AG818" s="26"/>
      <c r="AH818" s="26"/>
      <c r="AI818" s="26"/>
      <c r="AJ818" s="26"/>
      <c r="AK818" s="26"/>
      <c r="AL818" s="26"/>
      <c r="AM818" s="26"/>
      <c r="AN818" s="26"/>
      <c r="AO818" s="26"/>
      <c r="AP818" s="26"/>
      <c r="AQ818" s="26"/>
      <c r="AR818" s="26"/>
      <c r="AS818" s="26"/>
      <c r="AT818" s="26"/>
      <c r="AU818" s="26"/>
      <c r="AV818" s="26"/>
      <c r="AW818" s="26"/>
      <c r="AX818" s="26"/>
      <c r="AY818" s="26"/>
      <c r="AZ818" s="26"/>
      <c r="BA818" s="26"/>
      <c r="BB818" s="26"/>
      <c r="BC818" s="26"/>
      <c r="BD818" s="26"/>
      <c r="BE818" s="26"/>
      <c r="BF818" s="26"/>
      <c r="BG818" s="26"/>
      <c r="BH818" s="26"/>
      <c r="BI818" s="26"/>
    </row>
    <row r="819" ht="14.25" customHeight="1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  <c r="AA819" s="26"/>
      <c r="AB819" s="26"/>
      <c r="AC819" s="26"/>
      <c r="AD819" s="26"/>
      <c r="AE819" s="26"/>
      <c r="AF819" s="26"/>
      <c r="AG819" s="26"/>
      <c r="AH819" s="26"/>
      <c r="AI819" s="26"/>
      <c r="AJ819" s="26"/>
      <c r="AK819" s="26"/>
      <c r="AL819" s="26"/>
      <c r="AM819" s="26"/>
      <c r="AN819" s="26"/>
      <c r="AO819" s="26"/>
      <c r="AP819" s="26"/>
      <c r="AQ819" s="26"/>
      <c r="AR819" s="26"/>
      <c r="AS819" s="26"/>
      <c r="AT819" s="26"/>
      <c r="AU819" s="26"/>
      <c r="AV819" s="26"/>
      <c r="AW819" s="26"/>
      <c r="AX819" s="26"/>
      <c r="AY819" s="26"/>
      <c r="AZ819" s="26"/>
      <c r="BA819" s="26"/>
      <c r="BB819" s="26"/>
      <c r="BC819" s="26"/>
      <c r="BD819" s="26"/>
      <c r="BE819" s="26"/>
      <c r="BF819" s="26"/>
      <c r="BG819" s="26"/>
      <c r="BH819" s="26"/>
      <c r="BI819" s="26"/>
    </row>
    <row r="820" ht="14.25" customHeight="1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  <c r="AA820" s="26"/>
      <c r="AB820" s="26"/>
      <c r="AC820" s="26"/>
      <c r="AD820" s="26"/>
      <c r="AE820" s="26"/>
      <c r="AF820" s="26"/>
      <c r="AG820" s="26"/>
      <c r="AH820" s="26"/>
      <c r="AI820" s="26"/>
      <c r="AJ820" s="26"/>
      <c r="AK820" s="26"/>
      <c r="AL820" s="26"/>
      <c r="AM820" s="26"/>
      <c r="AN820" s="26"/>
      <c r="AO820" s="26"/>
      <c r="AP820" s="26"/>
      <c r="AQ820" s="26"/>
      <c r="AR820" s="26"/>
      <c r="AS820" s="26"/>
      <c r="AT820" s="26"/>
      <c r="AU820" s="26"/>
      <c r="AV820" s="26"/>
      <c r="AW820" s="26"/>
      <c r="AX820" s="26"/>
      <c r="AY820" s="26"/>
      <c r="AZ820" s="26"/>
      <c r="BA820" s="26"/>
      <c r="BB820" s="26"/>
      <c r="BC820" s="26"/>
      <c r="BD820" s="26"/>
      <c r="BE820" s="26"/>
      <c r="BF820" s="26"/>
      <c r="BG820" s="26"/>
      <c r="BH820" s="26"/>
      <c r="BI820" s="26"/>
    </row>
    <row r="821" ht="14.25" customHeight="1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  <c r="AA821" s="26"/>
      <c r="AB821" s="26"/>
      <c r="AC821" s="26"/>
      <c r="AD821" s="26"/>
      <c r="AE821" s="26"/>
      <c r="AF821" s="26"/>
      <c r="AG821" s="26"/>
      <c r="AH821" s="26"/>
      <c r="AI821" s="26"/>
      <c r="AJ821" s="26"/>
      <c r="AK821" s="26"/>
      <c r="AL821" s="26"/>
      <c r="AM821" s="26"/>
      <c r="AN821" s="26"/>
      <c r="AO821" s="26"/>
      <c r="AP821" s="26"/>
      <c r="AQ821" s="26"/>
      <c r="AR821" s="26"/>
      <c r="AS821" s="26"/>
      <c r="AT821" s="26"/>
      <c r="AU821" s="26"/>
      <c r="AV821" s="26"/>
      <c r="AW821" s="26"/>
      <c r="AX821" s="26"/>
      <c r="AY821" s="26"/>
      <c r="AZ821" s="26"/>
      <c r="BA821" s="26"/>
      <c r="BB821" s="26"/>
      <c r="BC821" s="26"/>
      <c r="BD821" s="26"/>
      <c r="BE821" s="26"/>
      <c r="BF821" s="26"/>
      <c r="BG821" s="26"/>
      <c r="BH821" s="26"/>
      <c r="BI821" s="26"/>
    </row>
    <row r="822" ht="14.25" customHeight="1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  <c r="AA822" s="26"/>
      <c r="AB822" s="26"/>
      <c r="AC822" s="26"/>
      <c r="AD822" s="26"/>
      <c r="AE822" s="26"/>
      <c r="AF822" s="26"/>
      <c r="AG822" s="26"/>
      <c r="AH822" s="26"/>
      <c r="AI822" s="26"/>
      <c r="AJ822" s="26"/>
      <c r="AK822" s="26"/>
      <c r="AL822" s="26"/>
      <c r="AM822" s="26"/>
      <c r="AN822" s="26"/>
      <c r="AO822" s="26"/>
      <c r="AP822" s="26"/>
      <c r="AQ822" s="26"/>
      <c r="AR822" s="26"/>
      <c r="AS822" s="26"/>
      <c r="AT822" s="26"/>
      <c r="AU822" s="26"/>
      <c r="AV822" s="26"/>
      <c r="AW822" s="26"/>
      <c r="AX822" s="26"/>
      <c r="AY822" s="26"/>
      <c r="AZ822" s="26"/>
      <c r="BA822" s="26"/>
      <c r="BB822" s="26"/>
      <c r="BC822" s="26"/>
      <c r="BD822" s="26"/>
      <c r="BE822" s="26"/>
      <c r="BF822" s="26"/>
      <c r="BG822" s="26"/>
      <c r="BH822" s="26"/>
      <c r="BI822" s="26"/>
    </row>
    <row r="823" ht="14.25" customHeight="1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  <c r="AA823" s="26"/>
      <c r="AB823" s="26"/>
      <c r="AC823" s="26"/>
      <c r="AD823" s="26"/>
      <c r="AE823" s="26"/>
      <c r="AF823" s="26"/>
      <c r="AG823" s="26"/>
      <c r="AH823" s="26"/>
      <c r="AI823" s="26"/>
      <c r="AJ823" s="26"/>
      <c r="AK823" s="26"/>
      <c r="AL823" s="26"/>
      <c r="AM823" s="26"/>
      <c r="AN823" s="26"/>
      <c r="AO823" s="26"/>
      <c r="AP823" s="26"/>
      <c r="AQ823" s="26"/>
      <c r="AR823" s="26"/>
      <c r="AS823" s="26"/>
      <c r="AT823" s="26"/>
      <c r="AU823" s="26"/>
      <c r="AV823" s="26"/>
      <c r="AW823" s="26"/>
      <c r="AX823" s="26"/>
      <c r="AY823" s="26"/>
      <c r="AZ823" s="26"/>
      <c r="BA823" s="26"/>
      <c r="BB823" s="26"/>
      <c r="BC823" s="26"/>
      <c r="BD823" s="26"/>
      <c r="BE823" s="26"/>
      <c r="BF823" s="26"/>
      <c r="BG823" s="26"/>
      <c r="BH823" s="26"/>
      <c r="BI823" s="26"/>
    </row>
    <row r="824" ht="14.25" customHeight="1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  <c r="AA824" s="26"/>
      <c r="AB824" s="26"/>
      <c r="AC824" s="26"/>
      <c r="AD824" s="26"/>
      <c r="AE824" s="26"/>
      <c r="AF824" s="26"/>
      <c r="AG824" s="26"/>
      <c r="AH824" s="26"/>
      <c r="AI824" s="26"/>
      <c r="AJ824" s="26"/>
      <c r="AK824" s="26"/>
      <c r="AL824" s="26"/>
      <c r="AM824" s="26"/>
      <c r="AN824" s="26"/>
      <c r="AO824" s="26"/>
      <c r="AP824" s="26"/>
      <c r="AQ824" s="26"/>
      <c r="AR824" s="26"/>
      <c r="AS824" s="26"/>
      <c r="AT824" s="26"/>
      <c r="AU824" s="26"/>
      <c r="AV824" s="26"/>
      <c r="AW824" s="26"/>
      <c r="AX824" s="26"/>
      <c r="AY824" s="26"/>
      <c r="AZ824" s="26"/>
      <c r="BA824" s="26"/>
      <c r="BB824" s="26"/>
      <c r="BC824" s="26"/>
      <c r="BD824" s="26"/>
      <c r="BE824" s="26"/>
      <c r="BF824" s="26"/>
      <c r="BG824" s="26"/>
      <c r="BH824" s="26"/>
      <c r="BI824" s="26"/>
    </row>
    <row r="825" ht="14.25" customHeight="1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  <c r="AA825" s="26"/>
      <c r="AB825" s="26"/>
      <c r="AC825" s="26"/>
      <c r="AD825" s="26"/>
      <c r="AE825" s="26"/>
      <c r="AF825" s="26"/>
      <c r="AG825" s="26"/>
      <c r="AH825" s="26"/>
      <c r="AI825" s="26"/>
      <c r="AJ825" s="26"/>
      <c r="AK825" s="26"/>
      <c r="AL825" s="26"/>
      <c r="AM825" s="26"/>
      <c r="AN825" s="26"/>
      <c r="AO825" s="26"/>
      <c r="AP825" s="26"/>
      <c r="AQ825" s="26"/>
      <c r="AR825" s="26"/>
      <c r="AS825" s="26"/>
      <c r="AT825" s="26"/>
      <c r="AU825" s="26"/>
      <c r="AV825" s="26"/>
      <c r="AW825" s="26"/>
      <c r="AX825" s="26"/>
      <c r="AY825" s="26"/>
      <c r="AZ825" s="26"/>
      <c r="BA825" s="26"/>
      <c r="BB825" s="26"/>
      <c r="BC825" s="26"/>
      <c r="BD825" s="26"/>
      <c r="BE825" s="26"/>
      <c r="BF825" s="26"/>
      <c r="BG825" s="26"/>
      <c r="BH825" s="26"/>
      <c r="BI825" s="26"/>
    </row>
    <row r="826" ht="14.25" customHeight="1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  <c r="AA826" s="26"/>
      <c r="AB826" s="26"/>
      <c r="AC826" s="26"/>
      <c r="AD826" s="26"/>
      <c r="AE826" s="26"/>
      <c r="AF826" s="26"/>
      <c r="AG826" s="26"/>
      <c r="AH826" s="26"/>
      <c r="AI826" s="26"/>
      <c r="AJ826" s="26"/>
      <c r="AK826" s="26"/>
      <c r="AL826" s="26"/>
      <c r="AM826" s="26"/>
      <c r="AN826" s="26"/>
      <c r="AO826" s="26"/>
      <c r="AP826" s="26"/>
      <c r="AQ826" s="26"/>
      <c r="AR826" s="26"/>
      <c r="AS826" s="26"/>
      <c r="AT826" s="26"/>
      <c r="AU826" s="26"/>
      <c r="AV826" s="26"/>
      <c r="AW826" s="26"/>
      <c r="AX826" s="26"/>
      <c r="AY826" s="26"/>
      <c r="AZ826" s="26"/>
      <c r="BA826" s="26"/>
      <c r="BB826" s="26"/>
      <c r="BC826" s="26"/>
      <c r="BD826" s="26"/>
      <c r="BE826" s="26"/>
      <c r="BF826" s="26"/>
      <c r="BG826" s="26"/>
      <c r="BH826" s="26"/>
      <c r="BI826" s="26"/>
    </row>
    <row r="827" ht="14.25" customHeight="1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  <c r="AA827" s="26"/>
      <c r="AB827" s="26"/>
      <c r="AC827" s="26"/>
      <c r="AD827" s="26"/>
      <c r="AE827" s="26"/>
      <c r="AF827" s="26"/>
      <c r="AG827" s="26"/>
      <c r="AH827" s="26"/>
      <c r="AI827" s="26"/>
      <c r="AJ827" s="26"/>
      <c r="AK827" s="26"/>
      <c r="AL827" s="26"/>
      <c r="AM827" s="26"/>
      <c r="AN827" s="26"/>
      <c r="AO827" s="26"/>
      <c r="AP827" s="26"/>
      <c r="AQ827" s="26"/>
      <c r="AR827" s="26"/>
      <c r="AS827" s="26"/>
      <c r="AT827" s="26"/>
      <c r="AU827" s="26"/>
      <c r="AV827" s="26"/>
      <c r="AW827" s="26"/>
      <c r="AX827" s="26"/>
      <c r="AY827" s="26"/>
      <c r="AZ827" s="26"/>
      <c r="BA827" s="26"/>
      <c r="BB827" s="26"/>
      <c r="BC827" s="26"/>
      <c r="BD827" s="26"/>
      <c r="BE827" s="26"/>
      <c r="BF827" s="26"/>
      <c r="BG827" s="26"/>
      <c r="BH827" s="26"/>
      <c r="BI827" s="26"/>
    </row>
    <row r="828" ht="14.25" customHeight="1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  <c r="AA828" s="26"/>
      <c r="AB828" s="26"/>
      <c r="AC828" s="26"/>
      <c r="AD828" s="26"/>
      <c r="AE828" s="26"/>
      <c r="AF828" s="26"/>
      <c r="AG828" s="26"/>
      <c r="AH828" s="26"/>
      <c r="AI828" s="26"/>
      <c r="AJ828" s="26"/>
      <c r="AK828" s="26"/>
      <c r="AL828" s="26"/>
      <c r="AM828" s="26"/>
      <c r="AN828" s="26"/>
      <c r="AO828" s="26"/>
      <c r="AP828" s="26"/>
      <c r="AQ828" s="26"/>
      <c r="AR828" s="26"/>
      <c r="AS828" s="26"/>
      <c r="AT828" s="26"/>
      <c r="AU828" s="26"/>
      <c r="AV828" s="26"/>
      <c r="AW828" s="26"/>
      <c r="AX828" s="26"/>
      <c r="AY828" s="26"/>
      <c r="AZ828" s="26"/>
      <c r="BA828" s="26"/>
      <c r="BB828" s="26"/>
      <c r="BC828" s="26"/>
      <c r="BD828" s="26"/>
      <c r="BE828" s="26"/>
      <c r="BF828" s="26"/>
      <c r="BG828" s="26"/>
      <c r="BH828" s="26"/>
      <c r="BI828" s="26"/>
    </row>
    <row r="829" ht="14.25" customHeight="1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  <c r="AA829" s="26"/>
      <c r="AB829" s="26"/>
      <c r="AC829" s="26"/>
      <c r="AD829" s="26"/>
      <c r="AE829" s="26"/>
      <c r="AF829" s="26"/>
      <c r="AG829" s="26"/>
      <c r="AH829" s="26"/>
      <c r="AI829" s="26"/>
      <c r="AJ829" s="26"/>
      <c r="AK829" s="26"/>
      <c r="AL829" s="26"/>
      <c r="AM829" s="26"/>
      <c r="AN829" s="26"/>
      <c r="AO829" s="26"/>
      <c r="AP829" s="26"/>
      <c r="AQ829" s="26"/>
      <c r="AR829" s="26"/>
      <c r="AS829" s="26"/>
      <c r="AT829" s="26"/>
      <c r="AU829" s="26"/>
      <c r="AV829" s="26"/>
      <c r="AW829" s="26"/>
      <c r="AX829" s="26"/>
      <c r="AY829" s="26"/>
      <c r="AZ829" s="26"/>
      <c r="BA829" s="26"/>
      <c r="BB829" s="26"/>
      <c r="BC829" s="26"/>
      <c r="BD829" s="26"/>
      <c r="BE829" s="26"/>
      <c r="BF829" s="26"/>
      <c r="BG829" s="26"/>
      <c r="BH829" s="26"/>
      <c r="BI829" s="26"/>
    </row>
    <row r="830" ht="14.25" customHeight="1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  <c r="AA830" s="26"/>
      <c r="AB830" s="26"/>
      <c r="AC830" s="26"/>
      <c r="AD830" s="26"/>
      <c r="AE830" s="26"/>
      <c r="AF830" s="26"/>
      <c r="AG830" s="26"/>
      <c r="AH830" s="26"/>
      <c r="AI830" s="26"/>
      <c r="AJ830" s="26"/>
      <c r="AK830" s="26"/>
      <c r="AL830" s="26"/>
      <c r="AM830" s="26"/>
      <c r="AN830" s="26"/>
      <c r="AO830" s="26"/>
      <c r="AP830" s="26"/>
      <c r="AQ830" s="26"/>
      <c r="AR830" s="26"/>
      <c r="AS830" s="26"/>
      <c r="AT830" s="26"/>
      <c r="AU830" s="26"/>
      <c r="AV830" s="26"/>
      <c r="AW830" s="26"/>
      <c r="AX830" s="26"/>
      <c r="AY830" s="26"/>
      <c r="AZ830" s="26"/>
      <c r="BA830" s="26"/>
      <c r="BB830" s="26"/>
      <c r="BC830" s="26"/>
      <c r="BD830" s="26"/>
      <c r="BE830" s="26"/>
      <c r="BF830" s="26"/>
      <c r="BG830" s="26"/>
      <c r="BH830" s="26"/>
      <c r="BI830" s="26"/>
    </row>
    <row r="831" ht="14.25" customHeight="1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  <c r="AA831" s="26"/>
      <c r="AB831" s="26"/>
      <c r="AC831" s="26"/>
      <c r="AD831" s="26"/>
      <c r="AE831" s="26"/>
      <c r="AF831" s="26"/>
      <c r="AG831" s="26"/>
      <c r="AH831" s="26"/>
      <c r="AI831" s="26"/>
      <c r="AJ831" s="26"/>
      <c r="AK831" s="26"/>
      <c r="AL831" s="26"/>
      <c r="AM831" s="26"/>
      <c r="AN831" s="26"/>
      <c r="AO831" s="26"/>
      <c r="AP831" s="26"/>
      <c r="AQ831" s="26"/>
      <c r="AR831" s="26"/>
      <c r="AS831" s="26"/>
      <c r="AT831" s="26"/>
      <c r="AU831" s="26"/>
      <c r="AV831" s="26"/>
      <c r="AW831" s="26"/>
      <c r="AX831" s="26"/>
      <c r="AY831" s="26"/>
      <c r="AZ831" s="26"/>
      <c r="BA831" s="26"/>
      <c r="BB831" s="26"/>
      <c r="BC831" s="26"/>
      <c r="BD831" s="26"/>
      <c r="BE831" s="26"/>
      <c r="BF831" s="26"/>
      <c r="BG831" s="26"/>
      <c r="BH831" s="26"/>
      <c r="BI831" s="26"/>
    </row>
    <row r="832" ht="14.25" customHeight="1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  <c r="AA832" s="26"/>
      <c r="AB832" s="26"/>
      <c r="AC832" s="26"/>
      <c r="AD832" s="26"/>
      <c r="AE832" s="26"/>
      <c r="AF832" s="26"/>
      <c r="AG832" s="26"/>
      <c r="AH832" s="26"/>
      <c r="AI832" s="26"/>
      <c r="AJ832" s="26"/>
      <c r="AK832" s="26"/>
      <c r="AL832" s="26"/>
      <c r="AM832" s="26"/>
      <c r="AN832" s="26"/>
      <c r="AO832" s="26"/>
      <c r="AP832" s="26"/>
      <c r="AQ832" s="26"/>
      <c r="AR832" s="26"/>
      <c r="AS832" s="26"/>
      <c r="AT832" s="26"/>
      <c r="AU832" s="26"/>
      <c r="AV832" s="26"/>
      <c r="AW832" s="26"/>
      <c r="AX832" s="26"/>
      <c r="AY832" s="26"/>
      <c r="AZ832" s="26"/>
      <c r="BA832" s="26"/>
      <c r="BB832" s="26"/>
      <c r="BC832" s="26"/>
      <c r="BD832" s="26"/>
      <c r="BE832" s="26"/>
      <c r="BF832" s="26"/>
      <c r="BG832" s="26"/>
      <c r="BH832" s="26"/>
      <c r="BI832" s="26"/>
    </row>
    <row r="833" ht="14.25" customHeight="1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  <c r="AA833" s="26"/>
      <c r="AB833" s="26"/>
      <c r="AC833" s="26"/>
      <c r="AD833" s="26"/>
      <c r="AE833" s="26"/>
      <c r="AF833" s="26"/>
      <c r="AG833" s="26"/>
      <c r="AH833" s="26"/>
      <c r="AI833" s="26"/>
      <c r="AJ833" s="26"/>
      <c r="AK833" s="26"/>
      <c r="AL833" s="26"/>
      <c r="AM833" s="26"/>
      <c r="AN833" s="26"/>
      <c r="AO833" s="26"/>
      <c r="AP833" s="26"/>
      <c r="AQ833" s="26"/>
      <c r="AR833" s="26"/>
      <c r="AS833" s="26"/>
      <c r="AT833" s="26"/>
      <c r="AU833" s="26"/>
      <c r="AV833" s="26"/>
      <c r="AW833" s="26"/>
      <c r="AX833" s="26"/>
      <c r="AY833" s="26"/>
      <c r="AZ833" s="26"/>
      <c r="BA833" s="26"/>
      <c r="BB833" s="26"/>
      <c r="BC833" s="26"/>
      <c r="BD833" s="26"/>
      <c r="BE833" s="26"/>
      <c r="BF833" s="26"/>
      <c r="BG833" s="26"/>
      <c r="BH833" s="26"/>
      <c r="BI833" s="26"/>
    </row>
    <row r="834" ht="14.25" customHeight="1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  <c r="AA834" s="26"/>
      <c r="AB834" s="26"/>
      <c r="AC834" s="26"/>
      <c r="AD834" s="26"/>
      <c r="AE834" s="26"/>
      <c r="AF834" s="26"/>
      <c r="AG834" s="26"/>
      <c r="AH834" s="26"/>
      <c r="AI834" s="26"/>
      <c r="AJ834" s="26"/>
      <c r="AK834" s="26"/>
      <c r="AL834" s="26"/>
      <c r="AM834" s="26"/>
      <c r="AN834" s="26"/>
      <c r="AO834" s="26"/>
      <c r="AP834" s="26"/>
      <c r="AQ834" s="26"/>
      <c r="AR834" s="26"/>
      <c r="AS834" s="26"/>
      <c r="AT834" s="26"/>
      <c r="AU834" s="26"/>
      <c r="AV834" s="26"/>
      <c r="AW834" s="26"/>
      <c r="AX834" s="26"/>
      <c r="AY834" s="26"/>
      <c r="AZ834" s="26"/>
      <c r="BA834" s="26"/>
      <c r="BB834" s="26"/>
      <c r="BC834" s="26"/>
      <c r="BD834" s="26"/>
      <c r="BE834" s="26"/>
      <c r="BF834" s="26"/>
      <c r="BG834" s="26"/>
      <c r="BH834" s="26"/>
      <c r="BI834" s="26"/>
    </row>
    <row r="835" ht="14.25" customHeight="1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  <c r="AA835" s="26"/>
      <c r="AB835" s="26"/>
      <c r="AC835" s="26"/>
      <c r="AD835" s="26"/>
      <c r="AE835" s="26"/>
      <c r="AF835" s="26"/>
      <c r="AG835" s="26"/>
      <c r="AH835" s="26"/>
      <c r="AI835" s="26"/>
      <c r="AJ835" s="26"/>
      <c r="AK835" s="26"/>
      <c r="AL835" s="26"/>
      <c r="AM835" s="26"/>
      <c r="AN835" s="26"/>
      <c r="AO835" s="26"/>
      <c r="AP835" s="26"/>
      <c r="AQ835" s="26"/>
      <c r="AR835" s="26"/>
      <c r="AS835" s="26"/>
      <c r="AT835" s="26"/>
      <c r="AU835" s="26"/>
      <c r="AV835" s="26"/>
      <c r="AW835" s="26"/>
      <c r="AX835" s="26"/>
      <c r="AY835" s="26"/>
      <c r="AZ835" s="26"/>
      <c r="BA835" s="26"/>
      <c r="BB835" s="26"/>
      <c r="BC835" s="26"/>
      <c r="BD835" s="26"/>
      <c r="BE835" s="26"/>
      <c r="BF835" s="26"/>
      <c r="BG835" s="26"/>
      <c r="BH835" s="26"/>
      <c r="BI835" s="26"/>
    </row>
    <row r="836" ht="14.25" customHeight="1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  <c r="AB836" s="26"/>
      <c r="AC836" s="26"/>
      <c r="AD836" s="26"/>
      <c r="AE836" s="26"/>
      <c r="AF836" s="26"/>
      <c r="AG836" s="26"/>
      <c r="AH836" s="26"/>
      <c r="AI836" s="26"/>
      <c r="AJ836" s="26"/>
      <c r="AK836" s="26"/>
      <c r="AL836" s="26"/>
      <c r="AM836" s="26"/>
      <c r="AN836" s="26"/>
      <c r="AO836" s="26"/>
      <c r="AP836" s="26"/>
      <c r="AQ836" s="26"/>
      <c r="AR836" s="26"/>
      <c r="AS836" s="26"/>
      <c r="AT836" s="26"/>
      <c r="AU836" s="26"/>
      <c r="AV836" s="26"/>
      <c r="AW836" s="26"/>
      <c r="AX836" s="26"/>
      <c r="AY836" s="26"/>
      <c r="AZ836" s="26"/>
      <c r="BA836" s="26"/>
      <c r="BB836" s="26"/>
      <c r="BC836" s="26"/>
      <c r="BD836" s="26"/>
      <c r="BE836" s="26"/>
      <c r="BF836" s="26"/>
      <c r="BG836" s="26"/>
      <c r="BH836" s="26"/>
      <c r="BI836" s="26"/>
    </row>
    <row r="837" ht="14.25" customHeight="1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  <c r="AA837" s="26"/>
      <c r="AB837" s="26"/>
      <c r="AC837" s="26"/>
      <c r="AD837" s="26"/>
      <c r="AE837" s="26"/>
      <c r="AF837" s="26"/>
      <c r="AG837" s="26"/>
      <c r="AH837" s="26"/>
      <c r="AI837" s="26"/>
      <c r="AJ837" s="26"/>
      <c r="AK837" s="26"/>
      <c r="AL837" s="26"/>
      <c r="AM837" s="26"/>
      <c r="AN837" s="26"/>
      <c r="AO837" s="26"/>
      <c r="AP837" s="26"/>
      <c r="AQ837" s="26"/>
      <c r="AR837" s="26"/>
      <c r="AS837" s="26"/>
      <c r="AT837" s="26"/>
      <c r="AU837" s="26"/>
      <c r="AV837" s="26"/>
      <c r="AW837" s="26"/>
      <c r="AX837" s="26"/>
      <c r="AY837" s="26"/>
      <c r="AZ837" s="26"/>
      <c r="BA837" s="26"/>
      <c r="BB837" s="26"/>
      <c r="BC837" s="26"/>
      <c r="BD837" s="26"/>
      <c r="BE837" s="26"/>
      <c r="BF837" s="26"/>
      <c r="BG837" s="26"/>
      <c r="BH837" s="26"/>
      <c r="BI837" s="26"/>
    </row>
    <row r="838" ht="14.25" customHeight="1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  <c r="AA838" s="26"/>
      <c r="AB838" s="26"/>
      <c r="AC838" s="26"/>
      <c r="AD838" s="26"/>
      <c r="AE838" s="26"/>
      <c r="AF838" s="26"/>
      <c r="AG838" s="26"/>
      <c r="AH838" s="26"/>
      <c r="AI838" s="26"/>
      <c r="AJ838" s="26"/>
      <c r="AK838" s="26"/>
      <c r="AL838" s="26"/>
      <c r="AM838" s="26"/>
      <c r="AN838" s="26"/>
      <c r="AO838" s="26"/>
      <c r="AP838" s="26"/>
      <c r="AQ838" s="26"/>
      <c r="AR838" s="26"/>
      <c r="AS838" s="26"/>
      <c r="AT838" s="26"/>
      <c r="AU838" s="26"/>
      <c r="AV838" s="26"/>
      <c r="AW838" s="26"/>
      <c r="AX838" s="26"/>
      <c r="AY838" s="26"/>
      <c r="AZ838" s="26"/>
      <c r="BA838" s="26"/>
      <c r="BB838" s="26"/>
      <c r="BC838" s="26"/>
      <c r="BD838" s="26"/>
      <c r="BE838" s="26"/>
      <c r="BF838" s="26"/>
      <c r="BG838" s="26"/>
      <c r="BH838" s="26"/>
      <c r="BI838" s="26"/>
    </row>
    <row r="839" ht="14.25" customHeight="1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  <c r="AA839" s="26"/>
      <c r="AB839" s="26"/>
      <c r="AC839" s="26"/>
      <c r="AD839" s="26"/>
      <c r="AE839" s="26"/>
      <c r="AF839" s="26"/>
      <c r="AG839" s="26"/>
      <c r="AH839" s="26"/>
      <c r="AI839" s="26"/>
      <c r="AJ839" s="26"/>
      <c r="AK839" s="26"/>
      <c r="AL839" s="26"/>
      <c r="AM839" s="26"/>
      <c r="AN839" s="26"/>
      <c r="AO839" s="26"/>
      <c r="AP839" s="26"/>
      <c r="AQ839" s="26"/>
      <c r="AR839" s="26"/>
      <c r="AS839" s="26"/>
      <c r="AT839" s="26"/>
      <c r="AU839" s="26"/>
      <c r="AV839" s="26"/>
      <c r="AW839" s="26"/>
      <c r="AX839" s="26"/>
      <c r="AY839" s="26"/>
      <c r="AZ839" s="26"/>
      <c r="BA839" s="26"/>
      <c r="BB839" s="26"/>
      <c r="BC839" s="26"/>
      <c r="BD839" s="26"/>
      <c r="BE839" s="26"/>
      <c r="BF839" s="26"/>
      <c r="BG839" s="26"/>
      <c r="BH839" s="26"/>
      <c r="BI839" s="26"/>
    </row>
    <row r="840" ht="14.25" customHeight="1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  <c r="AA840" s="26"/>
      <c r="AB840" s="26"/>
      <c r="AC840" s="26"/>
      <c r="AD840" s="26"/>
      <c r="AE840" s="26"/>
      <c r="AF840" s="26"/>
      <c r="AG840" s="26"/>
      <c r="AH840" s="26"/>
      <c r="AI840" s="26"/>
      <c r="AJ840" s="26"/>
      <c r="AK840" s="26"/>
      <c r="AL840" s="26"/>
      <c r="AM840" s="26"/>
      <c r="AN840" s="26"/>
      <c r="AO840" s="26"/>
      <c r="AP840" s="26"/>
      <c r="AQ840" s="26"/>
      <c r="AR840" s="26"/>
      <c r="AS840" s="26"/>
      <c r="AT840" s="26"/>
      <c r="AU840" s="26"/>
      <c r="AV840" s="26"/>
      <c r="AW840" s="26"/>
      <c r="AX840" s="26"/>
      <c r="AY840" s="26"/>
      <c r="AZ840" s="26"/>
      <c r="BA840" s="26"/>
      <c r="BB840" s="26"/>
      <c r="BC840" s="26"/>
      <c r="BD840" s="26"/>
      <c r="BE840" s="26"/>
      <c r="BF840" s="26"/>
      <c r="BG840" s="26"/>
      <c r="BH840" s="26"/>
      <c r="BI840" s="26"/>
    </row>
    <row r="841" ht="14.25" customHeight="1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  <c r="AA841" s="26"/>
      <c r="AB841" s="26"/>
      <c r="AC841" s="26"/>
      <c r="AD841" s="26"/>
      <c r="AE841" s="26"/>
      <c r="AF841" s="26"/>
      <c r="AG841" s="26"/>
      <c r="AH841" s="26"/>
      <c r="AI841" s="26"/>
      <c r="AJ841" s="26"/>
      <c r="AK841" s="26"/>
      <c r="AL841" s="26"/>
      <c r="AM841" s="26"/>
      <c r="AN841" s="26"/>
      <c r="AO841" s="26"/>
      <c r="AP841" s="26"/>
      <c r="AQ841" s="26"/>
      <c r="AR841" s="26"/>
      <c r="AS841" s="26"/>
      <c r="AT841" s="26"/>
      <c r="AU841" s="26"/>
      <c r="AV841" s="26"/>
      <c r="AW841" s="26"/>
      <c r="AX841" s="26"/>
      <c r="AY841" s="26"/>
      <c r="AZ841" s="26"/>
      <c r="BA841" s="26"/>
      <c r="BB841" s="26"/>
      <c r="BC841" s="26"/>
      <c r="BD841" s="26"/>
      <c r="BE841" s="26"/>
      <c r="BF841" s="26"/>
      <c r="BG841" s="26"/>
      <c r="BH841" s="26"/>
      <c r="BI841" s="26"/>
    </row>
    <row r="842" ht="14.25" customHeight="1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  <c r="AA842" s="26"/>
      <c r="AB842" s="26"/>
      <c r="AC842" s="26"/>
      <c r="AD842" s="26"/>
      <c r="AE842" s="26"/>
      <c r="AF842" s="26"/>
      <c r="AG842" s="26"/>
      <c r="AH842" s="26"/>
      <c r="AI842" s="26"/>
      <c r="AJ842" s="26"/>
      <c r="AK842" s="26"/>
      <c r="AL842" s="26"/>
      <c r="AM842" s="26"/>
      <c r="AN842" s="26"/>
      <c r="AO842" s="26"/>
      <c r="AP842" s="26"/>
      <c r="AQ842" s="26"/>
      <c r="AR842" s="26"/>
      <c r="AS842" s="26"/>
      <c r="AT842" s="26"/>
      <c r="AU842" s="26"/>
      <c r="AV842" s="26"/>
      <c r="AW842" s="26"/>
      <c r="AX842" s="26"/>
      <c r="AY842" s="26"/>
      <c r="AZ842" s="26"/>
      <c r="BA842" s="26"/>
      <c r="BB842" s="26"/>
      <c r="BC842" s="26"/>
      <c r="BD842" s="26"/>
      <c r="BE842" s="26"/>
      <c r="BF842" s="26"/>
      <c r="BG842" s="26"/>
      <c r="BH842" s="26"/>
      <c r="BI842" s="26"/>
    </row>
    <row r="843" ht="14.25" customHeight="1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  <c r="AA843" s="26"/>
      <c r="AB843" s="26"/>
      <c r="AC843" s="26"/>
      <c r="AD843" s="26"/>
      <c r="AE843" s="26"/>
      <c r="AF843" s="26"/>
      <c r="AG843" s="26"/>
      <c r="AH843" s="26"/>
      <c r="AI843" s="26"/>
      <c r="AJ843" s="26"/>
      <c r="AK843" s="26"/>
      <c r="AL843" s="26"/>
      <c r="AM843" s="26"/>
      <c r="AN843" s="26"/>
      <c r="AO843" s="26"/>
      <c r="AP843" s="26"/>
      <c r="AQ843" s="26"/>
      <c r="AR843" s="26"/>
      <c r="AS843" s="26"/>
      <c r="AT843" s="26"/>
      <c r="AU843" s="26"/>
      <c r="AV843" s="26"/>
      <c r="AW843" s="26"/>
      <c r="AX843" s="26"/>
      <c r="AY843" s="26"/>
      <c r="AZ843" s="26"/>
      <c r="BA843" s="26"/>
      <c r="BB843" s="26"/>
      <c r="BC843" s="26"/>
      <c r="BD843" s="26"/>
      <c r="BE843" s="26"/>
      <c r="BF843" s="26"/>
      <c r="BG843" s="26"/>
      <c r="BH843" s="26"/>
      <c r="BI843" s="26"/>
    </row>
    <row r="844" ht="14.25" customHeight="1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  <c r="AA844" s="26"/>
      <c r="AB844" s="26"/>
      <c r="AC844" s="26"/>
      <c r="AD844" s="26"/>
      <c r="AE844" s="26"/>
      <c r="AF844" s="26"/>
      <c r="AG844" s="26"/>
      <c r="AH844" s="26"/>
      <c r="AI844" s="26"/>
      <c r="AJ844" s="26"/>
      <c r="AK844" s="26"/>
      <c r="AL844" s="26"/>
      <c r="AM844" s="26"/>
      <c r="AN844" s="26"/>
      <c r="AO844" s="26"/>
      <c r="AP844" s="26"/>
      <c r="AQ844" s="26"/>
      <c r="AR844" s="26"/>
      <c r="AS844" s="26"/>
      <c r="AT844" s="26"/>
      <c r="AU844" s="26"/>
      <c r="AV844" s="26"/>
      <c r="AW844" s="26"/>
      <c r="AX844" s="26"/>
      <c r="AY844" s="26"/>
      <c r="AZ844" s="26"/>
      <c r="BA844" s="26"/>
      <c r="BB844" s="26"/>
      <c r="BC844" s="26"/>
      <c r="BD844" s="26"/>
      <c r="BE844" s="26"/>
      <c r="BF844" s="26"/>
      <c r="BG844" s="26"/>
      <c r="BH844" s="26"/>
      <c r="BI844" s="26"/>
    </row>
    <row r="845" ht="14.25" customHeight="1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  <c r="AA845" s="26"/>
      <c r="AB845" s="26"/>
      <c r="AC845" s="26"/>
      <c r="AD845" s="26"/>
      <c r="AE845" s="26"/>
      <c r="AF845" s="26"/>
      <c r="AG845" s="26"/>
      <c r="AH845" s="26"/>
      <c r="AI845" s="26"/>
      <c r="AJ845" s="26"/>
      <c r="AK845" s="26"/>
      <c r="AL845" s="26"/>
      <c r="AM845" s="26"/>
      <c r="AN845" s="26"/>
      <c r="AO845" s="26"/>
      <c r="AP845" s="26"/>
      <c r="AQ845" s="26"/>
      <c r="AR845" s="26"/>
      <c r="AS845" s="26"/>
      <c r="AT845" s="26"/>
      <c r="AU845" s="26"/>
      <c r="AV845" s="26"/>
      <c r="AW845" s="26"/>
      <c r="AX845" s="26"/>
      <c r="AY845" s="26"/>
      <c r="AZ845" s="26"/>
      <c r="BA845" s="26"/>
      <c r="BB845" s="26"/>
      <c r="BC845" s="26"/>
      <c r="BD845" s="26"/>
      <c r="BE845" s="26"/>
      <c r="BF845" s="26"/>
      <c r="BG845" s="26"/>
      <c r="BH845" s="26"/>
      <c r="BI845" s="26"/>
    </row>
    <row r="846" ht="14.25" customHeight="1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  <c r="AA846" s="26"/>
      <c r="AB846" s="26"/>
      <c r="AC846" s="26"/>
      <c r="AD846" s="26"/>
      <c r="AE846" s="26"/>
      <c r="AF846" s="26"/>
      <c r="AG846" s="26"/>
      <c r="AH846" s="26"/>
      <c r="AI846" s="26"/>
      <c r="AJ846" s="26"/>
      <c r="AK846" s="26"/>
      <c r="AL846" s="26"/>
      <c r="AM846" s="26"/>
      <c r="AN846" s="26"/>
      <c r="AO846" s="26"/>
      <c r="AP846" s="26"/>
      <c r="AQ846" s="26"/>
      <c r="AR846" s="26"/>
      <c r="AS846" s="26"/>
      <c r="AT846" s="26"/>
      <c r="AU846" s="26"/>
      <c r="AV846" s="26"/>
      <c r="AW846" s="26"/>
      <c r="AX846" s="26"/>
      <c r="AY846" s="26"/>
      <c r="AZ846" s="26"/>
      <c r="BA846" s="26"/>
      <c r="BB846" s="26"/>
      <c r="BC846" s="26"/>
      <c r="BD846" s="26"/>
      <c r="BE846" s="26"/>
      <c r="BF846" s="26"/>
      <c r="BG846" s="26"/>
      <c r="BH846" s="26"/>
      <c r="BI846" s="26"/>
    </row>
    <row r="847" ht="14.25" customHeight="1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  <c r="AA847" s="26"/>
      <c r="AB847" s="26"/>
      <c r="AC847" s="26"/>
      <c r="AD847" s="26"/>
      <c r="AE847" s="26"/>
      <c r="AF847" s="26"/>
      <c r="AG847" s="26"/>
      <c r="AH847" s="26"/>
      <c r="AI847" s="26"/>
      <c r="AJ847" s="26"/>
      <c r="AK847" s="26"/>
      <c r="AL847" s="26"/>
      <c r="AM847" s="26"/>
      <c r="AN847" s="26"/>
      <c r="AO847" s="26"/>
      <c r="AP847" s="26"/>
      <c r="AQ847" s="26"/>
      <c r="AR847" s="26"/>
      <c r="AS847" s="26"/>
      <c r="AT847" s="26"/>
      <c r="AU847" s="26"/>
      <c r="AV847" s="26"/>
      <c r="AW847" s="26"/>
      <c r="AX847" s="26"/>
      <c r="AY847" s="26"/>
      <c r="AZ847" s="26"/>
      <c r="BA847" s="26"/>
      <c r="BB847" s="26"/>
      <c r="BC847" s="26"/>
      <c r="BD847" s="26"/>
      <c r="BE847" s="26"/>
      <c r="BF847" s="26"/>
      <c r="BG847" s="26"/>
      <c r="BH847" s="26"/>
      <c r="BI847" s="26"/>
    </row>
    <row r="848" ht="14.25" customHeight="1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  <c r="AA848" s="26"/>
      <c r="AB848" s="26"/>
      <c r="AC848" s="26"/>
      <c r="AD848" s="26"/>
      <c r="AE848" s="26"/>
      <c r="AF848" s="26"/>
      <c r="AG848" s="26"/>
      <c r="AH848" s="26"/>
      <c r="AI848" s="26"/>
      <c r="AJ848" s="26"/>
      <c r="AK848" s="26"/>
      <c r="AL848" s="26"/>
      <c r="AM848" s="26"/>
      <c r="AN848" s="26"/>
      <c r="AO848" s="26"/>
      <c r="AP848" s="26"/>
      <c r="AQ848" s="26"/>
      <c r="AR848" s="26"/>
      <c r="AS848" s="26"/>
      <c r="AT848" s="26"/>
      <c r="AU848" s="26"/>
      <c r="AV848" s="26"/>
      <c r="AW848" s="26"/>
      <c r="AX848" s="26"/>
      <c r="AY848" s="26"/>
      <c r="AZ848" s="26"/>
      <c r="BA848" s="26"/>
      <c r="BB848" s="26"/>
      <c r="BC848" s="26"/>
      <c r="BD848" s="26"/>
      <c r="BE848" s="26"/>
      <c r="BF848" s="26"/>
      <c r="BG848" s="26"/>
      <c r="BH848" s="26"/>
      <c r="BI848" s="26"/>
    </row>
    <row r="849" ht="14.25" customHeight="1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  <c r="AA849" s="26"/>
      <c r="AB849" s="26"/>
      <c r="AC849" s="26"/>
      <c r="AD849" s="26"/>
      <c r="AE849" s="26"/>
      <c r="AF849" s="26"/>
      <c r="AG849" s="26"/>
      <c r="AH849" s="26"/>
      <c r="AI849" s="26"/>
      <c r="AJ849" s="26"/>
      <c r="AK849" s="26"/>
      <c r="AL849" s="26"/>
      <c r="AM849" s="26"/>
      <c r="AN849" s="26"/>
      <c r="AO849" s="26"/>
      <c r="AP849" s="26"/>
      <c r="AQ849" s="26"/>
      <c r="AR849" s="26"/>
      <c r="AS849" s="26"/>
      <c r="AT849" s="26"/>
      <c r="AU849" s="26"/>
      <c r="AV849" s="26"/>
      <c r="AW849" s="26"/>
      <c r="AX849" s="26"/>
      <c r="AY849" s="26"/>
      <c r="AZ849" s="26"/>
      <c r="BA849" s="26"/>
      <c r="BB849" s="26"/>
      <c r="BC849" s="26"/>
      <c r="BD849" s="26"/>
      <c r="BE849" s="26"/>
      <c r="BF849" s="26"/>
      <c r="BG849" s="26"/>
      <c r="BH849" s="26"/>
      <c r="BI849" s="26"/>
    </row>
    <row r="850" ht="14.25" customHeight="1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  <c r="AA850" s="26"/>
      <c r="AB850" s="26"/>
      <c r="AC850" s="26"/>
      <c r="AD850" s="26"/>
      <c r="AE850" s="26"/>
      <c r="AF850" s="26"/>
      <c r="AG850" s="26"/>
      <c r="AH850" s="26"/>
      <c r="AI850" s="26"/>
      <c r="AJ850" s="26"/>
      <c r="AK850" s="26"/>
      <c r="AL850" s="26"/>
      <c r="AM850" s="26"/>
      <c r="AN850" s="26"/>
      <c r="AO850" s="26"/>
      <c r="AP850" s="26"/>
      <c r="AQ850" s="26"/>
      <c r="AR850" s="26"/>
      <c r="AS850" s="26"/>
      <c r="AT850" s="26"/>
      <c r="AU850" s="26"/>
      <c r="AV850" s="26"/>
      <c r="AW850" s="26"/>
      <c r="AX850" s="26"/>
      <c r="AY850" s="26"/>
      <c r="AZ850" s="26"/>
      <c r="BA850" s="26"/>
      <c r="BB850" s="26"/>
      <c r="BC850" s="26"/>
      <c r="BD850" s="26"/>
      <c r="BE850" s="26"/>
      <c r="BF850" s="26"/>
      <c r="BG850" s="26"/>
      <c r="BH850" s="26"/>
      <c r="BI850" s="26"/>
    </row>
    <row r="851" ht="14.25" customHeight="1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  <c r="AA851" s="26"/>
      <c r="AB851" s="26"/>
      <c r="AC851" s="26"/>
      <c r="AD851" s="26"/>
      <c r="AE851" s="26"/>
      <c r="AF851" s="26"/>
      <c r="AG851" s="26"/>
      <c r="AH851" s="26"/>
      <c r="AI851" s="26"/>
      <c r="AJ851" s="26"/>
      <c r="AK851" s="26"/>
      <c r="AL851" s="26"/>
      <c r="AM851" s="26"/>
      <c r="AN851" s="26"/>
      <c r="AO851" s="26"/>
      <c r="AP851" s="26"/>
      <c r="AQ851" s="26"/>
      <c r="AR851" s="26"/>
      <c r="AS851" s="26"/>
      <c r="AT851" s="26"/>
      <c r="AU851" s="26"/>
      <c r="AV851" s="26"/>
      <c r="AW851" s="26"/>
      <c r="AX851" s="26"/>
      <c r="AY851" s="26"/>
      <c r="AZ851" s="26"/>
      <c r="BA851" s="26"/>
      <c r="BB851" s="26"/>
      <c r="BC851" s="26"/>
      <c r="BD851" s="26"/>
      <c r="BE851" s="26"/>
      <c r="BF851" s="26"/>
      <c r="BG851" s="26"/>
      <c r="BH851" s="26"/>
      <c r="BI851" s="26"/>
    </row>
    <row r="852" ht="14.25" customHeight="1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  <c r="AA852" s="26"/>
      <c r="AB852" s="26"/>
      <c r="AC852" s="26"/>
      <c r="AD852" s="26"/>
      <c r="AE852" s="26"/>
      <c r="AF852" s="26"/>
      <c r="AG852" s="26"/>
      <c r="AH852" s="26"/>
      <c r="AI852" s="26"/>
      <c r="AJ852" s="26"/>
      <c r="AK852" s="26"/>
      <c r="AL852" s="26"/>
      <c r="AM852" s="26"/>
      <c r="AN852" s="26"/>
      <c r="AO852" s="26"/>
      <c r="AP852" s="26"/>
      <c r="AQ852" s="26"/>
      <c r="AR852" s="26"/>
      <c r="AS852" s="26"/>
      <c r="AT852" s="26"/>
      <c r="AU852" s="26"/>
      <c r="AV852" s="26"/>
      <c r="AW852" s="26"/>
      <c r="AX852" s="26"/>
      <c r="AY852" s="26"/>
      <c r="AZ852" s="26"/>
      <c r="BA852" s="26"/>
      <c r="BB852" s="26"/>
      <c r="BC852" s="26"/>
      <c r="BD852" s="26"/>
      <c r="BE852" s="26"/>
      <c r="BF852" s="26"/>
      <c r="BG852" s="26"/>
      <c r="BH852" s="26"/>
      <c r="BI852" s="26"/>
    </row>
    <row r="853" ht="14.25" customHeight="1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  <c r="AA853" s="26"/>
      <c r="AB853" s="26"/>
      <c r="AC853" s="26"/>
      <c r="AD853" s="26"/>
      <c r="AE853" s="26"/>
      <c r="AF853" s="26"/>
      <c r="AG853" s="26"/>
      <c r="AH853" s="26"/>
      <c r="AI853" s="26"/>
      <c r="AJ853" s="26"/>
      <c r="AK853" s="26"/>
      <c r="AL853" s="26"/>
      <c r="AM853" s="26"/>
      <c r="AN853" s="26"/>
      <c r="AO853" s="26"/>
      <c r="AP853" s="26"/>
      <c r="AQ853" s="26"/>
      <c r="AR853" s="26"/>
      <c r="AS853" s="26"/>
      <c r="AT853" s="26"/>
      <c r="AU853" s="26"/>
      <c r="AV853" s="26"/>
      <c r="AW853" s="26"/>
      <c r="AX853" s="26"/>
      <c r="AY853" s="26"/>
      <c r="AZ853" s="26"/>
      <c r="BA853" s="26"/>
      <c r="BB853" s="26"/>
      <c r="BC853" s="26"/>
      <c r="BD853" s="26"/>
      <c r="BE853" s="26"/>
      <c r="BF853" s="26"/>
      <c r="BG853" s="26"/>
      <c r="BH853" s="26"/>
      <c r="BI853" s="26"/>
    </row>
    <row r="854" ht="14.25" customHeight="1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  <c r="AA854" s="26"/>
      <c r="AB854" s="26"/>
      <c r="AC854" s="26"/>
      <c r="AD854" s="26"/>
      <c r="AE854" s="26"/>
      <c r="AF854" s="26"/>
      <c r="AG854" s="26"/>
      <c r="AH854" s="26"/>
      <c r="AI854" s="26"/>
      <c r="AJ854" s="26"/>
      <c r="AK854" s="26"/>
      <c r="AL854" s="26"/>
      <c r="AM854" s="26"/>
      <c r="AN854" s="26"/>
      <c r="AO854" s="26"/>
      <c r="AP854" s="26"/>
      <c r="AQ854" s="26"/>
      <c r="AR854" s="26"/>
      <c r="AS854" s="26"/>
      <c r="AT854" s="26"/>
      <c r="AU854" s="26"/>
      <c r="AV854" s="26"/>
      <c r="AW854" s="26"/>
      <c r="AX854" s="26"/>
      <c r="AY854" s="26"/>
      <c r="AZ854" s="26"/>
      <c r="BA854" s="26"/>
      <c r="BB854" s="26"/>
      <c r="BC854" s="26"/>
      <c r="BD854" s="26"/>
      <c r="BE854" s="26"/>
      <c r="BF854" s="26"/>
      <c r="BG854" s="26"/>
      <c r="BH854" s="26"/>
      <c r="BI854" s="26"/>
    </row>
    <row r="855" ht="14.25" customHeight="1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  <c r="AA855" s="26"/>
      <c r="AB855" s="26"/>
      <c r="AC855" s="26"/>
      <c r="AD855" s="26"/>
      <c r="AE855" s="26"/>
      <c r="AF855" s="26"/>
      <c r="AG855" s="26"/>
      <c r="AH855" s="26"/>
      <c r="AI855" s="26"/>
      <c r="AJ855" s="26"/>
      <c r="AK855" s="26"/>
      <c r="AL855" s="26"/>
      <c r="AM855" s="26"/>
      <c r="AN855" s="26"/>
      <c r="AO855" s="26"/>
      <c r="AP855" s="26"/>
      <c r="AQ855" s="26"/>
      <c r="AR855" s="26"/>
      <c r="AS855" s="26"/>
      <c r="AT855" s="26"/>
      <c r="AU855" s="26"/>
      <c r="AV855" s="26"/>
      <c r="AW855" s="26"/>
      <c r="AX855" s="26"/>
      <c r="AY855" s="26"/>
      <c r="AZ855" s="26"/>
      <c r="BA855" s="26"/>
      <c r="BB855" s="26"/>
      <c r="BC855" s="26"/>
      <c r="BD855" s="26"/>
      <c r="BE855" s="26"/>
      <c r="BF855" s="26"/>
      <c r="BG855" s="26"/>
      <c r="BH855" s="26"/>
      <c r="BI855" s="26"/>
    </row>
    <row r="856" ht="14.25" customHeight="1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  <c r="AA856" s="26"/>
      <c r="AB856" s="26"/>
      <c r="AC856" s="26"/>
      <c r="AD856" s="26"/>
      <c r="AE856" s="26"/>
      <c r="AF856" s="26"/>
      <c r="AG856" s="26"/>
      <c r="AH856" s="26"/>
      <c r="AI856" s="26"/>
      <c r="AJ856" s="26"/>
      <c r="AK856" s="26"/>
      <c r="AL856" s="26"/>
      <c r="AM856" s="26"/>
      <c r="AN856" s="26"/>
      <c r="AO856" s="26"/>
      <c r="AP856" s="26"/>
      <c r="AQ856" s="26"/>
      <c r="AR856" s="26"/>
      <c r="AS856" s="26"/>
      <c r="AT856" s="26"/>
      <c r="AU856" s="26"/>
      <c r="AV856" s="26"/>
      <c r="AW856" s="26"/>
      <c r="AX856" s="26"/>
      <c r="AY856" s="26"/>
      <c r="AZ856" s="26"/>
      <c r="BA856" s="26"/>
      <c r="BB856" s="26"/>
      <c r="BC856" s="26"/>
      <c r="BD856" s="26"/>
      <c r="BE856" s="26"/>
      <c r="BF856" s="26"/>
      <c r="BG856" s="26"/>
      <c r="BH856" s="26"/>
      <c r="BI856" s="26"/>
    </row>
    <row r="857" ht="14.25" customHeight="1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  <c r="AA857" s="26"/>
      <c r="AB857" s="26"/>
      <c r="AC857" s="26"/>
      <c r="AD857" s="26"/>
      <c r="AE857" s="26"/>
      <c r="AF857" s="26"/>
      <c r="AG857" s="26"/>
      <c r="AH857" s="26"/>
      <c r="AI857" s="26"/>
      <c r="AJ857" s="26"/>
      <c r="AK857" s="26"/>
      <c r="AL857" s="26"/>
      <c r="AM857" s="26"/>
      <c r="AN857" s="26"/>
      <c r="AO857" s="26"/>
      <c r="AP857" s="26"/>
      <c r="AQ857" s="26"/>
      <c r="AR857" s="26"/>
      <c r="AS857" s="26"/>
      <c r="AT857" s="26"/>
      <c r="AU857" s="26"/>
      <c r="AV857" s="26"/>
      <c r="AW857" s="26"/>
      <c r="AX857" s="26"/>
      <c r="AY857" s="26"/>
      <c r="AZ857" s="26"/>
      <c r="BA857" s="26"/>
      <c r="BB857" s="26"/>
      <c r="BC857" s="26"/>
      <c r="BD857" s="26"/>
      <c r="BE857" s="26"/>
      <c r="BF857" s="26"/>
      <c r="BG857" s="26"/>
      <c r="BH857" s="26"/>
      <c r="BI857" s="26"/>
    </row>
    <row r="858" ht="14.25" customHeight="1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  <c r="AA858" s="26"/>
      <c r="AB858" s="26"/>
      <c r="AC858" s="26"/>
      <c r="AD858" s="26"/>
      <c r="AE858" s="26"/>
      <c r="AF858" s="26"/>
      <c r="AG858" s="26"/>
      <c r="AH858" s="26"/>
      <c r="AI858" s="26"/>
      <c r="AJ858" s="26"/>
      <c r="AK858" s="26"/>
      <c r="AL858" s="26"/>
      <c r="AM858" s="26"/>
      <c r="AN858" s="26"/>
      <c r="AO858" s="26"/>
      <c r="AP858" s="26"/>
      <c r="AQ858" s="26"/>
      <c r="AR858" s="26"/>
      <c r="AS858" s="26"/>
      <c r="AT858" s="26"/>
      <c r="AU858" s="26"/>
      <c r="AV858" s="26"/>
      <c r="AW858" s="26"/>
      <c r="AX858" s="26"/>
      <c r="AY858" s="26"/>
      <c r="AZ858" s="26"/>
      <c r="BA858" s="26"/>
      <c r="BB858" s="26"/>
      <c r="BC858" s="26"/>
      <c r="BD858" s="26"/>
      <c r="BE858" s="26"/>
      <c r="BF858" s="26"/>
      <c r="BG858" s="26"/>
      <c r="BH858" s="26"/>
      <c r="BI858" s="26"/>
    </row>
    <row r="859" ht="14.25" customHeight="1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  <c r="AA859" s="26"/>
      <c r="AB859" s="26"/>
      <c r="AC859" s="26"/>
      <c r="AD859" s="26"/>
      <c r="AE859" s="26"/>
      <c r="AF859" s="26"/>
      <c r="AG859" s="26"/>
      <c r="AH859" s="26"/>
      <c r="AI859" s="26"/>
      <c r="AJ859" s="26"/>
      <c r="AK859" s="26"/>
      <c r="AL859" s="26"/>
      <c r="AM859" s="26"/>
      <c r="AN859" s="26"/>
      <c r="AO859" s="26"/>
      <c r="AP859" s="26"/>
      <c r="AQ859" s="26"/>
      <c r="AR859" s="26"/>
      <c r="AS859" s="26"/>
      <c r="AT859" s="26"/>
      <c r="AU859" s="26"/>
      <c r="AV859" s="26"/>
      <c r="AW859" s="26"/>
      <c r="AX859" s="26"/>
      <c r="AY859" s="26"/>
      <c r="AZ859" s="26"/>
      <c r="BA859" s="26"/>
      <c r="BB859" s="26"/>
      <c r="BC859" s="26"/>
      <c r="BD859" s="26"/>
      <c r="BE859" s="26"/>
      <c r="BF859" s="26"/>
      <c r="BG859" s="26"/>
      <c r="BH859" s="26"/>
      <c r="BI859" s="26"/>
    </row>
    <row r="860" ht="14.25" customHeight="1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  <c r="AA860" s="26"/>
      <c r="AB860" s="26"/>
      <c r="AC860" s="26"/>
      <c r="AD860" s="26"/>
      <c r="AE860" s="26"/>
      <c r="AF860" s="26"/>
      <c r="AG860" s="26"/>
      <c r="AH860" s="26"/>
      <c r="AI860" s="26"/>
      <c r="AJ860" s="26"/>
      <c r="AK860" s="26"/>
      <c r="AL860" s="26"/>
      <c r="AM860" s="26"/>
      <c r="AN860" s="26"/>
      <c r="AO860" s="26"/>
      <c r="AP860" s="26"/>
      <c r="AQ860" s="26"/>
      <c r="AR860" s="26"/>
      <c r="AS860" s="26"/>
      <c r="AT860" s="26"/>
      <c r="AU860" s="26"/>
      <c r="AV860" s="26"/>
      <c r="AW860" s="26"/>
      <c r="AX860" s="26"/>
      <c r="AY860" s="26"/>
      <c r="AZ860" s="26"/>
      <c r="BA860" s="26"/>
      <c r="BB860" s="26"/>
      <c r="BC860" s="26"/>
      <c r="BD860" s="26"/>
      <c r="BE860" s="26"/>
      <c r="BF860" s="26"/>
      <c r="BG860" s="26"/>
      <c r="BH860" s="26"/>
      <c r="BI860" s="26"/>
    </row>
    <row r="861" ht="14.25" customHeight="1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  <c r="AA861" s="26"/>
      <c r="AB861" s="26"/>
      <c r="AC861" s="26"/>
      <c r="AD861" s="26"/>
      <c r="AE861" s="26"/>
      <c r="AF861" s="26"/>
      <c r="AG861" s="26"/>
      <c r="AH861" s="26"/>
      <c r="AI861" s="26"/>
      <c r="AJ861" s="26"/>
      <c r="AK861" s="26"/>
      <c r="AL861" s="26"/>
      <c r="AM861" s="26"/>
      <c r="AN861" s="26"/>
      <c r="AO861" s="26"/>
      <c r="AP861" s="26"/>
      <c r="AQ861" s="26"/>
      <c r="AR861" s="26"/>
      <c r="AS861" s="26"/>
      <c r="AT861" s="26"/>
      <c r="AU861" s="26"/>
      <c r="AV861" s="26"/>
      <c r="AW861" s="26"/>
      <c r="AX861" s="26"/>
      <c r="AY861" s="26"/>
      <c r="AZ861" s="26"/>
      <c r="BA861" s="26"/>
      <c r="BB861" s="26"/>
      <c r="BC861" s="26"/>
      <c r="BD861" s="26"/>
      <c r="BE861" s="26"/>
      <c r="BF861" s="26"/>
      <c r="BG861" s="26"/>
      <c r="BH861" s="26"/>
      <c r="BI861" s="26"/>
    </row>
    <row r="862" ht="14.25" customHeight="1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  <c r="AA862" s="26"/>
      <c r="AB862" s="26"/>
      <c r="AC862" s="26"/>
      <c r="AD862" s="26"/>
      <c r="AE862" s="26"/>
      <c r="AF862" s="26"/>
      <c r="AG862" s="26"/>
      <c r="AH862" s="26"/>
      <c r="AI862" s="26"/>
      <c r="AJ862" s="26"/>
      <c r="AK862" s="26"/>
      <c r="AL862" s="26"/>
      <c r="AM862" s="26"/>
      <c r="AN862" s="26"/>
      <c r="AO862" s="26"/>
      <c r="AP862" s="26"/>
      <c r="AQ862" s="26"/>
      <c r="AR862" s="26"/>
      <c r="AS862" s="26"/>
      <c r="AT862" s="26"/>
      <c r="AU862" s="26"/>
      <c r="AV862" s="26"/>
      <c r="AW862" s="26"/>
      <c r="AX862" s="26"/>
      <c r="AY862" s="26"/>
      <c r="AZ862" s="26"/>
      <c r="BA862" s="26"/>
      <c r="BB862" s="26"/>
      <c r="BC862" s="26"/>
      <c r="BD862" s="26"/>
      <c r="BE862" s="26"/>
      <c r="BF862" s="26"/>
      <c r="BG862" s="26"/>
      <c r="BH862" s="26"/>
      <c r="BI862" s="26"/>
    </row>
    <row r="863" ht="14.25" customHeight="1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  <c r="AA863" s="26"/>
      <c r="AB863" s="26"/>
      <c r="AC863" s="26"/>
      <c r="AD863" s="26"/>
      <c r="AE863" s="26"/>
      <c r="AF863" s="26"/>
      <c r="AG863" s="26"/>
      <c r="AH863" s="26"/>
      <c r="AI863" s="26"/>
      <c r="AJ863" s="26"/>
      <c r="AK863" s="26"/>
      <c r="AL863" s="26"/>
      <c r="AM863" s="26"/>
      <c r="AN863" s="26"/>
      <c r="AO863" s="26"/>
      <c r="AP863" s="26"/>
      <c r="AQ863" s="26"/>
      <c r="AR863" s="26"/>
      <c r="AS863" s="26"/>
      <c r="AT863" s="26"/>
      <c r="AU863" s="26"/>
      <c r="AV863" s="26"/>
      <c r="AW863" s="26"/>
      <c r="AX863" s="26"/>
      <c r="AY863" s="26"/>
      <c r="AZ863" s="26"/>
      <c r="BA863" s="26"/>
      <c r="BB863" s="26"/>
      <c r="BC863" s="26"/>
      <c r="BD863" s="26"/>
      <c r="BE863" s="26"/>
      <c r="BF863" s="26"/>
      <c r="BG863" s="26"/>
      <c r="BH863" s="26"/>
      <c r="BI863" s="26"/>
    </row>
    <row r="864" ht="14.25" customHeight="1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  <c r="AA864" s="26"/>
      <c r="AB864" s="26"/>
      <c r="AC864" s="26"/>
      <c r="AD864" s="26"/>
      <c r="AE864" s="26"/>
      <c r="AF864" s="26"/>
      <c r="AG864" s="26"/>
      <c r="AH864" s="26"/>
      <c r="AI864" s="26"/>
      <c r="AJ864" s="26"/>
      <c r="AK864" s="26"/>
      <c r="AL864" s="26"/>
      <c r="AM864" s="26"/>
      <c r="AN864" s="26"/>
      <c r="AO864" s="26"/>
      <c r="AP864" s="26"/>
      <c r="AQ864" s="26"/>
      <c r="AR864" s="26"/>
      <c r="AS864" s="26"/>
      <c r="AT864" s="26"/>
      <c r="AU864" s="26"/>
      <c r="AV864" s="26"/>
      <c r="AW864" s="26"/>
      <c r="AX864" s="26"/>
      <c r="AY864" s="26"/>
      <c r="AZ864" s="26"/>
      <c r="BA864" s="26"/>
      <c r="BB864" s="26"/>
      <c r="BC864" s="26"/>
      <c r="BD864" s="26"/>
      <c r="BE864" s="26"/>
      <c r="BF864" s="26"/>
      <c r="BG864" s="26"/>
      <c r="BH864" s="26"/>
      <c r="BI864" s="26"/>
    </row>
    <row r="865" ht="14.25" customHeight="1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  <c r="AA865" s="26"/>
      <c r="AB865" s="26"/>
      <c r="AC865" s="26"/>
      <c r="AD865" s="26"/>
      <c r="AE865" s="26"/>
      <c r="AF865" s="26"/>
      <c r="AG865" s="26"/>
      <c r="AH865" s="26"/>
      <c r="AI865" s="26"/>
      <c r="AJ865" s="26"/>
      <c r="AK865" s="26"/>
      <c r="AL865" s="26"/>
      <c r="AM865" s="26"/>
      <c r="AN865" s="26"/>
      <c r="AO865" s="26"/>
      <c r="AP865" s="26"/>
      <c r="AQ865" s="26"/>
      <c r="AR865" s="26"/>
      <c r="AS865" s="26"/>
      <c r="AT865" s="26"/>
      <c r="AU865" s="26"/>
      <c r="AV865" s="26"/>
      <c r="AW865" s="26"/>
      <c r="AX865" s="26"/>
      <c r="AY865" s="26"/>
      <c r="AZ865" s="26"/>
      <c r="BA865" s="26"/>
      <c r="BB865" s="26"/>
      <c r="BC865" s="26"/>
      <c r="BD865" s="26"/>
      <c r="BE865" s="26"/>
      <c r="BF865" s="26"/>
      <c r="BG865" s="26"/>
      <c r="BH865" s="26"/>
      <c r="BI865" s="26"/>
    </row>
    <row r="866" ht="14.25" customHeight="1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  <c r="AA866" s="26"/>
      <c r="AB866" s="26"/>
      <c r="AC866" s="26"/>
      <c r="AD866" s="26"/>
      <c r="AE866" s="26"/>
      <c r="AF866" s="26"/>
      <c r="AG866" s="26"/>
      <c r="AH866" s="26"/>
      <c r="AI866" s="26"/>
      <c r="AJ866" s="26"/>
      <c r="AK866" s="26"/>
      <c r="AL866" s="26"/>
      <c r="AM866" s="26"/>
      <c r="AN866" s="26"/>
      <c r="AO866" s="26"/>
      <c r="AP866" s="26"/>
      <c r="AQ866" s="26"/>
      <c r="AR866" s="26"/>
      <c r="AS866" s="26"/>
      <c r="AT866" s="26"/>
      <c r="AU866" s="26"/>
      <c r="AV866" s="26"/>
      <c r="AW866" s="26"/>
      <c r="AX866" s="26"/>
      <c r="AY866" s="26"/>
      <c r="AZ866" s="26"/>
      <c r="BA866" s="26"/>
      <c r="BB866" s="26"/>
      <c r="BC866" s="26"/>
      <c r="BD866" s="26"/>
      <c r="BE866" s="26"/>
      <c r="BF866" s="26"/>
      <c r="BG866" s="26"/>
      <c r="BH866" s="26"/>
      <c r="BI866" s="26"/>
    </row>
    <row r="867" ht="14.25" customHeight="1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  <c r="AA867" s="26"/>
      <c r="AB867" s="26"/>
      <c r="AC867" s="26"/>
      <c r="AD867" s="26"/>
      <c r="AE867" s="26"/>
      <c r="AF867" s="26"/>
      <c r="AG867" s="26"/>
      <c r="AH867" s="26"/>
      <c r="AI867" s="26"/>
      <c r="AJ867" s="26"/>
      <c r="AK867" s="26"/>
      <c r="AL867" s="26"/>
      <c r="AM867" s="26"/>
      <c r="AN867" s="26"/>
      <c r="AO867" s="26"/>
      <c r="AP867" s="26"/>
      <c r="AQ867" s="26"/>
      <c r="AR867" s="26"/>
      <c r="AS867" s="26"/>
      <c r="AT867" s="26"/>
      <c r="AU867" s="26"/>
      <c r="AV867" s="26"/>
      <c r="AW867" s="26"/>
      <c r="AX867" s="26"/>
      <c r="AY867" s="26"/>
      <c r="AZ867" s="26"/>
      <c r="BA867" s="26"/>
      <c r="BB867" s="26"/>
      <c r="BC867" s="26"/>
      <c r="BD867" s="26"/>
      <c r="BE867" s="26"/>
      <c r="BF867" s="26"/>
      <c r="BG867" s="26"/>
      <c r="BH867" s="26"/>
      <c r="BI867" s="26"/>
    </row>
    <row r="868" ht="14.25" customHeight="1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  <c r="AA868" s="26"/>
      <c r="AB868" s="26"/>
      <c r="AC868" s="26"/>
      <c r="AD868" s="26"/>
      <c r="AE868" s="26"/>
      <c r="AF868" s="26"/>
      <c r="AG868" s="26"/>
      <c r="AH868" s="26"/>
      <c r="AI868" s="26"/>
      <c r="AJ868" s="26"/>
      <c r="AK868" s="26"/>
      <c r="AL868" s="26"/>
      <c r="AM868" s="26"/>
      <c r="AN868" s="26"/>
      <c r="AO868" s="26"/>
      <c r="AP868" s="26"/>
      <c r="AQ868" s="26"/>
      <c r="AR868" s="26"/>
      <c r="AS868" s="26"/>
      <c r="AT868" s="26"/>
      <c r="AU868" s="26"/>
      <c r="AV868" s="26"/>
      <c r="AW868" s="26"/>
      <c r="AX868" s="26"/>
      <c r="AY868" s="26"/>
      <c r="AZ868" s="26"/>
      <c r="BA868" s="26"/>
      <c r="BB868" s="26"/>
      <c r="BC868" s="26"/>
      <c r="BD868" s="26"/>
      <c r="BE868" s="26"/>
      <c r="BF868" s="26"/>
      <c r="BG868" s="26"/>
      <c r="BH868" s="26"/>
      <c r="BI868" s="26"/>
    </row>
    <row r="869" ht="14.25" customHeight="1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  <c r="AA869" s="26"/>
      <c r="AB869" s="26"/>
      <c r="AC869" s="26"/>
      <c r="AD869" s="26"/>
      <c r="AE869" s="26"/>
      <c r="AF869" s="26"/>
      <c r="AG869" s="26"/>
      <c r="AH869" s="26"/>
      <c r="AI869" s="26"/>
      <c r="AJ869" s="26"/>
      <c r="AK869" s="26"/>
      <c r="AL869" s="26"/>
      <c r="AM869" s="26"/>
      <c r="AN869" s="26"/>
      <c r="AO869" s="26"/>
      <c r="AP869" s="26"/>
      <c r="AQ869" s="26"/>
      <c r="AR869" s="26"/>
      <c r="AS869" s="26"/>
      <c r="AT869" s="26"/>
      <c r="AU869" s="26"/>
      <c r="AV869" s="26"/>
      <c r="AW869" s="26"/>
      <c r="AX869" s="26"/>
      <c r="AY869" s="26"/>
      <c r="AZ869" s="26"/>
      <c r="BA869" s="26"/>
      <c r="BB869" s="26"/>
      <c r="BC869" s="26"/>
      <c r="BD869" s="26"/>
      <c r="BE869" s="26"/>
      <c r="BF869" s="26"/>
      <c r="BG869" s="26"/>
      <c r="BH869" s="26"/>
      <c r="BI869" s="26"/>
    </row>
    <row r="870" ht="14.25" customHeight="1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  <c r="AA870" s="26"/>
      <c r="AB870" s="26"/>
      <c r="AC870" s="26"/>
      <c r="AD870" s="26"/>
      <c r="AE870" s="26"/>
      <c r="AF870" s="26"/>
      <c r="AG870" s="26"/>
      <c r="AH870" s="26"/>
      <c r="AI870" s="26"/>
      <c r="AJ870" s="26"/>
      <c r="AK870" s="26"/>
      <c r="AL870" s="26"/>
      <c r="AM870" s="26"/>
      <c r="AN870" s="26"/>
      <c r="AO870" s="26"/>
      <c r="AP870" s="26"/>
      <c r="AQ870" s="26"/>
      <c r="AR870" s="26"/>
      <c r="AS870" s="26"/>
      <c r="AT870" s="26"/>
      <c r="AU870" s="26"/>
      <c r="AV870" s="26"/>
      <c r="AW870" s="26"/>
      <c r="AX870" s="26"/>
      <c r="AY870" s="26"/>
      <c r="AZ870" s="26"/>
      <c r="BA870" s="26"/>
      <c r="BB870" s="26"/>
      <c r="BC870" s="26"/>
      <c r="BD870" s="26"/>
      <c r="BE870" s="26"/>
      <c r="BF870" s="26"/>
      <c r="BG870" s="26"/>
      <c r="BH870" s="26"/>
      <c r="BI870" s="26"/>
    </row>
    <row r="871" ht="14.25" customHeight="1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  <c r="AA871" s="26"/>
      <c r="AB871" s="26"/>
      <c r="AC871" s="26"/>
      <c r="AD871" s="26"/>
      <c r="AE871" s="26"/>
      <c r="AF871" s="26"/>
      <c r="AG871" s="26"/>
      <c r="AH871" s="26"/>
      <c r="AI871" s="26"/>
      <c r="AJ871" s="26"/>
      <c r="AK871" s="26"/>
      <c r="AL871" s="26"/>
      <c r="AM871" s="26"/>
      <c r="AN871" s="26"/>
      <c r="AO871" s="26"/>
      <c r="AP871" s="26"/>
      <c r="AQ871" s="26"/>
      <c r="AR871" s="26"/>
      <c r="AS871" s="26"/>
      <c r="AT871" s="26"/>
      <c r="AU871" s="26"/>
      <c r="AV871" s="26"/>
      <c r="AW871" s="26"/>
      <c r="AX871" s="26"/>
      <c r="AY871" s="26"/>
      <c r="AZ871" s="26"/>
      <c r="BA871" s="26"/>
      <c r="BB871" s="26"/>
      <c r="BC871" s="26"/>
      <c r="BD871" s="26"/>
      <c r="BE871" s="26"/>
      <c r="BF871" s="26"/>
      <c r="BG871" s="26"/>
      <c r="BH871" s="26"/>
      <c r="BI871" s="26"/>
    </row>
    <row r="872" ht="14.25" customHeight="1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  <c r="AA872" s="26"/>
      <c r="AB872" s="26"/>
      <c r="AC872" s="26"/>
      <c r="AD872" s="26"/>
      <c r="AE872" s="26"/>
      <c r="AF872" s="26"/>
      <c r="AG872" s="26"/>
      <c r="AH872" s="26"/>
      <c r="AI872" s="26"/>
      <c r="AJ872" s="26"/>
      <c r="AK872" s="26"/>
      <c r="AL872" s="26"/>
      <c r="AM872" s="26"/>
      <c r="AN872" s="26"/>
      <c r="AO872" s="26"/>
      <c r="AP872" s="26"/>
      <c r="AQ872" s="26"/>
      <c r="AR872" s="26"/>
      <c r="AS872" s="26"/>
      <c r="AT872" s="26"/>
      <c r="AU872" s="26"/>
      <c r="AV872" s="26"/>
      <c r="AW872" s="26"/>
      <c r="AX872" s="26"/>
      <c r="AY872" s="26"/>
      <c r="AZ872" s="26"/>
      <c r="BA872" s="26"/>
      <c r="BB872" s="26"/>
      <c r="BC872" s="26"/>
      <c r="BD872" s="26"/>
      <c r="BE872" s="26"/>
      <c r="BF872" s="26"/>
      <c r="BG872" s="26"/>
      <c r="BH872" s="26"/>
      <c r="BI872" s="26"/>
    </row>
    <row r="873" ht="14.25" customHeight="1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  <c r="AA873" s="26"/>
      <c r="AB873" s="26"/>
      <c r="AC873" s="26"/>
      <c r="AD873" s="26"/>
      <c r="AE873" s="26"/>
      <c r="AF873" s="26"/>
      <c r="AG873" s="26"/>
      <c r="AH873" s="26"/>
      <c r="AI873" s="26"/>
      <c r="AJ873" s="26"/>
      <c r="AK873" s="26"/>
      <c r="AL873" s="26"/>
      <c r="AM873" s="26"/>
      <c r="AN873" s="26"/>
      <c r="AO873" s="26"/>
      <c r="AP873" s="26"/>
      <c r="AQ873" s="26"/>
      <c r="AR873" s="26"/>
      <c r="AS873" s="26"/>
      <c r="AT873" s="26"/>
      <c r="AU873" s="26"/>
      <c r="AV873" s="26"/>
      <c r="AW873" s="26"/>
      <c r="AX873" s="26"/>
      <c r="AY873" s="26"/>
      <c r="AZ873" s="26"/>
      <c r="BA873" s="26"/>
      <c r="BB873" s="26"/>
      <c r="BC873" s="26"/>
      <c r="BD873" s="26"/>
      <c r="BE873" s="26"/>
      <c r="BF873" s="26"/>
      <c r="BG873" s="26"/>
      <c r="BH873" s="26"/>
      <c r="BI873" s="26"/>
    </row>
    <row r="874" ht="14.25" customHeight="1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  <c r="AA874" s="26"/>
      <c r="AB874" s="26"/>
      <c r="AC874" s="26"/>
      <c r="AD874" s="26"/>
      <c r="AE874" s="26"/>
      <c r="AF874" s="26"/>
      <c r="AG874" s="26"/>
      <c r="AH874" s="26"/>
      <c r="AI874" s="26"/>
      <c r="AJ874" s="26"/>
      <c r="AK874" s="26"/>
      <c r="AL874" s="26"/>
      <c r="AM874" s="26"/>
      <c r="AN874" s="26"/>
      <c r="AO874" s="26"/>
      <c r="AP874" s="26"/>
      <c r="AQ874" s="26"/>
      <c r="AR874" s="26"/>
      <c r="AS874" s="26"/>
      <c r="AT874" s="26"/>
      <c r="AU874" s="26"/>
      <c r="AV874" s="26"/>
      <c r="AW874" s="26"/>
      <c r="AX874" s="26"/>
      <c r="AY874" s="26"/>
      <c r="AZ874" s="26"/>
      <c r="BA874" s="26"/>
      <c r="BB874" s="26"/>
      <c r="BC874" s="26"/>
      <c r="BD874" s="26"/>
      <c r="BE874" s="26"/>
      <c r="BF874" s="26"/>
      <c r="BG874" s="26"/>
      <c r="BH874" s="26"/>
      <c r="BI874" s="26"/>
    </row>
    <row r="875" ht="14.25" customHeight="1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  <c r="AA875" s="26"/>
      <c r="AB875" s="26"/>
      <c r="AC875" s="26"/>
      <c r="AD875" s="26"/>
      <c r="AE875" s="26"/>
      <c r="AF875" s="26"/>
      <c r="AG875" s="26"/>
      <c r="AH875" s="26"/>
      <c r="AI875" s="26"/>
      <c r="AJ875" s="26"/>
      <c r="AK875" s="26"/>
      <c r="AL875" s="26"/>
      <c r="AM875" s="26"/>
      <c r="AN875" s="26"/>
      <c r="AO875" s="26"/>
      <c r="AP875" s="26"/>
      <c r="AQ875" s="26"/>
      <c r="AR875" s="26"/>
      <c r="AS875" s="26"/>
      <c r="AT875" s="26"/>
      <c r="AU875" s="26"/>
      <c r="AV875" s="26"/>
      <c r="AW875" s="26"/>
      <c r="AX875" s="26"/>
      <c r="AY875" s="26"/>
      <c r="AZ875" s="26"/>
      <c r="BA875" s="26"/>
      <c r="BB875" s="26"/>
      <c r="BC875" s="26"/>
      <c r="BD875" s="26"/>
      <c r="BE875" s="26"/>
      <c r="BF875" s="26"/>
      <c r="BG875" s="26"/>
      <c r="BH875" s="26"/>
      <c r="BI875" s="26"/>
    </row>
    <row r="876" ht="14.25" customHeight="1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  <c r="AA876" s="26"/>
      <c r="AB876" s="26"/>
      <c r="AC876" s="26"/>
      <c r="AD876" s="26"/>
      <c r="AE876" s="26"/>
      <c r="AF876" s="26"/>
      <c r="AG876" s="26"/>
      <c r="AH876" s="26"/>
      <c r="AI876" s="26"/>
      <c r="AJ876" s="26"/>
      <c r="AK876" s="26"/>
      <c r="AL876" s="26"/>
      <c r="AM876" s="26"/>
      <c r="AN876" s="26"/>
      <c r="AO876" s="26"/>
      <c r="AP876" s="26"/>
      <c r="AQ876" s="26"/>
      <c r="AR876" s="26"/>
      <c r="AS876" s="26"/>
      <c r="AT876" s="26"/>
      <c r="AU876" s="26"/>
      <c r="AV876" s="26"/>
      <c r="AW876" s="26"/>
      <c r="AX876" s="26"/>
      <c r="AY876" s="26"/>
      <c r="AZ876" s="26"/>
      <c r="BA876" s="26"/>
      <c r="BB876" s="26"/>
      <c r="BC876" s="26"/>
      <c r="BD876" s="26"/>
      <c r="BE876" s="26"/>
      <c r="BF876" s="26"/>
      <c r="BG876" s="26"/>
      <c r="BH876" s="26"/>
      <c r="BI876" s="26"/>
    </row>
    <row r="877" ht="14.25" customHeight="1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  <c r="AA877" s="26"/>
      <c r="AB877" s="26"/>
      <c r="AC877" s="26"/>
      <c r="AD877" s="26"/>
      <c r="AE877" s="26"/>
      <c r="AF877" s="26"/>
      <c r="AG877" s="26"/>
      <c r="AH877" s="26"/>
      <c r="AI877" s="26"/>
      <c r="AJ877" s="26"/>
      <c r="AK877" s="26"/>
      <c r="AL877" s="26"/>
      <c r="AM877" s="26"/>
      <c r="AN877" s="26"/>
      <c r="AO877" s="26"/>
      <c r="AP877" s="26"/>
      <c r="AQ877" s="26"/>
      <c r="AR877" s="26"/>
      <c r="AS877" s="26"/>
      <c r="AT877" s="26"/>
      <c r="AU877" s="26"/>
      <c r="AV877" s="26"/>
      <c r="AW877" s="26"/>
      <c r="AX877" s="26"/>
      <c r="AY877" s="26"/>
      <c r="AZ877" s="26"/>
      <c r="BA877" s="26"/>
      <c r="BB877" s="26"/>
      <c r="BC877" s="26"/>
      <c r="BD877" s="26"/>
      <c r="BE877" s="26"/>
      <c r="BF877" s="26"/>
      <c r="BG877" s="26"/>
      <c r="BH877" s="26"/>
      <c r="BI877" s="26"/>
    </row>
    <row r="878" ht="14.25" customHeight="1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  <c r="AA878" s="26"/>
      <c r="AB878" s="26"/>
      <c r="AC878" s="26"/>
      <c r="AD878" s="26"/>
      <c r="AE878" s="26"/>
      <c r="AF878" s="26"/>
      <c r="AG878" s="26"/>
      <c r="AH878" s="26"/>
      <c r="AI878" s="26"/>
      <c r="AJ878" s="26"/>
      <c r="AK878" s="26"/>
      <c r="AL878" s="26"/>
      <c r="AM878" s="26"/>
      <c r="AN878" s="26"/>
      <c r="AO878" s="26"/>
      <c r="AP878" s="26"/>
      <c r="AQ878" s="26"/>
      <c r="AR878" s="26"/>
      <c r="AS878" s="26"/>
      <c r="AT878" s="26"/>
      <c r="AU878" s="26"/>
      <c r="AV878" s="26"/>
      <c r="AW878" s="26"/>
      <c r="AX878" s="26"/>
      <c r="AY878" s="26"/>
      <c r="AZ878" s="26"/>
      <c r="BA878" s="26"/>
      <c r="BB878" s="26"/>
      <c r="BC878" s="26"/>
      <c r="BD878" s="26"/>
      <c r="BE878" s="26"/>
      <c r="BF878" s="26"/>
      <c r="BG878" s="26"/>
      <c r="BH878" s="26"/>
      <c r="BI878" s="26"/>
    </row>
    <row r="879" ht="14.25" customHeight="1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  <c r="AA879" s="26"/>
      <c r="AB879" s="26"/>
      <c r="AC879" s="26"/>
      <c r="AD879" s="26"/>
      <c r="AE879" s="26"/>
      <c r="AF879" s="26"/>
      <c r="AG879" s="26"/>
      <c r="AH879" s="26"/>
      <c r="AI879" s="26"/>
      <c r="AJ879" s="26"/>
      <c r="AK879" s="26"/>
      <c r="AL879" s="26"/>
      <c r="AM879" s="26"/>
      <c r="AN879" s="26"/>
      <c r="AO879" s="26"/>
      <c r="AP879" s="26"/>
      <c r="AQ879" s="26"/>
      <c r="AR879" s="26"/>
      <c r="AS879" s="26"/>
      <c r="AT879" s="26"/>
      <c r="AU879" s="26"/>
      <c r="AV879" s="26"/>
      <c r="AW879" s="26"/>
      <c r="AX879" s="26"/>
      <c r="AY879" s="26"/>
      <c r="AZ879" s="26"/>
      <c r="BA879" s="26"/>
      <c r="BB879" s="26"/>
      <c r="BC879" s="26"/>
      <c r="BD879" s="26"/>
      <c r="BE879" s="26"/>
      <c r="BF879" s="26"/>
      <c r="BG879" s="26"/>
      <c r="BH879" s="26"/>
      <c r="BI879" s="26"/>
    </row>
    <row r="880" ht="14.25" customHeight="1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  <c r="AA880" s="26"/>
      <c r="AB880" s="26"/>
      <c r="AC880" s="26"/>
      <c r="AD880" s="26"/>
      <c r="AE880" s="26"/>
      <c r="AF880" s="26"/>
      <c r="AG880" s="26"/>
      <c r="AH880" s="26"/>
      <c r="AI880" s="26"/>
      <c r="AJ880" s="26"/>
      <c r="AK880" s="26"/>
      <c r="AL880" s="26"/>
      <c r="AM880" s="26"/>
      <c r="AN880" s="26"/>
      <c r="AO880" s="26"/>
      <c r="AP880" s="26"/>
      <c r="AQ880" s="26"/>
      <c r="AR880" s="26"/>
      <c r="AS880" s="26"/>
      <c r="AT880" s="26"/>
      <c r="AU880" s="26"/>
      <c r="AV880" s="26"/>
      <c r="AW880" s="26"/>
      <c r="AX880" s="26"/>
      <c r="AY880" s="26"/>
      <c r="AZ880" s="26"/>
      <c r="BA880" s="26"/>
      <c r="BB880" s="26"/>
      <c r="BC880" s="26"/>
      <c r="BD880" s="26"/>
      <c r="BE880" s="26"/>
      <c r="BF880" s="26"/>
      <c r="BG880" s="26"/>
      <c r="BH880" s="26"/>
      <c r="BI880" s="26"/>
    </row>
    <row r="881" ht="14.25" customHeight="1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  <c r="AA881" s="26"/>
      <c r="AB881" s="26"/>
      <c r="AC881" s="26"/>
      <c r="AD881" s="26"/>
      <c r="AE881" s="26"/>
      <c r="AF881" s="26"/>
      <c r="AG881" s="26"/>
      <c r="AH881" s="26"/>
      <c r="AI881" s="26"/>
      <c r="AJ881" s="26"/>
      <c r="AK881" s="26"/>
      <c r="AL881" s="26"/>
      <c r="AM881" s="26"/>
      <c r="AN881" s="26"/>
      <c r="AO881" s="26"/>
      <c r="AP881" s="26"/>
      <c r="AQ881" s="26"/>
      <c r="AR881" s="26"/>
      <c r="AS881" s="26"/>
      <c r="AT881" s="26"/>
      <c r="AU881" s="26"/>
      <c r="AV881" s="26"/>
      <c r="AW881" s="26"/>
      <c r="AX881" s="26"/>
      <c r="AY881" s="26"/>
      <c r="AZ881" s="26"/>
      <c r="BA881" s="26"/>
      <c r="BB881" s="26"/>
      <c r="BC881" s="26"/>
      <c r="BD881" s="26"/>
      <c r="BE881" s="26"/>
      <c r="BF881" s="26"/>
      <c r="BG881" s="26"/>
      <c r="BH881" s="26"/>
      <c r="BI881" s="26"/>
    </row>
    <row r="882" ht="14.25" customHeight="1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  <c r="AA882" s="26"/>
      <c r="AB882" s="26"/>
      <c r="AC882" s="26"/>
      <c r="AD882" s="26"/>
      <c r="AE882" s="26"/>
      <c r="AF882" s="26"/>
      <c r="AG882" s="26"/>
      <c r="AH882" s="26"/>
      <c r="AI882" s="26"/>
      <c r="AJ882" s="26"/>
      <c r="AK882" s="26"/>
      <c r="AL882" s="26"/>
      <c r="AM882" s="26"/>
      <c r="AN882" s="26"/>
      <c r="AO882" s="26"/>
      <c r="AP882" s="26"/>
      <c r="AQ882" s="26"/>
      <c r="AR882" s="26"/>
      <c r="AS882" s="26"/>
      <c r="AT882" s="26"/>
      <c r="AU882" s="26"/>
      <c r="AV882" s="26"/>
      <c r="AW882" s="26"/>
      <c r="AX882" s="26"/>
      <c r="AY882" s="26"/>
      <c r="AZ882" s="26"/>
      <c r="BA882" s="26"/>
      <c r="BB882" s="26"/>
      <c r="BC882" s="26"/>
      <c r="BD882" s="26"/>
      <c r="BE882" s="26"/>
      <c r="BF882" s="26"/>
      <c r="BG882" s="26"/>
      <c r="BH882" s="26"/>
      <c r="BI882" s="26"/>
    </row>
    <row r="883" ht="14.25" customHeight="1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  <c r="AA883" s="26"/>
      <c r="AB883" s="26"/>
      <c r="AC883" s="26"/>
      <c r="AD883" s="26"/>
      <c r="AE883" s="26"/>
      <c r="AF883" s="26"/>
      <c r="AG883" s="26"/>
      <c r="AH883" s="26"/>
      <c r="AI883" s="26"/>
      <c r="AJ883" s="26"/>
      <c r="AK883" s="26"/>
      <c r="AL883" s="26"/>
      <c r="AM883" s="26"/>
      <c r="AN883" s="26"/>
      <c r="AO883" s="26"/>
      <c r="AP883" s="26"/>
      <c r="AQ883" s="26"/>
      <c r="AR883" s="26"/>
      <c r="AS883" s="26"/>
      <c r="AT883" s="26"/>
      <c r="AU883" s="26"/>
      <c r="AV883" s="26"/>
      <c r="AW883" s="26"/>
      <c r="AX883" s="26"/>
      <c r="AY883" s="26"/>
      <c r="AZ883" s="26"/>
      <c r="BA883" s="26"/>
      <c r="BB883" s="26"/>
      <c r="BC883" s="26"/>
      <c r="BD883" s="26"/>
      <c r="BE883" s="26"/>
      <c r="BF883" s="26"/>
      <c r="BG883" s="26"/>
      <c r="BH883" s="26"/>
      <c r="BI883" s="26"/>
    </row>
    <row r="884" ht="14.25" customHeight="1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  <c r="AA884" s="26"/>
      <c r="AB884" s="26"/>
      <c r="AC884" s="26"/>
      <c r="AD884" s="26"/>
      <c r="AE884" s="26"/>
      <c r="AF884" s="26"/>
      <c r="AG884" s="26"/>
      <c r="AH884" s="26"/>
      <c r="AI884" s="26"/>
      <c r="AJ884" s="26"/>
      <c r="AK884" s="26"/>
      <c r="AL884" s="26"/>
      <c r="AM884" s="26"/>
      <c r="AN884" s="26"/>
      <c r="AO884" s="26"/>
      <c r="AP884" s="26"/>
      <c r="AQ884" s="26"/>
      <c r="AR884" s="26"/>
      <c r="AS884" s="26"/>
      <c r="AT884" s="26"/>
      <c r="AU884" s="26"/>
      <c r="AV884" s="26"/>
      <c r="AW884" s="26"/>
      <c r="AX884" s="26"/>
      <c r="AY884" s="26"/>
      <c r="AZ884" s="26"/>
      <c r="BA884" s="26"/>
      <c r="BB884" s="26"/>
      <c r="BC884" s="26"/>
      <c r="BD884" s="26"/>
      <c r="BE884" s="26"/>
      <c r="BF884" s="26"/>
      <c r="BG884" s="26"/>
      <c r="BH884" s="26"/>
      <c r="BI884" s="26"/>
    </row>
    <row r="885" ht="14.25" customHeight="1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  <c r="AA885" s="26"/>
      <c r="AB885" s="26"/>
      <c r="AC885" s="26"/>
      <c r="AD885" s="26"/>
      <c r="AE885" s="26"/>
      <c r="AF885" s="26"/>
      <c r="AG885" s="26"/>
      <c r="AH885" s="26"/>
      <c r="AI885" s="26"/>
      <c r="AJ885" s="26"/>
      <c r="AK885" s="26"/>
      <c r="AL885" s="26"/>
      <c r="AM885" s="26"/>
      <c r="AN885" s="26"/>
      <c r="AO885" s="26"/>
      <c r="AP885" s="26"/>
      <c r="AQ885" s="26"/>
      <c r="AR885" s="26"/>
      <c r="AS885" s="26"/>
      <c r="AT885" s="26"/>
      <c r="AU885" s="26"/>
      <c r="AV885" s="26"/>
      <c r="AW885" s="26"/>
      <c r="AX885" s="26"/>
      <c r="AY885" s="26"/>
      <c r="AZ885" s="26"/>
      <c r="BA885" s="26"/>
      <c r="BB885" s="26"/>
      <c r="BC885" s="26"/>
      <c r="BD885" s="26"/>
      <c r="BE885" s="26"/>
      <c r="BF885" s="26"/>
      <c r="BG885" s="26"/>
      <c r="BH885" s="26"/>
      <c r="BI885" s="26"/>
    </row>
    <row r="886" ht="14.25" customHeight="1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  <c r="AA886" s="26"/>
      <c r="AB886" s="26"/>
      <c r="AC886" s="26"/>
      <c r="AD886" s="26"/>
      <c r="AE886" s="26"/>
      <c r="AF886" s="26"/>
      <c r="AG886" s="26"/>
      <c r="AH886" s="26"/>
      <c r="AI886" s="26"/>
      <c r="AJ886" s="26"/>
      <c r="AK886" s="26"/>
      <c r="AL886" s="26"/>
      <c r="AM886" s="26"/>
      <c r="AN886" s="26"/>
      <c r="AO886" s="26"/>
      <c r="AP886" s="26"/>
      <c r="AQ886" s="26"/>
      <c r="AR886" s="26"/>
      <c r="AS886" s="26"/>
      <c r="AT886" s="26"/>
      <c r="AU886" s="26"/>
      <c r="AV886" s="26"/>
      <c r="AW886" s="26"/>
      <c r="AX886" s="26"/>
      <c r="AY886" s="26"/>
      <c r="AZ886" s="26"/>
      <c r="BA886" s="26"/>
      <c r="BB886" s="26"/>
      <c r="BC886" s="26"/>
      <c r="BD886" s="26"/>
      <c r="BE886" s="26"/>
      <c r="BF886" s="26"/>
      <c r="BG886" s="26"/>
      <c r="BH886" s="26"/>
      <c r="BI886" s="26"/>
    </row>
    <row r="887" ht="14.25" customHeight="1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  <c r="AA887" s="26"/>
      <c r="AB887" s="26"/>
      <c r="AC887" s="26"/>
      <c r="AD887" s="26"/>
      <c r="AE887" s="26"/>
      <c r="AF887" s="26"/>
      <c r="AG887" s="26"/>
      <c r="AH887" s="26"/>
      <c r="AI887" s="26"/>
      <c r="AJ887" s="26"/>
      <c r="AK887" s="26"/>
      <c r="AL887" s="26"/>
      <c r="AM887" s="26"/>
      <c r="AN887" s="26"/>
      <c r="AO887" s="26"/>
      <c r="AP887" s="26"/>
      <c r="AQ887" s="26"/>
      <c r="AR887" s="26"/>
      <c r="AS887" s="26"/>
      <c r="AT887" s="26"/>
      <c r="AU887" s="26"/>
      <c r="AV887" s="26"/>
      <c r="AW887" s="26"/>
      <c r="AX887" s="26"/>
      <c r="AY887" s="26"/>
      <c r="AZ887" s="26"/>
      <c r="BA887" s="26"/>
      <c r="BB887" s="26"/>
      <c r="BC887" s="26"/>
      <c r="BD887" s="26"/>
      <c r="BE887" s="26"/>
      <c r="BF887" s="26"/>
      <c r="BG887" s="26"/>
      <c r="BH887" s="26"/>
      <c r="BI887" s="26"/>
    </row>
    <row r="888" ht="14.25" customHeight="1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  <c r="AA888" s="26"/>
      <c r="AB888" s="26"/>
      <c r="AC888" s="26"/>
      <c r="AD888" s="26"/>
      <c r="AE888" s="26"/>
      <c r="AF888" s="26"/>
      <c r="AG888" s="26"/>
      <c r="AH888" s="26"/>
      <c r="AI888" s="26"/>
      <c r="AJ888" s="26"/>
      <c r="AK888" s="26"/>
      <c r="AL888" s="26"/>
      <c r="AM888" s="26"/>
      <c r="AN888" s="26"/>
      <c r="AO888" s="26"/>
      <c r="AP888" s="26"/>
      <c r="AQ888" s="26"/>
      <c r="AR888" s="26"/>
      <c r="AS888" s="26"/>
      <c r="AT888" s="26"/>
      <c r="AU888" s="26"/>
      <c r="AV888" s="26"/>
      <c r="AW888" s="26"/>
      <c r="AX888" s="26"/>
      <c r="AY888" s="26"/>
      <c r="AZ888" s="26"/>
      <c r="BA888" s="26"/>
      <c r="BB888" s="26"/>
      <c r="BC888" s="26"/>
      <c r="BD888" s="26"/>
      <c r="BE888" s="26"/>
      <c r="BF888" s="26"/>
      <c r="BG888" s="26"/>
      <c r="BH888" s="26"/>
      <c r="BI888" s="26"/>
    </row>
    <row r="889" ht="14.25" customHeight="1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  <c r="AA889" s="26"/>
      <c r="AB889" s="26"/>
      <c r="AC889" s="26"/>
      <c r="AD889" s="26"/>
      <c r="AE889" s="26"/>
      <c r="AF889" s="26"/>
      <c r="AG889" s="26"/>
      <c r="AH889" s="26"/>
      <c r="AI889" s="26"/>
      <c r="AJ889" s="26"/>
      <c r="AK889" s="26"/>
      <c r="AL889" s="26"/>
      <c r="AM889" s="26"/>
      <c r="AN889" s="26"/>
      <c r="AO889" s="26"/>
      <c r="AP889" s="26"/>
      <c r="AQ889" s="26"/>
      <c r="AR889" s="26"/>
      <c r="AS889" s="26"/>
      <c r="AT889" s="26"/>
      <c r="AU889" s="26"/>
      <c r="AV889" s="26"/>
      <c r="AW889" s="26"/>
      <c r="AX889" s="26"/>
      <c r="AY889" s="26"/>
      <c r="AZ889" s="26"/>
      <c r="BA889" s="26"/>
      <c r="BB889" s="26"/>
      <c r="BC889" s="26"/>
      <c r="BD889" s="26"/>
      <c r="BE889" s="26"/>
      <c r="BF889" s="26"/>
      <c r="BG889" s="26"/>
      <c r="BH889" s="26"/>
      <c r="BI889" s="26"/>
    </row>
    <row r="890" ht="14.25" customHeight="1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  <c r="AA890" s="26"/>
      <c r="AB890" s="26"/>
      <c r="AC890" s="26"/>
      <c r="AD890" s="26"/>
      <c r="AE890" s="26"/>
      <c r="AF890" s="26"/>
      <c r="AG890" s="26"/>
      <c r="AH890" s="26"/>
      <c r="AI890" s="26"/>
      <c r="AJ890" s="26"/>
      <c r="AK890" s="26"/>
      <c r="AL890" s="26"/>
      <c r="AM890" s="26"/>
      <c r="AN890" s="26"/>
      <c r="AO890" s="26"/>
      <c r="AP890" s="26"/>
      <c r="AQ890" s="26"/>
      <c r="AR890" s="26"/>
      <c r="AS890" s="26"/>
      <c r="AT890" s="26"/>
      <c r="AU890" s="26"/>
      <c r="AV890" s="26"/>
      <c r="AW890" s="26"/>
      <c r="AX890" s="26"/>
      <c r="AY890" s="26"/>
      <c r="AZ890" s="26"/>
      <c r="BA890" s="26"/>
      <c r="BB890" s="26"/>
      <c r="BC890" s="26"/>
      <c r="BD890" s="26"/>
      <c r="BE890" s="26"/>
      <c r="BF890" s="26"/>
      <c r="BG890" s="26"/>
      <c r="BH890" s="26"/>
      <c r="BI890" s="26"/>
    </row>
    <row r="891" ht="14.25" customHeight="1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  <c r="AA891" s="26"/>
      <c r="AB891" s="26"/>
      <c r="AC891" s="26"/>
      <c r="AD891" s="26"/>
      <c r="AE891" s="26"/>
      <c r="AF891" s="26"/>
      <c r="AG891" s="26"/>
      <c r="AH891" s="26"/>
      <c r="AI891" s="26"/>
      <c r="AJ891" s="26"/>
      <c r="AK891" s="26"/>
      <c r="AL891" s="26"/>
      <c r="AM891" s="26"/>
      <c r="AN891" s="26"/>
      <c r="AO891" s="26"/>
      <c r="AP891" s="26"/>
      <c r="AQ891" s="26"/>
      <c r="AR891" s="26"/>
      <c r="AS891" s="26"/>
      <c r="AT891" s="26"/>
      <c r="AU891" s="26"/>
      <c r="AV891" s="26"/>
      <c r="AW891" s="26"/>
      <c r="AX891" s="26"/>
      <c r="AY891" s="26"/>
      <c r="AZ891" s="26"/>
      <c r="BA891" s="26"/>
      <c r="BB891" s="26"/>
      <c r="BC891" s="26"/>
      <c r="BD891" s="26"/>
      <c r="BE891" s="26"/>
      <c r="BF891" s="26"/>
      <c r="BG891" s="26"/>
      <c r="BH891" s="26"/>
      <c r="BI891" s="26"/>
    </row>
    <row r="892" ht="14.25" customHeight="1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  <c r="AA892" s="26"/>
      <c r="AB892" s="26"/>
      <c r="AC892" s="26"/>
      <c r="AD892" s="26"/>
      <c r="AE892" s="26"/>
      <c r="AF892" s="26"/>
      <c r="AG892" s="26"/>
      <c r="AH892" s="26"/>
      <c r="AI892" s="26"/>
      <c r="AJ892" s="26"/>
      <c r="AK892" s="26"/>
      <c r="AL892" s="26"/>
      <c r="AM892" s="26"/>
      <c r="AN892" s="26"/>
      <c r="AO892" s="26"/>
      <c r="AP892" s="26"/>
      <c r="AQ892" s="26"/>
      <c r="AR892" s="26"/>
      <c r="AS892" s="26"/>
      <c r="AT892" s="26"/>
      <c r="AU892" s="26"/>
      <c r="AV892" s="26"/>
      <c r="AW892" s="26"/>
      <c r="AX892" s="26"/>
      <c r="AY892" s="26"/>
      <c r="AZ892" s="26"/>
      <c r="BA892" s="26"/>
      <c r="BB892" s="26"/>
      <c r="BC892" s="26"/>
      <c r="BD892" s="26"/>
      <c r="BE892" s="26"/>
      <c r="BF892" s="26"/>
      <c r="BG892" s="26"/>
      <c r="BH892" s="26"/>
      <c r="BI892" s="26"/>
    </row>
    <row r="893" ht="14.25" customHeight="1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  <c r="AA893" s="26"/>
      <c r="AB893" s="26"/>
      <c r="AC893" s="26"/>
      <c r="AD893" s="26"/>
      <c r="AE893" s="26"/>
      <c r="AF893" s="26"/>
      <c r="AG893" s="26"/>
      <c r="AH893" s="26"/>
      <c r="AI893" s="26"/>
      <c r="AJ893" s="26"/>
      <c r="AK893" s="26"/>
      <c r="AL893" s="26"/>
      <c r="AM893" s="26"/>
      <c r="AN893" s="26"/>
      <c r="AO893" s="26"/>
      <c r="AP893" s="26"/>
      <c r="AQ893" s="26"/>
      <c r="AR893" s="26"/>
      <c r="AS893" s="26"/>
      <c r="AT893" s="26"/>
      <c r="AU893" s="26"/>
      <c r="AV893" s="26"/>
      <c r="AW893" s="26"/>
      <c r="AX893" s="26"/>
      <c r="AY893" s="26"/>
      <c r="AZ893" s="26"/>
      <c r="BA893" s="26"/>
      <c r="BB893" s="26"/>
      <c r="BC893" s="26"/>
      <c r="BD893" s="26"/>
      <c r="BE893" s="26"/>
      <c r="BF893" s="26"/>
      <c r="BG893" s="26"/>
      <c r="BH893" s="26"/>
      <c r="BI893" s="26"/>
    </row>
    <row r="894" ht="14.25" customHeight="1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  <c r="AA894" s="26"/>
      <c r="AB894" s="26"/>
      <c r="AC894" s="26"/>
      <c r="AD894" s="26"/>
      <c r="AE894" s="26"/>
      <c r="AF894" s="26"/>
      <c r="AG894" s="26"/>
      <c r="AH894" s="26"/>
      <c r="AI894" s="26"/>
      <c r="AJ894" s="26"/>
      <c r="AK894" s="26"/>
      <c r="AL894" s="26"/>
      <c r="AM894" s="26"/>
      <c r="AN894" s="26"/>
      <c r="AO894" s="26"/>
      <c r="AP894" s="26"/>
      <c r="AQ894" s="26"/>
      <c r="AR894" s="26"/>
      <c r="AS894" s="26"/>
      <c r="AT894" s="26"/>
      <c r="AU894" s="26"/>
      <c r="AV894" s="26"/>
      <c r="AW894" s="26"/>
      <c r="AX894" s="26"/>
      <c r="AY894" s="26"/>
      <c r="AZ894" s="26"/>
      <c r="BA894" s="26"/>
      <c r="BB894" s="26"/>
      <c r="BC894" s="26"/>
      <c r="BD894" s="26"/>
      <c r="BE894" s="26"/>
      <c r="BF894" s="26"/>
      <c r="BG894" s="26"/>
      <c r="BH894" s="26"/>
      <c r="BI894" s="26"/>
    </row>
    <row r="895" ht="14.25" customHeight="1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  <c r="AA895" s="26"/>
      <c r="AB895" s="26"/>
      <c r="AC895" s="26"/>
      <c r="AD895" s="26"/>
      <c r="AE895" s="26"/>
      <c r="AF895" s="26"/>
      <c r="AG895" s="26"/>
      <c r="AH895" s="26"/>
      <c r="AI895" s="26"/>
      <c r="AJ895" s="26"/>
      <c r="AK895" s="26"/>
      <c r="AL895" s="26"/>
      <c r="AM895" s="26"/>
      <c r="AN895" s="26"/>
      <c r="AO895" s="26"/>
      <c r="AP895" s="26"/>
      <c r="AQ895" s="26"/>
      <c r="AR895" s="26"/>
      <c r="AS895" s="26"/>
      <c r="AT895" s="26"/>
      <c r="AU895" s="26"/>
      <c r="AV895" s="26"/>
      <c r="AW895" s="26"/>
      <c r="AX895" s="26"/>
      <c r="AY895" s="26"/>
      <c r="AZ895" s="26"/>
      <c r="BA895" s="26"/>
      <c r="BB895" s="26"/>
      <c r="BC895" s="26"/>
      <c r="BD895" s="26"/>
      <c r="BE895" s="26"/>
      <c r="BF895" s="26"/>
      <c r="BG895" s="26"/>
      <c r="BH895" s="26"/>
      <c r="BI895" s="26"/>
    </row>
    <row r="896" ht="14.25" customHeight="1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  <c r="AA896" s="26"/>
      <c r="AB896" s="26"/>
      <c r="AC896" s="26"/>
      <c r="AD896" s="26"/>
      <c r="AE896" s="26"/>
      <c r="AF896" s="26"/>
      <c r="AG896" s="26"/>
      <c r="AH896" s="26"/>
      <c r="AI896" s="26"/>
      <c r="AJ896" s="26"/>
      <c r="AK896" s="26"/>
      <c r="AL896" s="26"/>
      <c r="AM896" s="26"/>
      <c r="AN896" s="26"/>
      <c r="AO896" s="26"/>
      <c r="AP896" s="26"/>
      <c r="AQ896" s="26"/>
      <c r="AR896" s="26"/>
      <c r="AS896" s="26"/>
      <c r="AT896" s="26"/>
      <c r="AU896" s="26"/>
      <c r="AV896" s="26"/>
      <c r="AW896" s="26"/>
      <c r="AX896" s="26"/>
      <c r="AY896" s="26"/>
      <c r="AZ896" s="26"/>
      <c r="BA896" s="26"/>
      <c r="BB896" s="26"/>
      <c r="BC896" s="26"/>
      <c r="BD896" s="26"/>
      <c r="BE896" s="26"/>
      <c r="BF896" s="26"/>
      <c r="BG896" s="26"/>
      <c r="BH896" s="26"/>
      <c r="BI896" s="26"/>
    </row>
    <row r="897" ht="14.25" customHeight="1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  <c r="AA897" s="26"/>
      <c r="AB897" s="26"/>
      <c r="AC897" s="26"/>
      <c r="AD897" s="26"/>
      <c r="AE897" s="26"/>
      <c r="AF897" s="26"/>
      <c r="AG897" s="26"/>
      <c r="AH897" s="26"/>
      <c r="AI897" s="26"/>
      <c r="AJ897" s="26"/>
      <c r="AK897" s="26"/>
      <c r="AL897" s="26"/>
      <c r="AM897" s="26"/>
      <c r="AN897" s="26"/>
      <c r="AO897" s="26"/>
      <c r="AP897" s="26"/>
      <c r="AQ897" s="26"/>
      <c r="AR897" s="26"/>
      <c r="AS897" s="26"/>
      <c r="AT897" s="26"/>
      <c r="AU897" s="26"/>
      <c r="AV897" s="26"/>
      <c r="AW897" s="26"/>
      <c r="AX897" s="26"/>
      <c r="AY897" s="26"/>
      <c r="AZ897" s="26"/>
      <c r="BA897" s="26"/>
      <c r="BB897" s="26"/>
      <c r="BC897" s="26"/>
      <c r="BD897" s="26"/>
      <c r="BE897" s="26"/>
      <c r="BF897" s="26"/>
      <c r="BG897" s="26"/>
      <c r="BH897" s="26"/>
      <c r="BI897" s="26"/>
    </row>
    <row r="898" ht="14.25" customHeight="1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  <c r="AA898" s="26"/>
      <c r="AB898" s="26"/>
      <c r="AC898" s="26"/>
      <c r="AD898" s="26"/>
      <c r="AE898" s="26"/>
      <c r="AF898" s="26"/>
      <c r="AG898" s="26"/>
      <c r="AH898" s="26"/>
      <c r="AI898" s="26"/>
      <c r="AJ898" s="26"/>
      <c r="AK898" s="26"/>
      <c r="AL898" s="26"/>
      <c r="AM898" s="26"/>
      <c r="AN898" s="26"/>
      <c r="AO898" s="26"/>
      <c r="AP898" s="26"/>
      <c r="AQ898" s="26"/>
      <c r="AR898" s="26"/>
      <c r="AS898" s="26"/>
      <c r="AT898" s="26"/>
      <c r="AU898" s="26"/>
      <c r="AV898" s="26"/>
      <c r="AW898" s="26"/>
      <c r="AX898" s="26"/>
      <c r="AY898" s="26"/>
      <c r="AZ898" s="26"/>
      <c r="BA898" s="26"/>
      <c r="BB898" s="26"/>
      <c r="BC898" s="26"/>
      <c r="BD898" s="26"/>
      <c r="BE898" s="26"/>
      <c r="BF898" s="26"/>
      <c r="BG898" s="26"/>
      <c r="BH898" s="26"/>
      <c r="BI898" s="26"/>
    </row>
    <row r="899" ht="14.25" customHeight="1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  <c r="AA899" s="26"/>
      <c r="AB899" s="26"/>
      <c r="AC899" s="26"/>
      <c r="AD899" s="26"/>
      <c r="AE899" s="26"/>
      <c r="AF899" s="26"/>
      <c r="AG899" s="26"/>
      <c r="AH899" s="26"/>
      <c r="AI899" s="26"/>
      <c r="AJ899" s="26"/>
      <c r="AK899" s="26"/>
      <c r="AL899" s="26"/>
      <c r="AM899" s="26"/>
      <c r="AN899" s="26"/>
      <c r="AO899" s="26"/>
      <c r="AP899" s="26"/>
      <c r="AQ899" s="26"/>
      <c r="AR899" s="26"/>
      <c r="AS899" s="26"/>
      <c r="AT899" s="26"/>
      <c r="AU899" s="26"/>
      <c r="AV899" s="26"/>
      <c r="AW899" s="26"/>
      <c r="AX899" s="26"/>
      <c r="AY899" s="26"/>
      <c r="AZ899" s="26"/>
      <c r="BA899" s="26"/>
      <c r="BB899" s="26"/>
      <c r="BC899" s="26"/>
      <c r="BD899" s="26"/>
      <c r="BE899" s="26"/>
      <c r="BF899" s="26"/>
      <c r="BG899" s="26"/>
      <c r="BH899" s="26"/>
      <c r="BI899" s="26"/>
    </row>
    <row r="900" ht="14.25" customHeight="1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  <c r="AA900" s="26"/>
      <c r="AB900" s="26"/>
      <c r="AC900" s="26"/>
      <c r="AD900" s="26"/>
      <c r="AE900" s="26"/>
      <c r="AF900" s="26"/>
      <c r="AG900" s="26"/>
      <c r="AH900" s="26"/>
      <c r="AI900" s="26"/>
      <c r="AJ900" s="26"/>
      <c r="AK900" s="26"/>
      <c r="AL900" s="26"/>
      <c r="AM900" s="26"/>
      <c r="AN900" s="26"/>
      <c r="AO900" s="26"/>
      <c r="AP900" s="26"/>
      <c r="AQ900" s="26"/>
      <c r="AR900" s="26"/>
      <c r="AS900" s="26"/>
      <c r="AT900" s="26"/>
      <c r="AU900" s="26"/>
      <c r="AV900" s="26"/>
      <c r="AW900" s="26"/>
      <c r="AX900" s="26"/>
      <c r="AY900" s="26"/>
      <c r="AZ900" s="26"/>
      <c r="BA900" s="26"/>
      <c r="BB900" s="26"/>
      <c r="BC900" s="26"/>
      <c r="BD900" s="26"/>
      <c r="BE900" s="26"/>
      <c r="BF900" s="26"/>
      <c r="BG900" s="26"/>
      <c r="BH900" s="26"/>
      <c r="BI900" s="26"/>
    </row>
    <row r="901" ht="14.25" customHeight="1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  <c r="AA901" s="26"/>
      <c r="AB901" s="26"/>
      <c r="AC901" s="26"/>
      <c r="AD901" s="26"/>
      <c r="AE901" s="26"/>
      <c r="AF901" s="26"/>
      <c r="AG901" s="26"/>
      <c r="AH901" s="26"/>
      <c r="AI901" s="26"/>
      <c r="AJ901" s="26"/>
      <c r="AK901" s="26"/>
      <c r="AL901" s="26"/>
      <c r="AM901" s="26"/>
      <c r="AN901" s="26"/>
      <c r="AO901" s="26"/>
      <c r="AP901" s="26"/>
      <c r="AQ901" s="26"/>
      <c r="AR901" s="26"/>
      <c r="AS901" s="26"/>
      <c r="AT901" s="26"/>
      <c r="AU901" s="26"/>
      <c r="AV901" s="26"/>
      <c r="AW901" s="26"/>
      <c r="AX901" s="26"/>
      <c r="AY901" s="26"/>
      <c r="AZ901" s="26"/>
      <c r="BA901" s="26"/>
      <c r="BB901" s="26"/>
      <c r="BC901" s="26"/>
      <c r="BD901" s="26"/>
      <c r="BE901" s="26"/>
      <c r="BF901" s="26"/>
      <c r="BG901" s="26"/>
      <c r="BH901" s="26"/>
      <c r="BI901" s="26"/>
    </row>
    <row r="902" ht="14.25" customHeight="1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  <c r="AA902" s="26"/>
      <c r="AB902" s="26"/>
      <c r="AC902" s="26"/>
      <c r="AD902" s="26"/>
      <c r="AE902" s="26"/>
      <c r="AF902" s="26"/>
      <c r="AG902" s="26"/>
      <c r="AH902" s="26"/>
      <c r="AI902" s="26"/>
      <c r="AJ902" s="26"/>
      <c r="AK902" s="26"/>
      <c r="AL902" s="26"/>
      <c r="AM902" s="26"/>
      <c r="AN902" s="26"/>
      <c r="AO902" s="26"/>
      <c r="AP902" s="26"/>
      <c r="AQ902" s="26"/>
      <c r="AR902" s="26"/>
      <c r="AS902" s="26"/>
      <c r="AT902" s="26"/>
      <c r="AU902" s="26"/>
      <c r="AV902" s="26"/>
      <c r="AW902" s="26"/>
      <c r="AX902" s="26"/>
      <c r="AY902" s="26"/>
      <c r="AZ902" s="26"/>
      <c r="BA902" s="26"/>
      <c r="BB902" s="26"/>
      <c r="BC902" s="26"/>
      <c r="BD902" s="26"/>
      <c r="BE902" s="26"/>
      <c r="BF902" s="26"/>
      <c r="BG902" s="26"/>
      <c r="BH902" s="26"/>
      <c r="BI902" s="26"/>
    </row>
    <row r="903" ht="14.25" customHeight="1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  <c r="AA903" s="26"/>
      <c r="AB903" s="26"/>
      <c r="AC903" s="26"/>
      <c r="AD903" s="26"/>
      <c r="AE903" s="26"/>
      <c r="AF903" s="26"/>
      <c r="AG903" s="26"/>
      <c r="AH903" s="26"/>
      <c r="AI903" s="26"/>
      <c r="AJ903" s="26"/>
      <c r="AK903" s="26"/>
      <c r="AL903" s="26"/>
      <c r="AM903" s="26"/>
      <c r="AN903" s="26"/>
      <c r="AO903" s="26"/>
      <c r="AP903" s="26"/>
      <c r="AQ903" s="26"/>
      <c r="AR903" s="26"/>
      <c r="AS903" s="26"/>
      <c r="AT903" s="26"/>
      <c r="AU903" s="26"/>
      <c r="AV903" s="26"/>
      <c r="AW903" s="26"/>
      <c r="AX903" s="26"/>
      <c r="AY903" s="26"/>
      <c r="AZ903" s="26"/>
      <c r="BA903" s="26"/>
      <c r="BB903" s="26"/>
      <c r="BC903" s="26"/>
      <c r="BD903" s="26"/>
      <c r="BE903" s="26"/>
      <c r="BF903" s="26"/>
      <c r="BG903" s="26"/>
      <c r="BH903" s="26"/>
      <c r="BI903" s="26"/>
    </row>
    <row r="904" ht="14.25" customHeight="1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  <c r="AA904" s="26"/>
      <c r="AB904" s="26"/>
      <c r="AC904" s="26"/>
      <c r="AD904" s="26"/>
      <c r="AE904" s="26"/>
      <c r="AF904" s="26"/>
      <c r="AG904" s="26"/>
      <c r="AH904" s="26"/>
      <c r="AI904" s="26"/>
      <c r="AJ904" s="26"/>
      <c r="AK904" s="26"/>
      <c r="AL904" s="26"/>
      <c r="AM904" s="26"/>
      <c r="AN904" s="26"/>
      <c r="AO904" s="26"/>
      <c r="AP904" s="26"/>
      <c r="AQ904" s="26"/>
      <c r="AR904" s="26"/>
      <c r="AS904" s="26"/>
      <c r="AT904" s="26"/>
      <c r="AU904" s="26"/>
      <c r="AV904" s="26"/>
      <c r="AW904" s="26"/>
      <c r="AX904" s="26"/>
      <c r="AY904" s="26"/>
      <c r="AZ904" s="26"/>
      <c r="BA904" s="26"/>
      <c r="BB904" s="26"/>
      <c r="BC904" s="26"/>
      <c r="BD904" s="26"/>
      <c r="BE904" s="26"/>
      <c r="BF904" s="26"/>
      <c r="BG904" s="26"/>
      <c r="BH904" s="26"/>
      <c r="BI904" s="26"/>
    </row>
    <row r="905" ht="14.25" customHeight="1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  <c r="AA905" s="26"/>
      <c r="AB905" s="26"/>
      <c r="AC905" s="26"/>
      <c r="AD905" s="26"/>
      <c r="AE905" s="26"/>
      <c r="AF905" s="26"/>
      <c r="AG905" s="26"/>
      <c r="AH905" s="26"/>
      <c r="AI905" s="26"/>
      <c r="AJ905" s="26"/>
      <c r="AK905" s="26"/>
      <c r="AL905" s="26"/>
      <c r="AM905" s="26"/>
      <c r="AN905" s="26"/>
      <c r="AO905" s="26"/>
      <c r="AP905" s="26"/>
      <c r="AQ905" s="26"/>
      <c r="AR905" s="26"/>
      <c r="AS905" s="26"/>
      <c r="AT905" s="26"/>
      <c r="AU905" s="26"/>
      <c r="AV905" s="26"/>
      <c r="AW905" s="26"/>
      <c r="AX905" s="26"/>
      <c r="AY905" s="26"/>
      <c r="AZ905" s="26"/>
      <c r="BA905" s="26"/>
      <c r="BB905" s="26"/>
      <c r="BC905" s="26"/>
      <c r="BD905" s="26"/>
      <c r="BE905" s="26"/>
      <c r="BF905" s="26"/>
      <c r="BG905" s="26"/>
      <c r="BH905" s="26"/>
      <c r="BI905" s="26"/>
    </row>
    <row r="906" ht="14.25" customHeight="1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  <c r="AA906" s="26"/>
      <c r="AB906" s="26"/>
      <c r="AC906" s="26"/>
      <c r="AD906" s="26"/>
      <c r="AE906" s="26"/>
      <c r="AF906" s="26"/>
      <c r="AG906" s="26"/>
      <c r="AH906" s="26"/>
      <c r="AI906" s="26"/>
      <c r="AJ906" s="26"/>
      <c r="AK906" s="26"/>
      <c r="AL906" s="26"/>
      <c r="AM906" s="26"/>
      <c r="AN906" s="26"/>
      <c r="AO906" s="26"/>
      <c r="AP906" s="26"/>
      <c r="AQ906" s="26"/>
      <c r="AR906" s="26"/>
      <c r="AS906" s="26"/>
      <c r="AT906" s="26"/>
      <c r="AU906" s="26"/>
      <c r="AV906" s="26"/>
      <c r="AW906" s="26"/>
      <c r="AX906" s="26"/>
      <c r="AY906" s="26"/>
      <c r="AZ906" s="26"/>
      <c r="BA906" s="26"/>
      <c r="BB906" s="26"/>
      <c r="BC906" s="26"/>
      <c r="BD906" s="26"/>
      <c r="BE906" s="26"/>
      <c r="BF906" s="26"/>
      <c r="BG906" s="26"/>
      <c r="BH906" s="26"/>
      <c r="BI906" s="26"/>
    </row>
    <row r="907" ht="14.25" customHeight="1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  <c r="AA907" s="26"/>
      <c r="AB907" s="26"/>
      <c r="AC907" s="26"/>
      <c r="AD907" s="26"/>
      <c r="AE907" s="26"/>
      <c r="AF907" s="26"/>
      <c r="AG907" s="26"/>
      <c r="AH907" s="26"/>
      <c r="AI907" s="26"/>
      <c r="AJ907" s="26"/>
      <c r="AK907" s="26"/>
      <c r="AL907" s="26"/>
      <c r="AM907" s="26"/>
      <c r="AN907" s="26"/>
      <c r="AO907" s="26"/>
      <c r="AP907" s="26"/>
      <c r="AQ907" s="26"/>
      <c r="AR907" s="26"/>
      <c r="AS907" s="26"/>
      <c r="AT907" s="26"/>
      <c r="AU907" s="26"/>
      <c r="AV907" s="26"/>
      <c r="AW907" s="26"/>
      <c r="AX907" s="26"/>
      <c r="AY907" s="26"/>
      <c r="AZ907" s="26"/>
      <c r="BA907" s="26"/>
      <c r="BB907" s="26"/>
      <c r="BC907" s="26"/>
      <c r="BD907" s="26"/>
      <c r="BE907" s="26"/>
      <c r="BF907" s="26"/>
      <c r="BG907" s="26"/>
      <c r="BH907" s="26"/>
      <c r="BI907" s="26"/>
    </row>
    <row r="908" ht="14.25" customHeight="1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  <c r="AA908" s="26"/>
      <c r="AB908" s="26"/>
      <c r="AC908" s="26"/>
      <c r="AD908" s="26"/>
      <c r="AE908" s="26"/>
      <c r="AF908" s="26"/>
      <c r="AG908" s="26"/>
      <c r="AH908" s="26"/>
      <c r="AI908" s="26"/>
      <c r="AJ908" s="26"/>
      <c r="AK908" s="26"/>
      <c r="AL908" s="26"/>
      <c r="AM908" s="26"/>
      <c r="AN908" s="26"/>
      <c r="AO908" s="26"/>
      <c r="AP908" s="26"/>
      <c r="AQ908" s="26"/>
      <c r="AR908" s="26"/>
      <c r="AS908" s="26"/>
      <c r="AT908" s="26"/>
      <c r="AU908" s="26"/>
      <c r="AV908" s="26"/>
      <c r="AW908" s="26"/>
      <c r="AX908" s="26"/>
      <c r="AY908" s="26"/>
      <c r="AZ908" s="26"/>
      <c r="BA908" s="26"/>
      <c r="BB908" s="26"/>
      <c r="BC908" s="26"/>
      <c r="BD908" s="26"/>
      <c r="BE908" s="26"/>
      <c r="BF908" s="26"/>
      <c r="BG908" s="26"/>
      <c r="BH908" s="26"/>
      <c r="BI908" s="26"/>
    </row>
    <row r="909" ht="14.25" customHeight="1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  <c r="AA909" s="26"/>
      <c r="AB909" s="26"/>
      <c r="AC909" s="26"/>
      <c r="AD909" s="26"/>
      <c r="AE909" s="26"/>
      <c r="AF909" s="26"/>
      <c r="AG909" s="26"/>
      <c r="AH909" s="26"/>
      <c r="AI909" s="26"/>
      <c r="AJ909" s="26"/>
      <c r="AK909" s="26"/>
      <c r="AL909" s="26"/>
      <c r="AM909" s="26"/>
      <c r="AN909" s="26"/>
      <c r="AO909" s="26"/>
      <c r="AP909" s="26"/>
      <c r="AQ909" s="26"/>
      <c r="AR909" s="26"/>
      <c r="AS909" s="26"/>
      <c r="AT909" s="26"/>
      <c r="AU909" s="26"/>
      <c r="AV909" s="26"/>
      <c r="AW909" s="26"/>
      <c r="AX909" s="26"/>
      <c r="AY909" s="26"/>
      <c r="AZ909" s="26"/>
      <c r="BA909" s="26"/>
      <c r="BB909" s="26"/>
      <c r="BC909" s="26"/>
      <c r="BD909" s="26"/>
      <c r="BE909" s="26"/>
      <c r="BF909" s="26"/>
      <c r="BG909" s="26"/>
      <c r="BH909" s="26"/>
      <c r="BI909" s="26"/>
    </row>
    <row r="910" ht="14.25" customHeight="1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  <c r="AA910" s="26"/>
      <c r="AB910" s="26"/>
      <c r="AC910" s="26"/>
      <c r="AD910" s="26"/>
      <c r="AE910" s="26"/>
      <c r="AF910" s="26"/>
      <c r="AG910" s="26"/>
      <c r="AH910" s="26"/>
      <c r="AI910" s="26"/>
      <c r="AJ910" s="26"/>
      <c r="AK910" s="26"/>
      <c r="AL910" s="26"/>
      <c r="AM910" s="26"/>
      <c r="AN910" s="26"/>
      <c r="AO910" s="26"/>
      <c r="AP910" s="26"/>
      <c r="AQ910" s="26"/>
      <c r="AR910" s="26"/>
      <c r="AS910" s="26"/>
      <c r="AT910" s="26"/>
      <c r="AU910" s="26"/>
      <c r="AV910" s="26"/>
      <c r="AW910" s="26"/>
      <c r="AX910" s="26"/>
      <c r="AY910" s="26"/>
      <c r="AZ910" s="26"/>
      <c r="BA910" s="26"/>
      <c r="BB910" s="26"/>
      <c r="BC910" s="26"/>
      <c r="BD910" s="26"/>
      <c r="BE910" s="26"/>
      <c r="BF910" s="26"/>
      <c r="BG910" s="26"/>
      <c r="BH910" s="26"/>
      <c r="BI910" s="26"/>
    </row>
    <row r="911" ht="14.25" customHeight="1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  <c r="AA911" s="26"/>
      <c r="AB911" s="26"/>
      <c r="AC911" s="26"/>
      <c r="AD911" s="26"/>
      <c r="AE911" s="26"/>
      <c r="AF911" s="26"/>
      <c r="AG911" s="26"/>
      <c r="AH911" s="26"/>
      <c r="AI911" s="26"/>
      <c r="AJ911" s="26"/>
      <c r="AK911" s="26"/>
      <c r="AL911" s="26"/>
      <c r="AM911" s="26"/>
      <c r="AN911" s="26"/>
      <c r="AO911" s="26"/>
      <c r="AP911" s="26"/>
      <c r="AQ911" s="26"/>
      <c r="AR911" s="26"/>
      <c r="AS911" s="26"/>
      <c r="AT911" s="26"/>
      <c r="AU911" s="26"/>
      <c r="AV911" s="26"/>
      <c r="AW911" s="26"/>
      <c r="AX911" s="26"/>
      <c r="AY911" s="26"/>
      <c r="AZ911" s="26"/>
      <c r="BA911" s="26"/>
      <c r="BB911" s="26"/>
      <c r="BC911" s="26"/>
      <c r="BD911" s="26"/>
      <c r="BE911" s="26"/>
      <c r="BF911" s="26"/>
      <c r="BG911" s="26"/>
      <c r="BH911" s="26"/>
      <c r="BI911" s="26"/>
    </row>
    <row r="912" ht="14.25" customHeight="1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  <c r="AA912" s="26"/>
      <c r="AB912" s="26"/>
      <c r="AC912" s="26"/>
      <c r="AD912" s="26"/>
      <c r="AE912" s="26"/>
      <c r="AF912" s="26"/>
      <c r="AG912" s="26"/>
      <c r="AH912" s="26"/>
      <c r="AI912" s="26"/>
      <c r="AJ912" s="26"/>
      <c r="AK912" s="26"/>
      <c r="AL912" s="26"/>
      <c r="AM912" s="26"/>
      <c r="AN912" s="26"/>
      <c r="AO912" s="26"/>
      <c r="AP912" s="26"/>
      <c r="AQ912" s="26"/>
      <c r="AR912" s="26"/>
      <c r="AS912" s="26"/>
      <c r="AT912" s="26"/>
      <c r="AU912" s="26"/>
      <c r="AV912" s="26"/>
      <c r="AW912" s="26"/>
      <c r="AX912" s="26"/>
      <c r="AY912" s="26"/>
      <c r="AZ912" s="26"/>
      <c r="BA912" s="26"/>
      <c r="BB912" s="26"/>
      <c r="BC912" s="26"/>
      <c r="BD912" s="26"/>
      <c r="BE912" s="26"/>
      <c r="BF912" s="26"/>
      <c r="BG912" s="26"/>
      <c r="BH912" s="26"/>
      <c r="BI912" s="26"/>
    </row>
    <row r="913" ht="14.25" customHeight="1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  <c r="AA913" s="26"/>
      <c r="AB913" s="26"/>
      <c r="AC913" s="26"/>
      <c r="AD913" s="26"/>
      <c r="AE913" s="26"/>
      <c r="AF913" s="26"/>
      <c r="AG913" s="26"/>
      <c r="AH913" s="26"/>
      <c r="AI913" s="26"/>
      <c r="AJ913" s="26"/>
      <c r="AK913" s="26"/>
      <c r="AL913" s="26"/>
      <c r="AM913" s="26"/>
      <c r="AN913" s="26"/>
      <c r="AO913" s="26"/>
      <c r="AP913" s="26"/>
      <c r="AQ913" s="26"/>
      <c r="AR913" s="26"/>
      <c r="AS913" s="26"/>
      <c r="AT913" s="26"/>
      <c r="AU913" s="26"/>
      <c r="AV913" s="26"/>
      <c r="AW913" s="26"/>
      <c r="AX913" s="26"/>
      <c r="AY913" s="26"/>
      <c r="AZ913" s="26"/>
      <c r="BA913" s="26"/>
      <c r="BB913" s="26"/>
      <c r="BC913" s="26"/>
      <c r="BD913" s="26"/>
      <c r="BE913" s="26"/>
      <c r="BF913" s="26"/>
      <c r="BG913" s="26"/>
      <c r="BH913" s="26"/>
      <c r="BI913" s="26"/>
    </row>
    <row r="914" ht="14.25" customHeight="1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  <c r="AA914" s="26"/>
      <c r="AB914" s="26"/>
      <c r="AC914" s="26"/>
      <c r="AD914" s="26"/>
      <c r="AE914" s="26"/>
      <c r="AF914" s="26"/>
      <c r="AG914" s="26"/>
      <c r="AH914" s="26"/>
      <c r="AI914" s="26"/>
      <c r="AJ914" s="26"/>
      <c r="AK914" s="26"/>
      <c r="AL914" s="26"/>
      <c r="AM914" s="26"/>
      <c r="AN914" s="26"/>
      <c r="AO914" s="26"/>
      <c r="AP914" s="26"/>
      <c r="AQ914" s="26"/>
      <c r="AR914" s="26"/>
      <c r="AS914" s="26"/>
      <c r="AT914" s="26"/>
      <c r="AU914" s="26"/>
      <c r="AV914" s="26"/>
      <c r="AW914" s="26"/>
      <c r="AX914" s="26"/>
      <c r="AY914" s="26"/>
      <c r="AZ914" s="26"/>
      <c r="BA914" s="26"/>
      <c r="BB914" s="26"/>
      <c r="BC914" s="26"/>
      <c r="BD914" s="26"/>
      <c r="BE914" s="26"/>
      <c r="BF914" s="26"/>
      <c r="BG914" s="26"/>
      <c r="BH914" s="26"/>
      <c r="BI914" s="26"/>
    </row>
    <row r="915" ht="14.25" customHeight="1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  <c r="AA915" s="26"/>
      <c r="AB915" s="26"/>
      <c r="AC915" s="26"/>
      <c r="AD915" s="26"/>
      <c r="AE915" s="26"/>
      <c r="AF915" s="26"/>
      <c r="AG915" s="26"/>
      <c r="AH915" s="26"/>
      <c r="AI915" s="26"/>
      <c r="AJ915" s="26"/>
      <c r="AK915" s="26"/>
      <c r="AL915" s="26"/>
      <c r="AM915" s="26"/>
      <c r="AN915" s="26"/>
      <c r="AO915" s="26"/>
      <c r="AP915" s="26"/>
      <c r="AQ915" s="26"/>
      <c r="AR915" s="26"/>
      <c r="AS915" s="26"/>
      <c r="AT915" s="26"/>
      <c r="AU915" s="26"/>
      <c r="AV915" s="26"/>
      <c r="AW915" s="26"/>
      <c r="AX915" s="26"/>
      <c r="AY915" s="26"/>
      <c r="AZ915" s="26"/>
      <c r="BA915" s="26"/>
      <c r="BB915" s="26"/>
      <c r="BC915" s="26"/>
      <c r="BD915" s="26"/>
      <c r="BE915" s="26"/>
      <c r="BF915" s="26"/>
      <c r="BG915" s="26"/>
      <c r="BH915" s="26"/>
      <c r="BI915" s="26"/>
    </row>
    <row r="916" ht="14.25" customHeight="1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  <c r="AA916" s="26"/>
      <c r="AB916" s="26"/>
      <c r="AC916" s="26"/>
      <c r="AD916" s="26"/>
      <c r="AE916" s="26"/>
      <c r="AF916" s="26"/>
      <c r="AG916" s="26"/>
      <c r="AH916" s="26"/>
      <c r="AI916" s="26"/>
      <c r="AJ916" s="26"/>
      <c r="AK916" s="26"/>
      <c r="AL916" s="26"/>
      <c r="AM916" s="26"/>
      <c r="AN916" s="26"/>
      <c r="AO916" s="26"/>
      <c r="AP916" s="26"/>
      <c r="AQ916" s="26"/>
      <c r="AR916" s="26"/>
      <c r="AS916" s="26"/>
      <c r="AT916" s="26"/>
      <c r="AU916" s="26"/>
      <c r="AV916" s="26"/>
      <c r="AW916" s="26"/>
      <c r="AX916" s="26"/>
      <c r="AY916" s="26"/>
      <c r="AZ916" s="26"/>
      <c r="BA916" s="26"/>
      <c r="BB916" s="26"/>
      <c r="BC916" s="26"/>
      <c r="BD916" s="26"/>
      <c r="BE916" s="26"/>
      <c r="BF916" s="26"/>
      <c r="BG916" s="26"/>
      <c r="BH916" s="26"/>
      <c r="BI916" s="26"/>
    </row>
    <row r="917" ht="14.25" customHeight="1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  <c r="AA917" s="26"/>
      <c r="AB917" s="26"/>
      <c r="AC917" s="26"/>
      <c r="AD917" s="26"/>
      <c r="AE917" s="26"/>
      <c r="AF917" s="26"/>
      <c r="AG917" s="26"/>
      <c r="AH917" s="26"/>
      <c r="AI917" s="26"/>
      <c r="AJ917" s="26"/>
      <c r="AK917" s="26"/>
      <c r="AL917" s="26"/>
      <c r="AM917" s="26"/>
      <c r="AN917" s="26"/>
      <c r="AO917" s="26"/>
      <c r="AP917" s="26"/>
      <c r="AQ917" s="26"/>
      <c r="AR917" s="26"/>
      <c r="AS917" s="26"/>
      <c r="AT917" s="26"/>
      <c r="AU917" s="26"/>
      <c r="AV917" s="26"/>
      <c r="AW917" s="26"/>
      <c r="AX917" s="26"/>
      <c r="AY917" s="26"/>
      <c r="AZ917" s="26"/>
      <c r="BA917" s="26"/>
      <c r="BB917" s="26"/>
      <c r="BC917" s="26"/>
      <c r="BD917" s="26"/>
      <c r="BE917" s="26"/>
      <c r="BF917" s="26"/>
      <c r="BG917" s="26"/>
      <c r="BH917" s="26"/>
      <c r="BI917" s="26"/>
    </row>
    <row r="918" ht="14.25" customHeight="1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  <c r="AA918" s="26"/>
      <c r="AB918" s="26"/>
      <c r="AC918" s="26"/>
      <c r="AD918" s="26"/>
      <c r="AE918" s="26"/>
      <c r="AF918" s="26"/>
      <c r="AG918" s="26"/>
      <c r="AH918" s="26"/>
      <c r="AI918" s="26"/>
      <c r="AJ918" s="26"/>
      <c r="AK918" s="26"/>
      <c r="AL918" s="26"/>
      <c r="AM918" s="26"/>
      <c r="AN918" s="26"/>
      <c r="AO918" s="26"/>
      <c r="AP918" s="26"/>
      <c r="AQ918" s="26"/>
      <c r="AR918" s="26"/>
      <c r="AS918" s="26"/>
      <c r="AT918" s="26"/>
      <c r="AU918" s="26"/>
      <c r="AV918" s="26"/>
      <c r="AW918" s="26"/>
      <c r="AX918" s="26"/>
      <c r="AY918" s="26"/>
      <c r="AZ918" s="26"/>
      <c r="BA918" s="26"/>
      <c r="BB918" s="26"/>
      <c r="BC918" s="26"/>
      <c r="BD918" s="26"/>
      <c r="BE918" s="26"/>
      <c r="BF918" s="26"/>
      <c r="BG918" s="26"/>
      <c r="BH918" s="26"/>
      <c r="BI918" s="26"/>
    </row>
    <row r="919" ht="14.25" customHeight="1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  <c r="AA919" s="26"/>
      <c r="AB919" s="26"/>
      <c r="AC919" s="26"/>
      <c r="AD919" s="26"/>
      <c r="AE919" s="26"/>
      <c r="AF919" s="26"/>
      <c r="AG919" s="26"/>
      <c r="AH919" s="26"/>
      <c r="AI919" s="26"/>
      <c r="AJ919" s="26"/>
      <c r="AK919" s="26"/>
      <c r="AL919" s="26"/>
      <c r="AM919" s="26"/>
      <c r="AN919" s="26"/>
      <c r="AO919" s="26"/>
      <c r="AP919" s="26"/>
      <c r="AQ919" s="26"/>
      <c r="AR919" s="26"/>
      <c r="AS919" s="26"/>
      <c r="AT919" s="26"/>
      <c r="AU919" s="26"/>
      <c r="AV919" s="26"/>
      <c r="AW919" s="26"/>
      <c r="AX919" s="26"/>
      <c r="AY919" s="26"/>
      <c r="AZ919" s="26"/>
      <c r="BA919" s="26"/>
      <c r="BB919" s="26"/>
      <c r="BC919" s="26"/>
      <c r="BD919" s="26"/>
      <c r="BE919" s="26"/>
      <c r="BF919" s="26"/>
      <c r="BG919" s="26"/>
      <c r="BH919" s="26"/>
      <c r="BI919" s="26"/>
    </row>
    <row r="920" ht="14.25" customHeight="1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  <c r="AA920" s="26"/>
      <c r="AB920" s="26"/>
      <c r="AC920" s="26"/>
      <c r="AD920" s="26"/>
      <c r="AE920" s="26"/>
      <c r="AF920" s="26"/>
      <c r="AG920" s="26"/>
      <c r="AH920" s="26"/>
      <c r="AI920" s="26"/>
      <c r="AJ920" s="26"/>
      <c r="AK920" s="26"/>
      <c r="AL920" s="26"/>
      <c r="AM920" s="26"/>
      <c r="AN920" s="26"/>
      <c r="AO920" s="26"/>
      <c r="AP920" s="26"/>
      <c r="AQ920" s="26"/>
      <c r="AR920" s="26"/>
      <c r="AS920" s="26"/>
      <c r="AT920" s="26"/>
      <c r="AU920" s="26"/>
      <c r="AV920" s="26"/>
      <c r="AW920" s="26"/>
      <c r="AX920" s="26"/>
      <c r="AY920" s="26"/>
      <c r="AZ920" s="26"/>
      <c r="BA920" s="26"/>
      <c r="BB920" s="26"/>
      <c r="BC920" s="26"/>
      <c r="BD920" s="26"/>
      <c r="BE920" s="26"/>
      <c r="BF920" s="26"/>
      <c r="BG920" s="26"/>
      <c r="BH920" s="26"/>
      <c r="BI920" s="26"/>
    </row>
    <row r="921" ht="14.25" customHeight="1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  <c r="AA921" s="26"/>
      <c r="AB921" s="26"/>
      <c r="AC921" s="26"/>
      <c r="AD921" s="26"/>
      <c r="AE921" s="26"/>
      <c r="AF921" s="26"/>
      <c r="AG921" s="26"/>
      <c r="AH921" s="26"/>
      <c r="AI921" s="26"/>
      <c r="AJ921" s="26"/>
      <c r="AK921" s="26"/>
      <c r="AL921" s="26"/>
      <c r="AM921" s="26"/>
      <c r="AN921" s="26"/>
      <c r="AO921" s="26"/>
      <c r="AP921" s="26"/>
      <c r="AQ921" s="26"/>
      <c r="AR921" s="26"/>
      <c r="AS921" s="26"/>
      <c r="AT921" s="26"/>
      <c r="AU921" s="26"/>
      <c r="AV921" s="26"/>
      <c r="AW921" s="26"/>
      <c r="AX921" s="26"/>
      <c r="AY921" s="26"/>
      <c r="AZ921" s="26"/>
      <c r="BA921" s="26"/>
      <c r="BB921" s="26"/>
      <c r="BC921" s="26"/>
      <c r="BD921" s="26"/>
      <c r="BE921" s="26"/>
      <c r="BF921" s="26"/>
      <c r="BG921" s="26"/>
      <c r="BH921" s="26"/>
      <c r="BI921" s="26"/>
    </row>
    <row r="922" ht="14.25" customHeight="1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  <c r="AA922" s="26"/>
      <c r="AB922" s="26"/>
      <c r="AC922" s="26"/>
      <c r="AD922" s="26"/>
      <c r="AE922" s="26"/>
      <c r="AF922" s="26"/>
      <c r="AG922" s="26"/>
      <c r="AH922" s="26"/>
      <c r="AI922" s="26"/>
      <c r="AJ922" s="26"/>
      <c r="AK922" s="26"/>
      <c r="AL922" s="26"/>
      <c r="AM922" s="26"/>
      <c r="AN922" s="26"/>
      <c r="AO922" s="26"/>
      <c r="AP922" s="26"/>
      <c r="AQ922" s="26"/>
      <c r="AR922" s="26"/>
      <c r="AS922" s="26"/>
      <c r="AT922" s="26"/>
      <c r="AU922" s="26"/>
      <c r="AV922" s="26"/>
      <c r="AW922" s="26"/>
      <c r="AX922" s="26"/>
      <c r="AY922" s="26"/>
      <c r="AZ922" s="26"/>
      <c r="BA922" s="26"/>
      <c r="BB922" s="26"/>
      <c r="BC922" s="26"/>
      <c r="BD922" s="26"/>
      <c r="BE922" s="26"/>
      <c r="BF922" s="26"/>
      <c r="BG922" s="26"/>
      <c r="BH922" s="26"/>
      <c r="BI922" s="26"/>
    </row>
    <row r="923" ht="14.25" customHeight="1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  <c r="AA923" s="26"/>
      <c r="AB923" s="26"/>
      <c r="AC923" s="26"/>
      <c r="AD923" s="26"/>
      <c r="AE923" s="26"/>
      <c r="AF923" s="26"/>
      <c r="AG923" s="26"/>
      <c r="AH923" s="26"/>
      <c r="AI923" s="26"/>
      <c r="AJ923" s="26"/>
      <c r="AK923" s="26"/>
      <c r="AL923" s="26"/>
      <c r="AM923" s="26"/>
      <c r="AN923" s="26"/>
      <c r="AO923" s="26"/>
      <c r="AP923" s="26"/>
      <c r="AQ923" s="26"/>
      <c r="AR923" s="26"/>
      <c r="AS923" s="26"/>
      <c r="AT923" s="26"/>
      <c r="AU923" s="26"/>
      <c r="AV923" s="26"/>
      <c r="AW923" s="26"/>
      <c r="AX923" s="26"/>
      <c r="AY923" s="26"/>
      <c r="AZ923" s="26"/>
      <c r="BA923" s="26"/>
      <c r="BB923" s="26"/>
      <c r="BC923" s="26"/>
      <c r="BD923" s="26"/>
      <c r="BE923" s="26"/>
      <c r="BF923" s="26"/>
      <c r="BG923" s="26"/>
      <c r="BH923" s="26"/>
      <c r="BI923" s="26"/>
    </row>
    <row r="924" ht="14.25" customHeight="1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  <c r="AA924" s="26"/>
      <c r="AB924" s="26"/>
      <c r="AC924" s="26"/>
      <c r="AD924" s="26"/>
      <c r="AE924" s="26"/>
      <c r="AF924" s="26"/>
      <c r="AG924" s="26"/>
      <c r="AH924" s="26"/>
      <c r="AI924" s="26"/>
      <c r="AJ924" s="26"/>
      <c r="AK924" s="26"/>
      <c r="AL924" s="26"/>
      <c r="AM924" s="26"/>
      <c r="AN924" s="26"/>
      <c r="AO924" s="26"/>
      <c r="AP924" s="26"/>
      <c r="AQ924" s="26"/>
      <c r="AR924" s="26"/>
      <c r="AS924" s="26"/>
      <c r="AT924" s="26"/>
      <c r="AU924" s="26"/>
      <c r="AV924" s="26"/>
      <c r="AW924" s="26"/>
      <c r="AX924" s="26"/>
      <c r="AY924" s="26"/>
      <c r="AZ924" s="26"/>
      <c r="BA924" s="26"/>
      <c r="BB924" s="26"/>
      <c r="BC924" s="26"/>
      <c r="BD924" s="26"/>
      <c r="BE924" s="26"/>
      <c r="BF924" s="26"/>
      <c r="BG924" s="26"/>
      <c r="BH924" s="26"/>
      <c r="BI924" s="26"/>
    </row>
    <row r="925" ht="14.25" customHeight="1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  <c r="AA925" s="26"/>
      <c r="AB925" s="26"/>
      <c r="AC925" s="26"/>
      <c r="AD925" s="26"/>
      <c r="AE925" s="26"/>
      <c r="AF925" s="26"/>
      <c r="AG925" s="26"/>
      <c r="AH925" s="26"/>
      <c r="AI925" s="26"/>
      <c r="AJ925" s="26"/>
      <c r="AK925" s="26"/>
      <c r="AL925" s="26"/>
      <c r="AM925" s="26"/>
      <c r="AN925" s="26"/>
      <c r="AO925" s="26"/>
      <c r="AP925" s="26"/>
      <c r="AQ925" s="26"/>
      <c r="AR925" s="26"/>
      <c r="AS925" s="26"/>
      <c r="AT925" s="26"/>
      <c r="AU925" s="26"/>
      <c r="AV925" s="26"/>
      <c r="AW925" s="26"/>
      <c r="AX925" s="26"/>
      <c r="AY925" s="26"/>
      <c r="AZ925" s="26"/>
      <c r="BA925" s="26"/>
      <c r="BB925" s="26"/>
      <c r="BC925" s="26"/>
      <c r="BD925" s="26"/>
      <c r="BE925" s="26"/>
      <c r="BF925" s="26"/>
      <c r="BG925" s="26"/>
      <c r="BH925" s="26"/>
      <c r="BI925" s="26"/>
    </row>
    <row r="926" ht="14.25" customHeight="1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  <c r="AA926" s="26"/>
      <c r="AB926" s="26"/>
      <c r="AC926" s="26"/>
      <c r="AD926" s="26"/>
      <c r="AE926" s="26"/>
      <c r="AF926" s="26"/>
      <c r="AG926" s="26"/>
      <c r="AH926" s="26"/>
      <c r="AI926" s="26"/>
      <c r="AJ926" s="26"/>
      <c r="AK926" s="26"/>
      <c r="AL926" s="26"/>
      <c r="AM926" s="26"/>
      <c r="AN926" s="26"/>
      <c r="AO926" s="26"/>
      <c r="AP926" s="26"/>
      <c r="AQ926" s="26"/>
      <c r="AR926" s="26"/>
      <c r="AS926" s="26"/>
      <c r="AT926" s="26"/>
      <c r="AU926" s="26"/>
      <c r="AV926" s="26"/>
      <c r="AW926" s="26"/>
      <c r="AX926" s="26"/>
      <c r="AY926" s="26"/>
      <c r="AZ926" s="26"/>
      <c r="BA926" s="26"/>
      <c r="BB926" s="26"/>
      <c r="BC926" s="26"/>
      <c r="BD926" s="26"/>
      <c r="BE926" s="26"/>
      <c r="BF926" s="26"/>
      <c r="BG926" s="26"/>
      <c r="BH926" s="26"/>
      <c r="BI926" s="26"/>
    </row>
    <row r="927" ht="14.25" customHeight="1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  <c r="AA927" s="26"/>
      <c r="AB927" s="26"/>
      <c r="AC927" s="26"/>
      <c r="AD927" s="26"/>
      <c r="AE927" s="26"/>
      <c r="AF927" s="26"/>
      <c r="AG927" s="26"/>
      <c r="AH927" s="26"/>
      <c r="AI927" s="26"/>
      <c r="AJ927" s="26"/>
      <c r="AK927" s="26"/>
      <c r="AL927" s="26"/>
      <c r="AM927" s="26"/>
      <c r="AN927" s="26"/>
      <c r="AO927" s="26"/>
      <c r="AP927" s="26"/>
      <c r="AQ927" s="26"/>
      <c r="AR927" s="26"/>
      <c r="AS927" s="26"/>
      <c r="AT927" s="26"/>
      <c r="AU927" s="26"/>
      <c r="AV927" s="26"/>
      <c r="AW927" s="26"/>
      <c r="AX927" s="26"/>
      <c r="AY927" s="26"/>
      <c r="AZ927" s="26"/>
      <c r="BA927" s="26"/>
      <c r="BB927" s="26"/>
      <c r="BC927" s="26"/>
      <c r="BD927" s="26"/>
      <c r="BE927" s="26"/>
      <c r="BF927" s="26"/>
      <c r="BG927" s="26"/>
      <c r="BH927" s="26"/>
      <c r="BI927" s="26"/>
    </row>
    <row r="928" ht="14.25" customHeight="1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  <c r="AA928" s="26"/>
      <c r="AB928" s="26"/>
      <c r="AC928" s="26"/>
      <c r="AD928" s="26"/>
      <c r="AE928" s="26"/>
      <c r="AF928" s="26"/>
      <c r="AG928" s="26"/>
      <c r="AH928" s="26"/>
      <c r="AI928" s="26"/>
      <c r="AJ928" s="26"/>
      <c r="AK928" s="26"/>
      <c r="AL928" s="26"/>
      <c r="AM928" s="26"/>
      <c r="AN928" s="26"/>
      <c r="AO928" s="26"/>
      <c r="AP928" s="26"/>
      <c r="AQ928" s="26"/>
      <c r="AR928" s="26"/>
      <c r="AS928" s="26"/>
      <c r="AT928" s="26"/>
      <c r="AU928" s="26"/>
      <c r="AV928" s="26"/>
      <c r="AW928" s="26"/>
      <c r="AX928" s="26"/>
      <c r="AY928" s="26"/>
      <c r="AZ928" s="26"/>
      <c r="BA928" s="26"/>
      <c r="BB928" s="26"/>
      <c r="BC928" s="26"/>
      <c r="BD928" s="26"/>
      <c r="BE928" s="26"/>
      <c r="BF928" s="26"/>
      <c r="BG928" s="26"/>
      <c r="BH928" s="26"/>
      <c r="BI928" s="26"/>
    </row>
    <row r="929" ht="14.25" customHeight="1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  <c r="AA929" s="26"/>
      <c r="AB929" s="26"/>
      <c r="AC929" s="26"/>
      <c r="AD929" s="26"/>
      <c r="AE929" s="26"/>
      <c r="AF929" s="26"/>
      <c r="AG929" s="26"/>
      <c r="AH929" s="26"/>
      <c r="AI929" s="26"/>
      <c r="AJ929" s="26"/>
      <c r="AK929" s="26"/>
      <c r="AL929" s="26"/>
      <c r="AM929" s="26"/>
      <c r="AN929" s="26"/>
      <c r="AO929" s="26"/>
      <c r="AP929" s="26"/>
      <c r="AQ929" s="26"/>
      <c r="AR929" s="26"/>
      <c r="AS929" s="26"/>
      <c r="AT929" s="26"/>
      <c r="AU929" s="26"/>
      <c r="AV929" s="26"/>
      <c r="AW929" s="26"/>
      <c r="AX929" s="26"/>
      <c r="AY929" s="26"/>
      <c r="AZ929" s="26"/>
      <c r="BA929" s="26"/>
      <c r="BB929" s="26"/>
      <c r="BC929" s="26"/>
      <c r="BD929" s="26"/>
      <c r="BE929" s="26"/>
      <c r="BF929" s="26"/>
      <c r="BG929" s="26"/>
      <c r="BH929" s="26"/>
      <c r="BI929" s="26"/>
    </row>
    <row r="930" ht="14.25" customHeight="1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  <c r="AA930" s="26"/>
      <c r="AB930" s="26"/>
      <c r="AC930" s="26"/>
      <c r="AD930" s="26"/>
      <c r="AE930" s="26"/>
      <c r="AF930" s="26"/>
      <c r="AG930" s="26"/>
      <c r="AH930" s="26"/>
      <c r="AI930" s="26"/>
      <c r="AJ930" s="26"/>
      <c r="AK930" s="26"/>
      <c r="AL930" s="26"/>
      <c r="AM930" s="26"/>
      <c r="AN930" s="26"/>
      <c r="AO930" s="26"/>
      <c r="AP930" s="26"/>
      <c r="AQ930" s="26"/>
      <c r="AR930" s="26"/>
      <c r="AS930" s="26"/>
      <c r="AT930" s="26"/>
      <c r="AU930" s="26"/>
      <c r="AV930" s="26"/>
      <c r="AW930" s="26"/>
      <c r="AX930" s="26"/>
      <c r="AY930" s="26"/>
      <c r="AZ930" s="26"/>
      <c r="BA930" s="26"/>
      <c r="BB930" s="26"/>
      <c r="BC930" s="26"/>
      <c r="BD930" s="26"/>
      <c r="BE930" s="26"/>
      <c r="BF930" s="26"/>
      <c r="BG930" s="26"/>
      <c r="BH930" s="26"/>
      <c r="BI930" s="26"/>
    </row>
    <row r="931" ht="14.25" customHeight="1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  <c r="AA931" s="26"/>
      <c r="AB931" s="26"/>
      <c r="AC931" s="26"/>
      <c r="AD931" s="26"/>
      <c r="AE931" s="26"/>
      <c r="AF931" s="26"/>
      <c r="AG931" s="26"/>
      <c r="AH931" s="26"/>
      <c r="AI931" s="26"/>
      <c r="AJ931" s="26"/>
      <c r="AK931" s="26"/>
      <c r="AL931" s="26"/>
      <c r="AM931" s="26"/>
      <c r="AN931" s="26"/>
      <c r="AO931" s="26"/>
      <c r="AP931" s="26"/>
      <c r="AQ931" s="26"/>
      <c r="AR931" s="26"/>
      <c r="AS931" s="26"/>
      <c r="AT931" s="26"/>
      <c r="AU931" s="26"/>
      <c r="AV931" s="26"/>
      <c r="AW931" s="26"/>
      <c r="AX931" s="26"/>
      <c r="AY931" s="26"/>
      <c r="AZ931" s="26"/>
      <c r="BA931" s="26"/>
      <c r="BB931" s="26"/>
      <c r="BC931" s="26"/>
      <c r="BD931" s="26"/>
      <c r="BE931" s="26"/>
      <c r="BF931" s="26"/>
      <c r="BG931" s="26"/>
      <c r="BH931" s="26"/>
      <c r="BI931" s="26"/>
    </row>
    <row r="932" ht="14.25" customHeight="1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  <c r="AA932" s="26"/>
      <c r="AB932" s="26"/>
      <c r="AC932" s="26"/>
      <c r="AD932" s="26"/>
      <c r="AE932" s="26"/>
      <c r="AF932" s="26"/>
      <c r="AG932" s="26"/>
      <c r="AH932" s="26"/>
      <c r="AI932" s="26"/>
      <c r="AJ932" s="26"/>
      <c r="AK932" s="26"/>
      <c r="AL932" s="26"/>
      <c r="AM932" s="26"/>
      <c r="AN932" s="26"/>
      <c r="AO932" s="26"/>
      <c r="AP932" s="26"/>
      <c r="AQ932" s="26"/>
      <c r="AR932" s="26"/>
      <c r="AS932" s="26"/>
      <c r="AT932" s="26"/>
      <c r="AU932" s="26"/>
      <c r="AV932" s="26"/>
      <c r="AW932" s="26"/>
      <c r="AX932" s="26"/>
      <c r="AY932" s="26"/>
      <c r="AZ932" s="26"/>
      <c r="BA932" s="26"/>
      <c r="BB932" s="26"/>
      <c r="BC932" s="26"/>
      <c r="BD932" s="26"/>
      <c r="BE932" s="26"/>
      <c r="BF932" s="26"/>
      <c r="BG932" s="26"/>
      <c r="BH932" s="26"/>
      <c r="BI932" s="26"/>
    </row>
    <row r="933" ht="14.25" customHeight="1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  <c r="AA933" s="26"/>
      <c r="AB933" s="26"/>
      <c r="AC933" s="26"/>
      <c r="AD933" s="26"/>
      <c r="AE933" s="26"/>
      <c r="AF933" s="26"/>
      <c r="AG933" s="26"/>
      <c r="AH933" s="26"/>
      <c r="AI933" s="26"/>
      <c r="AJ933" s="26"/>
      <c r="AK933" s="26"/>
      <c r="AL933" s="26"/>
      <c r="AM933" s="26"/>
      <c r="AN933" s="26"/>
      <c r="AO933" s="26"/>
      <c r="AP933" s="26"/>
      <c r="AQ933" s="26"/>
      <c r="AR933" s="26"/>
      <c r="AS933" s="26"/>
      <c r="AT933" s="26"/>
      <c r="AU933" s="26"/>
      <c r="AV933" s="26"/>
      <c r="AW933" s="26"/>
      <c r="AX933" s="26"/>
      <c r="AY933" s="26"/>
      <c r="AZ933" s="26"/>
      <c r="BA933" s="26"/>
      <c r="BB933" s="26"/>
      <c r="BC933" s="26"/>
      <c r="BD933" s="26"/>
      <c r="BE933" s="26"/>
      <c r="BF933" s="26"/>
      <c r="BG933" s="26"/>
      <c r="BH933" s="26"/>
      <c r="BI933" s="26"/>
    </row>
    <row r="934" ht="14.25" customHeight="1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  <c r="AA934" s="26"/>
      <c r="AB934" s="26"/>
      <c r="AC934" s="26"/>
      <c r="AD934" s="26"/>
      <c r="AE934" s="26"/>
      <c r="AF934" s="26"/>
      <c r="AG934" s="26"/>
      <c r="AH934" s="26"/>
      <c r="AI934" s="26"/>
      <c r="AJ934" s="26"/>
      <c r="AK934" s="26"/>
      <c r="AL934" s="26"/>
      <c r="AM934" s="26"/>
      <c r="AN934" s="26"/>
      <c r="AO934" s="26"/>
      <c r="AP934" s="26"/>
      <c r="AQ934" s="26"/>
      <c r="AR934" s="26"/>
      <c r="AS934" s="26"/>
      <c r="AT934" s="26"/>
      <c r="AU934" s="26"/>
      <c r="AV934" s="26"/>
      <c r="AW934" s="26"/>
      <c r="AX934" s="26"/>
      <c r="AY934" s="26"/>
      <c r="AZ934" s="26"/>
      <c r="BA934" s="26"/>
      <c r="BB934" s="26"/>
      <c r="BC934" s="26"/>
      <c r="BD934" s="26"/>
      <c r="BE934" s="26"/>
      <c r="BF934" s="26"/>
      <c r="BG934" s="26"/>
      <c r="BH934" s="26"/>
      <c r="BI934" s="26"/>
    </row>
    <row r="935" ht="14.25" customHeight="1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  <c r="AA935" s="26"/>
      <c r="AB935" s="26"/>
      <c r="AC935" s="26"/>
      <c r="AD935" s="26"/>
      <c r="AE935" s="26"/>
      <c r="AF935" s="26"/>
      <c r="AG935" s="26"/>
      <c r="AH935" s="26"/>
      <c r="AI935" s="26"/>
      <c r="AJ935" s="26"/>
      <c r="AK935" s="26"/>
      <c r="AL935" s="26"/>
      <c r="AM935" s="26"/>
      <c r="AN935" s="26"/>
      <c r="AO935" s="26"/>
      <c r="AP935" s="26"/>
      <c r="AQ935" s="26"/>
      <c r="AR935" s="26"/>
      <c r="AS935" s="26"/>
      <c r="AT935" s="26"/>
      <c r="AU935" s="26"/>
      <c r="AV935" s="26"/>
      <c r="AW935" s="26"/>
      <c r="AX935" s="26"/>
      <c r="AY935" s="26"/>
      <c r="AZ935" s="26"/>
      <c r="BA935" s="26"/>
      <c r="BB935" s="26"/>
      <c r="BC935" s="26"/>
      <c r="BD935" s="26"/>
      <c r="BE935" s="26"/>
      <c r="BF935" s="26"/>
      <c r="BG935" s="26"/>
      <c r="BH935" s="26"/>
      <c r="BI935" s="26"/>
    </row>
    <row r="936" ht="14.25" customHeight="1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  <c r="AA936" s="26"/>
      <c r="AB936" s="26"/>
      <c r="AC936" s="26"/>
      <c r="AD936" s="26"/>
      <c r="AE936" s="26"/>
      <c r="AF936" s="26"/>
      <c r="AG936" s="26"/>
      <c r="AH936" s="26"/>
      <c r="AI936" s="26"/>
      <c r="AJ936" s="26"/>
      <c r="AK936" s="26"/>
      <c r="AL936" s="26"/>
      <c r="AM936" s="26"/>
      <c r="AN936" s="26"/>
      <c r="AO936" s="26"/>
      <c r="AP936" s="26"/>
      <c r="AQ936" s="26"/>
      <c r="AR936" s="26"/>
      <c r="AS936" s="26"/>
      <c r="AT936" s="26"/>
      <c r="AU936" s="26"/>
      <c r="AV936" s="26"/>
      <c r="AW936" s="26"/>
      <c r="AX936" s="26"/>
      <c r="AY936" s="26"/>
      <c r="AZ936" s="26"/>
      <c r="BA936" s="26"/>
      <c r="BB936" s="26"/>
      <c r="BC936" s="26"/>
      <c r="BD936" s="26"/>
      <c r="BE936" s="26"/>
      <c r="BF936" s="26"/>
      <c r="BG936" s="26"/>
      <c r="BH936" s="26"/>
      <c r="BI936" s="26"/>
    </row>
    <row r="937" ht="14.25" customHeight="1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  <c r="AA937" s="26"/>
      <c r="AB937" s="26"/>
      <c r="AC937" s="26"/>
      <c r="AD937" s="26"/>
      <c r="AE937" s="26"/>
      <c r="AF937" s="26"/>
      <c r="AG937" s="26"/>
      <c r="AH937" s="26"/>
      <c r="AI937" s="26"/>
      <c r="AJ937" s="26"/>
      <c r="AK937" s="26"/>
      <c r="AL937" s="26"/>
      <c r="AM937" s="26"/>
      <c r="AN937" s="26"/>
      <c r="AO937" s="26"/>
      <c r="AP937" s="26"/>
      <c r="AQ937" s="26"/>
      <c r="AR937" s="26"/>
      <c r="AS937" s="26"/>
      <c r="AT937" s="26"/>
      <c r="AU937" s="26"/>
      <c r="AV937" s="26"/>
      <c r="AW937" s="26"/>
      <c r="AX937" s="26"/>
      <c r="AY937" s="26"/>
      <c r="AZ937" s="26"/>
      <c r="BA937" s="26"/>
      <c r="BB937" s="26"/>
      <c r="BC937" s="26"/>
      <c r="BD937" s="26"/>
      <c r="BE937" s="26"/>
      <c r="BF937" s="26"/>
      <c r="BG937" s="26"/>
      <c r="BH937" s="26"/>
      <c r="BI937" s="26"/>
    </row>
    <row r="938" ht="14.25" customHeight="1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  <c r="AA938" s="26"/>
      <c r="AB938" s="26"/>
      <c r="AC938" s="26"/>
      <c r="AD938" s="26"/>
      <c r="AE938" s="26"/>
      <c r="AF938" s="26"/>
      <c r="AG938" s="26"/>
      <c r="AH938" s="26"/>
      <c r="AI938" s="26"/>
      <c r="AJ938" s="26"/>
      <c r="AK938" s="26"/>
      <c r="AL938" s="26"/>
      <c r="AM938" s="26"/>
      <c r="AN938" s="26"/>
      <c r="AO938" s="26"/>
      <c r="AP938" s="26"/>
      <c r="AQ938" s="26"/>
      <c r="AR938" s="26"/>
      <c r="AS938" s="26"/>
      <c r="AT938" s="26"/>
      <c r="AU938" s="26"/>
      <c r="AV938" s="26"/>
      <c r="AW938" s="26"/>
      <c r="AX938" s="26"/>
      <c r="AY938" s="26"/>
      <c r="AZ938" s="26"/>
      <c r="BA938" s="26"/>
      <c r="BB938" s="26"/>
      <c r="BC938" s="26"/>
      <c r="BD938" s="26"/>
      <c r="BE938" s="26"/>
      <c r="BF938" s="26"/>
      <c r="BG938" s="26"/>
      <c r="BH938" s="26"/>
      <c r="BI938" s="26"/>
    </row>
    <row r="939" ht="14.25" customHeight="1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  <c r="AA939" s="26"/>
      <c r="AB939" s="26"/>
      <c r="AC939" s="26"/>
      <c r="AD939" s="26"/>
      <c r="AE939" s="26"/>
      <c r="AF939" s="26"/>
      <c r="AG939" s="26"/>
      <c r="AH939" s="26"/>
      <c r="AI939" s="26"/>
      <c r="AJ939" s="26"/>
      <c r="AK939" s="26"/>
      <c r="AL939" s="26"/>
      <c r="AM939" s="26"/>
      <c r="AN939" s="26"/>
      <c r="AO939" s="26"/>
      <c r="AP939" s="26"/>
      <c r="AQ939" s="26"/>
      <c r="AR939" s="26"/>
      <c r="AS939" s="26"/>
      <c r="AT939" s="26"/>
      <c r="AU939" s="26"/>
      <c r="AV939" s="26"/>
      <c r="AW939" s="26"/>
      <c r="AX939" s="26"/>
      <c r="AY939" s="26"/>
      <c r="AZ939" s="26"/>
      <c r="BA939" s="26"/>
      <c r="BB939" s="26"/>
      <c r="BC939" s="26"/>
      <c r="BD939" s="26"/>
      <c r="BE939" s="26"/>
      <c r="BF939" s="26"/>
      <c r="BG939" s="26"/>
      <c r="BH939" s="26"/>
      <c r="BI939" s="26"/>
    </row>
    <row r="940" ht="14.25" customHeight="1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  <c r="AA940" s="26"/>
      <c r="AB940" s="26"/>
      <c r="AC940" s="26"/>
      <c r="AD940" s="26"/>
      <c r="AE940" s="26"/>
      <c r="AF940" s="26"/>
      <c r="AG940" s="26"/>
      <c r="AH940" s="26"/>
      <c r="AI940" s="26"/>
      <c r="AJ940" s="26"/>
      <c r="AK940" s="26"/>
      <c r="AL940" s="26"/>
      <c r="AM940" s="26"/>
      <c r="AN940" s="26"/>
      <c r="AO940" s="26"/>
      <c r="AP940" s="26"/>
      <c r="AQ940" s="26"/>
      <c r="AR940" s="26"/>
      <c r="AS940" s="26"/>
      <c r="AT940" s="26"/>
      <c r="AU940" s="26"/>
      <c r="AV940" s="26"/>
      <c r="AW940" s="26"/>
      <c r="AX940" s="26"/>
      <c r="AY940" s="26"/>
      <c r="AZ940" s="26"/>
      <c r="BA940" s="26"/>
      <c r="BB940" s="26"/>
      <c r="BC940" s="26"/>
      <c r="BD940" s="26"/>
      <c r="BE940" s="26"/>
      <c r="BF940" s="26"/>
      <c r="BG940" s="26"/>
      <c r="BH940" s="26"/>
      <c r="BI940" s="26"/>
    </row>
    <row r="941" ht="14.25" customHeight="1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  <c r="AA941" s="26"/>
      <c r="AB941" s="26"/>
      <c r="AC941" s="26"/>
      <c r="AD941" s="26"/>
      <c r="AE941" s="26"/>
      <c r="AF941" s="26"/>
      <c r="AG941" s="26"/>
      <c r="AH941" s="26"/>
      <c r="AI941" s="26"/>
      <c r="AJ941" s="26"/>
      <c r="AK941" s="26"/>
      <c r="AL941" s="26"/>
      <c r="AM941" s="26"/>
      <c r="AN941" s="26"/>
      <c r="AO941" s="26"/>
      <c r="AP941" s="26"/>
      <c r="AQ941" s="26"/>
      <c r="AR941" s="26"/>
      <c r="AS941" s="26"/>
      <c r="AT941" s="26"/>
      <c r="AU941" s="26"/>
      <c r="AV941" s="26"/>
      <c r="AW941" s="26"/>
      <c r="AX941" s="26"/>
      <c r="AY941" s="26"/>
      <c r="AZ941" s="26"/>
      <c r="BA941" s="26"/>
      <c r="BB941" s="26"/>
      <c r="BC941" s="26"/>
      <c r="BD941" s="26"/>
      <c r="BE941" s="26"/>
      <c r="BF941" s="26"/>
      <c r="BG941" s="26"/>
      <c r="BH941" s="26"/>
      <c r="BI941" s="26"/>
    </row>
    <row r="942" ht="14.25" customHeight="1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  <c r="AA942" s="26"/>
      <c r="AB942" s="26"/>
      <c r="AC942" s="26"/>
      <c r="AD942" s="26"/>
      <c r="AE942" s="26"/>
      <c r="AF942" s="26"/>
      <c r="AG942" s="26"/>
      <c r="AH942" s="26"/>
      <c r="AI942" s="26"/>
      <c r="AJ942" s="26"/>
      <c r="AK942" s="26"/>
      <c r="AL942" s="26"/>
      <c r="AM942" s="26"/>
      <c r="AN942" s="26"/>
      <c r="AO942" s="26"/>
      <c r="AP942" s="26"/>
      <c r="AQ942" s="26"/>
      <c r="AR942" s="26"/>
      <c r="AS942" s="26"/>
      <c r="AT942" s="26"/>
      <c r="AU942" s="26"/>
      <c r="AV942" s="26"/>
      <c r="AW942" s="26"/>
      <c r="AX942" s="26"/>
      <c r="AY942" s="26"/>
      <c r="AZ942" s="26"/>
      <c r="BA942" s="26"/>
      <c r="BB942" s="26"/>
      <c r="BC942" s="26"/>
      <c r="BD942" s="26"/>
      <c r="BE942" s="26"/>
      <c r="BF942" s="26"/>
      <c r="BG942" s="26"/>
      <c r="BH942" s="26"/>
      <c r="BI942" s="26"/>
    </row>
    <row r="943" ht="14.25" customHeight="1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  <c r="AA943" s="26"/>
      <c r="AB943" s="26"/>
      <c r="AC943" s="26"/>
      <c r="AD943" s="26"/>
      <c r="AE943" s="26"/>
      <c r="AF943" s="26"/>
      <c r="AG943" s="26"/>
      <c r="AH943" s="26"/>
      <c r="AI943" s="26"/>
      <c r="AJ943" s="26"/>
      <c r="AK943" s="26"/>
      <c r="AL943" s="26"/>
      <c r="AM943" s="26"/>
      <c r="AN943" s="26"/>
      <c r="AO943" s="26"/>
      <c r="AP943" s="26"/>
      <c r="AQ943" s="26"/>
      <c r="AR943" s="26"/>
      <c r="AS943" s="26"/>
      <c r="AT943" s="26"/>
      <c r="AU943" s="26"/>
      <c r="AV943" s="26"/>
      <c r="AW943" s="26"/>
      <c r="AX943" s="26"/>
      <c r="AY943" s="26"/>
      <c r="AZ943" s="26"/>
      <c r="BA943" s="26"/>
      <c r="BB943" s="26"/>
      <c r="BC943" s="26"/>
      <c r="BD943" s="26"/>
      <c r="BE943" s="26"/>
      <c r="BF943" s="26"/>
      <c r="BG943" s="26"/>
      <c r="BH943" s="26"/>
      <c r="BI943" s="26"/>
    </row>
    <row r="944" ht="14.25" customHeight="1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  <c r="AA944" s="26"/>
      <c r="AB944" s="26"/>
      <c r="AC944" s="26"/>
      <c r="AD944" s="26"/>
      <c r="AE944" s="26"/>
      <c r="AF944" s="26"/>
      <c r="AG944" s="26"/>
      <c r="AH944" s="26"/>
      <c r="AI944" s="26"/>
      <c r="AJ944" s="26"/>
      <c r="AK944" s="26"/>
      <c r="AL944" s="26"/>
      <c r="AM944" s="26"/>
      <c r="AN944" s="26"/>
      <c r="AO944" s="26"/>
      <c r="AP944" s="26"/>
      <c r="AQ944" s="26"/>
      <c r="AR944" s="26"/>
      <c r="AS944" s="26"/>
      <c r="AT944" s="26"/>
      <c r="AU944" s="26"/>
      <c r="AV944" s="26"/>
      <c r="AW944" s="26"/>
      <c r="AX944" s="26"/>
      <c r="AY944" s="26"/>
      <c r="AZ944" s="26"/>
      <c r="BA944" s="26"/>
      <c r="BB944" s="26"/>
      <c r="BC944" s="26"/>
      <c r="BD944" s="26"/>
      <c r="BE944" s="26"/>
      <c r="BF944" s="26"/>
      <c r="BG944" s="26"/>
      <c r="BH944" s="26"/>
      <c r="BI944" s="26"/>
    </row>
    <row r="945" ht="14.25" customHeight="1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  <c r="AA945" s="26"/>
      <c r="AB945" s="26"/>
      <c r="AC945" s="26"/>
      <c r="AD945" s="26"/>
      <c r="AE945" s="26"/>
      <c r="AF945" s="26"/>
      <c r="AG945" s="26"/>
      <c r="AH945" s="26"/>
      <c r="AI945" s="26"/>
      <c r="AJ945" s="26"/>
      <c r="AK945" s="26"/>
      <c r="AL945" s="26"/>
      <c r="AM945" s="26"/>
      <c r="AN945" s="26"/>
      <c r="AO945" s="26"/>
      <c r="AP945" s="26"/>
      <c r="AQ945" s="26"/>
      <c r="AR945" s="26"/>
      <c r="AS945" s="26"/>
      <c r="AT945" s="26"/>
      <c r="AU945" s="26"/>
      <c r="AV945" s="26"/>
      <c r="AW945" s="26"/>
      <c r="AX945" s="26"/>
      <c r="AY945" s="26"/>
      <c r="AZ945" s="26"/>
      <c r="BA945" s="26"/>
      <c r="BB945" s="26"/>
      <c r="BC945" s="26"/>
      <c r="BD945" s="26"/>
      <c r="BE945" s="26"/>
      <c r="BF945" s="26"/>
      <c r="BG945" s="26"/>
      <c r="BH945" s="26"/>
      <c r="BI945" s="26"/>
    </row>
    <row r="946" ht="14.25" customHeight="1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  <c r="AA946" s="26"/>
      <c r="AB946" s="26"/>
      <c r="AC946" s="26"/>
      <c r="AD946" s="26"/>
      <c r="AE946" s="26"/>
      <c r="AF946" s="26"/>
      <c r="AG946" s="26"/>
      <c r="AH946" s="26"/>
      <c r="AI946" s="26"/>
      <c r="AJ946" s="26"/>
      <c r="AK946" s="26"/>
      <c r="AL946" s="26"/>
      <c r="AM946" s="26"/>
      <c r="AN946" s="26"/>
      <c r="AO946" s="26"/>
      <c r="AP946" s="26"/>
      <c r="AQ946" s="26"/>
      <c r="AR946" s="26"/>
      <c r="AS946" s="26"/>
      <c r="AT946" s="26"/>
      <c r="AU946" s="26"/>
      <c r="AV946" s="26"/>
      <c r="AW946" s="26"/>
      <c r="AX946" s="26"/>
      <c r="AY946" s="26"/>
      <c r="AZ946" s="26"/>
      <c r="BA946" s="26"/>
      <c r="BB946" s="26"/>
      <c r="BC946" s="26"/>
      <c r="BD946" s="26"/>
      <c r="BE946" s="26"/>
      <c r="BF946" s="26"/>
      <c r="BG946" s="26"/>
      <c r="BH946" s="26"/>
      <c r="BI946" s="26"/>
    </row>
    <row r="947" ht="14.25" customHeight="1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  <c r="AA947" s="26"/>
      <c r="AB947" s="26"/>
      <c r="AC947" s="26"/>
      <c r="AD947" s="26"/>
      <c r="AE947" s="26"/>
      <c r="AF947" s="26"/>
      <c r="AG947" s="26"/>
      <c r="AH947" s="26"/>
      <c r="AI947" s="26"/>
      <c r="AJ947" s="26"/>
      <c r="AK947" s="26"/>
      <c r="AL947" s="26"/>
      <c r="AM947" s="26"/>
      <c r="AN947" s="26"/>
      <c r="AO947" s="26"/>
      <c r="AP947" s="26"/>
      <c r="AQ947" s="26"/>
      <c r="AR947" s="26"/>
      <c r="AS947" s="26"/>
      <c r="AT947" s="26"/>
      <c r="AU947" s="26"/>
      <c r="AV947" s="26"/>
      <c r="AW947" s="26"/>
      <c r="AX947" s="26"/>
      <c r="AY947" s="26"/>
      <c r="AZ947" s="26"/>
      <c r="BA947" s="26"/>
      <c r="BB947" s="26"/>
      <c r="BC947" s="26"/>
      <c r="BD947" s="26"/>
      <c r="BE947" s="26"/>
      <c r="BF947" s="26"/>
      <c r="BG947" s="26"/>
      <c r="BH947" s="26"/>
      <c r="BI947" s="26"/>
    </row>
    <row r="948" ht="14.25" customHeight="1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  <c r="AA948" s="26"/>
      <c r="AB948" s="26"/>
      <c r="AC948" s="26"/>
      <c r="AD948" s="26"/>
      <c r="AE948" s="26"/>
      <c r="AF948" s="26"/>
      <c r="AG948" s="26"/>
      <c r="AH948" s="26"/>
      <c r="AI948" s="26"/>
      <c r="AJ948" s="26"/>
      <c r="AK948" s="26"/>
      <c r="AL948" s="26"/>
      <c r="AM948" s="26"/>
      <c r="AN948" s="26"/>
      <c r="AO948" s="26"/>
      <c r="AP948" s="26"/>
      <c r="AQ948" s="26"/>
      <c r="AR948" s="26"/>
      <c r="AS948" s="26"/>
      <c r="AT948" s="26"/>
      <c r="AU948" s="26"/>
      <c r="AV948" s="26"/>
      <c r="AW948" s="26"/>
      <c r="AX948" s="26"/>
      <c r="AY948" s="26"/>
      <c r="AZ948" s="26"/>
      <c r="BA948" s="26"/>
      <c r="BB948" s="26"/>
      <c r="BC948" s="26"/>
      <c r="BD948" s="26"/>
      <c r="BE948" s="26"/>
      <c r="BF948" s="26"/>
      <c r="BG948" s="26"/>
      <c r="BH948" s="26"/>
      <c r="BI948" s="26"/>
    </row>
    <row r="949" ht="14.25" customHeight="1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  <c r="AA949" s="26"/>
      <c r="AB949" s="26"/>
      <c r="AC949" s="26"/>
      <c r="AD949" s="26"/>
      <c r="AE949" s="26"/>
      <c r="AF949" s="26"/>
      <c r="AG949" s="26"/>
      <c r="AH949" s="26"/>
      <c r="AI949" s="26"/>
      <c r="AJ949" s="26"/>
      <c r="AK949" s="26"/>
      <c r="AL949" s="26"/>
      <c r="AM949" s="26"/>
      <c r="AN949" s="26"/>
      <c r="AO949" s="26"/>
      <c r="AP949" s="26"/>
      <c r="AQ949" s="26"/>
      <c r="AR949" s="26"/>
      <c r="AS949" s="26"/>
      <c r="AT949" s="26"/>
      <c r="AU949" s="26"/>
      <c r="AV949" s="26"/>
      <c r="AW949" s="26"/>
      <c r="AX949" s="26"/>
      <c r="AY949" s="26"/>
      <c r="AZ949" s="26"/>
      <c r="BA949" s="26"/>
      <c r="BB949" s="26"/>
      <c r="BC949" s="26"/>
      <c r="BD949" s="26"/>
      <c r="BE949" s="26"/>
      <c r="BF949" s="26"/>
      <c r="BG949" s="26"/>
      <c r="BH949" s="26"/>
      <c r="BI949" s="26"/>
    </row>
    <row r="950" ht="14.25" customHeight="1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  <c r="AA950" s="26"/>
      <c r="AB950" s="26"/>
      <c r="AC950" s="26"/>
      <c r="AD950" s="26"/>
      <c r="AE950" s="26"/>
      <c r="AF950" s="26"/>
      <c r="AG950" s="26"/>
      <c r="AH950" s="26"/>
      <c r="AI950" s="26"/>
      <c r="AJ950" s="26"/>
      <c r="AK950" s="26"/>
      <c r="AL950" s="26"/>
      <c r="AM950" s="26"/>
      <c r="AN950" s="26"/>
      <c r="AO950" s="26"/>
      <c r="AP950" s="26"/>
      <c r="AQ950" s="26"/>
      <c r="AR950" s="26"/>
      <c r="AS950" s="26"/>
      <c r="AT950" s="26"/>
      <c r="AU950" s="26"/>
      <c r="AV950" s="26"/>
      <c r="AW950" s="26"/>
      <c r="AX950" s="26"/>
      <c r="AY950" s="26"/>
      <c r="AZ950" s="26"/>
      <c r="BA950" s="26"/>
      <c r="BB950" s="26"/>
      <c r="BC950" s="26"/>
      <c r="BD950" s="26"/>
      <c r="BE950" s="26"/>
      <c r="BF950" s="26"/>
      <c r="BG950" s="26"/>
      <c r="BH950" s="26"/>
      <c r="BI950" s="26"/>
    </row>
    <row r="951" ht="14.25" customHeight="1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  <c r="AA951" s="26"/>
      <c r="AB951" s="26"/>
      <c r="AC951" s="26"/>
      <c r="AD951" s="26"/>
      <c r="AE951" s="26"/>
      <c r="AF951" s="26"/>
      <c r="AG951" s="26"/>
      <c r="AH951" s="26"/>
      <c r="AI951" s="26"/>
      <c r="AJ951" s="26"/>
      <c r="AK951" s="26"/>
      <c r="AL951" s="26"/>
      <c r="AM951" s="26"/>
      <c r="AN951" s="26"/>
      <c r="AO951" s="26"/>
      <c r="AP951" s="26"/>
      <c r="AQ951" s="26"/>
      <c r="AR951" s="26"/>
      <c r="AS951" s="26"/>
      <c r="AT951" s="26"/>
      <c r="AU951" s="26"/>
      <c r="AV951" s="26"/>
      <c r="AW951" s="26"/>
      <c r="AX951" s="26"/>
      <c r="AY951" s="26"/>
      <c r="AZ951" s="26"/>
      <c r="BA951" s="26"/>
      <c r="BB951" s="26"/>
      <c r="BC951" s="26"/>
      <c r="BD951" s="26"/>
      <c r="BE951" s="26"/>
      <c r="BF951" s="26"/>
      <c r="BG951" s="26"/>
      <c r="BH951" s="26"/>
      <c r="BI951" s="26"/>
    </row>
    <row r="952" ht="14.25" customHeight="1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  <c r="AA952" s="26"/>
      <c r="AB952" s="26"/>
      <c r="AC952" s="26"/>
      <c r="AD952" s="26"/>
      <c r="AE952" s="26"/>
      <c r="AF952" s="26"/>
      <c r="AG952" s="26"/>
      <c r="AH952" s="26"/>
      <c r="AI952" s="26"/>
      <c r="AJ952" s="26"/>
      <c r="AK952" s="26"/>
      <c r="AL952" s="26"/>
      <c r="AM952" s="26"/>
      <c r="AN952" s="26"/>
      <c r="AO952" s="26"/>
      <c r="AP952" s="26"/>
      <c r="AQ952" s="26"/>
      <c r="AR952" s="26"/>
      <c r="AS952" s="26"/>
      <c r="AT952" s="26"/>
      <c r="AU952" s="26"/>
      <c r="AV952" s="26"/>
      <c r="AW952" s="26"/>
      <c r="AX952" s="26"/>
      <c r="AY952" s="26"/>
      <c r="AZ952" s="26"/>
      <c r="BA952" s="26"/>
      <c r="BB952" s="26"/>
      <c r="BC952" s="26"/>
      <c r="BD952" s="26"/>
      <c r="BE952" s="26"/>
      <c r="BF952" s="26"/>
      <c r="BG952" s="26"/>
      <c r="BH952" s="26"/>
      <c r="BI952" s="26"/>
    </row>
    <row r="953" ht="14.25" customHeight="1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  <c r="AA953" s="26"/>
      <c r="AB953" s="26"/>
      <c r="AC953" s="26"/>
      <c r="AD953" s="26"/>
      <c r="AE953" s="26"/>
      <c r="AF953" s="26"/>
      <c r="AG953" s="26"/>
      <c r="AH953" s="26"/>
      <c r="AI953" s="26"/>
      <c r="AJ953" s="26"/>
      <c r="AK953" s="26"/>
      <c r="AL953" s="26"/>
      <c r="AM953" s="26"/>
      <c r="AN953" s="26"/>
      <c r="AO953" s="26"/>
      <c r="AP953" s="26"/>
      <c r="AQ953" s="26"/>
      <c r="AR953" s="26"/>
      <c r="AS953" s="26"/>
      <c r="AT953" s="26"/>
      <c r="AU953" s="26"/>
      <c r="AV953" s="26"/>
      <c r="AW953" s="26"/>
      <c r="AX953" s="26"/>
      <c r="AY953" s="26"/>
      <c r="AZ953" s="26"/>
      <c r="BA953" s="26"/>
      <c r="BB953" s="26"/>
      <c r="BC953" s="26"/>
      <c r="BD953" s="26"/>
      <c r="BE953" s="26"/>
      <c r="BF953" s="26"/>
      <c r="BG953" s="26"/>
      <c r="BH953" s="26"/>
      <c r="BI953" s="26"/>
    </row>
    <row r="954" ht="14.25" customHeight="1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  <c r="AA954" s="26"/>
      <c r="AB954" s="26"/>
      <c r="AC954" s="26"/>
      <c r="AD954" s="26"/>
      <c r="AE954" s="26"/>
      <c r="AF954" s="26"/>
      <c r="AG954" s="26"/>
      <c r="AH954" s="26"/>
      <c r="AI954" s="26"/>
      <c r="AJ954" s="26"/>
      <c r="AK954" s="26"/>
      <c r="AL954" s="26"/>
      <c r="AM954" s="26"/>
      <c r="AN954" s="26"/>
      <c r="AO954" s="26"/>
      <c r="AP954" s="26"/>
      <c r="AQ954" s="26"/>
      <c r="AR954" s="26"/>
      <c r="AS954" s="26"/>
      <c r="AT954" s="26"/>
      <c r="AU954" s="26"/>
      <c r="AV954" s="26"/>
      <c r="AW954" s="26"/>
      <c r="AX954" s="26"/>
      <c r="AY954" s="26"/>
      <c r="AZ954" s="26"/>
      <c r="BA954" s="26"/>
      <c r="BB954" s="26"/>
      <c r="BC954" s="26"/>
      <c r="BD954" s="26"/>
      <c r="BE954" s="26"/>
      <c r="BF954" s="26"/>
      <c r="BG954" s="26"/>
      <c r="BH954" s="26"/>
      <c r="BI954" s="26"/>
    </row>
    <row r="955" ht="14.25" customHeight="1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  <c r="AA955" s="26"/>
      <c r="AB955" s="26"/>
      <c r="AC955" s="26"/>
      <c r="AD955" s="26"/>
      <c r="AE955" s="26"/>
      <c r="AF955" s="26"/>
      <c r="AG955" s="26"/>
      <c r="AH955" s="26"/>
      <c r="AI955" s="26"/>
      <c r="AJ955" s="26"/>
      <c r="AK955" s="26"/>
      <c r="AL955" s="26"/>
      <c r="AM955" s="26"/>
      <c r="AN955" s="26"/>
      <c r="AO955" s="26"/>
      <c r="AP955" s="26"/>
      <c r="AQ955" s="26"/>
      <c r="AR955" s="26"/>
      <c r="AS955" s="26"/>
      <c r="AT955" s="26"/>
      <c r="AU955" s="26"/>
      <c r="AV955" s="26"/>
      <c r="AW955" s="26"/>
      <c r="AX955" s="26"/>
      <c r="AY955" s="26"/>
      <c r="AZ955" s="26"/>
      <c r="BA955" s="26"/>
      <c r="BB955" s="26"/>
      <c r="BC955" s="26"/>
      <c r="BD955" s="26"/>
      <c r="BE955" s="26"/>
      <c r="BF955" s="26"/>
      <c r="BG955" s="26"/>
      <c r="BH955" s="26"/>
      <c r="BI955" s="26"/>
    </row>
    <row r="956" ht="14.25" customHeight="1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  <c r="AA956" s="26"/>
      <c r="AB956" s="26"/>
      <c r="AC956" s="26"/>
      <c r="AD956" s="26"/>
      <c r="AE956" s="26"/>
      <c r="AF956" s="26"/>
      <c r="AG956" s="26"/>
      <c r="AH956" s="26"/>
      <c r="AI956" s="26"/>
      <c r="AJ956" s="26"/>
      <c r="AK956" s="26"/>
      <c r="AL956" s="26"/>
      <c r="AM956" s="26"/>
      <c r="AN956" s="26"/>
      <c r="AO956" s="26"/>
      <c r="AP956" s="26"/>
      <c r="AQ956" s="26"/>
      <c r="AR956" s="26"/>
      <c r="AS956" s="26"/>
      <c r="AT956" s="26"/>
      <c r="AU956" s="26"/>
      <c r="AV956" s="26"/>
      <c r="AW956" s="26"/>
      <c r="AX956" s="26"/>
      <c r="AY956" s="26"/>
      <c r="AZ956" s="26"/>
      <c r="BA956" s="26"/>
      <c r="BB956" s="26"/>
      <c r="BC956" s="26"/>
      <c r="BD956" s="26"/>
      <c r="BE956" s="26"/>
      <c r="BF956" s="26"/>
      <c r="BG956" s="26"/>
      <c r="BH956" s="26"/>
      <c r="BI956" s="26"/>
    </row>
    <row r="957" ht="14.25" customHeight="1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  <c r="AA957" s="26"/>
      <c r="AB957" s="26"/>
      <c r="AC957" s="26"/>
      <c r="AD957" s="26"/>
      <c r="AE957" s="26"/>
      <c r="AF957" s="26"/>
      <c r="AG957" s="26"/>
      <c r="AH957" s="26"/>
      <c r="AI957" s="26"/>
      <c r="AJ957" s="26"/>
      <c r="AK957" s="26"/>
      <c r="AL957" s="26"/>
      <c r="AM957" s="26"/>
      <c r="AN957" s="26"/>
      <c r="AO957" s="26"/>
      <c r="AP957" s="26"/>
      <c r="AQ957" s="26"/>
      <c r="AR957" s="26"/>
      <c r="AS957" s="26"/>
      <c r="AT957" s="26"/>
      <c r="AU957" s="26"/>
      <c r="AV957" s="26"/>
      <c r="AW957" s="26"/>
      <c r="AX957" s="26"/>
      <c r="AY957" s="26"/>
      <c r="AZ957" s="26"/>
      <c r="BA957" s="26"/>
      <c r="BB957" s="26"/>
      <c r="BC957" s="26"/>
      <c r="BD957" s="26"/>
      <c r="BE957" s="26"/>
      <c r="BF957" s="26"/>
      <c r="BG957" s="26"/>
      <c r="BH957" s="26"/>
      <c r="BI957" s="26"/>
    </row>
    <row r="958" ht="14.25" customHeight="1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  <c r="AA958" s="26"/>
      <c r="AB958" s="26"/>
      <c r="AC958" s="26"/>
      <c r="AD958" s="26"/>
      <c r="AE958" s="26"/>
      <c r="AF958" s="26"/>
      <c r="AG958" s="26"/>
      <c r="AH958" s="26"/>
      <c r="AI958" s="26"/>
      <c r="AJ958" s="26"/>
      <c r="AK958" s="26"/>
      <c r="AL958" s="26"/>
      <c r="AM958" s="26"/>
      <c r="AN958" s="26"/>
      <c r="AO958" s="26"/>
      <c r="AP958" s="26"/>
      <c r="AQ958" s="26"/>
      <c r="AR958" s="26"/>
      <c r="AS958" s="26"/>
      <c r="AT958" s="26"/>
      <c r="AU958" s="26"/>
      <c r="AV958" s="26"/>
      <c r="AW958" s="26"/>
      <c r="AX958" s="26"/>
      <c r="AY958" s="26"/>
      <c r="AZ958" s="26"/>
      <c r="BA958" s="26"/>
      <c r="BB958" s="26"/>
      <c r="BC958" s="26"/>
      <c r="BD958" s="26"/>
      <c r="BE958" s="26"/>
      <c r="BF958" s="26"/>
      <c r="BG958" s="26"/>
      <c r="BH958" s="26"/>
      <c r="BI958" s="26"/>
    </row>
    <row r="959" ht="14.25" customHeight="1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  <c r="AA959" s="26"/>
      <c r="AB959" s="26"/>
      <c r="AC959" s="26"/>
      <c r="AD959" s="26"/>
      <c r="AE959" s="26"/>
      <c r="AF959" s="26"/>
      <c r="AG959" s="26"/>
      <c r="AH959" s="26"/>
      <c r="AI959" s="26"/>
      <c r="AJ959" s="26"/>
      <c r="AK959" s="26"/>
      <c r="AL959" s="26"/>
      <c r="AM959" s="26"/>
      <c r="AN959" s="26"/>
      <c r="AO959" s="26"/>
      <c r="AP959" s="26"/>
      <c r="AQ959" s="26"/>
      <c r="AR959" s="26"/>
      <c r="AS959" s="26"/>
      <c r="AT959" s="26"/>
      <c r="AU959" s="26"/>
      <c r="AV959" s="26"/>
      <c r="AW959" s="26"/>
      <c r="AX959" s="26"/>
      <c r="AY959" s="26"/>
      <c r="AZ959" s="26"/>
      <c r="BA959" s="26"/>
      <c r="BB959" s="26"/>
      <c r="BC959" s="26"/>
      <c r="BD959" s="26"/>
      <c r="BE959" s="26"/>
      <c r="BF959" s="26"/>
      <c r="BG959" s="26"/>
      <c r="BH959" s="26"/>
      <c r="BI959" s="26"/>
    </row>
    <row r="960" ht="14.25" customHeight="1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  <c r="AA960" s="26"/>
      <c r="AB960" s="26"/>
      <c r="AC960" s="26"/>
      <c r="AD960" s="26"/>
      <c r="AE960" s="26"/>
      <c r="AF960" s="26"/>
      <c r="AG960" s="26"/>
      <c r="AH960" s="26"/>
      <c r="AI960" s="26"/>
      <c r="AJ960" s="26"/>
      <c r="AK960" s="26"/>
      <c r="AL960" s="26"/>
      <c r="AM960" s="26"/>
      <c r="AN960" s="26"/>
      <c r="AO960" s="26"/>
      <c r="AP960" s="26"/>
      <c r="AQ960" s="26"/>
      <c r="AR960" s="26"/>
      <c r="AS960" s="26"/>
      <c r="AT960" s="26"/>
      <c r="AU960" s="26"/>
      <c r="AV960" s="26"/>
      <c r="AW960" s="26"/>
      <c r="AX960" s="26"/>
      <c r="AY960" s="26"/>
      <c r="AZ960" s="26"/>
      <c r="BA960" s="26"/>
      <c r="BB960" s="26"/>
      <c r="BC960" s="26"/>
      <c r="BD960" s="26"/>
      <c r="BE960" s="26"/>
      <c r="BF960" s="26"/>
      <c r="BG960" s="26"/>
      <c r="BH960" s="26"/>
      <c r="BI960" s="26"/>
    </row>
    <row r="961" ht="14.25" customHeight="1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  <c r="AA961" s="26"/>
      <c r="AB961" s="26"/>
      <c r="AC961" s="26"/>
      <c r="AD961" s="26"/>
      <c r="AE961" s="26"/>
      <c r="AF961" s="26"/>
      <c r="AG961" s="26"/>
      <c r="AH961" s="26"/>
      <c r="AI961" s="26"/>
      <c r="AJ961" s="26"/>
      <c r="AK961" s="26"/>
      <c r="AL961" s="26"/>
      <c r="AM961" s="26"/>
      <c r="AN961" s="26"/>
      <c r="AO961" s="26"/>
      <c r="AP961" s="26"/>
      <c r="AQ961" s="26"/>
      <c r="AR961" s="26"/>
      <c r="AS961" s="26"/>
      <c r="AT961" s="26"/>
      <c r="AU961" s="26"/>
      <c r="AV961" s="26"/>
      <c r="AW961" s="26"/>
      <c r="AX961" s="26"/>
      <c r="AY961" s="26"/>
      <c r="AZ961" s="26"/>
      <c r="BA961" s="26"/>
      <c r="BB961" s="26"/>
      <c r="BC961" s="26"/>
      <c r="BD961" s="26"/>
      <c r="BE961" s="26"/>
      <c r="BF961" s="26"/>
      <c r="BG961" s="26"/>
      <c r="BH961" s="26"/>
      <c r="BI961" s="26"/>
    </row>
    <row r="962" ht="14.25" customHeight="1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  <c r="AA962" s="26"/>
      <c r="AB962" s="26"/>
      <c r="AC962" s="26"/>
      <c r="AD962" s="26"/>
      <c r="AE962" s="26"/>
      <c r="AF962" s="26"/>
      <c r="AG962" s="26"/>
      <c r="AH962" s="26"/>
      <c r="AI962" s="26"/>
      <c r="AJ962" s="26"/>
      <c r="AK962" s="26"/>
      <c r="AL962" s="26"/>
      <c r="AM962" s="26"/>
      <c r="AN962" s="26"/>
      <c r="AO962" s="26"/>
      <c r="AP962" s="26"/>
      <c r="AQ962" s="26"/>
      <c r="AR962" s="26"/>
      <c r="AS962" s="26"/>
      <c r="AT962" s="26"/>
      <c r="AU962" s="26"/>
      <c r="AV962" s="26"/>
      <c r="AW962" s="26"/>
      <c r="AX962" s="26"/>
      <c r="AY962" s="26"/>
      <c r="AZ962" s="26"/>
      <c r="BA962" s="26"/>
      <c r="BB962" s="26"/>
      <c r="BC962" s="26"/>
      <c r="BD962" s="26"/>
      <c r="BE962" s="26"/>
      <c r="BF962" s="26"/>
      <c r="BG962" s="26"/>
      <c r="BH962" s="26"/>
      <c r="BI962" s="26"/>
    </row>
    <row r="963" ht="14.25" customHeight="1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  <c r="AA963" s="26"/>
      <c r="AB963" s="26"/>
      <c r="AC963" s="26"/>
      <c r="AD963" s="26"/>
      <c r="AE963" s="26"/>
      <c r="AF963" s="26"/>
      <c r="AG963" s="26"/>
      <c r="AH963" s="26"/>
      <c r="AI963" s="26"/>
      <c r="AJ963" s="26"/>
      <c r="AK963" s="26"/>
      <c r="AL963" s="26"/>
      <c r="AM963" s="26"/>
      <c r="AN963" s="26"/>
      <c r="AO963" s="26"/>
      <c r="AP963" s="26"/>
      <c r="AQ963" s="26"/>
      <c r="AR963" s="26"/>
      <c r="AS963" s="26"/>
      <c r="AT963" s="26"/>
      <c r="AU963" s="26"/>
      <c r="AV963" s="26"/>
      <c r="AW963" s="26"/>
      <c r="AX963" s="26"/>
      <c r="AY963" s="26"/>
      <c r="AZ963" s="26"/>
      <c r="BA963" s="26"/>
      <c r="BB963" s="26"/>
      <c r="BC963" s="26"/>
      <c r="BD963" s="26"/>
      <c r="BE963" s="26"/>
      <c r="BF963" s="26"/>
      <c r="BG963" s="26"/>
      <c r="BH963" s="26"/>
      <c r="BI963" s="26"/>
    </row>
    <row r="964" ht="14.25" customHeight="1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  <c r="AA964" s="26"/>
      <c r="AB964" s="26"/>
      <c r="AC964" s="26"/>
      <c r="AD964" s="26"/>
      <c r="AE964" s="26"/>
      <c r="AF964" s="26"/>
      <c r="AG964" s="26"/>
      <c r="AH964" s="26"/>
      <c r="AI964" s="26"/>
      <c r="AJ964" s="26"/>
      <c r="AK964" s="26"/>
      <c r="AL964" s="26"/>
      <c r="AM964" s="26"/>
      <c r="AN964" s="26"/>
      <c r="AO964" s="26"/>
      <c r="AP964" s="26"/>
      <c r="AQ964" s="26"/>
      <c r="AR964" s="26"/>
      <c r="AS964" s="26"/>
      <c r="AT964" s="26"/>
      <c r="AU964" s="26"/>
      <c r="AV964" s="26"/>
      <c r="AW964" s="26"/>
      <c r="AX964" s="26"/>
      <c r="AY964" s="26"/>
      <c r="AZ964" s="26"/>
      <c r="BA964" s="26"/>
      <c r="BB964" s="26"/>
      <c r="BC964" s="26"/>
      <c r="BD964" s="26"/>
      <c r="BE964" s="26"/>
      <c r="BF964" s="26"/>
      <c r="BG964" s="26"/>
      <c r="BH964" s="26"/>
      <c r="BI964" s="26"/>
    </row>
    <row r="965" ht="14.25" customHeight="1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  <c r="AA965" s="26"/>
      <c r="AB965" s="26"/>
      <c r="AC965" s="26"/>
      <c r="AD965" s="26"/>
      <c r="AE965" s="26"/>
      <c r="AF965" s="26"/>
      <c r="AG965" s="26"/>
      <c r="AH965" s="26"/>
      <c r="AI965" s="26"/>
      <c r="AJ965" s="26"/>
      <c r="AK965" s="26"/>
      <c r="AL965" s="26"/>
      <c r="AM965" s="26"/>
      <c r="AN965" s="26"/>
      <c r="AO965" s="26"/>
      <c r="AP965" s="26"/>
      <c r="AQ965" s="26"/>
      <c r="AR965" s="26"/>
      <c r="AS965" s="26"/>
      <c r="AT965" s="26"/>
      <c r="AU965" s="26"/>
      <c r="AV965" s="26"/>
      <c r="AW965" s="26"/>
      <c r="AX965" s="26"/>
      <c r="AY965" s="26"/>
      <c r="AZ965" s="26"/>
      <c r="BA965" s="26"/>
      <c r="BB965" s="26"/>
      <c r="BC965" s="26"/>
      <c r="BD965" s="26"/>
      <c r="BE965" s="26"/>
      <c r="BF965" s="26"/>
      <c r="BG965" s="26"/>
      <c r="BH965" s="26"/>
      <c r="BI965" s="26"/>
    </row>
    <row r="966" ht="14.25" customHeight="1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  <c r="AA966" s="26"/>
      <c r="AB966" s="26"/>
      <c r="AC966" s="26"/>
      <c r="AD966" s="26"/>
      <c r="AE966" s="26"/>
      <c r="AF966" s="26"/>
      <c r="AG966" s="26"/>
      <c r="AH966" s="26"/>
      <c r="AI966" s="26"/>
      <c r="AJ966" s="26"/>
      <c r="AK966" s="26"/>
      <c r="AL966" s="26"/>
      <c r="AM966" s="26"/>
      <c r="AN966" s="26"/>
      <c r="AO966" s="26"/>
      <c r="AP966" s="26"/>
      <c r="AQ966" s="26"/>
      <c r="AR966" s="26"/>
      <c r="AS966" s="26"/>
      <c r="AT966" s="26"/>
      <c r="AU966" s="26"/>
      <c r="AV966" s="26"/>
      <c r="AW966" s="26"/>
      <c r="AX966" s="26"/>
      <c r="AY966" s="26"/>
      <c r="AZ966" s="26"/>
      <c r="BA966" s="26"/>
      <c r="BB966" s="26"/>
      <c r="BC966" s="26"/>
      <c r="BD966" s="26"/>
      <c r="BE966" s="26"/>
      <c r="BF966" s="26"/>
      <c r="BG966" s="26"/>
      <c r="BH966" s="26"/>
      <c r="BI966" s="26"/>
    </row>
    <row r="967" ht="14.25" customHeight="1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  <c r="AA967" s="26"/>
      <c r="AB967" s="26"/>
      <c r="AC967" s="26"/>
      <c r="AD967" s="26"/>
      <c r="AE967" s="26"/>
      <c r="AF967" s="26"/>
      <c r="AG967" s="26"/>
      <c r="AH967" s="26"/>
      <c r="AI967" s="26"/>
      <c r="AJ967" s="26"/>
      <c r="AK967" s="26"/>
      <c r="AL967" s="26"/>
      <c r="AM967" s="26"/>
      <c r="AN967" s="26"/>
      <c r="AO967" s="26"/>
      <c r="AP967" s="26"/>
      <c r="AQ967" s="26"/>
      <c r="AR967" s="26"/>
      <c r="AS967" s="26"/>
      <c r="AT967" s="26"/>
      <c r="AU967" s="26"/>
      <c r="AV967" s="26"/>
      <c r="AW967" s="26"/>
      <c r="AX967" s="26"/>
      <c r="AY967" s="26"/>
      <c r="AZ967" s="26"/>
      <c r="BA967" s="26"/>
      <c r="BB967" s="26"/>
      <c r="BC967" s="26"/>
      <c r="BD967" s="26"/>
      <c r="BE967" s="26"/>
      <c r="BF967" s="26"/>
      <c r="BG967" s="26"/>
      <c r="BH967" s="26"/>
      <c r="BI967" s="26"/>
    </row>
    <row r="968" ht="14.25" customHeight="1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  <c r="AA968" s="26"/>
      <c r="AB968" s="26"/>
      <c r="AC968" s="26"/>
      <c r="AD968" s="26"/>
      <c r="AE968" s="26"/>
      <c r="AF968" s="26"/>
      <c r="AG968" s="26"/>
      <c r="AH968" s="26"/>
      <c r="AI968" s="26"/>
      <c r="AJ968" s="26"/>
      <c r="AK968" s="26"/>
      <c r="AL968" s="26"/>
      <c r="AM968" s="26"/>
      <c r="AN968" s="26"/>
      <c r="AO968" s="26"/>
      <c r="AP968" s="26"/>
      <c r="AQ968" s="26"/>
      <c r="AR968" s="26"/>
      <c r="AS968" s="26"/>
      <c r="AT968" s="26"/>
      <c r="AU968" s="26"/>
      <c r="AV968" s="26"/>
      <c r="AW968" s="26"/>
      <c r="AX968" s="26"/>
      <c r="AY968" s="26"/>
      <c r="AZ968" s="26"/>
      <c r="BA968" s="26"/>
      <c r="BB968" s="26"/>
      <c r="BC968" s="26"/>
      <c r="BD968" s="26"/>
      <c r="BE968" s="26"/>
      <c r="BF968" s="26"/>
      <c r="BG968" s="26"/>
      <c r="BH968" s="26"/>
      <c r="BI968" s="26"/>
    </row>
    <row r="969" ht="14.25" customHeight="1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  <c r="AA969" s="26"/>
      <c r="AB969" s="26"/>
      <c r="AC969" s="26"/>
      <c r="AD969" s="26"/>
      <c r="AE969" s="26"/>
      <c r="AF969" s="26"/>
      <c r="AG969" s="26"/>
      <c r="AH969" s="26"/>
      <c r="AI969" s="26"/>
      <c r="AJ969" s="26"/>
      <c r="AK969" s="26"/>
      <c r="AL969" s="26"/>
      <c r="AM969" s="26"/>
      <c r="AN969" s="26"/>
      <c r="AO969" s="26"/>
      <c r="AP969" s="26"/>
      <c r="AQ969" s="26"/>
      <c r="AR969" s="26"/>
      <c r="AS969" s="26"/>
      <c r="AT969" s="26"/>
      <c r="AU969" s="26"/>
      <c r="AV969" s="26"/>
      <c r="AW969" s="26"/>
      <c r="AX969" s="26"/>
      <c r="AY969" s="26"/>
      <c r="AZ969" s="26"/>
      <c r="BA969" s="26"/>
      <c r="BB969" s="26"/>
      <c r="BC969" s="26"/>
      <c r="BD969" s="26"/>
      <c r="BE969" s="26"/>
      <c r="BF969" s="26"/>
      <c r="BG969" s="26"/>
      <c r="BH969" s="26"/>
      <c r="BI969" s="26"/>
    </row>
    <row r="970" ht="14.25" customHeight="1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  <c r="AA970" s="26"/>
      <c r="AB970" s="26"/>
      <c r="AC970" s="26"/>
      <c r="AD970" s="26"/>
      <c r="AE970" s="26"/>
      <c r="AF970" s="26"/>
      <c r="AG970" s="26"/>
      <c r="AH970" s="26"/>
      <c r="AI970" s="26"/>
      <c r="AJ970" s="26"/>
      <c r="AK970" s="26"/>
      <c r="AL970" s="26"/>
      <c r="AM970" s="26"/>
      <c r="AN970" s="26"/>
      <c r="AO970" s="26"/>
      <c r="AP970" s="26"/>
      <c r="AQ970" s="26"/>
      <c r="AR970" s="26"/>
      <c r="AS970" s="26"/>
      <c r="AT970" s="26"/>
      <c r="AU970" s="26"/>
      <c r="AV970" s="26"/>
      <c r="AW970" s="26"/>
      <c r="AX970" s="26"/>
      <c r="AY970" s="26"/>
      <c r="AZ970" s="26"/>
      <c r="BA970" s="26"/>
      <c r="BB970" s="26"/>
      <c r="BC970" s="26"/>
      <c r="BD970" s="26"/>
      <c r="BE970" s="26"/>
      <c r="BF970" s="26"/>
      <c r="BG970" s="26"/>
      <c r="BH970" s="26"/>
      <c r="BI970" s="26"/>
    </row>
    <row r="971" ht="14.25" customHeight="1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  <c r="AA971" s="26"/>
      <c r="AB971" s="26"/>
      <c r="AC971" s="26"/>
      <c r="AD971" s="26"/>
      <c r="AE971" s="26"/>
      <c r="AF971" s="26"/>
      <c r="AG971" s="26"/>
      <c r="AH971" s="26"/>
      <c r="AI971" s="26"/>
      <c r="AJ971" s="26"/>
      <c r="AK971" s="26"/>
      <c r="AL971" s="26"/>
      <c r="AM971" s="26"/>
      <c r="AN971" s="26"/>
      <c r="AO971" s="26"/>
      <c r="AP971" s="26"/>
      <c r="AQ971" s="26"/>
      <c r="AR971" s="26"/>
      <c r="AS971" s="26"/>
      <c r="AT971" s="26"/>
      <c r="AU971" s="26"/>
      <c r="AV971" s="26"/>
      <c r="AW971" s="26"/>
      <c r="AX971" s="26"/>
      <c r="AY971" s="26"/>
      <c r="AZ971" s="26"/>
      <c r="BA971" s="26"/>
      <c r="BB971" s="26"/>
      <c r="BC971" s="26"/>
      <c r="BD971" s="26"/>
      <c r="BE971" s="26"/>
      <c r="BF971" s="26"/>
      <c r="BG971" s="26"/>
      <c r="BH971" s="26"/>
      <c r="BI971" s="26"/>
    </row>
    <row r="972" ht="14.25" customHeight="1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  <c r="AA972" s="26"/>
      <c r="AB972" s="26"/>
      <c r="AC972" s="26"/>
      <c r="AD972" s="26"/>
      <c r="AE972" s="26"/>
      <c r="AF972" s="26"/>
      <c r="AG972" s="26"/>
      <c r="AH972" s="26"/>
      <c r="AI972" s="26"/>
      <c r="AJ972" s="26"/>
      <c r="AK972" s="26"/>
      <c r="AL972" s="26"/>
      <c r="AM972" s="26"/>
      <c r="AN972" s="26"/>
      <c r="AO972" s="26"/>
      <c r="AP972" s="26"/>
      <c r="AQ972" s="26"/>
      <c r="AR972" s="26"/>
      <c r="AS972" s="26"/>
      <c r="AT972" s="26"/>
      <c r="AU972" s="26"/>
      <c r="AV972" s="26"/>
      <c r="AW972" s="26"/>
      <c r="AX972" s="26"/>
      <c r="AY972" s="26"/>
      <c r="AZ972" s="26"/>
      <c r="BA972" s="26"/>
      <c r="BB972" s="26"/>
      <c r="BC972" s="26"/>
      <c r="BD972" s="26"/>
      <c r="BE972" s="26"/>
      <c r="BF972" s="26"/>
      <c r="BG972" s="26"/>
      <c r="BH972" s="26"/>
      <c r="BI972" s="26"/>
    </row>
    <row r="973" ht="14.25" customHeight="1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  <c r="AA973" s="26"/>
      <c r="AB973" s="26"/>
      <c r="AC973" s="26"/>
      <c r="AD973" s="26"/>
      <c r="AE973" s="26"/>
      <c r="AF973" s="26"/>
      <c r="AG973" s="26"/>
      <c r="AH973" s="26"/>
      <c r="AI973" s="26"/>
      <c r="AJ973" s="26"/>
      <c r="AK973" s="26"/>
      <c r="AL973" s="26"/>
      <c r="AM973" s="26"/>
      <c r="AN973" s="26"/>
      <c r="AO973" s="26"/>
      <c r="AP973" s="26"/>
      <c r="AQ973" s="26"/>
      <c r="AR973" s="26"/>
      <c r="AS973" s="26"/>
      <c r="AT973" s="26"/>
      <c r="AU973" s="26"/>
      <c r="AV973" s="26"/>
      <c r="AW973" s="26"/>
      <c r="AX973" s="26"/>
      <c r="AY973" s="26"/>
      <c r="AZ973" s="26"/>
      <c r="BA973" s="26"/>
      <c r="BB973" s="26"/>
      <c r="BC973" s="26"/>
      <c r="BD973" s="26"/>
      <c r="BE973" s="26"/>
      <c r="BF973" s="26"/>
      <c r="BG973" s="26"/>
      <c r="BH973" s="26"/>
      <c r="BI973" s="26"/>
    </row>
    <row r="974" ht="14.25" customHeight="1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  <c r="AA974" s="26"/>
      <c r="AB974" s="26"/>
      <c r="AC974" s="26"/>
      <c r="AD974" s="26"/>
      <c r="AE974" s="26"/>
      <c r="AF974" s="26"/>
      <c r="AG974" s="26"/>
      <c r="AH974" s="26"/>
      <c r="AI974" s="26"/>
      <c r="AJ974" s="26"/>
      <c r="AK974" s="26"/>
      <c r="AL974" s="26"/>
      <c r="AM974" s="26"/>
      <c r="AN974" s="26"/>
      <c r="AO974" s="26"/>
      <c r="AP974" s="26"/>
      <c r="AQ974" s="26"/>
      <c r="AR974" s="26"/>
      <c r="AS974" s="26"/>
      <c r="AT974" s="26"/>
      <c r="AU974" s="26"/>
      <c r="AV974" s="26"/>
      <c r="AW974" s="26"/>
      <c r="AX974" s="26"/>
      <c r="AY974" s="26"/>
      <c r="AZ974" s="26"/>
      <c r="BA974" s="26"/>
      <c r="BB974" s="26"/>
      <c r="BC974" s="26"/>
      <c r="BD974" s="26"/>
      <c r="BE974" s="26"/>
      <c r="BF974" s="26"/>
      <c r="BG974" s="26"/>
      <c r="BH974" s="26"/>
      <c r="BI974" s="26"/>
    </row>
    <row r="975" ht="14.25" customHeight="1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  <c r="AA975" s="26"/>
      <c r="AB975" s="26"/>
      <c r="AC975" s="26"/>
      <c r="AD975" s="26"/>
      <c r="AE975" s="26"/>
      <c r="AF975" s="26"/>
      <c r="AG975" s="26"/>
      <c r="AH975" s="26"/>
      <c r="AI975" s="26"/>
      <c r="AJ975" s="26"/>
      <c r="AK975" s="26"/>
      <c r="AL975" s="26"/>
      <c r="AM975" s="26"/>
      <c r="AN975" s="26"/>
      <c r="AO975" s="26"/>
      <c r="AP975" s="26"/>
      <c r="AQ975" s="26"/>
      <c r="AR975" s="26"/>
      <c r="AS975" s="26"/>
      <c r="AT975" s="26"/>
      <c r="AU975" s="26"/>
      <c r="AV975" s="26"/>
      <c r="AW975" s="26"/>
      <c r="AX975" s="26"/>
      <c r="AY975" s="26"/>
      <c r="AZ975" s="26"/>
      <c r="BA975" s="26"/>
      <c r="BB975" s="26"/>
      <c r="BC975" s="26"/>
      <c r="BD975" s="26"/>
      <c r="BE975" s="26"/>
      <c r="BF975" s="26"/>
      <c r="BG975" s="26"/>
      <c r="BH975" s="26"/>
      <c r="BI975" s="26"/>
    </row>
    <row r="976" ht="14.25" customHeight="1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  <c r="AA976" s="26"/>
      <c r="AB976" s="26"/>
      <c r="AC976" s="26"/>
      <c r="AD976" s="26"/>
      <c r="AE976" s="26"/>
      <c r="AF976" s="26"/>
      <c r="AG976" s="26"/>
      <c r="AH976" s="26"/>
      <c r="AI976" s="26"/>
      <c r="AJ976" s="26"/>
      <c r="AK976" s="26"/>
      <c r="AL976" s="26"/>
      <c r="AM976" s="26"/>
      <c r="AN976" s="26"/>
      <c r="AO976" s="26"/>
      <c r="AP976" s="26"/>
      <c r="AQ976" s="26"/>
      <c r="AR976" s="26"/>
      <c r="AS976" s="26"/>
      <c r="AT976" s="26"/>
      <c r="AU976" s="26"/>
      <c r="AV976" s="26"/>
      <c r="AW976" s="26"/>
      <c r="AX976" s="26"/>
      <c r="AY976" s="26"/>
      <c r="AZ976" s="26"/>
      <c r="BA976" s="26"/>
      <c r="BB976" s="26"/>
      <c r="BC976" s="26"/>
      <c r="BD976" s="26"/>
      <c r="BE976" s="26"/>
      <c r="BF976" s="26"/>
      <c r="BG976" s="26"/>
      <c r="BH976" s="26"/>
      <c r="BI976" s="26"/>
    </row>
    <row r="977" ht="14.25" customHeight="1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  <c r="AA977" s="26"/>
      <c r="AB977" s="26"/>
      <c r="AC977" s="26"/>
      <c r="AD977" s="26"/>
      <c r="AE977" s="26"/>
      <c r="AF977" s="26"/>
      <c r="AG977" s="26"/>
      <c r="AH977" s="26"/>
      <c r="AI977" s="26"/>
      <c r="AJ977" s="26"/>
      <c r="AK977" s="26"/>
      <c r="AL977" s="26"/>
      <c r="AM977" s="26"/>
      <c r="AN977" s="26"/>
      <c r="AO977" s="26"/>
      <c r="AP977" s="26"/>
      <c r="AQ977" s="26"/>
      <c r="AR977" s="26"/>
      <c r="AS977" s="26"/>
      <c r="AT977" s="26"/>
      <c r="AU977" s="26"/>
      <c r="AV977" s="26"/>
      <c r="AW977" s="26"/>
      <c r="AX977" s="26"/>
      <c r="AY977" s="26"/>
      <c r="AZ977" s="26"/>
      <c r="BA977" s="26"/>
      <c r="BB977" s="26"/>
      <c r="BC977" s="26"/>
      <c r="BD977" s="26"/>
      <c r="BE977" s="26"/>
      <c r="BF977" s="26"/>
      <c r="BG977" s="26"/>
      <c r="BH977" s="26"/>
      <c r="BI977" s="26"/>
    </row>
    <row r="978" ht="14.25" customHeight="1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  <c r="AA978" s="26"/>
      <c r="AB978" s="26"/>
      <c r="AC978" s="26"/>
      <c r="AD978" s="26"/>
      <c r="AE978" s="26"/>
      <c r="AF978" s="26"/>
      <c r="AG978" s="26"/>
      <c r="AH978" s="26"/>
      <c r="AI978" s="26"/>
      <c r="AJ978" s="26"/>
      <c r="AK978" s="26"/>
      <c r="AL978" s="26"/>
      <c r="AM978" s="26"/>
      <c r="AN978" s="26"/>
      <c r="AO978" s="26"/>
      <c r="AP978" s="26"/>
      <c r="AQ978" s="26"/>
      <c r="AR978" s="26"/>
      <c r="AS978" s="26"/>
      <c r="AT978" s="26"/>
      <c r="AU978" s="26"/>
      <c r="AV978" s="26"/>
      <c r="AW978" s="26"/>
      <c r="AX978" s="26"/>
      <c r="AY978" s="26"/>
      <c r="AZ978" s="26"/>
      <c r="BA978" s="26"/>
      <c r="BB978" s="26"/>
      <c r="BC978" s="26"/>
      <c r="BD978" s="26"/>
      <c r="BE978" s="26"/>
      <c r="BF978" s="26"/>
      <c r="BG978" s="26"/>
      <c r="BH978" s="26"/>
      <c r="BI978" s="26"/>
    </row>
    <row r="979" ht="14.25" customHeight="1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  <c r="AA979" s="26"/>
      <c r="AB979" s="26"/>
      <c r="AC979" s="26"/>
      <c r="AD979" s="26"/>
      <c r="AE979" s="26"/>
      <c r="AF979" s="26"/>
      <c r="AG979" s="26"/>
      <c r="AH979" s="26"/>
      <c r="AI979" s="26"/>
      <c r="AJ979" s="26"/>
      <c r="AK979" s="26"/>
      <c r="AL979" s="26"/>
      <c r="AM979" s="26"/>
      <c r="AN979" s="26"/>
      <c r="AO979" s="26"/>
      <c r="AP979" s="26"/>
      <c r="AQ979" s="26"/>
      <c r="AR979" s="26"/>
      <c r="AS979" s="26"/>
      <c r="AT979" s="26"/>
      <c r="AU979" s="26"/>
      <c r="AV979" s="26"/>
      <c r="AW979" s="26"/>
      <c r="AX979" s="26"/>
      <c r="AY979" s="26"/>
      <c r="AZ979" s="26"/>
      <c r="BA979" s="26"/>
      <c r="BB979" s="26"/>
      <c r="BC979" s="26"/>
      <c r="BD979" s="26"/>
      <c r="BE979" s="26"/>
      <c r="BF979" s="26"/>
      <c r="BG979" s="26"/>
      <c r="BH979" s="26"/>
      <c r="BI979" s="26"/>
    </row>
    <row r="980" ht="14.25" customHeight="1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  <c r="AA980" s="26"/>
      <c r="AB980" s="26"/>
      <c r="AC980" s="26"/>
      <c r="AD980" s="26"/>
      <c r="AE980" s="26"/>
      <c r="AF980" s="26"/>
      <c r="AG980" s="26"/>
      <c r="AH980" s="26"/>
      <c r="AI980" s="26"/>
      <c r="AJ980" s="26"/>
      <c r="AK980" s="26"/>
      <c r="AL980" s="26"/>
      <c r="AM980" s="26"/>
      <c r="AN980" s="26"/>
      <c r="AO980" s="26"/>
      <c r="AP980" s="26"/>
      <c r="AQ980" s="26"/>
      <c r="AR980" s="26"/>
      <c r="AS980" s="26"/>
      <c r="AT980" s="26"/>
      <c r="AU980" s="26"/>
      <c r="AV980" s="26"/>
      <c r="AW980" s="26"/>
      <c r="AX980" s="26"/>
      <c r="AY980" s="26"/>
      <c r="AZ980" s="26"/>
      <c r="BA980" s="26"/>
      <c r="BB980" s="26"/>
      <c r="BC980" s="26"/>
      <c r="BD980" s="26"/>
      <c r="BE980" s="26"/>
      <c r="BF980" s="26"/>
      <c r="BG980" s="26"/>
      <c r="BH980" s="26"/>
      <c r="BI980" s="26"/>
    </row>
    <row r="981" ht="14.25" customHeight="1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  <c r="AA981" s="26"/>
      <c r="AB981" s="26"/>
      <c r="AC981" s="26"/>
      <c r="AD981" s="26"/>
      <c r="AE981" s="26"/>
      <c r="AF981" s="26"/>
      <c r="AG981" s="26"/>
      <c r="AH981" s="26"/>
      <c r="AI981" s="26"/>
      <c r="AJ981" s="26"/>
      <c r="AK981" s="26"/>
      <c r="AL981" s="26"/>
      <c r="AM981" s="26"/>
      <c r="AN981" s="26"/>
      <c r="AO981" s="26"/>
      <c r="AP981" s="26"/>
      <c r="AQ981" s="26"/>
      <c r="AR981" s="26"/>
      <c r="AS981" s="26"/>
      <c r="AT981" s="26"/>
      <c r="AU981" s="26"/>
      <c r="AV981" s="26"/>
      <c r="AW981" s="26"/>
      <c r="AX981" s="26"/>
      <c r="AY981" s="26"/>
      <c r="AZ981" s="26"/>
      <c r="BA981" s="26"/>
      <c r="BB981" s="26"/>
      <c r="BC981" s="26"/>
      <c r="BD981" s="26"/>
      <c r="BE981" s="26"/>
      <c r="BF981" s="26"/>
      <c r="BG981" s="26"/>
      <c r="BH981" s="26"/>
      <c r="BI981" s="26"/>
    </row>
    <row r="982" ht="14.25" customHeight="1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  <c r="AA982" s="26"/>
      <c r="AB982" s="26"/>
      <c r="AC982" s="26"/>
      <c r="AD982" s="26"/>
      <c r="AE982" s="26"/>
      <c r="AF982" s="26"/>
      <c r="AG982" s="26"/>
      <c r="AH982" s="26"/>
      <c r="AI982" s="26"/>
      <c r="AJ982" s="26"/>
      <c r="AK982" s="26"/>
      <c r="AL982" s="26"/>
      <c r="AM982" s="26"/>
      <c r="AN982" s="26"/>
      <c r="AO982" s="26"/>
      <c r="AP982" s="26"/>
      <c r="AQ982" s="26"/>
      <c r="AR982" s="26"/>
      <c r="AS982" s="26"/>
      <c r="AT982" s="26"/>
      <c r="AU982" s="26"/>
      <c r="AV982" s="26"/>
      <c r="AW982" s="26"/>
      <c r="AX982" s="26"/>
      <c r="AY982" s="26"/>
      <c r="AZ982" s="26"/>
      <c r="BA982" s="26"/>
      <c r="BB982" s="26"/>
      <c r="BC982" s="26"/>
      <c r="BD982" s="26"/>
      <c r="BE982" s="26"/>
      <c r="BF982" s="26"/>
      <c r="BG982" s="26"/>
      <c r="BH982" s="26"/>
      <c r="BI982" s="26"/>
    </row>
    <row r="983" ht="14.25" customHeight="1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  <c r="AA983" s="26"/>
      <c r="AB983" s="26"/>
      <c r="AC983" s="26"/>
      <c r="AD983" s="26"/>
      <c r="AE983" s="26"/>
      <c r="AF983" s="26"/>
      <c r="AG983" s="26"/>
      <c r="AH983" s="26"/>
      <c r="AI983" s="26"/>
      <c r="AJ983" s="26"/>
      <c r="AK983" s="26"/>
      <c r="AL983" s="26"/>
      <c r="AM983" s="26"/>
      <c r="AN983" s="26"/>
      <c r="AO983" s="26"/>
      <c r="AP983" s="26"/>
      <c r="AQ983" s="26"/>
      <c r="AR983" s="26"/>
      <c r="AS983" s="26"/>
      <c r="AT983" s="26"/>
      <c r="AU983" s="26"/>
      <c r="AV983" s="26"/>
      <c r="AW983" s="26"/>
      <c r="AX983" s="26"/>
      <c r="AY983" s="26"/>
      <c r="AZ983" s="26"/>
      <c r="BA983" s="26"/>
      <c r="BB983" s="26"/>
      <c r="BC983" s="26"/>
      <c r="BD983" s="26"/>
      <c r="BE983" s="26"/>
      <c r="BF983" s="26"/>
      <c r="BG983" s="26"/>
      <c r="BH983" s="26"/>
      <c r="BI983" s="26"/>
    </row>
    <row r="984" ht="14.25" customHeight="1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  <c r="AA984" s="26"/>
      <c r="AB984" s="26"/>
      <c r="AC984" s="26"/>
      <c r="AD984" s="26"/>
      <c r="AE984" s="26"/>
      <c r="AF984" s="26"/>
      <c r="AG984" s="26"/>
      <c r="AH984" s="26"/>
      <c r="AI984" s="26"/>
      <c r="AJ984" s="26"/>
      <c r="AK984" s="26"/>
      <c r="AL984" s="26"/>
      <c r="AM984" s="26"/>
      <c r="AN984" s="26"/>
      <c r="AO984" s="26"/>
      <c r="AP984" s="26"/>
      <c r="AQ984" s="26"/>
      <c r="AR984" s="26"/>
      <c r="AS984" s="26"/>
      <c r="AT984" s="26"/>
      <c r="AU984" s="26"/>
      <c r="AV984" s="26"/>
      <c r="AW984" s="26"/>
      <c r="AX984" s="26"/>
      <c r="AY984" s="26"/>
      <c r="AZ984" s="26"/>
      <c r="BA984" s="26"/>
      <c r="BB984" s="26"/>
      <c r="BC984" s="26"/>
      <c r="BD984" s="26"/>
      <c r="BE984" s="26"/>
      <c r="BF984" s="26"/>
      <c r="BG984" s="26"/>
      <c r="BH984" s="26"/>
      <c r="BI984" s="26"/>
    </row>
    <row r="985" ht="14.25" customHeight="1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  <c r="AA985" s="26"/>
      <c r="AB985" s="26"/>
      <c r="AC985" s="26"/>
      <c r="AD985" s="26"/>
      <c r="AE985" s="26"/>
      <c r="AF985" s="26"/>
      <c r="AG985" s="26"/>
      <c r="AH985" s="26"/>
      <c r="AI985" s="26"/>
      <c r="AJ985" s="26"/>
      <c r="AK985" s="26"/>
      <c r="AL985" s="26"/>
      <c r="AM985" s="26"/>
      <c r="AN985" s="26"/>
      <c r="AO985" s="26"/>
      <c r="AP985" s="26"/>
      <c r="AQ985" s="26"/>
      <c r="AR985" s="26"/>
      <c r="AS985" s="26"/>
      <c r="AT985" s="26"/>
      <c r="AU985" s="26"/>
      <c r="AV985" s="26"/>
      <c r="AW985" s="26"/>
      <c r="AX985" s="26"/>
      <c r="AY985" s="26"/>
      <c r="AZ985" s="26"/>
      <c r="BA985" s="26"/>
      <c r="BB985" s="26"/>
      <c r="BC985" s="26"/>
      <c r="BD985" s="26"/>
      <c r="BE985" s="26"/>
      <c r="BF985" s="26"/>
      <c r="BG985" s="26"/>
      <c r="BH985" s="26"/>
      <c r="BI985" s="26"/>
    </row>
    <row r="986" ht="14.25" customHeight="1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  <c r="AA986" s="26"/>
      <c r="AB986" s="26"/>
      <c r="AC986" s="26"/>
      <c r="AD986" s="26"/>
      <c r="AE986" s="26"/>
      <c r="AF986" s="26"/>
      <c r="AG986" s="26"/>
      <c r="AH986" s="26"/>
      <c r="AI986" s="26"/>
      <c r="AJ986" s="26"/>
      <c r="AK986" s="26"/>
      <c r="AL986" s="26"/>
      <c r="AM986" s="26"/>
      <c r="AN986" s="26"/>
      <c r="AO986" s="26"/>
      <c r="AP986" s="26"/>
      <c r="AQ986" s="26"/>
      <c r="AR986" s="26"/>
      <c r="AS986" s="26"/>
      <c r="AT986" s="26"/>
      <c r="AU986" s="26"/>
      <c r="AV986" s="26"/>
      <c r="AW986" s="26"/>
      <c r="AX986" s="26"/>
      <c r="AY986" s="26"/>
      <c r="AZ986" s="26"/>
      <c r="BA986" s="26"/>
      <c r="BB986" s="26"/>
      <c r="BC986" s="26"/>
      <c r="BD986" s="26"/>
      <c r="BE986" s="26"/>
      <c r="BF986" s="26"/>
      <c r="BG986" s="26"/>
      <c r="BH986" s="26"/>
      <c r="BI986" s="26"/>
    </row>
    <row r="987" ht="14.25" customHeight="1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  <c r="AA987" s="26"/>
      <c r="AB987" s="26"/>
      <c r="AC987" s="26"/>
      <c r="AD987" s="26"/>
      <c r="AE987" s="26"/>
      <c r="AF987" s="26"/>
      <c r="AG987" s="26"/>
      <c r="AH987" s="26"/>
      <c r="AI987" s="26"/>
      <c r="AJ987" s="26"/>
      <c r="AK987" s="26"/>
      <c r="AL987" s="26"/>
      <c r="AM987" s="26"/>
      <c r="AN987" s="26"/>
      <c r="AO987" s="26"/>
      <c r="AP987" s="26"/>
      <c r="AQ987" s="26"/>
      <c r="AR987" s="26"/>
      <c r="AS987" s="26"/>
      <c r="AT987" s="26"/>
      <c r="AU987" s="26"/>
      <c r="AV987" s="26"/>
      <c r="AW987" s="26"/>
      <c r="AX987" s="26"/>
      <c r="AY987" s="26"/>
      <c r="AZ987" s="26"/>
      <c r="BA987" s="26"/>
      <c r="BB987" s="26"/>
      <c r="BC987" s="26"/>
      <c r="BD987" s="26"/>
      <c r="BE987" s="26"/>
      <c r="BF987" s="26"/>
      <c r="BG987" s="26"/>
      <c r="BH987" s="26"/>
      <c r="BI987" s="26"/>
    </row>
    <row r="988" ht="14.25" customHeight="1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  <c r="AA988" s="26"/>
      <c r="AB988" s="26"/>
      <c r="AC988" s="26"/>
      <c r="AD988" s="26"/>
      <c r="AE988" s="26"/>
      <c r="AF988" s="26"/>
      <c r="AG988" s="26"/>
      <c r="AH988" s="26"/>
      <c r="AI988" s="26"/>
      <c r="AJ988" s="26"/>
      <c r="AK988" s="26"/>
      <c r="AL988" s="26"/>
      <c r="AM988" s="26"/>
      <c r="AN988" s="26"/>
      <c r="AO988" s="26"/>
      <c r="AP988" s="26"/>
      <c r="AQ988" s="26"/>
      <c r="AR988" s="26"/>
      <c r="AS988" s="26"/>
      <c r="AT988" s="26"/>
      <c r="AU988" s="26"/>
      <c r="AV988" s="26"/>
      <c r="AW988" s="26"/>
      <c r="AX988" s="26"/>
      <c r="AY988" s="26"/>
      <c r="AZ988" s="26"/>
      <c r="BA988" s="26"/>
      <c r="BB988" s="26"/>
      <c r="BC988" s="26"/>
      <c r="BD988" s="26"/>
      <c r="BE988" s="26"/>
      <c r="BF988" s="26"/>
      <c r="BG988" s="26"/>
      <c r="BH988" s="26"/>
      <c r="BI988" s="26"/>
    </row>
    <row r="989" ht="14.25" customHeight="1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  <c r="AA989" s="26"/>
      <c r="AB989" s="26"/>
      <c r="AC989" s="26"/>
      <c r="AD989" s="26"/>
      <c r="AE989" s="26"/>
      <c r="AF989" s="26"/>
      <c r="AG989" s="26"/>
      <c r="AH989" s="26"/>
      <c r="AI989" s="26"/>
      <c r="AJ989" s="26"/>
      <c r="AK989" s="26"/>
      <c r="AL989" s="26"/>
      <c r="AM989" s="26"/>
      <c r="AN989" s="26"/>
      <c r="AO989" s="26"/>
      <c r="AP989" s="26"/>
      <c r="AQ989" s="26"/>
      <c r="AR989" s="26"/>
      <c r="AS989" s="26"/>
      <c r="AT989" s="26"/>
      <c r="AU989" s="26"/>
      <c r="AV989" s="26"/>
      <c r="AW989" s="26"/>
      <c r="AX989" s="26"/>
      <c r="AY989" s="26"/>
      <c r="AZ989" s="26"/>
      <c r="BA989" s="26"/>
      <c r="BB989" s="26"/>
      <c r="BC989" s="26"/>
      <c r="BD989" s="26"/>
      <c r="BE989" s="26"/>
      <c r="BF989" s="26"/>
      <c r="BG989" s="26"/>
      <c r="BH989" s="26"/>
      <c r="BI989" s="26"/>
    </row>
    <row r="990" ht="14.25" customHeight="1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  <c r="AA990" s="26"/>
      <c r="AB990" s="26"/>
      <c r="AC990" s="26"/>
      <c r="AD990" s="26"/>
      <c r="AE990" s="26"/>
      <c r="AF990" s="26"/>
      <c r="AG990" s="26"/>
      <c r="AH990" s="26"/>
      <c r="AI990" s="26"/>
      <c r="AJ990" s="26"/>
      <c r="AK990" s="26"/>
      <c r="AL990" s="26"/>
      <c r="AM990" s="26"/>
      <c r="AN990" s="26"/>
      <c r="AO990" s="26"/>
      <c r="AP990" s="26"/>
      <c r="AQ990" s="26"/>
      <c r="AR990" s="26"/>
      <c r="AS990" s="26"/>
      <c r="AT990" s="26"/>
      <c r="AU990" s="26"/>
      <c r="AV990" s="26"/>
      <c r="AW990" s="26"/>
      <c r="AX990" s="26"/>
      <c r="AY990" s="26"/>
      <c r="AZ990" s="26"/>
      <c r="BA990" s="26"/>
      <c r="BB990" s="26"/>
      <c r="BC990" s="26"/>
      <c r="BD990" s="26"/>
      <c r="BE990" s="26"/>
      <c r="BF990" s="26"/>
      <c r="BG990" s="26"/>
      <c r="BH990" s="26"/>
      <c r="BI990" s="26"/>
    </row>
    <row r="991" ht="14.25" customHeight="1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  <c r="AA991" s="26"/>
      <c r="AB991" s="26"/>
      <c r="AC991" s="26"/>
      <c r="AD991" s="26"/>
      <c r="AE991" s="26"/>
      <c r="AF991" s="26"/>
      <c r="AG991" s="26"/>
      <c r="AH991" s="26"/>
      <c r="AI991" s="26"/>
      <c r="AJ991" s="26"/>
      <c r="AK991" s="26"/>
      <c r="AL991" s="26"/>
      <c r="AM991" s="26"/>
      <c r="AN991" s="26"/>
      <c r="AO991" s="26"/>
      <c r="AP991" s="26"/>
      <c r="AQ991" s="26"/>
      <c r="AR991" s="26"/>
      <c r="AS991" s="26"/>
      <c r="AT991" s="26"/>
      <c r="AU991" s="26"/>
      <c r="AV991" s="26"/>
      <c r="AW991" s="26"/>
      <c r="AX991" s="26"/>
      <c r="AY991" s="26"/>
      <c r="AZ991" s="26"/>
      <c r="BA991" s="26"/>
      <c r="BB991" s="26"/>
      <c r="BC991" s="26"/>
      <c r="BD991" s="26"/>
      <c r="BE991" s="26"/>
      <c r="BF991" s="26"/>
      <c r="BG991" s="26"/>
      <c r="BH991" s="26"/>
      <c r="BI991" s="26"/>
    </row>
    <row r="992" ht="14.25" customHeight="1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  <c r="AA992" s="26"/>
      <c r="AB992" s="26"/>
      <c r="AC992" s="26"/>
      <c r="AD992" s="26"/>
      <c r="AE992" s="26"/>
      <c r="AF992" s="26"/>
      <c r="AG992" s="26"/>
      <c r="AH992" s="26"/>
      <c r="AI992" s="26"/>
      <c r="AJ992" s="26"/>
      <c r="AK992" s="26"/>
      <c r="AL992" s="26"/>
      <c r="AM992" s="26"/>
      <c r="AN992" s="26"/>
      <c r="AO992" s="26"/>
      <c r="AP992" s="26"/>
      <c r="AQ992" s="26"/>
      <c r="AR992" s="26"/>
      <c r="AS992" s="26"/>
      <c r="AT992" s="26"/>
      <c r="AU992" s="26"/>
      <c r="AV992" s="26"/>
      <c r="AW992" s="26"/>
      <c r="AX992" s="26"/>
      <c r="AY992" s="26"/>
      <c r="AZ992" s="26"/>
      <c r="BA992" s="26"/>
      <c r="BB992" s="26"/>
      <c r="BC992" s="26"/>
      <c r="BD992" s="26"/>
      <c r="BE992" s="26"/>
      <c r="BF992" s="26"/>
      <c r="BG992" s="26"/>
      <c r="BH992" s="26"/>
      <c r="BI992" s="26"/>
    </row>
    <row r="993" ht="14.25" customHeight="1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  <c r="AA993" s="26"/>
      <c r="AB993" s="26"/>
      <c r="AC993" s="26"/>
      <c r="AD993" s="26"/>
      <c r="AE993" s="26"/>
      <c r="AF993" s="26"/>
      <c r="AG993" s="26"/>
      <c r="AH993" s="26"/>
      <c r="AI993" s="26"/>
      <c r="AJ993" s="26"/>
      <c r="AK993" s="26"/>
      <c r="AL993" s="26"/>
      <c r="AM993" s="26"/>
      <c r="AN993" s="26"/>
      <c r="AO993" s="26"/>
      <c r="AP993" s="26"/>
      <c r="AQ993" s="26"/>
      <c r="AR993" s="26"/>
      <c r="AS993" s="26"/>
      <c r="AT993" s="26"/>
      <c r="AU993" s="26"/>
      <c r="AV993" s="26"/>
      <c r="AW993" s="26"/>
      <c r="AX993" s="26"/>
      <c r="AY993" s="26"/>
      <c r="AZ993" s="26"/>
      <c r="BA993" s="26"/>
      <c r="BB993" s="26"/>
      <c r="BC993" s="26"/>
      <c r="BD993" s="26"/>
      <c r="BE993" s="26"/>
      <c r="BF993" s="26"/>
      <c r="BG993" s="26"/>
      <c r="BH993" s="26"/>
      <c r="BI993" s="26"/>
    </row>
    <row r="994" ht="14.25" customHeight="1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  <c r="AA994" s="26"/>
      <c r="AB994" s="26"/>
      <c r="AC994" s="26"/>
      <c r="AD994" s="26"/>
      <c r="AE994" s="26"/>
      <c r="AF994" s="26"/>
      <c r="AG994" s="26"/>
      <c r="AH994" s="26"/>
      <c r="AI994" s="26"/>
      <c r="AJ994" s="26"/>
      <c r="AK994" s="26"/>
      <c r="AL994" s="26"/>
      <c r="AM994" s="26"/>
      <c r="AN994" s="26"/>
      <c r="AO994" s="26"/>
      <c r="AP994" s="26"/>
      <c r="AQ994" s="26"/>
      <c r="AR994" s="26"/>
      <c r="AS994" s="26"/>
      <c r="AT994" s="26"/>
      <c r="AU994" s="26"/>
      <c r="AV994" s="26"/>
      <c r="AW994" s="26"/>
      <c r="AX994" s="26"/>
      <c r="AY994" s="26"/>
      <c r="AZ994" s="26"/>
      <c r="BA994" s="26"/>
      <c r="BB994" s="26"/>
      <c r="BC994" s="26"/>
      <c r="BD994" s="26"/>
      <c r="BE994" s="26"/>
      <c r="BF994" s="26"/>
      <c r="BG994" s="26"/>
      <c r="BH994" s="26"/>
      <c r="BI994" s="26"/>
    </row>
    <row r="995" ht="14.25" customHeight="1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  <c r="AA995" s="26"/>
      <c r="AB995" s="26"/>
      <c r="AC995" s="26"/>
      <c r="AD995" s="26"/>
      <c r="AE995" s="26"/>
      <c r="AF995" s="26"/>
      <c r="AG995" s="26"/>
      <c r="AH995" s="26"/>
      <c r="AI995" s="26"/>
      <c r="AJ995" s="26"/>
      <c r="AK995" s="26"/>
      <c r="AL995" s="26"/>
      <c r="AM995" s="26"/>
      <c r="AN995" s="26"/>
      <c r="AO995" s="26"/>
      <c r="AP995" s="26"/>
      <c r="AQ995" s="26"/>
      <c r="AR995" s="26"/>
      <c r="AS995" s="26"/>
      <c r="AT995" s="26"/>
      <c r="AU995" s="26"/>
      <c r="AV995" s="26"/>
      <c r="AW995" s="26"/>
      <c r="AX995" s="26"/>
      <c r="AY995" s="26"/>
      <c r="AZ995" s="26"/>
      <c r="BA995" s="26"/>
      <c r="BB995" s="26"/>
      <c r="BC995" s="26"/>
      <c r="BD995" s="26"/>
      <c r="BE995" s="26"/>
      <c r="BF995" s="26"/>
      <c r="BG995" s="26"/>
      <c r="BH995" s="26"/>
      <c r="BI995" s="26"/>
    </row>
    <row r="996" ht="14.25" customHeight="1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  <c r="AA996" s="26"/>
      <c r="AB996" s="26"/>
      <c r="AC996" s="26"/>
      <c r="AD996" s="26"/>
      <c r="AE996" s="26"/>
      <c r="AF996" s="26"/>
      <c r="AG996" s="26"/>
      <c r="AH996" s="26"/>
      <c r="AI996" s="26"/>
      <c r="AJ996" s="26"/>
      <c r="AK996" s="26"/>
      <c r="AL996" s="26"/>
      <c r="AM996" s="26"/>
      <c r="AN996" s="26"/>
      <c r="AO996" s="26"/>
      <c r="AP996" s="26"/>
      <c r="AQ996" s="26"/>
      <c r="AR996" s="26"/>
      <c r="AS996" s="26"/>
      <c r="AT996" s="26"/>
      <c r="AU996" s="26"/>
      <c r="AV996" s="26"/>
      <c r="AW996" s="26"/>
      <c r="AX996" s="26"/>
      <c r="AY996" s="26"/>
      <c r="AZ996" s="26"/>
      <c r="BA996" s="26"/>
      <c r="BB996" s="26"/>
      <c r="BC996" s="26"/>
      <c r="BD996" s="26"/>
      <c r="BE996" s="26"/>
      <c r="BF996" s="26"/>
      <c r="BG996" s="26"/>
      <c r="BH996" s="26"/>
      <c r="BI996" s="26"/>
    </row>
    <row r="997" ht="14.25" customHeight="1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  <c r="AA997" s="26"/>
      <c r="AB997" s="26"/>
      <c r="AC997" s="26"/>
      <c r="AD997" s="26"/>
      <c r="AE997" s="26"/>
      <c r="AF997" s="26"/>
      <c r="AG997" s="26"/>
      <c r="AH997" s="26"/>
      <c r="AI997" s="26"/>
      <c r="AJ997" s="26"/>
      <c r="AK997" s="26"/>
      <c r="AL997" s="26"/>
      <c r="AM997" s="26"/>
      <c r="AN997" s="26"/>
      <c r="AO997" s="26"/>
      <c r="AP997" s="26"/>
      <c r="AQ997" s="26"/>
      <c r="AR997" s="26"/>
      <c r="AS997" s="26"/>
      <c r="AT997" s="26"/>
      <c r="AU997" s="26"/>
      <c r="AV997" s="26"/>
      <c r="AW997" s="26"/>
      <c r="AX997" s="26"/>
      <c r="AY997" s="26"/>
      <c r="AZ997" s="26"/>
      <c r="BA997" s="26"/>
      <c r="BB997" s="26"/>
      <c r="BC997" s="26"/>
      <c r="BD997" s="26"/>
      <c r="BE997" s="26"/>
      <c r="BF997" s="26"/>
      <c r="BG997" s="26"/>
      <c r="BH997" s="26"/>
      <c r="BI997" s="26"/>
    </row>
    <row r="998" ht="14.25" customHeight="1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  <c r="AA998" s="26"/>
      <c r="AB998" s="26"/>
      <c r="AC998" s="26"/>
      <c r="AD998" s="26"/>
      <c r="AE998" s="26"/>
      <c r="AF998" s="26"/>
      <c r="AG998" s="26"/>
      <c r="AH998" s="26"/>
      <c r="AI998" s="26"/>
      <c r="AJ998" s="26"/>
      <c r="AK998" s="26"/>
      <c r="AL998" s="26"/>
      <c r="AM998" s="26"/>
      <c r="AN998" s="26"/>
      <c r="AO998" s="26"/>
      <c r="AP998" s="26"/>
      <c r="AQ998" s="26"/>
      <c r="AR998" s="26"/>
      <c r="AS998" s="26"/>
      <c r="AT998" s="26"/>
      <c r="AU998" s="26"/>
      <c r="AV998" s="26"/>
      <c r="AW998" s="26"/>
      <c r="AX998" s="26"/>
      <c r="AY998" s="26"/>
      <c r="AZ998" s="26"/>
      <c r="BA998" s="26"/>
      <c r="BB998" s="26"/>
      <c r="BC998" s="26"/>
      <c r="BD998" s="26"/>
      <c r="BE998" s="26"/>
      <c r="BF998" s="26"/>
      <c r="BG998" s="26"/>
      <c r="BH998" s="26"/>
      <c r="BI998" s="26"/>
    </row>
    <row r="999" ht="14.25" customHeight="1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  <c r="AA999" s="26"/>
      <c r="AB999" s="26"/>
      <c r="AC999" s="26"/>
      <c r="AD999" s="26"/>
      <c r="AE999" s="26"/>
      <c r="AF999" s="26"/>
      <c r="AG999" s="26"/>
      <c r="AH999" s="26"/>
      <c r="AI999" s="26"/>
      <c r="AJ999" s="26"/>
      <c r="AK999" s="26"/>
      <c r="AL999" s="26"/>
      <c r="AM999" s="26"/>
      <c r="AN999" s="26"/>
      <c r="AO999" s="26"/>
      <c r="AP999" s="26"/>
      <c r="AQ999" s="26"/>
      <c r="AR999" s="26"/>
      <c r="AS999" s="26"/>
      <c r="AT999" s="26"/>
      <c r="AU999" s="26"/>
      <c r="AV999" s="26"/>
      <c r="AW999" s="26"/>
      <c r="AX999" s="26"/>
      <c r="AY999" s="26"/>
      <c r="AZ999" s="26"/>
      <c r="BA999" s="26"/>
      <c r="BB999" s="26"/>
      <c r="BC999" s="26"/>
      <c r="BD999" s="26"/>
      <c r="BE999" s="26"/>
      <c r="BF999" s="26"/>
      <c r="BG999" s="26"/>
      <c r="BH999" s="26"/>
      <c r="BI999" s="26"/>
    </row>
    <row r="1000" ht="14.25" customHeight="1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  <c r="AA1000" s="26"/>
      <c r="AB1000" s="26"/>
      <c r="AC1000" s="26"/>
      <c r="AD1000" s="26"/>
      <c r="AE1000" s="26"/>
      <c r="AF1000" s="26"/>
      <c r="AG1000" s="26"/>
      <c r="AH1000" s="26"/>
      <c r="AI1000" s="26"/>
      <c r="AJ1000" s="26"/>
      <c r="AK1000" s="26"/>
      <c r="AL1000" s="26"/>
      <c r="AM1000" s="26"/>
      <c r="AN1000" s="26"/>
      <c r="AO1000" s="26"/>
      <c r="AP1000" s="26"/>
      <c r="AQ1000" s="26"/>
      <c r="AR1000" s="26"/>
      <c r="AS1000" s="26"/>
      <c r="AT1000" s="26"/>
      <c r="AU1000" s="26"/>
      <c r="AV1000" s="26"/>
      <c r="AW1000" s="26"/>
      <c r="AX1000" s="26"/>
      <c r="AY1000" s="26"/>
      <c r="AZ1000" s="26"/>
      <c r="BA1000" s="26"/>
      <c r="BB1000" s="26"/>
      <c r="BC1000" s="26"/>
      <c r="BD1000" s="26"/>
      <c r="BE1000" s="26"/>
      <c r="BF1000" s="26"/>
      <c r="BG1000" s="26"/>
      <c r="BH1000" s="26"/>
      <c r="BI1000" s="26"/>
    </row>
  </sheetData>
  <autoFilter ref="$A$1:$BI$1"/>
  <mergeCells count="25">
    <mergeCell ref="B2:K2"/>
    <mergeCell ref="L2:L3"/>
    <mergeCell ref="M2:M3"/>
    <mergeCell ref="N2:N3"/>
    <mergeCell ref="O2:O3"/>
    <mergeCell ref="Q2:W2"/>
    <mergeCell ref="X2:X3"/>
    <mergeCell ref="Y2:Y3"/>
    <mergeCell ref="Z2:Z3"/>
    <mergeCell ref="AA2:AA3"/>
    <mergeCell ref="AB2:AB3"/>
    <mergeCell ref="AC2:AC3"/>
    <mergeCell ref="AD2:AD3"/>
    <mergeCell ref="AE2:AE3"/>
    <mergeCell ref="AM2:AM3"/>
    <mergeCell ref="AN2:AT2"/>
    <mergeCell ref="AU2:AY2"/>
    <mergeCell ref="AZ2:BI2"/>
    <mergeCell ref="AF2:AF3"/>
    <mergeCell ref="AG2:AG3"/>
    <mergeCell ref="AH2:AH3"/>
    <mergeCell ref="AI2:AI3"/>
    <mergeCell ref="AJ2:AJ3"/>
    <mergeCell ref="AK2:AK3"/>
    <mergeCell ref="AL2:AL3"/>
  </mergeCells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4.0" ySplit="3.0" topLeftCell="O4" activePane="bottomRight" state="frozen"/>
      <selection activeCell="O1" sqref="O1" pane="topRight"/>
      <selection activeCell="A4" sqref="A4" pane="bottomLeft"/>
      <selection activeCell="O4" sqref="O4" pane="bottomRight"/>
    </sheetView>
  </sheetViews>
  <sheetFormatPr customHeight="1" defaultColWidth="14.43" defaultRowHeight="15.0"/>
  <cols>
    <col customWidth="1" min="1" max="1" width="4.43"/>
    <col customWidth="1" min="2" max="2" width="18.86"/>
    <col customWidth="1" hidden="1" min="3" max="3" width="8.71"/>
    <col customWidth="1" min="4" max="4" width="17.43"/>
    <col customWidth="1" hidden="1" min="5" max="6" width="8.71"/>
    <col customWidth="1" min="7" max="7" width="19.29"/>
    <col customWidth="1" hidden="1" min="8" max="11" width="8.71"/>
    <col customWidth="1" min="12" max="12" width="19.14"/>
    <col customWidth="1" min="13" max="13" width="25.86"/>
    <col customWidth="1" min="14" max="14" width="27.0"/>
    <col customWidth="1" min="15" max="15" width="21.43"/>
    <col customWidth="1" min="16" max="16" width="121.0"/>
    <col customWidth="1" min="17" max="17" width="88.29"/>
    <col customWidth="1" hidden="1" min="18" max="18" width="8.71"/>
    <col customWidth="1" min="19" max="19" width="20.86"/>
    <col customWidth="1" min="20" max="20" width="13.43"/>
    <col customWidth="1" min="21" max="21" width="21.43"/>
    <col customWidth="1" min="22" max="22" width="24.0"/>
    <col customWidth="1" min="23" max="23" width="10.57"/>
    <col customWidth="1" min="24" max="24" width="19.14"/>
    <col customWidth="1" min="25" max="25" width="20.86"/>
    <col customWidth="1" min="26" max="26" width="26.43"/>
    <col customWidth="1" min="27" max="27" width="18.14"/>
    <col customWidth="1" hidden="1" min="28" max="28" width="8.71"/>
    <col customWidth="1" min="29" max="29" width="29.43"/>
    <col customWidth="1" min="30" max="30" width="11.0"/>
    <col customWidth="1" min="31" max="31" width="25.29"/>
    <col customWidth="1" min="32" max="32" width="12.0"/>
    <col customWidth="1" min="33" max="33" width="16.71"/>
    <col customWidth="1" min="34" max="34" width="35.71"/>
    <col customWidth="1" min="35" max="35" width="35.0"/>
    <col customWidth="1" min="36" max="36" width="15.86"/>
    <col customWidth="1" min="37" max="37" width="20.29"/>
    <col customWidth="1" min="38" max="38" width="14.29"/>
    <col customWidth="1" min="39" max="39" width="16.43"/>
  </cols>
  <sheetData>
    <row r="1" ht="14.25" customHeight="1">
      <c r="A1" s="42" t="s">
        <v>11</v>
      </c>
      <c r="B1" s="84">
        <f t="shared" ref="B1:D1" si="1">COUNT(B4:B1048576)</f>
        <v>4</v>
      </c>
      <c r="C1" s="26">
        <f t="shared" si="1"/>
        <v>0</v>
      </c>
      <c r="D1" s="26">
        <f t="shared" si="1"/>
        <v>0</v>
      </c>
      <c r="E1" s="26"/>
      <c r="F1" s="26">
        <f t="shared" ref="F1:G1" si="2">COUNT(F4:F1048576)</f>
        <v>0</v>
      </c>
      <c r="G1" s="26">
        <f t="shared" si="2"/>
        <v>0</v>
      </c>
      <c r="H1" s="26"/>
      <c r="I1" s="26">
        <f t="shared" ref="I1:J1" si="3">COUNT(I4:I1048576)</f>
        <v>0</v>
      </c>
      <c r="J1" s="26">
        <f t="shared" si="3"/>
        <v>0</v>
      </c>
      <c r="K1" s="26"/>
      <c r="L1" s="26"/>
      <c r="M1" s="89"/>
      <c r="N1" s="26"/>
      <c r="O1" s="26"/>
      <c r="P1" s="26"/>
      <c r="Q1" s="26"/>
      <c r="R1" s="26"/>
      <c r="S1" s="26"/>
      <c r="T1" s="26"/>
      <c r="U1" s="26"/>
      <c r="V1" s="26"/>
      <c r="W1" s="90"/>
      <c r="X1" s="26"/>
      <c r="Y1" s="89"/>
      <c r="Z1" s="26"/>
      <c r="AA1" s="26"/>
      <c r="AB1" s="89"/>
      <c r="AC1" s="91"/>
      <c r="AD1" s="26"/>
      <c r="AE1" s="26"/>
      <c r="AF1" s="26"/>
      <c r="AG1" s="26"/>
      <c r="AH1" s="26"/>
      <c r="AI1" s="26"/>
      <c r="AJ1" s="26"/>
      <c r="AK1" s="26"/>
      <c r="AL1" s="89"/>
      <c r="AM1" s="89"/>
    </row>
    <row r="2" ht="14.25" customHeight="1">
      <c r="A2" s="25"/>
      <c r="B2" s="92" t="s">
        <v>15</v>
      </c>
      <c r="C2" s="28"/>
      <c r="D2" s="28"/>
      <c r="E2" s="28"/>
      <c r="F2" s="28"/>
      <c r="G2" s="28"/>
      <c r="H2" s="28"/>
      <c r="I2" s="28"/>
      <c r="J2" s="28"/>
      <c r="K2" s="30"/>
      <c r="L2" s="42" t="s">
        <v>2</v>
      </c>
      <c r="M2" s="45" t="s">
        <v>112</v>
      </c>
      <c r="N2" s="45" t="s">
        <v>118</v>
      </c>
      <c r="O2" s="42" t="s">
        <v>119</v>
      </c>
      <c r="P2" s="47"/>
      <c r="Q2" s="27" t="s">
        <v>120</v>
      </c>
      <c r="R2" s="28"/>
      <c r="S2" s="28"/>
      <c r="T2" s="28"/>
      <c r="U2" s="28"/>
      <c r="V2" s="28"/>
      <c r="W2" s="30"/>
      <c r="X2" s="42" t="s">
        <v>124</v>
      </c>
      <c r="Y2" s="42" t="s">
        <v>129</v>
      </c>
      <c r="Z2" s="42" t="s">
        <v>134</v>
      </c>
      <c r="AA2" s="42" t="s">
        <v>136</v>
      </c>
      <c r="AB2" s="42" t="s">
        <v>140</v>
      </c>
      <c r="AC2" s="42" t="s">
        <v>141</v>
      </c>
      <c r="AD2" s="42" t="s">
        <v>145</v>
      </c>
      <c r="AE2" s="42" t="s">
        <v>147</v>
      </c>
      <c r="AF2" s="42" t="s">
        <v>150</v>
      </c>
      <c r="AG2" s="42" t="s">
        <v>154</v>
      </c>
      <c r="AH2" s="42" t="s">
        <v>155</v>
      </c>
      <c r="AI2" s="42" t="s">
        <v>9</v>
      </c>
      <c r="AJ2" s="45" t="s">
        <v>158</v>
      </c>
      <c r="AK2" s="45" t="s">
        <v>160</v>
      </c>
      <c r="AL2" s="60" t="s">
        <v>168</v>
      </c>
      <c r="AM2" s="60" t="s">
        <v>169</v>
      </c>
    </row>
    <row r="3" ht="14.25" customHeight="1">
      <c r="A3" s="57"/>
      <c r="B3" s="94" t="s">
        <v>178</v>
      </c>
      <c r="C3" s="47" t="s">
        <v>179</v>
      </c>
      <c r="D3" s="95" t="s">
        <v>205</v>
      </c>
      <c r="E3" s="95" t="s">
        <v>181</v>
      </c>
      <c r="F3" s="47" t="s">
        <v>182</v>
      </c>
      <c r="G3" s="47" t="s">
        <v>183</v>
      </c>
      <c r="H3" s="47" t="s">
        <v>184</v>
      </c>
      <c r="I3" s="47" t="s">
        <v>185</v>
      </c>
      <c r="J3" s="47" t="s">
        <v>186</v>
      </c>
      <c r="K3" s="47" t="s">
        <v>187</v>
      </c>
      <c r="L3" s="57"/>
      <c r="M3" s="57"/>
      <c r="N3" s="57"/>
      <c r="O3" s="57"/>
      <c r="P3" s="47" t="s">
        <v>219</v>
      </c>
      <c r="Q3" s="47" t="s">
        <v>120</v>
      </c>
      <c r="R3" s="47" t="s">
        <v>194</v>
      </c>
      <c r="S3" s="47" t="s">
        <v>195</v>
      </c>
      <c r="T3" s="47" t="s">
        <v>196</v>
      </c>
      <c r="U3" s="47" t="s">
        <v>197</v>
      </c>
      <c r="V3" s="47" t="s">
        <v>198</v>
      </c>
      <c r="W3" s="47" t="s">
        <v>199</v>
      </c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57"/>
      <c r="AK3" s="57"/>
      <c r="AL3" s="57"/>
      <c r="AM3" s="57"/>
    </row>
    <row r="4" ht="14.25" customHeight="1">
      <c r="A4" s="26">
        <v>1.0</v>
      </c>
      <c r="B4" s="84">
        <v>45957.0</v>
      </c>
      <c r="C4" s="26"/>
      <c r="D4" s="26"/>
      <c r="E4" s="26"/>
      <c r="F4" s="26"/>
      <c r="G4" s="26"/>
      <c r="H4" s="26"/>
      <c r="I4" s="26"/>
      <c r="J4" s="26"/>
      <c r="K4" s="26"/>
      <c r="L4" s="26" t="s">
        <v>512</v>
      </c>
      <c r="M4" s="26" t="s">
        <v>513</v>
      </c>
      <c r="N4" s="26" t="s">
        <v>513</v>
      </c>
      <c r="O4" s="26" t="s">
        <v>514</v>
      </c>
      <c r="P4" s="26" t="s">
        <v>515</v>
      </c>
      <c r="Q4" s="26" t="s">
        <v>516</v>
      </c>
      <c r="R4" s="26"/>
      <c r="S4" s="26" t="s">
        <v>517</v>
      </c>
      <c r="T4" s="26" t="s">
        <v>518</v>
      </c>
      <c r="U4" s="26" t="s">
        <v>519</v>
      </c>
      <c r="V4" s="26" t="s">
        <v>520</v>
      </c>
      <c r="W4" s="76" t="s">
        <v>521</v>
      </c>
      <c r="X4" s="76" t="s">
        <v>522</v>
      </c>
      <c r="Y4" s="76" t="s">
        <v>523</v>
      </c>
      <c r="Z4" s="26" t="s">
        <v>524</v>
      </c>
      <c r="AA4" s="76" t="s">
        <v>525</v>
      </c>
      <c r="AB4" s="26"/>
      <c r="AC4" s="76" t="s">
        <v>526</v>
      </c>
      <c r="AD4" s="26"/>
      <c r="AE4" s="26"/>
      <c r="AF4" s="26"/>
      <c r="AG4" s="26"/>
      <c r="AH4" s="26" t="s">
        <v>527</v>
      </c>
      <c r="AI4" s="26" t="s">
        <v>133</v>
      </c>
      <c r="AJ4" s="76" t="s">
        <v>528</v>
      </c>
      <c r="AK4" s="76" t="s">
        <v>529</v>
      </c>
      <c r="AL4" s="26"/>
      <c r="AM4" s="26"/>
    </row>
    <row r="5" ht="14.25" customHeight="1">
      <c r="A5" s="26">
        <f t="shared" ref="A5:A7" si="4">A4+1</f>
        <v>2</v>
      </c>
      <c r="B5" s="84">
        <v>45959.0</v>
      </c>
      <c r="C5" s="26"/>
      <c r="D5" s="26"/>
      <c r="E5" s="26"/>
      <c r="F5" s="26"/>
      <c r="G5" s="26"/>
      <c r="H5" s="26"/>
      <c r="I5" s="26"/>
      <c r="J5" s="26"/>
      <c r="K5" s="26"/>
      <c r="L5" s="26" t="s">
        <v>530</v>
      </c>
      <c r="M5" s="26" t="s">
        <v>531</v>
      </c>
      <c r="N5" s="26" t="s">
        <v>531</v>
      </c>
      <c r="O5" s="26" t="s">
        <v>514</v>
      </c>
      <c r="P5" s="26" t="s">
        <v>515</v>
      </c>
      <c r="Q5" s="26" t="s">
        <v>532</v>
      </c>
      <c r="R5" s="26"/>
      <c r="S5" s="26" t="s">
        <v>533</v>
      </c>
      <c r="T5" s="26" t="s">
        <v>518</v>
      </c>
      <c r="U5" s="26" t="s">
        <v>519</v>
      </c>
      <c r="V5" s="26" t="s">
        <v>520</v>
      </c>
      <c r="W5" s="76" t="s">
        <v>521</v>
      </c>
      <c r="X5" s="76" t="s">
        <v>522</v>
      </c>
      <c r="Y5" s="76" t="s">
        <v>523</v>
      </c>
      <c r="Z5" s="26" t="s">
        <v>524</v>
      </c>
      <c r="AA5" s="76" t="s">
        <v>525</v>
      </c>
      <c r="AB5" s="26"/>
      <c r="AC5" s="76" t="s">
        <v>526</v>
      </c>
      <c r="AD5" s="96" t="s">
        <v>534</v>
      </c>
      <c r="AE5" s="97" t="s">
        <v>535</v>
      </c>
      <c r="AF5" s="96" t="s">
        <v>536</v>
      </c>
      <c r="AG5" s="96" t="s">
        <v>537</v>
      </c>
      <c r="AH5" s="26" t="s">
        <v>527</v>
      </c>
      <c r="AI5" s="26" t="s">
        <v>133</v>
      </c>
      <c r="AJ5" s="76" t="s">
        <v>528</v>
      </c>
      <c r="AK5" s="76" t="s">
        <v>529</v>
      </c>
      <c r="AL5" s="76" t="s">
        <v>538</v>
      </c>
      <c r="AM5" s="76" t="s">
        <v>539</v>
      </c>
    </row>
    <row r="6" ht="14.25" customHeight="1">
      <c r="A6" s="26">
        <f t="shared" si="4"/>
        <v>3</v>
      </c>
      <c r="B6" s="84">
        <v>46015.0</v>
      </c>
      <c r="C6" s="26"/>
      <c r="D6" s="26"/>
      <c r="E6" s="26"/>
      <c r="F6" s="26"/>
      <c r="G6" s="26"/>
      <c r="H6" s="26"/>
      <c r="I6" s="26"/>
      <c r="J6" s="26"/>
      <c r="K6" s="26"/>
      <c r="L6" s="26"/>
      <c r="M6" s="70" t="s">
        <v>132</v>
      </c>
      <c r="N6" s="26" t="s">
        <v>132</v>
      </c>
      <c r="O6" s="26" t="s">
        <v>130</v>
      </c>
      <c r="P6" s="26" t="s">
        <v>540</v>
      </c>
      <c r="Q6" s="26" t="s">
        <v>541</v>
      </c>
      <c r="R6" s="26"/>
      <c r="S6" s="26" t="s">
        <v>542</v>
      </c>
      <c r="T6" s="26" t="s">
        <v>518</v>
      </c>
      <c r="U6" s="26" t="s">
        <v>519</v>
      </c>
      <c r="V6" s="26" t="s">
        <v>520</v>
      </c>
      <c r="W6" s="76" t="s">
        <v>521</v>
      </c>
      <c r="X6" s="76" t="s">
        <v>543</v>
      </c>
      <c r="Y6" s="76" t="s">
        <v>544</v>
      </c>
      <c r="Z6" s="26" t="s">
        <v>524</v>
      </c>
      <c r="AA6" s="76" t="s">
        <v>545</v>
      </c>
      <c r="AB6" s="26"/>
      <c r="AC6" s="76" t="s">
        <v>546</v>
      </c>
      <c r="AD6" s="26"/>
      <c r="AE6" s="26"/>
      <c r="AF6" s="26"/>
      <c r="AG6" s="26"/>
      <c r="AH6" s="26" t="s">
        <v>527</v>
      </c>
      <c r="AI6" s="26" t="s">
        <v>133</v>
      </c>
      <c r="AJ6" s="76" t="s">
        <v>547</v>
      </c>
      <c r="AK6" s="26" t="s">
        <v>548</v>
      </c>
      <c r="AL6" s="76" t="s">
        <v>549</v>
      </c>
      <c r="AM6" s="76" t="s">
        <v>550</v>
      </c>
    </row>
    <row r="7" ht="14.25" customHeight="1">
      <c r="A7" s="26">
        <f t="shared" si="4"/>
        <v>4</v>
      </c>
      <c r="B7" s="84">
        <v>46015.0</v>
      </c>
      <c r="C7" s="26"/>
      <c r="D7" s="26"/>
      <c r="E7" s="26"/>
      <c r="F7" s="26"/>
      <c r="G7" s="26"/>
      <c r="H7" s="26"/>
      <c r="I7" s="26"/>
      <c r="J7" s="26"/>
      <c r="K7" s="26"/>
      <c r="L7" s="26"/>
      <c r="M7" s="26" t="s">
        <v>135</v>
      </c>
      <c r="N7" s="26" t="s">
        <v>135</v>
      </c>
      <c r="O7" s="26" t="s">
        <v>551</v>
      </c>
      <c r="P7" s="26" t="s">
        <v>552</v>
      </c>
      <c r="Q7" s="26" t="s">
        <v>552</v>
      </c>
      <c r="R7" s="26"/>
      <c r="S7" s="26" t="s">
        <v>553</v>
      </c>
      <c r="T7" s="26" t="s">
        <v>554</v>
      </c>
      <c r="U7" s="26" t="s">
        <v>555</v>
      </c>
      <c r="V7" s="26" t="s">
        <v>556</v>
      </c>
      <c r="W7" s="76" t="s">
        <v>557</v>
      </c>
      <c r="X7" s="76" t="s">
        <v>558</v>
      </c>
      <c r="Y7" s="76" t="s">
        <v>558</v>
      </c>
      <c r="Z7" s="26" t="s">
        <v>524</v>
      </c>
      <c r="AA7" s="76" t="s">
        <v>545</v>
      </c>
      <c r="AB7" s="26"/>
      <c r="AC7" s="76" t="s">
        <v>559</v>
      </c>
      <c r="AD7" s="76" t="s">
        <v>560</v>
      </c>
      <c r="AE7" s="76" t="s">
        <v>561</v>
      </c>
      <c r="AF7" s="26"/>
      <c r="AG7" s="26"/>
      <c r="AH7" s="26" t="s">
        <v>527</v>
      </c>
      <c r="AI7" s="26" t="s">
        <v>133</v>
      </c>
      <c r="AJ7" s="76" t="s">
        <v>562</v>
      </c>
      <c r="AK7" s="26" t="s">
        <v>548</v>
      </c>
      <c r="AL7" s="76" t="s">
        <v>563</v>
      </c>
      <c r="AM7" s="76" t="s">
        <v>564</v>
      </c>
    </row>
    <row r="8" ht="14.25" customHeight="1">
      <c r="A8" s="26"/>
      <c r="B8" s="84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</row>
    <row r="9" ht="14.25" customHeight="1">
      <c r="A9" s="26"/>
      <c r="B9" s="84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</row>
    <row r="10" ht="14.25" customHeight="1">
      <c r="A10" s="26"/>
      <c r="B10" s="84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</row>
    <row r="11" ht="14.25" customHeight="1">
      <c r="A11" s="26"/>
      <c r="B11" s="84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</row>
    <row r="12" ht="14.25" customHeight="1">
      <c r="A12" s="26"/>
      <c r="B12" s="84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</row>
    <row r="13" ht="14.25" customHeight="1">
      <c r="A13" s="26"/>
      <c r="B13" s="84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</row>
    <row r="14" ht="14.25" customHeight="1">
      <c r="A14" s="26"/>
      <c r="B14" s="84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</row>
    <row r="15" ht="14.25" customHeight="1">
      <c r="A15" s="26"/>
      <c r="B15" s="84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</row>
    <row r="16" ht="14.25" customHeight="1">
      <c r="A16" s="26"/>
      <c r="B16" s="84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</row>
    <row r="17" ht="14.25" customHeight="1">
      <c r="A17" s="26"/>
      <c r="B17" s="84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</row>
    <row r="18" ht="14.25" customHeight="1">
      <c r="A18" s="26"/>
      <c r="B18" s="84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</row>
    <row r="19" ht="14.25" customHeight="1">
      <c r="A19" s="26"/>
      <c r="B19" s="84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</row>
    <row r="20" ht="14.25" customHeight="1">
      <c r="A20" s="26"/>
      <c r="B20" s="84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</row>
    <row r="21" ht="14.25" customHeight="1">
      <c r="A21" s="26"/>
      <c r="B21" s="84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</row>
    <row r="22" ht="14.25" customHeight="1">
      <c r="A22" s="26"/>
      <c r="B22" s="84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</row>
    <row r="23" ht="14.25" customHeight="1">
      <c r="A23" s="26"/>
      <c r="B23" s="84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</row>
    <row r="24" ht="14.25" customHeight="1">
      <c r="A24" s="26"/>
      <c r="B24" s="84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</row>
    <row r="25" ht="14.25" customHeight="1">
      <c r="A25" s="26"/>
      <c r="B25" s="84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</row>
    <row r="26" ht="14.25" customHeight="1">
      <c r="A26" s="26"/>
      <c r="B26" s="84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</row>
    <row r="27" ht="14.25" customHeight="1">
      <c r="A27" s="26"/>
      <c r="B27" s="84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</row>
    <row r="28" ht="14.25" customHeight="1">
      <c r="A28" s="26"/>
      <c r="B28" s="84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</row>
    <row r="29" ht="14.25" customHeight="1">
      <c r="A29" s="26"/>
      <c r="B29" s="84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</row>
    <row r="30" ht="14.25" customHeight="1">
      <c r="A30" s="26"/>
      <c r="B30" s="84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</row>
    <row r="31" ht="14.25" customHeight="1">
      <c r="A31" s="26"/>
      <c r="B31" s="84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</row>
    <row r="32" ht="14.25" customHeight="1">
      <c r="A32" s="26"/>
      <c r="B32" s="84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</row>
    <row r="33" ht="14.25" customHeight="1">
      <c r="A33" s="26"/>
      <c r="B33" s="84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</row>
    <row r="34" ht="14.25" customHeight="1">
      <c r="A34" s="26"/>
      <c r="B34" s="84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</row>
    <row r="35" ht="14.25" customHeight="1">
      <c r="A35" s="26"/>
      <c r="B35" s="84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</row>
    <row r="36" ht="14.25" customHeight="1">
      <c r="A36" s="26"/>
      <c r="B36" s="84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</row>
    <row r="37" ht="14.25" customHeight="1">
      <c r="A37" s="26"/>
      <c r="B37" s="84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</row>
    <row r="38" ht="14.25" customHeight="1">
      <c r="A38" s="26"/>
      <c r="B38" s="84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</row>
    <row r="39" ht="14.25" customHeight="1">
      <c r="A39" s="26"/>
      <c r="B39" s="84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</row>
    <row r="40" ht="14.25" customHeight="1">
      <c r="A40" s="26"/>
      <c r="B40" s="84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</row>
    <row r="41" ht="14.25" customHeight="1">
      <c r="A41" s="26"/>
      <c r="B41" s="84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</row>
    <row r="42" ht="14.25" customHeight="1">
      <c r="A42" s="26"/>
      <c r="B42" s="84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</row>
    <row r="43" ht="14.25" customHeight="1">
      <c r="A43" s="26"/>
      <c r="B43" s="84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</row>
    <row r="44" ht="14.25" customHeight="1">
      <c r="A44" s="26"/>
      <c r="B44" s="84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</row>
    <row r="45" ht="14.25" customHeight="1">
      <c r="A45" s="26"/>
      <c r="B45" s="84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</row>
    <row r="46" ht="14.25" customHeight="1">
      <c r="A46" s="26"/>
      <c r="B46" s="84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</row>
    <row r="47" ht="14.25" customHeight="1">
      <c r="A47" s="26"/>
      <c r="B47" s="84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</row>
    <row r="48" ht="14.25" customHeight="1">
      <c r="A48" s="26"/>
      <c r="B48" s="84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</row>
    <row r="49" ht="14.25" customHeight="1">
      <c r="A49" s="26"/>
      <c r="B49" s="84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</row>
    <row r="50" ht="14.25" customHeight="1">
      <c r="A50" s="26"/>
      <c r="B50" s="84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</row>
    <row r="51" ht="14.25" customHeight="1">
      <c r="A51" s="26"/>
      <c r="B51" s="84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</row>
    <row r="52" ht="14.25" customHeight="1">
      <c r="A52" s="26"/>
      <c r="B52" s="84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</row>
    <row r="53" ht="14.25" customHeight="1">
      <c r="A53" s="26"/>
      <c r="B53" s="84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</row>
    <row r="54" ht="14.25" customHeight="1">
      <c r="A54" s="26"/>
      <c r="B54" s="84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</row>
    <row r="55" ht="14.25" customHeight="1">
      <c r="A55" s="26"/>
      <c r="B55" s="84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</row>
    <row r="56" ht="14.25" customHeight="1">
      <c r="A56" s="26"/>
      <c r="B56" s="84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</row>
    <row r="57" ht="14.25" customHeight="1">
      <c r="A57" s="26"/>
      <c r="B57" s="84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</row>
    <row r="58" ht="14.25" customHeight="1">
      <c r="A58" s="26"/>
      <c r="B58" s="84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</row>
    <row r="59" ht="14.25" customHeight="1">
      <c r="A59" s="26"/>
      <c r="B59" s="84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</row>
    <row r="60" ht="14.25" customHeight="1">
      <c r="A60" s="26"/>
      <c r="B60" s="84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</row>
    <row r="61" ht="14.25" customHeight="1">
      <c r="A61" s="26"/>
      <c r="B61" s="84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</row>
    <row r="62" ht="14.25" customHeight="1">
      <c r="A62" s="26"/>
      <c r="B62" s="84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</row>
    <row r="63" ht="14.25" customHeight="1">
      <c r="A63" s="26"/>
      <c r="B63" s="84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</row>
    <row r="64" ht="14.25" customHeight="1">
      <c r="A64" s="26"/>
      <c r="B64" s="84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  <c r="AM64" s="26"/>
    </row>
    <row r="65" ht="14.25" customHeight="1">
      <c r="A65" s="26"/>
      <c r="B65" s="84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</row>
    <row r="66" ht="14.25" customHeight="1">
      <c r="A66" s="26"/>
      <c r="B66" s="84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</row>
    <row r="67" ht="14.25" customHeight="1">
      <c r="A67" s="26"/>
      <c r="B67" s="84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</row>
    <row r="68" ht="14.25" customHeight="1">
      <c r="A68" s="26"/>
      <c r="B68" s="84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</row>
    <row r="69" ht="14.25" customHeight="1">
      <c r="A69" s="26"/>
      <c r="B69" s="84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</row>
    <row r="70" ht="14.25" customHeight="1">
      <c r="A70" s="26"/>
      <c r="B70" s="84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  <c r="AM70" s="26"/>
    </row>
    <row r="71" ht="14.25" customHeight="1">
      <c r="A71" s="26"/>
      <c r="B71" s="84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</row>
    <row r="72" ht="14.25" customHeight="1">
      <c r="A72" s="26"/>
      <c r="B72" s="84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</row>
    <row r="73" ht="14.25" customHeight="1">
      <c r="A73" s="26"/>
      <c r="B73" s="84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</row>
    <row r="74" ht="14.25" customHeight="1">
      <c r="A74" s="26"/>
      <c r="B74" s="84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</row>
    <row r="75" ht="14.25" customHeight="1">
      <c r="A75" s="26"/>
      <c r="B75" s="84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</row>
    <row r="76" ht="14.25" customHeight="1">
      <c r="A76" s="26"/>
      <c r="B76" s="84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</row>
    <row r="77" ht="14.25" customHeight="1">
      <c r="A77" s="26"/>
      <c r="B77" s="84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  <c r="AM77" s="26"/>
    </row>
    <row r="78" ht="14.25" customHeight="1">
      <c r="A78" s="26"/>
      <c r="B78" s="84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  <c r="AM78" s="26"/>
    </row>
    <row r="79" ht="14.25" customHeight="1">
      <c r="A79" s="26"/>
      <c r="B79" s="84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</row>
    <row r="80" ht="14.25" customHeight="1">
      <c r="A80" s="26"/>
      <c r="B80" s="84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</row>
    <row r="81" ht="14.25" customHeight="1">
      <c r="A81" s="26"/>
      <c r="B81" s="84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</row>
    <row r="82" ht="14.25" customHeight="1">
      <c r="A82" s="26"/>
      <c r="B82" s="84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  <c r="AM82" s="26"/>
    </row>
    <row r="83" ht="14.25" customHeight="1">
      <c r="A83" s="26"/>
      <c r="B83" s="84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  <c r="AM83" s="26"/>
    </row>
    <row r="84" ht="14.25" customHeight="1">
      <c r="A84" s="26"/>
      <c r="B84" s="84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  <c r="AM84" s="26"/>
    </row>
    <row r="85" ht="14.25" customHeight="1">
      <c r="A85" s="26"/>
      <c r="B85" s="84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</row>
    <row r="86" ht="14.25" customHeight="1">
      <c r="A86" s="26"/>
      <c r="B86" s="84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/>
    </row>
    <row r="87" ht="14.25" customHeight="1">
      <c r="A87" s="26"/>
      <c r="B87" s="84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</row>
    <row r="88" ht="14.25" customHeight="1">
      <c r="A88" s="26"/>
      <c r="B88" s="84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  <c r="AM88" s="26"/>
    </row>
    <row r="89" ht="14.25" customHeight="1">
      <c r="A89" s="26"/>
      <c r="B89" s="84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</row>
    <row r="90" ht="14.25" customHeight="1">
      <c r="A90" s="26"/>
      <c r="B90" s="84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</row>
    <row r="91" ht="14.25" customHeight="1">
      <c r="A91" s="26"/>
      <c r="B91" s="84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</row>
    <row r="92" ht="14.25" customHeight="1">
      <c r="A92" s="26"/>
      <c r="B92" s="84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</row>
    <row r="93" ht="14.25" customHeight="1">
      <c r="A93" s="26"/>
      <c r="B93" s="84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</row>
    <row r="94" ht="14.25" customHeight="1">
      <c r="A94" s="26"/>
      <c r="B94" s="84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</row>
    <row r="95" ht="14.25" customHeight="1">
      <c r="A95" s="26"/>
      <c r="B95" s="84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</row>
    <row r="96" ht="14.25" customHeight="1">
      <c r="A96" s="26"/>
      <c r="B96" s="84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  <c r="AM96" s="26"/>
    </row>
    <row r="97" ht="14.25" customHeight="1">
      <c r="A97" s="26"/>
      <c r="B97" s="84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</row>
    <row r="98" ht="14.25" customHeight="1">
      <c r="A98" s="26"/>
      <c r="B98" s="84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</row>
    <row r="99" ht="14.25" customHeight="1">
      <c r="A99" s="26"/>
      <c r="B99" s="84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</row>
    <row r="100" ht="14.25" customHeight="1">
      <c r="A100" s="26"/>
      <c r="B100" s="84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</row>
    <row r="101" ht="14.25" customHeight="1">
      <c r="A101" s="26"/>
      <c r="B101" s="84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</row>
    <row r="102" ht="14.25" customHeight="1">
      <c r="A102" s="26"/>
      <c r="B102" s="84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</row>
    <row r="103" ht="14.25" customHeight="1">
      <c r="A103" s="26"/>
      <c r="B103" s="84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</row>
    <row r="104" ht="14.25" customHeight="1">
      <c r="A104" s="26"/>
      <c r="B104" s="84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</row>
    <row r="105" ht="14.25" customHeight="1">
      <c r="A105" s="26"/>
      <c r="B105" s="84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</row>
    <row r="106" ht="14.25" customHeight="1">
      <c r="A106" s="26"/>
      <c r="B106" s="84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</row>
    <row r="107" ht="14.25" customHeight="1">
      <c r="A107" s="26"/>
      <c r="B107" s="84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</row>
    <row r="108" ht="14.25" customHeight="1">
      <c r="A108" s="26"/>
      <c r="B108" s="84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</row>
    <row r="109" ht="14.25" customHeight="1">
      <c r="A109" s="26"/>
      <c r="B109" s="84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</row>
    <row r="110" ht="14.25" customHeight="1">
      <c r="A110" s="26"/>
      <c r="B110" s="84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</row>
    <row r="111" ht="14.25" customHeight="1">
      <c r="A111" s="26"/>
      <c r="B111" s="84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</row>
    <row r="112" ht="14.25" customHeight="1">
      <c r="A112" s="26"/>
      <c r="B112" s="84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</row>
    <row r="113" ht="14.25" customHeight="1">
      <c r="A113" s="26"/>
      <c r="B113" s="84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</row>
    <row r="114" ht="14.25" customHeight="1">
      <c r="A114" s="26"/>
      <c r="B114" s="84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</row>
    <row r="115" ht="14.25" customHeight="1">
      <c r="A115" s="26"/>
      <c r="B115" s="84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  <c r="AM115" s="26"/>
    </row>
    <row r="116" ht="14.25" customHeight="1">
      <c r="A116" s="26"/>
      <c r="B116" s="84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</row>
    <row r="117" ht="14.25" customHeight="1">
      <c r="A117" s="26"/>
      <c r="B117" s="84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  <c r="AM117" s="26"/>
    </row>
    <row r="118" ht="14.25" customHeight="1">
      <c r="A118" s="26"/>
      <c r="B118" s="84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</row>
    <row r="119" ht="14.25" customHeight="1">
      <c r="A119" s="26"/>
      <c r="B119" s="84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  <c r="AM119" s="26"/>
    </row>
    <row r="120" ht="14.25" customHeight="1">
      <c r="A120" s="26"/>
      <c r="B120" s="84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</row>
    <row r="121" ht="14.25" customHeight="1">
      <c r="A121" s="26"/>
      <c r="B121" s="84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  <c r="AM121" s="26"/>
    </row>
    <row r="122" ht="14.25" customHeight="1">
      <c r="A122" s="26"/>
      <c r="B122" s="84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  <c r="AM122" s="26"/>
    </row>
    <row r="123" ht="14.25" customHeight="1">
      <c r="A123" s="26"/>
      <c r="B123" s="84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  <c r="AM123" s="26"/>
    </row>
    <row r="124" ht="14.25" customHeight="1">
      <c r="A124" s="26"/>
      <c r="B124" s="84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  <c r="AM124" s="26"/>
    </row>
    <row r="125" ht="14.25" customHeight="1">
      <c r="A125" s="26"/>
      <c r="B125" s="84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  <c r="AM125" s="26"/>
    </row>
    <row r="126" ht="14.25" customHeight="1">
      <c r="A126" s="26"/>
      <c r="B126" s="84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  <c r="AM126" s="26"/>
    </row>
    <row r="127" ht="14.25" customHeight="1">
      <c r="A127" s="26"/>
      <c r="B127" s="84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  <c r="AM127" s="26"/>
    </row>
    <row r="128" ht="14.25" customHeight="1">
      <c r="A128" s="26"/>
      <c r="B128" s="84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  <c r="AM128" s="26"/>
    </row>
    <row r="129" ht="14.25" customHeight="1">
      <c r="A129" s="26"/>
      <c r="B129" s="84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  <c r="AM129" s="26"/>
    </row>
    <row r="130" ht="14.25" customHeight="1">
      <c r="A130" s="26"/>
      <c r="B130" s="84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</row>
    <row r="131" ht="14.25" customHeight="1">
      <c r="A131" s="26"/>
      <c r="B131" s="84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  <c r="AM131" s="26"/>
    </row>
    <row r="132" ht="14.25" customHeight="1">
      <c r="A132" s="26"/>
      <c r="B132" s="84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  <c r="AM132" s="26"/>
    </row>
    <row r="133" ht="14.25" customHeight="1">
      <c r="A133" s="26"/>
      <c r="B133" s="84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  <c r="AM133" s="26"/>
    </row>
    <row r="134" ht="14.25" customHeight="1">
      <c r="A134" s="26"/>
      <c r="B134" s="84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  <c r="AM134" s="26"/>
    </row>
    <row r="135" ht="14.25" customHeight="1">
      <c r="A135" s="26"/>
      <c r="B135" s="84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  <c r="AM135" s="26"/>
    </row>
    <row r="136" ht="14.25" customHeight="1">
      <c r="A136" s="26"/>
      <c r="B136" s="84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  <c r="AM136" s="26"/>
    </row>
    <row r="137" ht="14.25" customHeight="1">
      <c r="A137" s="26"/>
      <c r="B137" s="84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  <c r="AM137" s="26"/>
    </row>
    <row r="138" ht="14.25" customHeight="1">
      <c r="A138" s="26"/>
      <c r="B138" s="84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  <c r="AM138" s="26"/>
    </row>
    <row r="139" ht="14.25" customHeight="1">
      <c r="A139" s="26"/>
      <c r="B139" s="84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  <c r="AM139" s="26"/>
    </row>
    <row r="140" ht="14.25" customHeight="1">
      <c r="A140" s="26"/>
      <c r="B140" s="84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  <c r="AM140" s="26"/>
    </row>
    <row r="141" ht="14.25" customHeight="1">
      <c r="A141" s="26"/>
      <c r="B141" s="84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  <c r="AM141" s="26"/>
    </row>
    <row r="142" ht="14.25" customHeight="1">
      <c r="A142" s="26"/>
      <c r="B142" s="84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  <c r="AM142" s="26"/>
    </row>
    <row r="143" ht="14.25" customHeight="1">
      <c r="A143" s="26"/>
      <c r="B143" s="84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  <c r="AM143" s="26"/>
    </row>
    <row r="144" ht="14.25" customHeight="1">
      <c r="A144" s="26"/>
      <c r="B144" s="84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  <c r="AM144" s="26"/>
    </row>
    <row r="145" ht="14.25" customHeight="1">
      <c r="A145" s="26"/>
      <c r="B145" s="84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  <c r="AM145" s="26"/>
    </row>
    <row r="146" ht="14.25" customHeight="1">
      <c r="A146" s="26"/>
      <c r="B146" s="84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  <c r="AM146" s="26"/>
    </row>
    <row r="147" ht="14.25" customHeight="1">
      <c r="A147" s="26"/>
      <c r="B147" s="84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  <c r="AM147" s="26"/>
    </row>
    <row r="148" ht="14.25" customHeight="1">
      <c r="A148" s="26"/>
      <c r="B148" s="84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  <c r="AM148" s="26"/>
    </row>
    <row r="149" ht="14.25" customHeight="1">
      <c r="A149" s="26"/>
      <c r="B149" s="84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  <c r="AM149" s="26"/>
    </row>
    <row r="150" ht="14.25" customHeight="1">
      <c r="A150" s="26"/>
      <c r="B150" s="84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  <c r="AM150" s="26"/>
    </row>
    <row r="151" ht="14.25" customHeight="1">
      <c r="A151" s="26"/>
      <c r="B151" s="84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  <c r="AM151" s="26"/>
    </row>
    <row r="152" ht="14.25" customHeight="1">
      <c r="A152" s="26"/>
      <c r="B152" s="84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  <c r="AM152" s="26"/>
    </row>
    <row r="153" ht="14.25" customHeight="1">
      <c r="A153" s="26"/>
      <c r="B153" s="84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  <c r="AM153" s="26"/>
    </row>
    <row r="154" ht="14.25" customHeight="1">
      <c r="A154" s="26"/>
      <c r="B154" s="84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  <c r="AM154" s="26"/>
    </row>
    <row r="155" ht="14.25" customHeight="1">
      <c r="A155" s="26"/>
      <c r="B155" s="84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  <c r="AM155" s="26"/>
    </row>
    <row r="156" ht="14.25" customHeight="1">
      <c r="A156" s="26"/>
      <c r="B156" s="84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  <c r="AM156" s="26"/>
    </row>
    <row r="157" ht="14.25" customHeight="1">
      <c r="A157" s="26"/>
      <c r="B157" s="84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  <c r="AM157" s="26"/>
    </row>
    <row r="158" ht="14.25" customHeight="1">
      <c r="A158" s="26"/>
      <c r="B158" s="84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  <c r="AM158" s="26"/>
    </row>
    <row r="159" ht="14.25" customHeight="1">
      <c r="A159" s="26"/>
      <c r="B159" s="84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  <c r="AM159" s="26"/>
    </row>
    <row r="160" ht="14.25" customHeight="1">
      <c r="A160" s="26"/>
      <c r="B160" s="84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  <c r="AM160" s="26"/>
    </row>
    <row r="161" ht="14.25" customHeight="1">
      <c r="A161" s="26"/>
      <c r="B161" s="84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  <c r="AM161" s="26"/>
    </row>
    <row r="162" ht="14.25" customHeight="1">
      <c r="A162" s="26"/>
      <c r="B162" s="84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  <c r="AM162" s="26"/>
    </row>
    <row r="163" ht="14.25" customHeight="1">
      <c r="A163" s="26"/>
      <c r="B163" s="84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  <c r="AM163" s="26"/>
    </row>
    <row r="164" ht="14.25" customHeight="1">
      <c r="A164" s="26"/>
      <c r="B164" s="84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  <c r="AM164" s="26"/>
    </row>
    <row r="165" ht="14.25" customHeight="1">
      <c r="A165" s="26"/>
      <c r="B165" s="84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  <c r="AM165" s="26"/>
    </row>
    <row r="166" ht="14.25" customHeight="1">
      <c r="A166" s="26"/>
      <c r="B166" s="84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  <c r="AM166" s="26"/>
    </row>
    <row r="167" ht="14.25" customHeight="1">
      <c r="A167" s="26"/>
      <c r="B167" s="84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  <c r="AM167" s="26"/>
    </row>
    <row r="168" ht="14.25" customHeight="1">
      <c r="A168" s="26"/>
      <c r="B168" s="84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  <c r="AM168" s="26"/>
    </row>
    <row r="169" ht="14.25" customHeight="1">
      <c r="A169" s="26"/>
      <c r="B169" s="84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  <c r="AM169" s="26"/>
    </row>
    <row r="170" ht="14.25" customHeight="1">
      <c r="A170" s="26"/>
      <c r="B170" s="84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  <c r="AM170" s="26"/>
    </row>
    <row r="171" ht="14.25" customHeight="1">
      <c r="A171" s="26"/>
      <c r="B171" s="84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  <c r="AM171" s="26"/>
    </row>
    <row r="172" ht="14.25" customHeight="1">
      <c r="A172" s="26"/>
      <c r="B172" s="84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  <c r="AM172" s="26"/>
    </row>
    <row r="173" ht="14.25" customHeight="1">
      <c r="A173" s="26"/>
      <c r="B173" s="84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  <c r="AM173" s="26"/>
    </row>
    <row r="174" ht="14.25" customHeight="1">
      <c r="A174" s="26"/>
      <c r="B174" s="84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  <c r="AM174" s="26"/>
    </row>
    <row r="175" ht="14.25" customHeight="1">
      <c r="A175" s="26"/>
      <c r="B175" s="84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  <c r="AM175" s="26"/>
    </row>
    <row r="176" ht="14.25" customHeight="1">
      <c r="A176" s="26"/>
      <c r="B176" s="84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  <c r="AM176" s="26"/>
    </row>
    <row r="177" ht="14.25" customHeight="1">
      <c r="A177" s="26"/>
      <c r="B177" s="84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  <c r="AM177" s="26"/>
    </row>
    <row r="178" ht="14.25" customHeight="1">
      <c r="A178" s="26"/>
      <c r="B178" s="84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  <c r="AM178" s="26"/>
    </row>
    <row r="179" ht="14.25" customHeight="1">
      <c r="A179" s="26"/>
      <c r="B179" s="84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  <c r="AM179" s="26"/>
    </row>
    <row r="180" ht="14.25" customHeight="1">
      <c r="A180" s="26"/>
      <c r="B180" s="84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  <c r="AM180" s="26"/>
    </row>
    <row r="181" ht="14.25" customHeight="1">
      <c r="A181" s="26"/>
      <c r="B181" s="84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  <c r="AM181" s="26"/>
    </row>
    <row r="182" ht="14.25" customHeight="1">
      <c r="A182" s="26"/>
      <c r="B182" s="84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  <c r="AM182" s="26"/>
    </row>
    <row r="183" ht="14.25" customHeight="1">
      <c r="A183" s="26"/>
      <c r="B183" s="84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  <c r="AM183" s="26"/>
    </row>
    <row r="184" ht="14.25" customHeight="1">
      <c r="A184" s="26"/>
      <c r="B184" s="84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  <c r="AM184" s="26"/>
    </row>
    <row r="185" ht="14.25" customHeight="1">
      <c r="A185" s="26"/>
      <c r="B185" s="84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  <c r="AM185" s="26"/>
    </row>
    <row r="186" ht="14.25" customHeight="1">
      <c r="A186" s="26"/>
      <c r="B186" s="84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  <c r="AM186" s="26"/>
    </row>
    <row r="187" ht="14.25" customHeight="1">
      <c r="A187" s="26"/>
      <c r="B187" s="84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  <c r="AM187" s="26"/>
    </row>
    <row r="188" ht="14.25" customHeight="1">
      <c r="A188" s="26"/>
      <c r="B188" s="84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  <c r="AM188" s="26"/>
    </row>
    <row r="189" ht="14.25" customHeight="1">
      <c r="A189" s="26"/>
      <c r="B189" s="84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  <c r="AM189" s="26"/>
    </row>
    <row r="190" ht="14.25" customHeight="1">
      <c r="A190" s="26"/>
      <c r="B190" s="84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  <c r="AM190" s="26"/>
    </row>
    <row r="191" ht="14.25" customHeight="1">
      <c r="A191" s="26"/>
      <c r="B191" s="84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  <c r="AM191" s="26"/>
    </row>
    <row r="192" ht="14.25" customHeight="1">
      <c r="A192" s="26"/>
      <c r="B192" s="84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  <c r="AM192" s="26"/>
    </row>
    <row r="193" ht="14.25" customHeight="1">
      <c r="A193" s="26"/>
      <c r="B193" s="84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  <c r="AM193" s="26"/>
    </row>
    <row r="194" ht="14.25" customHeight="1">
      <c r="A194" s="26"/>
      <c r="B194" s="84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  <c r="AM194" s="26"/>
    </row>
    <row r="195" ht="14.25" customHeight="1">
      <c r="A195" s="26"/>
      <c r="B195" s="84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  <c r="AM195" s="26"/>
    </row>
    <row r="196" ht="14.25" customHeight="1">
      <c r="A196" s="26"/>
      <c r="B196" s="84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  <c r="AM196" s="26"/>
    </row>
    <row r="197" ht="14.25" customHeight="1">
      <c r="A197" s="26"/>
      <c r="B197" s="84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  <c r="AM197" s="26"/>
    </row>
    <row r="198" ht="14.25" customHeight="1">
      <c r="A198" s="26"/>
      <c r="B198" s="84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  <c r="AM198" s="26"/>
    </row>
    <row r="199" ht="14.25" customHeight="1">
      <c r="A199" s="26"/>
      <c r="B199" s="84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  <c r="AM199" s="26"/>
    </row>
    <row r="200" ht="14.25" customHeight="1">
      <c r="A200" s="26"/>
      <c r="B200" s="84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  <c r="AM200" s="26"/>
    </row>
    <row r="201" ht="14.25" customHeight="1">
      <c r="A201" s="26"/>
      <c r="B201" s="84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  <c r="AM201" s="26"/>
    </row>
    <row r="202" ht="14.25" customHeight="1">
      <c r="A202" s="26"/>
      <c r="B202" s="84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  <c r="AM202" s="26"/>
    </row>
    <row r="203" ht="14.25" customHeight="1">
      <c r="A203" s="26"/>
      <c r="B203" s="84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  <c r="AM203" s="26"/>
    </row>
    <row r="204" ht="14.25" customHeight="1">
      <c r="A204" s="26"/>
      <c r="B204" s="84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  <c r="AM204" s="26"/>
    </row>
    <row r="205" ht="14.25" customHeight="1">
      <c r="A205" s="26"/>
      <c r="B205" s="84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  <c r="AM205" s="26"/>
    </row>
    <row r="206" ht="14.25" customHeight="1">
      <c r="A206" s="26"/>
      <c r="B206" s="84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  <c r="AM206" s="26"/>
    </row>
    <row r="207" ht="14.25" customHeight="1">
      <c r="A207" s="26"/>
      <c r="B207" s="84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  <c r="AM207" s="26"/>
    </row>
    <row r="208" ht="14.25" customHeight="1">
      <c r="A208" s="26"/>
      <c r="B208" s="84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  <c r="AM208" s="26"/>
    </row>
    <row r="209" ht="14.25" customHeight="1">
      <c r="A209" s="26"/>
      <c r="B209" s="84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  <c r="AM209" s="26"/>
    </row>
    <row r="210" ht="14.25" customHeight="1">
      <c r="A210" s="26"/>
      <c r="B210" s="84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  <c r="AM210" s="26"/>
    </row>
    <row r="211" ht="14.25" customHeight="1">
      <c r="A211" s="26"/>
      <c r="B211" s="84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  <c r="AM211" s="26"/>
    </row>
    <row r="212" ht="14.25" customHeight="1">
      <c r="A212" s="26"/>
      <c r="B212" s="84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  <c r="AM212" s="26"/>
    </row>
    <row r="213" ht="14.25" customHeight="1">
      <c r="A213" s="26"/>
      <c r="B213" s="84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  <c r="AM213" s="26"/>
    </row>
    <row r="214" ht="14.25" customHeight="1">
      <c r="A214" s="26"/>
      <c r="B214" s="84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  <c r="AM214" s="26"/>
    </row>
    <row r="215" ht="14.25" customHeight="1">
      <c r="A215" s="26"/>
      <c r="B215" s="84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  <c r="AM215" s="26"/>
    </row>
    <row r="216" ht="14.25" customHeight="1">
      <c r="A216" s="26"/>
      <c r="B216" s="84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  <c r="AM216" s="26"/>
    </row>
    <row r="217" ht="14.25" customHeight="1">
      <c r="A217" s="26"/>
      <c r="B217" s="84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  <c r="AM217" s="26"/>
    </row>
    <row r="218" ht="14.25" customHeight="1">
      <c r="A218" s="26"/>
      <c r="B218" s="84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  <c r="AM218" s="26"/>
    </row>
    <row r="219" ht="14.25" customHeight="1">
      <c r="A219" s="26"/>
      <c r="B219" s="84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  <c r="AM219" s="26"/>
    </row>
    <row r="220" ht="14.25" customHeight="1">
      <c r="A220" s="26"/>
      <c r="B220" s="84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  <c r="AM220" s="26"/>
    </row>
    <row r="221" ht="14.25" customHeight="1">
      <c r="A221" s="26"/>
      <c r="B221" s="84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  <c r="AM221" s="26"/>
    </row>
    <row r="222" ht="14.25" customHeight="1">
      <c r="A222" s="26"/>
      <c r="B222" s="84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  <c r="AM222" s="26"/>
    </row>
    <row r="223" ht="14.25" customHeight="1">
      <c r="A223" s="26"/>
      <c r="B223" s="84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  <c r="AM223" s="26"/>
    </row>
    <row r="224" ht="14.25" customHeight="1">
      <c r="A224" s="26"/>
      <c r="B224" s="84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  <c r="AM224" s="26"/>
    </row>
    <row r="225" ht="14.25" customHeight="1">
      <c r="A225" s="26"/>
      <c r="B225" s="84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  <c r="AM225" s="26"/>
    </row>
    <row r="226" ht="14.25" customHeight="1">
      <c r="A226" s="26"/>
      <c r="B226" s="84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  <c r="AM226" s="26"/>
    </row>
    <row r="227" ht="14.25" customHeight="1">
      <c r="A227" s="26"/>
      <c r="B227" s="84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  <c r="AM227" s="26"/>
    </row>
    <row r="228" ht="14.25" customHeight="1">
      <c r="A228" s="26"/>
      <c r="B228" s="84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  <c r="AM228" s="26"/>
    </row>
    <row r="229" ht="14.25" customHeight="1">
      <c r="A229" s="26"/>
      <c r="B229" s="84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  <c r="AM229" s="26"/>
    </row>
    <row r="230" ht="14.25" customHeight="1">
      <c r="A230" s="26"/>
      <c r="B230" s="84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  <c r="AM230" s="26"/>
    </row>
    <row r="231" ht="14.25" customHeight="1">
      <c r="A231" s="26"/>
      <c r="B231" s="84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  <c r="AM231" s="26"/>
    </row>
    <row r="232" ht="14.25" customHeight="1">
      <c r="A232" s="26"/>
      <c r="B232" s="84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  <c r="AM232" s="26"/>
    </row>
    <row r="233" ht="14.25" customHeight="1">
      <c r="A233" s="26"/>
      <c r="B233" s="84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  <c r="AM233" s="26"/>
    </row>
    <row r="234" ht="14.25" customHeight="1">
      <c r="A234" s="26"/>
      <c r="B234" s="84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  <c r="AM234" s="26"/>
    </row>
    <row r="235" ht="14.25" customHeight="1">
      <c r="A235" s="26"/>
      <c r="B235" s="84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  <c r="AM235" s="26"/>
    </row>
    <row r="236" ht="14.25" customHeight="1">
      <c r="A236" s="26"/>
      <c r="B236" s="84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  <c r="AM236" s="26"/>
    </row>
    <row r="237" ht="14.25" customHeight="1">
      <c r="A237" s="26"/>
      <c r="B237" s="84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  <c r="AM237" s="26"/>
    </row>
    <row r="238" ht="14.25" customHeight="1">
      <c r="A238" s="26"/>
      <c r="B238" s="84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  <c r="AM238" s="26"/>
    </row>
    <row r="239" ht="14.25" customHeight="1">
      <c r="A239" s="26"/>
      <c r="B239" s="84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  <c r="AM239" s="26"/>
    </row>
    <row r="240" ht="14.25" customHeight="1">
      <c r="A240" s="26"/>
      <c r="B240" s="84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  <c r="AM240" s="26"/>
    </row>
    <row r="241" ht="14.25" customHeight="1">
      <c r="A241" s="26"/>
      <c r="B241" s="84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  <c r="AM241" s="26"/>
    </row>
    <row r="242" ht="14.25" customHeight="1">
      <c r="A242" s="26"/>
      <c r="B242" s="84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  <c r="AM242" s="26"/>
    </row>
    <row r="243" ht="14.25" customHeight="1">
      <c r="A243" s="26"/>
      <c r="B243" s="84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  <c r="AM243" s="26"/>
    </row>
    <row r="244" ht="14.25" customHeight="1">
      <c r="A244" s="26"/>
      <c r="B244" s="84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  <c r="AM244" s="26"/>
    </row>
    <row r="245" ht="14.25" customHeight="1">
      <c r="A245" s="26"/>
      <c r="B245" s="84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  <c r="AM245" s="26"/>
    </row>
    <row r="246" ht="14.25" customHeight="1">
      <c r="A246" s="26"/>
      <c r="B246" s="84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  <c r="AM246" s="26"/>
    </row>
    <row r="247" ht="14.25" customHeight="1">
      <c r="A247" s="26"/>
      <c r="B247" s="84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  <c r="AM247" s="26"/>
    </row>
    <row r="248" ht="14.25" customHeight="1">
      <c r="A248" s="26"/>
      <c r="B248" s="84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  <c r="AM248" s="26"/>
    </row>
    <row r="249" ht="14.25" customHeight="1">
      <c r="A249" s="26"/>
      <c r="B249" s="84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  <c r="AM249" s="26"/>
    </row>
    <row r="250" ht="14.25" customHeight="1">
      <c r="A250" s="26"/>
      <c r="B250" s="84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  <c r="AM250" s="26"/>
    </row>
    <row r="251" ht="14.25" customHeight="1">
      <c r="A251" s="26"/>
      <c r="B251" s="84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  <c r="AM251" s="26"/>
    </row>
    <row r="252" ht="14.25" customHeight="1">
      <c r="A252" s="26"/>
      <c r="B252" s="84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  <c r="AH252" s="26"/>
      <c r="AI252" s="26"/>
      <c r="AJ252" s="26"/>
      <c r="AK252" s="26"/>
      <c r="AL252" s="26"/>
      <c r="AM252" s="26"/>
    </row>
    <row r="253" ht="14.25" customHeight="1">
      <c r="A253" s="26"/>
      <c r="B253" s="84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26"/>
      <c r="AH253" s="26"/>
      <c r="AI253" s="26"/>
      <c r="AJ253" s="26"/>
      <c r="AK253" s="26"/>
      <c r="AL253" s="26"/>
      <c r="AM253" s="26"/>
    </row>
    <row r="254" ht="14.25" customHeight="1">
      <c r="A254" s="26"/>
      <c r="B254" s="84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  <c r="AG254" s="26"/>
      <c r="AH254" s="26"/>
      <c r="AI254" s="26"/>
      <c r="AJ254" s="26"/>
      <c r="AK254" s="26"/>
      <c r="AL254" s="26"/>
      <c r="AM254" s="26"/>
    </row>
    <row r="255" ht="14.25" customHeight="1">
      <c r="A255" s="26"/>
      <c r="B255" s="84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AG255" s="26"/>
      <c r="AH255" s="26"/>
      <c r="AI255" s="26"/>
      <c r="AJ255" s="26"/>
      <c r="AK255" s="26"/>
      <c r="AL255" s="26"/>
      <c r="AM255" s="26"/>
    </row>
    <row r="256" ht="14.25" customHeight="1">
      <c r="A256" s="26"/>
      <c r="B256" s="84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26"/>
      <c r="AH256" s="26"/>
      <c r="AI256" s="26"/>
      <c r="AJ256" s="26"/>
      <c r="AK256" s="26"/>
      <c r="AL256" s="26"/>
      <c r="AM256" s="26"/>
    </row>
    <row r="257" ht="14.25" customHeight="1">
      <c r="A257" s="26"/>
      <c r="B257" s="84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26"/>
      <c r="AH257" s="26"/>
      <c r="AI257" s="26"/>
      <c r="AJ257" s="26"/>
      <c r="AK257" s="26"/>
      <c r="AL257" s="26"/>
      <c r="AM257" s="26"/>
    </row>
    <row r="258" ht="14.25" customHeight="1">
      <c r="A258" s="26"/>
      <c r="B258" s="84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26"/>
      <c r="AH258" s="26"/>
      <c r="AI258" s="26"/>
      <c r="AJ258" s="26"/>
      <c r="AK258" s="26"/>
      <c r="AL258" s="26"/>
      <c r="AM258" s="26"/>
    </row>
    <row r="259" ht="14.25" customHeight="1">
      <c r="A259" s="26"/>
      <c r="B259" s="84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  <c r="AF259" s="26"/>
      <c r="AG259" s="26"/>
      <c r="AH259" s="26"/>
      <c r="AI259" s="26"/>
      <c r="AJ259" s="26"/>
      <c r="AK259" s="26"/>
      <c r="AL259" s="26"/>
      <c r="AM259" s="26"/>
    </row>
    <row r="260" ht="14.25" customHeight="1">
      <c r="A260" s="26"/>
      <c r="B260" s="84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26"/>
      <c r="AH260" s="26"/>
      <c r="AI260" s="26"/>
      <c r="AJ260" s="26"/>
      <c r="AK260" s="26"/>
      <c r="AL260" s="26"/>
      <c r="AM260" s="26"/>
    </row>
    <row r="261" ht="14.25" customHeight="1">
      <c r="A261" s="26"/>
      <c r="B261" s="84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26"/>
      <c r="AH261" s="26"/>
      <c r="AI261" s="26"/>
      <c r="AJ261" s="26"/>
      <c r="AK261" s="26"/>
      <c r="AL261" s="26"/>
      <c r="AM261" s="26"/>
    </row>
    <row r="262" ht="14.25" customHeight="1">
      <c r="A262" s="26"/>
      <c r="B262" s="84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26"/>
      <c r="AH262" s="26"/>
      <c r="AI262" s="26"/>
      <c r="AJ262" s="26"/>
      <c r="AK262" s="26"/>
      <c r="AL262" s="26"/>
      <c r="AM262" s="26"/>
    </row>
    <row r="263" ht="14.25" customHeight="1">
      <c r="A263" s="26"/>
      <c r="B263" s="84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26"/>
      <c r="AH263" s="26"/>
      <c r="AI263" s="26"/>
      <c r="AJ263" s="26"/>
      <c r="AK263" s="26"/>
      <c r="AL263" s="26"/>
      <c r="AM263" s="26"/>
    </row>
    <row r="264" ht="14.25" customHeight="1">
      <c r="A264" s="26"/>
      <c r="B264" s="84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26"/>
      <c r="AH264" s="26"/>
      <c r="AI264" s="26"/>
      <c r="AJ264" s="26"/>
      <c r="AK264" s="26"/>
      <c r="AL264" s="26"/>
      <c r="AM264" s="26"/>
    </row>
    <row r="265" ht="14.25" customHeight="1">
      <c r="A265" s="26"/>
      <c r="B265" s="84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26"/>
      <c r="AH265" s="26"/>
      <c r="AI265" s="26"/>
      <c r="AJ265" s="26"/>
      <c r="AK265" s="26"/>
      <c r="AL265" s="26"/>
      <c r="AM265" s="26"/>
    </row>
    <row r="266" ht="14.25" customHeight="1">
      <c r="A266" s="26"/>
      <c r="B266" s="84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26"/>
      <c r="AH266" s="26"/>
      <c r="AI266" s="26"/>
      <c r="AJ266" s="26"/>
      <c r="AK266" s="26"/>
      <c r="AL266" s="26"/>
      <c r="AM266" s="26"/>
    </row>
    <row r="267" ht="14.25" customHeight="1">
      <c r="A267" s="26"/>
      <c r="B267" s="84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  <c r="AG267" s="26"/>
      <c r="AH267" s="26"/>
      <c r="AI267" s="26"/>
      <c r="AJ267" s="26"/>
      <c r="AK267" s="26"/>
      <c r="AL267" s="26"/>
      <c r="AM267" s="26"/>
    </row>
    <row r="268" ht="14.25" customHeight="1">
      <c r="A268" s="26"/>
      <c r="B268" s="84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26"/>
      <c r="AH268" s="26"/>
      <c r="AI268" s="26"/>
      <c r="AJ268" s="26"/>
      <c r="AK268" s="26"/>
      <c r="AL268" s="26"/>
      <c r="AM268" s="26"/>
    </row>
    <row r="269" ht="14.25" customHeight="1">
      <c r="A269" s="26"/>
      <c r="B269" s="84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  <c r="AE269" s="26"/>
      <c r="AF269" s="26"/>
      <c r="AG269" s="26"/>
      <c r="AH269" s="26"/>
      <c r="AI269" s="26"/>
      <c r="AJ269" s="26"/>
      <c r="AK269" s="26"/>
      <c r="AL269" s="26"/>
      <c r="AM269" s="26"/>
    </row>
    <row r="270" ht="14.25" customHeight="1">
      <c r="A270" s="26"/>
      <c r="B270" s="84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26"/>
      <c r="AH270" s="26"/>
      <c r="AI270" s="26"/>
      <c r="AJ270" s="26"/>
      <c r="AK270" s="26"/>
      <c r="AL270" s="26"/>
      <c r="AM270" s="26"/>
    </row>
    <row r="271" ht="14.25" customHeight="1">
      <c r="A271" s="26"/>
      <c r="B271" s="84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  <c r="AG271" s="26"/>
      <c r="AH271" s="26"/>
      <c r="AI271" s="26"/>
      <c r="AJ271" s="26"/>
      <c r="AK271" s="26"/>
      <c r="AL271" s="26"/>
      <c r="AM271" s="26"/>
    </row>
    <row r="272" ht="14.25" customHeight="1">
      <c r="A272" s="26"/>
      <c r="B272" s="84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26"/>
      <c r="AH272" s="26"/>
      <c r="AI272" s="26"/>
      <c r="AJ272" s="26"/>
      <c r="AK272" s="26"/>
      <c r="AL272" s="26"/>
      <c r="AM272" s="26"/>
    </row>
    <row r="273" ht="14.25" customHeight="1">
      <c r="A273" s="26"/>
      <c r="B273" s="84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  <c r="AG273" s="26"/>
      <c r="AH273" s="26"/>
      <c r="AI273" s="26"/>
      <c r="AJ273" s="26"/>
      <c r="AK273" s="26"/>
      <c r="AL273" s="26"/>
      <c r="AM273" s="26"/>
    </row>
    <row r="274" ht="14.25" customHeight="1">
      <c r="A274" s="26"/>
      <c r="B274" s="84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26"/>
      <c r="AH274" s="26"/>
      <c r="AI274" s="26"/>
      <c r="AJ274" s="26"/>
      <c r="AK274" s="26"/>
      <c r="AL274" s="26"/>
      <c r="AM274" s="26"/>
    </row>
    <row r="275" ht="14.25" customHeight="1">
      <c r="A275" s="26"/>
      <c r="B275" s="84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  <c r="AG275" s="26"/>
      <c r="AH275" s="26"/>
      <c r="AI275" s="26"/>
      <c r="AJ275" s="26"/>
      <c r="AK275" s="26"/>
      <c r="AL275" s="26"/>
      <c r="AM275" s="26"/>
    </row>
    <row r="276" ht="14.25" customHeight="1">
      <c r="A276" s="26"/>
      <c r="B276" s="84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26"/>
      <c r="AH276" s="26"/>
      <c r="AI276" s="26"/>
      <c r="AJ276" s="26"/>
      <c r="AK276" s="26"/>
      <c r="AL276" s="26"/>
      <c r="AM276" s="26"/>
    </row>
    <row r="277" ht="14.25" customHeight="1">
      <c r="A277" s="26"/>
      <c r="B277" s="84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  <c r="AF277" s="26"/>
      <c r="AG277" s="26"/>
      <c r="AH277" s="26"/>
      <c r="AI277" s="26"/>
      <c r="AJ277" s="26"/>
      <c r="AK277" s="26"/>
      <c r="AL277" s="26"/>
      <c r="AM277" s="26"/>
    </row>
    <row r="278" ht="14.25" customHeight="1">
      <c r="A278" s="26"/>
      <c r="B278" s="84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  <c r="AF278" s="26"/>
      <c r="AG278" s="26"/>
      <c r="AH278" s="26"/>
      <c r="AI278" s="26"/>
      <c r="AJ278" s="26"/>
      <c r="AK278" s="26"/>
      <c r="AL278" s="26"/>
      <c r="AM278" s="26"/>
    </row>
    <row r="279" ht="14.25" customHeight="1">
      <c r="A279" s="26"/>
      <c r="B279" s="84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  <c r="AE279" s="26"/>
      <c r="AF279" s="26"/>
      <c r="AG279" s="26"/>
      <c r="AH279" s="26"/>
      <c r="AI279" s="26"/>
      <c r="AJ279" s="26"/>
      <c r="AK279" s="26"/>
      <c r="AL279" s="26"/>
      <c r="AM279" s="26"/>
    </row>
    <row r="280" ht="14.25" customHeight="1">
      <c r="A280" s="26"/>
      <c r="B280" s="84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  <c r="AG280" s="26"/>
      <c r="AH280" s="26"/>
      <c r="AI280" s="26"/>
      <c r="AJ280" s="26"/>
      <c r="AK280" s="26"/>
      <c r="AL280" s="26"/>
      <c r="AM280" s="26"/>
    </row>
    <row r="281" ht="14.25" customHeight="1">
      <c r="A281" s="26"/>
      <c r="B281" s="84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  <c r="AF281" s="26"/>
      <c r="AG281" s="26"/>
      <c r="AH281" s="26"/>
      <c r="AI281" s="26"/>
      <c r="AJ281" s="26"/>
      <c r="AK281" s="26"/>
      <c r="AL281" s="26"/>
      <c r="AM281" s="26"/>
    </row>
    <row r="282" ht="14.25" customHeight="1">
      <c r="A282" s="26"/>
      <c r="B282" s="84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  <c r="AG282" s="26"/>
      <c r="AH282" s="26"/>
      <c r="AI282" s="26"/>
      <c r="AJ282" s="26"/>
      <c r="AK282" s="26"/>
      <c r="AL282" s="26"/>
      <c r="AM282" s="26"/>
    </row>
    <row r="283" ht="14.25" customHeight="1">
      <c r="A283" s="26"/>
      <c r="B283" s="84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  <c r="AF283" s="26"/>
      <c r="AG283" s="26"/>
      <c r="AH283" s="26"/>
      <c r="AI283" s="26"/>
      <c r="AJ283" s="26"/>
      <c r="AK283" s="26"/>
      <c r="AL283" s="26"/>
      <c r="AM283" s="26"/>
    </row>
    <row r="284" ht="14.25" customHeight="1">
      <c r="A284" s="26"/>
      <c r="B284" s="84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  <c r="AE284" s="26"/>
      <c r="AF284" s="26"/>
      <c r="AG284" s="26"/>
      <c r="AH284" s="26"/>
      <c r="AI284" s="26"/>
      <c r="AJ284" s="26"/>
      <c r="AK284" s="26"/>
      <c r="AL284" s="26"/>
      <c r="AM284" s="26"/>
    </row>
    <row r="285" ht="14.25" customHeight="1">
      <c r="A285" s="26"/>
      <c r="B285" s="84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  <c r="AG285" s="26"/>
      <c r="AH285" s="26"/>
      <c r="AI285" s="26"/>
      <c r="AJ285" s="26"/>
      <c r="AK285" s="26"/>
      <c r="AL285" s="26"/>
      <c r="AM285" s="26"/>
    </row>
    <row r="286" ht="14.25" customHeight="1">
      <c r="A286" s="26"/>
      <c r="B286" s="84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  <c r="AE286" s="26"/>
      <c r="AF286" s="26"/>
      <c r="AG286" s="26"/>
      <c r="AH286" s="26"/>
      <c r="AI286" s="26"/>
      <c r="AJ286" s="26"/>
      <c r="AK286" s="26"/>
      <c r="AL286" s="26"/>
      <c r="AM286" s="26"/>
    </row>
    <row r="287" ht="14.25" customHeight="1">
      <c r="A287" s="26"/>
      <c r="B287" s="84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  <c r="AE287" s="26"/>
      <c r="AF287" s="26"/>
      <c r="AG287" s="26"/>
      <c r="AH287" s="26"/>
      <c r="AI287" s="26"/>
      <c r="AJ287" s="26"/>
      <c r="AK287" s="26"/>
      <c r="AL287" s="26"/>
      <c r="AM287" s="26"/>
    </row>
    <row r="288" ht="14.25" customHeight="1">
      <c r="A288" s="26"/>
      <c r="B288" s="84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  <c r="AF288" s="26"/>
      <c r="AG288" s="26"/>
      <c r="AH288" s="26"/>
      <c r="AI288" s="26"/>
      <c r="AJ288" s="26"/>
      <c r="AK288" s="26"/>
      <c r="AL288" s="26"/>
      <c r="AM288" s="26"/>
    </row>
    <row r="289" ht="14.25" customHeight="1">
      <c r="A289" s="26"/>
      <c r="B289" s="84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  <c r="AF289" s="26"/>
      <c r="AG289" s="26"/>
      <c r="AH289" s="26"/>
      <c r="AI289" s="26"/>
      <c r="AJ289" s="26"/>
      <c r="AK289" s="26"/>
      <c r="AL289" s="26"/>
      <c r="AM289" s="26"/>
    </row>
    <row r="290" ht="14.25" customHeight="1">
      <c r="A290" s="26"/>
      <c r="B290" s="84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  <c r="AF290" s="26"/>
      <c r="AG290" s="26"/>
      <c r="AH290" s="26"/>
      <c r="AI290" s="26"/>
      <c r="AJ290" s="26"/>
      <c r="AK290" s="26"/>
      <c r="AL290" s="26"/>
      <c r="AM290" s="26"/>
    </row>
    <row r="291" ht="14.25" customHeight="1">
      <c r="A291" s="26"/>
      <c r="B291" s="84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  <c r="AF291" s="26"/>
      <c r="AG291" s="26"/>
      <c r="AH291" s="26"/>
      <c r="AI291" s="26"/>
      <c r="AJ291" s="26"/>
      <c r="AK291" s="26"/>
      <c r="AL291" s="26"/>
      <c r="AM291" s="26"/>
    </row>
    <row r="292" ht="14.25" customHeight="1">
      <c r="A292" s="26"/>
      <c r="B292" s="84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  <c r="AF292" s="26"/>
      <c r="AG292" s="26"/>
      <c r="AH292" s="26"/>
      <c r="AI292" s="26"/>
      <c r="AJ292" s="26"/>
      <c r="AK292" s="26"/>
      <c r="AL292" s="26"/>
      <c r="AM292" s="26"/>
    </row>
    <row r="293" ht="14.25" customHeight="1">
      <c r="A293" s="26"/>
      <c r="B293" s="84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  <c r="AE293" s="26"/>
      <c r="AF293" s="26"/>
      <c r="AG293" s="26"/>
      <c r="AH293" s="26"/>
      <c r="AI293" s="26"/>
      <c r="AJ293" s="26"/>
      <c r="AK293" s="26"/>
      <c r="AL293" s="26"/>
      <c r="AM293" s="26"/>
    </row>
    <row r="294" ht="14.25" customHeight="1">
      <c r="A294" s="26"/>
      <c r="B294" s="84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  <c r="AE294" s="26"/>
      <c r="AF294" s="26"/>
      <c r="AG294" s="26"/>
      <c r="AH294" s="26"/>
      <c r="AI294" s="26"/>
      <c r="AJ294" s="26"/>
      <c r="AK294" s="26"/>
      <c r="AL294" s="26"/>
      <c r="AM294" s="26"/>
    </row>
    <row r="295" ht="14.25" customHeight="1">
      <c r="A295" s="26"/>
      <c r="B295" s="84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  <c r="AE295" s="26"/>
      <c r="AF295" s="26"/>
      <c r="AG295" s="26"/>
      <c r="AH295" s="26"/>
      <c r="AI295" s="26"/>
      <c r="AJ295" s="26"/>
      <c r="AK295" s="26"/>
      <c r="AL295" s="26"/>
      <c r="AM295" s="26"/>
    </row>
    <row r="296" ht="14.25" customHeight="1">
      <c r="A296" s="26"/>
      <c r="B296" s="84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  <c r="AE296" s="26"/>
      <c r="AF296" s="26"/>
      <c r="AG296" s="26"/>
      <c r="AH296" s="26"/>
      <c r="AI296" s="26"/>
      <c r="AJ296" s="26"/>
      <c r="AK296" s="26"/>
      <c r="AL296" s="26"/>
      <c r="AM296" s="26"/>
    </row>
    <row r="297" ht="14.25" customHeight="1">
      <c r="A297" s="26"/>
      <c r="B297" s="84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  <c r="AE297" s="26"/>
      <c r="AF297" s="26"/>
      <c r="AG297" s="26"/>
      <c r="AH297" s="26"/>
      <c r="AI297" s="26"/>
      <c r="AJ297" s="26"/>
      <c r="AK297" s="26"/>
      <c r="AL297" s="26"/>
      <c r="AM297" s="26"/>
    </row>
    <row r="298" ht="14.25" customHeight="1">
      <c r="A298" s="26"/>
      <c r="B298" s="84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  <c r="AE298" s="26"/>
      <c r="AF298" s="26"/>
      <c r="AG298" s="26"/>
      <c r="AH298" s="26"/>
      <c r="AI298" s="26"/>
      <c r="AJ298" s="26"/>
      <c r="AK298" s="26"/>
      <c r="AL298" s="26"/>
      <c r="AM298" s="26"/>
    </row>
    <row r="299" ht="14.25" customHeight="1">
      <c r="A299" s="26"/>
      <c r="B299" s="84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  <c r="AE299" s="26"/>
      <c r="AF299" s="26"/>
      <c r="AG299" s="26"/>
      <c r="AH299" s="26"/>
      <c r="AI299" s="26"/>
      <c r="AJ299" s="26"/>
      <c r="AK299" s="26"/>
      <c r="AL299" s="26"/>
      <c r="AM299" s="26"/>
    </row>
    <row r="300" ht="14.25" customHeight="1">
      <c r="A300" s="26"/>
      <c r="B300" s="84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  <c r="AF300" s="26"/>
      <c r="AG300" s="26"/>
      <c r="AH300" s="26"/>
      <c r="AI300" s="26"/>
      <c r="AJ300" s="26"/>
      <c r="AK300" s="26"/>
      <c r="AL300" s="26"/>
      <c r="AM300" s="26"/>
    </row>
    <row r="301" ht="14.25" customHeight="1">
      <c r="A301" s="26"/>
      <c r="B301" s="84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  <c r="AE301" s="26"/>
      <c r="AF301" s="26"/>
      <c r="AG301" s="26"/>
      <c r="AH301" s="26"/>
      <c r="AI301" s="26"/>
      <c r="AJ301" s="26"/>
      <c r="AK301" s="26"/>
      <c r="AL301" s="26"/>
      <c r="AM301" s="26"/>
    </row>
    <row r="302" ht="14.25" customHeight="1">
      <c r="A302" s="26"/>
      <c r="B302" s="84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  <c r="AF302" s="26"/>
      <c r="AG302" s="26"/>
      <c r="AH302" s="26"/>
      <c r="AI302" s="26"/>
      <c r="AJ302" s="26"/>
      <c r="AK302" s="26"/>
      <c r="AL302" s="26"/>
      <c r="AM302" s="26"/>
    </row>
    <row r="303" ht="14.25" customHeight="1">
      <c r="A303" s="26"/>
      <c r="B303" s="84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  <c r="AF303" s="26"/>
      <c r="AG303" s="26"/>
      <c r="AH303" s="26"/>
      <c r="AI303" s="26"/>
      <c r="AJ303" s="26"/>
      <c r="AK303" s="26"/>
      <c r="AL303" s="26"/>
      <c r="AM303" s="26"/>
    </row>
    <row r="304" ht="14.25" customHeight="1">
      <c r="A304" s="26"/>
      <c r="B304" s="84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  <c r="AG304" s="26"/>
      <c r="AH304" s="26"/>
      <c r="AI304" s="26"/>
      <c r="AJ304" s="26"/>
      <c r="AK304" s="26"/>
      <c r="AL304" s="26"/>
      <c r="AM304" s="26"/>
    </row>
    <row r="305" ht="14.25" customHeight="1">
      <c r="A305" s="26"/>
      <c r="B305" s="84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  <c r="AF305" s="26"/>
      <c r="AG305" s="26"/>
      <c r="AH305" s="26"/>
      <c r="AI305" s="26"/>
      <c r="AJ305" s="26"/>
      <c r="AK305" s="26"/>
      <c r="AL305" s="26"/>
      <c r="AM305" s="26"/>
    </row>
    <row r="306" ht="14.25" customHeight="1">
      <c r="A306" s="26"/>
      <c r="B306" s="84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  <c r="AF306" s="26"/>
      <c r="AG306" s="26"/>
      <c r="AH306" s="26"/>
      <c r="AI306" s="26"/>
      <c r="AJ306" s="26"/>
      <c r="AK306" s="26"/>
      <c r="AL306" s="26"/>
      <c r="AM306" s="26"/>
    </row>
    <row r="307" ht="14.25" customHeight="1">
      <c r="A307" s="26"/>
      <c r="B307" s="84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  <c r="AE307" s="26"/>
      <c r="AF307" s="26"/>
      <c r="AG307" s="26"/>
      <c r="AH307" s="26"/>
      <c r="AI307" s="26"/>
      <c r="AJ307" s="26"/>
      <c r="AK307" s="26"/>
      <c r="AL307" s="26"/>
      <c r="AM307" s="26"/>
    </row>
    <row r="308" ht="14.25" customHeight="1">
      <c r="A308" s="26"/>
      <c r="B308" s="84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  <c r="AE308" s="26"/>
      <c r="AF308" s="26"/>
      <c r="AG308" s="26"/>
      <c r="AH308" s="26"/>
      <c r="AI308" s="26"/>
      <c r="AJ308" s="26"/>
      <c r="AK308" s="26"/>
      <c r="AL308" s="26"/>
      <c r="AM308" s="26"/>
    </row>
    <row r="309" ht="14.25" customHeight="1">
      <c r="A309" s="26"/>
      <c r="B309" s="84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  <c r="AE309" s="26"/>
      <c r="AF309" s="26"/>
      <c r="AG309" s="26"/>
      <c r="AH309" s="26"/>
      <c r="AI309" s="26"/>
      <c r="AJ309" s="26"/>
      <c r="AK309" s="26"/>
      <c r="AL309" s="26"/>
      <c r="AM309" s="26"/>
    </row>
    <row r="310" ht="14.25" customHeight="1">
      <c r="A310" s="26"/>
      <c r="B310" s="84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  <c r="AE310" s="26"/>
      <c r="AF310" s="26"/>
      <c r="AG310" s="26"/>
      <c r="AH310" s="26"/>
      <c r="AI310" s="26"/>
      <c r="AJ310" s="26"/>
      <c r="AK310" s="26"/>
      <c r="AL310" s="26"/>
      <c r="AM310" s="26"/>
    </row>
    <row r="311" ht="14.25" customHeight="1">
      <c r="A311" s="26"/>
      <c r="B311" s="84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  <c r="AE311" s="26"/>
      <c r="AF311" s="26"/>
      <c r="AG311" s="26"/>
      <c r="AH311" s="26"/>
      <c r="AI311" s="26"/>
      <c r="AJ311" s="26"/>
      <c r="AK311" s="26"/>
      <c r="AL311" s="26"/>
      <c r="AM311" s="26"/>
    </row>
    <row r="312" ht="14.25" customHeight="1">
      <c r="A312" s="26"/>
      <c r="B312" s="84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26"/>
      <c r="AF312" s="26"/>
      <c r="AG312" s="26"/>
      <c r="AH312" s="26"/>
      <c r="AI312" s="26"/>
      <c r="AJ312" s="26"/>
      <c r="AK312" s="26"/>
      <c r="AL312" s="26"/>
      <c r="AM312" s="26"/>
    </row>
    <row r="313" ht="14.25" customHeight="1">
      <c r="A313" s="26"/>
      <c r="B313" s="84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  <c r="AE313" s="26"/>
      <c r="AF313" s="26"/>
      <c r="AG313" s="26"/>
      <c r="AH313" s="26"/>
      <c r="AI313" s="26"/>
      <c r="AJ313" s="26"/>
      <c r="AK313" s="26"/>
      <c r="AL313" s="26"/>
      <c r="AM313" s="26"/>
    </row>
    <row r="314" ht="14.25" customHeight="1">
      <c r="A314" s="26"/>
      <c r="B314" s="84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  <c r="AF314" s="26"/>
      <c r="AG314" s="26"/>
      <c r="AH314" s="26"/>
      <c r="AI314" s="26"/>
      <c r="AJ314" s="26"/>
      <c r="AK314" s="26"/>
      <c r="AL314" s="26"/>
      <c r="AM314" s="26"/>
    </row>
    <row r="315" ht="14.25" customHeight="1">
      <c r="A315" s="26"/>
      <c r="B315" s="84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  <c r="AF315" s="26"/>
      <c r="AG315" s="26"/>
      <c r="AH315" s="26"/>
      <c r="AI315" s="26"/>
      <c r="AJ315" s="26"/>
      <c r="AK315" s="26"/>
      <c r="AL315" s="26"/>
      <c r="AM315" s="26"/>
    </row>
    <row r="316" ht="14.25" customHeight="1">
      <c r="A316" s="26"/>
      <c r="B316" s="84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  <c r="AE316" s="26"/>
      <c r="AF316" s="26"/>
      <c r="AG316" s="26"/>
      <c r="AH316" s="26"/>
      <c r="AI316" s="26"/>
      <c r="AJ316" s="26"/>
      <c r="AK316" s="26"/>
      <c r="AL316" s="26"/>
      <c r="AM316" s="26"/>
    </row>
    <row r="317" ht="14.25" customHeight="1">
      <c r="A317" s="26"/>
      <c r="B317" s="84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  <c r="AE317" s="26"/>
      <c r="AF317" s="26"/>
      <c r="AG317" s="26"/>
      <c r="AH317" s="26"/>
      <c r="AI317" s="26"/>
      <c r="AJ317" s="26"/>
      <c r="AK317" s="26"/>
      <c r="AL317" s="26"/>
      <c r="AM317" s="26"/>
    </row>
    <row r="318" ht="14.25" customHeight="1">
      <c r="A318" s="26"/>
      <c r="B318" s="84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  <c r="AF318" s="26"/>
      <c r="AG318" s="26"/>
      <c r="AH318" s="26"/>
      <c r="AI318" s="26"/>
      <c r="AJ318" s="26"/>
      <c r="AK318" s="26"/>
      <c r="AL318" s="26"/>
      <c r="AM318" s="26"/>
    </row>
    <row r="319" ht="14.25" customHeight="1">
      <c r="A319" s="26"/>
      <c r="B319" s="84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  <c r="AE319" s="26"/>
      <c r="AF319" s="26"/>
      <c r="AG319" s="26"/>
      <c r="AH319" s="26"/>
      <c r="AI319" s="26"/>
      <c r="AJ319" s="26"/>
      <c r="AK319" s="26"/>
      <c r="AL319" s="26"/>
      <c r="AM319" s="26"/>
    </row>
    <row r="320" ht="14.25" customHeight="1">
      <c r="A320" s="26"/>
      <c r="B320" s="84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  <c r="AF320" s="26"/>
      <c r="AG320" s="26"/>
      <c r="AH320" s="26"/>
      <c r="AI320" s="26"/>
      <c r="AJ320" s="26"/>
      <c r="AK320" s="26"/>
      <c r="AL320" s="26"/>
      <c r="AM320" s="26"/>
    </row>
    <row r="321" ht="14.25" customHeight="1">
      <c r="A321" s="26"/>
      <c r="B321" s="84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  <c r="AE321" s="26"/>
      <c r="AF321" s="26"/>
      <c r="AG321" s="26"/>
      <c r="AH321" s="26"/>
      <c r="AI321" s="26"/>
      <c r="AJ321" s="26"/>
      <c r="AK321" s="26"/>
      <c r="AL321" s="26"/>
      <c r="AM321" s="26"/>
    </row>
    <row r="322" ht="14.25" customHeight="1">
      <c r="A322" s="26"/>
      <c r="B322" s="84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  <c r="AE322" s="26"/>
      <c r="AF322" s="26"/>
      <c r="AG322" s="26"/>
      <c r="AH322" s="26"/>
      <c r="AI322" s="26"/>
      <c r="AJ322" s="26"/>
      <c r="AK322" s="26"/>
      <c r="AL322" s="26"/>
      <c r="AM322" s="26"/>
    </row>
    <row r="323" ht="14.25" customHeight="1">
      <c r="A323" s="26"/>
      <c r="B323" s="84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  <c r="AE323" s="26"/>
      <c r="AF323" s="26"/>
      <c r="AG323" s="26"/>
      <c r="AH323" s="26"/>
      <c r="AI323" s="26"/>
      <c r="AJ323" s="26"/>
      <c r="AK323" s="26"/>
      <c r="AL323" s="26"/>
      <c r="AM323" s="26"/>
    </row>
    <row r="324" ht="14.25" customHeight="1">
      <c r="A324" s="26"/>
      <c r="B324" s="84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  <c r="AE324" s="26"/>
      <c r="AF324" s="26"/>
      <c r="AG324" s="26"/>
      <c r="AH324" s="26"/>
      <c r="AI324" s="26"/>
      <c r="AJ324" s="26"/>
      <c r="AK324" s="26"/>
      <c r="AL324" s="26"/>
      <c r="AM324" s="26"/>
    </row>
    <row r="325" ht="14.25" customHeight="1">
      <c r="A325" s="26"/>
      <c r="B325" s="84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  <c r="AE325" s="26"/>
      <c r="AF325" s="26"/>
      <c r="AG325" s="26"/>
      <c r="AH325" s="26"/>
      <c r="AI325" s="26"/>
      <c r="AJ325" s="26"/>
      <c r="AK325" s="26"/>
      <c r="AL325" s="26"/>
      <c r="AM325" s="26"/>
    </row>
    <row r="326" ht="14.25" customHeight="1">
      <c r="A326" s="26"/>
      <c r="B326" s="84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  <c r="AE326" s="26"/>
      <c r="AF326" s="26"/>
      <c r="AG326" s="26"/>
      <c r="AH326" s="26"/>
      <c r="AI326" s="26"/>
      <c r="AJ326" s="26"/>
      <c r="AK326" s="26"/>
      <c r="AL326" s="26"/>
      <c r="AM326" s="26"/>
    </row>
    <row r="327" ht="14.25" customHeight="1">
      <c r="A327" s="26"/>
      <c r="B327" s="84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  <c r="AE327" s="26"/>
      <c r="AF327" s="26"/>
      <c r="AG327" s="26"/>
      <c r="AH327" s="26"/>
      <c r="AI327" s="26"/>
      <c r="AJ327" s="26"/>
      <c r="AK327" s="26"/>
      <c r="AL327" s="26"/>
      <c r="AM327" s="26"/>
    </row>
    <row r="328" ht="14.25" customHeight="1">
      <c r="A328" s="26"/>
      <c r="B328" s="84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  <c r="AE328" s="26"/>
      <c r="AF328" s="26"/>
      <c r="AG328" s="26"/>
      <c r="AH328" s="26"/>
      <c r="AI328" s="26"/>
      <c r="AJ328" s="26"/>
      <c r="AK328" s="26"/>
      <c r="AL328" s="26"/>
      <c r="AM328" s="26"/>
    </row>
    <row r="329" ht="14.25" customHeight="1">
      <c r="A329" s="26"/>
      <c r="B329" s="84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  <c r="AE329" s="26"/>
      <c r="AF329" s="26"/>
      <c r="AG329" s="26"/>
      <c r="AH329" s="26"/>
      <c r="AI329" s="26"/>
      <c r="AJ329" s="26"/>
      <c r="AK329" s="26"/>
      <c r="AL329" s="26"/>
      <c r="AM329" s="26"/>
    </row>
    <row r="330" ht="14.25" customHeight="1">
      <c r="A330" s="26"/>
      <c r="B330" s="84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  <c r="AE330" s="26"/>
      <c r="AF330" s="26"/>
      <c r="AG330" s="26"/>
      <c r="AH330" s="26"/>
      <c r="AI330" s="26"/>
      <c r="AJ330" s="26"/>
      <c r="AK330" s="26"/>
      <c r="AL330" s="26"/>
      <c r="AM330" s="26"/>
    </row>
    <row r="331" ht="14.25" customHeight="1">
      <c r="A331" s="26"/>
      <c r="B331" s="84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  <c r="AE331" s="26"/>
      <c r="AF331" s="26"/>
      <c r="AG331" s="26"/>
      <c r="AH331" s="26"/>
      <c r="AI331" s="26"/>
      <c r="AJ331" s="26"/>
      <c r="AK331" s="26"/>
      <c r="AL331" s="26"/>
      <c r="AM331" s="26"/>
    </row>
    <row r="332" ht="14.25" customHeight="1">
      <c r="A332" s="26"/>
      <c r="B332" s="84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  <c r="AE332" s="26"/>
      <c r="AF332" s="26"/>
      <c r="AG332" s="26"/>
      <c r="AH332" s="26"/>
      <c r="AI332" s="26"/>
      <c r="AJ332" s="26"/>
      <c r="AK332" s="26"/>
      <c r="AL332" s="26"/>
      <c r="AM332" s="26"/>
    </row>
    <row r="333" ht="14.25" customHeight="1">
      <c r="A333" s="26"/>
      <c r="B333" s="84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  <c r="AE333" s="26"/>
      <c r="AF333" s="26"/>
      <c r="AG333" s="26"/>
      <c r="AH333" s="26"/>
      <c r="AI333" s="26"/>
      <c r="AJ333" s="26"/>
      <c r="AK333" s="26"/>
      <c r="AL333" s="26"/>
      <c r="AM333" s="26"/>
    </row>
    <row r="334" ht="14.25" customHeight="1">
      <c r="A334" s="26"/>
      <c r="B334" s="84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  <c r="AE334" s="26"/>
      <c r="AF334" s="26"/>
      <c r="AG334" s="26"/>
      <c r="AH334" s="26"/>
      <c r="AI334" s="26"/>
      <c r="AJ334" s="26"/>
      <c r="AK334" s="26"/>
      <c r="AL334" s="26"/>
      <c r="AM334" s="26"/>
    </row>
    <row r="335" ht="14.25" customHeight="1">
      <c r="A335" s="26"/>
      <c r="B335" s="84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  <c r="AE335" s="26"/>
      <c r="AF335" s="26"/>
      <c r="AG335" s="26"/>
      <c r="AH335" s="26"/>
      <c r="AI335" s="26"/>
      <c r="AJ335" s="26"/>
      <c r="AK335" s="26"/>
      <c r="AL335" s="26"/>
      <c r="AM335" s="26"/>
    </row>
    <row r="336" ht="14.25" customHeight="1">
      <c r="A336" s="26"/>
      <c r="B336" s="84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  <c r="AE336" s="26"/>
      <c r="AF336" s="26"/>
      <c r="AG336" s="26"/>
      <c r="AH336" s="26"/>
      <c r="AI336" s="26"/>
      <c r="AJ336" s="26"/>
      <c r="AK336" s="26"/>
      <c r="AL336" s="26"/>
      <c r="AM336" s="26"/>
    </row>
    <row r="337" ht="14.25" customHeight="1">
      <c r="A337" s="26"/>
      <c r="B337" s="84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  <c r="AE337" s="26"/>
      <c r="AF337" s="26"/>
      <c r="AG337" s="26"/>
      <c r="AH337" s="26"/>
      <c r="AI337" s="26"/>
      <c r="AJ337" s="26"/>
      <c r="AK337" s="26"/>
      <c r="AL337" s="26"/>
      <c r="AM337" s="26"/>
    </row>
    <row r="338" ht="14.25" customHeight="1">
      <c r="A338" s="26"/>
      <c r="B338" s="84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  <c r="AE338" s="26"/>
      <c r="AF338" s="26"/>
      <c r="AG338" s="26"/>
      <c r="AH338" s="26"/>
      <c r="AI338" s="26"/>
      <c r="AJ338" s="26"/>
      <c r="AK338" s="26"/>
      <c r="AL338" s="26"/>
      <c r="AM338" s="26"/>
    </row>
    <row r="339" ht="14.25" customHeight="1">
      <c r="A339" s="26"/>
      <c r="B339" s="84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  <c r="AD339" s="26"/>
      <c r="AE339" s="26"/>
      <c r="AF339" s="26"/>
      <c r="AG339" s="26"/>
      <c r="AH339" s="26"/>
      <c r="AI339" s="26"/>
      <c r="AJ339" s="26"/>
      <c r="AK339" s="26"/>
      <c r="AL339" s="26"/>
      <c r="AM339" s="26"/>
    </row>
    <row r="340" ht="14.25" customHeight="1">
      <c r="A340" s="26"/>
      <c r="B340" s="84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  <c r="AE340" s="26"/>
      <c r="AF340" s="26"/>
      <c r="AG340" s="26"/>
      <c r="AH340" s="26"/>
      <c r="AI340" s="26"/>
      <c r="AJ340" s="26"/>
      <c r="AK340" s="26"/>
      <c r="AL340" s="26"/>
      <c r="AM340" s="26"/>
    </row>
    <row r="341" ht="14.25" customHeight="1">
      <c r="A341" s="26"/>
      <c r="B341" s="84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  <c r="AE341" s="26"/>
      <c r="AF341" s="26"/>
      <c r="AG341" s="26"/>
      <c r="AH341" s="26"/>
      <c r="AI341" s="26"/>
      <c r="AJ341" s="26"/>
      <c r="AK341" s="26"/>
      <c r="AL341" s="26"/>
      <c r="AM341" s="26"/>
    </row>
    <row r="342" ht="14.25" customHeight="1">
      <c r="A342" s="26"/>
      <c r="B342" s="84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  <c r="AE342" s="26"/>
      <c r="AF342" s="26"/>
      <c r="AG342" s="26"/>
      <c r="AH342" s="26"/>
      <c r="AI342" s="26"/>
      <c r="AJ342" s="26"/>
      <c r="AK342" s="26"/>
      <c r="AL342" s="26"/>
      <c r="AM342" s="26"/>
    </row>
    <row r="343" ht="14.25" customHeight="1">
      <c r="A343" s="26"/>
      <c r="B343" s="84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  <c r="AE343" s="26"/>
      <c r="AF343" s="26"/>
      <c r="AG343" s="26"/>
      <c r="AH343" s="26"/>
      <c r="AI343" s="26"/>
      <c r="AJ343" s="26"/>
      <c r="AK343" s="26"/>
      <c r="AL343" s="26"/>
      <c r="AM343" s="26"/>
    </row>
    <row r="344" ht="14.25" customHeight="1">
      <c r="A344" s="26"/>
      <c r="B344" s="84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  <c r="AF344" s="26"/>
      <c r="AG344" s="26"/>
      <c r="AH344" s="26"/>
      <c r="AI344" s="26"/>
      <c r="AJ344" s="26"/>
      <c r="AK344" s="26"/>
      <c r="AL344" s="26"/>
      <c r="AM344" s="26"/>
    </row>
    <row r="345" ht="14.25" customHeight="1">
      <c r="A345" s="26"/>
      <c r="B345" s="84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  <c r="AE345" s="26"/>
      <c r="AF345" s="26"/>
      <c r="AG345" s="26"/>
      <c r="AH345" s="26"/>
      <c r="AI345" s="26"/>
      <c r="AJ345" s="26"/>
      <c r="AK345" s="26"/>
      <c r="AL345" s="26"/>
      <c r="AM345" s="26"/>
    </row>
    <row r="346" ht="14.25" customHeight="1">
      <c r="A346" s="26"/>
      <c r="B346" s="84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  <c r="AF346" s="26"/>
      <c r="AG346" s="26"/>
      <c r="AH346" s="26"/>
      <c r="AI346" s="26"/>
      <c r="AJ346" s="26"/>
      <c r="AK346" s="26"/>
      <c r="AL346" s="26"/>
      <c r="AM346" s="26"/>
    </row>
    <row r="347" ht="14.25" customHeight="1">
      <c r="A347" s="26"/>
      <c r="B347" s="84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  <c r="AE347" s="26"/>
      <c r="AF347" s="26"/>
      <c r="AG347" s="26"/>
      <c r="AH347" s="26"/>
      <c r="AI347" s="26"/>
      <c r="AJ347" s="26"/>
      <c r="AK347" s="26"/>
      <c r="AL347" s="26"/>
      <c r="AM347" s="26"/>
    </row>
    <row r="348" ht="14.25" customHeight="1">
      <c r="A348" s="26"/>
      <c r="B348" s="84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  <c r="AE348" s="26"/>
      <c r="AF348" s="26"/>
      <c r="AG348" s="26"/>
      <c r="AH348" s="26"/>
      <c r="AI348" s="26"/>
      <c r="AJ348" s="26"/>
      <c r="AK348" s="26"/>
      <c r="AL348" s="26"/>
      <c r="AM348" s="26"/>
    </row>
    <row r="349" ht="14.25" customHeight="1">
      <c r="A349" s="26"/>
      <c r="B349" s="84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  <c r="AE349" s="26"/>
      <c r="AF349" s="26"/>
      <c r="AG349" s="26"/>
      <c r="AH349" s="26"/>
      <c r="AI349" s="26"/>
      <c r="AJ349" s="26"/>
      <c r="AK349" s="26"/>
      <c r="AL349" s="26"/>
      <c r="AM349" s="26"/>
    </row>
    <row r="350" ht="14.25" customHeight="1">
      <c r="A350" s="26"/>
      <c r="B350" s="84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  <c r="AE350" s="26"/>
      <c r="AF350" s="26"/>
      <c r="AG350" s="26"/>
      <c r="AH350" s="26"/>
      <c r="AI350" s="26"/>
      <c r="AJ350" s="26"/>
      <c r="AK350" s="26"/>
      <c r="AL350" s="26"/>
      <c r="AM350" s="26"/>
    </row>
    <row r="351" ht="14.25" customHeight="1">
      <c r="A351" s="26"/>
      <c r="B351" s="84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  <c r="AE351" s="26"/>
      <c r="AF351" s="26"/>
      <c r="AG351" s="26"/>
      <c r="AH351" s="26"/>
      <c r="AI351" s="26"/>
      <c r="AJ351" s="26"/>
      <c r="AK351" s="26"/>
      <c r="AL351" s="26"/>
      <c r="AM351" s="26"/>
    </row>
    <row r="352" ht="14.25" customHeight="1">
      <c r="A352" s="26"/>
      <c r="B352" s="84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  <c r="AE352" s="26"/>
      <c r="AF352" s="26"/>
      <c r="AG352" s="26"/>
      <c r="AH352" s="26"/>
      <c r="AI352" s="26"/>
      <c r="AJ352" s="26"/>
      <c r="AK352" s="26"/>
      <c r="AL352" s="26"/>
      <c r="AM352" s="26"/>
    </row>
    <row r="353" ht="14.25" customHeight="1">
      <c r="A353" s="26"/>
      <c r="B353" s="84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  <c r="AE353" s="26"/>
      <c r="AF353" s="26"/>
      <c r="AG353" s="26"/>
      <c r="AH353" s="26"/>
      <c r="AI353" s="26"/>
      <c r="AJ353" s="26"/>
      <c r="AK353" s="26"/>
      <c r="AL353" s="26"/>
      <c r="AM353" s="26"/>
    </row>
    <row r="354" ht="14.25" customHeight="1">
      <c r="A354" s="26"/>
      <c r="B354" s="84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  <c r="AE354" s="26"/>
      <c r="AF354" s="26"/>
      <c r="AG354" s="26"/>
      <c r="AH354" s="26"/>
      <c r="AI354" s="26"/>
      <c r="AJ354" s="26"/>
      <c r="AK354" s="26"/>
      <c r="AL354" s="26"/>
      <c r="AM354" s="26"/>
    </row>
    <row r="355" ht="14.25" customHeight="1">
      <c r="A355" s="26"/>
      <c r="B355" s="84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  <c r="AE355" s="26"/>
      <c r="AF355" s="26"/>
      <c r="AG355" s="26"/>
      <c r="AH355" s="26"/>
      <c r="AI355" s="26"/>
      <c r="AJ355" s="26"/>
      <c r="AK355" s="26"/>
      <c r="AL355" s="26"/>
      <c r="AM355" s="26"/>
    </row>
    <row r="356" ht="14.25" customHeight="1">
      <c r="A356" s="26"/>
      <c r="B356" s="84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  <c r="AE356" s="26"/>
      <c r="AF356" s="26"/>
      <c r="AG356" s="26"/>
      <c r="AH356" s="26"/>
      <c r="AI356" s="26"/>
      <c r="AJ356" s="26"/>
      <c r="AK356" s="26"/>
      <c r="AL356" s="26"/>
      <c r="AM356" s="26"/>
    </row>
    <row r="357" ht="14.25" customHeight="1">
      <c r="A357" s="26"/>
      <c r="B357" s="84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  <c r="AE357" s="26"/>
      <c r="AF357" s="26"/>
      <c r="AG357" s="26"/>
      <c r="AH357" s="26"/>
      <c r="AI357" s="26"/>
      <c r="AJ357" s="26"/>
      <c r="AK357" s="26"/>
      <c r="AL357" s="26"/>
      <c r="AM357" s="26"/>
    </row>
    <row r="358" ht="14.25" customHeight="1">
      <c r="A358" s="26"/>
      <c r="B358" s="84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  <c r="AF358" s="26"/>
      <c r="AG358" s="26"/>
      <c r="AH358" s="26"/>
      <c r="AI358" s="26"/>
      <c r="AJ358" s="26"/>
      <c r="AK358" s="26"/>
      <c r="AL358" s="26"/>
      <c r="AM358" s="26"/>
    </row>
    <row r="359" ht="14.25" customHeight="1">
      <c r="A359" s="26"/>
      <c r="B359" s="84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  <c r="AE359" s="26"/>
      <c r="AF359" s="26"/>
      <c r="AG359" s="26"/>
      <c r="AH359" s="26"/>
      <c r="AI359" s="26"/>
      <c r="AJ359" s="26"/>
      <c r="AK359" s="26"/>
      <c r="AL359" s="26"/>
      <c r="AM359" s="26"/>
    </row>
    <row r="360" ht="14.25" customHeight="1">
      <c r="A360" s="26"/>
      <c r="B360" s="84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  <c r="AE360" s="26"/>
      <c r="AF360" s="26"/>
      <c r="AG360" s="26"/>
      <c r="AH360" s="26"/>
      <c r="AI360" s="26"/>
      <c r="AJ360" s="26"/>
      <c r="AK360" s="26"/>
      <c r="AL360" s="26"/>
      <c r="AM360" s="26"/>
    </row>
    <row r="361" ht="14.25" customHeight="1">
      <c r="A361" s="26"/>
      <c r="B361" s="84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  <c r="AE361" s="26"/>
      <c r="AF361" s="26"/>
      <c r="AG361" s="26"/>
      <c r="AH361" s="26"/>
      <c r="AI361" s="26"/>
      <c r="AJ361" s="26"/>
      <c r="AK361" s="26"/>
      <c r="AL361" s="26"/>
      <c r="AM361" s="26"/>
    </row>
    <row r="362" ht="14.25" customHeight="1">
      <c r="A362" s="26"/>
      <c r="B362" s="84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  <c r="AE362" s="26"/>
      <c r="AF362" s="26"/>
      <c r="AG362" s="26"/>
      <c r="AH362" s="26"/>
      <c r="AI362" s="26"/>
      <c r="AJ362" s="26"/>
      <c r="AK362" s="26"/>
      <c r="AL362" s="26"/>
      <c r="AM362" s="26"/>
    </row>
    <row r="363" ht="14.25" customHeight="1">
      <c r="A363" s="26"/>
      <c r="B363" s="84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  <c r="AE363" s="26"/>
      <c r="AF363" s="26"/>
      <c r="AG363" s="26"/>
      <c r="AH363" s="26"/>
      <c r="AI363" s="26"/>
      <c r="AJ363" s="26"/>
      <c r="AK363" s="26"/>
      <c r="AL363" s="26"/>
      <c r="AM363" s="26"/>
    </row>
    <row r="364" ht="14.25" customHeight="1">
      <c r="A364" s="26"/>
      <c r="B364" s="84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  <c r="AE364" s="26"/>
      <c r="AF364" s="26"/>
      <c r="AG364" s="26"/>
      <c r="AH364" s="26"/>
      <c r="AI364" s="26"/>
      <c r="AJ364" s="26"/>
      <c r="AK364" s="26"/>
      <c r="AL364" s="26"/>
      <c r="AM364" s="26"/>
    </row>
    <row r="365" ht="14.25" customHeight="1">
      <c r="A365" s="26"/>
      <c r="B365" s="84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  <c r="AE365" s="26"/>
      <c r="AF365" s="26"/>
      <c r="AG365" s="26"/>
      <c r="AH365" s="26"/>
      <c r="AI365" s="26"/>
      <c r="AJ365" s="26"/>
      <c r="AK365" s="26"/>
      <c r="AL365" s="26"/>
      <c r="AM365" s="26"/>
    </row>
    <row r="366" ht="14.25" customHeight="1">
      <c r="A366" s="26"/>
      <c r="B366" s="84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  <c r="AF366" s="26"/>
      <c r="AG366" s="26"/>
      <c r="AH366" s="26"/>
      <c r="AI366" s="26"/>
      <c r="AJ366" s="26"/>
      <c r="AK366" s="26"/>
      <c r="AL366" s="26"/>
      <c r="AM366" s="26"/>
    </row>
    <row r="367" ht="14.25" customHeight="1">
      <c r="A367" s="26"/>
      <c r="B367" s="84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  <c r="AE367" s="26"/>
      <c r="AF367" s="26"/>
      <c r="AG367" s="26"/>
      <c r="AH367" s="26"/>
      <c r="AI367" s="26"/>
      <c r="AJ367" s="26"/>
      <c r="AK367" s="26"/>
      <c r="AL367" s="26"/>
      <c r="AM367" s="26"/>
    </row>
    <row r="368" ht="14.25" customHeight="1">
      <c r="A368" s="26"/>
      <c r="B368" s="84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  <c r="AE368" s="26"/>
      <c r="AF368" s="26"/>
      <c r="AG368" s="26"/>
      <c r="AH368" s="26"/>
      <c r="AI368" s="26"/>
      <c r="AJ368" s="26"/>
      <c r="AK368" s="26"/>
      <c r="AL368" s="26"/>
      <c r="AM368" s="26"/>
    </row>
    <row r="369" ht="14.25" customHeight="1">
      <c r="A369" s="26"/>
      <c r="B369" s="84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  <c r="AE369" s="26"/>
      <c r="AF369" s="26"/>
      <c r="AG369" s="26"/>
      <c r="AH369" s="26"/>
      <c r="AI369" s="26"/>
      <c r="AJ369" s="26"/>
      <c r="AK369" s="26"/>
      <c r="AL369" s="26"/>
      <c r="AM369" s="26"/>
    </row>
    <row r="370" ht="14.25" customHeight="1">
      <c r="A370" s="26"/>
      <c r="B370" s="84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  <c r="AF370" s="26"/>
      <c r="AG370" s="26"/>
      <c r="AH370" s="26"/>
      <c r="AI370" s="26"/>
      <c r="AJ370" s="26"/>
      <c r="AK370" s="26"/>
      <c r="AL370" s="26"/>
      <c r="AM370" s="26"/>
    </row>
    <row r="371" ht="14.25" customHeight="1">
      <c r="A371" s="26"/>
      <c r="B371" s="84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  <c r="AE371" s="26"/>
      <c r="AF371" s="26"/>
      <c r="AG371" s="26"/>
      <c r="AH371" s="26"/>
      <c r="AI371" s="26"/>
      <c r="AJ371" s="26"/>
      <c r="AK371" s="26"/>
      <c r="AL371" s="26"/>
      <c r="AM371" s="26"/>
    </row>
    <row r="372" ht="14.25" customHeight="1">
      <c r="A372" s="26"/>
      <c r="B372" s="84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  <c r="AE372" s="26"/>
      <c r="AF372" s="26"/>
      <c r="AG372" s="26"/>
      <c r="AH372" s="26"/>
      <c r="AI372" s="26"/>
      <c r="AJ372" s="26"/>
      <c r="AK372" s="26"/>
      <c r="AL372" s="26"/>
      <c r="AM372" s="26"/>
    </row>
    <row r="373" ht="14.25" customHeight="1">
      <c r="A373" s="26"/>
      <c r="B373" s="84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  <c r="AE373" s="26"/>
      <c r="AF373" s="26"/>
      <c r="AG373" s="26"/>
      <c r="AH373" s="26"/>
      <c r="AI373" s="26"/>
      <c r="AJ373" s="26"/>
      <c r="AK373" s="26"/>
      <c r="AL373" s="26"/>
      <c r="AM373" s="26"/>
    </row>
    <row r="374" ht="14.25" customHeight="1">
      <c r="A374" s="26"/>
      <c r="B374" s="84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  <c r="AE374" s="26"/>
      <c r="AF374" s="26"/>
      <c r="AG374" s="26"/>
      <c r="AH374" s="26"/>
      <c r="AI374" s="26"/>
      <c r="AJ374" s="26"/>
      <c r="AK374" s="26"/>
      <c r="AL374" s="26"/>
      <c r="AM374" s="26"/>
    </row>
    <row r="375" ht="14.25" customHeight="1">
      <c r="A375" s="26"/>
      <c r="B375" s="84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  <c r="AE375" s="26"/>
      <c r="AF375" s="26"/>
      <c r="AG375" s="26"/>
      <c r="AH375" s="26"/>
      <c r="AI375" s="26"/>
      <c r="AJ375" s="26"/>
      <c r="AK375" s="26"/>
      <c r="AL375" s="26"/>
      <c r="AM375" s="26"/>
    </row>
    <row r="376" ht="14.25" customHeight="1">
      <c r="A376" s="26"/>
      <c r="B376" s="84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26"/>
      <c r="AF376" s="26"/>
      <c r="AG376" s="26"/>
      <c r="AH376" s="26"/>
      <c r="AI376" s="26"/>
      <c r="AJ376" s="26"/>
      <c r="AK376" s="26"/>
      <c r="AL376" s="26"/>
      <c r="AM376" s="26"/>
    </row>
    <row r="377" ht="14.25" customHeight="1">
      <c r="A377" s="26"/>
      <c r="B377" s="84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  <c r="AE377" s="26"/>
      <c r="AF377" s="26"/>
      <c r="AG377" s="26"/>
      <c r="AH377" s="26"/>
      <c r="AI377" s="26"/>
      <c r="AJ377" s="26"/>
      <c r="AK377" s="26"/>
      <c r="AL377" s="26"/>
      <c r="AM377" s="26"/>
    </row>
    <row r="378" ht="14.25" customHeight="1">
      <c r="A378" s="26"/>
      <c r="B378" s="84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  <c r="AE378" s="26"/>
      <c r="AF378" s="26"/>
      <c r="AG378" s="26"/>
      <c r="AH378" s="26"/>
      <c r="AI378" s="26"/>
      <c r="AJ378" s="26"/>
      <c r="AK378" s="26"/>
      <c r="AL378" s="26"/>
      <c r="AM378" s="26"/>
    </row>
    <row r="379" ht="14.25" customHeight="1">
      <c r="A379" s="26"/>
      <c r="B379" s="84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  <c r="AE379" s="26"/>
      <c r="AF379" s="26"/>
      <c r="AG379" s="26"/>
      <c r="AH379" s="26"/>
      <c r="AI379" s="26"/>
      <c r="AJ379" s="26"/>
      <c r="AK379" s="26"/>
      <c r="AL379" s="26"/>
      <c r="AM379" s="26"/>
    </row>
    <row r="380" ht="14.25" customHeight="1">
      <c r="A380" s="26"/>
      <c r="B380" s="84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  <c r="AF380" s="26"/>
      <c r="AG380" s="26"/>
      <c r="AH380" s="26"/>
      <c r="AI380" s="26"/>
      <c r="AJ380" s="26"/>
      <c r="AK380" s="26"/>
      <c r="AL380" s="26"/>
      <c r="AM380" s="26"/>
    </row>
    <row r="381" ht="14.25" customHeight="1">
      <c r="A381" s="26"/>
      <c r="B381" s="84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  <c r="AE381" s="26"/>
      <c r="AF381" s="26"/>
      <c r="AG381" s="26"/>
      <c r="AH381" s="26"/>
      <c r="AI381" s="26"/>
      <c r="AJ381" s="26"/>
      <c r="AK381" s="26"/>
      <c r="AL381" s="26"/>
      <c r="AM381" s="26"/>
    </row>
    <row r="382" ht="14.25" customHeight="1">
      <c r="A382" s="26"/>
      <c r="B382" s="84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  <c r="AE382" s="26"/>
      <c r="AF382" s="26"/>
      <c r="AG382" s="26"/>
      <c r="AH382" s="26"/>
      <c r="AI382" s="26"/>
      <c r="AJ382" s="26"/>
      <c r="AK382" s="26"/>
      <c r="AL382" s="26"/>
      <c r="AM382" s="26"/>
    </row>
    <row r="383" ht="14.25" customHeight="1">
      <c r="A383" s="26"/>
      <c r="B383" s="84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  <c r="AE383" s="26"/>
      <c r="AF383" s="26"/>
      <c r="AG383" s="26"/>
      <c r="AH383" s="26"/>
      <c r="AI383" s="26"/>
      <c r="AJ383" s="26"/>
      <c r="AK383" s="26"/>
      <c r="AL383" s="26"/>
      <c r="AM383" s="26"/>
    </row>
    <row r="384" ht="14.25" customHeight="1">
      <c r="A384" s="26"/>
      <c r="B384" s="84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  <c r="AE384" s="26"/>
      <c r="AF384" s="26"/>
      <c r="AG384" s="26"/>
      <c r="AH384" s="26"/>
      <c r="AI384" s="26"/>
      <c r="AJ384" s="26"/>
      <c r="AK384" s="26"/>
      <c r="AL384" s="26"/>
      <c r="AM384" s="26"/>
    </row>
    <row r="385" ht="14.25" customHeight="1">
      <c r="A385" s="26"/>
      <c r="B385" s="84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  <c r="AE385" s="26"/>
      <c r="AF385" s="26"/>
      <c r="AG385" s="26"/>
      <c r="AH385" s="26"/>
      <c r="AI385" s="26"/>
      <c r="AJ385" s="26"/>
      <c r="AK385" s="26"/>
      <c r="AL385" s="26"/>
      <c r="AM385" s="26"/>
    </row>
    <row r="386" ht="14.25" customHeight="1">
      <c r="A386" s="26"/>
      <c r="B386" s="84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  <c r="AE386" s="26"/>
      <c r="AF386" s="26"/>
      <c r="AG386" s="26"/>
      <c r="AH386" s="26"/>
      <c r="AI386" s="26"/>
      <c r="AJ386" s="26"/>
      <c r="AK386" s="26"/>
      <c r="AL386" s="26"/>
      <c r="AM386" s="26"/>
    </row>
    <row r="387" ht="14.25" customHeight="1">
      <c r="A387" s="26"/>
      <c r="B387" s="84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  <c r="AD387" s="26"/>
      <c r="AE387" s="26"/>
      <c r="AF387" s="26"/>
      <c r="AG387" s="26"/>
      <c r="AH387" s="26"/>
      <c r="AI387" s="26"/>
      <c r="AJ387" s="26"/>
      <c r="AK387" s="26"/>
      <c r="AL387" s="26"/>
      <c r="AM387" s="26"/>
    </row>
    <row r="388" ht="14.25" customHeight="1">
      <c r="A388" s="26"/>
      <c r="B388" s="84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  <c r="AE388" s="26"/>
      <c r="AF388" s="26"/>
      <c r="AG388" s="26"/>
      <c r="AH388" s="26"/>
      <c r="AI388" s="26"/>
      <c r="AJ388" s="26"/>
      <c r="AK388" s="26"/>
      <c r="AL388" s="26"/>
      <c r="AM388" s="26"/>
    </row>
    <row r="389" ht="14.25" customHeight="1">
      <c r="A389" s="26"/>
      <c r="B389" s="84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26"/>
      <c r="AE389" s="26"/>
      <c r="AF389" s="26"/>
      <c r="AG389" s="26"/>
      <c r="AH389" s="26"/>
      <c r="AI389" s="26"/>
      <c r="AJ389" s="26"/>
      <c r="AK389" s="26"/>
      <c r="AL389" s="26"/>
      <c r="AM389" s="26"/>
    </row>
    <row r="390" ht="14.25" customHeight="1">
      <c r="A390" s="26"/>
      <c r="B390" s="84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  <c r="AE390" s="26"/>
      <c r="AF390" s="26"/>
      <c r="AG390" s="26"/>
      <c r="AH390" s="26"/>
      <c r="AI390" s="26"/>
      <c r="AJ390" s="26"/>
      <c r="AK390" s="26"/>
      <c r="AL390" s="26"/>
      <c r="AM390" s="26"/>
    </row>
    <row r="391" ht="14.25" customHeight="1">
      <c r="A391" s="26"/>
      <c r="B391" s="84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  <c r="AD391" s="26"/>
      <c r="AE391" s="26"/>
      <c r="AF391" s="26"/>
      <c r="AG391" s="26"/>
      <c r="AH391" s="26"/>
      <c r="AI391" s="26"/>
      <c r="AJ391" s="26"/>
      <c r="AK391" s="26"/>
      <c r="AL391" s="26"/>
      <c r="AM391" s="26"/>
    </row>
    <row r="392" ht="14.25" customHeight="1">
      <c r="A392" s="26"/>
      <c r="B392" s="84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  <c r="AE392" s="26"/>
      <c r="AF392" s="26"/>
      <c r="AG392" s="26"/>
      <c r="AH392" s="26"/>
      <c r="AI392" s="26"/>
      <c r="AJ392" s="26"/>
      <c r="AK392" s="26"/>
      <c r="AL392" s="26"/>
      <c r="AM392" s="26"/>
    </row>
    <row r="393" ht="14.25" customHeight="1">
      <c r="A393" s="26"/>
      <c r="B393" s="84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  <c r="AE393" s="26"/>
      <c r="AF393" s="26"/>
      <c r="AG393" s="26"/>
      <c r="AH393" s="26"/>
      <c r="AI393" s="26"/>
      <c r="AJ393" s="26"/>
      <c r="AK393" s="26"/>
      <c r="AL393" s="26"/>
      <c r="AM393" s="26"/>
    </row>
    <row r="394" ht="14.25" customHeight="1">
      <c r="A394" s="26"/>
      <c r="B394" s="84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  <c r="AE394" s="26"/>
      <c r="AF394" s="26"/>
      <c r="AG394" s="26"/>
      <c r="AH394" s="26"/>
      <c r="AI394" s="26"/>
      <c r="AJ394" s="26"/>
      <c r="AK394" s="26"/>
      <c r="AL394" s="26"/>
      <c r="AM394" s="26"/>
    </row>
    <row r="395" ht="14.25" customHeight="1">
      <c r="A395" s="26"/>
      <c r="B395" s="84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  <c r="AE395" s="26"/>
      <c r="AF395" s="26"/>
      <c r="AG395" s="26"/>
      <c r="AH395" s="26"/>
      <c r="AI395" s="26"/>
      <c r="AJ395" s="26"/>
      <c r="AK395" s="26"/>
      <c r="AL395" s="26"/>
      <c r="AM395" s="26"/>
    </row>
    <row r="396" ht="14.25" customHeight="1">
      <c r="A396" s="26"/>
      <c r="B396" s="84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  <c r="AE396" s="26"/>
      <c r="AF396" s="26"/>
      <c r="AG396" s="26"/>
      <c r="AH396" s="26"/>
      <c r="AI396" s="26"/>
      <c r="AJ396" s="26"/>
      <c r="AK396" s="26"/>
      <c r="AL396" s="26"/>
      <c r="AM396" s="26"/>
    </row>
    <row r="397" ht="14.25" customHeight="1">
      <c r="A397" s="26"/>
      <c r="B397" s="84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  <c r="AE397" s="26"/>
      <c r="AF397" s="26"/>
      <c r="AG397" s="26"/>
      <c r="AH397" s="26"/>
      <c r="AI397" s="26"/>
      <c r="AJ397" s="26"/>
      <c r="AK397" s="26"/>
      <c r="AL397" s="26"/>
      <c r="AM397" s="26"/>
    </row>
    <row r="398" ht="14.25" customHeight="1">
      <c r="A398" s="26"/>
      <c r="B398" s="84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  <c r="AE398" s="26"/>
      <c r="AF398" s="26"/>
      <c r="AG398" s="26"/>
      <c r="AH398" s="26"/>
      <c r="AI398" s="26"/>
      <c r="AJ398" s="26"/>
      <c r="AK398" s="26"/>
      <c r="AL398" s="26"/>
      <c r="AM398" s="26"/>
    </row>
    <row r="399" ht="14.25" customHeight="1">
      <c r="A399" s="26"/>
      <c r="B399" s="84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  <c r="AE399" s="26"/>
      <c r="AF399" s="26"/>
      <c r="AG399" s="26"/>
      <c r="AH399" s="26"/>
      <c r="AI399" s="26"/>
      <c r="AJ399" s="26"/>
      <c r="AK399" s="26"/>
      <c r="AL399" s="26"/>
      <c r="AM399" s="26"/>
    </row>
    <row r="400" ht="14.25" customHeight="1">
      <c r="A400" s="26"/>
      <c r="B400" s="84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  <c r="AE400" s="26"/>
      <c r="AF400" s="26"/>
      <c r="AG400" s="26"/>
      <c r="AH400" s="26"/>
      <c r="AI400" s="26"/>
      <c r="AJ400" s="26"/>
      <c r="AK400" s="26"/>
      <c r="AL400" s="26"/>
      <c r="AM400" s="26"/>
    </row>
    <row r="401" ht="14.25" customHeight="1">
      <c r="A401" s="26"/>
      <c r="B401" s="84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  <c r="AD401" s="26"/>
      <c r="AE401" s="26"/>
      <c r="AF401" s="26"/>
      <c r="AG401" s="26"/>
      <c r="AH401" s="26"/>
      <c r="AI401" s="26"/>
      <c r="AJ401" s="26"/>
      <c r="AK401" s="26"/>
      <c r="AL401" s="26"/>
      <c r="AM401" s="26"/>
    </row>
    <row r="402" ht="14.25" customHeight="1">
      <c r="A402" s="26"/>
      <c r="B402" s="84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  <c r="AD402" s="26"/>
      <c r="AE402" s="26"/>
      <c r="AF402" s="26"/>
      <c r="AG402" s="26"/>
      <c r="AH402" s="26"/>
      <c r="AI402" s="26"/>
      <c r="AJ402" s="26"/>
      <c r="AK402" s="26"/>
      <c r="AL402" s="26"/>
      <c r="AM402" s="26"/>
    </row>
    <row r="403" ht="14.25" customHeight="1">
      <c r="A403" s="26"/>
      <c r="B403" s="84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  <c r="AD403" s="26"/>
      <c r="AE403" s="26"/>
      <c r="AF403" s="26"/>
      <c r="AG403" s="26"/>
      <c r="AH403" s="26"/>
      <c r="AI403" s="26"/>
      <c r="AJ403" s="26"/>
      <c r="AK403" s="26"/>
      <c r="AL403" s="26"/>
      <c r="AM403" s="26"/>
    </row>
    <row r="404" ht="14.25" customHeight="1">
      <c r="A404" s="26"/>
      <c r="B404" s="84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  <c r="AE404" s="26"/>
      <c r="AF404" s="26"/>
      <c r="AG404" s="26"/>
      <c r="AH404" s="26"/>
      <c r="AI404" s="26"/>
      <c r="AJ404" s="26"/>
      <c r="AK404" s="26"/>
      <c r="AL404" s="26"/>
      <c r="AM404" s="26"/>
    </row>
    <row r="405" ht="14.25" customHeight="1">
      <c r="A405" s="26"/>
      <c r="B405" s="84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  <c r="AD405" s="26"/>
      <c r="AE405" s="26"/>
      <c r="AF405" s="26"/>
      <c r="AG405" s="26"/>
      <c r="AH405" s="26"/>
      <c r="AI405" s="26"/>
      <c r="AJ405" s="26"/>
      <c r="AK405" s="26"/>
      <c r="AL405" s="26"/>
      <c r="AM405" s="26"/>
    </row>
    <row r="406" ht="14.25" customHeight="1">
      <c r="A406" s="26"/>
      <c r="B406" s="84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  <c r="AE406" s="26"/>
      <c r="AF406" s="26"/>
      <c r="AG406" s="26"/>
      <c r="AH406" s="26"/>
      <c r="AI406" s="26"/>
      <c r="AJ406" s="26"/>
      <c r="AK406" s="26"/>
      <c r="AL406" s="26"/>
      <c r="AM406" s="26"/>
    </row>
    <row r="407" ht="14.25" customHeight="1">
      <c r="A407" s="26"/>
      <c r="B407" s="84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  <c r="AD407" s="26"/>
      <c r="AE407" s="26"/>
      <c r="AF407" s="26"/>
      <c r="AG407" s="26"/>
      <c r="AH407" s="26"/>
      <c r="AI407" s="26"/>
      <c r="AJ407" s="26"/>
      <c r="AK407" s="26"/>
      <c r="AL407" s="26"/>
      <c r="AM407" s="26"/>
    </row>
    <row r="408" ht="14.25" customHeight="1">
      <c r="A408" s="26"/>
      <c r="B408" s="84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  <c r="AD408" s="26"/>
      <c r="AE408" s="26"/>
      <c r="AF408" s="26"/>
      <c r="AG408" s="26"/>
      <c r="AH408" s="26"/>
      <c r="AI408" s="26"/>
      <c r="AJ408" s="26"/>
      <c r="AK408" s="26"/>
      <c r="AL408" s="26"/>
      <c r="AM408" s="26"/>
    </row>
    <row r="409" ht="14.25" customHeight="1">
      <c r="A409" s="26"/>
      <c r="B409" s="84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  <c r="AD409" s="26"/>
      <c r="AE409" s="26"/>
      <c r="AF409" s="26"/>
      <c r="AG409" s="26"/>
      <c r="AH409" s="26"/>
      <c r="AI409" s="26"/>
      <c r="AJ409" s="26"/>
      <c r="AK409" s="26"/>
      <c r="AL409" s="26"/>
      <c r="AM409" s="26"/>
    </row>
    <row r="410" ht="14.25" customHeight="1">
      <c r="A410" s="26"/>
      <c r="B410" s="84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  <c r="AE410" s="26"/>
      <c r="AF410" s="26"/>
      <c r="AG410" s="26"/>
      <c r="AH410" s="26"/>
      <c r="AI410" s="26"/>
      <c r="AJ410" s="26"/>
      <c r="AK410" s="26"/>
      <c r="AL410" s="26"/>
      <c r="AM410" s="26"/>
    </row>
    <row r="411" ht="14.25" customHeight="1">
      <c r="A411" s="26"/>
      <c r="B411" s="84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  <c r="AD411" s="26"/>
      <c r="AE411" s="26"/>
      <c r="AF411" s="26"/>
      <c r="AG411" s="26"/>
      <c r="AH411" s="26"/>
      <c r="AI411" s="26"/>
      <c r="AJ411" s="26"/>
      <c r="AK411" s="26"/>
      <c r="AL411" s="26"/>
      <c r="AM411" s="26"/>
    </row>
    <row r="412" ht="14.25" customHeight="1">
      <c r="A412" s="26"/>
      <c r="B412" s="84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  <c r="AD412" s="26"/>
      <c r="AE412" s="26"/>
      <c r="AF412" s="26"/>
      <c r="AG412" s="26"/>
      <c r="AH412" s="26"/>
      <c r="AI412" s="26"/>
      <c r="AJ412" s="26"/>
      <c r="AK412" s="26"/>
      <c r="AL412" s="26"/>
      <c r="AM412" s="26"/>
    </row>
    <row r="413" ht="14.25" customHeight="1">
      <c r="A413" s="26"/>
      <c r="B413" s="84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  <c r="AD413" s="26"/>
      <c r="AE413" s="26"/>
      <c r="AF413" s="26"/>
      <c r="AG413" s="26"/>
      <c r="AH413" s="26"/>
      <c r="AI413" s="26"/>
      <c r="AJ413" s="26"/>
      <c r="AK413" s="26"/>
      <c r="AL413" s="26"/>
      <c r="AM413" s="26"/>
    </row>
    <row r="414" ht="14.25" customHeight="1">
      <c r="A414" s="26"/>
      <c r="B414" s="84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  <c r="AE414" s="26"/>
      <c r="AF414" s="26"/>
      <c r="AG414" s="26"/>
      <c r="AH414" s="26"/>
      <c r="AI414" s="26"/>
      <c r="AJ414" s="26"/>
      <c r="AK414" s="26"/>
      <c r="AL414" s="26"/>
      <c r="AM414" s="26"/>
    </row>
    <row r="415" ht="14.25" customHeight="1">
      <c r="A415" s="26"/>
      <c r="B415" s="84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  <c r="AD415" s="26"/>
      <c r="AE415" s="26"/>
      <c r="AF415" s="26"/>
      <c r="AG415" s="26"/>
      <c r="AH415" s="26"/>
      <c r="AI415" s="26"/>
      <c r="AJ415" s="26"/>
      <c r="AK415" s="26"/>
      <c r="AL415" s="26"/>
      <c r="AM415" s="26"/>
    </row>
    <row r="416" ht="14.25" customHeight="1">
      <c r="A416" s="26"/>
      <c r="B416" s="84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  <c r="AE416" s="26"/>
      <c r="AF416" s="26"/>
      <c r="AG416" s="26"/>
      <c r="AH416" s="26"/>
      <c r="AI416" s="26"/>
      <c r="AJ416" s="26"/>
      <c r="AK416" s="26"/>
      <c r="AL416" s="26"/>
      <c r="AM416" s="26"/>
    </row>
    <row r="417" ht="14.25" customHeight="1">
      <c r="A417" s="26"/>
      <c r="B417" s="84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  <c r="AD417" s="26"/>
      <c r="AE417" s="26"/>
      <c r="AF417" s="26"/>
      <c r="AG417" s="26"/>
      <c r="AH417" s="26"/>
      <c r="AI417" s="26"/>
      <c r="AJ417" s="26"/>
      <c r="AK417" s="26"/>
      <c r="AL417" s="26"/>
      <c r="AM417" s="26"/>
    </row>
    <row r="418" ht="14.25" customHeight="1">
      <c r="A418" s="26"/>
      <c r="B418" s="84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  <c r="AD418" s="26"/>
      <c r="AE418" s="26"/>
      <c r="AF418" s="26"/>
      <c r="AG418" s="26"/>
      <c r="AH418" s="26"/>
      <c r="AI418" s="26"/>
      <c r="AJ418" s="26"/>
      <c r="AK418" s="26"/>
      <c r="AL418" s="26"/>
      <c r="AM418" s="26"/>
    </row>
    <row r="419" ht="14.25" customHeight="1">
      <c r="A419" s="26"/>
      <c r="B419" s="84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  <c r="AC419" s="26"/>
      <c r="AD419" s="26"/>
      <c r="AE419" s="26"/>
      <c r="AF419" s="26"/>
      <c r="AG419" s="26"/>
      <c r="AH419" s="26"/>
      <c r="AI419" s="26"/>
      <c r="AJ419" s="26"/>
      <c r="AK419" s="26"/>
      <c r="AL419" s="26"/>
      <c r="AM419" s="26"/>
    </row>
    <row r="420" ht="14.25" customHeight="1">
      <c r="A420" s="26"/>
      <c r="B420" s="84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  <c r="AD420" s="26"/>
      <c r="AE420" s="26"/>
      <c r="AF420" s="26"/>
      <c r="AG420" s="26"/>
      <c r="AH420" s="26"/>
      <c r="AI420" s="26"/>
      <c r="AJ420" s="26"/>
      <c r="AK420" s="26"/>
      <c r="AL420" s="26"/>
      <c r="AM420" s="26"/>
    </row>
    <row r="421" ht="14.25" customHeight="1">
      <c r="A421" s="26"/>
      <c r="B421" s="84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  <c r="AC421" s="26"/>
      <c r="AD421" s="26"/>
      <c r="AE421" s="26"/>
      <c r="AF421" s="26"/>
      <c r="AG421" s="26"/>
      <c r="AH421" s="26"/>
      <c r="AI421" s="26"/>
      <c r="AJ421" s="26"/>
      <c r="AK421" s="26"/>
      <c r="AL421" s="26"/>
      <c r="AM421" s="26"/>
    </row>
    <row r="422" ht="14.25" customHeight="1">
      <c r="A422" s="26"/>
      <c r="B422" s="84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6"/>
      <c r="AD422" s="26"/>
      <c r="AE422" s="26"/>
      <c r="AF422" s="26"/>
      <c r="AG422" s="26"/>
      <c r="AH422" s="26"/>
      <c r="AI422" s="26"/>
      <c r="AJ422" s="26"/>
      <c r="AK422" s="26"/>
      <c r="AL422" s="26"/>
      <c r="AM422" s="26"/>
    </row>
    <row r="423" ht="14.25" customHeight="1">
      <c r="A423" s="26"/>
      <c r="B423" s="84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  <c r="AD423" s="26"/>
      <c r="AE423" s="26"/>
      <c r="AF423" s="26"/>
      <c r="AG423" s="26"/>
      <c r="AH423" s="26"/>
      <c r="AI423" s="26"/>
      <c r="AJ423" s="26"/>
      <c r="AK423" s="26"/>
      <c r="AL423" s="26"/>
      <c r="AM423" s="26"/>
    </row>
    <row r="424" ht="14.25" customHeight="1">
      <c r="A424" s="26"/>
      <c r="B424" s="84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  <c r="AD424" s="26"/>
      <c r="AE424" s="26"/>
      <c r="AF424" s="26"/>
      <c r="AG424" s="26"/>
      <c r="AH424" s="26"/>
      <c r="AI424" s="26"/>
      <c r="AJ424" s="26"/>
      <c r="AK424" s="26"/>
      <c r="AL424" s="26"/>
      <c r="AM424" s="26"/>
    </row>
    <row r="425" ht="14.25" customHeight="1">
      <c r="A425" s="26"/>
      <c r="B425" s="84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  <c r="AD425" s="26"/>
      <c r="AE425" s="26"/>
      <c r="AF425" s="26"/>
      <c r="AG425" s="26"/>
      <c r="AH425" s="26"/>
      <c r="AI425" s="26"/>
      <c r="AJ425" s="26"/>
      <c r="AK425" s="26"/>
      <c r="AL425" s="26"/>
      <c r="AM425" s="26"/>
    </row>
    <row r="426" ht="14.25" customHeight="1">
      <c r="A426" s="26"/>
      <c r="B426" s="84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  <c r="AD426" s="26"/>
      <c r="AE426" s="26"/>
      <c r="AF426" s="26"/>
      <c r="AG426" s="26"/>
      <c r="AH426" s="26"/>
      <c r="AI426" s="26"/>
      <c r="AJ426" s="26"/>
      <c r="AK426" s="26"/>
      <c r="AL426" s="26"/>
      <c r="AM426" s="26"/>
    </row>
    <row r="427" ht="14.25" customHeight="1">
      <c r="A427" s="26"/>
      <c r="B427" s="84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  <c r="AD427" s="26"/>
      <c r="AE427" s="26"/>
      <c r="AF427" s="26"/>
      <c r="AG427" s="26"/>
      <c r="AH427" s="26"/>
      <c r="AI427" s="26"/>
      <c r="AJ427" s="26"/>
      <c r="AK427" s="26"/>
      <c r="AL427" s="26"/>
      <c r="AM427" s="26"/>
    </row>
    <row r="428" ht="14.25" customHeight="1">
      <c r="A428" s="26"/>
      <c r="B428" s="84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  <c r="AD428" s="26"/>
      <c r="AE428" s="26"/>
      <c r="AF428" s="26"/>
      <c r="AG428" s="26"/>
      <c r="AH428" s="26"/>
      <c r="AI428" s="26"/>
      <c r="AJ428" s="26"/>
      <c r="AK428" s="26"/>
      <c r="AL428" s="26"/>
      <c r="AM428" s="26"/>
    </row>
    <row r="429" ht="14.25" customHeight="1">
      <c r="A429" s="26"/>
      <c r="B429" s="84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  <c r="AD429" s="26"/>
      <c r="AE429" s="26"/>
      <c r="AF429" s="26"/>
      <c r="AG429" s="26"/>
      <c r="AH429" s="26"/>
      <c r="AI429" s="26"/>
      <c r="AJ429" s="26"/>
      <c r="AK429" s="26"/>
      <c r="AL429" s="26"/>
      <c r="AM429" s="26"/>
    </row>
    <row r="430" ht="14.25" customHeight="1">
      <c r="A430" s="26"/>
      <c r="B430" s="84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  <c r="AD430" s="26"/>
      <c r="AE430" s="26"/>
      <c r="AF430" s="26"/>
      <c r="AG430" s="26"/>
      <c r="AH430" s="26"/>
      <c r="AI430" s="26"/>
      <c r="AJ430" s="26"/>
      <c r="AK430" s="26"/>
      <c r="AL430" s="26"/>
      <c r="AM430" s="26"/>
    </row>
    <row r="431" ht="14.25" customHeight="1">
      <c r="A431" s="26"/>
      <c r="B431" s="84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  <c r="AD431" s="26"/>
      <c r="AE431" s="26"/>
      <c r="AF431" s="26"/>
      <c r="AG431" s="26"/>
      <c r="AH431" s="26"/>
      <c r="AI431" s="26"/>
      <c r="AJ431" s="26"/>
      <c r="AK431" s="26"/>
      <c r="AL431" s="26"/>
      <c r="AM431" s="26"/>
    </row>
    <row r="432" ht="14.25" customHeight="1">
      <c r="A432" s="26"/>
      <c r="B432" s="84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  <c r="AC432" s="26"/>
      <c r="AD432" s="26"/>
      <c r="AE432" s="26"/>
      <c r="AF432" s="26"/>
      <c r="AG432" s="26"/>
      <c r="AH432" s="26"/>
      <c r="AI432" s="26"/>
      <c r="AJ432" s="26"/>
      <c r="AK432" s="26"/>
      <c r="AL432" s="26"/>
      <c r="AM432" s="26"/>
    </row>
    <row r="433" ht="14.25" customHeight="1">
      <c r="A433" s="26"/>
      <c r="B433" s="84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  <c r="AC433" s="26"/>
      <c r="AD433" s="26"/>
      <c r="AE433" s="26"/>
      <c r="AF433" s="26"/>
      <c r="AG433" s="26"/>
      <c r="AH433" s="26"/>
      <c r="AI433" s="26"/>
      <c r="AJ433" s="26"/>
      <c r="AK433" s="26"/>
      <c r="AL433" s="26"/>
      <c r="AM433" s="26"/>
    </row>
    <row r="434" ht="14.25" customHeight="1">
      <c r="A434" s="26"/>
      <c r="B434" s="84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  <c r="AC434" s="26"/>
      <c r="AD434" s="26"/>
      <c r="AE434" s="26"/>
      <c r="AF434" s="26"/>
      <c r="AG434" s="26"/>
      <c r="AH434" s="26"/>
      <c r="AI434" s="26"/>
      <c r="AJ434" s="26"/>
      <c r="AK434" s="26"/>
      <c r="AL434" s="26"/>
      <c r="AM434" s="26"/>
    </row>
    <row r="435" ht="14.25" customHeight="1">
      <c r="A435" s="26"/>
      <c r="B435" s="84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  <c r="AC435" s="26"/>
      <c r="AD435" s="26"/>
      <c r="AE435" s="26"/>
      <c r="AF435" s="26"/>
      <c r="AG435" s="26"/>
      <c r="AH435" s="26"/>
      <c r="AI435" s="26"/>
      <c r="AJ435" s="26"/>
      <c r="AK435" s="26"/>
      <c r="AL435" s="26"/>
      <c r="AM435" s="26"/>
    </row>
    <row r="436" ht="14.25" customHeight="1">
      <c r="A436" s="26"/>
      <c r="B436" s="84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  <c r="AC436" s="26"/>
      <c r="AD436" s="26"/>
      <c r="AE436" s="26"/>
      <c r="AF436" s="26"/>
      <c r="AG436" s="26"/>
      <c r="AH436" s="26"/>
      <c r="AI436" s="26"/>
      <c r="AJ436" s="26"/>
      <c r="AK436" s="26"/>
      <c r="AL436" s="26"/>
      <c r="AM436" s="26"/>
    </row>
    <row r="437" ht="14.25" customHeight="1">
      <c r="A437" s="26"/>
      <c r="B437" s="84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  <c r="AC437" s="26"/>
      <c r="AD437" s="26"/>
      <c r="AE437" s="26"/>
      <c r="AF437" s="26"/>
      <c r="AG437" s="26"/>
      <c r="AH437" s="26"/>
      <c r="AI437" s="26"/>
      <c r="AJ437" s="26"/>
      <c r="AK437" s="26"/>
      <c r="AL437" s="26"/>
      <c r="AM437" s="26"/>
    </row>
    <row r="438" ht="14.25" customHeight="1">
      <c r="A438" s="26"/>
      <c r="B438" s="84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  <c r="AC438" s="26"/>
      <c r="AD438" s="26"/>
      <c r="AE438" s="26"/>
      <c r="AF438" s="26"/>
      <c r="AG438" s="26"/>
      <c r="AH438" s="26"/>
      <c r="AI438" s="26"/>
      <c r="AJ438" s="26"/>
      <c r="AK438" s="26"/>
      <c r="AL438" s="26"/>
      <c r="AM438" s="26"/>
    </row>
    <row r="439" ht="14.25" customHeight="1">
      <c r="A439" s="26"/>
      <c r="B439" s="84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  <c r="AC439" s="26"/>
      <c r="AD439" s="26"/>
      <c r="AE439" s="26"/>
      <c r="AF439" s="26"/>
      <c r="AG439" s="26"/>
      <c r="AH439" s="26"/>
      <c r="AI439" s="26"/>
      <c r="AJ439" s="26"/>
      <c r="AK439" s="26"/>
      <c r="AL439" s="26"/>
      <c r="AM439" s="26"/>
    </row>
    <row r="440" ht="14.25" customHeight="1">
      <c r="A440" s="26"/>
      <c r="B440" s="84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  <c r="AC440" s="26"/>
      <c r="AD440" s="26"/>
      <c r="AE440" s="26"/>
      <c r="AF440" s="26"/>
      <c r="AG440" s="26"/>
      <c r="AH440" s="26"/>
      <c r="AI440" s="26"/>
      <c r="AJ440" s="26"/>
      <c r="AK440" s="26"/>
      <c r="AL440" s="26"/>
      <c r="AM440" s="26"/>
    </row>
    <row r="441" ht="14.25" customHeight="1">
      <c r="A441" s="26"/>
      <c r="B441" s="84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  <c r="AC441" s="26"/>
      <c r="AD441" s="26"/>
      <c r="AE441" s="26"/>
      <c r="AF441" s="26"/>
      <c r="AG441" s="26"/>
      <c r="AH441" s="26"/>
      <c r="AI441" s="26"/>
      <c r="AJ441" s="26"/>
      <c r="AK441" s="26"/>
      <c r="AL441" s="26"/>
      <c r="AM441" s="26"/>
    </row>
    <row r="442" ht="14.25" customHeight="1">
      <c r="A442" s="26"/>
      <c r="B442" s="84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  <c r="AC442" s="26"/>
      <c r="AD442" s="26"/>
      <c r="AE442" s="26"/>
      <c r="AF442" s="26"/>
      <c r="AG442" s="26"/>
      <c r="AH442" s="26"/>
      <c r="AI442" s="26"/>
      <c r="AJ442" s="26"/>
      <c r="AK442" s="26"/>
      <c r="AL442" s="26"/>
      <c r="AM442" s="26"/>
    </row>
    <row r="443" ht="14.25" customHeight="1">
      <c r="A443" s="26"/>
      <c r="B443" s="84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  <c r="AC443" s="26"/>
      <c r="AD443" s="26"/>
      <c r="AE443" s="26"/>
      <c r="AF443" s="26"/>
      <c r="AG443" s="26"/>
      <c r="AH443" s="26"/>
      <c r="AI443" s="26"/>
      <c r="AJ443" s="26"/>
      <c r="AK443" s="26"/>
      <c r="AL443" s="26"/>
      <c r="AM443" s="26"/>
    </row>
    <row r="444" ht="14.25" customHeight="1">
      <c r="A444" s="26"/>
      <c r="B444" s="84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  <c r="AC444" s="26"/>
      <c r="AD444" s="26"/>
      <c r="AE444" s="26"/>
      <c r="AF444" s="26"/>
      <c r="AG444" s="26"/>
      <c r="AH444" s="26"/>
      <c r="AI444" s="26"/>
      <c r="AJ444" s="26"/>
      <c r="AK444" s="26"/>
      <c r="AL444" s="26"/>
      <c r="AM444" s="26"/>
    </row>
    <row r="445" ht="14.25" customHeight="1">
      <c r="A445" s="26"/>
      <c r="B445" s="84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  <c r="AC445" s="26"/>
      <c r="AD445" s="26"/>
      <c r="AE445" s="26"/>
      <c r="AF445" s="26"/>
      <c r="AG445" s="26"/>
      <c r="AH445" s="26"/>
      <c r="AI445" s="26"/>
      <c r="AJ445" s="26"/>
      <c r="AK445" s="26"/>
      <c r="AL445" s="26"/>
      <c r="AM445" s="26"/>
    </row>
    <row r="446" ht="14.25" customHeight="1">
      <c r="A446" s="26"/>
      <c r="B446" s="84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  <c r="AC446" s="26"/>
      <c r="AD446" s="26"/>
      <c r="AE446" s="26"/>
      <c r="AF446" s="26"/>
      <c r="AG446" s="26"/>
      <c r="AH446" s="26"/>
      <c r="AI446" s="26"/>
      <c r="AJ446" s="26"/>
      <c r="AK446" s="26"/>
      <c r="AL446" s="26"/>
      <c r="AM446" s="26"/>
    </row>
    <row r="447" ht="14.25" customHeight="1">
      <c r="A447" s="26"/>
      <c r="B447" s="84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  <c r="AC447" s="26"/>
      <c r="AD447" s="26"/>
      <c r="AE447" s="26"/>
      <c r="AF447" s="26"/>
      <c r="AG447" s="26"/>
      <c r="AH447" s="26"/>
      <c r="AI447" s="26"/>
      <c r="AJ447" s="26"/>
      <c r="AK447" s="26"/>
      <c r="AL447" s="26"/>
      <c r="AM447" s="26"/>
    </row>
    <row r="448" ht="14.25" customHeight="1">
      <c r="A448" s="26"/>
      <c r="B448" s="84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  <c r="AC448" s="26"/>
      <c r="AD448" s="26"/>
      <c r="AE448" s="26"/>
      <c r="AF448" s="26"/>
      <c r="AG448" s="26"/>
      <c r="AH448" s="26"/>
      <c r="AI448" s="26"/>
      <c r="AJ448" s="26"/>
      <c r="AK448" s="26"/>
      <c r="AL448" s="26"/>
      <c r="AM448" s="26"/>
    </row>
    <row r="449" ht="14.25" customHeight="1">
      <c r="A449" s="26"/>
      <c r="B449" s="84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  <c r="AC449" s="26"/>
      <c r="AD449" s="26"/>
      <c r="AE449" s="26"/>
      <c r="AF449" s="26"/>
      <c r="AG449" s="26"/>
      <c r="AH449" s="26"/>
      <c r="AI449" s="26"/>
      <c r="AJ449" s="26"/>
      <c r="AK449" s="26"/>
      <c r="AL449" s="26"/>
      <c r="AM449" s="26"/>
    </row>
    <row r="450" ht="14.25" customHeight="1">
      <c r="A450" s="26"/>
      <c r="B450" s="84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  <c r="AC450" s="26"/>
      <c r="AD450" s="26"/>
      <c r="AE450" s="26"/>
      <c r="AF450" s="26"/>
      <c r="AG450" s="26"/>
      <c r="AH450" s="26"/>
      <c r="AI450" s="26"/>
      <c r="AJ450" s="26"/>
      <c r="AK450" s="26"/>
      <c r="AL450" s="26"/>
      <c r="AM450" s="26"/>
    </row>
    <row r="451" ht="14.25" customHeight="1">
      <c r="A451" s="26"/>
      <c r="B451" s="84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  <c r="AC451" s="26"/>
      <c r="AD451" s="26"/>
      <c r="AE451" s="26"/>
      <c r="AF451" s="26"/>
      <c r="AG451" s="26"/>
      <c r="AH451" s="26"/>
      <c r="AI451" s="26"/>
      <c r="AJ451" s="26"/>
      <c r="AK451" s="26"/>
      <c r="AL451" s="26"/>
      <c r="AM451" s="26"/>
    </row>
    <row r="452" ht="14.25" customHeight="1">
      <c r="A452" s="26"/>
      <c r="B452" s="84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  <c r="AC452" s="26"/>
      <c r="AD452" s="26"/>
      <c r="AE452" s="26"/>
      <c r="AF452" s="26"/>
      <c r="AG452" s="26"/>
      <c r="AH452" s="26"/>
      <c r="AI452" s="26"/>
      <c r="AJ452" s="26"/>
      <c r="AK452" s="26"/>
      <c r="AL452" s="26"/>
      <c r="AM452" s="26"/>
    </row>
    <row r="453" ht="14.25" customHeight="1">
      <c r="A453" s="26"/>
      <c r="B453" s="84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  <c r="AC453" s="26"/>
      <c r="AD453" s="26"/>
      <c r="AE453" s="26"/>
      <c r="AF453" s="26"/>
      <c r="AG453" s="26"/>
      <c r="AH453" s="26"/>
      <c r="AI453" s="26"/>
      <c r="AJ453" s="26"/>
      <c r="AK453" s="26"/>
      <c r="AL453" s="26"/>
      <c r="AM453" s="26"/>
    </row>
    <row r="454" ht="14.25" customHeight="1">
      <c r="A454" s="26"/>
      <c r="B454" s="84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  <c r="AC454" s="26"/>
      <c r="AD454" s="26"/>
      <c r="AE454" s="26"/>
      <c r="AF454" s="26"/>
      <c r="AG454" s="26"/>
      <c r="AH454" s="26"/>
      <c r="AI454" s="26"/>
      <c r="AJ454" s="26"/>
      <c r="AK454" s="26"/>
      <c r="AL454" s="26"/>
      <c r="AM454" s="26"/>
    </row>
    <row r="455" ht="14.25" customHeight="1">
      <c r="A455" s="26"/>
      <c r="B455" s="84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  <c r="AC455" s="26"/>
      <c r="AD455" s="26"/>
      <c r="AE455" s="26"/>
      <c r="AF455" s="26"/>
      <c r="AG455" s="26"/>
      <c r="AH455" s="26"/>
      <c r="AI455" s="26"/>
      <c r="AJ455" s="26"/>
      <c r="AK455" s="26"/>
      <c r="AL455" s="26"/>
      <c r="AM455" s="26"/>
    </row>
    <row r="456" ht="14.25" customHeight="1">
      <c r="A456" s="26"/>
      <c r="B456" s="84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  <c r="AC456" s="26"/>
      <c r="AD456" s="26"/>
      <c r="AE456" s="26"/>
      <c r="AF456" s="26"/>
      <c r="AG456" s="26"/>
      <c r="AH456" s="26"/>
      <c r="AI456" s="26"/>
      <c r="AJ456" s="26"/>
      <c r="AK456" s="26"/>
      <c r="AL456" s="26"/>
      <c r="AM456" s="26"/>
    </row>
    <row r="457" ht="14.25" customHeight="1">
      <c r="A457" s="26"/>
      <c r="B457" s="84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  <c r="AC457" s="26"/>
      <c r="AD457" s="26"/>
      <c r="AE457" s="26"/>
      <c r="AF457" s="26"/>
      <c r="AG457" s="26"/>
      <c r="AH457" s="26"/>
      <c r="AI457" s="26"/>
      <c r="AJ457" s="26"/>
      <c r="AK457" s="26"/>
      <c r="AL457" s="26"/>
      <c r="AM457" s="26"/>
    </row>
    <row r="458" ht="14.25" customHeight="1">
      <c r="A458" s="26"/>
      <c r="B458" s="84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  <c r="AC458" s="26"/>
      <c r="AD458" s="26"/>
      <c r="AE458" s="26"/>
      <c r="AF458" s="26"/>
      <c r="AG458" s="26"/>
      <c r="AH458" s="26"/>
      <c r="AI458" s="26"/>
      <c r="AJ458" s="26"/>
      <c r="AK458" s="26"/>
      <c r="AL458" s="26"/>
      <c r="AM458" s="26"/>
    </row>
    <row r="459" ht="14.25" customHeight="1">
      <c r="A459" s="26"/>
      <c r="B459" s="84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  <c r="AC459" s="26"/>
      <c r="AD459" s="26"/>
      <c r="AE459" s="26"/>
      <c r="AF459" s="26"/>
      <c r="AG459" s="26"/>
      <c r="AH459" s="26"/>
      <c r="AI459" s="26"/>
      <c r="AJ459" s="26"/>
      <c r="AK459" s="26"/>
      <c r="AL459" s="26"/>
      <c r="AM459" s="26"/>
    </row>
    <row r="460" ht="14.25" customHeight="1">
      <c r="A460" s="26"/>
      <c r="B460" s="84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  <c r="AC460" s="26"/>
      <c r="AD460" s="26"/>
      <c r="AE460" s="26"/>
      <c r="AF460" s="26"/>
      <c r="AG460" s="26"/>
      <c r="AH460" s="26"/>
      <c r="AI460" s="26"/>
      <c r="AJ460" s="26"/>
      <c r="AK460" s="26"/>
      <c r="AL460" s="26"/>
      <c r="AM460" s="26"/>
    </row>
    <row r="461" ht="14.25" customHeight="1">
      <c r="A461" s="26"/>
      <c r="B461" s="84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  <c r="AC461" s="26"/>
      <c r="AD461" s="26"/>
      <c r="AE461" s="26"/>
      <c r="AF461" s="26"/>
      <c r="AG461" s="26"/>
      <c r="AH461" s="26"/>
      <c r="AI461" s="26"/>
      <c r="AJ461" s="26"/>
      <c r="AK461" s="26"/>
      <c r="AL461" s="26"/>
      <c r="AM461" s="26"/>
    </row>
    <row r="462" ht="14.25" customHeight="1">
      <c r="A462" s="26"/>
      <c r="B462" s="84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  <c r="AC462" s="26"/>
      <c r="AD462" s="26"/>
      <c r="AE462" s="26"/>
      <c r="AF462" s="26"/>
      <c r="AG462" s="26"/>
      <c r="AH462" s="26"/>
      <c r="AI462" s="26"/>
      <c r="AJ462" s="26"/>
      <c r="AK462" s="26"/>
      <c r="AL462" s="26"/>
      <c r="AM462" s="26"/>
    </row>
    <row r="463" ht="14.25" customHeight="1">
      <c r="A463" s="26"/>
      <c r="B463" s="84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  <c r="AC463" s="26"/>
      <c r="AD463" s="26"/>
      <c r="AE463" s="26"/>
      <c r="AF463" s="26"/>
      <c r="AG463" s="26"/>
      <c r="AH463" s="26"/>
      <c r="AI463" s="26"/>
      <c r="AJ463" s="26"/>
      <c r="AK463" s="26"/>
      <c r="AL463" s="26"/>
      <c r="AM463" s="26"/>
    </row>
    <row r="464" ht="14.25" customHeight="1">
      <c r="A464" s="26"/>
      <c r="B464" s="84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  <c r="AC464" s="26"/>
      <c r="AD464" s="26"/>
      <c r="AE464" s="26"/>
      <c r="AF464" s="26"/>
      <c r="AG464" s="26"/>
      <c r="AH464" s="26"/>
      <c r="AI464" s="26"/>
      <c r="AJ464" s="26"/>
      <c r="AK464" s="26"/>
      <c r="AL464" s="26"/>
      <c r="AM464" s="26"/>
    </row>
    <row r="465" ht="14.25" customHeight="1">
      <c r="A465" s="26"/>
      <c r="B465" s="84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  <c r="AC465" s="26"/>
      <c r="AD465" s="26"/>
      <c r="AE465" s="26"/>
      <c r="AF465" s="26"/>
      <c r="AG465" s="26"/>
      <c r="AH465" s="26"/>
      <c r="AI465" s="26"/>
      <c r="AJ465" s="26"/>
      <c r="AK465" s="26"/>
      <c r="AL465" s="26"/>
      <c r="AM465" s="26"/>
    </row>
    <row r="466" ht="14.25" customHeight="1">
      <c r="A466" s="26"/>
      <c r="B466" s="84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  <c r="AC466" s="26"/>
      <c r="AD466" s="26"/>
      <c r="AE466" s="26"/>
      <c r="AF466" s="26"/>
      <c r="AG466" s="26"/>
      <c r="AH466" s="26"/>
      <c r="AI466" s="26"/>
      <c r="AJ466" s="26"/>
      <c r="AK466" s="26"/>
      <c r="AL466" s="26"/>
      <c r="AM466" s="26"/>
    </row>
    <row r="467" ht="14.25" customHeight="1">
      <c r="A467" s="26"/>
      <c r="B467" s="84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  <c r="AC467" s="26"/>
      <c r="AD467" s="26"/>
      <c r="AE467" s="26"/>
      <c r="AF467" s="26"/>
      <c r="AG467" s="26"/>
      <c r="AH467" s="26"/>
      <c r="AI467" s="26"/>
      <c r="AJ467" s="26"/>
      <c r="AK467" s="26"/>
      <c r="AL467" s="26"/>
      <c r="AM467" s="26"/>
    </row>
    <row r="468" ht="14.25" customHeight="1">
      <c r="A468" s="26"/>
      <c r="B468" s="84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  <c r="AC468" s="26"/>
      <c r="AD468" s="26"/>
      <c r="AE468" s="26"/>
      <c r="AF468" s="26"/>
      <c r="AG468" s="26"/>
      <c r="AH468" s="26"/>
      <c r="AI468" s="26"/>
      <c r="AJ468" s="26"/>
      <c r="AK468" s="26"/>
      <c r="AL468" s="26"/>
      <c r="AM468" s="26"/>
    </row>
    <row r="469" ht="14.25" customHeight="1">
      <c r="A469" s="26"/>
      <c r="B469" s="84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  <c r="AC469" s="26"/>
      <c r="AD469" s="26"/>
      <c r="AE469" s="26"/>
      <c r="AF469" s="26"/>
      <c r="AG469" s="26"/>
      <c r="AH469" s="26"/>
      <c r="AI469" s="26"/>
      <c r="AJ469" s="26"/>
      <c r="AK469" s="26"/>
      <c r="AL469" s="26"/>
      <c r="AM469" s="26"/>
    </row>
    <row r="470" ht="14.25" customHeight="1">
      <c r="A470" s="26"/>
      <c r="B470" s="84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  <c r="AC470" s="26"/>
      <c r="AD470" s="26"/>
      <c r="AE470" s="26"/>
      <c r="AF470" s="26"/>
      <c r="AG470" s="26"/>
      <c r="AH470" s="26"/>
      <c r="AI470" s="26"/>
      <c r="AJ470" s="26"/>
      <c r="AK470" s="26"/>
      <c r="AL470" s="26"/>
      <c r="AM470" s="26"/>
    </row>
    <row r="471" ht="14.25" customHeight="1">
      <c r="A471" s="26"/>
      <c r="B471" s="84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  <c r="AC471" s="26"/>
      <c r="AD471" s="26"/>
      <c r="AE471" s="26"/>
      <c r="AF471" s="26"/>
      <c r="AG471" s="26"/>
      <c r="AH471" s="26"/>
      <c r="AI471" s="26"/>
      <c r="AJ471" s="26"/>
      <c r="AK471" s="26"/>
      <c r="AL471" s="26"/>
      <c r="AM471" s="26"/>
    </row>
    <row r="472" ht="14.25" customHeight="1">
      <c r="A472" s="26"/>
      <c r="B472" s="84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  <c r="AC472" s="26"/>
      <c r="AD472" s="26"/>
      <c r="AE472" s="26"/>
      <c r="AF472" s="26"/>
      <c r="AG472" s="26"/>
      <c r="AH472" s="26"/>
      <c r="AI472" s="26"/>
      <c r="AJ472" s="26"/>
      <c r="AK472" s="26"/>
      <c r="AL472" s="26"/>
      <c r="AM472" s="26"/>
    </row>
    <row r="473" ht="14.25" customHeight="1">
      <c r="A473" s="26"/>
      <c r="B473" s="84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  <c r="AC473" s="26"/>
      <c r="AD473" s="26"/>
      <c r="AE473" s="26"/>
      <c r="AF473" s="26"/>
      <c r="AG473" s="26"/>
      <c r="AH473" s="26"/>
      <c r="AI473" s="26"/>
      <c r="AJ473" s="26"/>
      <c r="AK473" s="26"/>
      <c r="AL473" s="26"/>
      <c r="AM473" s="26"/>
    </row>
    <row r="474" ht="14.25" customHeight="1">
      <c r="A474" s="26"/>
      <c r="B474" s="84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  <c r="AC474" s="26"/>
      <c r="AD474" s="26"/>
      <c r="AE474" s="26"/>
      <c r="AF474" s="26"/>
      <c r="AG474" s="26"/>
      <c r="AH474" s="26"/>
      <c r="AI474" s="26"/>
      <c r="AJ474" s="26"/>
      <c r="AK474" s="26"/>
      <c r="AL474" s="26"/>
      <c r="AM474" s="26"/>
    </row>
    <row r="475" ht="14.25" customHeight="1">
      <c r="A475" s="26"/>
      <c r="B475" s="84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  <c r="AC475" s="26"/>
      <c r="AD475" s="26"/>
      <c r="AE475" s="26"/>
      <c r="AF475" s="26"/>
      <c r="AG475" s="26"/>
      <c r="AH475" s="26"/>
      <c r="AI475" s="26"/>
      <c r="AJ475" s="26"/>
      <c r="AK475" s="26"/>
      <c r="AL475" s="26"/>
      <c r="AM475" s="26"/>
    </row>
    <row r="476" ht="14.25" customHeight="1">
      <c r="A476" s="26"/>
      <c r="B476" s="84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  <c r="AC476" s="26"/>
      <c r="AD476" s="26"/>
      <c r="AE476" s="26"/>
      <c r="AF476" s="26"/>
      <c r="AG476" s="26"/>
      <c r="AH476" s="26"/>
      <c r="AI476" s="26"/>
      <c r="AJ476" s="26"/>
      <c r="AK476" s="26"/>
      <c r="AL476" s="26"/>
      <c r="AM476" s="26"/>
    </row>
    <row r="477" ht="14.25" customHeight="1">
      <c r="A477" s="26"/>
      <c r="B477" s="84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  <c r="AC477" s="26"/>
      <c r="AD477" s="26"/>
      <c r="AE477" s="26"/>
      <c r="AF477" s="26"/>
      <c r="AG477" s="26"/>
      <c r="AH477" s="26"/>
      <c r="AI477" s="26"/>
      <c r="AJ477" s="26"/>
      <c r="AK477" s="26"/>
      <c r="AL477" s="26"/>
      <c r="AM477" s="26"/>
    </row>
    <row r="478" ht="14.25" customHeight="1">
      <c r="A478" s="26"/>
      <c r="B478" s="84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  <c r="AC478" s="26"/>
      <c r="AD478" s="26"/>
      <c r="AE478" s="26"/>
      <c r="AF478" s="26"/>
      <c r="AG478" s="26"/>
      <c r="AH478" s="26"/>
      <c r="AI478" s="26"/>
      <c r="AJ478" s="26"/>
      <c r="AK478" s="26"/>
      <c r="AL478" s="26"/>
      <c r="AM478" s="26"/>
    </row>
    <row r="479" ht="14.25" customHeight="1">
      <c r="A479" s="26"/>
      <c r="B479" s="84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  <c r="AC479" s="26"/>
      <c r="AD479" s="26"/>
      <c r="AE479" s="26"/>
      <c r="AF479" s="26"/>
      <c r="AG479" s="26"/>
      <c r="AH479" s="26"/>
      <c r="AI479" s="26"/>
      <c r="AJ479" s="26"/>
      <c r="AK479" s="26"/>
      <c r="AL479" s="26"/>
      <c r="AM479" s="26"/>
    </row>
    <row r="480" ht="14.25" customHeight="1">
      <c r="A480" s="26"/>
      <c r="B480" s="84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  <c r="AC480" s="26"/>
      <c r="AD480" s="26"/>
      <c r="AE480" s="26"/>
      <c r="AF480" s="26"/>
      <c r="AG480" s="26"/>
      <c r="AH480" s="26"/>
      <c r="AI480" s="26"/>
      <c r="AJ480" s="26"/>
      <c r="AK480" s="26"/>
      <c r="AL480" s="26"/>
      <c r="AM480" s="26"/>
    </row>
    <row r="481" ht="14.25" customHeight="1">
      <c r="A481" s="26"/>
      <c r="B481" s="84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  <c r="AC481" s="26"/>
      <c r="AD481" s="26"/>
      <c r="AE481" s="26"/>
      <c r="AF481" s="26"/>
      <c r="AG481" s="26"/>
      <c r="AH481" s="26"/>
      <c r="AI481" s="26"/>
      <c r="AJ481" s="26"/>
      <c r="AK481" s="26"/>
      <c r="AL481" s="26"/>
      <c r="AM481" s="26"/>
    </row>
    <row r="482" ht="14.25" customHeight="1">
      <c r="A482" s="26"/>
      <c r="B482" s="84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  <c r="AC482" s="26"/>
      <c r="AD482" s="26"/>
      <c r="AE482" s="26"/>
      <c r="AF482" s="26"/>
      <c r="AG482" s="26"/>
      <c r="AH482" s="26"/>
      <c r="AI482" s="26"/>
      <c r="AJ482" s="26"/>
      <c r="AK482" s="26"/>
      <c r="AL482" s="26"/>
      <c r="AM482" s="26"/>
    </row>
    <row r="483" ht="14.25" customHeight="1">
      <c r="A483" s="26"/>
      <c r="B483" s="84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  <c r="AC483" s="26"/>
      <c r="AD483" s="26"/>
      <c r="AE483" s="26"/>
      <c r="AF483" s="26"/>
      <c r="AG483" s="26"/>
      <c r="AH483" s="26"/>
      <c r="AI483" s="26"/>
      <c r="AJ483" s="26"/>
      <c r="AK483" s="26"/>
      <c r="AL483" s="26"/>
      <c r="AM483" s="26"/>
    </row>
    <row r="484" ht="14.25" customHeight="1">
      <c r="A484" s="26"/>
      <c r="B484" s="84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  <c r="AC484" s="26"/>
      <c r="AD484" s="26"/>
      <c r="AE484" s="26"/>
      <c r="AF484" s="26"/>
      <c r="AG484" s="26"/>
      <c r="AH484" s="26"/>
      <c r="AI484" s="26"/>
      <c r="AJ484" s="26"/>
      <c r="AK484" s="26"/>
      <c r="AL484" s="26"/>
      <c r="AM484" s="26"/>
    </row>
    <row r="485" ht="14.25" customHeight="1">
      <c r="A485" s="26"/>
      <c r="B485" s="84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  <c r="AC485" s="26"/>
      <c r="AD485" s="26"/>
      <c r="AE485" s="26"/>
      <c r="AF485" s="26"/>
      <c r="AG485" s="26"/>
      <c r="AH485" s="26"/>
      <c r="AI485" s="26"/>
      <c r="AJ485" s="26"/>
      <c r="AK485" s="26"/>
      <c r="AL485" s="26"/>
      <c r="AM485" s="26"/>
    </row>
    <row r="486" ht="14.25" customHeight="1">
      <c r="A486" s="26"/>
      <c r="B486" s="84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  <c r="AC486" s="26"/>
      <c r="AD486" s="26"/>
      <c r="AE486" s="26"/>
      <c r="AF486" s="26"/>
      <c r="AG486" s="26"/>
      <c r="AH486" s="26"/>
      <c r="AI486" s="26"/>
      <c r="AJ486" s="26"/>
      <c r="AK486" s="26"/>
      <c r="AL486" s="26"/>
      <c r="AM486" s="26"/>
    </row>
    <row r="487" ht="14.25" customHeight="1">
      <c r="A487" s="26"/>
      <c r="B487" s="84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  <c r="AC487" s="26"/>
      <c r="AD487" s="26"/>
      <c r="AE487" s="26"/>
      <c r="AF487" s="26"/>
      <c r="AG487" s="26"/>
      <c r="AH487" s="26"/>
      <c r="AI487" s="26"/>
      <c r="AJ487" s="26"/>
      <c r="AK487" s="26"/>
      <c r="AL487" s="26"/>
      <c r="AM487" s="26"/>
    </row>
    <row r="488" ht="14.25" customHeight="1">
      <c r="A488" s="26"/>
      <c r="B488" s="84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  <c r="AC488" s="26"/>
      <c r="AD488" s="26"/>
      <c r="AE488" s="26"/>
      <c r="AF488" s="26"/>
      <c r="AG488" s="26"/>
      <c r="AH488" s="26"/>
      <c r="AI488" s="26"/>
      <c r="AJ488" s="26"/>
      <c r="AK488" s="26"/>
      <c r="AL488" s="26"/>
      <c r="AM488" s="26"/>
    </row>
    <row r="489" ht="14.25" customHeight="1">
      <c r="A489" s="26"/>
      <c r="B489" s="84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  <c r="AC489" s="26"/>
      <c r="AD489" s="26"/>
      <c r="AE489" s="26"/>
      <c r="AF489" s="26"/>
      <c r="AG489" s="26"/>
      <c r="AH489" s="26"/>
      <c r="AI489" s="26"/>
      <c r="AJ489" s="26"/>
      <c r="AK489" s="26"/>
      <c r="AL489" s="26"/>
      <c r="AM489" s="26"/>
    </row>
    <row r="490" ht="14.25" customHeight="1">
      <c r="A490" s="26"/>
      <c r="B490" s="84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  <c r="AC490" s="26"/>
      <c r="AD490" s="26"/>
      <c r="AE490" s="26"/>
      <c r="AF490" s="26"/>
      <c r="AG490" s="26"/>
      <c r="AH490" s="26"/>
      <c r="AI490" s="26"/>
      <c r="AJ490" s="26"/>
      <c r="AK490" s="26"/>
      <c r="AL490" s="26"/>
      <c r="AM490" s="26"/>
    </row>
    <row r="491" ht="14.25" customHeight="1">
      <c r="A491" s="26"/>
      <c r="B491" s="84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  <c r="AC491" s="26"/>
      <c r="AD491" s="26"/>
      <c r="AE491" s="26"/>
      <c r="AF491" s="26"/>
      <c r="AG491" s="26"/>
      <c r="AH491" s="26"/>
      <c r="AI491" s="26"/>
      <c r="AJ491" s="26"/>
      <c r="AK491" s="26"/>
      <c r="AL491" s="26"/>
      <c r="AM491" s="26"/>
    </row>
    <row r="492" ht="14.25" customHeight="1">
      <c r="A492" s="26"/>
      <c r="B492" s="84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  <c r="AC492" s="26"/>
      <c r="AD492" s="26"/>
      <c r="AE492" s="26"/>
      <c r="AF492" s="26"/>
      <c r="AG492" s="26"/>
      <c r="AH492" s="26"/>
      <c r="AI492" s="26"/>
      <c r="AJ492" s="26"/>
      <c r="AK492" s="26"/>
      <c r="AL492" s="26"/>
      <c r="AM492" s="26"/>
    </row>
    <row r="493" ht="14.25" customHeight="1">
      <c r="A493" s="26"/>
      <c r="B493" s="84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  <c r="AC493" s="26"/>
      <c r="AD493" s="26"/>
      <c r="AE493" s="26"/>
      <c r="AF493" s="26"/>
      <c r="AG493" s="26"/>
      <c r="AH493" s="26"/>
      <c r="AI493" s="26"/>
      <c r="AJ493" s="26"/>
      <c r="AK493" s="26"/>
      <c r="AL493" s="26"/>
      <c r="AM493" s="26"/>
    </row>
    <row r="494" ht="14.25" customHeight="1">
      <c r="A494" s="26"/>
      <c r="B494" s="84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  <c r="AC494" s="26"/>
      <c r="AD494" s="26"/>
      <c r="AE494" s="26"/>
      <c r="AF494" s="26"/>
      <c r="AG494" s="26"/>
      <c r="AH494" s="26"/>
      <c r="AI494" s="26"/>
      <c r="AJ494" s="26"/>
      <c r="AK494" s="26"/>
      <c r="AL494" s="26"/>
      <c r="AM494" s="26"/>
    </row>
    <row r="495" ht="14.25" customHeight="1">
      <c r="A495" s="26"/>
      <c r="B495" s="84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  <c r="AC495" s="26"/>
      <c r="AD495" s="26"/>
      <c r="AE495" s="26"/>
      <c r="AF495" s="26"/>
      <c r="AG495" s="26"/>
      <c r="AH495" s="26"/>
      <c r="AI495" s="26"/>
      <c r="AJ495" s="26"/>
      <c r="AK495" s="26"/>
      <c r="AL495" s="26"/>
      <c r="AM495" s="26"/>
    </row>
    <row r="496" ht="14.25" customHeight="1">
      <c r="A496" s="26"/>
      <c r="B496" s="84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  <c r="AC496" s="26"/>
      <c r="AD496" s="26"/>
      <c r="AE496" s="26"/>
      <c r="AF496" s="26"/>
      <c r="AG496" s="26"/>
      <c r="AH496" s="26"/>
      <c r="AI496" s="26"/>
      <c r="AJ496" s="26"/>
      <c r="AK496" s="26"/>
      <c r="AL496" s="26"/>
      <c r="AM496" s="26"/>
    </row>
    <row r="497" ht="14.25" customHeight="1">
      <c r="A497" s="26"/>
      <c r="B497" s="84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  <c r="AC497" s="26"/>
      <c r="AD497" s="26"/>
      <c r="AE497" s="26"/>
      <c r="AF497" s="26"/>
      <c r="AG497" s="26"/>
      <c r="AH497" s="26"/>
      <c r="AI497" s="26"/>
      <c r="AJ497" s="26"/>
      <c r="AK497" s="26"/>
      <c r="AL497" s="26"/>
      <c r="AM497" s="26"/>
    </row>
    <row r="498" ht="14.25" customHeight="1">
      <c r="A498" s="26"/>
      <c r="B498" s="84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  <c r="AC498" s="26"/>
      <c r="AD498" s="26"/>
      <c r="AE498" s="26"/>
      <c r="AF498" s="26"/>
      <c r="AG498" s="26"/>
      <c r="AH498" s="26"/>
      <c r="AI498" s="26"/>
      <c r="AJ498" s="26"/>
      <c r="AK498" s="26"/>
      <c r="AL498" s="26"/>
      <c r="AM498" s="26"/>
    </row>
    <row r="499" ht="14.25" customHeight="1">
      <c r="A499" s="26"/>
      <c r="B499" s="84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  <c r="AC499" s="26"/>
      <c r="AD499" s="26"/>
      <c r="AE499" s="26"/>
      <c r="AF499" s="26"/>
      <c r="AG499" s="26"/>
      <c r="AH499" s="26"/>
      <c r="AI499" s="26"/>
      <c r="AJ499" s="26"/>
      <c r="AK499" s="26"/>
      <c r="AL499" s="26"/>
      <c r="AM499" s="26"/>
    </row>
    <row r="500" ht="14.25" customHeight="1">
      <c r="A500" s="26"/>
      <c r="B500" s="84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  <c r="AC500" s="26"/>
      <c r="AD500" s="26"/>
      <c r="AE500" s="26"/>
      <c r="AF500" s="26"/>
      <c r="AG500" s="26"/>
      <c r="AH500" s="26"/>
      <c r="AI500" s="26"/>
      <c r="AJ500" s="26"/>
      <c r="AK500" s="26"/>
      <c r="AL500" s="26"/>
      <c r="AM500" s="26"/>
    </row>
    <row r="501" ht="14.25" customHeight="1">
      <c r="A501" s="26"/>
      <c r="B501" s="84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  <c r="AC501" s="26"/>
      <c r="AD501" s="26"/>
      <c r="AE501" s="26"/>
      <c r="AF501" s="26"/>
      <c r="AG501" s="26"/>
      <c r="AH501" s="26"/>
      <c r="AI501" s="26"/>
      <c r="AJ501" s="26"/>
      <c r="AK501" s="26"/>
      <c r="AL501" s="26"/>
      <c r="AM501" s="26"/>
    </row>
    <row r="502" ht="14.25" customHeight="1">
      <c r="A502" s="26"/>
      <c r="B502" s="84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  <c r="AC502" s="26"/>
      <c r="AD502" s="26"/>
      <c r="AE502" s="26"/>
      <c r="AF502" s="26"/>
      <c r="AG502" s="26"/>
      <c r="AH502" s="26"/>
      <c r="AI502" s="26"/>
      <c r="AJ502" s="26"/>
      <c r="AK502" s="26"/>
      <c r="AL502" s="26"/>
      <c r="AM502" s="26"/>
    </row>
    <row r="503" ht="14.25" customHeight="1">
      <c r="A503" s="26"/>
      <c r="B503" s="84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  <c r="AC503" s="26"/>
      <c r="AD503" s="26"/>
      <c r="AE503" s="26"/>
      <c r="AF503" s="26"/>
      <c r="AG503" s="26"/>
      <c r="AH503" s="26"/>
      <c r="AI503" s="26"/>
      <c r="AJ503" s="26"/>
      <c r="AK503" s="26"/>
      <c r="AL503" s="26"/>
      <c r="AM503" s="26"/>
    </row>
    <row r="504" ht="14.25" customHeight="1">
      <c r="A504" s="26"/>
      <c r="B504" s="84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  <c r="AC504" s="26"/>
      <c r="AD504" s="26"/>
      <c r="AE504" s="26"/>
      <c r="AF504" s="26"/>
      <c r="AG504" s="26"/>
      <c r="AH504" s="26"/>
      <c r="AI504" s="26"/>
      <c r="AJ504" s="26"/>
      <c r="AK504" s="26"/>
      <c r="AL504" s="26"/>
      <c r="AM504" s="26"/>
    </row>
    <row r="505" ht="14.25" customHeight="1">
      <c r="A505" s="26"/>
      <c r="B505" s="84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  <c r="AC505" s="26"/>
      <c r="AD505" s="26"/>
      <c r="AE505" s="26"/>
      <c r="AF505" s="26"/>
      <c r="AG505" s="26"/>
      <c r="AH505" s="26"/>
      <c r="AI505" s="26"/>
      <c r="AJ505" s="26"/>
      <c r="AK505" s="26"/>
      <c r="AL505" s="26"/>
      <c r="AM505" s="26"/>
    </row>
    <row r="506" ht="14.25" customHeight="1">
      <c r="A506" s="26"/>
      <c r="B506" s="84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  <c r="AC506" s="26"/>
      <c r="AD506" s="26"/>
      <c r="AE506" s="26"/>
      <c r="AF506" s="26"/>
      <c r="AG506" s="26"/>
      <c r="AH506" s="26"/>
      <c r="AI506" s="26"/>
      <c r="AJ506" s="26"/>
      <c r="AK506" s="26"/>
      <c r="AL506" s="26"/>
      <c r="AM506" s="26"/>
    </row>
    <row r="507" ht="14.25" customHeight="1">
      <c r="A507" s="26"/>
      <c r="B507" s="84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  <c r="AC507" s="26"/>
      <c r="AD507" s="26"/>
      <c r="AE507" s="26"/>
      <c r="AF507" s="26"/>
      <c r="AG507" s="26"/>
      <c r="AH507" s="26"/>
      <c r="AI507" s="26"/>
      <c r="AJ507" s="26"/>
      <c r="AK507" s="26"/>
      <c r="AL507" s="26"/>
      <c r="AM507" s="26"/>
    </row>
    <row r="508" ht="14.25" customHeight="1">
      <c r="A508" s="26"/>
      <c r="B508" s="84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  <c r="AC508" s="26"/>
      <c r="AD508" s="26"/>
      <c r="AE508" s="26"/>
      <c r="AF508" s="26"/>
      <c r="AG508" s="26"/>
      <c r="AH508" s="26"/>
      <c r="AI508" s="26"/>
      <c r="AJ508" s="26"/>
      <c r="AK508" s="26"/>
      <c r="AL508" s="26"/>
      <c r="AM508" s="26"/>
    </row>
    <row r="509" ht="14.25" customHeight="1">
      <c r="A509" s="26"/>
      <c r="B509" s="84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  <c r="AC509" s="26"/>
      <c r="AD509" s="26"/>
      <c r="AE509" s="26"/>
      <c r="AF509" s="26"/>
      <c r="AG509" s="26"/>
      <c r="AH509" s="26"/>
      <c r="AI509" s="26"/>
      <c r="AJ509" s="26"/>
      <c r="AK509" s="26"/>
      <c r="AL509" s="26"/>
      <c r="AM509" s="26"/>
    </row>
    <row r="510" ht="14.25" customHeight="1">
      <c r="A510" s="26"/>
      <c r="B510" s="84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  <c r="AC510" s="26"/>
      <c r="AD510" s="26"/>
      <c r="AE510" s="26"/>
      <c r="AF510" s="26"/>
      <c r="AG510" s="26"/>
      <c r="AH510" s="26"/>
      <c r="AI510" s="26"/>
      <c r="AJ510" s="26"/>
      <c r="AK510" s="26"/>
      <c r="AL510" s="26"/>
      <c r="AM510" s="26"/>
    </row>
    <row r="511" ht="14.25" customHeight="1">
      <c r="A511" s="26"/>
      <c r="B511" s="84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  <c r="AC511" s="26"/>
      <c r="AD511" s="26"/>
      <c r="AE511" s="26"/>
      <c r="AF511" s="26"/>
      <c r="AG511" s="26"/>
      <c r="AH511" s="26"/>
      <c r="AI511" s="26"/>
      <c r="AJ511" s="26"/>
      <c r="AK511" s="26"/>
      <c r="AL511" s="26"/>
      <c r="AM511" s="26"/>
    </row>
    <row r="512" ht="14.25" customHeight="1">
      <c r="A512" s="26"/>
      <c r="B512" s="84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  <c r="AC512" s="26"/>
      <c r="AD512" s="26"/>
      <c r="AE512" s="26"/>
      <c r="AF512" s="26"/>
      <c r="AG512" s="26"/>
      <c r="AH512" s="26"/>
      <c r="AI512" s="26"/>
      <c r="AJ512" s="26"/>
      <c r="AK512" s="26"/>
      <c r="AL512" s="26"/>
      <c r="AM512" s="26"/>
    </row>
    <row r="513" ht="14.25" customHeight="1">
      <c r="A513" s="26"/>
      <c r="B513" s="84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  <c r="AC513" s="26"/>
      <c r="AD513" s="26"/>
      <c r="AE513" s="26"/>
      <c r="AF513" s="26"/>
      <c r="AG513" s="26"/>
      <c r="AH513" s="26"/>
      <c r="AI513" s="26"/>
      <c r="AJ513" s="26"/>
      <c r="AK513" s="26"/>
      <c r="AL513" s="26"/>
      <c r="AM513" s="26"/>
    </row>
    <row r="514" ht="14.25" customHeight="1">
      <c r="A514" s="26"/>
      <c r="B514" s="84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  <c r="AC514" s="26"/>
      <c r="AD514" s="26"/>
      <c r="AE514" s="26"/>
      <c r="AF514" s="26"/>
      <c r="AG514" s="26"/>
      <c r="AH514" s="26"/>
      <c r="AI514" s="26"/>
      <c r="AJ514" s="26"/>
      <c r="AK514" s="26"/>
      <c r="AL514" s="26"/>
      <c r="AM514" s="26"/>
    </row>
    <row r="515" ht="14.25" customHeight="1">
      <c r="A515" s="26"/>
      <c r="B515" s="84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  <c r="AC515" s="26"/>
      <c r="AD515" s="26"/>
      <c r="AE515" s="26"/>
      <c r="AF515" s="26"/>
      <c r="AG515" s="26"/>
      <c r="AH515" s="26"/>
      <c r="AI515" s="26"/>
      <c r="AJ515" s="26"/>
      <c r="AK515" s="26"/>
      <c r="AL515" s="26"/>
      <c r="AM515" s="26"/>
    </row>
    <row r="516" ht="14.25" customHeight="1">
      <c r="A516" s="26"/>
      <c r="B516" s="84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  <c r="AC516" s="26"/>
      <c r="AD516" s="26"/>
      <c r="AE516" s="26"/>
      <c r="AF516" s="26"/>
      <c r="AG516" s="26"/>
      <c r="AH516" s="26"/>
      <c r="AI516" s="26"/>
      <c r="AJ516" s="26"/>
      <c r="AK516" s="26"/>
      <c r="AL516" s="26"/>
      <c r="AM516" s="26"/>
    </row>
    <row r="517" ht="14.25" customHeight="1">
      <c r="A517" s="26"/>
      <c r="B517" s="84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  <c r="AC517" s="26"/>
      <c r="AD517" s="26"/>
      <c r="AE517" s="26"/>
      <c r="AF517" s="26"/>
      <c r="AG517" s="26"/>
      <c r="AH517" s="26"/>
      <c r="AI517" s="26"/>
      <c r="AJ517" s="26"/>
      <c r="AK517" s="26"/>
      <c r="AL517" s="26"/>
      <c r="AM517" s="26"/>
    </row>
    <row r="518" ht="14.25" customHeight="1">
      <c r="A518" s="26"/>
      <c r="B518" s="84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  <c r="AC518" s="26"/>
      <c r="AD518" s="26"/>
      <c r="AE518" s="26"/>
      <c r="AF518" s="26"/>
      <c r="AG518" s="26"/>
      <c r="AH518" s="26"/>
      <c r="AI518" s="26"/>
      <c r="AJ518" s="26"/>
      <c r="AK518" s="26"/>
      <c r="AL518" s="26"/>
      <c r="AM518" s="26"/>
    </row>
    <row r="519" ht="14.25" customHeight="1">
      <c r="A519" s="26"/>
      <c r="B519" s="84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  <c r="AC519" s="26"/>
      <c r="AD519" s="26"/>
      <c r="AE519" s="26"/>
      <c r="AF519" s="26"/>
      <c r="AG519" s="26"/>
      <c r="AH519" s="26"/>
      <c r="AI519" s="26"/>
      <c r="AJ519" s="26"/>
      <c r="AK519" s="26"/>
      <c r="AL519" s="26"/>
      <c r="AM519" s="26"/>
    </row>
    <row r="520" ht="14.25" customHeight="1">
      <c r="A520" s="26"/>
      <c r="B520" s="84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  <c r="AC520" s="26"/>
      <c r="AD520" s="26"/>
      <c r="AE520" s="26"/>
      <c r="AF520" s="26"/>
      <c r="AG520" s="26"/>
      <c r="AH520" s="26"/>
      <c r="AI520" s="26"/>
      <c r="AJ520" s="26"/>
      <c r="AK520" s="26"/>
      <c r="AL520" s="26"/>
      <c r="AM520" s="26"/>
    </row>
    <row r="521" ht="14.25" customHeight="1">
      <c r="A521" s="26"/>
      <c r="B521" s="84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  <c r="AC521" s="26"/>
      <c r="AD521" s="26"/>
      <c r="AE521" s="26"/>
      <c r="AF521" s="26"/>
      <c r="AG521" s="26"/>
      <c r="AH521" s="26"/>
      <c r="AI521" s="26"/>
      <c r="AJ521" s="26"/>
      <c r="AK521" s="26"/>
      <c r="AL521" s="26"/>
      <c r="AM521" s="26"/>
    </row>
    <row r="522" ht="14.25" customHeight="1">
      <c r="A522" s="26"/>
      <c r="B522" s="84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  <c r="AC522" s="26"/>
      <c r="AD522" s="26"/>
      <c r="AE522" s="26"/>
      <c r="AF522" s="26"/>
      <c r="AG522" s="26"/>
      <c r="AH522" s="26"/>
      <c r="AI522" s="26"/>
      <c r="AJ522" s="26"/>
      <c r="AK522" s="26"/>
      <c r="AL522" s="26"/>
      <c r="AM522" s="26"/>
    </row>
    <row r="523" ht="14.25" customHeight="1">
      <c r="A523" s="26"/>
      <c r="B523" s="84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  <c r="AC523" s="26"/>
      <c r="AD523" s="26"/>
      <c r="AE523" s="26"/>
      <c r="AF523" s="26"/>
      <c r="AG523" s="26"/>
      <c r="AH523" s="26"/>
      <c r="AI523" s="26"/>
      <c r="AJ523" s="26"/>
      <c r="AK523" s="26"/>
      <c r="AL523" s="26"/>
      <c r="AM523" s="26"/>
    </row>
    <row r="524" ht="14.25" customHeight="1">
      <c r="A524" s="26"/>
      <c r="B524" s="84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  <c r="AC524" s="26"/>
      <c r="AD524" s="26"/>
      <c r="AE524" s="26"/>
      <c r="AF524" s="26"/>
      <c r="AG524" s="26"/>
      <c r="AH524" s="26"/>
      <c r="AI524" s="26"/>
      <c r="AJ524" s="26"/>
      <c r="AK524" s="26"/>
      <c r="AL524" s="26"/>
      <c r="AM524" s="26"/>
    </row>
    <row r="525" ht="14.25" customHeight="1">
      <c r="A525" s="26"/>
      <c r="B525" s="84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  <c r="AC525" s="26"/>
      <c r="AD525" s="26"/>
      <c r="AE525" s="26"/>
      <c r="AF525" s="26"/>
      <c r="AG525" s="26"/>
      <c r="AH525" s="26"/>
      <c r="AI525" s="26"/>
      <c r="AJ525" s="26"/>
      <c r="AK525" s="26"/>
      <c r="AL525" s="26"/>
      <c r="AM525" s="26"/>
    </row>
    <row r="526" ht="14.25" customHeight="1">
      <c r="A526" s="26"/>
      <c r="B526" s="84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  <c r="AC526" s="26"/>
      <c r="AD526" s="26"/>
      <c r="AE526" s="26"/>
      <c r="AF526" s="26"/>
      <c r="AG526" s="26"/>
      <c r="AH526" s="26"/>
      <c r="AI526" s="26"/>
      <c r="AJ526" s="26"/>
      <c r="AK526" s="26"/>
      <c r="AL526" s="26"/>
      <c r="AM526" s="26"/>
    </row>
    <row r="527" ht="14.25" customHeight="1">
      <c r="A527" s="26"/>
      <c r="B527" s="84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  <c r="AC527" s="26"/>
      <c r="AD527" s="26"/>
      <c r="AE527" s="26"/>
      <c r="AF527" s="26"/>
      <c r="AG527" s="26"/>
      <c r="AH527" s="26"/>
      <c r="AI527" s="26"/>
      <c r="AJ527" s="26"/>
      <c r="AK527" s="26"/>
      <c r="AL527" s="26"/>
      <c r="AM527" s="26"/>
    </row>
    <row r="528" ht="14.25" customHeight="1">
      <c r="A528" s="26"/>
      <c r="B528" s="84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  <c r="AC528" s="26"/>
      <c r="AD528" s="26"/>
      <c r="AE528" s="26"/>
      <c r="AF528" s="26"/>
      <c r="AG528" s="26"/>
      <c r="AH528" s="26"/>
      <c r="AI528" s="26"/>
      <c r="AJ528" s="26"/>
      <c r="AK528" s="26"/>
      <c r="AL528" s="26"/>
      <c r="AM528" s="26"/>
    </row>
    <row r="529" ht="14.25" customHeight="1">
      <c r="A529" s="26"/>
      <c r="B529" s="84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  <c r="AC529" s="26"/>
      <c r="AD529" s="26"/>
      <c r="AE529" s="26"/>
      <c r="AF529" s="26"/>
      <c r="AG529" s="26"/>
      <c r="AH529" s="26"/>
      <c r="AI529" s="26"/>
      <c r="AJ529" s="26"/>
      <c r="AK529" s="26"/>
      <c r="AL529" s="26"/>
      <c r="AM529" s="26"/>
    </row>
    <row r="530" ht="14.25" customHeight="1">
      <c r="A530" s="26"/>
      <c r="B530" s="84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  <c r="AC530" s="26"/>
      <c r="AD530" s="26"/>
      <c r="AE530" s="26"/>
      <c r="AF530" s="26"/>
      <c r="AG530" s="26"/>
      <c r="AH530" s="26"/>
      <c r="AI530" s="26"/>
      <c r="AJ530" s="26"/>
      <c r="AK530" s="26"/>
      <c r="AL530" s="26"/>
      <c r="AM530" s="26"/>
    </row>
    <row r="531" ht="14.25" customHeight="1">
      <c r="A531" s="26"/>
      <c r="B531" s="84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  <c r="AC531" s="26"/>
      <c r="AD531" s="26"/>
      <c r="AE531" s="26"/>
      <c r="AF531" s="26"/>
      <c r="AG531" s="26"/>
      <c r="AH531" s="26"/>
      <c r="AI531" s="26"/>
      <c r="AJ531" s="26"/>
      <c r="AK531" s="26"/>
      <c r="AL531" s="26"/>
      <c r="AM531" s="26"/>
    </row>
    <row r="532" ht="14.25" customHeight="1">
      <c r="A532" s="26"/>
      <c r="B532" s="84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  <c r="AC532" s="26"/>
      <c r="AD532" s="26"/>
      <c r="AE532" s="26"/>
      <c r="AF532" s="26"/>
      <c r="AG532" s="26"/>
      <c r="AH532" s="26"/>
      <c r="AI532" s="26"/>
      <c r="AJ532" s="26"/>
      <c r="AK532" s="26"/>
      <c r="AL532" s="26"/>
      <c r="AM532" s="26"/>
    </row>
    <row r="533" ht="14.25" customHeight="1">
      <c r="A533" s="26"/>
      <c r="B533" s="84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  <c r="AC533" s="26"/>
      <c r="AD533" s="26"/>
      <c r="AE533" s="26"/>
      <c r="AF533" s="26"/>
      <c r="AG533" s="26"/>
      <c r="AH533" s="26"/>
      <c r="AI533" s="26"/>
      <c r="AJ533" s="26"/>
      <c r="AK533" s="26"/>
      <c r="AL533" s="26"/>
      <c r="AM533" s="26"/>
    </row>
    <row r="534" ht="14.25" customHeight="1">
      <c r="A534" s="26"/>
      <c r="B534" s="84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  <c r="AC534" s="26"/>
      <c r="AD534" s="26"/>
      <c r="AE534" s="26"/>
      <c r="AF534" s="26"/>
      <c r="AG534" s="26"/>
      <c r="AH534" s="26"/>
      <c r="AI534" s="26"/>
      <c r="AJ534" s="26"/>
      <c r="AK534" s="26"/>
      <c r="AL534" s="26"/>
      <c r="AM534" s="26"/>
    </row>
    <row r="535" ht="14.25" customHeight="1">
      <c r="A535" s="26"/>
      <c r="B535" s="84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  <c r="AC535" s="26"/>
      <c r="AD535" s="26"/>
      <c r="AE535" s="26"/>
      <c r="AF535" s="26"/>
      <c r="AG535" s="26"/>
      <c r="AH535" s="26"/>
      <c r="AI535" s="26"/>
      <c r="AJ535" s="26"/>
      <c r="AK535" s="26"/>
      <c r="AL535" s="26"/>
      <c r="AM535" s="26"/>
    </row>
    <row r="536" ht="14.25" customHeight="1">
      <c r="A536" s="26"/>
      <c r="B536" s="84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  <c r="AC536" s="26"/>
      <c r="AD536" s="26"/>
      <c r="AE536" s="26"/>
      <c r="AF536" s="26"/>
      <c r="AG536" s="26"/>
      <c r="AH536" s="26"/>
      <c r="AI536" s="26"/>
      <c r="AJ536" s="26"/>
      <c r="AK536" s="26"/>
      <c r="AL536" s="26"/>
      <c r="AM536" s="26"/>
    </row>
    <row r="537" ht="14.25" customHeight="1">
      <c r="A537" s="26"/>
      <c r="B537" s="84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  <c r="AC537" s="26"/>
      <c r="AD537" s="26"/>
      <c r="AE537" s="26"/>
      <c r="AF537" s="26"/>
      <c r="AG537" s="26"/>
      <c r="AH537" s="26"/>
      <c r="AI537" s="26"/>
      <c r="AJ537" s="26"/>
      <c r="AK537" s="26"/>
      <c r="AL537" s="26"/>
      <c r="AM537" s="26"/>
    </row>
    <row r="538" ht="14.25" customHeight="1">
      <c r="A538" s="26"/>
      <c r="B538" s="84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  <c r="AC538" s="26"/>
      <c r="AD538" s="26"/>
      <c r="AE538" s="26"/>
      <c r="AF538" s="26"/>
      <c r="AG538" s="26"/>
      <c r="AH538" s="26"/>
      <c r="AI538" s="26"/>
      <c r="AJ538" s="26"/>
      <c r="AK538" s="26"/>
      <c r="AL538" s="26"/>
      <c r="AM538" s="26"/>
    </row>
    <row r="539" ht="14.25" customHeight="1">
      <c r="A539" s="26"/>
      <c r="B539" s="84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  <c r="AC539" s="26"/>
      <c r="AD539" s="26"/>
      <c r="AE539" s="26"/>
      <c r="AF539" s="26"/>
      <c r="AG539" s="26"/>
      <c r="AH539" s="26"/>
      <c r="AI539" s="26"/>
      <c r="AJ539" s="26"/>
      <c r="AK539" s="26"/>
      <c r="AL539" s="26"/>
      <c r="AM539" s="26"/>
    </row>
    <row r="540" ht="14.25" customHeight="1">
      <c r="A540" s="26"/>
      <c r="B540" s="84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  <c r="AC540" s="26"/>
      <c r="AD540" s="26"/>
      <c r="AE540" s="26"/>
      <c r="AF540" s="26"/>
      <c r="AG540" s="26"/>
      <c r="AH540" s="26"/>
      <c r="AI540" s="26"/>
      <c r="AJ540" s="26"/>
      <c r="AK540" s="26"/>
      <c r="AL540" s="26"/>
      <c r="AM540" s="26"/>
    </row>
    <row r="541" ht="14.25" customHeight="1">
      <c r="A541" s="26"/>
      <c r="B541" s="84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  <c r="AC541" s="26"/>
      <c r="AD541" s="26"/>
      <c r="AE541" s="26"/>
      <c r="AF541" s="26"/>
      <c r="AG541" s="26"/>
      <c r="AH541" s="26"/>
      <c r="AI541" s="26"/>
      <c r="AJ541" s="26"/>
      <c r="AK541" s="26"/>
      <c r="AL541" s="26"/>
      <c r="AM541" s="26"/>
    </row>
    <row r="542" ht="14.25" customHeight="1">
      <c r="A542" s="26"/>
      <c r="B542" s="84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  <c r="AC542" s="26"/>
      <c r="AD542" s="26"/>
      <c r="AE542" s="26"/>
      <c r="AF542" s="26"/>
      <c r="AG542" s="26"/>
      <c r="AH542" s="26"/>
      <c r="AI542" s="26"/>
      <c r="AJ542" s="26"/>
      <c r="AK542" s="26"/>
      <c r="AL542" s="26"/>
      <c r="AM542" s="26"/>
    </row>
    <row r="543" ht="14.25" customHeight="1">
      <c r="A543" s="26"/>
      <c r="B543" s="84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  <c r="AC543" s="26"/>
      <c r="AD543" s="26"/>
      <c r="AE543" s="26"/>
      <c r="AF543" s="26"/>
      <c r="AG543" s="26"/>
      <c r="AH543" s="26"/>
      <c r="AI543" s="26"/>
      <c r="AJ543" s="26"/>
      <c r="AK543" s="26"/>
      <c r="AL543" s="26"/>
      <c r="AM543" s="26"/>
    </row>
    <row r="544" ht="14.25" customHeight="1">
      <c r="A544" s="26"/>
      <c r="B544" s="84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  <c r="AC544" s="26"/>
      <c r="AD544" s="26"/>
      <c r="AE544" s="26"/>
      <c r="AF544" s="26"/>
      <c r="AG544" s="26"/>
      <c r="AH544" s="26"/>
      <c r="AI544" s="26"/>
      <c r="AJ544" s="26"/>
      <c r="AK544" s="26"/>
      <c r="AL544" s="26"/>
      <c r="AM544" s="26"/>
    </row>
    <row r="545" ht="14.25" customHeight="1">
      <c r="A545" s="26"/>
      <c r="B545" s="84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  <c r="AC545" s="26"/>
      <c r="AD545" s="26"/>
      <c r="AE545" s="26"/>
      <c r="AF545" s="26"/>
      <c r="AG545" s="26"/>
      <c r="AH545" s="26"/>
      <c r="AI545" s="26"/>
      <c r="AJ545" s="26"/>
      <c r="AK545" s="26"/>
      <c r="AL545" s="26"/>
      <c r="AM545" s="26"/>
    </row>
    <row r="546" ht="14.25" customHeight="1">
      <c r="A546" s="26"/>
      <c r="B546" s="84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  <c r="AC546" s="26"/>
      <c r="AD546" s="26"/>
      <c r="AE546" s="26"/>
      <c r="AF546" s="26"/>
      <c r="AG546" s="26"/>
      <c r="AH546" s="26"/>
      <c r="AI546" s="26"/>
      <c r="AJ546" s="26"/>
      <c r="AK546" s="26"/>
      <c r="AL546" s="26"/>
      <c r="AM546" s="26"/>
    </row>
    <row r="547" ht="14.25" customHeight="1">
      <c r="A547" s="26"/>
      <c r="B547" s="84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  <c r="AC547" s="26"/>
      <c r="AD547" s="26"/>
      <c r="AE547" s="26"/>
      <c r="AF547" s="26"/>
      <c r="AG547" s="26"/>
      <c r="AH547" s="26"/>
      <c r="AI547" s="26"/>
      <c r="AJ547" s="26"/>
      <c r="AK547" s="26"/>
      <c r="AL547" s="26"/>
      <c r="AM547" s="26"/>
    </row>
    <row r="548" ht="14.25" customHeight="1">
      <c r="A548" s="26"/>
      <c r="B548" s="84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  <c r="AC548" s="26"/>
      <c r="AD548" s="26"/>
      <c r="AE548" s="26"/>
      <c r="AF548" s="26"/>
      <c r="AG548" s="26"/>
      <c r="AH548" s="26"/>
      <c r="AI548" s="26"/>
      <c r="AJ548" s="26"/>
      <c r="AK548" s="26"/>
      <c r="AL548" s="26"/>
      <c r="AM548" s="26"/>
    </row>
    <row r="549" ht="14.25" customHeight="1">
      <c r="A549" s="26"/>
      <c r="B549" s="84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  <c r="AC549" s="26"/>
      <c r="AD549" s="26"/>
      <c r="AE549" s="26"/>
      <c r="AF549" s="26"/>
      <c r="AG549" s="26"/>
      <c r="AH549" s="26"/>
      <c r="AI549" s="26"/>
      <c r="AJ549" s="26"/>
      <c r="AK549" s="26"/>
      <c r="AL549" s="26"/>
      <c r="AM549" s="26"/>
    </row>
    <row r="550" ht="14.25" customHeight="1">
      <c r="A550" s="26"/>
      <c r="B550" s="84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  <c r="AC550" s="26"/>
      <c r="AD550" s="26"/>
      <c r="AE550" s="26"/>
      <c r="AF550" s="26"/>
      <c r="AG550" s="26"/>
      <c r="AH550" s="26"/>
      <c r="AI550" s="26"/>
      <c r="AJ550" s="26"/>
      <c r="AK550" s="26"/>
      <c r="AL550" s="26"/>
      <c r="AM550" s="26"/>
    </row>
    <row r="551" ht="14.25" customHeight="1">
      <c r="A551" s="26"/>
      <c r="B551" s="84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  <c r="AC551" s="26"/>
      <c r="AD551" s="26"/>
      <c r="AE551" s="26"/>
      <c r="AF551" s="26"/>
      <c r="AG551" s="26"/>
      <c r="AH551" s="26"/>
      <c r="AI551" s="26"/>
      <c r="AJ551" s="26"/>
      <c r="AK551" s="26"/>
      <c r="AL551" s="26"/>
      <c r="AM551" s="26"/>
    </row>
    <row r="552" ht="14.25" customHeight="1">
      <c r="A552" s="26"/>
      <c r="B552" s="84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  <c r="AC552" s="26"/>
      <c r="AD552" s="26"/>
      <c r="AE552" s="26"/>
      <c r="AF552" s="26"/>
      <c r="AG552" s="26"/>
      <c r="AH552" s="26"/>
      <c r="AI552" s="26"/>
      <c r="AJ552" s="26"/>
      <c r="AK552" s="26"/>
      <c r="AL552" s="26"/>
      <c r="AM552" s="26"/>
    </row>
    <row r="553" ht="14.25" customHeight="1">
      <c r="A553" s="26"/>
      <c r="B553" s="84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  <c r="AC553" s="26"/>
      <c r="AD553" s="26"/>
      <c r="AE553" s="26"/>
      <c r="AF553" s="26"/>
      <c r="AG553" s="26"/>
      <c r="AH553" s="26"/>
      <c r="AI553" s="26"/>
      <c r="AJ553" s="26"/>
      <c r="AK553" s="26"/>
      <c r="AL553" s="26"/>
      <c r="AM553" s="26"/>
    </row>
    <row r="554" ht="14.25" customHeight="1">
      <c r="A554" s="26"/>
      <c r="B554" s="84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  <c r="AC554" s="26"/>
      <c r="AD554" s="26"/>
      <c r="AE554" s="26"/>
      <c r="AF554" s="26"/>
      <c r="AG554" s="26"/>
      <c r="AH554" s="26"/>
      <c r="AI554" s="26"/>
      <c r="AJ554" s="26"/>
      <c r="AK554" s="26"/>
      <c r="AL554" s="26"/>
      <c r="AM554" s="26"/>
    </row>
    <row r="555" ht="14.25" customHeight="1">
      <c r="A555" s="26"/>
      <c r="B555" s="84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  <c r="AC555" s="26"/>
      <c r="AD555" s="26"/>
      <c r="AE555" s="26"/>
      <c r="AF555" s="26"/>
      <c r="AG555" s="26"/>
      <c r="AH555" s="26"/>
      <c r="AI555" s="26"/>
      <c r="AJ555" s="26"/>
      <c r="AK555" s="26"/>
      <c r="AL555" s="26"/>
      <c r="AM555" s="26"/>
    </row>
    <row r="556" ht="14.25" customHeight="1">
      <c r="A556" s="26"/>
      <c r="B556" s="84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  <c r="AC556" s="26"/>
      <c r="AD556" s="26"/>
      <c r="AE556" s="26"/>
      <c r="AF556" s="26"/>
      <c r="AG556" s="26"/>
      <c r="AH556" s="26"/>
      <c r="AI556" s="26"/>
      <c r="AJ556" s="26"/>
      <c r="AK556" s="26"/>
      <c r="AL556" s="26"/>
      <c r="AM556" s="26"/>
    </row>
    <row r="557" ht="14.25" customHeight="1">
      <c r="A557" s="26"/>
      <c r="B557" s="84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  <c r="AC557" s="26"/>
      <c r="AD557" s="26"/>
      <c r="AE557" s="26"/>
      <c r="AF557" s="26"/>
      <c r="AG557" s="26"/>
      <c r="AH557" s="26"/>
      <c r="AI557" s="26"/>
      <c r="AJ557" s="26"/>
      <c r="AK557" s="26"/>
      <c r="AL557" s="26"/>
      <c r="AM557" s="26"/>
    </row>
    <row r="558" ht="14.25" customHeight="1">
      <c r="A558" s="26"/>
      <c r="B558" s="84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  <c r="AC558" s="26"/>
      <c r="AD558" s="26"/>
      <c r="AE558" s="26"/>
      <c r="AF558" s="26"/>
      <c r="AG558" s="26"/>
      <c r="AH558" s="26"/>
      <c r="AI558" s="26"/>
      <c r="AJ558" s="26"/>
      <c r="AK558" s="26"/>
      <c r="AL558" s="26"/>
      <c r="AM558" s="26"/>
    </row>
    <row r="559" ht="14.25" customHeight="1">
      <c r="A559" s="26"/>
      <c r="B559" s="84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  <c r="AB559" s="26"/>
      <c r="AC559" s="26"/>
      <c r="AD559" s="26"/>
      <c r="AE559" s="26"/>
      <c r="AF559" s="26"/>
      <c r="AG559" s="26"/>
      <c r="AH559" s="26"/>
      <c r="AI559" s="26"/>
      <c r="AJ559" s="26"/>
      <c r="AK559" s="26"/>
      <c r="AL559" s="26"/>
      <c r="AM559" s="26"/>
    </row>
    <row r="560" ht="14.25" customHeight="1">
      <c r="A560" s="26"/>
      <c r="B560" s="84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  <c r="AC560" s="26"/>
      <c r="AD560" s="26"/>
      <c r="AE560" s="26"/>
      <c r="AF560" s="26"/>
      <c r="AG560" s="26"/>
      <c r="AH560" s="26"/>
      <c r="AI560" s="26"/>
      <c r="AJ560" s="26"/>
      <c r="AK560" s="26"/>
      <c r="AL560" s="26"/>
      <c r="AM560" s="26"/>
    </row>
    <row r="561" ht="14.25" customHeight="1">
      <c r="A561" s="26"/>
      <c r="B561" s="84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  <c r="AC561" s="26"/>
      <c r="AD561" s="26"/>
      <c r="AE561" s="26"/>
      <c r="AF561" s="26"/>
      <c r="AG561" s="26"/>
      <c r="AH561" s="26"/>
      <c r="AI561" s="26"/>
      <c r="AJ561" s="26"/>
      <c r="AK561" s="26"/>
      <c r="AL561" s="26"/>
      <c r="AM561" s="26"/>
    </row>
    <row r="562" ht="14.25" customHeight="1">
      <c r="A562" s="26"/>
      <c r="B562" s="84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  <c r="AC562" s="26"/>
      <c r="AD562" s="26"/>
      <c r="AE562" s="26"/>
      <c r="AF562" s="26"/>
      <c r="AG562" s="26"/>
      <c r="AH562" s="26"/>
      <c r="AI562" s="26"/>
      <c r="AJ562" s="26"/>
      <c r="AK562" s="26"/>
      <c r="AL562" s="26"/>
      <c r="AM562" s="26"/>
    </row>
    <row r="563" ht="14.25" customHeight="1">
      <c r="A563" s="26"/>
      <c r="B563" s="84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  <c r="AC563" s="26"/>
      <c r="AD563" s="26"/>
      <c r="AE563" s="26"/>
      <c r="AF563" s="26"/>
      <c r="AG563" s="26"/>
      <c r="AH563" s="26"/>
      <c r="AI563" s="26"/>
      <c r="AJ563" s="26"/>
      <c r="AK563" s="26"/>
      <c r="AL563" s="26"/>
      <c r="AM563" s="26"/>
    </row>
    <row r="564" ht="14.25" customHeight="1">
      <c r="A564" s="26"/>
      <c r="B564" s="84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  <c r="AC564" s="26"/>
      <c r="AD564" s="26"/>
      <c r="AE564" s="26"/>
      <c r="AF564" s="26"/>
      <c r="AG564" s="26"/>
      <c r="AH564" s="26"/>
      <c r="AI564" s="26"/>
      <c r="AJ564" s="26"/>
      <c r="AK564" s="26"/>
      <c r="AL564" s="26"/>
      <c r="AM564" s="26"/>
    </row>
    <row r="565" ht="14.25" customHeight="1">
      <c r="A565" s="26"/>
      <c r="B565" s="84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  <c r="AC565" s="26"/>
      <c r="AD565" s="26"/>
      <c r="AE565" s="26"/>
      <c r="AF565" s="26"/>
      <c r="AG565" s="26"/>
      <c r="AH565" s="26"/>
      <c r="AI565" s="26"/>
      <c r="AJ565" s="26"/>
      <c r="AK565" s="26"/>
      <c r="AL565" s="26"/>
      <c r="AM565" s="26"/>
    </row>
    <row r="566" ht="14.25" customHeight="1">
      <c r="A566" s="26"/>
      <c r="B566" s="84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  <c r="AC566" s="26"/>
      <c r="AD566" s="26"/>
      <c r="AE566" s="26"/>
      <c r="AF566" s="26"/>
      <c r="AG566" s="26"/>
      <c r="AH566" s="26"/>
      <c r="AI566" s="26"/>
      <c r="AJ566" s="26"/>
      <c r="AK566" s="26"/>
      <c r="AL566" s="26"/>
      <c r="AM566" s="26"/>
    </row>
    <row r="567" ht="14.25" customHeight="1">
      <c r="A567" s="26"/>
      <c r="B567" s="84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26"/>
      <c r="AB567" s="26"/>
      <c r="AC567" s="26"/>
      <c r="AD567" s="26"/>
      <c r="AE567" s="26"/>
      <c r="AF567" s="26"/>
      <c r="AG567" s="26"/>
      <c r="AH567" s="26"/>
      <c r="AI567" s="26"/>
      <c r="AJ567" s="26"/>
      <c r="AK567" s="26"/>
      <c r="AL567" s="26"/>
      <c r="AM567" s="26"/>
    </row>
    <row r="568" ht="14.25" customHeight="1">
      <c r="A568" s="26"/>
      <c r="B568" s="84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  <c r="AC568" s="26"/>
      <c r="AD568" s="26"/>
      <c r="AE568" s="26"/>
      <c r="AF568" s="26"/>
      <c r="AG568" s="26"/>
      <c r="AH568" s="26"/>
      <c r="AI568" s="26"/>
      <c r="AJ568" s="26"/>
      <c r="AK568" s="26"/>
      <c r="AL568" s="26"/>
      <c r="AM568" s="26"/>
    </row>
    <row r="569" ht="14.25" customHeight="1">
      <c r="A569" s="26"/>
      <c r="B569" s="84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A569" s="26"/>
      <c r="AB569" s="26"/>
      <c r="AC569" s="26"/>
      <c r="AD569" s="26"/>
      <c r="AE569" s="26"/>
      <c r="AF569" s="26"/>
      <c r="AG569" s="26"/>
      <c r="AH569" s="26"/>
      <c r="AI569" s="26"/>
      <c r="AJ569" s="26"/>
      <c r="AK569" s="26"/>
      <c r="AL569" s="26"/>
      <c r="AM569" s="26"/>
    </row>
    <row r="570" ht="14.25" customHeight="1">
      <c r="A570" s="26"/>
      <c r="B570" s="84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  <c r="AC570" s="26"/>
      <c r="AD570" s="26"/>
      <c r="AE570" s="26"/>
      <c r="AF570" s="26"/>
      <c r="AG570" s="26"/>
      <c r="AH570" s="26"/>
      <c r="AI570" s="26"/>
      <c r="AJ570" s="26"/>
      <c r="AK570" s="26"/>
      <c r="AL570" s="26"/>
      <c r="AM570" s="26"/>
    </row>
    <row r="571" ht="14.25" customHeight="1">
      <c r="A571" s="26"/>
      <c r="B571" s="84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  <c r="AC571" s="26"/>
      <c r="AD571" s="26"/>
      <c r="AE571" s="26"/>
      <c r="AF571" s="26"/>
      <c r="AG571" s="26"/>
      <c r="AH571" s="26"/>
      <c r="AI571" s="26"/>
      <c r="AJ571" s="26"/>
      <c r="AK571" s="26"/>
      <c r="AL571" s="26"/>
      <c r="AM571" s="26"/>
    </row>
    <row r="572" ht="14.25" customHeight="1">
      <c r="A572" s="26"/>
      <c r="B572" s="84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  <c r="AC572" s="26"/>
      <c r="AD572" s="26"/>
      <c r="AE572" s="26"/>
      <c r="AF572" s="26"/>
      <c r="AG572" s="26"/>
      <c r="AH572" s="26"/>
      <c r="AI572" s="26"/>
      <c r="AJ572" s="26"/>
      <c r="AK572" s="26"/>
      <c r="AL572" s="26"/>
      <c r="AM572" s="26"/>
    </row>
    <row r="573" ht="14.25" customHeight="1">
      <c r="A573" s="26"/>
      <c r="B573" s="84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26"/>
      <c r="AB573" s="26"/>
      <c r="AC573" s="26"/>
      <c r="AD573" s="26"/>
      <c r="AE573" s="26"/>
      <c r="AF573" s="26"/>
      <c r="AG573" s="26"/>
      <c r="AH573" s="26"/>
      <c r="AI573" s="26"/>
      <c r="AJ573" s="26"/>
      <c r="AK573" s="26"/>
      <c r="AL573" s="26"/>
      <c r="AM573" s="26"/>
    </row>
    <row r="574" ht="14.25" customHeight="1">
      <c r="A574" s="26"/>
      <c r="B574" s="84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  <c r="AC574" s="26"/>
      <c r="AD574" s="26"/>
      <c r="AE574" s="26"/>
      <c r="AF574" s="26"/>
      <c r="AG574" s="26"/>
      <c r="AH574" s="26"/>
      <c r="AI574" s="26"/>
      <c r="AJ574" s="26"/>
      <c r="AK574" s="26"/>
      <c r="AL574" s="26"/>
      <c r="AM574" s="26"/>
    </row>
    <row r="575" ht="14.25" customHeight="1">
      <c r="A575" s="26"/>
      <c r="B575" s="84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26"/>
      <c r="AB575" s="26"/>
      <c r="AC575" s="26"/>
      <c r="AD575" s="26"/>
      <c r="AE575" s="26"/>
      <c r="AF575" s="26"/>
      <c r="AG575" s="26"/>
      <c r="AH575" s="26"/>
      <c r="AI575" s="26"/>
      <c r="AJ575" s="26"/>
      <c r="AK575" s="26"/>
      <c r="AL575" s="26"/>
      <c r="AM575" s="26"/>
    </row>
    <row r="576" ht="14.25" customHeight="1">
      <c r="A576" s="26"/>
      <c r="B576" s="84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  <c r="AC576" s="26"/>
      <c r="AD576" s="26"/>
      <c r="AE576" s="26"/>
      <c r="AF576" s="26"/>
      <c r="AG576" s="26"/>
      <c r="AH576" s="26"/>
      <c r="AI576" s="26"/>
      <c r="AJ576" s="26"/>
      <c r="AK576" s="26"/>
      <c r="AL576" s="26"/>
      <c r="AM576" s="26"/>
    </row>
    <row r="577" ht="14.25" customHeight="1">
      <c r="A577" s="26"/>
      <c r="B577" s="84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  <c r="AA577" s="26"/>
      <c r="AB577" s="26"/>
      <c r="AC577" s="26"/>
      <c r="AD577" s="26"/>
      <c r="AE577" s="26"/>
      <c r="AF577" s="26"/>
      <c r="AG577" s="26"/>
      <c r="AH577" s="26"/>
      <c r="AI577" s="26"/>
      <c r="AJ577" s="26"/>
      <c r="AK577" s="26"/>
      <c r="AL577" s="26"/>
      <c r="AM577" s="26"/>
    </row>
    <row r="578" ht="14.25" customHeight="1">
      <c r="A578" s="26"/>
      <c r="B578" s="84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  <c r="AC578" s="26"/>
      <c r="AD578" s="26"/>
      <c r="AE578" s="26"/>
      <c r="AF578" s="26"/>
      <c r="AG578" s="26"/>
      <c r="AH578" s="26"/>
      <c r="AI578" s="26"/>
      <c r="AJ578" s="26"/>
      <c r="AK578" s="26"/>
      <c r="AL578" s="26"/>
      <c r="AM578" s="26"/>
    </row>
    <row r="579" ht="14.25" customHeight="1">
      <c r="A579" s="26"/>
      <c r="B579" s="84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  <c r="AC579" s="26"/>
      <c r="AD579" s="26"/>
      <c r="AE579" s="26"/>
      <c r="AF579" s="26"/>
      <c r="AG579" s="26"/>
      <c r="AH579" s="26"/>
      <c r="AI579" s="26"/>
      <c r="AJ579" s="26"/>
      <c r="AK579" s="26"/>
      <c r="AL579" s="26"/>
      <c r="AM579" s="26"/>
    </row>
    <row r="580" ht="14.25" customHeight="1">
      <c r="A580" s="26"/>
      <c r="B580" s="84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  <c r="AC580" s="26"/>
      <c r="AD580" s="26"/>
      <c r="AE580" s="26"/>
      <c r="AF580" s="26"/>
      <c r="AG580" s="26"/>
      <c r="AH580" s="26"/>
      <c r="AI580" s="26"/>
      <c r="AJ580" s="26"/>
      <c r="AK580" s="26"/>
      <c r="AL580" s="26"/>
      <c r="AM580" s="26"/>
    </row>
    <row r="581" ht="14.25" customHeight="1">
      <c r="A581" s="26"/>
      <c r="B581" s="84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  <c r="AC581" s="26"/>
      <c r="AD581" s="26"/>
      <c r="AE581" s="26"/>
      <c r="AF581" s="26"/>
      <c r="AG581" s="26"/>
      <c r="AH581" s="26"/>
      <c r="AI581" s="26"/>
      <c r="AJ581" s="26"/>
      <c r="AK581" s="26"/>
      <c r="AL581" s="26"/>
      <c r="AM581" s="26"/>
    </row>
    <row r="582" ht="14.25" customHeight="1">
      <c r="A582" s="26"/>
      <c r="B582" s="84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  <c r="AC582" s="26"/>
      <c r="AD582" s="26"/>
      <c r="AE582" s="26"/>
      <c r="AF582" s="26"/>
      <c r="AG582" s="26"/>
      <c r="AH582" s="26"/>
      <c r="AI582" s="26"/>
      <c r="AJ582" s="26"/>
      <c r="AK582" s="26"/>
      <c r="AL582" s="26"/>
      <c r="AM582" s="26"/>
    </row>
    <row r="583" ht="14.25" customHeight="1">
      <c r="A583" s="26"/>
      <c r="B583" s="84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  <c r="AB583" s="26"/>
      <c r="AC583" s="26"/>
      <c r="AD583" s="26"/>
      <c r="AE583" s="26"/>
      <c r="AF583" s="26"/>
      <c r="AG583" s="26"/>
      <c r="AH583" s="26"/>
      <c r="AI583" s="26"/>
      <c r="AJ583" s="26"/>
      <c r="AK583" s="26"/>
      <c r="AL583" s="26"/>
      <c r="AM583" s="26"/>
    </row>
    <row r="584" ht="14.25" customHeight="1">
      <c r="A584" s="26"/>
      <c r="B584" s="84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  <c r="AC584" s="26"/>
      <c r="AD584" s="26"/>
      <c r="AE584" s="26"/>
      <c r="AF584" s="26"/>
      <c r="AG584" s="26"/>
      <c r="AH584" s="26"/>
      <c r="AI584" s="26"/>
      <c r="AJ584" s="26"/>
      <c r="AK584" s="26"/>
      <c r="AL584" s="26"/>
      <c r="AM584" s="26"/>
    </row>
    <row r="585" ht="14.25" customHeight="1">
      <c r="A585" s="26"/>
      <c r="B585" s="84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/>
      <c r="AB585" s="26"/>
      <c r="AC585" s="26"/>
      <c r="AD585" s="26"/>
      <c r="AE585" s="26"/>
      <c r="AF585" s="26"/>
      <c r="AG585" s="26"/>
      <c r="AH585" s="26"/>
      <c r="AI585" s="26"/>
      <c r="AJ585" s="26"/>
      <c r="AK585" s="26"/>
      <c r="AL585" s="26"/>
      <c r="AM585" s="26"/>
    </row>
    <row r="586" ht="14.25" customHeight="1">
      <c r="A586" s="26"/>
      <c r="B586" s="84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  <c r="AC586" s="26"/>
      <c r="AD586" s="26"/>
      <c r="AE586" s="26"/>
      <c r="AF586" s="26"/>
      <c r="AG586" s="26"/>
      <c r="AH586" s="26"/>
      <c r="AI586" s="26"/>
      <c r="AJ586" s="26"/>
      <c r="AK586" s="26"/>
      <c r="AL586" s="26"/>
      <c r="AM586" s="26"/>
    </row>
    <row r="587" ht="14.25" customHeight="1">
      <c r="A587" s="26"/>
      <c r="B587" s="84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  <c r="AC587" s="26"/>
      <c r="AD587" s="26"/>
      <c r="AE587" s="26"/>
      <c r="AF587" s="26"/>
      <c r="AG587" s="26"/>
      <c r="AH587" s="26"/>
      <c r="AI587" s="26"/>
      <c r="AJ587" s="26"/>
      <c r="AK587" s="26"/>
      <c r="AL587" s="26"/>
      <c r="AM587" s="26"/>
    </row>
    <row r="588" ht="14.25" customHeight="1">
      <c r="A588" s="26"/>
      <c r="B588" s="84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  <c r="AC588" s="26"/>
      <c r="AD588" s="26"/>
      <c r="AE588" s="26"/>
      <c r="AF588" s="26"/>
      <c r="AG588" s="26"/>
      <c r="AH588" s="26"/>
      <c r="AI588" s="26"/>
      <c r="AJ588" s="26"/>
      <c r="AK588" s="26"/>
      <c r="AL588" s="26"/>
      <c r="AM588" s="26"/>
    </row>
    <row r="589" ht="14.25" customHeight="1">
      <c r="A589" s="26"/>
      <c r="B589" s="84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/>
      <c r="AB589" s="26"/>
      <c r="AC589" s="26"/>
      <c r="AD589" s="26"/>
      <c r="AE589" s="26"/>
      <c r="AF589" s="26"/>
      <c r="AG589" s="26"/>
      <c r="AH589" s="26"/>
      <c r="AI589" s="26"/>
      <c r="AJ589" s="26"/>
      <c r="AK589" s="26"/>
      <c r="AL589" s="26"/>
      <c r="AM589" s="26"/>
    </row>
    <row r="590" ht="14.25" customHeight="1">
      <c r="A590" s="26"/>
      <c r="B590" s="84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  <c r="AC590" s="26"/>
      <c r="AD590" s="26"/>
      <c r="AE590" s="26"/>
      <c r="AF590" s="26"/>
      <c r="AG590" s="26"/>
      <c r="AH590" s="26"/>
      <c r="AI590" s="26"/>
      <c r="AJ590" s="26"/>
      <c r="AK590" s="26"/>
      <c r="AL590" s="26"/>
      <c r="AM590" s="26"/>
    </row>
    <row r="591" ht="14.25" customHeight="1">
      <c r="A591" s="26"/>
      <c r="B591" s="84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  <c r="AB591" s="26"/>
      <c r="AC591" s="26"/>
      <c r="AD591" s="26"/>
      <c r="AE591" s="26"/>
      <c r="AF591" s="26"/>
      <c r="AG591" s="26"/>
      <c r="AH591" s="26"/>
      <c r="AI591" s="26"/>
      <c r="AJ591" s="26"/>
      <c r="AK591" s="26"/>
      <c r="AL591" s="26"/>
      <c r="AM591" s="26"/>
    </row>
    <row r="592" ht="14.25" customHeight="1">
      <c r="A592" s="26"/>
      <c r="B592" s="84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  <c r="AC592" s="26"/>
      <c r="AD592" s="26"/>
      <c r="AE592" s="26"/>
      <c r="AF592" s="26"/>
      <c r="AG592" s="26"/>
      <c r="AH592" s="26"/>
      <c r="AI592" s="26"/>
      <c r="AJ592" s="26"/>
      <c r="AK592" s="26"/>
      <c r="AL592" s="26"/>
      <c r="AM592" s="26"/>
    </row>
    <row r="593" ht="14.25" customHeight="1">
      <c r="A593" s="26"/>
      <c r="B593" s="84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26"/>
      <c r="AB593" s="26"/>
      <c r="AC593" s="26"/>
      <c r="AD593" s="26"/>
      <c r="AE593" s="26"/>
      <c r="AF593" s="26"/>
      <c r="AG593" s="26"/>
      <c r="AH593" s="26"/>
      <c r="AI593" s="26"/>
      <c r="AJ593" s="26"/>
      <c r="AK593" s="26"/>
      <c r="AL593" s="26"/>
      <c r="AM593" s="26"/>
    </row>
    <row r="594" ht="14.25" customHeight="1">
      <c r="A594" s="26"/>
      <c r="B594" s="84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  <c r="AC594" s="26"/>
      <c r="AD594" s="26"/>
      <c r="AE594" s="26"/>
      <c r="AF594" s="26"/>
      <c r="AG594" s="26"/>
      <c r="AH594" s="26"/>
      <c r="AI594" s="26"/>
      <c r="AJ594" s="26"/>
      <c r="AK594" s="26"/>
      <c r="AL594" s="26"/>
      <c r="AM594" s="26"/>
    </row>
    <row r="595" ht="14.25" customHeight="1">
      <c r="A595" s="26"/>
      <c r="B595" s="84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26"/>
      <c r="AB595" s="26"/>
      <c r="AC595" s="26"/>
      <c r="AD595" s="26"/>
      <c r="AE595" s="26"/>
      <c r="AF595" s="26"/>
      <c r="AG595" s="26"/>
      <c r="AH595" s="26"/>
      <c r="AI595" s="26"/>
      <c r="AJ595" s="26"/>
      <c r="AK595" s="26"/>
      <c r="AL595" s="26"/>
      <c r="AM595" s="26"/>
    </row>
    <row r="596" ht="14.25" customHeight="1">
      <c r="A596" s="26"/>
      <c r="B596" s="84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  <c r="AC596" s="26"/>
      <c r="AD596" s="26"/>
      <c r="AE596" s="26"/>
      <c r="AF596" s="26"/>
      <c r="AG596" s="26"/>
      <c r="AH596" s="26"/>
      <c r="AI596" s="26"/>
      <c r="AJ596" s="26"/>
      <c r="AK596" s="26"/>
      <c r="AL596" s="26"/>
      <c r="AM596" s="26"/>
    </row>
    <row r="597" ht="14.25" customHeight="1">
      <c r="A597" s="26"/>
      <c r="B597" s="84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  <c r="AC597" s="26"/>
      <c r="AD597" s="26"/>
      <c r="AE597" s="26"/>
      <c r="AF597" s="26"/>
      <c r="AG597" s="26"/>
      <c r="AH597" s="26"/>
      <c r="AI597" s="26"/>
      <c r="AJ597" s="26"/>
      <c r="AK597" s="26"/>
      <c r="AL597" s="26"/>
      <c r="AM597" s="26"/>
    </row>
    <row r="598" ht="14.25" customHeight="1">
      <c r="A598" s="26"/>
      <c r="B598" s="84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  <c r="AC598" s="26"/>
      <c r="AD598" s="26"/>
      <c r="AE598" s="26"/>
      <c r="AF598" s="26"/>
      <c r="AG598" s="26"/>
      <c r="AH598" s="26"/>
      <c r="AI598" s="26"/>
      <c r="AJ598" s="26"/>
      <c r="AK598" s="26"/>
      <c r="AL598" s="26"/>
      <c r="AM598" s="26"/>
    </row>
    <row r="599" ht="14.25" customHeight="1">
      <c r="A599" s="26"/>
      <c r="B599" s="84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  <c r="AB599" s="26"/>
      <c r="AC599" s="26"/>
      <c r="AD599" s="26"/>
      <c r="AE599" s="26"/>
      <c r="AF599" s="26"/>
      <c r="AG599" s="26"/>
      <c r="AH599" s="26"/>
      <c r="AI599" s="26"/>
      <c r="AJ599" s="26"/>
      <c r="AK599" s="26"/>
      <c r="AL599" s="26"/>
      <c r="AM599" s="26"/>
    </row>
    <row r="600" ht="14.25" customHeight="1">
      <c r="A600" s="26"/>
      <c r="B600" s="84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  <c r="AC600" s="26"/>
      <c r="AD600" s="26"/>
      <c r="AE600" s="26"/>
      <c r="AF600" s="26"/>
      <c r="AG600" s="26"/>
      <c r="AH600" s="26"/>
      <c r="AI600" s="26"/>
      <c r="AJ600" s="26"/>
      <c r="AK600" s="26"/>
      <c r="AL600" s="26"/>
      <c r="AM600" s="26"/>
    </row>
    <row r="601" ht="14.25" customHeight="1">
      <c r="A601" s="26"/>
      <c r="B601" s="84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26"/>
      <c r="AB601" s="26"/>
      <c r="AC601" s="26"/>
      <c r="AD601" s="26"/>
      <c r="AE601" s="26"/>
      <c r="AF601" s="26"/>
      <c r="AG601" s="26"/>
      <c r="AH601" s="26"/>
      <c r="AI601" s="26"/>
      <c r="AJ601" s="26"/>
      <c r="AK601" s="26"/>
      <c r="AL601" s="26"/>
      <c r="AM601" s="26"/>
    </row>
    <row r="602" ht="14.25" customHeight="1">
      <c r="A602" s="26"/>
      <c r="B602" s="84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  <c r="AB602" s="26"/>
      <c r="AC602" s="26"/>
      <c r="AD602" s="26"/>
      <c r="AE602" s="26"/>
      <c r="AF602" s="26"/>
      <c r="AG602" s="26"/>
      <c r="AH602" s="26"/>
      <c r="AI602" s="26"/>
      <c r="AJ602" s="26"/>
      <c r="AK602" s="26"/>
      <c r="AL602" s="26"/>
      <c r="AM602" s="26"/>
    </row>
    <row r="603" ht="14.25" customHeight="1">
      <c r="A603" s="26"/>
      <c r="B603" s="84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  <c r="AB603" s="26"/>
      <c r="AC603" s="26"/>
      <c r="AD603" s="26"/>
      <c r="AE603" s="26"/>
      <c r="AF603" s="26"/>
      <c r="AG603" s="26"/>
      <c r="AH603" s="26"/>
      <c r="AI603" s="26"/>
      <c r="AJ603" s="26"/>
      <c r="AK603" s="26"/>
      <c r="AL603" s="26"/>
      <c r="AM603" s="26"/>
    </row>
    <row r="604" ht="14.25" customHeight="1">
      <c r="A604" s="26"/>
      <c r="B604" s="84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  <c r="AC604" s="26"/>
      <c r="AD604" s="26"/>
      <c r="AE604" s="26"/>
      <c r="AF604" s="26"/>
      <c r="AG604" s="26"/>
      <c r="AH604" s="26"/>
      <c r="AI604" s="26"/>
      <c r="AJ604" s="26"/>
      <c r="AK604" s="26"/>
      <c r="AL604" s="26"/>
      <c r="AM604" s="26"/>
    </row>
    <row r="605" ht="14.25" customHeight="1">
      <c r="A605" s="26"/>
      <c r="B605" s="84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  <c r="AB605" s="26"/>
      <c r="AC605" s="26"/>
      <c r="AD605" s="26"/>
      <c r="AE605" s="26"/>
      <c r="AF605" s="26"/>
      <c r="AG605" s="26"/>
      <c r="AH605" s="26"/>
      <c r="AI605" s="26"/>
      <c r="AJ605" s="26"/>
      <c r="AK605" s="26"/>
      <c r="AL605" s="26"/>
      <c r="AM605" s="26"/>
    </row>
    <row r="606" ht="14.25" customHeight="1">
      <c r="A606" s="26"/>
      <c r="B606" s="84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  <c r="AC606" s="26"/>
      <c r="AD606" s="26"/>
      <c r="AE606" s="26"/>
      <c r="AF606" s="26"/>
      <c r="AG606" s="26"/>
      <c r="AH606" s="26"/>
      <c r="AI606" s="26"/>
      <c r="AJ606" s="26"/>
      <c r="AK606" s="26"/>
      <c r="AL606" s="26"/>
      <c r="AM606" s="26"/>
    </row>
    <row r="607" ht="14.25" customHeight="1">
      <c r="A607" s="26"/>
      <c r="B607" s="84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/>
      <c r="AB607" s="26"/>
      <c r="AC607" s="26"/>
      <c r="AD607" s="26"/>
      <c r="AE607" s="26"/>
      <c r="AF607" s="26"/>
      <c r="AG607" s="26"/>
      <c r="AH607" s="26"/>
      <c r="AI607" s="26"/>
      <c r="AJ607" s="26"/>
      <c r="AK607" s="26"/>
      <c r="AL607" s="26"/>
      <c r="AM607" s="26"/>
    </row>
    <row r="608" ht="14.25" customHeight="1">
      <c r="A608" s="26"/>
      <c r="B608" s="84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  <c r="AC608" s="26"/>
      <c r="AD608" s="26"/>
      <c r="AE608" s="26"/>
      <c r="AF608" s="26"/>
      <c r="AG608" s="26"/>
      <c r="AH608" s="26"/>
      <c r="AI608" s="26"/>
      <c r="AJ608" s="26"/>
      <c r="AK608" s="26"/>
      <c r="AL608" s="26"/>
      <c r="AM608" s="26"/>
    </row>
    <row r="609" ht="14.25" customHeight="1">
      <c r="A609" s="26"/>
      <c r="B609" s="84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  <c r="AA609" s="26"/>
      <c r="AB609" s="26"/>
      <c r="AC609" s="26"/>
      <c r="AD609" s="26"/>
      <c r="AE609" s="26"/>
      <c r="AF609" s="26"/>
      <c r="AG609" s="26"/>
      <c r="AH609" s="26"/>
      <c r="AI609" s="26"/>
      <c r="AJ609" s="26"/>
      <c r="AK609" s="26"/>
      <c r="AL609" s="26"/>
      <c r="AM609" s="26"/>
    </row>
    <row r="610" ht="14.25" customHeight="1">
      <c r="A610" s="26"/>
      <c r="B610" s="84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  <c r="AC610" s="26"/>
      <c r="AD610" s="26"/>
      <c r="AE610" s="26"/>
      <c r="AF610" s="26"/>
      <c r="AG610" s="26"/>
      <c r="AH610" s="26"/>
      <c r="AI610" s="26"/>
      <c r="AJ610" s="26"/>
      <c r="AK610" s="26"/>
      <c r="AL610" s="26"/>
      <c r="AM610" s="26"/>
    </row>
    <row r="611" ht="14.25" customHeight="1">
      <c r="A611" s="26"/>
      <c r="B611" s="84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A611" s="26"/>
      <c r="AB611" s="26"/>
      <c r="AC611" s="26"/>
      <c r="AD611" s="26"/>
      <c r="AE611" s="26"/>
      <c r="AF611" s="26"/>
      <c r="AG611" s="26"/>
      <c r="AH611" s="26"/>
      <c r="AI611" s="26"/>
      <c r="AJ611" s="26"/>
      <c r="AK611" s="26"/>
      <c r="AL611" s="26"/>
      <c r="AM611" s="26"/>
    </row>
    <row r="612" ht="14.25" customHeight="1">
      <c r="A612" s="26"/>
      <c r="B612" s="84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  <c r="AC612" s="26"/>
      <c r="AD612" s="26"/>
      <c r="AE612" s="26"/>
      <c r="AF612" s="26"/>
      <c r="AG612" s="26"/>
      <c r="AH612" s="26"/>
      <c r="AI612" s="26"/>
      <c r="AJ612" s="26"/>
      <c r="AK612" s="26"/>
      <c r="AL612" s="26"/>
      <c r="AM612" s="26"/>
    </row>
    <row r="613" ht="14.25" customHeight="1">
      <c r="A613" s="26"/>
      <c r="B613" s="84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26"/>
      <c r="AB613" s="26"/>
      <c r="AC613" s="26"/>
      <c r="AD613" s="26"/>
      <c r="AE613" s="26"/>
      <c r="AF613" s="26"/>
      <c r="AG613" s="26"/>
      <c r="AH613" s="26"/>
      <c r="AI613" s="26"/>
      <c r="AJ613" s="26"/>
      <c r="AK613" s="26"/>
      <c r="AL613" s="26"/>
      <c r="AM613" s="26"/>
    </row>
    <row r="614" ht="14.25" customHeight="1">
      <c r="A614" s="26"/>
      <c r="B614" s="84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  <c r="AC614" s="26"/>
      <c r="AD614" s="26"/>
      <c r="AE614" s="26"/>
      <c r="AF614" s="26"/>
      <c r="AG614" s="26"/>
      <c r="AH614" s="26"/>
      <c r="AI614" s="26"/>
      <c r="AJ614" s="26"/>
      <c r="AK614" s="26"/>
      <c r="AL614" s="26"/>
      <c r="AM614" s="26"/>
    </row>
    <row r="615" ht="14.25" customHeight="1">
      <c r="A615" s="26"/>
      <c r="B615" s="84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A615" s="26"/>
      <c r="AB615" s="26"/>
      <c r="AC615" s="26"/>
      <c r="AD615" s="26"/>
      <c r="AE615" s="26"/>
      <c r="AF615" s="26"/>
      <c r="AG615" s="26"/>
      <c r="AH615" s="26"/>
      <c r="AI615" s="26"/>
      <c r="AJ615" s="26"/>
      <c r="AK615" s="26"/>
      <c r="AL615" s="26"/>
      <c r="AM615" s="26"/>
    </row>
    <row r="616" ht="14.25" customHeight="1">
      <c r="A616" s="26"/>
      <c r="B616" s="84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  <c r="AC616" s="26"/>
      <c r="AD616" s="26"/>
      <c r="AE616" s="26"/>
      <c r="AF616" s="26"/>
      <c r="AG616" s="26"/>
      <c r="AH616" s="26"/>
      <c r="AI616" s="26"/>
      <c r="AJ616" s="26"/>
      <c r="AK616" s="26"/>
      <c r="AL616" s="26"/>
      <c r="AM616" s="26"/>
    </row>
    <row r="617" ht="14.25" customHeight="1">
      <c r="A617" s="26"/>
      <c r="B617" s="84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  <c r="AB617" s="26"/>
      <c r="AC617" s="26"/>
      <c r="AD617" s="26"/>
      <c r="AE617" s="26"/>
      <c r="AF617" s="26"/>
      <c r="AG617" s="26"/>
      <c r="AH617" s="26"/>
      <c r="AI617" s="26"/>
      <c r="AJ617" s="26"/>
      <c r="AK617" s="26"/>
      <c r="AL617" s="26"/>
      <c r="AM617" s="26"/>
    </row>
    <row r="618" ht="14.25" customHeight="1">
      <c r="A618" s="26"/>
      <c r="B618" s="84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  <c r="AC618" s="26"/>
      <c r="AD618" s="26"/>
      <c r="AE618" s="26"/>
      <c r="AF618" s="26"/>
      <c r="AG618" s="26"/>
      <c r="AH618" s="26"/>
      <c r="AI618" s="26"/>
      <c r="AJ618" s="26"/>
      <c r="AK618" s="26"/>
      <c r="AL618" s="26"/>
      <c r="AM618" s="26"/>
    </row>
    <row r="619" ht="14.25" customHeight="1">
      <c r="A619" s="26"/>
      <c r="B619" s="84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  <c r="AB619" s="26"/>
      <c r="AC619" s="26"/>
      <c r="AD619" s="26"/>
      <c r="AE619" s="26"/>
      <c r="AF619" s="26"/>
      <c r="AG619" s="26"/>
      <c r="AH619" s="26"/>
      <c r="AI619" s="26"/>
      <c r="AJ619" s="26"/>
      <c r="AK619" s="26"/>
      <c r="AL619" s="26"/>
      <c r="AM619" s="26"/>
    </row>
    <row r="620" ht="14.25" customHeight="1">
      <c r="A620" s="26"/>
      <c r="B620" s="84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  <c r="AC620" s="26"/>
      <c r="AD620" s="26"/>
      <c r="AE620" s="26"/>
      <c r="AF620" s="26"/>
      <c r="AG620" s="26"/>
      <c r="AH620" s="26"/>
      <c r="AI620" s="26"/>
      <c r="AJ620" s="26"/>
      <c r="AK620" s="26"/>
      <c r="AL620" s="26"/>
      <c r="AM620" s="26"/>
    </row>
    <row r="621" ht="14.25" customHeight="1">
      <c r="A621" s="26"/>
      <c r="B621" s="84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  <c r="AB621" s="26"/>
      <c r="AC621" s="26"/>
      <c r="AD621" s="26"/>
      <c r="AE621" s="26"/>
      <c r="AF621" s="26"/>
      <c r="AG621" s="26"/>
      <c r="AH621" s="26"/>
      <c r="AI621" s="26"/>
      <c r="AJ621" s="26"/>
      <c r="AK621" s="26"/>
      <c r="AL621" s="26"/>
      <c r="AM621" s="26"/>
    </row>
    <row r="622" ht="14.25" customHeight="1">
      <c r="A622" s="26"/>
      <c r="B622" s="84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  <c r="AC622" s="26"/>
      <c r="AD622" s="26"/>
      <c r="AE622" s="26"/>
      <c r="AF622" s="26"/>
      <c r="AG622" s="26"/>
      <c r="AH622" s="26"/>
      <c r="AI622" s="26"/>
      <c r="AJ622" s="26"/>
      <c r="AK622" s="26"/>
      <c r="AL622" s="26"/>
      <c r="AM622" s="26"/>
    </row>
    <row r="623" ht="14.25" customHeight="1">
      <c r="A623" s="26"/>
      <c r="B623" s="84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26"/>
      <c r="AB623" s="26"/>
      <c r="AC623" s="26"/>
      <c r="AD623" s="26"/>
      <c r="AE623" s="26"/>
      <c r="AF623" s="26"/>
      <c r="AG623" s="26"/>
      <c r="AH623" s="26"/>
      <c r="AI623" s="26"/>
      <c r="AJ623" s="26"/>
      <c r="AK623" s="26"/>
      <c r="AL623" s="26"/>
      <c r="AM623" s="26"/>
    </row>
    <row r="624" ht="14.25" customHeight="1">
      <c r="A624" s="26"/>
      <c r="B624" s="84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  <c r="AC624" s="26"/>
      <c r="AD624" s="26"/>
      <c r="AE624" s="26"/>
      <c r="AF624" s="26"/>
      <c r="AG624" s="26"/>
      <c r="AH624" s="26"/>
      <c r="AI624" s="26"/>
      <c r="AJ624" s="26"/>
      <c r="AK624" s="26"/>
      <c r="AL624" s="26"/>
      <c r="AM624" s="26"/>
    </row>
    <row r="625" ht="14.25" customHeight="1">
      <c r="A625" s="26"/>
      <c r="B625" s="84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  <c r="AC625" s="26"/>
      <c r="AD625" s="26"/>
      <c r="AE625" s="26"/>
      <c r="AF625" s="26"/>
      <c r="AG625" s="26"/>
      <c r="AH625" s="26"/>
      <c r="AI625" s="26"/>
      <c r="AJ625" s="26"/>
      <c r="AK625" s="26"/>
      <c r="AL625" s="26"/>
      <c r="AM625" s="26"/>
    </row>
    <row r="626" ht="14.25" customHeight="1">
      <c r="A626" s="26"/>
      <c r="B626" s="84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  <c r="AC626" s="26"/>
      <c r="AD626" s="26"/>
      <c r="AE626" s="26"/>
      <c r="AF626" s="26"/>
      <c r="AG626" s="26"/>
      <c r="AH626" s="26"/>
      <c r="AI626" s="26"/>
      <c r="AJ626" s="26"/>
      <c r="AK626" s="26"/>
      <c r="AL626" s="26"/>
      <c r="AM626" s="26"/>
    </row>
    <row r="627" ht="14.25" customHeight="1">
      <c r="A627" s="26"/>
      <c r="B627" s="84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  <c r="AC627" s="26"/>
      <c r="AD627" s="26"/>
      <c r="AE627" s="26"/>
      <c r="AF627" s="26"/>
      <c r="AG627" s="26"/>
      <c r="AH627" s="26"/>
      <c r="AI627" s="26"/>
      <c r="AJ627" s="26"/>
      <c r="AK627" s="26"/>
      <c r="AL627" s="26"/>
      <c r="AM627" s="26"/>
    </row>
    <row r="628" ht="14.25" customHeight="1">
      <c r="A628" s="26"/>
      <c r="B628" s="84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  <c r="AC628" s="26"/>
      <c r="AD628" s="26"/>
      <c r="AE628" s="26"/>
      <c r="AF628" s="26"/>
      <c r="AG628" s="26"/>
      <c r="AH628" s="26"/>
      <c r="AI628" s="26"/>
      <c r="AJ628" s="26"/>
      <c r="AK628" s="26"/>
      <c r="AL628" s="26"/>
      <c r="AM628" s="26"/>
    </row>
    <row r="629" ht="14.25" customHeight="1">
      <c r="A629" s="26"/>
      <c r="B629" s="84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  <c r="AB629" s="26"/>
      <c r="AC629" s="26"/>
      <c r="AD629" s="26"/>
      <c r="AE629" s="26"/>
      <c r="AF629" s="26"/>
      <c r="AG629" s="26"/>
      <c r="AH629" s="26"/>
      <c r="AI629" s="26"/>
      <c r="AJ629" s="26"/>
      <c r="AK629" s="26"/>
      <c r="AL629" s="26"/>
      <c r="AM629" s="26"/>
    </row>
    <row r="630" ht="14.25" customHeight="1">
      <c r="A630" s="26"/>
      <c r="B630" s="84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  <c r="AC630" s="26"/>
      <c r="AD630" s="26"/>
      <c r="AE630" s="26"/>
      <c r="AF630" s="26"/>
      <c r="AG630" s="26"/>
      <c r="AH630" s="26"/>
      <c r="AI630" s="26"/>
      <c r="AJ630" s="26"/>
      <c r="AK630" s="26"/>
      <c r="AL630" s="26"/>
      <c r="AM630" s="26"/>
    </row>
    <row r="631" ht="14.25" customHeight="1">
      <c r="A631" s="26"/>
      <c r="B631" s="84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A631" s="26"/>
      <c r="AB631" s="26"/>
      <c r="AC631" s="26"/>
      <c r="AD631" s="26"/>
      <c r="AE631" s="26"/>
      <c r="AF631" s="26"/>
      <c r="AG631" s="26"/>
      <c r="AH631" s="26"/>
      <c r="AI631" s="26"/>
      <c r="AJ631" s="26"/>
      <c r="AK631" s="26"/>
      <c r="AL631" s="26"/>
      <c r="AM631" s="26"/>
    </row>
    <row r="632" ht="14.25" customHeight="1">
      <c r="A632" s="26"/>
      <c r="B632" s="84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  <c r="AC632" s="26"/>
      <c r="AD632" s="26"/>
      <c r="AE632" s="26"/>
      <c r="AF632" s="26"/>
      <c r="AG632" s="26"/>
      <c r="AH632" s="26"/>
      <c r="AI632" s="26"/>
      <c r="AJ632" s="26"/>
      <c r="AK632" s="26"/>
      <c r="AL632" s="26"/>
      <c r="AM632" s="26"/>
    </row>
    <row r="633" ht="14.25" customHeight="1">
      <c r="A633" s="26"/>
      <c r="B633" s="84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26"/>
      <c r="AB633" s="26"/>
      <c r="AC633" s="26"/>
      <c r="AD633" s="26"/>
      <c r="AE633" s="26"/>
      <c r="AF633" s="26"/>
      <c r="AG633" s="26"/>
      <c r="AH633" s="26"/>
      <c r="AI633" s="26"/>
      <c r="AJ633" s="26"/>
      <c r="AK633" s="26"/>
      <c r="AL633" s="26"/>
      <c r="AM633" s="26"/>
    </row>
    <row r="634" ht="14.25" customHeight="1">
      <c r="A634" s="26"/>
      <c r="B634" s="84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  <c r="AC634" s="26"/>
      <c r="AD634" s="26"/>
      <c r="AE634" s="26"/>
      <c r="AF634" s="26"/>
      <c r="AG634" s="26"/>
      <c r="AH634" s="26"/>
      <c r="AI634" s="26"/>
      <c r="AJ634" s="26"/>
      <c r="AK634" s="26"/>
      <c r="AL634" s="26"/>
      <c r="AM634" s="26"/>
    </row>
    <row r="635" ht="14.25" customHeight="1">
      <c r="A635" s="26"/>
      <c r="B635" s="84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  <c r="AC635" s="26"/>
      <c r="AD635" s="26"/>
      <c r="AE635" s="26"/>
      <c r="AF635" s="26"/>
      <c r="AG635" s="26"/>
      <c r="AH635" s="26"/>
      <c r="AI635" s="26"/>
      <c r="AJ635" s="26"/>
      <c r="AK635" s="26"/>
      <c r="AL635" s="26"/>
      <c r="AM635" s="26"/>
    </row>
    <row r="636" ht="14.25" customHeight="1">
      <c r="A636" s="26"/>
      <c r="B636" s="84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  <c r="AC636" s="26"/>
      <c r="AD636" s="26"/>
      <c r="AE636" s="26"/>
      <c r="AF636" s="26"/>
      <c r="AG636" s="26"/>
      <c r="AH636" s="26"/>
      <c r="AI636" s="26"/>
      <c r="AJ636" s="26"/>
      <c r="AK636" s="26"/>
      <c r="AL636" s="26"/>
      <c r="AM636" s="26"/>
    </row>
    <row r="637" ht="14.25" customHeight="1">
      <c r="A637" s="26"/>
      <c r="B637" s="84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  <c r="AC637" s="26"/>
      <c r="AD637" s="26"/>
      <c r="AE637" s="26"/>
      <c r="AF637" s="26"/>
      <c r="AG637" s="26"/>
      <c r="AH637" s="26"/>
      <c r="AI637" s="26"/>
      <c r="AJ637" s="26"/>
      <c r="AK637" s="26"/>
      <c r="AL637" s="26"/>
      <c r="AM637" s="26"/>
    </row>
    <row r="638" ht="14.25" customHeight="1">
      <c r="A638" s="26"/>
      <c r="B638" s="84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  <c r="AC638" s="26"/>
      <c r="AD638" s="26"/>
      <c r="AE638" s="26"/>
      <c r="AF638" s="26"/>
      <c r="AG638" s="26"/>
      <c r="AH638" s="26"/>
      <c r="AI638" s="26"/>
      <c r="AJ638" s="26"/>
      <c r="AK638" s="26"/>
      <c r="AL638" s="26"/>
      <c r="AM638" s="26"/>
    </row>
    <row r="639" ht="14.25" customHeight="1">
      <c r="A639" s="26"/>
      <c r="B639" s="84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  <c r="AC639" s="26"/>
      <c r="AD639" s="26"/>
      <c r="AE639" s="26"/>
      <c r="AF639" s="26"/>
      <c r="AG639" s="26"/>
      <c r="AH639" s="26"/>
      <c r="AI639" s="26"/>
      <c r="AJ639" s="26"/>
      <c r="AK639" s="26"/>
      <c r="AL639" s="26"/>
      <c r="AM639" s="26"/>
    </row>
    <row r="640" ht="14.25" customHeight="1">
      <c r="A640" s="26"/>
      <c r="B640" s="84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  <c r="AC640" s="26"/>
      <c r="AD640" s="26"/>
      <c r="AE640" s="26"/>
      <c r="AF640" s="26"/>
      <c r="AG640" s="26"/>
      <c r="AH640" s="26"/>
      <c r="AI640" s="26"/>
      <c r="AJ640" s="26"/>
      <c r="AK640" s="26"/>
      <c r="AL640" s="26"/>
      <c r="AM640" s="26"/>
    </row>
    <row r="641" ht="14.25" customHeight="1">
      <c r="A641" s="26"/>
      <c r="B641" s="84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  <c r="AC641" s="26"/>
      <c r="AD641" s="26"/>
      <c r="AE641" s="26"/>
      <c r="AF641" s="26"/>
      <c r="AG641" s="26"/>
      <c r="AH641" s="26"/>
      <c r="AI641" s="26"/>
      <c r="AJ641" s="26"/>
      <c r="AK641" s="26"/>
      <c r="AL641" s="26"/>
      <c r="AM641" s="26"/>
    </row>
    <row r="642" ht="14.25" customHeight="1">
      <c r="A642" s="26"/>
      <c r="B642" s="84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  <c r="AC642" s="26"/>
      <c r="AD642" s="26"/>
      <c r="AE642" s="26"/>
      <c r="AF642" s="26"/>
      <c r="AG642" s="26"/>
      <c r="AH642" s="26"/>
      <c r="AI642" s="26"/>
      <c r="AJ642" s="26"/>
      <c r="AK642" s="26"/>
      <c r="AL642" s="26"/>
      <c r="AM642" s="26"/>
    </row>
    <row r="643" ht="14.25" customHeight="1">
      <c r="A643" s="26"/>
      <c r="B643" s="84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  <c r="AB643" s="26"/>
      <c r="AC643" s="26"/>
      <c r="AD643" s="26"/>
      <c r="AE643" s="26"/>
      <c r="AF643" s="26"/>
      <c r="AG643" s="26"/>
      <c r="AH643" s="26"/>
      <c r="AI643" s="26"/>
      <c r="AJ643" s="26"/>
      <c r="AK643" s="26"/>
      <c r="AL643" s="26"/>
      <c r="AM643" s="26"/>
    </row>
    <row r="644" ht="14.25" customHeight="1">
      <c r="A644" s="26"/>
      <c r="B644" s="84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  <c r="AC644" s="26"/>
      <c r="AD644" s="26"/>
      <c r="AE644" s="26"/>
      <c r="AF644" s="26"/>
      <c r="AG644" s="26"/>
      <c r="AH644" s="26"/>
      <c r="AI644" s="26"/>
      <c r="AJ644" s="26"/>
      <c r="AK644" s="26"/>
      <c r="AL644" s="26"/>
      <c r="AM644" s="26"/>
    </row>
    <row r="645" ht="14.25" customHeight="1">
      <c r="A645" s="26"/>
      <c r="B645" s="84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  <c r="AB645" s="26"/>
      <c r="AC645" s="26"/>
      <c r="AD645" s="26"/>
      <c r="AE645" s="26"/>
      <c r="AF645" s="26"/>
      <c r="AG645" s="26"/>
      <c r="AH645" s="26"/>
      <c r="AI645" s="26"/>
      <c r="AJ645" s="26"/>
      <c r="AK645" s="26"/>
      <c r="AL645" s="26"/>
      <c r="AM645" s="26"/>
    </row>
    <row r="646" ht="14.25" customHeight="1">
      <c r="A646" s="26"/>
      <c r="B646" s="84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  <c r="AC646" s="26"/>
      <c r="AD646" s="26"/>
      <c r="AE646" s="26"/>
      <c r="AF646" s="26"/>
      <c r="AG646" s="26"/>
      <c r="AH646" s="26"/>
      <c r="AI646" s="26"/>
      <c r="AJ646" s="26"/>
      <c r="AK646" s="26"/>
      <c r="AL646" s="26"/>
      <c r="AM646" s="26"/>
    </row>
    <row r="647" ht="14.25" customHeight="1">
      <c r="A647" s="26"/>
      <c r="B647" s="84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  <c r="AB647" s="26"/>
      <c r="AC647" s="26"/>
      <c r="AD647" s="26"/>
      <c r="AE647" s="26"/>
      <c r="AF647" s="26"/>
      <c r="AG647" s="26"/>
      <c r="AH647" s="26"/>
      <c r="AI647" s="26"/>
      <c r="AJ647" s="26"/>
      <c r="AK647" s="26"/>
      <c r="AL647" s="26"/>
      <c r="AM647" s="26"/>
    </row>
    <row r="648" ht="14.25" customHeight="1">
      <c r="A648" s="26"/>
      <c r="B648" s="84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  <c r="AC648" s="26"/>
      <c r="AD648" s="26"/>
      <c r="AE648" s="26"/>
      <c r="AF648" s="26"/>
      <c r="AG648" s="26"/>
      <c r="AH648" s="26"/>
      <c r="AI648" s="26"/>
      <c r="AJ648" s="26"/>
      <c r="AK648" s="26"/>
      <c r="AL648" s="26"/>
      <c r="AM648" s="26"/>
    </row>
    <row r="649" ht="14.25" customHeight="1">
      <c r="A649" s="26"/>
      <c r="B649" s="84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  <c r="AB649" s="26"/>
      <c r="AC649" s="26"/>
      <c r="AD649" s="26"/>
      <c r="AE649" s="26"/>
      <c r="AF649" s="26"/>
      <c r="AG649" s="26"/>
      <c r="AH649" s="26"/>
      <c r="AI649" s="26"/>
      <c r="AJ649" s="26"/>
      <c r="AK649" s="26"/>
      <c r="AL649" s="26"/>
      <c r="AM649" s="26"/>
    </row>
    <row r="650" ht="14.25" customHeight="1">
      <c r="A650" s="26"/>
      <c r="B650" s="84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  <c r="AC650" s="26"/>
      <c r="AD650" s="26"/>
      <c r="AE650" s="26"/>
      <c r="AF650" s="26"/>
      <c r="AG650" s="26"/>
      <c r="AH650" s="26"/>
      <c r="AI650" s="26"/>
      <c r="AJ650" s="26"/>
      <c r="AK650" s="26"/>
      <c r="AL650" s="26"/>
      <c r="AM650" s="26"/>
    </row>
    <row r="651" ht="14.25" customHeight="1">
      <c r="A651" s="26"/>
      <c r="B651" s="84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A651" s="26"/>
      <c r="AB651" s="26"/>
      <c r="AC651" s="26"/>
      <c r="AD651" s="26"/>
      <c r="AE651" s="26"/>
      <c r="AF651" s="26"/>
      <c r="AG651" s="26"/>
      <c r="AH651" s="26"/>
      <c r="AI651" s="26"/>
      <c r="AJ651" s="26"/>
      <c r="AK651" s="26"/>
      <c r="AL651" s="26"/>
      <c r="AM651" s="26"/>
    </row>
    <row r="652" ht="14.25" customHeight="1">
      <c r="A652" s="26"/>
      <c r="B652" s="84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  <c r="AC652" s="26"/>
      <c r="AD652" s="26"/>
      <c r="AE652" s="26"/>
      <c r="AF652" s="26"/>
      <c r="AG652" s="26"/>
      <c r="AH652" s="26"/>
      <c r="AI652" s="26"/>
      <c r="AJ652" s="26"/>
      <c r="AK652" s="26"/>
      <c r="AL652" s="26"/>
      <c r="AM652" s="26"/>
    </row>
    <row r="653" ht="14.25" customHeight="1">
      <c r="A653" s="26"/>
      <c r="B653" s="84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  <c r="AB653" s="26"/>
      <c r="AC653" s="26"/>
      <c r="AD653" s="26"/>
      <c r="AE653" s="26"/>
      <c r="AF653" s="26"/>
      <c r="AG653" s="26"/>
      <c r="AH653" s="26"/>
      <c r="AI653" s="26"/>
      <c r="AJ653" s="26"/>
      <c r="AK653" s="26"/>
      <c r="AL653" s="26"/>
      <c r="AM653" s="26"/>
    </row>
    <row r="654" ht="14.25" customHeight="1">
      <c r="A654" s="26"/>
      <c r="B654" s="84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  <c r="AC654" s="26"/>
      <c r="AD654" s="26"/>
      <c r="AE654" s="26"/>
      <c r="AF654" s="26"/>
      <c r="AG654" s="26"/>
      <c r="AH654" s="26"/>
      <c r="AI654" s="26"/>
      <c r="AJ654" s="26"/>
      <c r="AK654" s="26"/>
      <c r="AL654" s="26"/>
      <c r="AM654" s="26"/>
    </row>
    <row r="655" ht="14.25" customHeight="1">
      <c r="A655" s="26"/>
      <c r="B655" s="84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  <c r="AB655" s="26"/>
      <c r="AC655" s="26"/>
      <c r="AD655" s="26"/>
      <c r="AE655" s="26"/>
      <c r="AF655" s="26"/>
      <c r="AG655" s="26"/>
      <c r="AH655" s="26"/>
      <c r="AI655" s="26"/>
      <c r="AJ655" s="26"/>
      <c r="AK655" s="26"/>
      <c r="AL655" s="26"/>
      <c r="AM655" s="26"/>
    </row>
    <row r="656" ht="14.25" customHeight="1">
      <c r="A656" s="26"/>
      <c r="B656" s="84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  <c r="AC656" s="26"/>
      <c r="AD656" s="26"/>
      <c r="AE656" s="26"/>
      <c r="AF656" s="26"/>
      <c r="AG656" s="26"/>
      <c r="AH656" s="26"/>
      <c r="AI656" s="26"/>
      <c r="AJ656" s="26"/>
      <c r="AK656" s="26"/>
      <c r="AL656" s="26"/>
      <c r="AM656" s="26"/>
    </row>
    <row r="657" ht="14.25" customHeight="1">
      <c r="A657" s="26"/>
      <c r="B657" s="84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  <c r="AB657" s="26"/>
      <c r="AC657" s="26"/>
      <c r="AD657" s="26"/>
      <c r="AE657" s="26"/>
      <c r="AF657" s="26"/>
      <c r="AG657" s="26"/>
      <c r="AH657" s="26"/>
      <c r="AI657" s="26"/>
      <c r="AJ657" s="26"/>
      <c r="AK657" s="26"/>
      <c r="AL657" s="26"/>
      <c r="AM657" s="26"/>
    </row>
    <row r="658" ht="14.25" customHeight="1">
      <c r="A658" s="26"/>
      <c r="B658" s="84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  <c r="AC658" s="26"/>
      <c r="AD658" s="26"/>
      <c r="AE658" s="26"/>
      <c r="AF658" s="26"/>
      <c r="AG658" s="26"/>
      <c r="AH658" s="26"/>
      <c r="AI658" s="26"/>
      <c r="AJ658" s="26"/>
      <c r="AK658" s="26"/>
      <c r="AL658" s="26"/>
      <c r="AM658" s="26"/>
    </row>
    <row r="659" ht="14.25" customHeight="1">
      <c r="A659" s="26"/>
      <c r="B659" s="84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26"/>
      <c r="AB659" s="26"/>
      <c r="AC659" s="26"/>
      <c r="AD659" s="26"/>
      <c r="AE659" s="26"/>
      <c r="AF659" s="26"/>
      <c r="AG659" s="26"/>
      <c r="AH659" s="26"/>
      <c r="AI659" s="26"/>
      <c r="AJ659" s="26"/>
      <c r="AK659" s="26"/>
      <c r="AL659" s="26"/>
      <c r="AM659" s="26"/>
    </row>
    <row r="660" ht="14.25" customHeight="1">
      <c r="A660" s="26"/>
      <c r="B660" s="84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  <c r="AC660" s="26"/>
      <c r="AD660" s="26"/>
      <c r="AE660" s="26"/>
      <c r="AF660" s="26"/>
      <c r="AG660" s="26"/>
      <c r="AH660" s="26"/>
      <c r="AI660" s="26"/>
      <c r="AJ660" s="26"/>
      <c r="AK660" s="26"/>
      <c r="AL660" s="26"/>
      <c r="AM660" s="26"/>
    </row>
    <row r="661" ht="14.25" customHeight="1">
      <c r="A661" s="26"/>
      <c r="B661" s="84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  <c r="AB661" s="26"/>
      <c r="AC661" s="26"/>
      <c r="AD661" s="26"/>
      <c r="AE661" s="26"/>
      <c r="AF661" s="26"/>
      <c r="AG661" s="26"/>
      <c r="AH661" s="26"/>
      <c r="AI661" s="26"/>
      <c r="AJ661" s="26"/>
      <c r="AK661" s="26"/>
      <c r="AL661" s="26"/>
      <c r="AM661" s="26"/>
    </row>
    <row r="662" ht="14.25" customHeight="1">
      <c r="A662" s="26"/>
      <c r="B662" s="84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  <c r="AC662" s="26"/>
      <c r="AD662" s="26"/>
      <c r="AE662" s="26"/>
      <c r="AF662" s="26"/>
      <c r="AG662" s="26"/>
      <c r="AH662" s="26"/>
      <c r="AI662" s="26"/>
      <c r="AJ662" s="26"/>
      <c r="AK662" s="26"/>
      <c r="AL662" s="26"/>
      <c r="AM662" s="26"/>
    </row>
    <row r="663" ht="14.25" customHeight="1">
      <c r="A663" s="26"/>
      <c r="B663" s="84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26"/>
      <c r="AB663" s="26"/>
      <c r="AC663" s="26"/>
      <c r="AD663" s="26"/>
      <c r="AE663" s="26"/>
      <c r="AF663" s="26"/>
      <c r="AG663" s="26"/>
      <c r="AH663" s="26"/>
      <c r="AI663" s="26"/>
      <c r="AJ663" s="26"/>
      <c r="AK663" s="26"/>
      <c r="AL663" s="26"/>
      <c r="AM663" s="26"/>
    </row>
    <row r="664" ht="14.25" customHeight="1">
      <c r="A664" s="26"/>
      <c r="B664" s="84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  <c r="AC664" s="26"/>
      <c r="AD664" s="26"/>
      <c r="AE664" s="26"/>
      <c r="AF664" s="26"/>
      <c r="AG664" s="26"/>
      <c r="AH664" s="26"/>
      <c r="AI664" s="26"/>
      <c r="AJ664" s="26"/>
      <c r="AK664" s="26"/>
      <c r="AL664" s="26"/>
      <c r="AM664" s="26"/>
    </row>
    <row r="665" ht="14.25" customHeight="1">
      <c r="A665" s="26"/>
      <c r="B665" s="84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/>
      <c r="AB665" s="26"/>
      <c r="AC665" s="26"/>
      <c r="AD665" s="26"/>
      <c r="AE665" s="26"/>
      <c r="AF665" s="26"/>
      <c r="AG665" s="26"/>
      <c r="AH665" s="26"/>
      <c r="AI665" s="26"/>
      <c r="AJ665" s="26"/>
      <c r="AK665" s="26"/>
      <c r="AL665" s="26"/>
      <c r="AM665" s="26"/>
    </row>
    <row r="666" ht="14.25" customHeight="1">
      <c r="A666" s="26"/>
      <c r="B666" s="84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  <c r="AC666" s="26"/>
      <c r="AD666" s="26"/>
      <c r="AE666" s="26"/>
      <c r="AF666" s="26"/>
      <c r="AG666" s="26"/>
      <c r="AH666" s="26"/>
      <c r="AI666" s="26"/>
      <c r="AJ666" s="26"/>
      <c r="AK666" s="26"/>
      <c r="AL666" s="26"/>
      <c r="AM666" s="26"/>
    </row>
    <row r="667" ht="14.25" customHeight="1">
      <c r="A667" s="26"/>
      <c r="B667" s="84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/>
      <c r="AB667" s="26"/>
      <c r="AC667" s="26"/>
      <c r="AD667" s="26"/>
      <c r="AE667" s="26"/>
      <c r="AF667" s="26"/>
      <c r="AG667" s="26"/>
      <c r="AH667" s="26"/>
      <c r="AI667" s="26"/>
      <c r="AJ667" s="26"/>
      <c r="AK667" s="26"/>
      <c r="AL667" s="26"/>
      <c r="AM667" s="26"/>
    </row>
    <row r="668" ht="14.25" customHeight="1">
      <c r="A668" s="26"/>
      <c r="B668" s="84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  <c r="AC668" s="26"/>
      <c r="AD668" s="26"/>
      <c r="AE668" s="26"/>
      <c r="AF668" s="26"/>
      <c r="AG668" s="26"/>
      <c r="AH668" s="26"/>
      <c r="AI668" s="26"/>
      <c r="AJ668" s="26"/>
      <c r="AK668" s="26"/>
      <c r="AL668" s="26"/>
      <c r="AM668" s="26"/>
    </row>
    <row r="669" ht="14.25" customHeight="1">
      <c r="A669" s="26"/>
      <c r="B669" s="84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/>
      <c r="AB669" s="26"/>
      <c r="AC669" s="26"/>
      <c r="AD669" s="26"/>
      <c r="AE669" s="26"/>
      <c r="AF669" s="26"/>
      <c r="AG669" s="26"/>
      <c r="AH669" s="26"/>
      <c r="AI669" s="26"/>
      <c r="AJ669" s="26"/>
      <c r="AK669" s="26"/>
      <c r="AL669" s="26"/>
      <c r="AM669" s="26"/>
    </row>
    <row r="670" ht="14.25" customHeight="1">
      <c r="A670" s="26"/>
      <c r="B670" s="84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  <c r="AC670" s="26"/>
      <c r="AD670" s="26"/>
      <c r="AE670" s="26"/>
      <c r="AF670" s="26"/>
      <c r="AG670" s="26"/>
      <c r="AH670" s="26"/>
      <c r="AI670" s="26"/>
      <c r="AJ670" s="26"/>
      <c r="AK670" s="26"/>
      <c r="AL670" s="26"/>
      <c r="AM670" s="26"/>
    </row>
    <row r="671" ht="14.25" customHeight="1">
      <c r="A671" s="26"/>
      <c r="B671" s="84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A671" s="26"/>
      <c r="AB671" s="26"/>
      <c r="AC671" s="26"/>
      <c r="AD671" s="26"/>
      <c r="AE671" s="26"/>
      <c r="AF671" s="26"/>
      <c r="AG671" s="26"/>
      <c r="AH671" s="26"/>
      <c r="AI671" s="26"/>
      <c r="AJ671" s="26"/>
      <c r="AK671" s="26"/>
      <c r="AL671" s="26"/>
      <c r="AM671" s="26"/>
    </row>
    <row r="672" ht="14.25" customHeight="1">
      <c r="A672" s="26"/>
      <c r="B672" s="84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  <c r="AC672" s="26"/>
      <c r="AD672" s="26"/>
      <c r="AE672" s="26"/>
      <c r="AF672" s="26"/>
      <c r="AG672" s="26"/>
      <c r="AH672" s="26"/>
      <c r="AI672" s="26"/>
      <c r="AJ672" s="26"/>
      <c r="AK672" s="26"/>
      <c r="AL672" s="26"/>
      <c r="AM672" s="26"/>
    </row>
    <row r="673" ht="14.25" customHeight="1">
      <c r="A673" s="26"/>
      <c r="B673" s="84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  <c r="AB673" s="26"/>
      <c r="AC673" s="26"/>
      <c r="AD673" s="26"/>
      <c r="AE673" s="26"/>
      <c r="AF673" s="26"/>
      <c r="AG673" s="26"/>
      <c r="AH673" s="26"/>
      <c r="AI673" s="26"/>
      <c r="AJ673" s="26"/>
      <c r="AK673" s="26"/>
      <c r="AL673" s="26"/>
      <c r="AM673" s="26"/>
    </row>
    <row r="674" ht="14.25" customHeight="1">
      <c r="A674" s="26"/>
      <c r="B674" s="84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  <c r="AC674" s="26"/>
      <c r="AD674" s="26"/>
      <c r="AE674" s="26"/>
      <c r="AF674" s="26"/>
      <c r="AG674" s="26"/>
      <c r="AH674" s="26"/>
      <c r="AI674" s="26"/>
      <c r="AJ674" s="26"/>
      <c r="AK674" s="26"/>
      <c r="AL674" s="26"/>
      <c r="AM674" s="26"/>
    </row>
    <row r="675" ht="14.25" customHeight="1">
      <c r="A675" s="26"/>
      <c r="B675" s="84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/>
      <c r="AB675" s="26"/>
      <c r="AC675" s="26"/>
      <c r="AD675" s="26"/>
      <c r="AE675" s="26"/>
      <c r="AF675" s="26"/>
      <c r="AG675" s="26"/>
      <c r="AH675" s="26"/>
      <c r="AI675" s="26"/>
      <c r="AJ675" s="26"/>
      <c r="AK675" s="26"/>
      <c r="AL675" s="26"/>
      <c r="AM675" s="26"/>
    </row>
    <row r="676" ht="14.25" customHeight="1">
      <c r="A676" s="26"/>
      <c r="B676" s="84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  <c r="AC676" s="26"/>
      <c r="AD676" s="26"/>
      <c r="AE676" s="26"/>
      <c r="AF676" s="26"/>
      <c r="AG676" s="26"/>
      <c r="AH676" s="26"/>
      <c r="AI676" s="26"/>
      <c r="AJ676" s="26"/>
      <c r="AK676" s="26"/>
      <c r="AL676" s="26"/>
      <c r="AM676" s="26"/>
    </row>
    <row r="677" ht="14.25" customHeight="1">
      <c r="A677" s="26"/>
      <c r="B677" s="84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A677" s="26"/>
      <c r="AB677" s="26"/>
      <c r="AC677" s="26"/>
      <c r="AD677" s="26"/>
      <c r="AE677" s="26"/>
      <c r="AF677" s="26"/>
      <c r="AG677" s="26"/>
      <c r="AH677" s="26"/>
      <c r="AI677" s="26"/>
      <c r="AJ677" s="26"/>
      <c r="AK677" s="26"/>
      <c r="AL677" s="26"/>
      <c r="AM677" s="26"/>
    </row>
    <row r="678" ht="14.25" customHeight="1">
      <c r="A678" s="26"/>
      <c r="B678" s="84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  <c r="AC678" s="26"/>
      <c r="AD678" s="26"/>
      <c r="AE678" s="26"/>
      <c r="AF678" s="26"/>
      <c r="AG678" s="26"/>
      <c r="AH678" s="26"/>
      <c r="AI678" s="26"/>
      <c r="AJ678" s="26"/>
      <c r="AK678" s="26"/>
      <c r="AL678" s="26"/>
      <c r="AM678" s="26"/>
    </row>
    <row r="679" ht="14.25" customHeight="1">
      <c r="A679" s="26"/>
      <c r="B679" s="84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  <c r="AA679" s="26"/>
      <c r="AB679" s="26"/>
      <c r="AC679" s="26"/>
      <c r="AD679" s="26"/>
      <c r="AE679" s="26"/>
      <c r="AF679" s="26"/>
      <c r="AG679" s="26"/>
      <c r="AH679" s="26"/>
      <c r="AI679" s="26"/>
      <c r="AJ679" s="26"/>
      <c r="AK679" s="26"/>
      <c r="AL679" s="26"/>
      <c r="AM679" s="26"/>
    </row>
    <row r="680" ht="14.25" customHeight="1">
      <c r="A680" s="26"/>
      <c r="B680" s="84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  <c r="AC680" s="26"/>
      <c r="AD680" s="26"/>
      <c r="AE680" s="26"/>
      <c r="AF680" s="26"/>
      <c r="AG680" s="26"/>
      <c r="AH680" s="26"/>
      <c r="AI680" s="26"/>
      <c r="AJ680" s="26"/>
      <c r="AK680" s="26"/>
      <c r="AL680" s="26"/>
      <c r="AM680" s="26"/>
    </row>
    <row r="681" ht="14.25" customHeight="1">
      <c r="A681" s="26"/>
      <c r="B681" s="84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  <c r="AA681" s="26"/>
      <c r="AB681" s="26"/>
      <c r="AC681" s="26"/>
      <c r="AD681" s="26"/>
      <c r="AE681" s="26"/>
      <c r="AF681" s="26"/>
      <c r="AG681" s="26"/>
      <c r="AH681" s="26"/>
      <c r="AI681" s="26"/>
      <c r="AJ681" s="26"/>
      <c r="AK681" s="26"/>
      <c r="AL681" s="26"/>
      <c r="AM681" s="26"/>
    </row>
    <row r="682" ht="14.25" customHeight="1">
      <c r="A682" s="26"/>
      <c r="B682" s="84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  <c r="AC682" s="26"/>
      <c r="AD682" s="26"/>
      <c r="AE682" s="26"/>
      <c r="AF682" s="26"/>
      <c r="AG682" s="26"/>
      <c r="AH682" s="26"/>
      <c r="AI682" s="26"/>
      <c r="AJ682" s="26"/>
      <c r="AK682" s="26"/>
      <c r="AL682" s="26"/>
      <c r="AM682" s="26"/>
    </row>
    <row r="683" ht="14.25" customHeight="1">
      <c r="A683" s="26"/>
      <c r="B683" s="84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  <c r="AB683" s="26"/>
      <c r="AC683" s="26"/>
      <c r="AD683" s="26"/>
      <c r="AE683" s="26"/>
      <c r="AF683" s="26"/>
      <c r="AG683" s="26"/>
      <c r="AH683" s="26"/>
      <c r="AI683" s="26"/>
      <c r="AJ683" s="26"/>
      <c r="AK683" s="26"/>
      <c r="AL683" s="26"/>
      <c r="AM683" s="26"/>
    </row>
    <row r="684" ht="14.25" customHeight="1">
      <c r="A684" s="26"/>
      <c r="B684" s="84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  <c r="AC684" s="26"/>
      <c r="AD684" s="26"/>
      <c r="AE684" s="26"/>
      <c r="AF684" s="26"/>
      <c r="AG684" s="26"/>
      <c r="AH684" s="26"/>
      <c r="AI684" s="26"/>
      <c r="AJ684" s="26"/>
      <c r="AK684" s="26"/>
      <c r="AL684" s="26"/>
      <c r="AM684" s="26"/>
    </row>
    <row r="685" ht="14.25" customHeight="1">
      <c r="A685" s="26"/>
      <c r="B685" s="84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A685" s="26"/>
      <c r="AB685" s="26"/>
      <c r="AC685" s="26"/>
      <c r="AD685" s="26"/>
      <c r="AE685" s="26"/>
      <c r="AF685" s="26"/>
      <c r="AG685" s="26"/>
      <c r="AH685" s="26"/>
      <c r="AI685" s="26"/>
      <c r="AJ685" s="26"/>
      <c r="AK685" s="26"/>
      <c r="AL685" s="26"/>
      <c r="AM685" s="26"/>
    </row>
    <row r="686" ht="14.25" customHeight="1">
      <c r="A686" s="26"/>
      <c r="B686" s="84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  <c r="AC686" s="26"/>
      <c r="AD686" s="26"/>
      <c r="AE686" s="26"/>
      <c r="AF686" s="26"/>
      <c r="AG686" s="26"/>
      <c r="AH686" s="26"/>
      <c r="AI686" s="26"/>
      <c r="AJ686" s="26"/>
      <c r="AK686" s="26"/>
      <c r="AL686" s="26"/>
      <c r="AM686" s="26"/>
    </row>
    <row r="687" ht="14.25" customHeight="1">
      <c r="A687" s="26"/>
      <c r="B687" s="84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  <c r="AA687" s="26"/>
      <c r="AB687" s="26"/>
      <c r="AC687" s="26"/>
      <c r="AD687" s="26"/>
      <c r="AE687" s="26"/>
      <c r="AF687" s="26"/>
      <c r="AG687" s="26"/>
      <c r="AH687" s="26"/>
      <c r="AI687" s="26"/>
      <c r="AJ687" s="26"/>
      <c r="AK687" s="26"/>
      <c r="AL687" s="26"/>
      <c r="AM687" s="26"/>
    </row>
    <row r="688" ht="14.25" customHeight="1">
      <c r="A688" s="26"/>
      <c r="B688" s="84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  <c r="AB688" s="26"/>
      <c r="AC688" s="26"/>
      <c r="AD688" s="26"/>
      <c r="AE688" s="26"/>
      <c r="AF688" s="26"/>
      <c r="AG688" s="26"/>
      <c r="AH688" s="26"/>
      <c r="AI688" s="26"/>
      <c r="AJ688" s="26"/>
      <c r="AK688" s="26"/>
      <c r="AL688" s="26"/>
      <c r="AM688" s="26"/>
    </row>
    <row r="689" ht="14.25" customHeight="1">
      <c r="A689" s="26"/>
      <c r="B689" s="84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A689" s="26"/>
      <c r="AB689" s="26"/>
      <c r="AC689" s="26"/>
      <c r="AD689" s="26"/>
      <c r="AE689" s="26"/>
      <c r="AF689" s="26"/>
      <c r="AG689" s="26"/>
      <c r="AH689" s="26"/>
      <c r="AI689" s="26"/>
      <c r="AJ689" s="26"/>
      <c r="AK689" s="26"/>
      <c r="AL689" s="26"/>
      <c r="AM689" s="26"/>
    </row>
    <row r="690" ht="14.25" customHeight="1">
      <c r="A690" s="26"/>
      <c r="B690" s="84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  <c r="AC690" s="26"/>
      <c r="AD690" s="26"/>
      <c r="AE690" s="26"/>
      <c r="AF690" s="26"/>
      <c r="AG690" s="26"/>
      <c r="AH690" s="26"/>
      <c r="AI690" s="26"/>
      <c r="AJ690" s="26"/>
      <c r="AK690" s="26"/>
      <c r="AL690" s="26"/>
      <c r="AM690" s="26"/>
    </row>
    <row r="691" ht="14.25" customHeight="1">
      <c r="A691" s="26"/>
      <c r="B691" s="84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  <c r="AA691" s="26"/>
      <c r="AB691" s="26"/>
      <c r="AC691" s="26"/>
      <c r="AD691" s="26"/>
      <c r="AE691" s="26"/>
      <c r="AF691" s="26"/>
      <c r="AG691" s="26"/>
      <c r="AH691" s="26"/>
      <c r="AI691" s="26"/>
      <c r="AJ691" s="26"/>
      <c r="AK691" s="26"/>
      <c r="AL691" s="26"/>
      <c r="AM691" s="26"/>
    </row>
    <row r="692" ht="14.25" customHeight="1">
      <c r="A692" s="26"/>
      <c r="B692" s="84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  <c r="AB692" s="26"/>
      <c r="AC692" s="26"/>
      <c r="AD692" s="26"/>
      <c r="AE692" s="26"/>
      <c r="AF692" s="26"/>
      <c r="AG692" s="26"/>
      <c r="AH692" s="26"/>
      <c r="AI692" s="26"/>
      <c r="AJ692" s="26"/>
      <c r="AK692" s="26"/>
      <c r="AL692" s="26"/>
      <c r="AM692" s="26"/>
    </row>
    <row r="693" ht="14.25" customHeight="1">
      <c r="A693" s="26"/>
      <c r="B693" s="84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  <c r="AA693" s="26"/>
      <c r="AB693" s="26"/>
      <c r="AC693" s="26"/>
      <c r="AD693" s="26"/>
      <c r="AE693" s="26"/>
      <c r="AF693" s="26"/>
      <c r="AG693" s="26"/>
      <c r="AH693" s="26"/>
      <c r="AI693" s="26"/>
      <c r="AJ693" s="26"/>
      <c r="AK693" s="26"/>
      <c r="AL693" s="26"/>
      <c r="AM693" s="26"/>
    </row>
    <row r="694" ht="14.25" customHeight="1">
      <c r="A694" s="26"/>
      <c r="B694" s="84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  <c r="AB694" s="26"/>
      <c r="AC694" s="26"/>
      <c r="AD694" s="26"/>
      <c r="AE694" s="26"/>
      <c r="AF694" s="26"/>
      <c r="AG694" s="26"/>
      <c r="AH694" s="26"/>
      <c r="AI694" s="26"/>
      <c r="AJ694" s="26"/>
      <c r="AK694" s="26"/>
      <c r="AL694" s="26"/>
      <c r="AM694" s="26"/>
    </row>
    <row r="695" ht="14.25" customHeight="1">
      <c r="A695" s="26"/>
      <c r="B695" s="84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A695" s="26"/>
      <c r="AB695" s="26"/>
      <c r="AC695" s="26"/>
      <c r="AD695" s="26"/>
      <c r="AE695" s="26"/>
      <c r="AF695" s="26"/>
      <c r="AG695" s="26"/>
      <c r="AH695" s="26"/>
      <c r="AI695" s="26"/>
      <c r="AJ695" s="26"/>
      <c r="AK695" s="26"/>
      <c r="AL695" s="26"/>
      <c r="AM695" s="26"/>
    </row>
    <row r="696" ht="14.25" customHeight="1">
      <c r="A696" s="26"/>
      <c r="B696" s="84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  <c r="AC696" s="26"/>
      <c r="AD696" s="26"/>
      <c r="AE696" s="26"/>
      <c r="AF696" s="26"/>
      <c r="AG696" s="26"/>
      <c r="AH696" s="26"/>
      <c r="AI696" s="26"/>
      <c r="AJ696" s="26"/>
      <c r="AK696" s="26"/>
      <c r="AL696" s="26"/>
      <c r="AM696" s="26"/>
    </row>
    <row r="697" ht="14.25" customHeight="1">
      <c r="A697" s="26"/>
      <c r="B697" s="84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A697" s="26"/>
      <c r="AB697" s="26"/>
      <c r="AC697" s="26"/>
      <c r="AD697" s="26"/>
      <c r="AE697" s="26"/>
      <c r="AF697" s="26"/>
      <c r="AG697" s="26"/>
      <c r="AH697" s="26"/>
      <c r="AI697" s="26"/>
      <c r="AJ697" s="26"/>
      <c r="AK697" s="26"/>
      <c r="AL697" s="26"/>
      <c r="AM697" s="26"/>
    </row>
    <row r="698" ht="14.25" customHeight="1">
      <c r="A698" s="26"/>
      <c r="B698" s="84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  <c r="AC698" s="26"/>
      <c r="AD698" s="26"/>
      <c r="AE698" s="26"/>
      <c r="AF698" s="26"/>
      <c r="AG698" s="26"/>
      <c r="AH698" s="26"/>
      <c r="AI698" s="26"/>
      <c r="AJ698" s="26"/>
      <c r="AK698" s="26"/>
      <c r="AL698" s="26"/>
      <c r="AM698" s="26"/>
    </row>
    <row r="699" ht="14.25" customHeight="1">
      <c r="A699" s="26"/>
      <c r="B699" s="84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  <c r="AB699" s="26"/>
      <c r="AC699" s="26"/>
      <c r="AD699" s="26"/>
      <c r="AE699" s="26"/>
      <c r="AF699" s="26"/>
      <c r="AG699" s="26"/>
      <c r="AH699" s="26"/>
      <c r="AI699" s="26"/>
      <c r="AJ699" s="26"/>
      <c r="AK699" s="26"/>
      <c r="AL699" s="26"/>
      <c r="AM699" s="26"/>
    </row>
    <row r="700" ht="14.25" customHeight="1">
      <c r="A700" s="26"/>
      <c r="B700" s="84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  <c r="AC700" s="26"/>
      <c r="AD700" s="26"/>
      <c r="AE700" s="26"/>
      <c r="AF700" s="26"/>
      <c r="AG700" s="26"/>
      <c r="AH700" s="26"/>
      <c r="AI700" s="26"/>
      <c r="AJ700" s="26"/>
      <c r="AK700" s="26"/>
      <c r="AL700" s="26"/>
      <c r="AM700" s="26"/>
    </row>
    <row r="701" ht="14.25" customHeight="1">
      <c r="A701" s="26"/>
      <c r="B701" s="84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  <c r="AA701" s="26"/>
      <c r="AB701" s="26"/>
      <c r="AC701" s="26"/>
      <c r="AD701" s="26"/>
      <c r="AE701" s="26"/>
      <c r="AF701" s="26"/>
      <c r="AG701" s="26"/>
      <c r="AH701" s="26"/>
      <c r="AI701" s="26"/>
      <c r="AJ701" s="26"/>
      <c r="AK701" s="26"/>
      <c r="AL701" s="26"/>
      <c r="AM701" s="26"/>
    </row>
    <row r="702" ht="14.25" customHeight="1">
      <c r="A702" s="26"/>
      <c r="B702" s="84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  <c r="AC702" s="26"/>
      <c r="AD702" s="26"/>
      <c r="AE702" s="26"/>
      <c r="AF702" s="26"/>
      <c r="AG702" s="26"/>
      <c r="AH702" s="26"/>
      <c r="AI702" s="26"/>
      <c r="AJ702" s="26"/>
      <c r="AK702" s="26"/>
      <c r="AL702" s="26"/>
      <c r="AM702" s="26"/>
    </row>
    <row r="703" ht="14.25" customHeight="1">
      <c r="A703" s="26"/>
      <c r="B703" s="84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  <c r="AA703" s="26"/>
      <c r="AB703" s="26"/>
      <c r="AC703" s="26"/>
      <c r="AD703" s="26"/>
      <c r="AE703" s="26"/>
      <c r="AF703" s="26"/>
      <c r="AG703" s="26"/>
      <c r="AH703" s="26"/>
      <c r="AI703" s="26"/>
      <c r="AJ703" s="26"/>
      <c r="AK703" s="26"/>
      <c r="AL703" s="26"/>
      <c r="AM703" s="26"/>
    </row>
    <row r="704" ht="14.25" customHeight="1">
      <c r="A704" s="26"/>
      <c r="B704" s="84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  <c r="AB704" s="26"/>
      <c r="AC704" s="26"/>
      <c r="AD704" s="26"/>
      <c r="AE704" s="26"/>
      <c r="AF704" s="26"/>
      <c r="AG704" s="26"/>
      <c r="AH704" s="26"/>
      <c r="AI704" s="26"/>
      <c r="AJ704" s="26"/>
      <c r="AK704" s="26"/>
      <c r="AL704" s="26"/>
      <c r="AM704" s="26"/>
    </row>
    <row r="705" ht="14.25" customHeight="1">
      <c r="A705" s="26"/>
      <c r="B705" s="84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  <c r="AA705" s="26"/>
      <c r="AB705" s="26"/>
      <c r="AC705" s="26"/>
      <c r="AD705" s="26"/>
      <c r="AE705" s="26"/>
      <c r="AF705" s="26"/>
      <c r="AG705" s="26"/>
      <c r="AH705" s="26"/>
      <c r="AI705" s="26"/>
      <c r="AJ705" s="26"/>
      <c r="AK705" s="26"/>
      <c r="AL705" s="26"/>
      <c r="AM705" s="26"/>
    </row>
    <row r="706" ht="14.25" customHeight="1">
      <c r="A706" s="26"/>
      <c r="B706" s="84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  <c r="AB706" s="26"/>
      <c r="AC706" s="26"/>
      <c r="AD706" s="26"/>
      <c r="AE706" s="26"/>
      <c r="AF706" s="26"/>
      <c r="AG706" s="26"/>
      <c r="AH706" s="26"/>
      <c r="AI706" s="26"/>
      <c r="AJ706" s="26"/>
      <c r="AK706" s="26"/>
      <c r="AL706" s="26"/>
      <c r="AM706" s="26"/>
    </row>
    <row r="707" ht="14.25" customHeight="1">
      <c r="A707" s="26"/>
      <c r="B707" s="84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  <c r="AA707" s="26"/>
      <c r="AB707" s="26"/>
      <c r="AC707" s="26"/>
      <c r="AD707" s="26"/>
      <c r="AE707" s="26"/>
      <c r="AF707" s="26"/>
      <c r="AG707" s="26"/>
      <c r="AH707" s="26"/>
      <c r="AI707" s="26"/>
      <c r="AJ707" s="26"/>
      <c r="AK707" s="26"/>
      <c r="AL707" s="26"/>
      <c r="AM707" s="26"/>
    </row>
    <row r="708" ht="14.25" customHeight="1">
      <c r="A708" s="26"/>
      <c r="B708" s="84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  <c r="AB708" s="26"/>
      <c r="AC708" s="26"/>
      <c r="AD708" s="26"/>
      <c r="AE708" s="26"/>
      <c r="AF708" s="26"/>
      <c r="AG708" s="26"/>
      <c r="AH708" s="26"/>
      <c r="AI708" s="26"/>
      <c r="AJ708" s="26"/>
      <c r="AK708" s="26"/>
      <c r="AL708" s="26"/>
      <c r="AM708" s="26"/>
    </row>
    <row r="709" ht="14.25" customHeight="1">
      <c r="A709" s="26"/>
      <c r="B709" s="84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/>
      <c r="AB709" s="26"/>
      <c r="AC709" s="26"/>
      <c r="AD709" s="26"/>
      <c r="AE709" s="26"/>
      <c r="AF709" s="26"/>
      <c r="AG709" s="26"/>
      <c r="AH709" s="26"/>
      <c r="AI709" s="26"/>
      <c r="AJ709" s="26"/>
      <c r="AK709" s="26"/>
      <c r="AL709" s="26"/>
      <c r="AM709" s="26"/>
    </row>
    <row r="710" ht="14.25" customHeight="1">
      <c r="A710" s="26"/>
      <c r="B710" s="84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  <c r="AB710" s="26"/>
      <c r="AC710" s="26"/>
      <c r="AD710" s="26"/>
      <c r="AE710" s="26"/>
      <c r="AF710" s="26"/>
      <c r="AG710" s="26"/>
      <c r="AH710" s="26"/>
      <c r="AI710" s="26"/>
      <c r="AJ710" s="26"/>
      <c r="AK710" s="26"/>
      <c r="AL710" s="26"/>
      <c r="AM710" s="26"/>
    </row>
    <row r="711" ht="14.25" customHeight="1">
      <c r="A711" s="26"/>
      <c r="B711" s="84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  <c r="AA711" s="26"/>
      <c r="AB711" s="26"/>
      <c r="AC711" s="26"/>
      <c r="AD711" s="26"/>
      <c r="AE711" s="26"/>
      <c r="AF711" s="26"/>
      <c r="AG711" s="26"/>
      <c r="AH711" s="26"/>
      <c r="AI711" s="26"/>
      <c r="AJ711" s="26"/>
      <c r="AK711" s="26"/>
      <c r="AL711" s="26"/>
      <c r="AM711" s="26"/>
    </row>
    <row r="712" ht="14.25" customHeight="1">
      <c r="A712" s="26"/>
      <c r="B712" s="84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  <c r="AB712" s="26"/>
      <c r="AC712" s="26"/>
      <c r="AD712" s="26"/>
      <c r="AE712" s="26"/>
      <c r="AF712" s="26"/>
      <c r="AG712" s="26"/>
      <c r="AH712" s="26"/>
      <c r="AI712" s="26"/>
      <c r="AJ712" s="26"/>
      <c r="AK712" s="26"/>
      <c r="AL712" s="26"/>
      <c r="AM712" s="26"/>
    </row>
    <row r="713" ht="14.25" customHeight="1">
      <c r="A713" s="26"/>
      <c r="B713" s="84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  <c r="AA713" s="26"/>
      <c r="AB713" s="26"/>
      <c r="AC713" s="26"/>
      <c r="AD713" s="26"/>
      <c r="AE713" s="26"/>
      <c r="AF713" s="26"/>
      <c r="AG713" s="26"/>
      <c r="AH713" s="26"/>
      <c r="AI713" s="26"/>
      <c r="AJ713" s="26"/>
      <c r="AK713" s="26"/>
      <c r="AL713" s="26"/>
      <c r="AM713" s="26"/>
    </row>
    <row r="714" ht="14.25" customHeight="1">
      <c r="A714" s="26"/>
      <c r="B714" s="84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  <c r="AC714" s="26"/>
      <c r="AD714" s="26"/>
      <c r="AE714" s="26"/>
      <c r="AF714" s="26"/>
      <c r="AG714" s="26"/>
      <c r="AH714" s="26"/>
      <c r="AI714" s="26"/>
      <c r="AJ714" s="26"/>
      <c r="AK714" s="26"/>
      <c r="AL714" s="26"/>
      <c r="AM714" s="26"/>
    </row>
    <row r="715" ht="14.25" customHeight="1">
      <c r="A715" s="26"/>
      <c r="B715" s="84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  <c r="AA715" s="26"/>
      <c r="AB715" s="26"/>
      <c r="AC715" s="26"/>
      <c r="AD715" s="26"/>
      <c r="AE715" s="26"/>
      <c r="AF715" s="26"/>
      <c r="AG715" s="26"/>
      <c r="AH715" s="26"/>
      <c r="AI715" s="26"/>
      <c r="AJ715" s="26"/>
      <c r="AK715" s="26"/>
      <c r="AL715" s="26"/>
      <c r="AM715" s="26"/>
    </row>
    <row r="716" ht="14.25" customHeight="1">
      <c r="A716" s="26"/>
      <c r="B716" s="84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  <c r="AC716" s="26"/>
      <c r="AD716" s="26"/>
      <c r="AE716" s="26"/>
      <c r="AF716" s="26"/>
      <c r="AG716" s="26"/>
      <c r="AH716" s="26"/>
      <c r="AI716" s="26"/>
      <c r="AJ716" s="26"/>
      <c r="AK716" s="26"/>
      <c r="AL716" s="26"/>
      <c r="AM716" s="26"/>
    </row>
    <row r="717" ht="14.25" customHeight="1">
      <c r="A717" s="26"/>
      <c r="B717" s="84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6"/>
      <c r="AB717" s="26"/>
      <c r="AC717" s="26"/>
      <c r="AD717" s="26"/>
      <c r="AE717" s="26"/>
      <c r="AF717" s="26"/>
      <c r="AG717" s="26"/>
      <c r="AH717" s="26"/>
      <c r="AI717" s="26"/>
      <c r="AJ717" s="26"/>
      <c r="AK717" s="26"/>
      <c r="AL717" s="26"/>
      <c r="AM717" s="26"/>
    </row>
    <row r="718" ht="14.25" customHeight="1">
      <c r="A718" s="26"/>
      <c r="B718" s="84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  <c r="AB718" s="26"/>
      <c r="AC718" s="26"/>
      <c r="AD718" s="26"/>
      <c r="AE718" s="26"/>
      <c r="AF718" s="26"/>
      <c r="AG718" s="26"/>
      <c r="AH718" s="26"/>
      <c r="AI718" s="26"/>
      <c r="AJ718" s="26"/>
      <c r="AK718" s="26"/>
      <c r="AL718" s="26"/>
      <c r="AM718" s="26"/>
    </row>
    <row r="719" ht="14.25" customHeight="1">
      <c r="A719" s="26"/>
      <c r="B719" s="84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  <c r="AA719" s="26"/>
      <c r="AB719" s="26"/>
      <c r="AC719" s="26"/>
      <c r="AD719" s="26"/>
      <c r="AE719" s="26"/>
      <c r="AF719" s="26"/>
      <c r="AG719" s="26"/>
      <c r="AH719" s="26"/>
      <c r="AI719" s="26"/>
      <c r="AJ719" s="26"/>
      <c r="AK719" s="26"/>
      <c r="AL719" s="26"/>
      <c r="AM719" s="26"/>
    </row>
    <row r="720" ht="14.25" customHeight="1">
      <c r="A720" s="26"/>
      <c r="B720" s="84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  <c r="AB720" s="26"/>
      <c r="AC720" s="26"/>
      <c r="AD720" s="26"/>
      <c r="AE720" s="26"/>
      <c r="AF720" s="26"/>
      <c r="AG720" s="26"/>
      <c r="AH720" s="26"/>
      <c r="AI720" s="26"/>
      <c r="AJ720" s="26"/>
      <c r="AK720" s="26"/>
      <c r="AL720" s="26"/>
      <c r="AM720" s="26"/>
    </row>
    <row r="721" ht="14.25" customHeight="1">
      <c r="A721" s="26"/>
      <c r="B721" s="84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  <c r="AA721" s="26"/>
      <c r="AB721" s="26"/>
      <c r="AC721" s="26"/>
      <c r="AD721" s="26"/>
      <c r="AE721" s="26"/>
      <c r="AF721" s="26"/>
      <c r="AG721" s="26"/>
      <c r="AH721" s="26"/>
      <c r="AI721" s="26"/>
      <c r="AJ721" s="26"/>
      <c r="AK721" s="26"/>
      <c r="AL721" s="26"/>
      <c r="AM721" s="26"/>
    </row>
    <row r="722" ht="14.25" customHeight="1">
      <c r="A722" s="26"/>
      <c r="B722" s="84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  <c r="AC722" s="26"/>
      <c r="AD722" s="26"/>
      <c r="AE722" s="26"/>
      <c r="AF722" s="26"/>
      <c r="AG722" s="26"/>
      <c r="AH722" s="26"/>
      <c r="AI722" s="26"/>
      <c r="AJ722" s="26"/>
      <c r="AK722" s="26"/>
      <c r="AL722" s="26"/>
      <c r="AM722" s="26"/>
    </row>
    <row r="723" ht="14.25" customHeight="1">
      <c r="A723" s="26"/>
      <c r="B723" s="84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  <c r="AA723" s="26"/>
      <c r="AB723" s="26"/>
      <c r="AC723" s="26"/>
      <c r="AD723" s="26"/>
      <c r="AE723" s="26"/>
      <c r="AF723" s="26"/>
      <c r="AG723" s="26"/>
      <c r="AH723" s="26"/>
      <c r="AI723" s="26"/>
      <c r="AJ723" s="26"/>
      <c r="AK723" s="26"/>
      <c r="AL723" s="26"/>
      <c r="AM723" s="26"/>
    </row>
    <row r="724" ht="14.25" customHeight="1">
      <c r="A724" s="26"/>
      <c r="B724" s="84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  <c r="AC724" s="26"/>
      <c r="AD724" s="26"/>
      <c r="AE724" s="26"/>
      <c r="AF724" s="26"/>
      <c r="AG724" s="26"/>
      <c r="AH724" s="26"/>
      <c r="AI724" s="26"/>
      <c r="AJ724" s="26"/>
      <c r="AK724" s="26"/>
      <c r="AL724" s="26"/>
      <c r="AM724" s="26"/>
    </row>
    <row r="725" ht="14.25" customHeight="1">
      <c r="A725" s="26"/>
      <c r="B725" s="84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  <c r="AA725" s="26"/>
      <c r="AB725" s="26"/>
      <c r="AC725" s="26"/>
      <c r="AD725" s="26"/>
      <c r="AE725" s="26"/>
      <c r="AF725" s="26"/>
      <c r="AG725" s="26"/>
      <c r="AH725" s="26"/>
      <c r="AI725" s="26"/>
      <c r="AJ725" s="26"/>
      <c r="AK725" s="26"/>
      <c r="AL725" s="26"/>
      <c r="AM725" s="26"/>
    </row>
    <row r="726" ht="14.25" customHeight="1">
      <c r="A726" s="26"/>
      <c r="B726" s="84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  <c r="AC726" s="26"/>
      <c r="AD726" s="26"/>
      <c r="AE726" s="26"/>
      <c r="AF726" s="26"/>
      <c r="AG726" s="26"/>
      <c r="AH726" s="26"/>
      <c r="AI726" s="26"/>
      <c r="AJ726" s="26"/>
      <c r="AK726" s="26"/>
      <c r="AL726" s="26"/>
      <c r="AM726" s="26"/>
    </row>
    <row r="727" ht="14.25" customHeight="1">
      <c r="A727" s="26"/>
      <c r="B727" s="84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  <c r="AA727" s="26"/>
      <c r="AB727" s="26"/>
      <c r="AC727" s="26"/>
      <c r="AD727" s="26"/>
      <c r="AE727" s="26"/>
      <c r="AF727" s="26"/>
      <c r="AG727" s="26"/>
      <c r="AH727" s="26"/>
      <c r="AI727" s="26"/>
      <c r="AJ727" s="26"/>
      <c r="AK727" s="26"/>
      <c r="AL727" s="26"/>
      <c r="AM727" s="26"/>
    </row>
    <row r="728" ht="14.25" customHeight="1">
      <c r="A728" s="26"/>
      <c r="B728" s="84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  <c r="AC728" s="26"/>
      <c r="AD728" s="26"/>
      <c r="AE728" s="26"/>
      <c r="AF728" s="26"/>
      <c r="AG728" s="26"/>
      <c r="AH728" s="26"/>
      <c r="AI728" s="26"/>
      <c r="AJ728" s="26"/>
      <c r="AK728" s="26"/>
      <c r="AL728" s="26"/>
      <c r="AM728" s="26"/>
    </row>
    <row r="729" ht="14.25" customHeight="1">
      <c r="A729" s="26"/>
      <c r="B729" s="84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  <c r="AA729" s="26"/>
      <c r="AB729" s="26"/>
      <c r="AC729" s="26"/>
      <c r="AD729" s="26"/>
      <c r="AE729" s="26"/>
      <c r="AF729" s="26"/>
      <c r="AG729" s="26"/>
      <c r="AH729" s="26"/>
      <c r="AI729" s="26"/>
      <c r="AJ729" s="26"/>
      <c r="AK729" s="26"/>
      <c r="AL729" s="26"/>
      <c r="AM729" s="26"/>
    </row>
    <row r="730" ht="14.25" customHeight="1">
      <c r="A730" s="26"/>
      <c r="B730" s="84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  <c r="AC730" s="26"/>
      <c r="AD730" s="26"/>
      <c r="AE730" s="26"/>
      <c r="AF730" s="26"/>
      <c r="AG730" s="26"/>
      <c r="AH730" s="26"/>
      <c r="AI730" s="26"/>
      <c r="AJ730" s="26"/>
      <c r="AK730" s="26"/>
      <c r="AL730" s="26"/>
      <c r="AM730" s="26"/>
    </row>
    <row r="731" ht="14.25" customHeight="1">
      <c r="A731" s="26"/>
      <c r="B731" s="84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  <c r="AA731" s="26"/>
      <c r="AB731" s="26"/>
      <c r="AC731" s="26"/>
      <c r="AD731" s="26"/>
      <c r="AE731" s="26"/>
      <c r="AF731" s="26"/>
      <c r="AG731" s="26"/>
      <c r="AH731" s="26"/>
      <c r="AI731" s="26"/>
      <c r="AJ731" s="26"/>
      <c r="AK731" s="26"/>
      <c r="AL731" s="26"/>
      <c r="AM731" s="26"/>
    </row>
    <row r="732" ht="14.25" customHeight="1">
      <c r="A732" s="26"/>
      <c r="B732" s="84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  <c r="AB732" s="26"/>
      <c r="AC732" s="26"/>
      <c r="AD732" s="26"/>
      <c r="AE732" s="26"/>
      <c r="AF732" s="26"/>
      <c r="AG732" s="26"/>
      <c r="AH732" s="26"/>
      <c r="AI732" s="26"/>
      <c r="AJ732" s="26"/>
      <c r="AK732" s="26"/>
      <c r="AL732" s="26"/>
      <c r="AM732" s="26"/>
    </row>
    <row r="733" ht="14.25" customHeight="1">
      <c r="A733" s="26"/>
      <c r="B733" s="84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  <c r="AA733" s="26"/>
      <c r="AB733" s="26"/>
      <c r="AC733" s="26"/>
      <c r="AD733" s="26"/>
      <c r="AE733" s="26"/>
      <c r="AF733" s="26"/>
      <c r="AG733" s="26"/>
      <c r="AH733" s="26"/>
      <c r="AI733" s="26"/>
      <c r="AJ733" s="26"/>
      <c r="AK733" s="26"/>
      <c r="AL733" s="26"/>
      <c r="AM733" s="26"/>
    </row>
    <row r="734" ht="14.25" customHeight="1">
      <c r="A734" s="26"/>
      <c r="B734" s="84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  <c r="AB734" s="26"/>
      <c r="AC734" s="26"/>
      <c r="AD734" s="26"/>
      <c r="AE734" s="26"/>
      <c r="AF734" s="26"/>
      <c r="AG734" s="26"/>
      <c r="AH734" s="26"/>
      <c r="AI734" s="26"/>
      <c r="AJ734" s="26"/>
      <c r="AK734" s="26"/>
      <c r="AL734" s="26"/>
      <c r="AM734" s="26"/>
    </row>
    <row r="735" ht="14.25" customHeight="1">
      <c r="A735" s="26"/>
      <c r="B735" s="84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  <c r="AA735" s="26"/>
      <c r="AB735" s="26"/>
      <c r="AC735" s="26"/>
      <c r="AD735" s="26"/>
      <c r="AE735" s="26"/>
      <c r="AF735" s="26"/>
      <c r="AG735" s="26"/>
      <c r="AH735" s="26"/>
      <c r="AI735" s="26"/>
      <c r="AJ735" s="26"/>
      <c r="AK735" s="26"/>
      <c r="AL735" s="26"/>
      <c r="AM735" s="26"/>
    </row>
    <row r="736" ht="14.25" customHeight="1">
      <c r="A736" s="26"/>
      <c r="B736" s="84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  <c r="AC736" s="26"/>
      <c r="AD736" s="26"/>
      <c r="AE736" s="26"/>
      <c r="AF736" s="26"/>
      <c r="AG736" s="26"/>
      <c r="AH736" s="26"/>
      <c r="AI736" s="26"/>
      <c r="AJ736" s="26"/>
      <c r="AK736" s="26"/>
      <c r="AL736" s="26"/>
      <c r="AM736" s="26"/>
    </row>
    <row r="737" ht="14.25" customHeight="1">
      <c r="A737" s="26"/>
      <c r="B737" s="84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  <c r="AA737" s="26"/>
      <c r="AB737" s="26"/>
      <c r="AC737" s="26"/>
      <c r="AD737" s="26"/>
      <c r="AE737" s="26"/>
      <c r="AF737" s="26"/>
      <c r="AG737" s="26"/>
      <c r="AH737" s="26"/>
      <c r="AI737" s="26"/>
      <c r="AJ737" s="26"/>
      <c r="AK737" s="26"/>
      <c r="AL737" s="26"/>
      <c r="AM737" s="26"/>
    </row>
    <row r="738" ht="14.25" customHeight="1">
      <c r="A738" s="26"/>
      <c r="B738" s="84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  <c r="AB738" s="26"/>
      <c r="AC738" s="26"/>
      <c r="AD738" s="26"/>
      <c r="AE738" s="26"/>
      <c r="AF738" s="26"/>
      <c r="AG738" s="26"/>
      <c r="AH738" s="26"/>
      <c r="AI738" s="26"/>
      <c r="AJ738" s="26"/>
      <c r="AK738" s="26"/>
      <c r="AL738" s="26"/>
      <c r="AM738" s="26"/>
    </row>
    <row r="739" ht="14.25" customHeight="1">
      <c r="A739" s="26"/>
      <c r="B739" s="84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  <c r="AA739" s="26"/>
      <c r="AB739" s="26"/>
      <c r="AC739" s="26"/>
      <c r="AD739" s="26"/>
      <c r="AE739" s="26"/>
      <c r="AF739" s="26"/>
      <c r="AG739" s="26"/>
      <c r="AH739" s="26"/>
      <c r="AI739" s="26"/>
      <c r="AJ739" s="26"/>
      <c r="AK739" s="26"/>
      <c r="AL739" s="26"/>
      <c r="AM739" s="26"/>
    </row>
    <row r="740" ht="14.25" customHeight="1">
      <c r="A740" s="26"/>
      <c r="B740" s="84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  <c r="AB740" s="26"/>
      <c r="AC740" s="26"/>
      <c r="AD740" s="26"/>
      <c r="AE740" s="26"/>
      <c r="AF740" s="26"/>
      <c r="AG740" s="26"/>
      <c r="AH740" s="26"/>
      <c r="AI740" s="26"/>
      <c r="AJ740" s="26"/>
      <c r="AK740" s="26"/>
      <c r="AL740" s="26"/>
      <c r="AM740" s="26"/>
    </row>
    <row r="741" ht="14.25" customHeight="1">
      <c r="A741" s="26"/>
      <c r="B741" s="84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  <c r="AA741" s="26"/>
      <c r="AB741" s="26"/>
      <c r="AC741" s="26"/>
      <c r="AD741" s="26"/>
      <c r="AE741" s="26"/>
      <c r="AF741" s="26"/>
      <c r="AG741" s="26"/>
      <c r="AH741" s="26"/>
      <c r="AI741" s="26"/>
      <c r="AJ741" s="26"/>
      <c r="AK741" s="26"/>
      <c r="AL741" s="26"/>
      <c r="AM741" s="26"/>
    </row>
    <row r="742" ht="14.25" customHeight="1">
      <c r="A742" s="26"/>
      <c r="B742" s="84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  <c r="AB742" s="26"/>
      <c r="AC742" s="26"/>
      <c r="AD742" s="26"/>
      <c r="AE742" s="26"/>
      <c r="AF742" s="26"/>
      <c r="AG742" s="26"/>
      <c r="AH742" s="26"/>
      <c r="AI742" s="26"/>
      <c r="AJ742" s="26"/>
      <c r="AK742" s="26"/>
      <c r="AL742" s="26"/>
      <c r="AM742" s="26"/>
    </row>
    <row r="743" ht="14.25" customHeight="1">
      <c r="A743" s="26"/>
      <c r="B743" s="84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  <c r="AA743" s="26"/>
      <c r="AB743" s="26"/>
      <c r="AC743" s="26"/>
      <c r="AD743" s="26"/>
      <c r="AE743" s="26"/>
      <c r="AF743" s="26"/>
      <c r="AG743" s="26"/>
      <c r="AH743" s="26"/>
      <c r="AI743" s="26"/>
      <c r="AJ743" s="26"/>
      <c r="AK743" s="26"/>
      <c r="AL743" s="26"/>
      <c r="AM743" s="26"/>
    </row>
    <row r="744" ht="14.25" customHeight="1">
      <c r="A744" s="26"/>
      <c r="B744" s="84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  <c r="AA744" s="26"/>
      <c r="AB744" s="26"/>
      <c r="AC744" s="26"/>
      <c r="AD744" s="26"/>
      <c r="AE744" s="26"/>
      <c r="AF744" s="26"/>
      <c r="AG744" s="26"/>
      <c r="AH744" s="26"/>
      <c r="AI744" s="26"/>
      <c r="AJ744" s="26"/>
      <c r="AK744" s="26"/>
      <c r="AL744" s="26"/>
      <c r="AM744" s="26"/>
    </row>
    <row r="745" ht="14.25" customHeight="1">
      <c r="A745" s="26"/>
      <c r="B745" s="84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  <c r="AA745" s="26"/>
      <c r="AB745" s="26"/>
      <c r="AC745" s="26"/>
      <c r="AD745" s="26"/>
      <c r="AE745" s="26"/>
      <c r="AF745" s="26"/>
      <c r="AG745" s="26"/>
      <c r="AH745" s="26"/>
      <c r="AI745" s="26"/>
      <c r="AJ745" s="26"/>
      <c r="AK745" s="26"/>
      <c r="AL745" s="26"/>
      <c r="AM745" s="26"/>
    </row>
    <row r="746" ht="14.25" customHeight="1">
      <c r="A746" s="26"/>
      <c r="B746" s="84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  <c r="AA746" s="26"/>
      <c r="AB746" s="26"/>
      <c r="AC746" s="26"/>
      <c r="AD746" s="26"/>
      <c r="AE746" s="26"/>
      <c r="AF746" s="26"/>
      <c r="AG746" s="26"/>
      <c r="AH746" s="26"/>
      <c r="AI746" s="26"/>
      <c r="AJ746" s="26"/>
      <c r="AK746" s="26"/>
      <c r="AL746" s="26"/>
      <c r="AM746" s="26"/>
    </row>
    <row r="747" ht="14.25" customHeight="1">
      <c r="A747" s="26"/>
      <c r="B747" s="84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  <c r="AA747" s="26"/>
      <c r="AB747" s="26"/>
      <c r="AC747" s="26"/>
      <c r="AD747" s="26"/>
      <c r="AE747" s="26"/>
      <c r="AF747" s="26"/>
      <c r="AG747" s="26"/>
      <c r="AH747" s="26"/>
      <c r="AI747" s="26"/>
      <c r="AJ747" s="26"/>
      <c r="AK747" s="26"/>
      <c r="AL747" s="26"/>
      <c r="AM747" s="26"/>
    </row>
    <row r="748" ht="14.25" customHeight="1">
      <c r="A748" s="26"/>
      <c r="B748" s="84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  <c r="AA748" s="26"/>
      <c r="AB748" s="26"/>
      <c r="AC748" s="26"/>
      <c r="AD748" s="26"/>
      <c r="AE748" s="26"/>
      <c r="AF748" s="26"/>
      <c r="AG748" s="26"/>
      <c r="AH748" s="26"/>
      <c r="AI748" s="26"/>
      <c r="AJ748" s="26"/>
      <c r="AK748" s="26"/>
      <c r="AL748" s="26"/>
      <c r="AM748" s="26"/>
    </row>
    <row r="749" ht="14.25" customHeight="1">
      <c r="A749" s="26"/>
      <c r="B749" s="84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  <c r="AA749" s="26"/>
      <c r="AB749" s="26"/>
      <c r="AC749" s="26"/>
      <c r="AD749" s="26"/>
      <c r="AE749" s="26"/>
      <c r="AF749" s="26"/>
      <c r="AG749" s="26"/>
      <c r="AH749" s="26"/>
      <c r="AI749" s="26"/>
      <c r="AJ749" s="26"/>
      <c r="AK749" s="26"/>
      <c r="AL749" s="26"/>
      <c r="AM749" s="26"/>
    </row>
    <row r="750" ht="14.25" customHeight="1">
      <c r="A750" s="26"/>
      <c r="B750" s="84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  <c r="AB750" s="26"/>
      <c r="AC750" s="26"/>
      <c r="AD750" s="26"/>
      <c r="AE750" s="26"/>
      <c r="AF750" s="26"/>
      <c r="AG750" s="26"/>
      <c r="AH750" s="26"/>
      <c r="AI750" s="26"/>
      <c r="AJ750" s="26"/>
      <c r="AK750" s="26"/>
      <c r="AL750" s="26"/>
      <c r="AM750" s="26"/>
    </row>
    <row r="751" ht="14.25" customHeight="1">
      <c r="A751" s="26"/>
      <c r="B751" s="84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  <c r="AA751" s="26"/>
      <c r="AB751" s="26"/>
      <c r="AC751" s="26"/>
      <c r="AD751" s="26"/>
      <c r="AE751" s="26"/>
      <c r="AF751" s="26"/>
      <c r="AG751" s="26"/>
      <c r="AH751" s="26"/>
      <c r="AI751" s="26"/>
      <c r="AJ751" s="26"/>
      <c r="AK751" s="26"/>
      <c r="AL751" s="26"/>
      <c r="AM751" s="26"/>
    </row>
    <row r="752" ht="14.25" customHeight="1">
      <c r="A752" s="26"/>
      <c r="B752" s="84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  <c r="AA752" s="26"/>
      <c r="AB752" s="26"/>
      <c r="AC752" s="26"/>
      <c r="AD752" s="26"/>
      <c r="AE752" s="26"/>
      <c r="AF752" s="26"/>
      <c r="AG752" s="26"/>
      <c r="AH752" s="26"/>
      <c r="AI752" s="26"/>
      <c r="AJ752" s="26"/>
      <c r="AK752" s="26"/>
      <c r="AL752" s="26"/>
      <c r="AM752" s="26"/>
    </row>
    <row r="753" ht="14.25" customHeight="1">
      <c r="A753" s="26"/>
      <c r="B753" s="84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  <c r="AA753" s="26"/>
      <c r="AB753" s="26"/>
      <c r="AC753" s="26"/>
      <c r="AD753" s="26"/>
      <c r="AE753" s="26"/>
      <c r="AF753" s="26"/>
      <c r="AG753" s="26"/>
      <c r="AH753" s="26"/>
      <c r="AI753" s="26"/>
      <c r="AJ753" s="26"/>
      <c r="AK753" s="26"/>
      <c r="AL753" s="26"/>
      <c r="AM753" s="26"/>
    </row>
    <row r="754" ht="14.25" customHeight="1">
      <c r="A754" s="26"/>
      <c r="B754" s="84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  <c r="AA754" s="26"/>
      <c r="AB754" s="26"/>
      <c r="AC754" s="26"/>
      <c r="AD754" s="26"/>
      <c r="AE754" s="26"/>
      <c r="AF754" s="26"/>
      <c r="AG754" s="26"/>
      <c r="AH754" s="26"/>
      <c r="AI754" s="26"/>
      <c r="AJ754" s="26"/>
      <c r="AK754" s="26"/>
      <c r="AL754" s="26"/>
      <c r="AM754" s="26"/>
    </row>
    <row r="755" ht="14.25" customHeight="1">
      <c r="A755" s="26"/>
      <c r="B755" s="84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  <c r="AA755" s="26"/>
      <c r="AB755" s="26"/>
      <c r="AC755" s="26"/>
      <c r="AD755" s="26"/>
      <c r="AE755" s="26"/>
      <c r="AF755" s="26"/>
      <c r="AG755" s="26"/>
      <c r="AH755" s="26"/>
      <c r="AI755" s="26"/>
      <c r="AJ755" s="26"/>
      <c r="AK755" s="26"/>
      <c r="AL755" s="26"/>
      <c r="AM755" s="26"/>
    </row>
    <row r="756" ht="14.25" customHeight="1">
      <c r="A756" s="26"/>
      <c r="B756" s="84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  <c r="AA756" s="26"/>
      <c r="AB756" s="26"/>
      <c r="AC756" s="26"/>
      <c r="AD756" s="26"/>
      <c r="AE756" s="26"/>
      <c r="AF756" s="26"/>
      <c r="AG756" s="26"/>
      <c r="AH756" s="26"/>
      <c r="AI756" s="26"/>
      <c r="AJ756" s="26"/>
      <c r="AK756" s="26"/>
      <c r="AL756" s="26"/>
      <c r="AM756" s="26"/>
    </row>
    <row r="757" ht="14.25" customHeight="1">
      <c r="A757" s="26"/>
      <c r="B757" s="84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  <c r="AA757" s="26"/>
      <c r="AB757" s="26"/>
      <c r="AC757" s="26"/>
      <c r="AD757" s="26"/>
      <c r="AE757" s="26"/>
      <c r="AF757" s="26"/>
      <c r="AG757" s="26"/>
      <c r="AH757" s="26"/>
      <c r="AI757" s="26"/>
      <c r="AJ757" s="26"/>
      <c r="AK757" s="26"/>
      <c r="AL757" s="26"/>
      <c r="AM757" s="26"/>
    </row>
    <row r="758" ht="14.25" customHeight="1">
      <c r="A758" s="26"/>
      <c r="B758" s="84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  <c r="AA758" s="26"/>
      <c r="AB758" s="26"/>
      <c r="AC758" s="26"/>
      <c r="AD758" s="26"/>
      <c r="AE758" s="26"/>
      <c r="AF758" s="26"/>
      <c r="AG758" s="26"/>
      <c r="AH758" s="26"/>
      <c r="AI758" s="26"/>
      <c r="AJ758" s="26"/>
      <c r="AK758" s="26"/>
      <c r="AL758" s="26"/>
      <c r="AM758" s="26"/>
    </row>
    <row r="759" ht="14.25" customHeight="1">
      <c r="A759" s="26"/>
      <c r="B759" s="84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  <c r="AA759" s="26"/>
      <c r="AB759" s="26"/>
      <c r="AC759" s="26"/>
      <c r="AD759" s="26"/>
      <c r="AE759" s="26"/>
      <c r="AF759" s="26"/>
      <c r="AG759" s="26"/>
      <c r="AH759" s="26"/>
      <c r="AI759" s="26"/>
      <c r="AJ759" s="26"/>
      <c r="AK759" s="26"/>
      <c r="AL759" s="26"/>
      <c r="AM759" s="26"/>
    </row>
    <row r="760" ht="14.25" customHeight="1">
      <c r="A760" s="26"/>
      <c r="B760" s="84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  <c r="AA760" s="26"/>
      <c r="AB760" s="26"/>
      <c r="AC760" s="26"/>
      <c r="AD760" s="26"/>
      <c r="AE760" s="26"/>
      <c r="AF760" s="26"/>
      <c r="AG760" s="26"/>
      <c r="AH760" s="26"/>
      <c r="AI760" s="26"/>
      <c r="AJ760" s="26"/>
      <c r="AK760" s="26"/>
      <c r="AL760" s="26"/>
      <c r="AM760" s="26"/>
    </row>
    <row r="761" ht="14.25" customHeight="1">
      <c r="A761" s="26"/>
      <c r="B761" s="84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  <c r="AA761" s="26"/>
      <c r="AB761" s="26"/>
      <c r="AC761" s="26"/>
      <c r="AD761" s="26"/>
      <c r="AE761" s="26"/>
      <c r="AF761" s="26"/>
      <c r="AG761" s="26"/>
      <c r="AH761" s="26"/>
      <c r="AI761" s="26"/>
      <c r="AJ761" s="26"/>
      <c r="AK761" s="26"/>
      <c r="AL761" s="26"/>
      <c r="AM761" s="26"/>
    </row>
    <row r="762" ht="14.25" customHeight="1">
      <c r="A762" s="26"/>
      <c r="B762" s="84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  <c r="AA762" s="26"/>
      <c r="AB762" s="26"/>
      <c r="AC762" s="26"/>
      <c r="AD762" s="26"/>
      <c r="AE762" s="26"/>
      <c r="AF762" s="26"/>
      <c r="AG762" s="26"/>
      <c r="AH762" s="26"/>
      <c r="AI762" s="26"/>
      <c r="AJ762" s="26"/>
      <c r="AK762" s="26"/>
      <c r="AL762" s="26"/>
      <c r="AM762" s="26"/>
    </row>
    <row r="763" ht="14.25" customHeight="1">
      <c r="A763" s="26"/>
      <c r="B763" s="84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  <c r="AA763" s="26"/>
      <c r="AB763" s="26"/>
      <c r="AC763" s="26"/>
      <c r="AD763" s="26"/>
      <c r="AE763" s="26"/>
      <c r="AF763" s="26"/>
      <c r="AG763" s="26"/>
      <c r="AH763" s="26"/>
      <c r="AI763" s="26"/>
      <c r="AJ763" s="26"/>
      <c r="AK763" s="26"/>
      <c r="AL763" s="26"/>
      <c r="AM763" s="26"/>
    </row>
    <row r="764" ht="14.25" customHeight="1">
      <c r="A764" s="26"/>
      <c r="B764" s="84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  <c r="AA764" s="26"/>
      <c r="AB764" s="26"/>
      <c r="AC764" s="26"/>
      <c r="AD764" s="26"/>
      <c r="AE764" s="26"/>
      <c r="AF764" s="26"/>
      <c r="AG764" s="26"/>
      <c r="AH764" s="26"/>
      <c r="AI764" s="26"/>
      <c r="AJ764" s="26"/>
      <c r="AK764" s="26"/>
      <c r="AL764" s="26"/>
      <c r="AM764" s="26"/>
    </row>
    <row r="765" ht="14.25" customHeight="1">
      <c r="A765" s="26"/>
      <c r="B765" s="84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  <c r="AA765" s="26"/>
      <c r="AB765" s="26"/>
      <c r="AC765" s="26"/>
      <c r="AD765" s="26"/>
      <c r="AE765" s="26"/>
      <c r="AF765" s="26"/>
      <c r="AG765" s="26"/>
      <c r="AH765" s="26"/>
      <c r="AI765" s="26"/>
      <c r="AJ765" s="26"/>
      <c r="AK765" s="26"/>
      <c r="AL765" s="26"/>
      <c r="AM765" s="26"/>
    </row>
    <row r="766" ht="14.25" customHeight="1">
      <c r="A766" s="26"/>
      <c r="B766" s="84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  <c r="AA766" s="26"/>
      <c r="AB766" s="26"/>
      <c r="AC766" s="26"/>
      <c r="AD766" s="26"/>
      <c r="AE766" s="26"/>
      <c r="AF766" s="26"/>
      <c r="AG766" s="26"/>
      <c r="AH766" s="26"/>
      <c r="AI766" s="26"/>
      <c r="AJ766" s="26"/>
      <c r="AK766" s="26"/>
      <c r="AL766" s="26"/>
      <c r="AM766" s="26"/>
    </row>
    <row r="767" ht="14.25" customHeight="1">
      <c r="A767" s="26"/>
      <c r="B767" s="84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  <c r="AA767" s="26"/>
      <c r="AB767" s="26"/>
      <c r="AC767" s="26"/>
      <c r="AD767" s="26"/>
      <c r="AE767" s="26"/>
      <c r="AF767" s="26"/>
      <c r="AG767" s="26"/>
      <c r="AH767" s="26"/>
      <c r="AI767" s="26"/>
      <c r="AJ767" s="26"/>
      <c r="AK767" s="26"/>
      <c r="AL767" s="26"/>
      <c r="AM767" s="26"/>
    </row>
    <row r="768" ht="14.25" customHeight="1">
      <c r="A768" s="26"/>
      <c r="B768" s="84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  <c r="AA768" s="26"/>
      <c r="AB768" s="26"/>
      <c r="AC768" s="26"/>
      <c r="AD768" s="26"/>
      <c r="AE768" s="26"/>
      <c r="AF768" s="26"/>
      <c r="AG768" s="26"/>
      <c r="AH768" s="26"/>
      <c r="AI768" s="26"/>
      <c r="AJ768" s="26"/>
      <c r="AK768" s="26"/>
      <c r="AL768" s="26"/>
      <c r="AM768" s="26"/>
    </row>
    <row r="769" ht="14.25" customHeight="1">
      <c r="A769" s="26"/>
      <c r="B769" s="84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  <c r="AA769" s="26"/>
      <c r="AB769" s="26"/>
      <c r="AC769" s="26"/>
      <c r="AD769" s="26"/>
      <c r="AE769" s="26"/>
      <c r="AF769" s="26"/>
      <c r="AG769" s="26"/>
      <c r="AH769" s="26"/>
      <c r="AI769" s="26"/>
      <c r="AJ769" s="26"/>
      <c r="AK769" s="26"/>
      <c r="AL769" s="26"/>
      <c r="AM769" s="26"/>
    </row>
    <row r="770" ht="14.25" customHeight="1">
      <c r="A770" s="26"/>
      <c r="B770" s="84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  <c r="AA770" s="26"/>
      <c r="AB770" s="26"/>
      <c r="AC770" s="26"/>
      <c r="AD770" s="26"/>
      <c r="AE770" s="26"/>
      <c r="AF770" s="26"/>
      <c r="AG770" s="26"/>
      <c r="AH770" s="26"/>
      <c r="AI770" s="26"/>
      <c r="AJ770" s="26"/>
      <c r="AK770" s="26"/>
      <c r="AL770" s="26"/>
      <c r="AM770" s="26"/>
    </row>
    <row r="771" ht="14.25" customHeight="1">
      <c r="A771" s="26"/>
      <c r="B771" s="84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  <c r="AA771" s="26"/>
      <c r="AB771" s="26"/>
      <c r="AC771" s="26"/>
      <c r="AD771" s="26"/>
      <c r="AE771" s="26"/>
      <c r="AF771" s="26"/>
      <c r="AG771" s="26"/>
      <c r="AH771" s="26"/>
      <c r="AI771" s="26"/>
      <c r="AJ771" s="26"/>
      <c r="AK771" s="26"/>
      <c r="AL771" s="26"/>
      <c r="AM771" s="26"/>
    </row>
    <row r="772" ht="14.25" customHeight="1">
      <c r="A772" s="26"/>
      <c r="B772" s="84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  <c r="AA772" s="26"/>
      <c r="AB772" s="26"/>
      <c r="AC772" s="26"/>
      <c r="AD772" s="26"/>
      <c r="AE772" s="26"/>
      <c r="AF772" s="26"/>
      <c r="AG772" s="26"/>
      <c r="AH772" s="26"/>
      <c r="AI772" s="26"/>
      <c r="AJ772" s="26"/>
      <c r="AK772" s="26"/>
      <c r="AL772" s="26"/>
      <c r="AM772" s="26"/>
    </row>
    <row r="773" ht="14.25" customHeight="1">
      <c r="A773" s="26"/>
      <c r="B773" s="84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  <c r="AA773" s="26"/>
      <c r="AB773" s="26"/>
      <c r="AC773" s="26"/>
      <c r="AD773" s="26"/>
      <c r="AE773" s="26"/>
      <c r="AF773" s="26"/>
      <c r="AG773" s="26"/>
      <c r="AH773" s="26"/>
      <c r="AI773" s="26"/>
      <c r="AJ773" s="26"/>
      <c r="AK773" s="26"/>
      <c r="AL773" s="26"/>
      <c r="AM773" s="26"/>
    </row>
    <row r="774" ht="14.25" customHeight="1">
      <c r="A774" s="26"/>
      <c r="B774" s="84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  <c r="AA774" s="26"/>
      <c r="AB774" s="26"/>
      <c r="AC774" s="26"/>
      <c r="AD774" s="26"/>
      <c r="AE774" s="26"/>
      <c r="AF774" s="26"/>
      <c r="AG774" s="26"/>
      <c r="AH774" s="26"/>
      <c r="AI774" s="26"/>
      <c r="AJ774" s="26"/>
      <c r="AK774" s="26"/>
      <c r="AL774" s="26"/>
      <c r="AM774" s="26"/>
    </row>
    <row r="775" ht="14.25" customHeight="1">
      <c r="A775" s="26"/>
      <c r="B775" s="84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  <c r="AA775" s="26"/>
      <c r="AB775" s="26"/>
      <c r="AC775" s="26"/>
      <c r="AD775" s="26"/>
      <c r="AE775" s="26"/>
      <c r="AF775" s="26"/>
      <c r="AG775" s="26"/>
      <c r="AH775" s="26"/>
      <c r="AI775" s="26"/>
      <c r="AJ775" s="26"/>
      <c r="AK775" s="26"/>
      <c r="AL775" s="26"/>
      <c r="AM775" s="26"/>
    </row>
    <row r="776" ht="14.25" customHeight="1">
      <c r="A776" s="26"/>
      <c r="B776" s="84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  <c r="AA776" s="26"/>
      <c r="AB776" s="26"/>
      <c r="AC776" s="26"/>
      <c r="AD776" s="26"/>
      <c r="AE776" s="26"/>
      <c r="AF776" s="26"/>
      <c r="AG776" s="26"/>
      <c r="AH776" s="26"/>
      <c r="AI776" s="26"/>
      <c r="AJ776" s="26"/>
      <c r="AK776" s="26"/>
      <c r="AL776" s="26"/>
      <c r="AM776" s="26"/>
    </row>
    <row r="777" ht="14.25" customHeight="1">
      <c r="A777" s="26"/>
      <c r="B777" s="84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  <c r="AA777" s="26"/>
      <c r="AB777" s="26"/>
      <c r="AC777" s="26"/>
      <c r="AD777" s="26"/>
      <c r="AE777" s="26"/>
      <c r="AF777" s="26"/>
      <c r="AG777" s="26"/>
      <c r="AH777" s="26"/>
      <c r="AI777" s="26"/>
      <c r="AJ777" s="26"/>
      <c r="AK777" s="26"/>
      <c r="AL777" s="26"/>
      <c r="AM777" s="26"/>
    </row>
    <row r="778" ht="14.25" customHeight="1">
      <c r="A778" s="26"/>
      <c r="B778" s="84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  <c r="AA778" s="26"/>
      <c r="AB778" s="26"/>
      <c r="AC778" s="26"/>
      <c r="AD778" s="26"/>
      <c r="AE778" s="26"/>
      <c r="AF778" s="26"/>
      <c r="AG778" s="26"/>
      <c r="AH778" s="26"/>
      <c r="AI778" s="26"/>
      <c r="AJ778" s="26"/>
      <c r="AK778" s="26"/>
      <c r="AL778" s="26"/>
      <c r="AM778" s="26"/>
    </row>
    <row r="779" ht="14.25" customHeight="1">
      <c r="A779" s="26"/>
      <c r="B779" s="84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  <c r="AA779" s="26"/>
      <c r="AB779" s="26"/>
      <c r="AC779" s="26"/>
      <c r="AD779" s="26"/>
      <c r="AE779" s="26"/>
      <c r="AF779" s="26"/>
      <c r="AG779" s="26"/>
      <c r="AH779" s="26"/>
      <c r="AI779" s="26"/>
      <c r="AJ779" s="26"/>
      <c r="AK779" s="26"/>
      <c r="AL779" s="26"/>
      <c r="AM779" s="26"/>
    </row>
    <row r="780" ht="14.25" customHeight="1">
      <c r="A780" s="26"/>
      <c r="B780" s="84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  <c r="AA780" s="26"/>
      <c r="AB780" s="26"/>
      <c r="AC780" s="26"/>
      <c r="AD780" s="26"/>
      <c r="AE780" s="26"/>
      <c r="AF780" s="26"/>
      <c r="AG780" s="26"/>
      <c r="AH780" s="26"/>
      <c r="AI780" s="26"/>
      <c r="AJ780" s="26"/>
      <c r="AK780" s="26"/>
      <c r="AL780" s="26"/>
      <c r="AM780" s="26"/>
    </row>
    <row r="781" ht="14.25" customHeight="1">
      <c r="A781" s="26"/>
      <c r="B781" s="84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  <c r="AA781" s="26"/>
      <c r="AB781" s="26"/>
      <c r="AC781" s="26"/>
      <c r="AD781" s="26"/>
      <c r="AE781" s="26"/>
      <c r="AF781" s="26"/>
      <c r="AG781" s="26"/>
      <c r="AH781" s="26"/>
      <c r="AI781" s="26"/>
      <c r="AJ781" s="26"/>
      <c r="AK781" s="26"/>
      <c r="AL781" s="26"/>
      <c r="AM781" s="26"/>
    </row>
    <row r="782" ht="14.25" customHeight="1">
      <c r="A782" s="26"/>
      <c r="B782" s="84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  <c r="AA782" s="26"/>
      <c r="AB782" s="26"/>
      <c r="AC782" s="26"/>
      <c r="AD782" s="26"/>
      <c r="AE782" s="26"/>
      <c r="AF782" s="26"/>
      <c r="AG782" s="26"/>
      <c r="AH782" s="26"/>
      <c r="AI782" s="26"/>
      <c r="AJ782" s="26"/>
      <c r="AK782" s="26"/>
      <c r="AL782" s="26"/>
      <c r="AM782" s="26"/>
    </row>
    <row r="783" ht="14.25" customHeight="1">
      <c r="A783" s="26"/>
      <c r="B783" s="84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  <c r="AA783" s="26"/>
      <c r="AB783" s="26"/>
      <c r="AC783" s="26"/>
      <c r="AD783" s="26"/>
      <c r="AE783" s="26"/>
      <c r="AF783" s="26"/>
      <c r="AG783" s="26"/>
      <c r="AH783" s="26"/>
      <c r="AI783" s="26"/>
      <c r="AJ783" s="26"/>
      <c r="AK783" s="26"/>
      <c r="AL783" s="26"/>
      <c r="AM783" s="26"/>
    </row>
    <row r="784" ht="14.25" customHeight="1">
      <c r="A784" s="26"/>
      <c r="B784" s="84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  <c r="AA784" s="26"/>
      <c r="AB784" s="26"/>
      <c r="AC784" s="26"/>
      <c r="AD784" s="26"/>
      <c r="AE784" s="26"/>
      <c r="AF784" s="26"/>
      <c r="AG784" s="26"/>
      <c r="AH784" s="26"/>
      <c r="AI784" s="26"/>
      <c r="AJ784" s="26"/>
      <c r="AK784" s="26"/>
      <c r="AL784" s="26"/>
      <c r="AM784" s="26"/>
    </row>
    <row r="785" ht="14.25" customHeight="1">
      <c r="A785" s="26"/>
      <c r="B785" s="84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  <c r="AA785" s="26"/>
      <c r="AB785" s="26"/>
      <c r="AC785" s="26"/>
      <c r="AD785" s="26"/>
      <c r="AE785" s="26"/>
      <c r="AF785" s="26"/>
      <c r="AG785" s="26"/>
      <c r="AH785" s="26"/>
      <c r="AI785" s="26"/>
      <c r="AJ785" s="26"/>
      <c r="AK785" s="26"/>
      <c r="AL785" s="26"/>
      <c r="AM785" s="26"/>
    </row>
    <row r="786" ht="14.25" customHeight="1">
      <c r="A786" s="26"/>
      <c r="B786" s="84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  <c r="AA786" s="26"/>
      <c r="AB786" s="26"/>
      <c r="AC786" s="26"/>
      <c r="AD786" s="26"/>
      <c r="AE786" s="26"/>
      <c r="AF786" s="26"/>
      <c r="AG786" s="26"/>
      <c r="AH786" s="26"/>
      <c r="AI786" s="26"/>
      <c r="AJ786" s="26"/>
      <c r="AK786" s="26"/>
      <c r="AL786" s="26"/>
      <c r="AM786" s="26"/>
    </row>
    <row r="787" ht="14.25" customHeight="1">
      <c r="A787" s="26"/>
      <c r="B787" s="84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  <c r="AA787" s="26"/>
      <c r="AB787" s="26"/>
      <c r="AC787" s="26"/>
      <c r="AD787" s="26"/>
      <c r="AE787" s="26"/>
      <c r="AF787" s="26"/>
      <c r="AG787" s="26"/>
      <c r="AH787" s="26"/>
      <c r="AI787" s="26"/>
      <c r="AJ787" s="26"/>
      <c r="AK787" s="26"/>
      <c r="AL787" s="26"/>
      <c r="AM787" s="26"/>
    </row>
    <row r="788" ht="14.25" customHeight="1">
      <c r="A788" s="26"/>
      <c r="B788" s="84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  <c r="AA788" s="26"/>
      <c r="AB788" s="26"/>
      <c r="AC788" s="26"/>
      <c r="AD788" s="26"/>
      <c r="AE788" s="26"/>
      <c r="AF788" s="26"/>
      <c r="AG788" s="26"/>
      <c r="AH788" s="26"/>
      <c r="AI788" s="26"/>
      <c r="AJ788" s="26"/>
      <c r="AK788" s="26"/>
      <c r="AL788" s="26"/>
      <c r="AM788" s="26"/>
    </row>
    <row r="789" ht="14.25" customHeight="1">
      <c r="A789" s="26"/>
      <c r="B789" s="84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  <c r="AA789" s="26"/>
      <c r="AB789" s="26"/>
      <c r="AC789" s="26"/>
      <c r="AD789" s="26"/>
      <c r="AE789" s="26"/>
      <c r="AF789" s="26"/>
      <c r="AG789" s="26"/>
      <c r="AH789" s="26"/>
      <c r="AI789" s="26"/>
      <c r="AJ789" s="26"/>
      <c r="AK789" s="26"/>
      <c r="AL789" s="26"/>
      <c r="AM789" s="26"/>
    </row>
    <row r="790" ht="14.25" customHeight="1">
      <c r="A790" s="26"/>
      <c r="B790" s="84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  <c r="AA790" s="26"/>
      <c r="AB790" s="26"/>
      <c r="AC790" s="26"/>
      <c r="AD790" s="26"/>
      <c r="AE790" s="26"/>
      <c r="AF790" s="26"/>
      <c r="AG790" s="26"/>
      <c r="AH790" s="26"/>
      <c r="AI790" s="26"/>
      <c r="AJ790" s="26"/>
      <c r="AK790" s="26"/>
      <c r="AL790" s="26"/>
      <c r="AM790" s="26"/>
    </row>
    <row r="791" ht="14.25" customHeight="1">
      <c r="A791" s="26"/>
      <c r="B791" s="84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  <c r="AA791" s="26"/>
      <c r="AB791" s="26"/>
      <c r="AC791" s="26"/>
      <c r="AD791" s="26"/>
      <c r="AE791" s="26"/>
      <c r="AF791" s="26"/>
      <c r="AG791" s="26"/>
      <c r="AH791" s="26"/>
      <c r="AI791" s="26"/>
      <c r="AJ791" s="26"/>
      <c r="AK791" s="26"/>
      <c r="AL791" s="26"/>
      <c r="AM791" s="26"/>
    </row>
    <row r="792" ht="14.25" customHeight="1">
      <c r="A792" s="26"/>
      <c r="B792" s="84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  <c r="AA792" s="26"/>
      <c r="AB792" s="26"/>
      <c r="AC792" s="26"/>
      <c r="AD792" s="26"/>
      <c r="AE792" s="26"/>
      <c r="AF792" s="26"/>
      <c r="AG792" s="26"/>
      <c r="AH792" s="26"/>
      <c r="AI792" s="26"/>
      <c r="AJ792" s="26"/>
      <c r="AK792" s="26"/>
      <c r="AL792" s="26"/>
      <c r="AM792" s="26"/>
    </row>
    <row r="793" ht="14.25" customHeight="1">
      <c r="A793" s="26"/>
      <c r="B793" s="84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  <c r="AA793" s="26"/>
      <c r="AB793" s="26"/>
      <c r="AC793" s="26"/>
      <c r="AD793" s="26"/>
      <c r="AE793" s="26"/>
      <c r="AF793" s="26"/>
      <c r="AG793" s="26"/>
      <c r="AH793" s="26"/>
      <c r="AI793" s="26"/>
      <c r="AJ793" s="26"/>
      <c r="AK793" s="26"/>
      <c r="AL793" s="26"/>
      <c r="AM793" s="26"/>
    </row>
    <row r="794" ht="14.25" customHeight="1">
      <c r="A794" s="26"/>
      <c r="B794" s="84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  <c r="AA794" s="26"/>
      <c r="AB794" s="26"/>
      <c r="AC794" s="26"/>
      <c r="AD794" s="26"/>
      <c r="AE794" s="26"/>
      <c r="AF794" s="26"/>
      <c r="AG794" s="26"/>
      <c r="AH794" s="26"/>
      <c r="AI794" s="26"/>
      <c r="AJ794" s="26"/>
      <c r="AK794" s="26"/>
      <c r="AL794" s="26"/>
      <c r="AM794" s="26"/>
    </row>
    <row r="795" ht="14.25" customHeight="1">
      <c r="A795" s="26"/>
      <c r="B795" s="84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  <c r="AA795" s="26"/>
      <c r="AB795" s="26"/>
      <c r="AC795" s="26"/>
      <c r="AD795" s="26"/>
      <c r="AE795" s="26"/>
      <c r="AF795" s="26"/>
      <c r="AG795" s="26"/>
      <c r="AH795" s="26"/>
      <c r="AI795" s="26"/>
      <c r="AJ795" s="26"/>
      <c r="AK795" s="26"/>
      <c r="AL795" s="26"/>
      <c r="AM795" s="26"/>
    </row>
    <row r="796" ht="14.25" customHeight="1">
      <c r="A796" s="26"/>
      <c r="B796" s="84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  <c r="AA796" s="26"/>
      <c r="AB796" s="26"/>
      <c r="AC796" s="26"/>
      <c r="AD796" s="26"/>
      <c r="AE796" s="26"/>
      <c r="AF796" s="26"/>
      <c r="AG796" s="26"/>
      <c r="AH796" s="26"/>
      <c r="AI796" s="26"/>
      <c r="AJ796" s="26"/>
      <c r="AK796" s="26"/>
      <c r="AL796" s="26"/>
      <c r="AM796" s="26"/>
    </row>
    <row r="797" ht="14.25" customHeight="1">
      <c r="A797" s="26"/>
      <c r="B797" s="84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  <c r="AA797" s="26"/>
      <c r="AB797" s="26"/>
      <c r="AC797" s="26"/>
      <c r="AD797" s="26"/>
      <c r="AE797" s="26"/>
      <c r="AF797" s="26"/>
      <c r="AG797" s="26"/>
      <c r="AH797" s="26"/>
      <c r="AI797" s="26"/>
      <c r="AJ797" s="26"/>
      <c r="AK797" s="26"/>
      <c r="AL797" s="26"/>
      <c r="AM797" s="26"/>
    </row>
    <row r="798" ht="14.25" customHeight="1">
      <c r="A798" s="26"/>
      <c r="B798" s="84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  <c r="AA798" s="26"/>
      <c r="AB798" s="26"/>
      <c r="AC798" s="26"/>
      <c r="AD798" s="26"/>
      <c r="AE798" s="26"/>
      <c r="AF798" s="26"/>
      <c r="AG798" s="26"/>
      <c r="AH798" s="26"/>
      <c r="AI798" s="26"/>
      <c r="AJ798" s="26"/>
      <c r="AK798" s="26"/>
      <c r="AL798" s="26"/>
      <c r="AM798" s="26"/>
    </row>
    <row r="799" ht="14.25" customHeight="1">
      <c r="A799" s="26"/>
      <c r="B799" s="84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  <c r="AA799" s="26"/>
      <c r="AB799" s="26"/>
      <c r="AC799" s="26"/>
      <c r="AD799" s="26"/>
      <c r="AE799" s="26"/>
      <c r="AF799" s="26"/>
      <c r="AG799" s="26"/>
      <c r="AH799" s="26"/>
      <c r="AI799" s="26"/>
      <c r="AJ799" s="26"/>
      <c r="AK799" s="26"/>
      <c r="AL799" s="26"/>
      <c r="AM799" s="26"/>
    </row>
    <row r="800" ht="14.25" customHeight="1">
      <c r="A800" s="26"/>
      <c r="B800" s="84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  <c r="AA800" s="26"/>
      <c r="AB800" s="26"/>
      <c r="AC800" s="26"/>
      <c r="AD800" s="26"/>
      <c r="AE800" s="26"/>
      <c r="AF800" s="26"/>
      <c r="AG800" s="26"/>
      <c r="AH800" s="26"/>
      <c r="AI800" s="26"/>
      <c r="AJ800" s="26"/>
      <c r="AK800" s="26"/>
      <c r="AL800" s="26"/>
      <c r="AM800" s="26"/>
    </row>
    <row r="801" ht="14.25" customHeight="1">
      <c r="A801" s="26"/>
      <c r="B801" s="84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  <c r="AA801" s="26"/>
      <c r="AB801" s="26"/>
      <c r="AC801" s="26"/>
      <c r="AD801" s="26"/>
      <c r="AE801" s="26"/>
      <c r="AF801" s="26"/>
      <c r="AG801" s="26"/>
      <c r="AH801" s="26"/>
      <c r="AI801" s="26"/>
      <c r="AJ801" s="26"/>
      <c r="AK801" s="26"/>
      <c r="AL801" s="26"/>
      <c r="AM801" s="26"/>
    </row>
    <row r="802" ht="14.25" customHeight="1">
      <c r="A802" s="26"/>
      <c r="B802" s="84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  <c r="AA802" s="26"/>
      <c r="AB802" s="26"/>
      <c r="AC802" s="26"/>
      <c r="AD802" s="26"/>
      <c r="AE802" s="26"/>
      <c r="AF802" s="26"/>
      <c r="AG802" s="26"/>
      <c r="AH802" s="26"/>
      <c r="AI802" s="26"/>
      <c r="AJ802" s="26"/>
      <c r="AK802" s="26"/>
      <c r="AL802" s="26"/>
      <c r="AM802" s="26"/>
    </row>
    <row r="803" ht="14.25" customHeight="1">
      <c r="A803" s="26"/>
      <c r="B803" s="84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  <c r="AA803" s="26"/>
      <c r="AB803" s="26"/>
      <c r="AC803" s="26"/>
      <c r="AD803" s="26"/>
      <c r="AE803" s="26"/>
      <c r="AF803" s="26"/>
      <c r="AG803" s="26"/>
      <c r="AH803" s="26"/>
      <c r="AI803" s="26"/>
      <c r="AJ803" s="26"/>
      <c r="AK803" s="26"/>
      <c r="AL803" s="26"/>
      <c r="AM803" s="26"/>
    </row>
    <row r="804" ht="14.25" customHeight="1">
      <c r="A804" s="26"/>
      <c r="B804" s="84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  <c r="AB804" s="26"/>
      <c r="AC804" s="26"/>
      <c r="AD804" s="26"/>
      <c r="AE804" s="26"/>
      <c r="AF804" s="26"/>
      <c r="AG804" s="26"/>
      <c r="AH804" s="26"/>
      <c r="AI804" s="26"/>
      <c r="AJ804" s="26"/>
      <c r="AK804" s="26"/>
      <c r="AL804" s="26"/>
      <c r="AM804" s="26"/>
    </row>
    <row r="805" ht="14.25" customHeight="1">
      <c r="A805" s="26"/>
      <c r="B805" s="84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  <c r="AA805" s="26"/>
      <c r="AB805" s="26"/>
      <c r="AC805" s="26"/>
      <c r="AD805" s="26"/>
      <c r="AE805" s="26"/>
      <c r="AF805" s="26"/>
      <c r="AG805" s="26"/>
      <c r="AH805" s="26"/>
      <c r="AI805" s="26"/>
      <c r="AJ805" s="26"/>
      <c r="AK805" s="26"/>
      <c r="AL805" s="26"/>
      <c r="AM805" s="26"/>
    </row>
    <row r="806" ht="14.25" customHeight="1">
      <c r="A806" s="26"/>
      <c r="B806" s="84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  <c r="AB806" s="26"/>
      <c r="AC806" s="26"/>
      <c r="AD806" s="26"/>
      <c r="AE806" s="26"/>
      <c r="AF806" s="26"/>
      <c r="AG806" s="26"/>
      <c r="AH806" s="26"/>
      <c r="AI806" s="26"/>
      <c r="AJ806" s="26"/>
      <c r="AK806" s="26"/>
      <c r="AL806" s="26"/>
      <c r="AM806" s="26"/>
    </row>
    <row r="807" ht="14.25" customHeight="1">
      <c r="A807" s="26"/>
      <c r="B807" s="84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  <c r="AA807" s="26"/>
      <c r="AB807" s="26"/>
      <c r="AC807" s="26"/>
      <c r="AD807" s="26"/>
      <c r="AE807" s="26"/>
      <c r="AF807" s="26"/>
      <c r="AG807" s="26"/>
      <c r="AH807" s="26"/>
      <c r="AI807" s="26"/>
      <c r="AJ807" s="26"/>
      <c r="AK807" s="26"/>
      <c r="AL807" s="26"/>
      <c r="AM807" s="26"/>
    </row>
    <row r="808" ht="14.25" customHeight="1">
      <c r="A808" s="26"/>
      <c r="B808" s="84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  <c r="AA808" s="26"/>
      <c r="AB808" s="26"/>
      <c r="AC808" s="26"/>
      <c r="AD808" s="26"/>
      <c r="AE808" s="26"/>
      <c r="AF808" s="26"/>
      <c r="AG808" s="26"/>
      <c r="AH808" s="26"/>
      <c r="AI808" s="26"/>
      <c r="AJ808" s="26"/>
      <c r="AK808" s="26"/>
      <c r="AL808" s="26"/>
      <c r="AM808" s="26"/>
    </row>
    <row r="809" ht="14.25" customHeight="1">
      <c r="A809" s="26"/>
      <c r="B809" s="84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  <c r="AA809" s="26"/>
      <c r="AB809" s="26"/>
      <c r="AC809" s="26"/>
      <c r="AD809" s="26"/>
      <c r="AE809" s="26"/>
      <c r="AF809" s="26"/>
      <c r="AG809" s="26"/>
      <c r="AH809" s="26"/>
      <c r="AI809" s="26"/>
      <c r="AJ809" s="26"/>
      <c r="AK809" s="26"/>
      <c r="AL809" s="26"/>
      <c r="AM809" s="26"/>
    </row>
    <row r="810" ht="14.25" customHeight="1">
      <c r="A810" s="26"/>
      <c r="B810" s="84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  <c r="AA810" s="26"/>
      <c r="AB810" s="26"/>
      <c r="AC810" s="26"/>
      <c r="AD810" s="26"/>
      <c r="AE810" s="26"/>
      <c r="AF810" s="26"/>
      <c r="AG810" s="26"/>
      <c r="AH810" s="26"/>
      <c r="AI810" s="26"/>
      <c r="AJ810" s="26"/>
      <c r="AK810" s="26"/>
      <c r="AL810" s="26"/>
      <c r="AM810" s="26"/>
    </row>
    <row r="811" ht="14.25" customHeight="1">
      <c r="A811" s="26"/>
      <c r="B811" s="84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  <c r="AA811" s="26"/>
      <c r="AB811" s="26"/>
      <c r="AC811" s="26"/>
      <c r="AD811" s="26"/>
      <c r="AE811" s="26"/>
      <c r="AF811" s="26"/>
      <c r="AG811" s="26"/>
      <c r="AH811" s="26"/>
      <c r="AI811" s="26"/>
      <c r="AJ811" s="26"/>
      <c r="AK811" s="26"/>
      <c r="AL811" s="26"/>
      <c r="AM811" s="26"/>
    </row>
    <row r="812" ht="14.25" customHeight="1">
      <c r="A812" s="26"/>
      <c r="B812" s="84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  <c r="AA812" s="26"/>
      <c r="AB812" s="26"/>
      <c r="AC812" s="26"/>
      <c r="AD812" s="26"/>
      <c r="AE812" s="26"/>
      <c r="AF812" s="26"/>
      <c r="AG812" s="26"/>
      <c r="AH812" s="26"/>
      <c r="AI812" s="26"/>
      <c r="AJ812" s="26"/>
      <c r="AK812" s="26"/>
      <c r="AL812" s="26"/>
      <c r="AM812" s="26"/>
    </row>
    <row r="813" ht="14.25" customHeight="1">
      <c r="A813" s="26"/>
      <c r="B813" s="84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  <c r="AA813" s="26"/>
      <c r="AB813" s="26"/>
      <c r="AC813" s="26"/>
      <c r="AD813" s="26"/>
      <c r="AE813" s="26"/>
      <c r="AF813" s="26"/>
      <c r="AG813" s="26"/>
      <c r="AH813" s="26"/>
      <c r="AI813" s="26"/>
      <c r="AJ813" s="26"/>
      <c r="AK813" s="26"/>
      <c r="AL813" s="26"/>
      <c r="AM813" s="26"/>
    </row>
    <row r="814" ht="14.25" customHeight="1">
      <c r="A814" s="26"/>
      <c r="B814" s="84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  <c r="AA814" s="26"/>
      <c r="AB814" s="26"/>
      <c r="AC814" s="26"/>
      <c r="AD814" s="26"/>
      <c r="AE814" s="26"/>
      <c r="AF814" s="26"/>
      <c r="AG814" s="26"/>
      <c r="AH814" s="26"/>
      <c r="AI814" s="26"/>
      <c r="AJ814" s="26"/>
      <c r="AK814" s="26"/>
      <c r="AL814" s="26"/>
      <c r="AM814" s="26"/>
    </row>
    <row r="815" ht="14.25" customHeight="1">
      <c r="A815" s="26"/>
      <c r="B815" s="84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  <c r="AA815" s="26"/>
      <c r="AB815" s="26"/>
      <c r="AC815" s="26"/>
      <c r="AD815" s="26"/>
      <c r="AE815" s="26"/>
      <c r="AF815" s="26"/>
      <c r="AG815" s="26"/>
      <c r="AH815" s="26"/>
      <c r="AI815" s="26"/>
      <c r="AJ815" s="26"/>
      <c r="AK815" s="26"/>
      <c r="AL815" s="26"/>
      <c r="AM815" s="26"/>
    </row>
    <row r="816" ht="14.25" customHeight="1">
      <c r="A816" s="26"/>
      <c r="B816" s="84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  <c r="AA816" s="26"/>
      <c r="AB816" s="26"/>
      <c r="AC816" s="26"/>
      <c r="AD816" s="26"/>
      <c r="AE816" s="26"/>
      <c r="AF816" s="26"/>
      <c r="AG816" s="26"/>
      <c r="AH816" s="26"/>
      <c r="AI816" s="26"/>
      <c r="AJ816" s="26"/>
      <c r="AK816" s="26"/>
      <c r="AL816" s="26"/>
      <c r="AM816" s="26"/>
    </row>
    <row r="817" ht="14.25" customHeight="1">
      <c r="A817" s="26"/>
      <c r="B817" s="84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  <c r="AA817" s="26"/>
      <c r="AB817" s="26"/>
      <c r="AC817" s="26"/>
      <c r="AD817" s="26"/>
      <c r="AE817" s="26"/>
      <c r="AF817" s="26"/>
      <c r="AG817" s="26"/>
      <c r="AH817" s="26"/>
      <c r="AI817" s="26"/>
      <c r="AJ817" s="26"/>
      <c r="AK817" s="26"/>
      <c r="AL817" s="26"/>
      <c r="AM817" s="26"/>
    </row>
    <row r="818" ht="14.25" customHeight="1">
      <c r="A818" s="26"/>
      <c r="B818" s="84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  <c r="AA818" s="26"/>
      <c r="AB818" s="26"/>
      <c r="AC818" s="26"/>
      <c r="AD818" s="26"/>
      <c r="AE818" s="26"/>
      <c r="AF818" s="26"/>
      <c r="AG818" s="26"/>
      <c r="AH818" s="26"/>
      <c r="AI818" s="26"/>
      <c r="AJ818" s="26"/>
      <c r="AK818" s="26"/>
      <c r="AL818" s="26"/>
      <c r="AM818" s="26"/>
    </row>
    <row r="819" ht="14.25" customHeight="1">
      <c r="A819" s="26"/>
      <c r="B819" s="84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  <c r="AA819" s="26"/>
      <c r="AB819" s="26"/>
      <c r="AC819" s="26"/>
      <c r="AD819" s="26"/>
      <c r="AE819" s="26"/>
      <c r="AF819" s="26"/>
      <c r="AG819" s="26"/>
      <c r="AH819" s="26"/>
      <c r="AI819" s="26"/>
      <c r="AJ819" s="26"/>
      <c r="AK819" s="26"/>
      <c r="AL819" s="26"/>
      <c r="AM819" s="26"/>
    </row>
    <row r="820" ht="14.25" customHeight="1">
      <c r="A820" s="26"/>
      <c r="B820" s="84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  <c r="AA820" s="26"/>
      <c r="AB820" s="26"/>
      <c r="AC820" s="26"/>
      <c r="AD820" s="26"/>
      <c r="AE820" s="26"/>
      <c r="AF820" s="26"/>
      <c r="AG820" s="26"/>
      <c r="AH820" s="26"/>
      <c r="AI820" s="26"/>
      <c r="AJ820" s="26"/>
      <c r="AK820" s="26"/>
      <c r="AL820" s="26"/>
      <c r="AM820" s="26"/>
    </row>
    <row r="821" ht="14.25" customHeight="1">
      <c r="A821" s="26"/>
      <c r="B821" s="84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  <c r="AA821" s="26"/>
      <c r="AB821" s="26"/>
      <c r="AC821" s="26"/>
      <c r="AD821" s="26"/>
      <c r="AE821" s="26"/>
      <c r="AF821" s="26"/>
      <c r="AG821" s="26"/>
      <c r="AH821" s="26"/>
      <c r="AI821" s="26"/>
      <c r="AJ821" s="26"/>
      <c r="AK821" s="26"/>
      <c r="AL821" s="26"/>
      <c r="AM821" s="26"/>
    </row>
    <row r="822" ht="14.25" customHeight="1">
      <c r="A822" s="26"/>
      <c r="B822" s="84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  <c r="AA822" s="26"/>
      <c r="AB822" s="26"/>
      <c r="AC822" s="26"/>
      <c r="AD822" s="26"/>
      <c r="AE822" s="26"/>
      <c r="AF822" s="26"/>
      <c r="AG822" s="26"/>
      <c r="AH822" s="26"/>
      <c r="AI822" s="26"/>
      <c r="AJ822" s="26"/>
      <c r="AK822" s="26"/>
      <c r="AL822" s="26"/>
      <c r="AM822" s="26"/>
    </row>
    <row r="823" ht="14.25" customHeight="1">
      <c r="A823" s="26"/>
      <c r="B823" s="84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  <c r="AA823" s="26"/>
      <c r="AB823" s="26"/>
      <c r="AC823" s="26"/>
      <c r="AD823" s="26"/>
      <c r="AE823" s="26"/>
      <c r="AF823" s="26"/>
      <c r="AG823" s="26"/>
      <c r="AH823" s="26"/>
      <c r="AI823" s="26"/>
      <c r="AJ823" s="26"/>
      <c r="AK823" s="26"/>
      <c r="AL823" s="26"/>
      <c r="AM823" s="26"/>
    </row>
    <row r="824" ht="14.25" customHeight="1">
      <c r="A824" s="26"/>
      <c r="B824" s="84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  <c r="AA824" s="26"/>
      <c r="AB824" s="26"/>
      <c r="AC824" s="26"/>
      <c r="AD824" s="26"/>
      <c r="AE824" s="26"/>
      <c r="AF824" s="26"/>
      <c r="AG824" s="26"/>
      <c r="AH824" s="26"/>
      <c r="AI824" s="26"/>
      <c r="AJ824" s="26"/>
      <c r="AK824" s="26"/>
      <c r="AL824" s="26"/>
      <c r="AM824" s="26"/>
    </row>
    <row r="825" ht="14.25" customHeight="1">
      <c r="A825" s="26"/>
      <c r="B825" s="84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  <c r="AA825" s="26"/>
      <c r="AB825" s="26"/>
      <c r="AC825" s="26"/>
      <c r="AD825" s="26"/>
      <c r="AE825" s="26"/>
      <c r="AF825" s="26"/>
      <c r="AG825" s="26"/>
      <c r="AH825" s="26"/>
      <c r="AI825" s="26"/>
      <c r="AJ825" s="26"/>
      <c r="AK825" s="26"/>
      <c r="AL825" s="26"/>
      <c r="AM825" s="26"/>
    </row>
    <row r="826" ht="14.25" customHeight="1">
      <c r="A826" s="26"/>
      <c r="B826" s="84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  <c r="AA826" s="26"/>
      <c r="AB826" s="26"/>
      <c r="AC826" s="26"/>
      <c r="AD826" s="26"/>
      <c r="AE826" s="26"/>
      <c r="AF826" s="26"/>
      <c r="AG826" s="26"/>
      <c r="AH826" s="26"/>
      <c r="AI826" s="26"/>
      <c r="AJ826" s="26"/>
      <c r="AK826" s="26"/>
      <c r="AL826" s="26"/>
      <c r="AM826" s="26"/>
    </row>
    <row r="827" ht="14.25" customHeight="1">
      <c r="A827" s="26"/>
      <c r="B827" s="84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  <c r="AA827" s="26"/>
      <c r="AB827" s="26"/>
      <c r="AC827" s="26"/>
      <c r="AD827" s="26"/>
      <c r="AE827" s="26"/>
      <c r="AF827" s="26"/>
      <c r="AG827" s="26"/>
      <c r="AH827" s="26"/>
      <c r="AI827" s="26"/>
      <c r="AJ827" s="26"/>
      <c r="AK827" s="26"/>
      <c r="AL827" s="26"/>
      <c r="AM827" s="26"/>
    </row>
    <row r="828" ht="14.25" customHeight="1">
      <c r="A828" s="26"/>
      <c r="B828" s="84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  <c r="AA828" s="26"/>
      <c r="AB828" s="26"/>
      <c r="AC828" s="26"/>
      <c r="AD828" s="26"/>
      <c r="AE828" s="26"/>
      <c r="AF828" s="26"/>
      <c r="AG828" s="26"/>
      <c r="AH828" s="26"/>
      <c r="AI828" s="26"/>
      <c r="AJ828" s="26"/>
      <c r="AK828" s="26"/>
      <c r="AL828" s="26"/>
      <c r="AM828" s="26"/>
    </row>
    <row r="829" ht="14.25" customHeight="1">
      <c r="A829" s="26"/>
      <c r="B829" s="84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  <c r="AA829" s="26"/>
      <c r="AB829" s="26"/>
      <c r="AC829" s="26"/>
      <c r="AD829" s="26"/>
      <c r="AE829" s="26"/>
      <c r="AF829" s="26"/>
      <c r="AG829" s="26"/>
      <c r="AH829" s="26"/>
      <c r="AI829" s="26"/>
      <c r="AJ829" s="26"/>
      <c r="AK829" s="26"/>
      <c r="AL829" s="26"/>
      <c r="AM829" s="26"/>
    </row>
    <row r="830" ht="14.25" customHeight="1">
      <c r="A830" s="26"/>
      <c r="B830" s="84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  <c r="AA830" s="26"/>
      <c r="AB830" s="26"/>
      <c r="AC830" s="26"/>
      <c r="AD830" s="26"/>
      <c r="AE830" s="26"/>
      <c r="AF830" s="26"/>
      <c r="AG830" s="26"/>
      <c r="AH830" s="26"/>
      <c r="AI830" s="26"/>
      <c r="AJ830" s="26"/>
      <c r="AK830" s="26"/>
      <c r="AL830" s="26"/>
      <c r="AM830" s="26"/>
    </row>
    <row r="831" ht="14.25" customHeight="1">
      <c r="A831" s="26"/>
      <c r="B831" s="84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  <c r="AA831" s="26"/>
      <c r="AB831" s="26"/>
      <c r="AC831" s="26"/>
      <c r="AD831" s="26"/>
      <c r="AE831" s="26"/>
      <c r="AF831" s="26"/>
      <c r="AG831" s="26"/>
      <c r="AH831" s="26"/>
      <c r="AI831" s="26"/>
      <c r="AJ831" s="26"/>
      <c r="AK831" s="26"/>
      <c r="AL831" s="26"/>
      <c r="AM831" s="26"/>
    </row>
    <row r="832" ht="14.25" customHeight="1">
      <c r="A832" s="26"/>
      <c r="B832" s="84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  <c r="AA832" s="26"/>
      <c r="AB832" s="26"/>
      <c r="AC832" s="26"/>
      <c r="AD832" s="26"/>
      <c r="AE832" s="26"/>
      <c r="AF832" s="26"/>
      <c r="AG832" s="26"/>
      <c r="AH832" s="26"/>
      <c r="AI832" s="26"/>
      <c r="AJ832" s="26"/>
      <c r="AK832" s="26"/>
      <c r="AL832" s="26"/>
      <c r="AM832" s="26"/>
    </row>
    <row r="833" ht="14.25" customHeight="1">
      <c r="A833" s="26"/>
      <c r="B833" s="84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  <c r="AA833" s="26"/>
      <c r="AB833" s="26"/>
      <c r="AC833" s="26"/>
      <c r="AD833" s="26"/>
      <c r="AE833" s="26"/>
      <c r="AF833" s="26"/>
      <c r="AG833" s="26"/>
      <c r="AH833" s="26"/>
      <c r="AI833" s="26"/>
      <c r="AJ833" s="26"/>
      <c r="AK833" s="26"/>
      <c r="AL833" s="26"/>
      <c r="AM833" s="26"/>
    </row>
    <row r="834" ht="14.25" customHeight="1">
      <c r="A834" s="26"/>
      <c r="B834" s="84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  <c r="AA834" s="26"/>
      <c r="AB834" s="26"/>
      <c r="AC834" s="26"/>
      <c r="AD834" s="26"/>
      <c r="AE834" s="26"/>
      <c r="AF834" s="26"/>
      <c r="AG834" s="26"/>
      <c r="AH834" s="26"/>
      <c r="AI834" s="26"/>
      <c r="AJ834" s="26"/>
      <c r="AK834" s="26"/>
      <c r="AL834" s="26"/>
      <c r="AM834" s="26"/>
    </row>
    <row r="835" ht="14.25" customHeight="1">
      <c r="A835" s="26"/>
      <c r="B835" s="84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  <c r="AA835" s="26"/>
      <c r="AB835" s="26"/>
      <c r="AC835" s="26"/>
      <c r="AD835" s="26"/>
      <c r="AE835" s="26"/>
      <c r="AF835" s="26"/>
      <c r="AG835" s="26"/>
      <c r="AH835" s="26"/>
      <c r="AI835" s="26"/>
      <c r="AJ835" s="26"/>
      <c r="AK835" s="26"/>
      <c r="AL835" s="26"/>
      <c r="AM835" s="26"/>
    </row>
    <row r="836" ht="14.25" customHeight="1">
      <c r="A836" s="26"/>
      <c r="B836" s="84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  <c r="AB836" s="26"/>
      <c r="AC836" s="26"/>
      <c r="AD836" s="26"/>
      <c r="AE836" s="26"/>
      <c r="AF836" s="26"/>
      <c r="AG836" s="26"/>
      <c r="AH836" s="26"/>
      <c r="AI836" s="26"/>
      <c r="AJ836" s="26"/>
      <c r="AK836" s="26"/>
      <c r="AL836" s="26"/>
      <c r="AM836" s="26"/>
    </row>
    <row r="837" ht="14.25" customHeight="1">
      <c r="A837" s="26"/>
      <c r="B837" s="84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  <c r="AA837" s="26"/>
      <c r="AB837" s="26"/>
      <c r="AC837" s="26"/>
      <c r="AD837" s="26"/>
      <c r="AE837" s="26"/>
      <c r="AF837" s="26"/>
      <c r="AG837" s="26"/>
      <c r="AH837" s="26"/>
      <c r="AI837" s="26"/>
      <c r="AJ837" s="26"/>
      <c r="AK837" s="26"/>
      <c r="AL837" s="26"/>
      <c r="AM837" s="26"/>
    </row>
    <row r="838" ht="14.25" customHeight="1">
      <c r="A838" s="26"/>
      <c r="B838" s="84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  <c r="AA838" s="26"/>
      <c r="AB838" s="26"/>
      <c r="AC838" s="26"/>
      <c r="AD838" s="26"/>
      <c r="AE838" s="26"/>
      <c r="AF838" s="26"/>
      <c r="AG838" s="26"/>
      <c r="AH838" s="26"/>
      <c r="AI838" s="26"/>
      <c r="AJ838" s="26"/>
      <c r="AK838" s="26"/>
      <c r="AL838" s="26"/>
      <c r="AM838" s="26"/>
    </row>
    <row r="839" ht="14.25" customHeight="1">
      <c r="A839" s="26"/>
      <c r="B839" s="84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  <c r="AA839" s="26"/>
      <c r="AB839" s="26"/>
      <c r="AC839" s="26"/>
      <c r="AD839" s="26"/>
      <c r="AE839" s="26"/>
      <c r="AF839" s="26"/>
      <c r="AG839" s="26"/>
      <c r="AH839" s="26"/>
      <c r="AI839" s="26"/>
      <c r="AJ839" s="26"/>
      <c r="AK839" s="26"/>
      <c r="AL839" s="26"/>
      <c r="AM839" s="26"/>
    </row>
    <row r="840" ht="14.25" customHeight="1">
      <c r="A840" s="26"/>
      <c r="B840" s="84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  <c r="AA840" s="26"/>
      <c r="AB840" s="26"/>
      <c r="AC840" s="26"/>
      <c r="AD840" s="26"/>
      <c r="AE840" s="26"/>
      <c r="AF840" s="26"/>
      <c r="AG840" s="26"/>
      <c r="AH840" s="26"/>
      <c r="AI840" s="26"/>
      <c r="AJ840" s="26"/>
      <c r="AK840" s="26"/>
      <c r="AL840" s="26"/>
      <c r="AM840" s="26"/>
    </row>
    <row r="841" ht="14.25" customHeight="1">
      <c r="A841" s="26"/>
      <c r="B841" s="84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  <c r="AA841" s="26"/>
      <c r="AB841" s="26"/>
      <c r="AC841" s="26"/>
      <c r="AD841" s="26"/>
      <c r="AE841" s="26"/>
      <c r="AF841" s="26"/>
      <c r="AG841" s="26"/>
      <c r="AH841" s="26"/>
      <c r="AI841" s="26"/>
      <c r="AJ841" s="26"/>
      <c r="AK841" s="26"/>
      <c r="AL841" s="26"/>
      <c r="AM841" s="26"/>
    </row>
    <row r="842" ht="14.25" customHeight="1">
      <c r="A842" s="26"/>
      <c r="B842" s="84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  <c r="AA842" s="26"/>
      <c r="AB842" s="26"/>
      <c r="AC842" s="26"/>
      <c r="AD842" s="26"/>
      <c r="AE842" s="26"/>
      <c r="AF842" s="26"/>
      <c r="AG842" s="26"/>
      <c r="AH842" s="26"/>
      <c r="AI842" s="26"/>
      <c r="AJ842" s="26"/>
      <c r="AK842" s="26"/>
      <c r="AL842" s="26"/>
      <c r="AM842" s="26"/>
    </row>
    <row r="843" ht="14.25" customHeight="1">
      <c r="A843" s="26"/>
      <c r="B843" s="84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  <c r="AA843" s="26"/>
      <c r="AB843" s="26"/>
      <c r="AC843" s="26"/>
      <c r="AD843" s="26"/>
      <c r="AE843" s="26"/>
      <c r="AF843" s="26"/>
      <c r="AG843" s="26"/>
      <c r="AH843" s="26"/>
      <c r="AI843" s="26"/>
      <c r="AJ843" s="26"/>
      <c r="AK843" s="26"/>
      <c r="AL843" s="26"/>
      <c r="AM843" s="26"/>
    </row>
    <row r="844" ht="14.25" customHeight="1">
      <c r="A844" s="26"/>
      <c r="B844" s="84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  <c r="AA844" s="26"/>
      <c r="AB844" s="26"/>
      <c r="AC844" s="26"/>
      <c r="AD844" s="26"/>
      <c r="AE844" s="26"/>
      <c r="AF844" s="26"/>
      <c r="AG844" s="26"/>
      <c r="AH844" s="26"/>
      <c r="AI844" s="26"/>
      <c r="AJ844" s="26"/>
      <c r="AK844" s="26"/>
      <c r="AL844" s="26"/>
      <c r="AM844" s="26"/>
    </row>
    <row r="845" ht="14.25" customHeight="1">
      <c r="A845" s="26"/>
      <c r="B845" s="84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  <c r="AA845" s="26"/>
      <c r="AB845" s="26"/>
      <c r="AC845" s="26"/>
      <c r="AD845" s="26"/>
      <c r="AE845" s="26"/>
      <c r="AF845" s="26"/>
      <c r="AG845" s="26"/>
      <c r="AH845" s="26"/>
      <c r="AI845" s="26"/>
      <c r="AJ845" s="26"/>
      <c r="AK845" s="26"/>
      <c r="AL845" s="26"/>
      <c r="AM845" s="26"/>
    </row>
    <row r="846" ht="14.25" customHeight="1">
      <c r="A846" s="26"/>
      <c r="B846" s="84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  <c r="AA846" s="26"/>
      <c r="AB846" s="26"/>
      <c r="AC846" s="26"/>
      <c r="AD846" s="26"/>
      <c r="AE846" s="26"/>
      <c r="AF846" s="26"/>
      <c r="AG846" s="26"/>
      <c r="AH846" s="26"/>
      <c r="AI846" s="26"/>
      <c r="AJ846" s="26"/>
      <c r="AK846" s="26"/>
      <c r="AL846" s="26"/>
      <c r="AM846" s="26"/>
    </row>
    <row r="847" ht="14.25" customHeight="1">
      <c r="A847" s="26"/>
      <c r="B847" s="84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  <c r="AA847" s="26"/>
      <c r="AB847" s="26"/>
      <c r="AC847" s="26"/>
      <c r="AD847" s="26"/>
      <c r="AE847" s="26"/>
      <c r="AF847" s="26"/>
      <c r="AG847" s="26"/>
      <c r="AH847" s="26"/>
      <c r="AI847" s="26"/>
      <c r="AJ847" s="26"/>
      <c r="AK847" s="26"/>
      <c r="AL847" s="26"/>
      <c r="AM847" s="26"/>
    </row>
    <row r="848" ht="14.25" customHeight="1">
      <c r="A848" s="26"/>
      <c r="B848" s="84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  <c r="AA848" s="26"/>
      <c r="AB848" s="26"/>
      <c r="AC848" s="26"/>
      <c r="AD848" s="26"/>
      <c r="AE848" s="26"/>
      <c r="AF848" s="26"/>
      <c r="AG848" s="26"/>
      <c r="AH848" s="26"/>
      <c r="AI848" s="26"/>
      <c r="AJ848" s="26"/>
      <c r="AK848" s="26"/>
      <c r="AL848" s="26"/>
      <c r="AM848" s="26"/>
    </row>
    <row r="849" ht="14.25" customHeight="1">
      <c r="A849" s="26"/>
      <c r="B849" s="84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  <c r="AA849" s="26"/>
      <c r="AB849" s="26"/>
      <c r="AC849" s="26"/>
      <c r="AD849" s="26"/>
      <c r="AE849" s="26"/>
      <c r="AF849" s="26"/>
      <c r="AG849" s="26"/>
      <c r="AH849" s="26"/>
      <c r="AI849" s="26"/>
      <c r="AJ849" s="26"/>
      <c r="AK849" s="26"/>
      <c r="AL849" s="26"/>
      <c r="AM849" s="26"/>
    </row>
    <row r="850" ht="14.25" customHeight="1">
      <c r="A850" s="26"/>
      <c r="B850" s="84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  <c r="AA850" s="26"/>
      <c r="AB850" s="26"/>
      <c r="AC850" s="26"/>
      <c r="AD850" s="26"/>
      <c r="AE850" s="26"/>
      <c r="AF850" s="26"/>
      <c r="AG850" s="26"/>
      <c r="AH850" s="26"/>
      <c r="AI850" s="26"/>
      <c r="AJ850" s="26"/>
      <c r="AK850" s="26"/>
      <c r="AL850" s="26"/>
      <c r="AM850" s="26"/>
    </row>
    <row r="851" ht="14.25" customHeight="1">
      <c r="A851" s="26"/>
      <c r="B851" s="84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  <c r="AA851" s="26"/>
      <c r="AB851" s="26"/>
      <c r="AC851" s="26"/>
      <c r="AD851" s="26"/>
      <c r="AE851" s="26"/>
      <c r="AF851" s="26"/>
      <c r="AG851" s="26"/>
      <c r="AH851" s="26"/>
      <c r="AI851" s="26"/>
      <c r="AJ851" s="26"/>
      <c r="AK851" s="26"/>
      <c r="AL851" s="26"/>
      <c r="AM851" s="26"/>
    </row>
    <row r="852" ht="14.25" customHeight="1">
      <c r="A852" s="26"/>
      <c r="B852" s="84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  <c r="AA852" s="26"/>
      <c r="AB852" s="26"/>
      <c r="AC852" s="26"/>
      <c r="AD852" s="26"/>
      <c r="AE852" s="26"/>
      <c r="AF852" s="26"/>
      <c r="AG852" s="26"/>
      <c r="AH852" s="26"/>
      <c r="AI852" s="26"/>
      <c r="AJ852" s="26"/>
      <c r="AK852" s="26"/>
      <c r="AL852" s="26"/>
      <c r="AM852" s="26"/>
    </row>
    <row r="853" ht="14.25" customHeight="1">
      <c r="A853" s="26"/>
      <c r="B853" s="84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  <c r="AA853" s="26"/>
      <c r="AB853" s="26"/>
      <c r="AC853" s="26"/>
      <c r="AD853" s="26"/>
      <c r="AE853" s="26"/>
      <c r="AF853" s="26"/>
      <c r="AG853" s="26"/>
      <c r="AH853" s="26"/>
      <c r="AI853" s="26"/>
      <c r="AJ853" s="26"/>
      <c r="AK853" s="26"/>
      <c r="AL853" s="26"/>
      <c r="AM853" s="26"/>
    </row>
    <row r="854" ht="14.25" customHeight="1">
      <c r="A854" s="26"/>
      <c r="B854" s="84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  <c r="AA854" s="26"/>
      <c r="AB854" s="26"/>
      <c r="AC854" s="26"/>
      <c r="AD854" s="26"/>
      <c r="AE854" s="26"/>
      <c r="AF854" s="26"/>
      <c r="AG854" s="26"/>
      <c r="AH854" s="26"/>
      <c r="AI854" s="26"/>
      <c r="AJ854" s="26"/>
      <c r="AK854" s="26"/>
      <c r="AL854" s="26"/>
      <c r="AM854" s="26"/>
    </row>
    <row r="855" ht="14.25" customHeight="1">
      <c r="A855" s="26"/>
      <c r="B855" s="84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  <c r="AA855" s="26"/>
      <c r="AB855" s="26"/>
      <c r="AC855" s="26"/>
      <c r="AD855" s="26"/>
      <c r="AE855" s="26"/>
      <c r="AF855" s="26"/>
      <c r="AG855" s="26"/>
      <c r="AH855" s="26"/>
      <c r="AI855" s="26"/>
      <c r="AJ855" s="26"/>
      <c r="AK855" s="26"/>
      <c r="AL855" s="26"/>
      <c r="AM855" s="26"/>
    </row>
    <row r="856" ht="14.25" customHeight="1">
      <c r="A856" s="26"/>
      <c r="B856" s="84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  <c r="AA856" s="26"/>
      <c r="AB856" s="26"/>
      <c r="AC856" s="26"/>
      <c r="AD856" s="26"/>
      <c r="AE856" s="26"/>
      <c r="AF856" s="26"/>
      <c r="AG856" s="26"/>
      <c r="AH856" s="26"/>
      <c r="AI856" s="26"/>
      <c r="AJ856" s="26"/>
      <c r="AK856" s="26"/>
      <c r="AL856" s="26"/>
      <c r="AM856" s="26"/>
    </row>
    <row r="857" ht="14.25" customHeight="1">
      <c r="A857" s="26"/>
      <c r="B857" s="84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  <c r="AA857" s="26"/>
      <c r="AB857" s="26"/>
      <c r="AC857" s="26"/>
      <c r="AD857" s="26"/>
      <c r="AE857" s="26"/>
      <c r="AF857" s="26"/>
      <c r="AG857" s="26"/>
      <c r="AH857" s="26"/>
      <c r="AI857" s="26"/>
      <c r="AJ857" s="26"/>
      <c r="AK857" s="26"/>
      <c r="AL857" s="26"/>
      <c r="AM857" s="26"/>
    </row>
    <row r="858" ht="14.25" customHeight="1">
      <c r="A858" s="26"/>
      <c r="B858" s="84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  <c r="AA858" s="26"/>
      <c r="AB858" s="26"/>
      <c r="AC858" s="26"/>
      <c r="AD858" s="26"/>
      <c r="AE858" s="26"/>
      <c r="AF858" s="26"/>
      <c r="AG858" s="26"/>
      <c r="AH858" s="26"/>
      <c r="AI858" s="26"/>
      <c r="AJ858" s="26"/>
      <c r="AK858" s="26"/>
      <c r="AL858" s="26"/>
      <c r="AM858" s="26"/>
    </row>
    <row r="859" ht="14.25" customHeight="1">
      <c r="A859" s="26"/>
      <c r="B859" s="84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  <c r="AA859" s="26"/>
      <c r="AB859" s="26"/>
      <c r="AC859" s="26"/>
      <c r="AD859" s="26"/>
      <c r="AE859" s="26"/>
      <c r="AF859" s="26"/>
      <c r="AG859" s="26"/>
      <c r="AH859" s="26"/>
      <c r="AI859" s="26"/>
      <c r="AJ859" s="26"/>
      <c r="AK859" s="26"/>
      <c r="AL859" s="26"/>
      <c r="AM859" s="26"/>
    </row>
    <row r="860" ht="14.25" customHeight="1">
      <c r="A860" s="26"/>
      <c r="B860" s="84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  <c r="AA860" s="26"/>
      <c r="AB860" s="26"/>
      <c r="AC860" s="26"/>
      <c r="AD860" s="26"/>
      <c r="AE860" s="26"/>
      <c r="AF860" s="26"/>
      <c r="AG860" s="26"/>
      <c r="AH860" s="26"/>
      <c r="AI860" s="26"/>
      <c r="AJ860" s="26"/>
      <c r="AK860" s="26"/>
      <c r="AL860" s="26"/>
      <c r="AM860" s="26"/>
    </row>
    <row r="861" ht="14.25" customHeight="1">
      <c r="A861" s="26"/>
      <c r="B861" s="84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  <c r="AA861" s="26"/>
      <c r="AB861" s="26"/>
      <c r="AC861" s="26"/>
      <c r="AD861" s="26"/>
      <c r="AE861" s="26"/>
      <c r="AF861" s="26"/>
      <c r="AG861" s="26"/>
      <c r="AH861" s="26"/>
      <c r="AI861" s="26"/>
      <c r="AJ861" s="26"/>
      <c r="AK861" s="26"/>
      <c r="AL861" s="26"/>
      <c r="AM861" s="26"/>
    </row>
    <row r="862" ht="14.25" customHeight="1">
      <c r="A862" s="26"/>
      <c r="B862" s="84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  <c r="AA862" s="26"/>
      <c r="AB862" s="26"/>
      <c r="AC862" s="26"/>
      <c r="AD862" s="26"/>
      <c r="AE862" s="26"/>
      <c r="AF862" s="26"/>
      <c r="AG862" s="26"/>
      <c r="AH862" s="26"/>
      <c r="AI862" s="26"/>
      <c r="AJ862" s="26"/>
      <c r="AK862" s="26"/>
      <c r="AL862" s="26"/>
      <c r="AM862" s="26"/>
    </row>
    <row r="863" ht="14.25" customHeight="1">
      <c r="A863" s="26"/>
      <c r="B863" s="84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  <c r="AA863" s="26"/>
      <c r="AB863" s="26"/>
      <c r="AC863" s="26"/>
      <c r="AD863" s="26"/>
      <c r="AE863" s="26"/>
      <c r="AF863" s="26"/>
      <c r="AG863" s="26"/>
      <c r="AH863" s="26"/>
      <c r="AI863" s="26"/>
      <c r="AJ863" s="26"/>
      <c r="AK863" s="26"/>
      <c r="AL863" s="26"/>
      <c r="AM863" s="26"/>
    </row>
    <row r="864" ht="14.25" customHeight="1">
      <c r="A864" s="26"/>
      <c r="B864" s="84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  <c r="AA864" s="26"/>
      <c r="AB864" s="26"/>
      <c r="AC864" s="26"/>
      <c r="AD864" s="26"/>
      <c r="AE864" s="26"/>
      <c r="AF864" s="26"/>
      <c r="AG864" s="26"/>
      <c r="AH864" s="26"/>
      <c r="AI864" s="26"/>
      <c r="AJ864" s="26"/>
      <c r="AK864" s="26"/>
      <c r="AL864" s="26"/>
      <c r="AM864" s="26"/>
    </row>
    <row r="865" ht="14.25" customHeight="1">
      <c r="A865" s="26"/>
      <c r="B865" s="84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  <c r="AA865" s="26"/>
      <c r="AB865" s="26"/>
      <c r="AC865" s="26"/>
      <c r="AD865" s="26"/>
      <c r="AE865" s="26"/>
      <c r="AF865" s="26"/>
      <c r="AG865" s="26"/>
      <c r="AH865" s="26"/>
      <c r="AI865" s="26"/>
      <c r="AJ865" s="26"/>
      <c r="AK865" s="26"/>
      <c r="AL865" s="26"/>
      <c r="AM865" s="26"/>
    </row>
    <row r="866" ht="14.25" customHeight="1">
      <c r="A866" s="26"/>
      <c r="B866" s="84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  <c r="AA866" s="26"/>
      <c r="AB866" s="26"/>
      <c r="AC866" s="26"/>
      <c r="AD866" s="26"/>
      <c r="AE866" s="26"/>
      <c r="AF866" s="26"/>
      <c r="AG866" s="26"/>
      <c r="AH866" s="26"/>
      <c r="AI866" s="26"/>
      <c r="AJ866" s="26"/>
      <c r="AK866" s="26"/>
      <c r="AL866" s="26"/>
      <c r="AM866" s="26"/>
    </row>
    <row r="867" ht="14.25" customHeight="1">
      <c r="A867" s="26"/>
      <c r="B867" s="84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  <c r="AA867" s="26"/>
      <c r="AB867" s="26"/>
      <c r="AC867" s="26"/>
      <c r="AD867" s="26"/>
      <c r="AE867" s="26"/>
      <c r="AF867" s="26"/>
      <c r="AG867" s="26"/>
      <c r="AH867" s="26"/>
      <c r="AI867" s="26"/>
      <c r="AJ867" s="26"/>
      <c r="AK867" s="26"/>
      <c r="AL867" s="26"/>
      <c r="AM867" s="26"/>
    </row>
    <row r="868" ht="14.25" customHeight="1">
      <c r="A868" s="26"/>
      <c r="B868" s="84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  <c r="AA868" s="26"/>
      <c r="AB868" s="26"/>
      <c r="AC868" s="26"/>
      <c r="AD868" s="26"/>
      <c r="AE868" s="26"/>
      <c r="AF868" s="26"/>
      <c r="AG868" s="26"/>
      <c r="AH868" s="26"/>
      <c r="AI868" s="26"/>
      <c r="AJ868" s="26"/>
      <c r="AK868" s="26"/>
      <c r="AL868" s="26"/>
      <c r="AM868" s="26"/>
    </row>
    <row r="869" ht="14.25" customHeight="1">
      <c r="A869" s="26"/>
      <c r="B869" s="84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  <c r="AA869" s="26"/>
      <c r="AB869" s="26"/>
      <c r="AC869" s="26"/>
      <c r="AD869" s="26"/>
      <c r="AE869" s="26"/>
      <c r="AF869" s="26"/>
      <c r="AG869" s="26"/>
      <c r="AH869" s="26"/>
      <c r="AI869" s="26"/>
      <c r="AJ869" s="26"/>
      <c r="AK869" s="26"/>
      <c r="AL869" s="26"/>
      <c r="AM869" s="26"/>
    </row>
    <row r="870" ht="14.25" customHeight="1">
      <c r="A870" s="26"/>
      <c r="B870" s="84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  <c r="AA870" s="26"/>
      <c r="AB870" s="26"/>
      <c r="AC870" s="26"/>
      <c r="AD870" s="26"/>
      <c r="AE870" s="26"/>
      <c r="AF870" s="26"/>
      <c r="AG870" s="26"/>
      <c r="AH870" s="26"/>
      <c r="AI870" s="26"/>
      <c r="AJ870" s="26"/>
      <c r="AK870" s="26"/>
      <c r="AL870" s="26"/>
      <c r="AM870" s="26"/>
    </row>
    <row r="871" ht="14.25" customHeight="1">
      <c r="A871" s="26"/>
      <c r="B871" s="84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  <c r="AA871" s="26"/>
      <c r="AB871" s="26"/>
      <c r="AC871" s="26"/>
      <c r="AD871" s="26"/>
      <c r="AE871" s="26"/>
      <c r="AF871" s="26"/>
      <c r="AG871" s="26"/>
      <c r="AH871" s="26"/>
      <c r="AI871" s="26"/>
      <c r="AJ871" s="26"/>
      <c r="AK871" s="26"/>
      <c r="AL871" s="26"/>
      <c r="AM871" s="26"/>
    </row>
    <row r="872" ht="14.25" customHeight="1">
      <c r="A872" s="26"/>
      <c r="B872" s="84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  <c r="AA872" s="26"/>
      <c r="AB872" s="26"/>
      <c r="AC872" s="26"/>
      <c r="AD872" s="26"/>
      <c r="AE872" s="26"/>
      <c r="AF872" s="26"/>
      <c r="AG872" s="26"/>
      <c r="AH872" s="26"/>
      <c r="AI872" s="26"/>
      <c r="AJ872" s="26"/>
      <c r="AK872" s="26"/>
      <c r="AL872" s="26"/>
      <c r="AM872" s="26"/>
    </row>
    <row r="873" ht="14.25" customHeight="1">
      <c r="A873" s="26"/>
      <c r="B873" s="84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  <c r="AA873" s="26"/>
      <c r="AB873" s="26"/>
      <c r="AC873" s="26"/>
      <c r="AD873" s="26"/>
      <c r="AE873" s="26"/>
      <c r="AF873" s="26"/>
      <c r="AG873" s="26"/>
      <c r="AH873" s="26"/>
      <c r="AI873" s="26"/>
      <c r="AJ873" s="26"/>
      <c r="AK873" s="26"/>
      <c r="AL873" s="26"/>
      <c r="AM873" s="26"/>
    </row>
    <row r="874" ht="14.25" customHeight="1">
      <c r="A874" s="26"/>
      <c r="B874" s="84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  <c r="AA874" s="26"/>
      <c r="AB874" s="26"/>
      <c r="AC874" s="26"/>
      <c r="AD874" s="26"/>
      <c r="AE874" s="26"/>
      <c r="AF874" s="26"/>
      <c r="AG874" s="26"/>
      <c r="AH874" s="26"/>
      <c r="AI874" s="26"/>
      <c r="AJ874" s="26"/>
      <c r="AK874" s="26"/>
      <c r="AL874" s="26"/>
      <c r="AM874" s="26"/>
    </row>
    <row r="875" ht="14.25" customHeight="1">
      <c r="A875" s="26"/>
      <c r="B875" s="84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  <c r="AA875" s="26"/>
      <c r="AB875" s="26"/>
      <c r="AC875" s="26"/>
      <c r="AD875" s="26"/>
      <c r="AE875" s="26"/>
      <c r="AF875" s="26"/>
      <c r="AG875" s="26"/>
      <c r="AH875" s="26"/>
      <c r="AI875" s="26"/>
      <c r="AJ875" s="26"/>
      <c r="AK875" s="26"/>
      <c r="AL875" s="26"/>
      <c r="AM875" s="26"/>
    </row>
    <row r="876" ht="14.25" customHeight="1">
      <c r="A876" s="26"/>
      <c r="B876" s="84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  <c r="AA876" s="26"/>
      <c r="AB876" s="26"/>
      <c r="AC876" s="26"/>
      <c r="AD876" s="26"/>
      <c r="AE876" s="26"/>
      <c r="AF876" s="26"/>
      <c r="AG876" s="26"/>
      <c r="AH876" s="26"/>
      <c r="AI876" s="26"/>
      <c r="AJ876" s="26"/>
      <c r="AK876" s="26"/>
      <c r="AL876" s="26"/>
      <c r="AM876" s="26"/>
    </row>
    <row r="877" ht="14.25" customHeight="1">
      <c r="A877" s="26"/>
      <c r="B877" s="84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  <c r="AA877" s="26"/>
      <c r="AB877" s="26"/>
      <c r="AC877" s="26"/>
      <c r="AD877" s="26"/>
      <c r="AE877" s="26"/>
      <c r="AF877" s="26"/>
      <c r="AG877" s="26"/>
      <c r="AH877" s="26"/>
      <c r="AI877" s="26"/>
      <c r="AJ877" s="26"/>
      <c r="AK877" s="26"/>
      <c r="AL877" s="26"/>
      <c r="AM877" s="26"/>
    </row>
    <row r="878" ht="14.25" customHeight="1">
      <c r="A878" s="26"/>
      <c r="B878" s="84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  <c r="AA878" s="26"/>
      <c r="AB878" s="26"/>
      <c r="AC878" s="26"/>
      <c r="AD878" s="26"/>
      <c r="AE878" s="26"/>
      <c r="AF878" s="26"/>
      <c r="AG878" s="26"/>
      <c r="AH878" s="26"/>
      <c r="AI878" s="26"/>
      <c r="AJ878" s="26"/>
      <c r="AK878" s="26"/>
      <c r="AL878" s="26"/>
      <c r="AM878" s="26"/>
    </row>
    <row r="879" ht="14.25" customHeight="1">
      <c r="A879" s="26"/>
      <c r="B879" s="84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  <c r="AA879" s="26"/>
      <c r="AB879" s="26"/>
      <c r="AC879" s="26"/>
      <c r="AD879" s="26"/>
      <c r="AE879" s="26"/>
      <c r="AF879" s="26"/>
      <c r="AG879" s="26"/>
      <c r="AH879" s="26"/>
      <c r="AI879" s="26"/>
      <c r="AJ879" s="26"/>
      <c r="AK879" s="26"/>
      <c r="AL879" s="26"/>
      <c r="AM879" s="26"/>
    </row>
    <row r="880" ht="14.25" customHeight="1">
      <c r="A880" s="26"/>
      <c r="B880" s="84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  <c r="AA880" s="26"/>
      <c r="AB880" s="26"/>
      <c r="AC880" s="26"/>
      <c r="AD880" s="26"/>
      <c r="AE880" s="26"/>
      <c r="AF880" s="26"/>
      <c r="AG880" s="26"/>
      <c r="AH880" s="26"/>
      <c r="AI880" s="26"/>
      <c r="AJ880" s="26"/>
      <c r="AK880" s="26"/>
      <c r="AL880" s="26"/>
      <c r="AM880" s="26"/>
    </row>
    <row r="881" ht="14.25" customHeight="1">
      <c r="A881" s="26"/>
      <c r="B881" s="84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  <c r="AA881" s="26"/>
      <c r="AB881" s="26"/>
      <c r="AC881" s="26"/>
      <c r="AD881" s="26"/>
      <c r="AE881" s="26"/>
      <c r="AF881" s="26"/>
      <c r="AG881" s="26"/>
      <c r="AH881" s="26"/>
      <c r="AI881" s="26"/>
      <c r="AJ881" s="26"/>
      <c r="AK881" s="26"/>
      <c r="AL881" s="26"/>
      <c r="AM881" s="26"/>
    </row>
    <row r="882" ht="14.25" customHeight="1">
      <c r="A882" s="26"/>
      <c r="B882" s="84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  <c r="AA882" s="26"/>
      <c r="AB882" s="26"/>
      <c r="AC882" s="26"/>
      <c r="AD882" s="26"/>
      <c r="AE882" s="26"/>
      <c r="AF882" s="26"/>
      <c r="AG882" s="26"/>
      <c r="AH882" s="26"/>
      <c r="AI882" s="26"/>
      <c r="AJ882" s="26"/>
      <c r="AK882" s="26"/>
      <c r="AL882" s="26"/>
      <c r="AM882" s="26"/>
    </row>
    <row r="883" ht="14.25" customHeight="1">
      <c r="A883" s="26"/>
      <c r="B883" s="84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  <c r="AA883" s="26"/>
      <c r="AB883" s="26"/>
      <c r="AC883" s="26"/>
      <c r="AD883" s="26"/>
      <c r="AE883" s="26"/>
      <c r="AF883" s="26"/>
      <c r="AG883" s="26"/>
      <c r="AH883" s="26"/>
      <c r="AI883" s="26"/>
      <c r="AJ883" s="26"/>
      <c r="AK883" s="26"/>
      <c r="AL883" s="26"/>
      <c r="AM883" s="26"/>
    </row>
    <row r="884" ht="14.25" customHeight="1">
      <c r="A884" s="26"/>
      <c r="B884" s="84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  <c r="AA884" s="26"/>
      <c r="AB884" s="26"/>
      <c r="AC884" s="26"/>
      <c r="AD884" s="26"/>
      <c r="AE884" s="26"/>
      <c r="AF884" s="26"/>
      <c r="AG884" s="26"/>
      <c r="AH884" s="26"/>
      <c r="AI884" s="26"/>
      <c r="AJ884" s="26"/>
      <c r="AK884" s="26"/>
      <c r="AL884" s="26"/>
      <c r="AM884" s="26"/>
    </row>
    <row r="885" ht="14.25" customHeight="1">
      <c r="A885" s="26"/>
      <c r="B885" s="84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  <c r="AA885" s="26"/>
      <c r="AB885" s="26"/>
      <c r="AC885" s="26"/>
      <c r="AD885" s="26"/>
      <c r="AE885" s="26"/>
      <c r="AF885" s="26"/>
      <c r="AG885" s="26"/>
      <c r="AH885" s="26"/>
      <c r="AI885" s="26"/>
      <c r="AJ885" s="26"/>
      <c r="AK885" s="26"/>
      <c r="AL885" s="26"/>
      <c r="AM885" s="26"/>
    </row>
    <row r="886" ht="14.25" customHeight="1">
      <c r="A886" s="26"/>
      <c r="B886" s="84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  <c r="AA886" s="26"/>
      <c r="AB886" s="26"/>
      <c r="AC886" s="26"/>
      <c r="AD886" s="26"/>
      <c r="AE886" s="26"/>
      <c r="AF886" s="26"/>
      <c r="AG886" s="26"/>
      <c r="AH886" s="26"/>
      <c r="AI886" s="26"/>
      <c r="AJ886" s="26"/>
      <c r="AK886" s="26"/>
      <c r="AL886" s="26"/>
      <c r="AM886" s="26"/>
    </row>
    <row r="887" ht="14.25" customHeight="1">
      <c r="A887" s="26"/>
      <c r="B887" s="84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  <c r="AA887" s="26"/>
      <c r="AB887" s="26"/>
      <c r="AC887" s="26"/>
      <c r="AD887" s="26"/>
      <c r="AE887" s="26"/>
      <c r="AF887" s="26"/>
      <c r="AG887" s="26"/>
      <c r="AH887" s="26"/>
      <c r="AI887" s="26"/>
      <c r="AJ887" s="26"/>
      <c r="AK887" s="26"/>
      <c r="AL887" s="26"/>
      <c r="AM887" s="26"/>
    </row>
    <row r="888" ht="14.25" customHeight="1">
      <c r="A888" s="26"/>
      <c r="B888" s="84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  <c r="AA888" s="26"/>
      <c r="AB888" s="26"/>
      <c r="AC888" s="26"/>
      <c r="AD888" s="26"/>
      <c r="AE888" s="26"/>
      <c r="AF888" s="26"/>
      <c r="AG888" s="26"/>
      <c r="AH888" s="26"/>
      <c r="AI888" s="26"/>
      <c r="AJ888" s="26"/>
      <c r="AK888" s="26"/>
      <c r="AL888" s="26"/>
      <c r="AM888" s="26"/>
    </row>
    <row r="889" ht="14.25" customHeight="1">
      <c r="A889" s="26"/>
      <c r="B889" s="84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  <c r="AA889" s="26"/>
      <c r="AB889" s="26"/>
      <c r="AC889" s="26"/>
      <c r="AD889" s="26"/>
      <c r="AE889" s="26"/>
      <c r="AF889" s="26"/>
      <c r="AG889" s="26"/>
      <c r="AH889" s="26"/>
      <c r="AI889" s="26"/>
      <c r="AJ889" s="26"/>
      <c r="AK889" s="26"/>
      <c r="AL889" s="26"/>
      <c r="AM889" s="26"/>
    </row>
    <row r="890" ht="14.25" customHeight="1">
      <c r="A890" s="26"/>
      <c r="B890" s="84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  <c r="AA890" s="26"/>
      <c r="AB890" s="26"/>
      <c r="AC890" s="26"/>
      <c r="AD890" s="26"/>
      <c r="AE890" s="26"/>
      <c r="AF890" s="26"/>
      <c r="AG890" s="26"/>
      <c r="AH890" s="26"/>
      <c r="AI890" s="26"/>
      <c r="AJ890" s="26"/>
      <c r="AK890" s="26"/>
      <c r="AL890" s="26"/>
      <c r="AM890" s="26"/>
    </row>
    <row r="891" ht="14.25" customHeight="1">
      <c r="A891" s="26"/>
      <c r="B891" s="84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  <c r="AA891" s="26"/>
      <c r="AB891" s="26"/>
      <c r="AC891" s="26"/>
      <c r="AD891" s="26"/>
      <c r="AE891" s="26"/>
      <c r="AF891" s="26"/>
      <c r="AG891" s="26"/>
      <c r="AH891" s="26"/>
      <c r="AI891" s="26"/>
      <c r="AJ891" s="26"/>
      <c r="AK891" s="26"/>
      <c r="AL891" s="26"/>
      <c r="AM891" s="26"/>
    </row>
    <row r="892" ht="14.25" customHeight="1">
      <c r="A892" s="26"/>
      <c r="B892" s="84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  <c r="AA892" s="26"/>
      <c r="AB892" s="26"/>
      <c r="AC892" s="26"/>
      <c r="AD892" s="26"/>
      <c r="AE892" s="26"/>
      <c r="AF892" s="26"/>
      <c r="AG892" s="26"/>
      <c r="AH892" s="26"/>
      <c r="AI892" s="26"/>
      <c r="AJ892" s="26"/>
      <c r="AK892" s="26"/>
      <c r="AL892" s="26"/>
      <c r="AM892" s="26"/>
    </row>
    <row r="893" ht="14.25" customHeight="1">
      <c r="A893" s="26"/>
      <c r="B893" s="84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  <c r="AA893" s="26"/>
      <c r="AB893" s="26"/>
      <c r="AC893" s="26"/>
      <c r="AD893" s="26"/>
      <c r="AE893" s="26"/>
      <c r="AF893" s="26"/>
      <c r="AG893" s="26"/>
      <c r="AH893" s="26"/>
      <c r="AI893" s="26"/>
      <c r="AJ893" s="26"/>
      <c r="AK893" s="26"/>
      <c r="AL893" s="26"/>
      <c r="AM893" s="26"/>
    </row>
    <row r="894" ht="14.25" customHeight="1">
      <c r="A894" s="26"/>
      <c r="B894" s="84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  <c r="AA894" s="26"/>
      <c r="AB894" s="26"/>
      <c r="AC894" s="26"/>
      <c r="AD894" s="26"/>
      <c r="AE894" s="26"/>
      <c r="AF894" s="26"/>
      <c r="AG894" s="26"/>
      <c r="AH894" s="26"/>
      <c r="AI894" s="26"/>
      <c r="AJ894" s="26"/>
      <c r="AK894" s="26"/>
      <c r="AL894" s="26"/>
      <c r="AM894" s="26"/>
    </row>
    <row r="895" ht="14.25" customHeight="1">
      <c r="A895" s="26"/>
      <c r="B895" s="84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  <c r="AA895" s="26"/>
      <c r="AB895" s="26"/>
      <c r="AC895" s="26"/>
      <c r="AD895" s="26"/>
      <c r="AE895" s="26"/>
      <c r="AF895" s="26"/>
      <c r="AG895" s="26"/>
      <c r="AH895" s="26"/>
      <c r="AI895" s="26"/>
      <c r="AJ895" s="26"/>
      <c r="AK895" s="26"/>
      <c r="AL895" s="26"/>
      <c r="AM895" s="26"/>
    </row>
    <row r="896" ht="14.25" customHeight="1">
      <c r="A896" s="26"/>
      <c r="B896" s="84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  <c r="AA896" s="26"/>
      <c r="AB896" s="26"/>
      <c r="AC896" s="26"/>
      <c r="AD896" s="26"/>
      <c r="AE896" s="26"/>
      <c r="AF896" s="26"/>
      <c r="AG896" s="26"/>
      <c r="AH896" s="26"/>
      <c r="AI896" s="26"/>
      <c r="AJ896" s="26"/>
      <c r="AK896" s="26"/>
      <c r="AL896" s="26"/>
      <c r="AM896" s="26"/>
    </row>
    <row r="897" ht="14.25" customHeight="1">
      <c r="A897" s="26"/>
      <c r="B897" s="84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  <c r="AA897" s="26"/>
      <c r="AB897" s="26"/>
      <c r="AC897" s="26"/>
      <c r="AD897" s="26"/>
      <c r="AE897" s="26"/>
      <c r="AF897" s="26"/>
      <c r="AG897" s="26"/>
      <c r="AH897" s="26"/>
      <c r="AI897" s="26"/>
      <c r="AJ897" s="26"/>
      <c r="AK897" s="26"/>
      <c r="AL897" s="26"/>
      <c r="AM897" s="26"/>
    </row>
    <row r="898" ht="14.25" customHeight="1">
      <c r="A898" s="26"/>
      <c r="B898" s="84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  <c r="AA898" s="26"/>
      <c r="AB898" s="26"/>
      <c r="AC898" s="26"/>
      <c r="AD898" s="26"/>
      <c r="AE898" s="26"/>
      <c r="AF898" s="26"/>
      <c r="AG898" s="26"/>
      <c r="AH898" s="26"/>
      <c r="AI898" s="26"/>
      <c r="AJ898" s="26"/>
      <c r="AK898" s="26"/>
      <c r="AL898" s="26"/>
      <c r="AM898" s="26"/>
    </row>
    <row r="899" ht="14.25" customHeight="1">
      <c r="A899" s="26"/>
      <c r="B899" s="84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  <c r="AA899" s="26"/>
      <c r="AB899" s="26"/>
      <c r="AC899" s="26"/>
      <c r="AD899" s="26"/>
      <c r="AE899" s="26"/>
      <c r="AF899" s="26"/>
      <c r="AG899" s="26"/>
      <c r="AH899" s="26"/>
      <c r="AI899" s="26"/>
      <c r="AJ899" s="26"/>
      <c r="AK899" s="26"/>
      <c r="AL899" s="26"/>
      <c r="AM899" s="26"/>
    </row>
    <row r="900" ht="14.25" customHeight="1">
      <c r="A900" s="26"/>
      <c r="B900" s="84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  <c r="AA900" s="26"/>
      <c r="AB900" s="26"/>
      <c r="AC900" s="26"/>
      <c r="AD900" s="26"/>
      <c r="AE900" s="26"/>
      <c r="AF900" s="26"/>
      <c r="AG900" s="26"/>
      <c r="AH900" s="26"/>
      <c r="AI900" s="26"/>
      <c r="AJ900" s="26"/>
      <c r="AK900" s="26"/>
      <c r="AL900" s="26"/>
      <c r="AM900" s="26"/>
    </row>
    <row r="901" ht="14.25" customHeight="1">
      <c r="A901" s="26"/>
      <c r="B901" s="84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  <c r="AA901" s="26"/>
      <c r="AB901" s="26"/>
      <c r="AC901" s="26"/>
      <c r="AD901" s="26"/>
      <c r="AE901" s="26"/>
      <c r="AF901" s="26"/>
      <c r="AG901" s="26"/>
      <c r="AH901" s="26"/>
      <c r="AI901" s="26"/>
      <c r="AJ901" s="26"/>
      <c r="AK901" s="26"/>
      <c r="AL901" s="26"/>
      <c r="AM901" s="26"/>
    </row>
    <row r="902" ht="14.25" customHeight="1">
      <c r="A902" s="26"/>
      <c r="B902" s="84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  <c r="AA902" s="26"/>
      <c r="AB902" s="26"/>
      <c r="AC902" s="26"/>
      <c r="AD902" s="26"/>
      <c r="AE902" s="26"/>
      <c r="AF902" s="26"/>
      <c r="AG902" s="26"/>
      <c r="AH902" s="26"/>
      <c r="AI902" s="26"/>
      <c r="AJ902" s="26"/>
      <c r="AK902" s="26"/>
      <c r="AL902" s="26"/>
      <c r="AM902" s="26"/>
    </row>
    <row r="903" ht="14.25" customHeight="1">
      <c r="A903" s="26"/>
      <c r="B903" s="84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  <c r="AA903" s="26"/>
      <c r="AB903" s="26"/>
      <c r="AC903" s="26"/>
      <c r="AD903" s="26"/>
      <c r="AE903" s="26"/>
      <c r="AF903" s="26"/>
      <c r="AG903" s="26"/>
      <c r="AH903" s="26"/>
      <c r="AI903" s="26"/>
      <c r="AJ903" s="26"/>
      <c r="AK903" s="26"/>
      <c r="AL903" s="26"/>
      <c r="AM903" s="26"/>
    </row>
    <row r="904" ht="14.25" customHeight="1">
      <c r="A904" s="26"/>
      <c r="B904" s="84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  <c r="AA904" s="26"/>
      <c r="AB904" s="26"/>
      <c r="AC904" s="26"/>
      <c r="AD904" s="26"/>
      <c r="AE904" s="26"/>
      <c r="AF904" s="26"/>
      <c r="AG904" s="26"/>
      <c r="AH904" s="26"/>
      <c r="AI904" s="26"/>
      <c r="AJ904" s="26"/>
      <c r="AK904" s="26"/>
      <c r="AL904" s="26"/>
      <c r="AM904" s="26"/>
    </row>
    <row r="905" ht="14.25" customHeight="1">
      <c r="A905" s="26"/>
      <c r="B905" s="84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  <c r="AA905" s="26"/>
      <c r="AB905" s="26"/>
      <c r="AC905" s="26"/>
      <c r="AD905" s="26"/>
      <c r="AE905" s="26"/>
      <c r="AF905" s="26"/>
      <c r="AG905" s="26"/>
      <c r="AH905" s="26"/>
      <c r="AI905" s="26"/>
      <c r="AJ905" s="26"/>
      <c r="AK905" s="26"/>
      <c r="AL905" s="26"/>
      <c r="AM905" s="26"/>
    </row>
    <row r="906" ht="14.25" customHeight="1">
      <c r="A906" s="26"/>
      <c r="B906" s="84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  <c r="AA906" s="26"/>
      <c r="AB906" s="26"/>
      <c r="AC906" s="26"/>
      <c r="AD906" s="26"/>
      <c r="AE906" s="26"/>
      <c r="AF906" s="26"/>
      <c r="AG906" s="26"/>
      <c r="AH906" s="26"/>
      <c r="AI906" s="26"/>
      <c r="AJ906" s="26"/>
      <c r="AK906" s="26"/>
      <c r="AL906" s="26"/>
      <c r="AM906" s="26"/>
    </row>
    <row r="907" ht="14.25" customHeight="1">
      <c r="A907" s="26"/>
      <c r="B907" s="84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  <c r="AA907" s="26"/>
      <c r="AB907" s="26"/>
      <c r="AC907" s="26"/>
      <c r="AD907" s="26"/>
      <c r="AE907" s="26"/>
      <c r="AF907" s="26"/>
      <c r="AG907" s="26"/>
      <c r="AH907" s="26"/>
      <c r="AI907" s="26"/>
      <c r="AJ907" s="26"/>
      <c r="AK907" s="26"/>
      <c r="AL907" s="26"/>
      <c r="AM907" s="26"/>
    </row>
    <row r="908" ht="14.25" customHeight="1">
      <c r="A908" s="26"/>
      <c r="B908" s="84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  <c r="AA908" s="26"/>
      <c r="AB908" s="26"/>
      <c r="AC908" s="26"/>
      <c r="AD908" s="26"/>
      <c r="AE908" s="26"/>
      <c r="AF908" s="26"/>
      <c r="AG908" s="26"/>
      <c r="AH908" s="26"/>
      <c r="AI908" s="26"/>
      <c r="AJ908" s="26"/>
      <c r="AK908" s="26"/>
      <c r="AL908" s="26"/>
      <c r="AM908" s="26"/>
    </row>
    <row r="909" ht="14.25" customHeight="1">
      <c r="A909" s="26"/>
      <c r="B909" s="84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  <c r="AA909" s="26"/>
      <c r="AB909" s="26"/>
      <c r="AC909" s="26"/>
      <c r="AD909" s="26"/>
      <c r="AE909" s="26"/>
      <c r="AF909" s="26"/>
      <c r="AG909" s="26"/>
      <c r="AH909" s="26"/>
      <c r="AI909" s="26"/>
      <c r="AJ909" s="26"/>
      <c r="AK909" s="26"/>
      <c r="AL909" s="26"/>
      <c r="AM909" s="26"/>
    </row>
    <row r="910" ht="14.25" customHeight="1">
      <c r="A910" s="26"/>
      <c r="B910" s="84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  <c r="AA910" s="26"/>
      <c r="AB910" s="26"/>
      <c r="AC910" s="26"/>
      <c r="AD910" s="26"/>
      <c r="AE910" s="26"/>
      <c r="AF910" s="26"/>
      <c r="AG910" s="26"/>
      <c r="AH910" s="26"/>
      <c r="AI910" s="26"/>
      <c r="AJ910" s="26"/>
      <c r="AK910" s="26"/>
      <c r="AL910" s="26"/>
      <c r="AM910" s="26"/>
    </row>
    <row r="911" ht="14.25" customHeight="1">
      <c r="A911" s="26"/>
      <c r="B911" s="84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  <c r="AA911" s="26"/>
      <c r="AB911" s="26"/>
      <c r="AC911" s="26"/>
      <c r="AD911" s="26"/>
      <c r="AE911" s="26"/>
      <c r="AF911" s="26"/>
      <c r="AG911" s="26"/>
      <c r="AH911" s="26"/>
      <c r="AI911" s="26"/>
      <c r="AJ911" s="26"/>
      <c r="AK911" s="26"/>
      <c r="AL911" s="26"/>
      <c r="AM911" s="26"/>
    </row>
    <row r="912" ht="14.25" customHeight="1">
      <c r="A912" s="26"/>
      <c r="B912" s="84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  <c r="AA912" s="26"/>
      <c r="AB912" s="26"/>
      <c r="AC912" s="26"/>
      <c r="AD912" s="26"/>
      <c r="AE912" s="26"/>
      <c r="AF912" s="26"/>
      <c r="AG912" s="26"/>
      <c r="AH912" s="26"/>
      <c r="AI912" s="26"/>
      <c r="AJ912" s="26"/>
      <c r="AK912" s="26"/>
      <c r="AL912" s="26"/>
      <c r="AM912" s="26"/>
    </row>
    <row r="913" ht="14.25" customHeight="1">
      <c r="A913" s="26"/>
      <c r="B913" s="84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  <c r="AA913" s="26"/>
      <c r="AB913" s="26"/>
      <c r="AC913" s="26"/>
      <c r="AD913" s="26"/>
      <c r="AE913" s="26"/>
      <c r="AF913" s="26"/>
      <c r="AG913" s="26"/>
      <c r="AH913" s="26"/>
      <c r="AI913" s="26"/>
      <c r="AJ913" s="26"/>
      <c r="AK913" s="26"/>
      <c r="AL913" s="26"/>
      <c r="AM913" s="26"/>
    </row>
    <row r="914" ht="14.25" customHeight="1">
      <c r="A914" s="26"/>
      <c r="B914" s="84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  <c r="AA914" s="26"/>
      <c r="AB914" s="26"/>
      <c r="AC914" s="26"/>
      <c r="AD914" s="26"/>
      <c r="AE914" s="26"/>
      <c r="AF914" s="26"/>
      <c r="AG914" s="26"/>
      <c r="AH914" s="26"/>
      <c r="AI914" s="26"/>
      <c r="AJ914" s="26"/>
      <c r="AK914" s="26"/>
      <c r="AL914" s="26"/>
      <c r="AM914" s="26"/>
    </row>
    <row r="915" ht="14.25" customHeight="1">
      <c r="A915" s="26"/>
      <c r="B915" s="84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  <c r="AA915" s="26"/>
      <c r="AB915" s="26"/>
      <c r="AC915" s="26"/>
      <c r="AD915" s="26"/>
      <c r="AE915" s="26"/>
      <c r="AF915" s="26"/>
      <c r="AG915" s="26"/>
      <c r="AH915" s="26"/>
      <c r="AI915" s="26"/>
      <c r="AJ915" s="26"/>
      <c r="AK915" s="26"/>
      <c r="AL915" s="26"/>
      <c r="AM915" s="26"/>
    </row>
    <row r="916" ht="14.25" customHeight="1">
      <c r="A916" s="26"/>
      <c r="B916" s="84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  <c r="AA916" s="26"/>
      <c r="AB916" s="26"/>
      <c r="AC916" s="26"/>
      <c r="AD916" s="26"/>
      <c r="AE916" s="26"/>
      <c r="AF916" s="26"/>
      <c r="AG916" s="26"/>
      <c r="AH916" s="26"/>
      <c r="AI916" s="26"/>
      <c r="AJ916" s="26"/>
      <c r="AK916" s="26"/>
      <c r="AL916" s="26"/>
      <c r="AM916" s="26"/>
    </row>
    <row r="917" ht="14.25" customHeight="1">
      <c r="A917" s="26"/>
      <c r="B917" s="84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  <c r="AA917" s="26"/>
      <c r="AB917" s="26"/>
      <c r="AC917" s="26"/>
      <c r="AD917" s="26"/>
      <c r="AE917" s="26"/>
      <c r="AF917" s="26"/>
      <c r="AG917" s="26"/>
      <c r="AH917" s="26"/>
      <c r="AI917" s="26"/>
      <c r="AJ917" s="26"/>
      <c r="AK917" s="26"/>
      <c r="AL917" s="26"/>
      <c r="AM917" s="26"/>
    </row>
    <row r="918" ht="14.25" customHeight="1">
      <c r="A918" s="26"/>
      <c r="B918" s="84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  <c r="AA918" s="26"/>
      <c r="AB918" s="26"/>
      <c r="AC918" s="26"/>
      <c r="AD918" s="26"/>
      <c r="AE918" s="26"/>
      <c r="AF918" s="26"/>
      <c r="AG918" s="26"/>
      <c r="AH918" s="26"/>
      <c r="AI918" s="26"/>
      <c r="AJ918" s="26"/>
      <c r="AK918" s="26"/>
      <c r="AL918" s="26"/>
      <c r="AM918" s="26"/>
    </row>
    <row r="919" ht="14.25" customHeight="1">
      <c r="A919" s="26"/>
      <c r="B919" s="84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  <c r="AA919" s="26"/>
      <c r="AB919" s="26"/>
      <c r="AC919" s="26"/>
      <c r="AD919" s="26"/>
      <c r="AE919" s="26"/>
      <c r="AF919" s="26"/>
      <c r="AG919" s="26"/>
      <c r="AH919" s="26"/>
      <c r="AI919" s="26"/>
      <c r="AJ919" s="26"/>
      <c r="AK919" s="26"/>
      <c r="AL919" s="26"/>
      <c r="AM919" s="26"/>
    </row>
    <row r="920" ht="14.25" customHeight="1">
      <c r="A920" s="26"/>
      <c r="B920" s="84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  <c r="AA920" s="26"/>
      <c r="AB920" s="26"/>
      <c r="AC920" s="26"/>
      <c r="AD920" s="26"/>
      <c r="AE920" s="26"/>
      <c r="AF920" s="26"/>
      <c r="AG920" s="26"/>
      <c r="AH920" s="26"/>
      <c r="AI920" s="26"/>
      <c r="AJ920" s="26"/>
      <c r="AK920" s="26"/>
      <c r="AL920" s="26"/>
      <c r="AM920" s="26"/>
    </row>
    <row r="921" ht="14.25" customHeight="1">
      <c r="A921" s="26"/>
      <c r="B921" s="84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  <c r="AA921" s="26"/>
      <c r="AB921" s="26"/>
      <c r="AC921" s="26"/>
      <c r="AD921" s="26"/>
      <c r="AE921" s="26"/>
      <c r="AF921" s="26"/>
      <c r="AG921" s="26"/>
      <c r="AH921" s="26"/>
      <c r="AI921" s="26"/>
      <c r="AJ921" s="26"/>
      <c r="AK921" s="26"/>
      <c r="AL921" s="26"/>
      <c r="AM921" s="26"/>
    </row>
    <row r="922" ht="14.25" customHeight="1">
      <c r="A922" s="26"/>
      <c r="B922" s="84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  <c r="AA922" s="26"/>
      <c r="AB922" s="26"/>
      <c r="AC922" s="26"/>
      <c r="AD922" s="26"/>
      <c r="AE922" s="26"/>
      <c r="AF922" s="26"/>
      <c r="AG922" s="26"/>
      <c r="AH922" s="26"/>
      <c r="AI922" s="26"/>
      <c r="AJ922" s="26"/>
      <c r="AK922" s="26"/>
      <c r="AL922" s="26"/>
      <c r="AM922" s="26"/>
    </row>
    <row r="923" ht="14.25" customHeight="1">
      <c r="A923" s="26"/>
      <c r="B923" s="84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  <c r="AA923" s="26"/>
      <c r="AB923" s="26"/>
      <c r="AC923" s="26"/>
      <c r="AD923" s="26"/>
      <c r="AE923" s="26"/>
      <c r="AF923" s="26"/>
      <c r="AG923" s="26"/>
      <c r="AH923" s="26"/>
      <c r="AI923" s="26"/>
      <c r="AJ923" s="26"/>
      <c r="AK923" s="26"/>
      <c r="AL923" s="26"/>
      <c r="AM923" s="26"/>
    </row>
    <row r="924" ht="14.25" customHeight="1">
      <c r="A924" s="26"/>
      <c r="B924" s="84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  <c r="AA924" s="26"/>
      <c r="AB924" s="26"/>
      <c r="AC924" s="26"/>
      <c r="AD924" s="26"/>
      <c r="AE924" s="26"/>
      <c r="AF924" s="26"/>
      <c r="AG924" s="26"/>
      <c r="AH924" s="26"/>
      <c r="AI924" s="26"/>
      <c r="AJ924" s="26"/>
      <c r="AK924" s="26"/>
      <c r="AL924" s="26"/>
      <c r="AM924" s="26"/>
    </row>
    <row r="925" ht="14.25" customHeight="1">
      <c r="A925" s="26"/>
      <c r="B925" s="84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  <c r="AA925" s="26"/>
      <c r="AB925" s="26"/>
      <c r="AC925" s="26"/>
      <c r="AD925" s="26"/>
      <c r="AE925" s="26"/>
      <c r="AF925" s="26"/>
      <c r="AG925" s="26"/>
      <c r="AH925" s="26"/>
      <c r="AI925" s="26"/>
      <c r="AJ925" s="26"/>
      <c r="AK925" s="26"/>
      <c r="AL925" s="26"/>
      <c r="AM925" s="26"/>
    </row>
    <row r="926" ht="14.25" customHeight="1">
      <c r="A926" s="26"/>
      <c r="B926" s="84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  <c r="AA926" s="26"/>
      <c r="AB926" s="26"/>
      <c r="AC926" s="26"/>
      <c r="AD926" s="26"/>
      <c r="AE926" s="26"/>
      <c r="AF926" s="26"/>
      <c r="AG926" s="26"/>
      <c r="AH926" s="26"/>
      <c r="AI926" s="26"/>
      <c r="AJ926" s="26"/>
      <c r="AK926" s="26"/>
      <c r="AL926" s="26"/>
      <c r="AM926" s="26"/>
    </row>
    <row r="927" ht="14.25" customHeight="1">
      <c r="A927" s="26"/>
      <c r="B927" s="84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  <c r="AA927" s="26"/>
      <c r="AB927" s="26"/>
      <c r="AC927" s="26"/>
      <c r="AD927" s="26"/>
      <c r="AE927" s="26"/>
      <c r="AF927" s="26"/>
      <c r="AG927" s="26"/>
      <c r="AH927" s="26"/>
      <c r="AI927" s="26"/>
      <c r="AJ927" s="26"/>
      <c r="AK927" s="26"/>
      <c r="AL927" s="26"/>
      <c r="AM927" s="26"/>
    </row>
    <row r="928" ht="14.25" customHeight="1">
      <c r="A928" s="26"/>
      <c r="B928" s="84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  <c r="AA928" s="26"/>
      <c r="AB928" s="26"/>
      <c r="AC928" s="26"/>
      <c r="AD928" s="26"/>
      <c r="AE928" s="26"/>
      <c r="AF928" s="26"/>
      <c r="AG928" s="26"/>
      <c r="AH928" s="26"/>
      <c r="AI928" s="26"/>
      <c r="AJ928" s="26"/>
      <c r="AK928" s="26"/>
      <c r="AL928" s="26"/>
      <c r="AM928" s="26"/>
    </row>
    <row r="929" ht="14.25" customHeight="1">
      <c r="A929" s="26"/>
      <c r="B929" s="84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  <c r="AA929" s="26"/>
      <c r="AB929" s="26"/>
      <c r="AC929" s="26"/>
      <c r="AD929" s="26"/>
      <c r="AE929" s="26"/>
      <c r="AF929" s="26"/>
      <c r="AG929" s="26"/>
      <c r="AH929" s="26"/>
      <c r="AI929" s="26"/>
      <c r="AJ929" s="26"/>
      <c r="AK929" s="26"/>
      <c r="AL929" s="26"/>
      <c r="AM929" s="26"/>
    </row>
    <row r="930" ht="14.25" customHeight="1">
      <c r="A930" s="26"/>
      <c r="B930" s="84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  <c r="AA930" s="26"/>
      <c r="AB930" s="26"/>
      <c r="AC930" s="26"/>
      <c r="AD930" s="26"/>
      <c r="AE930" s="26"/>
      <c r="AF930" s="26"/>
      <c r="AG930" s="26"/>
      <c r="AH930" s="26"/>
      <c r="AI930" s="26"/>
      <c r="AJ930" s="26"/>
      <c r="AK930" s="26"/>
      <c r="AL930" s="26"/>
      <c r="AM930" s="26"/>
    </row>
    <row r="931" ht="14.25" customHeight="1">
      <c r="A931" s="26"/>
      <c r="B931" s="84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  <c r="AA931" s="26"/>
      <c r="AB931" s="26"/>
      <c r="AC931" s="26"/>
      <c r="AD931" s="26"/>
      <c r="AE931" s="26"/>
      <c r="AF931" s="26"/>
      <c r="AG931" s="26"/>
      <c r="AH931" s="26"/>
      <c r="AI931" s="26"/>
      <c r="AJ931" s="26"/>
      <c r="AK931" s="26"/>
      <c r="AL931" s="26"/>
      <c r="AM931" s="26"/>
    </row>
    <row r="932" ht="14.25" customHeight="1">
      <c r="A932" s="26"/>
      <c r="B932" s="84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  <c r="AA932" s="26"/>
      <c r="AB932" s="26"/>
      <c r="AC932" s="26"/>
      <c r="AD932" s="26"/>
      <c r="AE932" s="26"/>
      <c r="AF932" s="26"/>
      <c r="AG932" s="26"/>
      <c r="AH932" s="26"/>
      <c r="AI932" s="26"/>
      <c r="AJ932" s="26"/>
      <c r="AK932" s="26"/>
      <c r="AL932" s="26"/>
      <c r="AM932" s="26"/>
    </row>
    <row r="933" ht="14.25" customHeight="1">
      <c r="A933" s="26"/>
      <c r="B933" s="84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  <c r="AA933" s="26"/>
      <c r="AB933" s="26"/>
      <c r="AC933" s="26"/>
      <c r="AD933" s="26"/>
      <c r="AE933" s="26"/>
      <c r="AF933" s="26"/>
      <c r="AG933" s="26"/>
      <c r="AH933" s="26"/>
      <c r="AI933" s="26"/>
      <c r="AJ933" s="26"/>
      <c r="AK933" s="26"/>
      <c r="AL933" s="26"/>
      <c r="AM933" s="26"/>
    </row>
    <row r="934" ht="14.25" customHeight="1">
      <c r="A934" s="26"/>
      <c r="B934" s="84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  <c r="AA934" s="26"/>
      <c r="AB934" s="26"/>
      <c r="AC934" s="26"/>
      <c r="AD934" s="26"/>
      <c r="AE934" s="26"/>
      <c r="AF934" s="26"/>
      <c r="AG934" s="26"/>
      <c r="AH934" s="26"/>
      <c r="AI934" s="26"/>
      <c r="AJ934" s="26"/>
      <c r="AK934" s="26"/>
      <c r="AL934" s="26"/>
      <c r="AM934" s="26"/>
    </row>
    <row r="935" ht="14.25" customHeight="1">
      <c r="A935" s="26"/>
      <c r="B935" s="84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  <c r="AA935" s="26"/>
      <c r="AB935" s="26"/>
      <c r="AC935" s="26"/>
      <c r="AD935" s="26"/>
      <c r="AE935" s="26"/>
      <c r="AF935" s="26"/>
      <c r="AG935" s="26"/>
      <c r="AH935" s="26"/>
      <c r="AI935" s="26"/>
      <c r="AJ935" s="26"/>
      <c r="AK935" s="26"/>
      <c r="AL935" s="26"/>
      <c r="AM935" s="26"/>
    </row>
    <row r="936" ht="14.25" customHeight="1">
      <c r="A936" s="26"/>
      <c r="B936" s="84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  <c r="AA936" s="26"/>
      <c r="AB936" s="26"/>
      <c r="AC936" s="26"/>
      <c r="AD936" s="26"/>
      <c r="AE936" s="26"/>
      <c r="AF936" s="26"/>
      <c r="AG936" s="26"/>
      <c r="AH936" s="26"/>
      <c r="AI936" s="26"/>
      <c r="AJ936" s="26"/>
      <c r="AK936" s="26"/>
      <c r="AL936" s="26"/>
      <c r="AM936" s="26"/>
    </row>
    <row r="937" ht="14.25" customHeight="1">
      <c r="A937" s="26"/>
      <c r="B937" s="84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  <c r="AA937" s="26"/>
      <c r="AB937" s="26"/>
      <c r="AC937" s="26"/>
      <c r="AD937" s="26"/>
      <c r="AE937" s="26"/>
      <c r="AF937" s="26"/>
      <c r="AG937" s="26"/>
      <c r="AH937" s="26"/>
      <c r="AI937" s="26"/>
      <c r="AJ937" s="26"/>
      <c r="AK937" s="26"/>
      <c r="AL937" s="26"/>
      <c r="AM937" s="26"/>
    </row>
    <row r="938" ht="14.25" customHeight="1">
      <c r="A938" s="26"/>
      <c r="B938" s="84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  <c r="AA938" s="26"/>
      <c r="AB938" s="26"/>
      <c r="AC938" s="26"/>
      <c r="AD938" s="26"/>
      <c r="AE938" s="26"/>
      <c r="AF938" s="26"/>
      <c r="AG938" s="26"/>
      <c r="AH938" s="26"/>
      <c r="AI938" s="26"/>
      <c r="AJ938" s="26"/>
      <c r="AK938" s="26"/>
      <c r="AL938" s="26"/>
      <c r="AM938" s="26"/>
    </row>
    <row r="939" ht="14.25" customHeight="1">
      <c r="A939" s="26"/>
      <c r="B939" s="84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  <c r="AA939" s="26"/>
      <c r="AB939" s="26"/>
      <c r="AC939" s="26"/>
      <c r="AD939" s="26"/>
      <c r="AE939" s="26"/>
      <c r="AF939" s="26"/>
      <c r="AG939" s="26"/>
      <c r="AH939" s="26"/>
      <c r="AI939" s="26"/>
      <c r="AJ939" s="26"/>
      <c r="AK939" s="26"/>
      <c r="AL939" s="26"/>
      <c r="AM939" s="26"/>
    </row>
    <row r="940" ht="14.25" customHeight="1">
      <c r="A940" s="26"/>
      <c r="B940" s="84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  <c r="AA940" s="26"/>
      <c r="AB940" s="26"/>
      <c r="AC940" s="26"/>
      <c r="AD940" s="26"/>
      <c r="AE940" s="26"/>
      <c r="AF940" s="26"/>
      <c r="AG940" s="26"/>
      <c r="AH940" s="26"/>
      <c r="AI940" s="26"/>
      <c r="AJ940" s="26"/>
      <c r="AK940" s="26"/>
      <c r="AL940" s="26"/>
      <c r="AM940" s="26"/>
    </row>
    <row r="941" ht="14.25" customHeight="1">
      <c r="A941" s="26"/>
      <c r="B941" s="84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  <c r="AA941" s="26"/>
      <c r="AB941" s="26"/>
      <c r="AC941" s="26"/>
      <c r="AD941" s="26"/>
      <c r="AE941" s="26"/>
      <c r="AF941" s="26"/>
      <c r="AG941" s="26"/>
      <c r="AH941" s="26"/>
      <c r="AI941" s="26"/>
      <c r="AJ941" s="26"/>
      <c r="AK941" s="26"/>
      <c r="AL941" s="26"/>
      <c r="AM941" s="26"/>
    </row>
    <row r="942" ht="14.25" customHeight="1">
      <c r="A942" s="26"/>
      <c r="B942" s="84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  <c r="AA942" s="26"/>
      <c r="AB942" s="26"/>
      <c r="AC942" s="26"/>
      <c r="AD942" s="26"/>
      <c r="AE942" s="26"/>
      <c r="AF942" s="26"/>
      <c r="AG942" s="26"/>
      <c r="AH942" s="26"/>
      <c r="AI942" s="26"/>
      <c r="AJ942" s="26"/>
      <c r="AK942" s="26"/>
      <c r="AL942" s="26"/>
      <c r="AM942" s="26"/>
    </row>
    <row r="943" ht="14.25" customHeight="1">
      <c r="A943" s="26"/>
      <c r="B943" s="84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  <c r="AA943" s="26"/>
      <c r="AB943" s="26"/>
      <c r="AC943" s="26"/>
      <c r="AD943" s="26"/>
      <c r="AE943" s="26"/>
      <c r="AF943" s="26"/>
      <c r="AG943" s="26"/>
      <c r="AH943" s="26"/>
      <c r="AI943" s="26"/>
      <c r="AJ943" s="26"/>
      <c r="AK943" s="26"/>
      <c r="AL943" s="26"/>
      <c r="AM943" s="26"/>
    </row>
    <row r="944" ht="14.25" customHeight="1">
      <c r="A944" s="26"/>
      <c r="B944" s="84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  <c r="AA944" s="26"/>
      <c r="AB944" s="26"/>
      <c r="AC944" s="26"/>
      <c r="AD944" s="26"/>
      <c r="AE944" s="26"/>
      <c r="AF944" s="26"/>
      <c r="AG944" s="26"/>
      <c r="AH944" s="26"/>
      <c r="AI944" s="26"/>
      <c r="AJ944" s="26"/>
      <c r="AK944" s="26"/>
      <c r="AL944" s="26"/>
      <c r="AM944" s="26"/>
    </row>
    <row r="945" ht="14.25" customHeight="1">
      <c r="A945" s="26"/>
      <c r="B945" s="84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  <c r="AA945" s="26"/>
      <c r="AB945" s="26"/>
      <c r="AC945" s="26"/>
      <c r="AD945" s="26"/>
      <c r="AE945" s="26"/>
      <c r="AF945" s="26"/>
      <c r="AG945" s="26"/>
      <c r="AH945" s="26"/>
      <c r="AI945" s="26"/>
      <c r="AJ945" s="26"/>
      <c r="AK945" s="26"/>
      <c r="AL945" s="26"/>
      <c r="AM945" s="26"/>
    </row>
    <row r="946" ht="14.25" customHeight="1">
      <c r="A946" s="26"/>
      <c r="B946" s="84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  <c r="AA946" s="26"/>
      <c r="AB946" s="26"/>
      <c r="AC946" s="26"/>
      <c r="AD946" s="26"/>
      <c r="AE946" s="26"/>
      <c r="AF946" s="26"/>
      <c r="AG946" s="26"/>
      <c r="AH946" s="26"/>
      <c r="AI946" s="26"/>
      <c r="AJ946" s="26"/>
      <c r="AK946" s="26"/>
      <c r="AL946" s="26"/>
      <c r="AM946" s="26"/>
    </row>
    <row r="947" ht="14.25" customHeight="1">
      <c r="A947" s="26"/>
      <c r="B947" s="84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  <c r="AA947" s="26"/>
      <c r="AB947" s="26"/>
      <c r="AC947" s="26"/>
      <c r="AD947" s="26"/>
      <c r="AE947" s="26"/>
      <c r="AF947" s="26"/>
      <c r="AG947" s="26"/>
      <c r="AH947" s="26"/>
      <c r="AI947" s="26"/>
      <c r="AJ947" s="26"/>
      <c r="AK947" s="26"/>
      <c r="AL947" s="26"/>
      <c r="AM947" s="26"/>
    </row>
    <row r="948" ht="14.25" customHeight="1">
      <c r="A948" s="26"/>
      <c r="B948" s="84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  <c r="AA948" s="26"/>
      <c r="AB948" s="26"/>
      <c r="AC948" s="26"/>
      <c r="AD948" s="26"/>
      <c r="AE948" s="26"/>
      <c r="AF948" s="26"/>
      <c r="AG948" s="26"/>
      <c r="AH948" s="26"/>
      <c r="AI948" s="26"/>
      <c r="AJ948" s="26"/>
      <c r="AK948" s="26"/>
      <c r="AL948" s="26"/>
      <c r="AM948" s="26"/>
    </row>
    <row r="949" ht="14.25" customHeight="1">
      <c r="A949" s="26"/>
      <c r="B949" s="84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  <c r="AA949" s="26"/>
      <c r="AB949" s="26"/>
      <c r="AC949" s="26"/>
      <c r="AD949" s="26"/>
      <c r="AE949" s="26"/>
      <c r="AF949" s="26"/>
      <c r="AG949" s="26"/>
      <c r="AH949" s="26"/>
      <c r="AI949" s="26"/>
      <c r="AJ949" s="26"/>
      <c r="AK949" s="26"/>
      <c r="AL949" s="26"/>
      <c r="AM949" s="26"/>
    </row>
    <row r="950" ht="14.25" customHeight="1">
      <c r="A950" s="26"/>
      <c r="B950" s="84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  <c r="AA950" s="26"/>
      <c r="AB950" s="26"/>
      <c r="AC950" s="26"/>
      <c r="AD950" s="26"/>
      <c r="AE950" s="26"/>
      <c r="AF950" s="26"/>
      <c r="AG950" s="26"/>
      <c r="AH950" s="26"/>
      <c r="AI950" s="26"/>
      <c r="AJ950" s="26"/>
      <c r="AK950" s="26"/>
      <c r="AL950" s="26"/>
      <c r="AM950" s="26"/>
    </row>
    <row r="951" ht="14.25" customHeight="1">
      <c r="A951" s="26"/>
      <c r="B951" s="84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  <c r="AA951" s="26"/>
      <c r="AB951" s="26"/>
      <c r="AC951" s="26"/>
      <c r="AD951" s="26"/>
      <c r="AE951" s="26"/>
      <c r="AF951" s="26"/>
      <c r="AG951" s="26"/>
      <c r="AH951" s="26"/>
      <c r="AI951" s="26"/>
      <c r="AJ951" s="26"/>
      <c r="AK951" s="26"/>
      <c r="AL951" s="26"/>
      <c r="AM951" s="26"/>
    </row>
    <row r="952" ht="14.25" customHeight="1">
      <c r="A952" s="26"/>
      <c r="B952" s="84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  <c r="AA952" s="26"/>
      <c r="AB952" s="26"/>
      <c r="AC952" s="26"/>
      <c r="AD952" s="26"/>
      <c r="AE952" s="26"/>
      <c r="AF952" s="26"/>
      <c r="AG952" s="26"/>
      <c r="AH952" s="26"/>
      <c r="AI952" s="26"/>
      <c r="AJ952" s="26"/>
      <c r="AK952" s="26"/>
      <c r="AL952" s="26"/>
      <c r="AM952" s="26"/>
    </row>
    <row r="953" ht="14.25" customHeight="1">
      <c r="A953" s="26"/>
      <c r="B953" s="84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  <c r="AA953" s="26"/>
      <c r="AB953" s="26"/>
      <c r="AC953" s="26"/>
      <c r="AD953" s="26"/>
      <c r="AE953" s="26"/>
      <c r="AF953" s="26"/>
      <c r="AG953" s="26"/>
      <c r="AH953" s="26"/>
      <c r="AI953" s="26"/>
      <c r="AJ953" s="26"/>
      <c r="AK953" s="26"/>
      <c r="AL953" s="26"/>
      <c r="AM953" s="26"/>
    </row>
    <row r="954" ht="14.25" customHeight="1">
      <c r="A954" s="26"/>
      <c r="B954" s="84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  <c r="AA954" s="26"/>
      <c r="AB954" s="26"/>
      <c r="AC954" s="26"/>
      <c r="AD954" s="26"/>
      <c r="AE954" s="26"/>
      <c r="AF954" s="26"/>
      <c r="AG954" s="26"/>
      <c r="AH954" s="26"/>
      <c r="AI954" s="26"/>
      <c r="AJ954" s="26"/>
      <c r="AK954" s="26"/>
      <c r="AL954" s="26"/>
      <c r="AM954" s="26"/>
    </row>
    <row r="955" ht="14.25" customHeight="1">
      <c r="A955" s="26"/>
      <c r="B955" s="84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  <c r="AA955" s="26"/>
      <c r="AB955" s="26"/>
      <c r="AC955" s="26"/>
      <c r="AD955" s="26"/>
      <c r="AE955" s="26"/>
      <c r="AF955" s="26"/>
      <c r="AG955" s="26"/>
      <c r="AH955" s="26"/>
      <c r="AI955" s="26"/>
      <c r="AJ955" s="26"/>
      <c r="AK955" s="26"/>
      <c r="AL955" s="26"/>
      <c r="AM955" s="26"/>
    </row>
    <row r="956" ht="14.25" customHeight="1">
      <c r="A956" s="26"/>
      <c r="B956" s="84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  <c r="AA956" s="26"/>
      <c r="AB956" s="26"/>
      <c r="AC956" s="26"/>
      <c r="AD956" s="26"/>
      <c r="AE956" s="26"/>
      <c r="AF956" s="26"/>
      <c r="AG956" s="26"/>
      <c r="AH956" s="26"/>
      <c r="AI956" s="26"/>
      <c r="AJ956" s="26"/>
      <c r="AK956" s="26"/>
      <c r="AL956" s="26"/>
      <c r="AM956" s="26"/>
    </row>
    <row r="957" ht="14.25" customHeight="1">
      <c r="A957" s="26"/>
      <c r="B957" s="84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  <c r="AA957" s="26"/>
      <c r="AB957" s="26"/>
      <c r="AC957" s="26"/>
      <c r="AD957" s="26"/>
      <c r="AE957" s="26"/>
      <c r="AF957" s="26"/>
      <c r="AG957" s="26"/>
      <c r="AH957" s="26"/>
      <c r="AI957" s="26"/>
      <c r="AJ957" s="26"/>
      <c r="AK957" s="26"/>
      <c r="AL957" s="26"/>
      <c r="AM957" s="26"/>
    </row>
    <row r="958" ht="14.25" customHeight="1">
      <c r="A958" s="26"/>
      <c r="B958" s="84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  <c r="AA958" s="26"/>
      <c r="AB958" s="26"/>
      <c r="AC958" s="26"/>
      <c r="AD958" s="26"/>
      <c r="AE958" s="26"/>
      <c r="AF958" s="26"/>
      <c r="AG958" s="26"/>
      <c r="AH958" s="26"/>
      <c r="AI958" s="26"/>
      <c r="AJ958" s="26"/>
      <c r="AK958" s="26"/>
      <c r="AL958" s="26"/>
      <c r="AM958" s="26"/>
    </row>
    <row r="959" ht="14.25" customHeight="1">
      <c r="A959" s="26"/>
      <c r="B959" s="84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  <c r="AA959" s="26"/>
      <c r="AB959" s="26"/>
      <c r="AC959" s="26"/>
      <c r="AD959" s="26"/>
      <c r="AE959" s="26"/>
      <c r="AF959" s="26"/>
      <c r="AG959" s="26"/>
      <c r="AH959" s="26"/>
      <c r="AI959" s="26"/>
      <c r="AJ959" s="26"/>
      <c r="AK959" s="26"/>
      <c r="AL959" s="26"/>
      <c r="AM959" s="26"/>
    </row>
    <row r="960" ht="14.25" customHeight="1">
      <c r="A960" s="26"/>
      <c r="B960" s="84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  <c r="AA960" s="26"/>
      <c r="AB960" s="26"/>
      <c r="AC960" s="26"/>
      <c r="AD960" s="26"/>
      <c r="AE960" s="26"/>
      <c r="AF960" s="26"/>
      <c r="AG960" s="26"/>
      <c r="AH960" s="26"/>
      <c r="AI960" s="26"/>
      <c r="AJ960" s="26"/>
      <c r="AK960" s="26"/>
      <c r="AL960" s="26"/>
      <c r="AM960" s="26"/>
    </row>
    <row r="961" ht="14.25" customHeight="1">
      <c r="A961" s="26"/>
      <c r="B961" s="84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  <c r="AA961" s="26"/>
      <c r="AB961" s="26"/>
      <c r="AC961" s="26"/>
      <c r="AD961" s="26"/>
      <c r="AE961" s="26"/>
      <c r="AF961" s="26"/>
      <c r="AG961" s="26"/>
      <c r="AH961" s="26"/>
      <c r="AI961" s="26"/>
      <c r="AJ961" s="26"/>
      <c r="AK961" s="26"/>
      <c r="AL961" s="26"/>
      <c r="AM961" s="26"/>
    </row>
    <row r="962" ht="14.25" customHeight="1">
      <c r="A962" s="26"/>
      <c r="B962" s="84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  <c r="AA962" s="26"/>
      <c r="AB962" s="26"/>
      <c r="AC962" s="26"/>
      <c r="AD962" s="26"/>
      <c r="AE962" s="26"/>
      <c r="AF962" s="26"/>
      <c r="AG962" s="26"/>
      <c r="AH962" s="26"/>
      <c r="AI962" s="26"/>
      <c r="AJ962" s="26"/>
      <c r="AK962" s="26"/>
      <c r="AL962" s="26"/>
      <c r="AM962" s="26"/>
    </row>
    <row r="963" ht="14.25" customHeight="1">
      <c r="A963" s="26"/>
      <c r="B963" s="84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  <c r="AA963" s="26"/>
      <c r="AB963" s="26"/>
      <c r="AC963" s="26"/>
      <c r="AD963" s="26"/>
      <c r="AE963" s="26"/>
      <c r="AF963" s="26"/>
      <c r="AG963" s="26"/>
      <c r="AH963" s="26"/>
      <c r="AI963" s="26"/>
      <c r="AJ963" s="26"/>
      <c r="AK963" s="26"/>
      <c r="AL963" s="26"/>
      <c r="AM963" s="26"/>
    </row>
    <row r="964" ht="14.25" customHeight="1">
      <c r="A964" s="26"/>
      <c r="B964" s="84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  <c r="AA964" s="26"/>
      <c r="AB964" s="26"/>
      <c r="AC964" s="26"/>
      <c r="AD964" s="26"/>
      <c r="AE964" s="26"/>
      <c r="AF964" s="26"/>
      <c r="AG964" s="26"/>
      <c r="AH964" s="26"/>
      <c r="AI964" s="26"/>
      <c r="AJ964" s="26"/>
      <c r="AK964" s="26"/>
      <c r="AL964" s="26"/>
      <c r="AM964" s="26"/>
    </row>
    <row r="965" ht="14.25" customHeight="1">
      <c r="A965" s="26"/>
      <c r="B965" s="84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  <c r="AA965" s="26"/>
      <c r="AB965" s="26"/>
      <c r="AC965" s="26"/>
      <c r="AD965" s="26"/>
      <c r="AE965" s="26"/>
      <c r="AF965" s="26"/>
      <c r="AG965" s="26"/>
      <c r="AH965" s="26"/>
      <c r="AI965" s="26"/>
      <c r="AJ965" s="26"/>
      <c r="AK965" s="26"/>
      <c r="AL965" s="26"/>
      <c r="AM965" s="26"/>
    </row>
    <row r="966" ht="14.25" customHeight="1">
      <c r="A966" s="26"/>
      <c r="B966" s="84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  <c r="AA966" s="26"/>
      <c r="AB966" s="26"/>
      <c r="AC966" s="26"/>
      <c r="AD966" s="26"/>
      <c r="AE966" s="26"/>
      <c r="AF966" s="26"/>
      <c r="AG966" s="26"/>
      <c r="AH966" s="26"/>
      <c r="AI966" s="26"/>
      <c r="AJ966" s="26"/>
      <c r="AK966" s="26"/>
      <c r="AL966" s="26"/>
      <c r="AM966" s="26"/>
    </row>
    <row r="967" ht="14.25" customHeight="1">
      <c r="A967" s="26"/>
      <c r="B967" s="84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  <c r="AA967" s="26"/>
      <c r="AB967" s="26"/>
      <c r="AC967" s="26"/>
      <c r="AD967" s="26"/>
      <c r="AE967" s="26"/>
      <c r="AF967" s="26"/>
      <c r="AG967" s="26"/>
      <c r="AH967" s="26"/>
      <c r="AI967" s="26"/>
      <c r="AJ967" s="26"/>
      <c r="AK967" s="26"/>
      <c r="AL967" s="26"/>
      <c r="AM967" s="26"/>
    </row>
    <row r="968" ht="14.25" customHeight="1">
      <c r="A968" s="26"/>
      <c r="B968" s="84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  <c r="AA968" s="26"/>
      <c r="AB968" s="26"/>
      <c r="AC968" s="26"/>
      <c r="AD968" s="26"/>
      <c r="AE968" s="26"/>
      <c r="AF968" s="26"/>
      <c r="AG968" s="26"/>
      <c r="AH968" s="26"/>
      <c r="AI968" s="26"/>
      <c r="AJ968" s="26"/>
      <c r="AK968" s="26"/>
      <c r="AL968" s="26"/>
      <c r="AM968" s="26"/>
    </row>
    <row r="969" ht="14.25" customHeight="1">
      <c r="A969" s="26"/>
      <c r="B969" s="84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  <c r="AA969" s="26"/>
      <c r="AB969" s="26"/>
      <c r="AC969" s="26"/>
      <c r="AD969" s="26"/>
      <c r="AE969" s="26"/>
      <c r="AF969" s="26"/>
      <c r="AG969" s="26"/>
      <c r="AH969" s="26"/>
      <c r="AI969" s="26"/>
      <c r="AJ969" s="26"/>
      <c r="AK969" s="26"/>
      <c r="AL969" s="26"/>
      <c r="AM969" s="26"/>
    </row>
    <row r="970" ht="14.25" customHeight="1">
      <c r="A970" s="26"/>
      <c r="B970" s="84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  <c r="AA970" s="26"/>
      <c r="AB970" s="26"/>
      <c r="AC970" s="26"/>
      <c r="AD970" s="26"/>
      <c r="AE970" s="26"/>
      <c r="AF970" s="26"/>
      <c r="AG970" s="26"/>
      <c r="AH970" s="26"/>
      <c r="AI970" s="26"/>
      <c r="AJ970" s="26"/>
      <c r="AK970" s="26"/>
      <c r="AL970" s="26"/>
      <c r="AM970" s="26"/>
    </row>
    <row r="971" ht="14.25" customHeight="1">
      <c r="A971" s="26"/>
      <c r="B971" s="84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  <c r="AA971" s="26"/>
      <c r="AB971" s="26"/>
      <c r="AC971" s="26"/>
      <c r="AD971" s="26"/>
      <c r="AE971" s="26"/>
      <c r="AF971" s="26"/>
      <c r="AG971" s="26"/>
      <c r="AH971" s="26"/>
      <c r="AI971" s="26"/>
      <c r="AJ971" s="26"/>
      <c r="AK971" s="26"/>
      <c r="AL971" s="26"/>
      <c r="AM971" s="26"/>
    </row>
    <row r="972" ht="14.25" customHeight="1">
      <c r="A972" s="26"/>
      <c r="B972" s="84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  <c r="AA972" s="26"/>
      <c r="AB972" s="26"/>
      <c r="AC972" s="26"/>
      <c r="AD972" s="26"/>
      <c r="AE972" s="26"/>
      <c r="AF972" s="26"/>
      <c r="AG972" s="26"/>
      <c r="AH972" s="26"/>
      <c r="AI972" s="26"/>
      <c r="AJ972" s="26"/>
      <c r="AK972" s="26"/>
      <c r="AL972" s="26"/>
      <c r="AM972" s="26"/>
    </row>
    <row r="973" ht="14.25" customHeight="1">
      <c r="A973" s="26"/>
      <c r="B973" s="84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  <c r="AA973" s="26"/>
      <c r="AB973" s="26"/>
      <c r="AC973" s="26"/>
      <c r="AD973" s="26"/>
      <c r="AE973" s="26"/>
      <c r="AF973" s="26"/>
      <c r="AG973" s="26"/>
      <c r="AH973" s="26"/>
      <c r="AI973" s="26"/>
      <c r="AJ973" s="26"/>
      <c r="AK973" s="26"/>
      <c r="AL973" s="26"/>
      <c r="AM973" s="26"/>
    </row>
    <row r="974" ht="14.25" customHeight="1">
      <c r="A974" s="26"/>
      <c r="B974" s="84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  <c r="AA974" s="26"/>
      <c r="AB974" s="26"/>
      <c r="AC974" s="26"/>
      <c r="AD974" s="26"/>
      <c r="AE974" s="26"/>
      <c r="AF974" s="26"/>
      <c r="AG974" s="26"/>
      <c r="AH974" s="26"/>
      <c r="AI974" s="26"/>
      <c r="AJ974" s="26"/>
      <c r="AK974" s="26"/>
      <c r="AL974" s="26"/>
      <c r="AM974" s="26"/>
    </row>
    <row r="975" ht="14.25" customHeight="1">
      <c r="A975" s="26"/>
      <c r="B975" s="84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  <c r="AA975" s="26"/>
      <c r="AB975" s="26"/>
      <c r="AC975" s="26"/>
      <c r="AD975" s="26"/>
      <c r="AE975" s="26"/>
      <c r="AF975" s="26"/>
      <c r="AG975" s="26"/>
      <c r="AH975" s="26"/>
      <c r="AI975" s="26"/>
      <c r="AJ975" s="26"/>
      <c r="AK975" s="26"/>
      <c r="AL975" s="26"/>
      <c r="AM975" s="26"/>
    </row>
    <row r="976" ht="14.25" customHeight="1">
      <c r="A976" s="26"/>
      <c r="B976" s="84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  <c r="AA976" s="26"/>
      <c r="AB976" s="26"/>
      <c r="AC976" s="26"/>
      <c r="AD976" s="26"/>
      <c r="AE976" s="26"/>
      <c r="AF976" s="26"/>
      <c r="AG976" s="26"/>
      <c r="AH976" s="26"/>
      <c r="AI976" s="26"/>
      <c r="AJ976" s="26"/>
      <c r="AK976" s="26"/>
      <c r="AL976" s="26"/>
      <c r="AM976" s="26"/>
    </row>
    <row r="977" ht="14.25" customHeight="1">
      <c r="A977" s="26"/>
      <c r="B977" s="84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  <c r="AA977" s="26"/>
      <c r="AB977" s="26"/>
      <c r="AC977" s="26"/>
      <c r="AD977" s="26"/>
      <c r="AE977" s="26"/>
      <c r="AF977" s="26"/>
      <c r="AG977" s="26"/>
      <c r="AH977" s="26"/>
      <c r="AI977" s="26"/>
      <c r="AJ977" s="26"/>
      <c r="AK977" s="26"/>
      <c r="AL977" s="26"/>
      <c r="AM977" s="26"/>
    </row>
    <row r="978" ht="14.25" customHeight="1">
      <c r="A978" s="26"/>
      <c r="B978" s="84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  <c r="AA978" s="26"/>
      <c r="AB978" s="26"/>
      <c r="AC978" s="26"/>
      <c r="AD978" s="26"/>
      <c r="AE978" s="26"/>
      <c r="AF978" s="26"/>
      <c r="AG978" s="26"/>
      <c r="AH978" s="26"/>
      <c r="AI978" s="26"/>
      <c r="AJ978" s="26"/>
      <c r="AK978" s="26"/>
      <c r="AL978" s="26"/>
      <c r="AM978" s="26"/>
    </row>
    <row r="979" ht="14.25" customHeight="1">
      <c r="A979" s="26"/>
      <c r="B979" s="84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  <c r="AA979" s="26"/>
      <c r="AB979" s="26"/>
      <c r="AC979" s="26"/>
      <c r="AD979" s="26"/>
      <c r="AE979" s="26"/>
      <c r="AF979" s="26"/>
      <c r="AG979" s="26"/>
      <c r="AH979" s="26"/>
      <c r="AI979" s="26"/>
      <c r="AJ979" s="26"/>
      <c r="AK979" s="26"/>
      <c r="AL979" s="26"/>
      <c r="AM979" s="26"/>
    </row>
    <row r="980" ht="14.25" customHeight="1">
      <c r="A980" s="26"/>
      <c r="B980" s="84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  <c r="AA980" s="26"/>
      <c r="AB980" s="26"/>
      <c r="AC980" s="26"/>
      <c r="AD980" s="26"/>
      <c r="AE980" s="26"/>
      <c r="AF980" s="26"/>
      <c r="AG980" s="26"/>
      <c r="AH980" s="26"/>
      <c r="AI980" s="26"/>
      <c r="AJ980" s="26"/>
      <c r="AK980" s="26"/>
      <c r="AL980" s="26"/>
      <c r="AM980" s="26"/>
    </row>
    <row r="981" ht="14.25" customHeight="1">
      <c r="A981" s="26"/>
      <c r="B981" s="84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  <c r="AA981" s="26"/>
      <c r="AB981" s="26"/>
      <c r="AC981" s="26"/>
      <c r="AD981" s="26"/>
      <c r="AE981" s="26"/>
      <c r="AF981" s="26"/>
      <c r="AG981" s="26"/>
      <c r="AH981" s="26"/>
      <c r="AI981" s="26"/>
      <c r="AJ981" s="26"/>
      <c r="AK981" s="26"/>
      <c r="AL981" s="26"/>
      <c r="AM981" s="26"/>
    </row>
    <row r="982" ht="14.25" customHeight="1">
      <c r="A982" s="26"/>
      <c r="B982" s="84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  <c r="AA982" s="26"/>
      <c r="AB982" s="26"/>
      <c r="AC982" s="26"/>
      <c r="AD982" s="26"/>
      <c r="AE982" s="26"/>
      <c r="AF982" s="26"/>
      <c r="AG982" s="26"/>
      <c r="AH982" s="26"/>
      <c r="AI982" s="26"/>
      <c r="AJ982" s="26"/>
      <c r="AK982" s="26"/>
      <c r="AL982" s="26"/>
      <c r="AM982" s="26"/>
    </row>
    <row r="983" ht="14.25" customHeight="1">
      <c r="A983" s="26"/>
      <c r="B983" s="84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  <c r="AA983" s="26"/>
      <c r="AB983" s="26"/>
      <c r="AC983" s="26"/>
      <c r="AD983" s="26"/>
      <c r="AE983" s="26"/>
      <c r="AF983" s="26"/>
      <c r="AG983" s="26"/>
      <c r="AH983" s="26"/>
      <c r="AI983" s="26"/>
      <c r="AJ983" s="26"/>
      <c r="AK983" s="26"/>
      <c r="AL983" s="26"/>
      <c r="AM983" s="26"/>
    </row>
    <row r="984" ht="14.25" customHeight="1">
      <c r="A984" s="26"/>
      <c r="B984" s="84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  <c r="AA984" s="26"/>
      <c r="AB984" s="26"/>
      <c r="AC984" s="26"/>
      <c r="AD984" s="26"/>
      <c r="AE984" s="26"/>
      <c r="AF984" s="26"/>
      <c r="AG984" s="26"/>
      <c r="AH984" s="26"/>
      <c r="AI984" s="26"/>
      <c r="AJ984" s="26"/>
      <c r="AK984" s="26"/>
      <c r="AL984" s="26"/>
      <c r="AM984" s="26"/>
    </row>
    <row r="985" ht="14.25" customHeight="1">
      <c r="A985" s="26"/>
      <c r="B985" s="84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  <c r="AA985" s="26"/>
      <c r="AB985" s="26"/>
      <c r="AC985" s="26"/>
      <c r="AD985" s="26"/>
      <c r="AE985" s="26"/>
      <c r="AF985" s="26"/>
      <c r="AG985" s="26"/>
      <c r="AH985" s="26"/>
      <c r="AI985" s="26"/>
      <c r="AJ985" s="26"/>
      <c r="AK985" s="26"/>
      <c r="AL985" s="26"/>
      <c r="AM985" s="26"/>
    </row>
    <row r="986" ht="14.25" customHeight="1">
      <c r="A986" s="26"/>
      <c r="B986" s="84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  <c r="AA986" s="26"/>
      <c r="AB986" s="26"/>
      <c r="AC986" s="26"/>
      <c r="AD986" s="26"/>
      <c r="AE986" s="26"/>
      <c r="AF986" s="26"/>
      <c r="AG986" s="26"/>
      <c r="AH986" s="26"/>
      <c r="AI986" s="26"/>
      <c r="AJ986" s="26"/>
      <c r="AK986" s="26"/>
      <c r="AL986" s="26"/>
      <c r="AM986" s="26"/>
    </row>
    <row r="987" ht="14.25" customHeight="1">
      <c r="A987" s="26"/>
      <c r="B987" s="84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  <c r="AA987" s="26"/>
      <c r="AB987" s="26"/>
      <c r="AC987" s="26"/>
      <c r="AD987" s="26"/>
      <c r="AE987" s="26"/>
      <c r="AF987" s="26"/>
      <c r="AG987" s="26"/>
      <c r="AH987" s="26"/>
      <c r="AI987" s="26"/>
      <c r="AJ987" s="26"/>
      <c r="AK987" s="26"/>
      <c r="AL987" s="26"/>
      <c r="AM987" s="26"/>
    </row>
    <row r="988" ht="14.25" customHeight="1">
      <c r="A988" s="26"/>
      <c r="B988" s="84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  <c r="AA988" s="26"/>
      <c r="AB988" s="26"/>
      <c r="AC988" s="26"/>
      <c r="AD988" s="26"/>
      <c r="AE988" s="26"/>
      <c r="AF988" s="26"/>
      <c r="AG988" s="26"/>
      <c r="AH988" s="26"/>
      <c r="AI988" s="26"/>
      <c r="AJ988" s="26"/>
      <c r="AK988" s="26"/>
      <c r="AL988" s="26"/>
      <c r="AM988" s="26"/>
    </row>
    <row r="989" ht="14.25" customHeight="1">
      <c r="A989" s="26"/>
      <c r="B989" s="84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  <c r="AA989" s="26"/>
      <c r="AB989" s="26"/>
      <c r="AC989" s="26"/>
      <c r="AD989" s="26"/>
      <c r="AE989" s="26"/>
      <c r="AF989" s="26"/>
      <c r="AG989" s="26"/>
      <c r="AH989" s="26"/>
      <c r="AI989" s="26"/>
      <c r="AJ989" s="26"/>
      <c r="AK989" s="26"/>
      <c r="AL989" s="26"/>
      <c r="AM989" s="26"/>
    </row>
    <row r="990" ht="14.25" customHeight="1">
      <c r="A990" s="26"/>
      <c r="B990" s="84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  <c r="AA990" s="26"/>
      <c r="AB990" s="26"/>
      <c r="AC990" s="26"/>
      <c r="AD990" s="26"/>
      <c r="AE990" s="26"/>
      <c r="AF990" s="26"/>
      <c r="AG990" s="26"/>
      <c r="AH990" s="26"/>
      <c r="AI990" s="26"/>
      <c r="AJ990" s="26"/>
      <c r="AK990" s="26"/>
      <c r="AL990" s="26"/>
      <c r="AM990" s="26"/>
    </row>
    <row r="991" ht="14.25" customHeight="1">
      <c r="A991" s="26"/>
      <c r="B991" s="84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  <c r="AA991" s="26"/>
      <c r="AB991" s="26"/>
      <c r="AC991" s="26"/>
      <c r="AD991" s="26"/>
      <c r="AE991" s="26"/>
      <c r="AF991" s="26"/>
      <c r="AG991" s="26"/>
      <c r="AH991" s="26"/>
      <c r="AI991" s="26"/>
      <c r="AJ991" s="26"/>
      <c r="AK991" s="26"/>
      <c r="AL991" s="26"/>
      <c r="AM991" s="26"/>
    </row>
    <row r="992" ht="14.25" customHeight="1">
      <c r="A992" s="26"/>
      <c r="B992" s="84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  <c r="AA992" s="26"/>
      <c r="AB992" s="26"/>
      <c r="AC992" s="26"/>
      <c r="AD992" s="26"/>
      <c r="AE992" s="26"/>
      <c r="AF992" s="26"/>
      <c r="AG992" s="26"/>
      <c r="AH992" s="26"/>
      <c r="AI992" s="26"/>
      <c r="AJ992" s="26"/>
      <c r="AK992" s="26"/>
      <c r="AL992" s="26"/>
      <c r="AM992" s="26"/>
    </row>
    <row r="993" ht="14.25" customHeight="1">
      <c r="A993" s="26"/>
      <c r="B993" s="84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  <c r="AA993" s="26"/>
      <c r="AB993" s="26"/>
      <c r="AC993" s="26"/>
      <c r="AD993" s="26"/>
      <c r="AE993" s="26"/>
      <c r="AF993" s="26"/>
      <c r="AG993" s="26"/>
      <c r="AH993" s="26"/>
      <c r="AI993" s="26"/>
      <c r="AJ993" s="26"/>
      <c r="AK993" s="26"/>
      <c r="AL993" s="26"/>
      <c r="AM993" s="26"/>
    </row>
    <row r="994" ht="14.25" customHeight="1">
      <c r="A994" s="26"/>
      <c r="B994" s="84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  <c r="AA994" s="26"/>
      <c r="AB994" s="26"/>
      <c r="AC994" s="26"/>
      <c r="AD994" s="26"/>
      <c r="AE994" s="26"/>
      <c r="AF994" s="26"/>
      <c r="AG994" s="26"/>
      <c r="AH994" s="26"/>
      <c r="AI994" s="26"/>
      <c r="AJ994" s="26"/>
      <c r="AK994" s="26"/>
      <c r="AL994" s="26"/>
      <c r="AM994" s="26"/>
    </row>
    <row r="995" ht="14.25" customHeight="1">
      <c r="A995" s="26"/>
      <c r="B995" s="84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  <c r="AA995" s="26"/>
      <c r="AB995" s="26"/>
      <c r="AC995" s="26"/>
      <c r="AD995" s="26"/>
      <c r="AE995" s="26"/>
      <c r="AF995" s="26"/>
      <c r="AG995" s="26"/>
      <c r="AH995" s="26"/>
      <c r="AI995" s="26"/>
      <c r="AJ995" s="26"/>
      <c r="AK995" s="26"/>
      <c r="AL995" s="26"/>
      <c r="AM995" s="26"/>
    </row>
    <row r="996" ht="14.25" customHeight="1">
      <c r="A996" s="26"/>
      <c r="B996" s="84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  <c r="AA996" s="26"/>
      <c r="AB996" s="26"/>
      <c r="AC996" s="26"/>
      <c r="AD996" s="26"/>
      <c r="AE996" s="26"/>
      <c r="AF996" s="26"/>
      <c r="AG996" s="26"/>
      <c r="AH996" s="26"/>
      <c r="AI996" s="26"/>
      <c r="AJ996" s="26"/>
      <c r="AK996" s="26"/>
      <c r="AL996" s="26"/>
      <c r="AM996" s="26"/>
    </row>
    <row r="997" ht="14.25" customHeight="1">
      <c r="A997" s="26"/>
      <c r="B997" s="84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  <c r="AA997" s="26"/>
      <c r="AB997" s="26"/>
      <c r="AC997" s="26"/>
      <c r="AD997" s="26"/>
      <c r="AE997" s="26"/>
      <c r="AF997" s="26"/>
      <c r="AG997" s="26"/>
      <c r="AH997" s="26"/>
      <c r="AI997" s="26"/>
      <c r="AJ997" s="26"/>
      <c r="AK997" s="26"/>
      <c r="AL997" s="26"/>
      <c r="AM997" s="26"/>
    </row>
    <row r="998" ht="14.25" customHeight="1">
      <c r="A998" s="26"/>
      <c r="B998" s="84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  <c r="AA998" s="26"/>
      <c r="AB998" s="26"/>
      <c r="AC998" s="26"/>
      <c r="AD998" s="26"/>
      <c r="AE998" s="26"/>
      <c r="AF998" s="26"/>
      <c r="AG998" s="26"/>
      <c r="AH998" s="26"/>
      <c r="AI998" s="26"/>
      <c r="AJ998" s="26"/>
      <c r="AK998" s="26"/>
      <c r="AL998" s="26"/>
      <c r="AM998" s="26"/>
    </row>
    <row r="999" ht="14.25" customHeight="1">
      <c r="A999" s="26"/>
      <c r="B999" s="84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  <c r="AA999" s="26"/>
      <c r="AB999" s="26"/>
      <c r="AC999" s="26"/>
      <c r="AD999" s="26"/>
      <c r="AE999" s="26"/>
      <c r="AF999" s="26"/>
      <c r="AG999" s="26"/>
      <c r="AH999" s="26"/>
      <c r="AI999" s="26"/>
      <c r="AJ999" s="26"/>
      <c r="AK999" s="26"/>
      <c r="AL999" s="26"/>
      <c r="AM999" s="26"/>
    </row>
    <row r="1000" ht="14.25" customHeight="1">
      <c r="A1000" s="26"/>
      <c r="B1000" s="84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  <c r="AA1000" s="26"/>
      <c r="AB1000" s="26"/>
      <c r="AC1000" s="26"/>
      <c r="AD1000" s="26"/>
      <c r="AE1000" s="26"/>
      <c r="AF1000" s="26"/>
      <c r="AG1000" s="26"/>
      <c r="AH1000" s="26"/>
      <c r="AI1000" s="26"/>
      <c r="AJ1000" s="26"/>
      <c r="AK1000" s="26"/>
      <c r="AL1000" s="26"/>
      <c r="AM1000" s="26"/>
    </row>
  </sheetData>
  <mergeCells count="23">
    <mergeCell ref="A1:A3"/>
    <mergeCell ref="B2:K2"/>
    <mergeCell ref="L2:L3"/>
    <mergeCell ref="M2:M3"/>
    <mergeCell ref="N2:N3"/>
    <mergeCell ref="O2:O3"/>
    <mergeCell ref="Q2:W2"/>
    <mergeCell ref="X2:X3"/>
    <mergeCell ref="Y2:Y3"/>
    <mergeCell ref="Z2:Z3"/>
    <mergeCell ref="AA2:AA3"/>
    <mergeCell ref="AB2:AB3"/>
    <mergeCell ref="AC2:AC3"/>
    <mergeCell ref="AD2:AD3"/>
    <mergeCell ref="AL2:AL3"/>
    <mergeCell ref="AM2:AM3"/>
    <mergeCell ref="AE2:AE3"/>
    <mergeCell ref="AF2:AF3"/>
    <mergeCell ref="AG2:AG3"/>
    <mergeCell ref="AH2:AH3"/>
    <mergeCell ref="AI2:AI3"/>
    <mergeCell ref="AJ2:AJ3"/>
    <mergeCell ref="AK2:AK3"/>
  </mergeCells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6.0" ySplit="3.0" topLeftCell="Q4" activePane="bottomRight" state="frozen"/>
      <selection activeCell="Q1" sqref="Q1" pane="topRight"/>
      <selection activeCell="A4" sqref="A4" pane="bottomLeft"/>
      <selection activeCell="Q4" sqref="Q4" pane="bottomRight"/>
    </sheetView>
  </sheetViews>
  <sheetFormatPr customHeight="1" defaultColWidth="14.43" defaultRowHeight="15.0"/>
  <cols>
    <col customWidth="1" min="1" max="1" width="4.43"/>
    <col customWidth="1" min="2" max="2" width="18.86"/>
    <col customWidth="1" hidden="1" min="3" max="3" width="8.71"/>
    <col customWidth="1" min="4" max="4" width="17.43"/>
    <col customWidth="1" hidden="1" min="5" max="6" width="8.71"/>
    <col customWidth="1" min="7" max="7" width="19.29"/>
    <col customWidth="1" hidden="1" min="8" max="11" width="8.71"/>
    <col customWidth="1" min="12" max="12" width="4.57"/>
    <col customWidth="1" min="13" max="13" width="8.14"/>
    <col customWidth="1" min="14" max="14" width="19.14"/>
    <col customWidth="1" min="15" max="15" width="25.86"/>
    <col customWidth="1" min="16" max="16" width="27.0"/>
    <col customWidth="1" min="17" max="17" width="21.43"/>
    <col customWidth="1" min="18" max="18" width="121.0"/>
    <col customWidth="1" min="19" max="19" width="88.29"/>
    <col customWidth="1" hidden="1" min="20" max="20" width="8.71"/>
    <col customWidth="1" min="21" max="21" width="20.86"/>
    <col customWidth="1" min="22" max="22" width="13.43"/>
    <col customWidth="1" min="23" max="23" width="21.43"/>
    <col customWidth="1" min="24" max="24" width="24.0"/>
    <col customWidth="1" min="25" max="25" width="10.57"/>
    <col customWidth="1" min="26" max="26" width="19.14"/>
    <col customWidth="1" min="27" max="27" width="20.86"/>
    <col customWidth="1" min="28" max="28" width="26.43"/>
    <col customWidth="1" min="29" max="29" width="18.14"/>
    <col customWidth="1" hidden="1" min="30" max="30" width="8.71"/>
    <col customWidth="1" min="31" max="31" width="29.43"/>
    <col customWidth="1" min="32" max="32" width="11.0"/>
    <col customWidth="1" min="33" max="33" width="25.29"/>
    <col customWidth="1" min="34" max="34" width="12.0"/>
    <col customWidth="1" min="35" max="35" width="16.71"/>
    <col customWidth="1" min="36" max="36" width="35.71"/>
    <col customWidth="1" min="37" max="37" width="35.0"/>
    <col customWidth="1" min="38" max="38" width="15.86"/>
    <col customWidth="1" min="39" max="39" width="20.29"/>
    <col customWidth="1" min="40" max="40" width="14.29"/>
    <col customWidth="1" min="41" max="41" width="16.43"/>
    <col customWidth="1" hidden="1" min="42" max="43" width="8.71"/>
    <col customWidth="1" min="44" max="44" width="5.0"/>
    <col customWidth="1" min="45" max="45" width="6.71"/>
    <col customWidth="1" min="46" max="47" width="5.14"/>
    <col customWidth="1" min="48" max="48" width="14.14"/>
    <col customWidth="1" min="49" max="49" width="19.14"/>
    <col customWidth="1" min="50" max="50" width="13.0"/>
    <col customWidth="1" min="51" max="51" width="23.86"/>
    <col customWidth="1" min="52" max="52" width="20.14"/>
    <col customWidth="1" min="53" max="56" width="16.29"/>
    <col customWidth="1" min="57" max="57" width="84.86"/>
    <col customWidth="1" min="58" max="58" width="18.71"/>
    <col customWidth="1" min="59" max="59" width="15.43"/>
    <col customWidth="1" min="60" max="60" width="20.57"/>
    <col customWidth="1" min="61" max="61" width="29.57"/>
    <col customWidth="1" min="62" max="62" width="31.43"/>
    <col customWidth="1" min="63" max="63" width="28.86"/>
  </cols>
  <sheetData>
    <row r="1" ht="14.25" customHeight="1">
      <c r="A1" s="42" t="s">
        <v>11</v>
      </c>
      <c r="B1" s="26">
        <f t="shared" ref="B1:D1" si="1">COUNT(B4:B1048576)</f>
        <v>0</v>
      </c>
      <c r="C1" s="26">
        <f t="shared" si="1"/>
        <v>0</v>
      </c>
      <c r="D1" s="26">
        <f t="shared" si="1"/>
        <v>0</v>
      </c>
      <c r="E1" s="26"/>
      <c r="F1" s="26">
        <f t="shared" ref="F1:G1" si="2">COUNT(F4:F1048576)</f>
        <v>0</v>
      </c>
      <c r="G1" s="26">
        <f t="shared" si="2"/>
        <v>0</v>
      </c>
      <c r="H1" s="26"/>
      <c r="I1" s="26">
        <f t="shared" ref="I1:J1" si="3">COUNT(I4:I1048576)</f>
        <v>0</v>
      </c>
      <c r="J1" s="26">
        <f t="shared" si="3"/>
        <v>0</v>
      </c>
      <c r="K1" s="26"/>
      <c r="L1" s="89"/>
      <c r="M1" s="89"/>
      <c r="N1" s="26"/>
      <c r="O1" s="89"/>
      <c r="P1" s="26"/>
      <c r="Q1" s="26"/>
      <c r="R1" s="26"/>
      <c r="S1" s="26"/>
      <c r="T1" s="26"/>
      <c r="U1" s="26"/>
      <c r="V1" s="26"/>
      <c r="W1" s="26"/>
      <c r="X1" s="26"/>
      <c r="Y1" s="90"/>
      <c r="Z1" s="26"/>
      <c r="AA1" s="89"/>
      <c r="AB1" s="26"/>
      <c r="AC1" s="26"/>
      <c r="AD1" s="89"/>
      <c r="AE1" s="91"/>
      <c r="AF1" s="26"/>
      <c r="AG1" s="26"/>
      <c r="AH1" s="26"/>
      <c r="AI1" s="26"/>
      <c r="AJ1" s="26"/>
      <c r="AK1" s="26"/>
      <c r="AL1" s="26"/>
      <c r="AM1" s="26"/>
      <c r="AN1" s="89"/>
      <c r="AO1" s="89"/>
      <c r="AP1" s="90"/>
      <c r="AQ1" s="90"/>
      <c r="AR1" s="90"/>
      <c r="AS1" s="90"/>
      <c r="AT1" s="90"/>
      <c r="AU1" s="90"/>
      <c r="AV1" s="90"/>
      <c r="AW1" s="90"/>
      <c r="AX1" s="90"/>
      <c r="AY1" s="90"/>
      <c r="AZ1" s="90"/>
      <c r="BA1" s="90"/>
      <c r="BB1" s="90"/>
      <c r="BC1" s="90"/>
      <c r="BD1" s="90"/>
      <c r="BE1" s="90"/>
      <c r="BF1" s="90"/>
      <c r="BG1" s="90"/>
      <c r="BH1" s="90"/>
      <c r="BI1" s="90"/>
      <c r="BJ1" s="26"/>
      <c r="BK1" s="26"/>
    </row>
    <row r="2" ht="14.25" customHeight="1">
      <c r="A2" s="25"/>
      <c r="B2" s="92" t="s">
        <v>15</v>
      </c>
      <c r="C2" s="28"/>
      <c r="D2" s="28"/>
      <c r="E2" s="28"/>
      <c r="F2" s="28"/>
      <c r="G2" s="28"/>
      <c r="H2" s="28"/>
      <c r="I2" s="28"/>
      <c r="J2" s="28"/>
      <c r="K2" s="30"/>
      <c r="L2" s="92" t="s">
        <v>107</v>
      </c>
      <c r="M2" s="30"/>
      <c r="N2" s="42" t="s">
        <v>2</v>
      </c>
      <c r="O2" s="45" t="s">
        <v>112</v>
      </c>
      <c r="P2" s="45" t="s">
        <v>118</v>
      </c>
      <c r="Q2" s="42" t="s">
        <v>119</v>
      </c>
      <c r="R2" s="47"/>
      <c r="S2" s="27" t="s">
        <v>120</v>
      </c>
      <c r="T2" s="28"/>
      <c r="U2" s="28"/>
      <c r="V2" s="28"/>
      <c r="W2" s="28"/>
      <c r="X2" s="28"/>
      <c r="Y2" s="30"/>
      <c r="Z2" s="42" t="s">
        <v>124</v>
      </c>
      <c r="AA2" s="42" t="s">
        <v>129</v>
      </c>
      <c r="AB2" s="42" t="s">
        <v>134</v>
      </c>
      <c r="AC2" s="42" t="s">
        <v>136</v>
      </c>
      <c r="AD2" s="42" t="s">
        <v>140</v>
      </c>
      <c r="AE2" s="42" t="s">
        <v>141</v>
      </c>
      <c r="AF2" s="42" t="s">
        <v>145</v>
      </c>
      <c r="AG2" s="42" t="s">
        <v>147</v>
      </c>
      <c r="AH2" s="42" t="s">
        <v>150</v>
      </c>
      <c r="AI2" s="42" t="s">
        <v>154</v>
      </c>
      <c r="AJ2" s="42" t="s">
        <v>155</v>
      </c>
      <c r="AK2" s="42" t="s">
        <v>9</v>
      </c>
      <c r="AL2" s="45" t="s">
        <v>158</v>
      </c>
      <c r="AM2" s="45" t="s">
        <v>160</v>
      </c>
      <c r="AN2" s="60" t="s">
        <v>168</v>
      </c>
      <c r="AO2" s="60" t="s">
        <v>169</v>
      </c>
      <c r="AP2" s="27" t="s">
        <v>170</v>
      </c>
      <c r="AQ2" s="28"/>
      <c r="AR2" s="28"/>
      <c r="AS2" s="28"/>
      <c r="AT2" s="28"/>
      <c r="AU2" s="28"/>
      <c r="AV2" s="30"/>
      <c r="AW2" s="27" t="s">
        <v>173</v>
      </c>
      <c r="AX2" s="28"/>
      <c r="AY2" s="28"/>
      <c r="AZ2" s="28"/>
      <c r="BA2" s="30"/>
      <c r="BB2" s="27" t="s">
        <v>175</v>
      </c>
      <c r="BC2" s="28"/>
      <c r="BD2" s="28"/>
      <c r="BE2" s="28"/>
      <c r="BF2" s="28"/>
      <c r="BG2" s="28"/>
      <c r="BH2" s="28"/>
      <c r="BI2" s="28"/>
      <c r="BJ2" s="28"/>
      <c r="BK2" s="30"/>
    </row>
    <row r="3" ht="14.25" customHeight="1">
      <c r="A3" s="57"/>
      <c r="B3" s="47" t="s">
        <v>178</v>
      </c>
      <c r="C3" s="47" t="s">
        <v>179</v>
      </c>
      <c r="D3" s="95" t="s">
        <v>205</v>
      </c>
      <c r="E3" s="95" t="s">
        <v>181</v>
      </c>
      <c r="F3" s="47" t="s">
        <v>182</v>
      </c>
      <c r="G3" s="47" t="s">
        <v>183</v>
      </c>
      <c r="H3" s="47" t="s">
        <v>184</v>
      </c>
      <c r="I3" s="47" t="s">
        <v>185</v>
      </c>
      <c r="J3" s="47" t="s">
        <v>186</v>
      </c>
      <c r="K3" s="47" t="s">
        <v>187</v>
      </c>
      <c r="L3" s="47" t="s">
        <v>223</v>
      </c>
      <c r="M3" s="47" t="s">
        <v>191</v>
      </c>
      <c r="N3" s="57"/>
      <c r="O3" s="57"/>
      <c r="P3" s="57"/>
      <c r="Q3" s="57"/>
      <c r="R3" s="47" t="s">
        <v>219</v>
      </c>
      <c r="S3" s="47" t="s">
        <v>120</v>
      </c>
      <c r="T3" s="47" t="s">
        <v>194</v>
      </c>
      <c r="U3" s="47" t="s">
        <v>195</v>
      </c>
      <c r="V3" s="47" t="s">
        <v>196</v>
      </c>
      <c r="W3" s="47" t="s">
        <v>197</v>
      </c>
      <c r="X3" s="47" t="s">
        <v>198</v>
      </c>
      <c r="Y3" s="47" t="s">
        <v>199</v>
      </c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57"/>
      <c r="AK3" s="57"/>
      <c r="AL3" s="57"/>
      <c r="AM3" s="57"/>
      <c r="AN3" s="57"/>
      <c r="AO3" s="57"/>
      <c r="AP3" s="47" t="s">
        <v>200</v>
      </c>
      <c r="AQ3" s="47" t="s">
        <v>201</v>
      </c>
      <c r="AR3" s="47" t="s">
        <v>206</v>
      </c>
      <c r="AS3" s="47" t="s">
        <v>177</v>
      </c>
      <c r="AT3" s="47" t="s">
        <v>207</v>
      </c>
      <c r="AU3" s="47" t="s">
        <v>208</v>
      </c>
      <c r="AV3" s="95" t="s">
        <v>209</v>
      </c>
      <c r="AW3" s="47" t="s">
        <v>210</v>
      </c>
      <c r="AX3" s="47" t="s">
        <v>211</v>
      </c>
      <c r="AY3" s="47" t="s">
        <v>212</v>
      </c>
      <c r="AZ3" s="47" t="s">
        <v>213</v>
      </c>
      <c r="BA3" s="47" t="s">
        <v>214</v>
      </c>
      <c r="BB3" s="47" t="s">
        <v>215</v>
      </c>
      <c r="BC3" s="47" t="s">
        <v>216</v>
      </c>
      <c r="BD3" s="47" t="s">
        <v>217</v>
      </c>
      <c r="BE3" s="47" t="s">
        <v>218</v>
      </c>
      <c r="BF3" s="47" t="s">
        <v>124</v>
      </c>
      <c r="BG3" s="47" t="s">
        <v>220</v>
      </c>
      <c r="BH3" s="47" t="s">
        <v>177</v>
      </c>
      <c r="BI3" s="47" t="s">
        <v>221</v>
      </c>
      <c r="BJ3" s="47" t="s">
        <v>141</v>
      </c>
      <c r="BK3" s="47" t="s">
        <v>15</v>
      </c>
    </row>
    <row r="4" ht="14.25" customHeight="1">
      <c r="A4" s="26">
        <f>ROW(A1)</f>
        <v>1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 t="s">
        <v>565</v>
      </c>
      <c r="O4" s="26" t="s">
        <v>566</v>
      </c>
      <c r="P4" s="26" t="s">
        <v>566</v>
      </c>
      <c r="Q4" s="26" t="s">
        <v>567</v>
      </c>
      <c r="R4" s="26" t="s">
        <v>568</v>
      </c>
      <c r="S4" s="26" t="s">
        <v>568</v>
      </c>
      <c r="T4" s="26"/>
      <c r="U4" s="26" t="s">
        <v>569</v>
      </c>
      <c r="V4" s="26" t="s">
        <v>570</v>
      </c>
      <c r="W4" s="26" t="s">
        <v>571</v>
      </c>
      <c r="X4" s="26" t="s">
        <v>572</v>
      </c>
      <c r="Y4" s="76" t="s">
        <v>573</v>
      </c>
      <c r="Z4" s="76" t="s">
        <v>574</v>
      </c>
      <c r="AA4" s="76" t="s">
        <v>575</v>
      </c>
      <c r="AB4" s="26" t="s">
        <v>576</v>
      </c>
      <c r="AC4" s="76" t="s">
        <v>577</v>
      </c>
      <c r="AD4" s="26"/>
      <c r="AE4" s="76" t="s">
        <v>578</v>
      </c>
      <c r="AF4" s="98" t="s">
        <v>579</v>
      </c>
      <c r="AG4" s="26" t="s">
        <v>580</v>
      </c>
      <c r="AH4" s="26" t="s">
        <v>581</v>
      </c>
      <c r="AI4" s="26" t="s">
        <v>582</v>
      </c>
      <c r="AJ4" s="26" t="s">
        <v>583</v>
      </c>
      <c r="AK4" s="26" t="s">
        <v>584</v>
      </c>
      <c r="AL4" s="76" t="s">
        <v>585</v>
      </c>
      <c r="AM4" s="76" t="s">
        <v>586</v>
      </c>
      <c r="AN4" s="76" t="s">
        <v>587</v>
      </c>
      <c r="AO4" s="76" t="s">
        <v>588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</row>
    <row r="5" ht="14.25" customHeight="1">
      <c r="A5" s="26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</row>
    <row r="6" ht="14.25" customHeight="1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</row>
    <row r="7" ht="14.25" customHeight="1">
      <c r="A7" s="26"/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</row>
    <row r="8" ht="14.2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</row>
    <row r="9" ht="14.25" customHeight="1">
      <c r="A9" s="26"/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</row>
    <row r="10" ht="14.25" customHeight="1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</row>
    <row r="11" ht="14.25" customHeight="1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</row>
    <row r="12" ht="14.25" customHeight="1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</row>
    <row r="13" ht="14.25" customHeight="1">
      <c r="A13" s="26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</row>
    <row r="14" ht="14.25" customHeight="1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</row>
    <row r="15" ht="14.25" customHeight="1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</row>
    <row r="16" ht="14.25" customHeight="1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</row>
    <row r="17" ht="14.25" customHeight="1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</row>
    <row r="18" ht="14.25" customHeight="1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</row>
    <row r="19" ht="14.25" customHeight="1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</row>
    <row r="20" ht="14.25" customHeight="1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</row>
    <row r="21" ht="14.25" customHeight="1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</row>
    <row r="22" ht="14.25" customHeight="1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</row>
    <row r="23" ht="14.25" customHeight="1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</row>
    <row r="24" ht="14.25" customHeight="1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</row>
    <row r="25" ht="14.25" customHeight="1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</row>
    <row r="26" ht="14.25" customHeight="1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</row>
    <row r="27" ht="14.25" customHeight="1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</row>
    <row r="28" ht="14.25" customHeight="1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</row>
    <row r="29" ht="14.25" customHeight="1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</row>
    <row r="30" ht="14.25" customHeight="1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</row>
    <row r="31" ht="14.25" customHeight="1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</row>
    <row r="32" ht="14.25" customHeight="1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</row>
    <row r="33" ht="14.25" customHeight="1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</row>
    <row r="34" ht="14.25" customHeight="1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</row>
    <row r="35" ht="14.25" customHeight="1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</row>
    <row r="36" ht="14.25" customHeight="1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  <c r="BH36" s="26"/>
      <c r="BI36" s="26"/>
      <c r="BJ36" s="26"/>
      <c r="BK36" s="26"/>
    </row>
    <row r="37" ht="14.25" customHeight="1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  <c r="BH37" s="26"/>
      <c r="BI37" s="26"/>
      <c r="BJ37" s="26"/>
      <c r="BK37" s="26"/>
    </row>
    <row r="38" ht="14.25" customHeight="1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26"/>
      <c r="BC38" s="26"/>
      <c r="BD38" s="26"/>
      <c r="BE38" s="26"/>
      <c r="BF38" s="26"/>
      <c r="BG38" s="26"/>
      <c r="BH38" s="26"/>
      <c r="BI38" s="26"/>
      <c r="BJ38" s="26"/>
      <c r="BK38" s="26"/>
    </row>
    <row r="39" ht="14.25" customHeight="1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6"/>
      <c r="AY39" s="26"/>
      <c r="AZ39" s="26"/>
      <c r="BA39" s="26"/>
      <c r="BB39" s="26"/>
      <c r="BC39" s="26"/>
      <c r="BD39" s="26"/>
      <c r="BE39" s="26"/>
      <c r="BF39" s="26"/>
      <c r="BG39" s="26"/>
      <c r="BH39" s="26"/>
      <c r="BI39" s="26"/>
      <c r="BJ39" s="26"/>
      <c r="BK39" s="26"/>
    </row>
    <row r="40" ht="14.25" customHeight="1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6"/>
    </row>
    <row r="41" ht="14.25" customHeight="1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6"/>
    </row>
    <row r="42" ht="14.25" customHeight="1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</row>
    <row r="43" ht="14.25" customHeight="1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</row>
    <row r="44" ht="14.25" customHeight="1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</row>
    <row r="45" ht="14.25" customHeight="1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</row>
    <row r="46" ht="14.25" customHeight="1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  <c r="BJ46" s="26"/>
      <c r="BK46" s="26"/>
    </row>
    <row r="47" ht="14.25" customHeight="1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6"/>
      <c r="BI47" s="26"/>
      <c r="BJ47" s="26"/>
      <c r="BK47" s="26"/>
    </row>
    <row r="48" ht="14.25" customHeight="1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  <c r="BJ48" s="26"/>
      <c r="BK48" s="26"/>
    </row>
    <row r="49" ht="14.25" customHeight="1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26"/>
      <c r="BH49" s="26"/>
      <c r="BI49" s="26"/>
      <c r="BJ49" s="26"/>
      <c r="BK49" s="26"/>
    </row>
    <row r="50" ht="14.25" customHeight="1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  <c r="BH50" s="26"/>
      <c r="BI50" s="26"/>
      <c r="BJ50" s="26"/>
      <c r="BK50" s="26"/>
    </row>
    <row r="51" ht="14.25" customHeight="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  <c r="BH51" s="26"/>
      <c r="BI51" s="26"/>
      <c r="BJ51" s="26"/>
      <c r="BK51" s="26"/>
    </row>
    <row r="52" ht="14.25" customHeight="1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26"/>
      <c r="BH52" s="26"/>
      <c r="BI52" s="26"/>
      <c r="BJ52" s="26"/>
      <c r="BK52" s="26"/>
    </row>
    <row r="53" ht="14.25" customHeight="1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  <c r="BH53" s="26"/>
      <c r="BI53" s="26"/>
      <c r="BJ53" s="26"/>
      <c r="BK53" s="26"/>
    </row>
    <row r="54" ht="14.25" customHeight="1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26"/>
      <c r="BC54" s="26"/>
      <c r="BD54" s="26"/>
      <c r="BE54" s="26"/>
      <c r="BF54" s="26"/>
      <c r="BG54" s="26"/>
      <c r="BH54" s="26"/>
      <c r="BI54" s="26"/>
      <c r="BJ54" s="26"/>
      <c r="BK54" s="26"/>
    </row>
    <row r="55" ht="14.25" customHeight="1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26"/>
      <c r="AU55" s="26"/>
      <c r="AV55" s="26"/>
      <c r="AW55" s="26"/>
      <c r="AX55" s="26"/>
      <c r="AY55" s="26"/>
      <c r="AZ55" s="26"/>
      <c r="BA55" s="26"/>
      <c r="BB55" s="26"/>
      <c r="BC55" s="26"/>
      <c r="BD55" s="26"/>
      <c r="BE55" s="26"/>
      <c r="BF55" s="26"/>
      <c r="BG55" s="26"/>
      <c r="BH55" s="26"/>
      <c r="BI55" s="26"/>
      <c r="BJ55" s="26"/>
      <c r="BK55" s="26"/>
    </row>
    <row r="56" ht="14.25" customHeight="1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26"/>
      <c r="AT56" s="26"/>
      <c r="AU56" s="26"/>
      <c r="AV56" s="26"/>
      <c r="AW56" s="26"/>
      <c r="AX56" s="26"/>
      <c r="AY56" s="26"/>
      <c r="AZ56" s="26"/>
      <c r="BA56" s="26"/>
      <c r="BB56" s="26"/>
      <c r="BC56" s="26"/>
      <c r="BD56" s="26"/>
      <c r="BE56" s="26"/>
      <c r="BF56" s="26"/>
      <c r="BG56" s="26"/>
      <c r="BH56" s="26"/>
      <c r="BI56" s="26"/>
      <c r="BJ56" s="26"/>
      <c r="BK56" s="26"/>
    </row>
    <row r="57" ht="14.25" customHeight="1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  <c r="AO57" s="26"/>
      <c r="AP57" s="26"/>
      <c r="AQ57" s="26"/>
      <c r="AR57" s="26"/>
      <c r="AS57" s="26"/>
      <c r="AT57" s="26"/>
      <c r="AU57" s="26"/>
      <c r="AV57" s="26"/>
      <c r="AW57" s="26"/>
      <c r="AX57" s="26"/>
      <c r="AY57" s="26"/>
      <c r="AZ57" s="26"/>
      <c r="BA57" s="26"/>
      <c r="BB57" s="26"/>
      <c r="BC57" s="26"/>
      <c r="BD57" s="26"/>
      <c r="BE57" s="26"/>
      <c r="BF57" s="26"/>
      <c r="BG57" s="26"/>
      <c r="BH57" s="26"/>
      <c r="BI57" s="26"/>
      <c r="BJ57" s="26"/>
      <c r="BK57" s="26"/>
    </row>
    <row r="58" ht="14.25" customHeight="1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26"/>
      <c r="AU58" s="26"/>
      <c r="AV58" s="26"/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26"/>
      <c r="BH58" s="26"/>
      <c r="BI58" s="26"/>
      <c r="BJ58" s="26"/>
      <c r="BK58" s="26"/>
    </row>
    <row r="59" ht="14.25" customHeight="1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  <c r="BH59" s="26"/>
      <c r="BI59" s="26"/>
      <c r="BJ59" s="26"/>
      <c r="BK59" s="26"/>
    </row>
    <row r="60" ht="14.25" customHeight="1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  <c r="BJ60" s="26"/>
      <c r="BK60" s="26"/>
    </row>
    <row r="61" ht="14.25" customHeight="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26"/>
      <c r="AX61" s="26"/>
      <c r="AY61" s="26"/>
      <c r="AZ61" s="26"/>
      <c r="BA61" s="26"/>
      <c r="BB61" s="26"/>
      <c r="BC61" s="26"/>
      <c r="BD61" s="26"/>
      <c r="BE61" s="26"/>
      <c r="BF61" s="26"/>
      <c r="BG61" s="26"/>
      <c r="BH61" s="26"/>
      <c r="BI61" s="26"/>
      <c r="BJ61" s="26"/>
      <c r="BK61" s="26"/>
    </row>
    <row r="62" ht="14.25" customHeight="1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26"/>
      <c r="AT62" s="26"/>
      <c r="AU62" s="26"/>
      <c r="AV62" s="26"/>
      <c r="AW62" s="26"/>
      <c r="AX62" s="26"/>
      <c r="AY62" s="26"/>
      <c r="AZ62" s="26"/>
      <c r="BA62" s="26"/>
      <c r="BB62" s="26"/>
      <c r="BC62" s="26"/>
      <c r="BD62" s="26"/>
      <c r="BE62" s="26"/>
      <c r="BF62" s="26"/>
      <c r="BG62" s="26"/>
      <c r="BH62" s="26"/>
      <c r="BI62" s="26"/>
      <c r="BJ62" s="26"/>
      <c r="BK62" s="26"/>
    </row>
    <row r="63" ht="14.25" customHeight="1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26"/>
      <c r="AP63" s="26"/>
      <c r="AQ63" s="26"/>
      <c r="AR63" s="26"/>
      <c r="AS63" s="26"/>
      <c r="AT63" s="26"/>
      <c r="AU63" s="26"/>
      <c r="AV63" s="26"/>
      <c r="AW63" s="26"/>
      <c r="AX63" s="26"/>
      <c r="AY63" s="26"/>
      <c r="AZ63" s="26"/>
      <c r="BA63" s="26"/>
      <c r="BB63" s="26"/>
      <c r="BC63" s="26"/>
      <c r="BD63" s="26"/>
      <c r="BE63" s="26"/>
      <c r="BF63" s="26"/>
      <c r="BG63" s="26"/>
      <c r="BH63" s="26"/>
      <c r="BI63" s="26"/>
      <c r="BJ63" s="26"/>
      <c r="BK63" s="26"/>
    </row>
    <row r="64" ht="14.25" customHeight="1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  <c r="AM64" s="26"/>
      <c r="AN64" s="26"/>
      <c r="AO64" s="26"/>
      <c r="AP64" s="26"/>
      <c r="AQ64" s="26"/>
      <c r="AR64" s="26"/>
      <c r="AS64" s="26"/>
      <c r="AT64" s="26"/>
      <c r="AU64" s="26"/>
      <c r="AV64" s="26"/>
      <c r="AW64" s="26"/>
      <c r="AX64" s="26"/>
      <c r="AY64" s="26"/>
      <c r="AZ64" s="26"/>
      <c r="BA64" s="26"/>
      <c r="BB64" s="26"/>
      <c r="BC64" s="26"/>
      <c r="BD64" s="26"/>
      <c r="BE64" s="26"/>
      <c r="BF64" s="26"/>
      <c r="BG64" s="26"/>
      <c r="BH64" s="26"/>
      <c r="BI64" s="26"/>
      <c r="BJ64" s="26"/>
      <c r="BK64" s="26"/>
    </row>
    <row r="65" ht="14.25" customHeight="1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  <c r="AO65" s="26"/>
      <c r="AP65" s="26"/>
      <c r="AQ65" s="26"/>
      <c r="AR65" s="26"/>
      <c r="AS65" s="26"/>
      <c r="AT65" s="26"/>
      <c r="AU65" s="26"/>
      <c r="AV65" s="26"/>
      <c r="AW65" s="26"/>
      <c r="AX65" s="26"/>
      <c r="AY65" s="26"/>
      <c r="AZ65" s="26"/>
      <c r="BA65" s="26"/>
      <c r="BB65" s="26"/>
      <c r="BC65" s="26"/>
      <c r="BD65" s="26"/>
      <c r="BE65" s="26"/>
      <c r="BF65" s="26"/>
      <c r="BG65" s="26"/>
      <c r="BH65" s="26"/>
      <c r="BI65" s="26"/>
      <c r="BJ65" s="26"/>
      <c r="BK65" s="26"/>
    </row>
    <row r="66" ht="14.25" customHeight="1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  <c r="AO66" s="26"/>
      <c r="AP66" s="26"/>
      <c r="AQ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/>
      <c r="BB66" s="26"/>
      <c r="BC66" s="26"/>
      <c r="BD66" s="26"/>
      <c r="BE66" s="26"/>
      <c r="BF66" s="26"/>
      <c r="BG66" s="26"/>
      <c r="BH66" s="26"/>
      <c r="BI66" s="26"/>
      <c r="BJ66" s="26"/>
      <c r="BK66" s="26"/>
    </row>
    <row r="67" ht="14.25" customHeight="1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/>
      <c r="BB67" s="26"/>
      <c r="BC67" s="26"/>
      <c r="BD67" s="26"/>
      <c r="BE67" s="26"/>
      <c r="BF67" s="26"/>
      <c r="BG67" s="26"/>
      <c r="BH67" s="26"/>
      <c r="BI67" s="26"/>
      <c r="BJ67" s="26"/>
      <c r="BK67" s="26"/>
    </row>
    <row r="68" ht="14.25" customHeight="1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  <c r="AO68" s="26"/>
      <c r="AP68" s="26"/>
      <c r="AQ68" s="26"/>
      <c r="AR68" s="26"/>
      <c r="AS68" s="26"/>
      <c r="AT68" s="26"/>
      <c r="AU68" s="26"/>
      <c r="AV68" s="26"/>
      <c r="AW68" s="26"/>
      <c r="AX68" s="26"/>
      <c r="AY68" s="26"/>
      <c r="AZ68" s="26"/>
      <c r="BA68" s="26"/>
      <c r="BB68" s="26"/>
      <c r="BC68" s="26"/>
      <c r="BD68" s="26"/>
      <c r="BE68" s="26"/>
      <c r="BF68" s="26"/>
      <c r="BG68" s="26"/>
      <c r="BH68" s="26"/>
      <c r="BI68" s="26"/>
      <c r="BJ68" s="26"/>
      <c r="BK68" s="26"/>
    </row>
    <row r="69" ht="14.25" customHeight="1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6"/>
      <c r="AY69" s="26"/>
      <c r="AZ69" s="26"/>
      <c r="BA69" s="26"/>
      <c r="BB69" s="26"/>
      <c r="BC69" s="26"/>
      <c r="BD69" s="26"/>
      <c r="BE69" s="26"/>
      <c r="BF69" s="26"/>
      <c r="BG69" s="26"/>
      <c r="BH69" s="26"/>
      <c r="BI69" s="26"/>
      <c r="BJ69" s="26"/>
      <c r="BK69" s="26"/>
    </row>
    <row r="70" ht="14.25" customHeight="1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  <c r="AM70" s="26"/>
      <c r="AN70" s="26"/>
      <c r="AO70" s="26"/>
      <c r="AP70" s="26"/>
      <c r="AQ70" s="26"/>
      <c r="AR70" s="26"/>
      <c r="AS70" s="26"/>
      <c r="AT70" s="26"/>
      <c r="AU70" s="26"/>
      <c r="AV70" s="26"/>
      <c r="AW70" s="26"/>
      <c r="AX70" s="26"/>
      <c r="AY70" s="26"/>
      <c r="AZ70" s="26"/>
      <c r="BA70" s="26"/>
      <c r="BB70" s="26"/>
      <c r="BC70" s="26"/>
      <c r="BD70" s="26"/>
      <c r="BE70" s="26"/>
      <c r="BF70" s="26"/>
      <c r="BG70" s="26"/>
      <c r="BH70" s="26"/>
      <c r="BI70" s="26"/>
      <c r="BJ70" s="26"/>
      <c r="BK70" s="26"/>
    </row>
    <row r="71" ht="14.25" customHeight="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26"/>
      <c r="AT71" s="26"/>
      <c r="AU71" s="26"/>
      <c r="AV71" s="26"/>
      <c r="AW71" s="26"/>
      <c r="AX71" s="26"/>
      <c r="AY71" s="26"/>
      <c r="AZ71" s="26"/>
      <c r="BA71" s="26"/>
      <c r="BB71" s="26"/>
      <c r="BC71" s="26"/>
      <c r="BD71" s="26"/>
      <c r="BE71" s="26"/>
      <c r="BF71" s="26"/>
      <c r="BG71" s="26"/>
      <c r="BH71" s="26"/>
      <c r="BI71" s="26"/>
      <c r="BJ71" s="26"/>
      <c r="BK71" s="26"/>
    </row>
    <row r="72" ht="14.25" customHeight="1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  <c r="AO72" s="26"/>
      <c r="AP72" s="26"/>
      <c r="AQ72" s="26"/>
      <c r="AR72" s="26"/>
      <c r="AS72" s="26"/>
      <c r="AT72" s="26"/>
      <c r="AU72" s="26"/>
      <c r="AV72" s="26"/>
      <c r="AW72" s="26"/>
      <c r="AX72" s="26"/>
      <c r="AY72" s="26"/>
      <c r="AZ72" s="26"/>
      <c r="BA72" s="26"/>
      <c r="BB72" s="26"/>
      <c r="BC72" s="26"/>
      <c r="BD72" s="26"/>
      <c r="BE72" s="26"/>
      <c r="BF72" s="26"/>
      <c r="BG72" s="26"/>
      <c r="BH72" s="26"/>
      <c r="BI72" s="26"/>
      <c r="BJ72" s="26"/>
      <c r="BK72" s="26"/>
    </row>
    <row r="73" ht="14.25" customHeight="1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  <c r="AO73" s="26"/>
      <c r="AP73" s="26"/>
      <c r="AQ73" s="26"/>
      <c r="AR73" s="26"/>
      <c r="AS73" s="26"/>
      <c r="AT73" s="26"/>
      <c r="AU73" s="26"/>
      <c r="AV73" s="26"/>
      <c r="AW73" s="26"/>
      <c r="AX73" s="26"/>
      <c r="AY73" s="26"/>
      <c r="AZ73" s="26"/>
      <c r="BA73" s="26"/>
      <c r="BB73" s="26"/>
      <c r="BC73" s="26"/>
      <c r="BD73" s="26"/>
      <c r="BE73" s="26"/>
      <c r="BF73" s="26"/>
      <c r="BG73" s="26"/>
      <c r="BH73" s="26"/>
      <c r="BI73" s="26"/>
      <c r="BJ73" s="26"/>
      <c r="BK73" s="26"/>
    </row>
    <row r="74" ht="14.25" customHeight="1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/>
      <c r="AP74" s="26"/>
      <c r="AQ74" s="26"/>
      <c r="AR74" s="26"/>
      <c r="AS74" s="26"/>
      <c r="AT74" s="26"/>
      <c r="AU74" s="26"/>
      <c r="AV74" s="26"/>
      <c r="AW74" s="26"/>
      <c r="AX74" s="26"/>
      <c r="AY74" s="26"/>
      <c r="AZ74" s="26"/>
      <c r="BA74" s="26"/>
      <c r="BB74" s="26"/>
      <c r="BC74" s="26"/>
      <c r="BD74" s="26"/>
      <c r="BE74" s="26"/>
      <c r="BF74" s="26"/>
      <c r="BG74" s="26"/>
      <c r="BH74" s="26"/>
      <c r="BI74" s="26"/>
      <c r="BJ74" s="26"/>
      <c r="BK74" s="26"/>
    </row>
    <row r="75" ht="14.25" customHeight="1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26"/>
      <c r="AQ75" s="26"/>
      <c r="AR75" s="26"/>
      <c r="AS75" s="26"/>
      <c r="AT75" s="26"/>
      <c r="AU75" s="26"/>
      <c r="AV75" s="26"/>
      <c r="AW75" s="26"/>
      <c r="AX75" s="26"/>
      <c r="AY75" s="26"/>
      <c r="AZ75" s="26"/>
      <c r="BA75" s="26"/>
      <c r="BB75" s="26"/>
      <c r="BC75" s="26"/>
      <c r="BD75" s="26"/>
      <c r="BE75" s="26"/>
      <c r="BF75" s="26"/>
      <c r="BG75" s="26"/>
      <c r="BH75" s="26"/>
      <c r="BI75" s="26"/>
      <c r="BJ75" s="26"/>
      <c r="BK75" s="26"/>
    </row>
    <row r="76" ht="14.25" customHeight="1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26"/>
      <c r="AV76" s="26"/>
      <c r="AW76" s="26"/>
      <c r="AX76" s="26"/>
      <c r="AY76" s="26"/>
      <c r="AZ76" s="26"/>
      <c r="BA76" s="26"/>
      <c r="BB76" s="26"/>
      <c r="BC76" s="26"/>
      <c r="BD76" s="26"/>
      <c r="BE76" s="26"/>
      <c r="BF76" s="26"/>
      <c r="BG76" s="26"/>
      <c r="BH76" s="26"/>
      <c r="BI76" s="26"/>
      <c r="BJ76" s="26"/>
      <c r="BK76" s="26"/>
    </row>
    <row r="77" ht="14.25" customHeight="1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  <c r="AM77" s="26"/>
      <c r="AN77" s="26"/>
      <c r="AO77" s="26"/>
      <c r="AP77" s="26"/>
      <c r="AQ77" s="26"/>
      <c r="AR77" s="26"/>
      <c r="AS77" s="26"/>
      <c r="AT77" s="26"/>
      <c r="AU77" s="26"/>
      <c r="AV77" s="26"/>
      <c r="AW77" s="26"/>
      <c r="AX77" s="26"/>
      <c r="AY77" s="26"/>
      <c r="AZ77" s="26"/>
      <c r="BA77" s="26"/>
      <c r="BB77" s="26"/>
      <c r="BC77" s="26"/>
      <c r="BD77" s="26"/>
      <c r="BE77" s="26"/>
      <c r="BF77" s="26"/>
      <c r="BG77" s="26"/>
      <c r="BH77" s="26"/>
      <c r="BI77" s="26"/>
      <c r="BJ77" s="26"/>
      <c r="BK77" s="26"/>
    </row>
    <row r="78" ht="14.25" customHeight="1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  <c r="AM78" s="26"/>
      <c r="AN78" s="26"/>
      <c r="AO78" s="26"/>
      <c r="AP78" s="26"/>
      <c r="AQ78" s="26"/>
      <c r="AR78" s="26"/>
      <c r="AS78" s="26"/>
      <c r="AT78" s="26"/>
      <c r="AU78" s="26"/>
      <c r="AV78" s="26"/>
      <c r="AW78" s="26"/>
      <c r="AX78" s="26"/>
      <c r="AY78" s="26"/>
      <c r="AZ78" s="26"/>
      <c r="BA78" s="26"/>
      <c r="BB78" s="26"/>
      <c r="BC78" s="26"/>
      <c r="BD78" s="26"/>
      <c r="BE78" s="26"/>
      <c r="BF78" s="26"/>
      <c r="BG78" s="26"/>
      <c r="BH78" s="26"/>
      <c r="BI78" s="26"/>
      <c r="BJ78" s="26"/>
      <c r="BK78" s="26"/>
    </row>
    <row r="79" ht="14.25" customHeight="1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  <c r="AO79" s="26"/>
      <c r="AP79" s="26"/>
      <c r="AQ79" s="26"/>
      <c r="AR79" s="26"/>
      <c r="AS79" s="26"/>
      <c r="AT79" s="26"/>
      <c r="AU79" s="26"/>
      <c r="AV79" s="26"/>
      <c r="AW79" s="26"/>
      <c r="AX79" s="26"/>
      <c r="AY79" s="26"/>
      <c r="AZ79" s="26"/>
      <c r="BA79" s="26"/>
      <c r="BB79" s="26"/>
      <c r="BC79" s="26"/>
      <c r="BD79" s="26"/>
      <c r="BE79" s="26"/>
      <c r="BF79" s="26"/>
      <c r="BG79" s="26"/>
      <c r="BH79" s="26"/>
      <c r="BI79" s="26"/>
      <c r="BJ79" s="26"/>
      <c r="BK79" s="26"/>
    </row>
    <row r="80" ht="14.25" customHeight="1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  <c r="AO80" s="26"/>
      <c r="AP80" s="26"/>
      <c r="AQ80" s="26"/>
      <c r="AR80" s="26"/>
      <c r="AS80" s="26"/>
      <c r="AT80" s="26"/>
      <c r="AU80" s="26"/>
      <c r="AV80" s="26"/>
      <c r="AW80" s="26"/>
      <c r="AX80" s="26"/>
      <c r="AY80" s="26"/>
      <c r="AZ80" s="26"/>
      <c r="BA80" s="26"/>
      <c r="BB80" s="26"/>
      <c r="BC80" s="26"/>
      <c r="BD80" s="26"/>
      <c r="BE80" s="26"/>
      <c r="BF80" s="26"/>
      <c r="BG80" s="26"/>
      <c r="BH80" s="26"/>
      <c r="BI80" s="26"/>
      <c r="BJ80" s="26"/>
      <c r="BK80" s="26"/>
    </row>
    <row r="81" ht="14.25" customHeight="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  <c r="AO81" s="26"/>
      <c r="AP81" s="26"/>
      <c r="AQ81" s="26"/>
      <c r="AR81" s="26"/>
      <c r="AS81" s="26"/>
      <c r="AT81" s="26"/>
      <c r="AU81" s="26"/>
      <c r="AV81" s="26"/>
      <c r="AW81" s="26"/>
      <c r="AX81" s="26"/>
      <c r="AY81" s="26"/>
      <c r="AZ81" s="26"/>
      <c r="BA81" s="26"/>
      <c r="BB81" s="26"/>
      <c r="BC81" s="26"/>
      <c r="BD81" s="26"/>
      <c r="BE81" s="26"/>
      <c r="BF81" s="26"/>
      <c r="BG81" s="26"/>
      <c r="BH81" s="26"/>
      <c r="BI81" s="26"/>
      <c r="BJ81" s="26"/>
      <c r="BK81" s="26"/>
    </row>
    <row r="82" ht="14.25" customHeight="1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  <c r="AM82" s="26"/>
      <c r="AN82" s="26"/>
      <c r="AO82" s="26"/>
      <c r="AP82" s="26"/>
      <c r="AQ82" s="26"/>
      <c r="AR82" s="26"/>
      <c r="AS82" s="26"/>
      <c r="AT82" s="26"/>
      <c r="AU82" s="26"/>
      <c r="AV82" s="26"/>
      <c r="AW82" s="26"/>
      <c r="AX82" s="26"/>
      <c r="AY82" s="26"/>
      <c r="AZ82" s="26"/>
      <c r="BA82" s="26"/>
      <c r="BB82" s="26"/>
      <c r="BC82" s="26"/>
      <c r="BD82" s="26"/>
      <c r="BE82" s="26"/>
      <c r="BF82" s="26"/>
      <c r="BG82" s="26"/>
      <c r="BH82" s="26"/>
      <c r="BI82" s="26"/>
      <c r="BJ82" s="26"/>
      <c r="BK82" s="26"/>
    </row>
    <row r="83" ht="14.25" customHeight="1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  <c r="AM83" s="26"/>
      <c r="AN83" s="26"/>
      <c r="AO83" s="26"/>
      <c r="AP83" s="26"/>
      <c r="AQ83" s="26"/>
      <c r="AR83" s="26"/>
      <c r="AS83" s="26"/>
      <c r="AT83" s="26"/>
      <c r="AU83" s="26"/>
      <c r="AV83" s="26"/>
      <c r="AW83" s="26"/>
      <c r="AX83" s="26"/>
      <c r="AY83" s="26"/>
      <c r="AZ83" s="26"/>
      <c r="BA83" s="26"/>
      <c r="BB83" s="26"/>
      <c r="BC83" s="26"/>
      <c r="BD83" s="26"/>
      <c r="BE83" s="26"/>
      <c r="BF83" s="26"/>
      <c r="BG83" s="26"/>
      <c r="BH83" s="26"/>
      <c r="BI83" s="26"/>
      <c r="BJ83" s="26"/>
      <c r="BK83" s="26"/>
    </row>
    <row r="84" ht="14.25" customHeight="1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  <c r="AM84" s="26"/>
      <c r="AN84" s="26"/>
      <c r="AO84" s="26"/>
      <c r="AP84" s="26"/>
      <c r="AQ84" s="26"/>
      <c r="AR84" s="26"/>
      <c r="AS84" s="26"/>
      <c r="AT84" s="26"/>
      <c r="AU84" s="26"/>
      <c r="AV84" s="26"/>
      <c r="AW84" s="26"/>
      <c r="AX84" s="26"/>
      <c r="AY84" s="26"/>
      <c r="AZ84" s="26"/>
      <c r="BA84" s="26"/>
      <c r="BB84" s="26"/>
      <c r="BC84" s="26"/>
      <c r="BD84" s="26"/>
      <c r="BE84" s="26"/>
      <c r="BF84" s="26"/>
      <c r="BG84" s="26"/>
      <c r="BH84" s="26"/>
      <c r="BI84" s="26"/>
      <c r="BJ84" s="26"/>
      <c r="BK84" s="26"/>
    </row>
    <row r="85" ht="14.25" customHeight="1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  <c r="AO85" s="26"/>
      <c r="AP85" s="26"/>
      <c r="AQ85" s="26"/>
      <c r="AR85" s="26"/>
      <c r="AS85" s="26"/>
      <c r="AT85" s="26"/>
      <c r="AU85" s="26"/>
      <c r="AV85" s="26"/>
      <c r="AW85" s="26"/>
      <c r="AX85" s="26"/>
      <c r="AY85" s="26"/>
      <c r="AZ85" s="26"/>
      <c r="BA85" s="26"/>
      <c r="BB85" s="26"/>
      <c r="BC85" s="26"/>
      <c r="BD85" s="26"/>
      <c r="BE85" s="26"/>
      <c r="BF85" s="26"/>
      <c r="BG85" s="26"/>
      <c r="BH85" s="26"/>
      <c r="BI85" s="26"/>
      <c r="BJ85" s="26"/>
      <c r="BK85" s="26"/>
    </row>
    <row r="86" ht="14.25" customHeight="1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/>
      <c r="AN86" s="26"/>
      <c r="AO86" s="26"/>
      <c r="AP86" s="26"/>
      <c r="AQ86" s="26"/>
      <c r="AR86" s="26"/>
      <c r="AS86" s="26"/>
      <c r="AT86" s="26"/>
      <c r="AU86" s="26"/>
      <c r="AV86" s="26"/>
      <c r="AW86" s="26"/>
      <c r="AX86" s="26"/>
      <c r="AY86" s="26"/>
      <c r="AZ86" s="26"/>
      <c r="BA86" s="26"/>
      <c r="BB86" s="26"/>
      <c r="BC86" s="26"/>
      <c r="BD86" s="26"/>
      <c r="BE86" s="26"/>
      <c r="BF86" s="26"/>
      <c r="BG86" s="26"/>
      <c r="BH86" s="26"/>
      <c r="BI86" s="26"/>
      <c r="BJ86" s="26"/>
      <c r="BK86" s="26"/>
    </row>
    <row r="87" ht="14.25" customHeight="1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/>
      <c r="AX87" s="26"/>
      <c r="AY87" s="26"/>
      <c r="AZ87" s="26"/>
      <c r="BA87" s="26"/>
      <c r="BB87" s="26"/>
      <c r="BC87" s="26"/>
      <c r="BD87" s="26"/>
      <c r="BE87" s="26"/>
      <c r="BF87" s="26"/>
      <c r="BG87" s="26"/>
      <c r="BH87" s="26"/>
      <c r="BI87" s="26"/>
      <c r="BJ87" s="26"/>
      <c r="BK87" s="26"/>
    </row>
    <row r="88" ht="14.25" customHeight="1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  <c r="AM88" s="26"/>
      <c r="AN88" s="26"/>
      <c r="AO88" s="26"/>
      <c r="AP88" s="26"/>
      <c r="AQ88" s="26"/>
      <c r="AR88" s="26"/>
      <c r="AS88" s="26"/>
      <c r="AT88" s="26"/>
      <c r="AU88" s="26"/>
      <c r="AV88" s="26"/>
      <c r="AW88" s="26"/>
      <c r="AX88" s="26"/>
      <c r="AY88" s="26"/>
      <c r="AZ88" s="26"/>
      <c r="BA88" s="26"/>
      <c r="BB88" s="26"/>
      <c r="BC88" s="26"/>
      <c r="BD88" s="26"/>
      <c r="BE88" s="26"/>
      <c r="BF88" s="26"/>
      <c r="BG88" s="26"/>
      <c r="BH88" s="26"/>
      <c r="BI88" s="26"/>
      <c r="BJ88" s="26"/>
      <c r="BK88" s="26"/>
    </row>
    <row r="89" ht="14.25" customHeight="1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26"/>
      <c r="BH89" s="26"/>
      <c r="BI89" s="26"/>
      <c r="BJ89" s="26"/>
      <c r="BK89" s="26"/>
    </row>
    <row r="90" ht="14.25" customHeight="1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26"/>
      <c r="AQ90" s="26"/>
      <c r="AR90" s="26"/>
      <c r="AS90" s="26"/>
      <c r="AT90" s="26"/>
      <c r="AU90" s="26"/>
      <c r="AV90" s="26"/>
      <c r="AW90" s="26"/>
      <c r="AX90" s="26"/>
      <c r="AY90" s="26"/>
      <c r="AZ90" s="26"/>
      <c r="BA90" s="26"/>
      <c r="BB90" s="26"/>
      <c r="BC90" s="26"/>
      <c r="BD90" s="26"/>
      <c r="BE90" s="26"/>
      <c r="BF90" s="26"/>
      <c r="BG90" s="26"/>
      <c r="BH90" s="26"/>
      <c r="BI90" s="26"/>
      <c r="BJ90" s="26"/>
      <c r="BK90" s="26"/>
    </row>
    <row r="91" ht="14.25" customHeight="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  <c r="AN91" s="26"/>
      <c r="AO91" s="26"/>
      <c r="AP91" s="26"/>
      <c r="AQ91" s="26"/>
      <c r="AR91" s="26"/>
      <c r="AS91" s="26"/>
      <c r="AT91" s="26"/>
      <c r="AU91" s="26"/>
      <c r="AV91" s="26"/>
      <c r="AW91" s="26"/>
      <c r="AX91" s="26"/>
      <c r="AY91" s="26"/>
      <c r="AZ91" s="26"/>
      <c r="BA91" s="26"/>
      <c r="BB91" s="26"/>
      <c r="BC91" s="26"/>
      <c r="BD91" s="26"/>
      <c r="BE91" s="26"/>
      <c r="BF91" s="26"/>
      <c r="BG91" s="26"/>
      <c r="BH91" s="26"/>
      <c r="BI91" s="26"/>
      <c r="BJ91" s="26"/>
      <c r="BK91" s="26"/>
    </row>
    <row r="92" ht="14.25" customHeight="1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  <c r="AO92" s="26"/>
      <c r="AP92" s="26"/>
      <c r="AQ92" s="26"/>
      <c r="AR92" s="26"/>
      <c r="AS92" s="26"/>
      <c r="AT92" s="26"/>
      <c r="AU92" s="26"/>
      <c r="AV92" s="26"/>
      <c r="AW92" s="26"/>
      <c r="AX92" s="26"/>
      <c r="AY92" s="26"/>
      <c r="AZ92" s="26"/>
      <c r="BA92" s="26"/>
      <c r="BB92" s="26"/>
      <c r="BC92" s="26"/>
      <c r="BD92" s="26"/>
      <c r="BE92" s="26"/>
      <c r="BF92" s="26"/>
      <c r="BG92" s="26"/>
      <c r="BH92" s="26"/>
      <c r="BI92" s="26"/>
      <c r="BJ92" s="26"/>
      <c r="BK92" s="26"/>
    </row>
    <row r="93" ht="14.25" customHeight="1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  <c r="AP93" s="26"/>
      <c r="AQ93" s="26"/>
      <c r="AR93" s="26"/>
      <c r="AS93" s="26"/>
      <c r="AT93" s="26"/>
      <c r="AU93" s="26"/>
      <c r="AV93" s="26"/>
      <c r="AW93" s="26"/>
      <c r="AX93" s="26"/>
      <c r="AY93" s="26"/>
      <c r="AZ93" s="26"/>
      <c r="BA93" s="26"/>
      <c r="BB93" s="26"/>
      <c r="BC93" s="26"/>
      <c r="BD93" s="26"/>
      <c r="BE93" s="26"/>
      <c r="BF93" s="26"/>
      <c r="BG93" s="26"/>
      <c r="BH93" s="26"/>
      <c r="BI93" s="26"/>
      <c r="BJ93" s="26"/>
      <c r="BK93" s="26"/>
    </row>
    <row r="94" ht="14.25" customHeight="1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  <c r="AP94" s="26"/>
      <c r="AQ94" s="26"/>
      <c r="AR94" s="26"/>
      <c r="AS94" s="26"/>
      <c r="AT94" s="26"/>
      <c r="AU94" s="26"/>
      <c r="AV94" s="26"/>
      <c r="AW94" s="26"/>
      <c r="AX94" s="26"/>
      <c r="AY94" s="26"/>
      <c r="AZ94" s="26"/>
      <c r="BA94" s="26"/>
      <c r="BB94" s="26"/>
      <c r="BC94" s="26"/>
      <c r="BD94" s="26"/>
      <c r="BE94" s="26"/>
      <c r="BF94" s="26"/>
      <c r="BG94" s="26"/>
      <c r="BH94" s="26"/>
      <c r="BI94" s="26"/>
      <c r="BJ94" s="26"/>
      <c r="BK94" s="26"/>
    </row>
    <row r="95" ht="14.25" customHeight="1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  <c r="AP95" s="26"/>
      <c r="AQ95" s="26"/>
      <c r="AR95" s="26"/>
      <c r="AS95" s="26"/>
      <c r="AT95" s="26"/>
      <c r="AU95" s="26"/>
      <c r="AV95" s="26"/>
      <c r="AW95" s="26"/>
      <c r="AX95" s="26"/>
      <c r="AY95" s="26"/>
      <c r="AZ95" s="26"/>
      <c r="BA95" s="26"/>
      <c r="BB95" s="26"/>
      <c r="BC95" s="26"/>
      <c r="BD95" s="26"/>
      <c r="BE95" s="26"/>
      <c r="BF95" s="26"/>
      <c r="BG95" s="26"/>
      <c r="BH95" s="26"/>
      <c r="BI95" s="26"/>
      <c r="BJ95" s="26"/>
      <c r="BK95" s="26"/>
    </row>
    <row r="96" ht="14.25" customHeight="1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  <c r="AM96" s="26"/>
      <c r="AN96" s="26"/>
      <c r="AO96" s="26"/>
      <c r="AP96" s="26"/>
      <c r="AQ96" s="26"/>
      <c r="AR96" s="26"/>
      <c r="AS96" s="26"/>
      <c r="AT96" s="26"/>
      <c r="AU96" s="26"/>
      <c r="AV96" s="26"/>
      <c r="AW96" s="26"/>
      <c r="AX96" s="26"/>
      <c r="AY96" s="26"/>
      <c r="AZ96" s="26"/>
      <c r="BA96" s="26"/>
      <c r="BB96" s="26"/>
      <c r="BC96" s="26"/>
      <c r="BD96" s="26"/>
      <c r="BE96" s="26"/>
      <c r="BF96" s="26"/>
      <c r="BG96" s="26"/>
      <c r="BH96" s="26"/>
      <c r="BI96" s="26"/>
      <c r="BJ96" s="26"/>
      <c r="BK96" s="26"/>
    </row>
    <row r="97" ht="14.25" customHeight="1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</row>
    <row r="98" ht="14.25" customHeight="1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</row>
    <row r="99" ht="14.25" customHeight="1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26"/>
      <c r="BK99" s="26"/>
    </row>
    <row r="100" ht="14.25" customHeight="1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</row>
    <row r="101" ht="14.25" customHeight="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</row>
    <row r="102" ht="14.25" customHeight="1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</row>
    <row r="103" ht="14.25" customHeight="1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/>
      <c r="BB103" s="26"/>
      <c r="BC103" s="26"/>
      <c r="BD103" s="26"/>
      <c r="BE103" s="26"/>
      <c r="BF103" s="26"/>
      <c r="BG103" s="26"/>
      <c r="BH103" s="26"/>
      <c r="BI103" s="26"/>
      <c r="BJ103" s="26"/>
      <c r="BK103" s="26"/>
    </row>
    <row r="104" ht="14.25" customHeight="1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</row>
    <row r="105" ht="14.25" customHeight="1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</row>
    <row r="106" ht="14.25" customHeight="1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</row>
    <row r="107" ht="14.25" customHeight="1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6"/>
      <c r="AY107" s="26"/>
      <c r="AZ107" s="26"/>
      <c r="BA107" s="26"/>
      <c r="BB107" s="26"/>
      <c r="BC107" s="26"/>
      <c r="BD107" s="26"/>
      <c r="BE107" s="26"/>
      <c r="BF107" s="26"/>
      <c r="BG107" s="26"/>
      <c r="BH107" s="26"/>
      <c r="BI107" s="26"/>
      <c r="BJ107" s="26"/>
      <c r="BK107" s="26"/>
    </row>
    <row r="108" ht="14.25" customHeight="1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  <c r="AN108" s="26"/>
      <c r="AO108" s="26"/>
      <c r="AP108" s="26"/>
      <c r="AQ108" s="26"/>
      <c r="AR108" s="26"/>
      <c r="AS108" s="26"/>
      <c r="AT108" s="26"/>
      <c r="AU108" s="26"/>
      <c r="AV108" s="26"/>
      <c r="AW108" s="26"/>
      <c r="AX108" s="26"/>
      <c r="AY108" s="26"/>
      <c r="AZ108" s="26"/>
      <c r="BA108" s="26"/>
      <c r="BB108" s="26"/>
      <c r="BC108" s="26"/>
      <c r="BD108" s="26"/>
      <c r="BE108" s="26"/>
      <c r="BF108" s="26"/>
      <c r="BG108" s="26"/>
      <c r="BH108" s="26"/>
      <c r="BI108" s="26"/>
      <c r="BJ108" s="26"/>
      <c r="BK108" s="26"/>
    </row>
    <row r="109" ht="14.25" customHeight="1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  <c r="AO109" s="26"/>
      <c r="AP109" s="26"/>
      <c r="AQ109" s="26"/>
      <c r="AR109" s="26"/>
      <c r="AS109" s="26"/>
      <c r="AT109" s="26"/>
      <c r="AU109" s="26"/>
      <c r="AV109" s="26"/>
      <c r="AW109" s="26"/>
      <c r="AX109" s="26"/>
      <c r="AY109" s="26"/>
      <c r="AZ109" s="26"/>
      <c r="BA109" s="26"/>
      <c r="BB109" s="26"/>
      <c r="BC109" s="26"/>
      <c r="BD109" s="26"/>
      <c r="BE109" s="26"/>
      <c r="BF109" s="26"/>
      <c r="BG109" s="26"/>
      <c r="BH109" s="26"/>
      <c r="BI109" s="26"/>
      <c r="BJ109" s="26"/>
      <c r="BK109" s="26"/>
    </row>
    <row r="110" ht="14.25" customHeight="1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  <c r="AP110" s="26"/>
      <c r="AQ110" s="26"/>
      <c r="AR110" s="26"/>
      <c r="AS110" s="26"/>
      <c r="AT110" s="26"/>
      <c r="AU110" s="26"/>
      <c r="AV110" s="26"/>
      <c r="AW110" s="26"/>
      <c r="AX110" s="26"/>
      <c r="AY110" s="26"/>
      <c r="AZ110" s="26"/>
      <c r="BA110" s="26"/>
      <c r="BB110" s="26"/>
      <c r="BC110" s="26"/>
      <c r="BD110" s="26"/>
      <c r="BE110" s="26"/>
      <c r="BF110" s="26"/>
      <c r="BG110" s="26"/>
      <c r="BH110" s="26"/>
      <c r="BI110" s="26"/>
      <c r="BJ110" s="26"/>
      <c r="BK110" s="26"/>
    </row>
    <row r="111" ht="14.25" customHeight="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  <c r="AN111" s="26"/>
      <c r="AO111" s="26"/>
      <c r="AP111" s="26"/>
      <c r="AQ111" s="26"/>
      <c r="AR111" s="26"/>
      <c r="AS111" s="26"/>
      <c r="AT111" s="26"/>
      <c r="AU111" s="26"/>
      <c r="AV111" s="26"/>
      <c r="AW111" s="26"/>
      <c r="AX111" s="26"/>
      <c r="AY111" s="26"/>
      <c r="AZ111" s="26"/>
      <c r="BA111" s="26"/>
      <c r="BB111" s="26"/>
      <c r="BC111" s="26"/>
      <c r="BD111" s="26"/>
      <c r="BE111" s="26"/>
      <c r="BF111" s="26"/>
      <c r="BG111" s="26"/>
      <c r="BH111" s="26"/>
      <c r="BI111" s="26"/>
      <c r="BJ111" s="26"/>
      <c r="BK111" s="26"/>
    </row>
    <row r="112" ht="14.25" customHeight="1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  <c r="AO112" s="26"/>
      <c r="AP112" s="26"/>
      <c r="AQ112" s="26"/>
      <c r="AR112" s="26"/>
      <c r="AS112" s="26"/>
      <c r="AT112" s="26"/>
      <c r="AU112" s="26"/>
      <c r="AV112" s="26"/>
      <c r="AW112" s="26"/>
      <c r="AX112" s="26"/>
      <c r="AY112" s="26"/>
      <c r="AZ112" s="26"/>
      <c r="BA112" s="26"/>
      <c r="BB112" s="26"/>
      <c r="BC112" s="26"/>
      <c r="BD112" s="26"/>
      <c r="BE112" s="26"/>
      <c r="BF112" s="26"/>
      <c r="BG112" s="26"/>
      <c r="BH112" s="26"/>
      <c r="BI112" s="26"/>
      <c r="BJ112" s="26"/>
      <c r="BK112" s="26"/>
    </row>
    <row r="113" ht="14.25" customHeight="1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  <c r="AO113" s="26"/>
      <c r="AP113" s="26"/>
      <c r="AQ113" s="26"/>
      <c r="AR113" s="26"/>
      <c r="AS113" s="26"/>
      <c r="AT113" s="26"/>
      <c r="AU113" s="26"/>
      <c r="AV113" s="26"/>
      <c r="AW113" s="26"/>
      <c r="AX113" s="26"/>
      <c r="AY113" s="26"/>
      <c r="AZ113" s="26"/>
      <c r="BA113" s="26"/>
      <c r="BB113" s="26"/>
      <c r="BC113" s="26"/>
      <c r="BD113" s="26"/>
      <c r="BE113" s="26"/>
      <c r="BF113" s="26"/>
      <c r="BG113" s="26"/>
      <c r="BH113" s="26"/>
      <c r="BI113" s="26"/>
      <c r="BJ113" s="26"/>
      <c r="BK113" s="26"/>
    </row>
    <row r="114" ht="14.25" customHeight="1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  <c r="AO114" s="26"/>
      <c r="AP114" s="26"/>
      <c r="AQ114" s="26"/>
      <c r="AR114" s="26"/>
      <c r="AS114" s="26"/>
      <c r="AT114" s="26"/>
      <c r="AU114" s="26"/>
      <c r="AV114" s="26"/>
      <c r="AW114" s="26"/>
      <c r="AX114" s="26"/>
      <c r="AY114" s="26"/>
      <c r="AZ114" s="26"/>
      <c r="BA114" s="26"/>
      <c r="BB114" s="26"/>
      <c r="BC114" s="26"/>
      <c r="BD114" s="26"/>
      <c r="BE114" s="26"/>
      <c r="BF114" s="26"/>
      <c r="BG114" s="26"/>
      <c r="BH114" s="26"/>
      <c r="BI114" s="26"/>
      <c r="BJ114" s="26"/>
      <c r="BK114" s="26"/>
    </row>
    <row r="115" ht="14.25" customHeight="1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  <c r="AM115" s="26"/>
      <c r="AN115" s="26"/>
      <c r="AO115" s="26"/>
      <c r="AP115" s="26"/>
      <c r="AQ115" s="26"/>
      <c r="AR115" s="26"/>
      <c r="AS115" s="26"/>
      <c r="AT115" s="26"/>
      <c r="AU115" s="26"/>
      <c r="AV115" s="26"/>
      <c r="AW115" s="26"/>
      <c r="AX115" s="26"/>
      <c r="AY115" s="26"/>
      <c r="AZ115" s="26"/>
      <c r="BA115" s="26"/>
      <c r="BB115" s="26"/>
      <c r="BC115" s="26"/>
      <c r="BD115" s="26"/>
      <c r="BE115" s="26"/>
      <c r="BF115" s="26"/>
      <c r="BG115" s="26"/>
      <c r="BH115" s="26"/>
      <c r="BI115" s="26"/>
      <c r="BJ115" s="26"/>
      <c r="BK115" s="26"/>
    </row>
    <row r="116" ht="14.25" customHeight="1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  <c r="AN116" s="26"/>
      <c r="AO116" s="26"/>
      <c r="AP116" s="26"/>
      <c r="AQ116" s="26"/>
      <c r="AR116" s="26"/>
      <c r="AS116" s="26"/>
      <c r="AT116" s="26"/>
      <c r="AU116" s="26"/>
      <c r="AV116" s="26"/>
      <c r="AW116" s="26"/>
      <c r="AX116" s="26"/>
      <c r="AY116" s="26"/>
      <c r="AZ116" s="26"/>
      <c r="BA116" s="26"/>
      <c r="BB116" s="26"/>
      <c r="BC116" s="26"/>
      <c r="BD116" s="26"/>
      <c r="BE116" s="26"/>
      <c r="BF116" s="26"/>
      <c r="BG116" s="26"/>
      <c r="BH116" s="26"/>
      <c r="BI116" s="26"/>
      <c r="BJ116" s="26"/>
      <c r="BK116" s="26"/>
    </row>
    <row r="117" ht="14.25" customHeight="1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  <c r="AM117" s="26"/>
      <c r="AN117" s="26"/>
      <c r="AO117" s="26"/>
      <c r="AP117" s="26"/>
      <c r="AQ117" s="26"/>
      <c r="AR117" s="26"/>
      <c r="AS117" s="26"/>
      <c r="AT117" s="26"/>
      <c r="AU117" s="26"/>
      <c r="AV117" s="26"/>
      <c r="AW117" s="26"/>
      <c r="AX117" s="26"/>
      <c r="AY117" s="26"/>
      <c r="AZ117" s="26"/>
      <c r="BA117" s="26"/>
      <c r="BB117" s="26"/>
      <c r="BC117" s="26"/>
      <c r="BD117" s="26"/>
      <c r="BE117" s="26"/>
      <c r="BF117" s="26"/>
      <c r="BG117" s="26"/>
      <c r="BH117" s="26"/>
      <c r="BI117" s="26"/>
      <c r="BJ117" s="26"/>
      <c r="BK117" s="26"/>
    </row>
    <row r="118" ht="14.25" customHeight="1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  <c r="AN118" s="26"/>
      <c r="AO118" s="26"/>
      <c r="AP118" s="26"/>
      <c r="AQ118" s="26"/>
      <c r="AR118" s="26"/>
      <c r="AS118" s="26"/>
      <c r="AT118" s="26"/>
      <c r="AU118" s="26"/>
      <c r="AV118" s="26"/>
      <c r="AW118" s="26"/>
      <c r="AX118" s="26"/>
      <c r="AY118" s="26"/>
      <c r="AZ118" s="26"/>
      <c r="BA118" s="26"/>
      <c r="BB118" s="26"/>
      <c r="BC118" s="26"/>
      <c r="BD118" s="26"/>
      <c r="BE118" s="26"/>
      <c r="BF118" s="26"/>
      <c r="BG118" s="26"/>
      <c r="BH118" s="26"/>
      <c r="BI118" s="26"/>
      <c r="BJ118" s="26"/>
      <c r="BK118" s="26"/>
    </row>
    <row r="119" ht="14.25" customHeight="1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  <c r="AM119" s="26"/>
      <c r="AN119" s="26"/>
      <c r="AO119" s="26"/>
      <c r="AP119" s="26"/>
      <c r="AQ119" s="26"/>
      <c r="AR119" s="26"/>
      <c r="AS119" s="26"/>
      <c r="AT119" s="26"/>
      <c r="AU119" s="26"/>
      <c r="AV119" s="26"/>
      <c r="AW119" s="26"/>
      <c r="AX119" s="26"/>
      <c r="AY119" s="26"/>
      <c r="AZ119" s="26"/>
      <c r="BA119" s="26"/>
      <c r="BB119" s="26"/>
      <c r="BC119" s="26"/>
      <c r="BD119" s="26"/>
      <c r="BE119" s="26"/>
      <c r="BF119" s="26"/>
      <c r="BG119" s="26"/>
      <c r="BH119" s="26"/>
      <c r="BI119" s="26"/>
      <c r="BJ119" s="26"/>
      <c r="BK119" s="26"/>
    </row>
    <row r="120" ht="14.25" customHeight="1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  <c r="AN120" s="26"/>
      <c r="AO120" s="26"/>
      <c r="AP120" s="26"/>
      <c r="AQ120" s="26"/>
      <c r="AR120" s="26"/>
      <c r="AS120" s="26"/>
      <c r="AT120" s="26"/>
      <c r="AU120" s="26"/>
      <c r="AV120" s="26"/>
      <c r="AW120" s="26"/>
      <c r="AX120" s="26"/>
      <c r="AY120" s="26"/>
      <c r="AZ120" s="26"/>
      <c r="BA120" s="26"/>
      <c r="BB120" s="26"/>
      <c r="BC120" s="26"/>
      <c r="BD120" s="26"/>
      <c r="BE120" s="26"/>
      <c r="BF120" s="26"/>
      <c r="BG120" s="26"/>
      <c r="BH120" s="26"/>
      <c r="BI120" s="26"/>
      <c r="BJ120" s="26"/>
      <c r="BK120" s="26"/>
    </row>
    <row r="121" ht="14.25" customHeight="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  <c r="AM121" s="26"/>
      <c r="AN121" s="26"/>
      <c r="AO121" s="26"/>
      <c r="AP121" s="26"/>
      <c r="AQ121" s="26"/>
      <c r="AR121" s="26"/>
      <c r="AS121" s="26"/>
      <c r="AT121" s="26"/>
      <c r="AU121" s="26"/>
      <c r="AV121" s="26"/>
      <c r="AW121" s="26"/>
      <c r="AX121" s="26"/>
      <c r="AY121" s="26"/>
      <c r="AZ121" s="26"/>
      <c r="BA121" s="26"/>
      <c r="BB121" s="26"/>
      <c r="BC121" s="26"/>
      <c r="BD121" s="26"/>
      <c r="BE121" s="26"/>
      <c r="BF121" s="26"/>
      <c r="BG121" s="26"/>
      <c r="BH121" s="26"/>
      <c r="BI121" s="26"/>
      <c r="BJ121" s="26"/>
      <c r="BK121" s="26"/>
    </row>
    <row r="122" ht="14.25" customHeight="1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  <c r="AM122" s="26"/>
      <c r="AN122" s="26"/>
      <c r="AO122" s="26"/>
      <c r="AP122" s="26"/>
      <c r="AQ122" s="26"/>
      <c r="AR122" s="26"/>
      <c r="AS122" s="26"/>
      <c r="AT122" s="26"/>
      <c r="AU122" s="26"/>
      <c r="AV122" s="26"/>
      <c r="AW122" s="26"/>
      <c r="AX122" s="26"/>
      <c r="AY122" s="26"/>
      <c r="AZ122" s="26"/>
      <c r="BA122" s="26"/>
      <c r="BB122" s="26"/>
      <c r="BC122" s="26"/>
      <c r="BD122" s="26"/>
      <c r="BE122" s="26"/>
      <c r="BF122" s="26"/>
      <c r="BG122" s="26"/>
      <c r="BH122" s="26"/>
      <c r="BI122" s="26"/>
      <c r="BJ122" s="26"/>
      <c r="BK122" s="26"/>
    </row>
    <row r="123" ht="14.25" customHeight="1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  <c r="AM123" s="26"/>
      <c r="AN123" s="26"/>
      <c r="AO123" s="26"/>
      <c r="AP123" s="26"/>
      <c r="AQ123" s="26"/>
      <c r="AR123" s="26"/>
      <c r="AS123" s="26"/>
      <c r="AT123" s="26"/>
      <c r="AU123" s="26"/>
      <c r="AV123" s="26"/>
      <c r="AW123" s="26"/>
      <c r="AX123" s="26"/>
      <c r="AY123" s="26"/>
      <c r="AZ123" s="26"/>
      <c r="BA123" s="26"/>
      <c r="BB123" s="26"/>
      <c r="BC123" s="26"/>
      <c r="BD123" s="26"/>
      <c r="BE123" s="26"/>
      <c r="BF123" s="26"/>
      <c r="BG123" s="26"/>
      <c r="BH123" s="26"/>
      <c r="BI123" s="26"/>
      <c r="BJ123" s="26"/>
      <c r="BK123" s="26"/>
    </row>
    <row r="124" ht="14.25" customHeight="1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  <c r="AM124" s="26"/>
      <c r="AN124" s="26"/>
      <c r="AO124" s="26"/>
      <c r="AP124" s="26"/>
      <c r="AQ124" s="26"/>
      <c r="AR124" s="26"/>
      <c r="AS124" s="26"/>
      <c r="AT124" s="26"/>
      <c r="AU124" s="26"/>
      <c r="AV124" s="26"/>
      <c r="AW124" s="26"/>
      <c r="AX124" s="26"/>
      <c r="AY124" s="26"/>
      <c r="AZ124" s="26"/>
      <c r="BA124" s="26"/>
      <c r="BB124" s="26"/>
      <c r="BC124" s="26"/>
      <c r="BD124" s="26"/>
      <c r="BE124" s="26"/>
      <c r="BF124" s="26"/>
      <c r="BG124" s="26"/>
      <c r="BH124" s="26"/>
      <c r="BI124" s="26"/>
      <c r="BJ124" s="26"/>
      <c r="BK124" s="26"/>
    </row>
    <row r="125" ht="14.25" customHeight="1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  <c r="AM125" s="26"/>
      <c r="AN125" s="26"/>
      <c r="AO125" s="26"/>
      <c r="AP125" s="26"/>
      <c r="AQ125" s="26"/>
      <c r="AR125" s="26"/>
      <c r="AS125" s="26"/>
      <c r="AT125" s="26"/>
      <c r="AU125" s="26"/>
      <c r="AV125" s="26"/>
      <c r="AW125" s="26"/>
      <c r="AX125" s="26"/>
      <c r="AY125" s="26"/>
      <c r="AZ125" s="26"/>
      <c r="BA125" s="26"/>
      <c r="BB125" s="26"/>
      <c r="BC125" s="26"/>
      <c r="BD125" s="26"/>
      <c r="BE125" s="26"/>
      <c r="BF125" s="26"/>
      <c r="BG125" s="26"/>
      <c r="BH125" s="26"/>
      <c r="BI125" s="26"/>
      <c r="BJ125" s="26"/>
      <c r="BK125" s="26"/>
    </row>
    <row r="126" ht="14.25" customHeight="1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  <c r="AM126" s="26"/>
      <c r="AN126" s="26"/>
      <c r="AO126" s="26"/>
      <c r="AP126" s="26"/>
      <c r="AQ126" s="26"/>
      <c r="AR126" s="26"/>
      <c r="AS126" s="26"/>
      <c r="AT126" s="26"/>
      <c r="AU126" s="26"/>
      <c r="AV126" s="26"/>
      <c r="AW126" s="26"/>
      <c r="AX126" s="26"/>
      <c r="AY126" s="26"/>
      <c r="AZ126" s="26"/>
      <c r="BA126" s="26"/>
      <c r="BB126" s="26"/>
      <c r="BC126" s="26"/>
      <c r="BD126" s="26"/>
      <c r="BE126" s="26"/>
      <c r="BF126" s="26"/>
      <c r="BG126" s="26"/>
      <c r="BH126" s="26"/>
      <c r="BI126" s="26"/>
      <c r="BJ126" s="26"/>
      <c r="BK126" s="26"/>
    </row>
    <row r="127" ht="14.25" customHeight="1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  <c r="AM127" s="26"/>
      <c r="AN127" s="26"/>
      <c r="AO127" s="26"/>
      <c r="AP127" s="26"/>
      <c r="AQ127" s="26"/>
      <c r="AR127" s="26"/>
      <c r="AS127" s="26"/>
      <c r="AT127" s="26"/>
      <c r="AU127" s="26"/>
      <c r="AV127" s="26"/>
      <c r="AW127" s="26"/>
      <c r="AX127" s="26"/>
      <c r="AY127" s="26"/>
      <c r="AZ127" s="26"/>
      <c r="BA127" s="26"/>
      <c r="BB127" s="26"/>
      <c r="BC127" s="26"/>
      <c r="BD127" s="26"/>
      <c r="BE127" s="26"/>
      <c r="BF127" s="26"/>
      <c r="BG127" s="26"/>
      <c r="BH127" s="26"/>
      <c r="BI127" s="26"/>
      <c r="BJ127" s="26"/>
      <c r="BK127" s="26"/>
    </row>
    <row r="128" ht="14.25" customHeight="1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  <c r="AM128" s="26"/>
      <c r="AN128" s="26"/>
      <c r="AO128" s="26"/>
      <c r="AP128" s="26"/>
      <c r="AQ128" s="26"/>
      <c r="AR128" s="26"/>
      <c r="AS128" s="26"/>
      <c r="AT128" s="26"/>
      <c r="AU128" s="26"/>
      <c r="AV128" s="26"/>
      <c r="AW128" s="26"/>
      <c r="AX128" s="26"/>
      <c r="AY128" s="26"/>
      <c r="AZ128" s="26"/>
      <c r="BA128" s="26"/>
      <c r="BB128" s="26"/>
      <c r="BC128" s="26"/>
      <c r="BD128" s="26"/>
      <c r="BE128" s="26"/>
      <c r="BF128" s="26"/>
      <c r="BG128" s="26"/>
      <c r="BH128" s="26"/>
      <c r="BI128" s="26"/>
      <c r="BJ128" s="26"/>
      <c r="BK128" s="26"/>
    </row>
    <row r="129" ht="14.25" customHeight="1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  <c r="AM129" s="26"/>
      <c r="AN129" s="26"/>
      <c r="AO129" s="26"/>
      <c r="AP129" s="26"/>
      <c r="AQ129" s="26"/>
      <c r="AR129" s="26"/>
      <c r="AS129" s="26"/>
      <c r="AT129" s="26"/>
      <c r="AU129" s="26"/>
      <c r="AV129" s="26"/>
      <c r="AW129" s="26"/>
      <c r="AX129" s="26"/>
      <c r="AY129" s="26"/>
      <c r="AZ129" s="26"/>
      <c r="BA129" s="26"/>
      <c r="BB129" s="26"/>
      <c r="BC129" s="26"/>
      <c r="BD129" s="26"/>
      <c r="BE129" s="26"/>
      <c r="BF129" s="26"/>
      <c r="BG129" s="26"/>
      <c r="BH129" s="26"/>
      <c r="BI129" s="26"/>
      <c r="BJ129" s="26"/>
      <c r="BK129" s="26"/>
    </row>
    <row r="130" ht="14.25" customHeight="1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  <c r="AN130" s="26"/>
      <c r="AO130" s="26"/>
      <c r="AP130" s="26"/>
      <c r="AQ130" s="26"/>
      <c r="AR130" s="26"/>
      <c r="AS130" s="26"/>
      <c r="AT130" s="26"/>
      <c r="AU130" s="26"/>
      <c r="AV130" s="26"/>
      <c r="AW130" s="26"/>
      <c r="AX130" s="26"/>
      <c r="AY130" s="26"/>
      <c r="AZ130" s="26"/>
      <c r="BA130" s="26"/>
      <c r="BB130" s="26"/>
      <c r="BC130" s="26"/>
      <c r="BD130" s="26"/>
      <c r="BE130" s="26"/>
      <c r="BF130" s="26"/>
      <c r="BG130" s="26"/>
      <c r="BH130" s="26"/>
      <c r="BI130" s="26"/>
      <c r="BJ130" s="26"/>
      <c r="BK130" s="26"/>
    </row>
    <row r="131" ht="14.25" customHeight="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  <c r="AM131" s="26"/>
      <c r="AN131" s="26"/>
      <c r="AO131" s="26"/>
      <c r="AP131" s="26"/>
      <c r="AQ131" s="26"/>
      <c r="AR131" s="26"/>
      <c r="AS131" s="26"/>
      <c r="AT131" s="26"/>
      <c r="AU131" s="26"/>
      <c r="AV131" s="26"/>
      <c r="AW131" s="26"/>
      <c r="AX131" s="26"/>
      <c r="AY131" s="26"/>
      <c r="AZ131" s="26"/>
      <c r="BA131" s="26"/>
      <c r="BB131" s="26"/>
      <c r="BC131" s="26"/>
      <c r="BD131" s="26"/>
      <c r="BE131" s="26"/>
      <c r="BF131" s="26"/>
      <c r="BG131" s="26"/>
      <c r="BH131" s="26"/>
      <c r="BI131" s="26"/>
      <c r="BJ131" s="26"/>
      <c r="BK131" s="26"/>
    </row>
    <row r="132" ht="14.25" customHeight="1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  <c r="AM132" s="26"/>
      <c r="AN132" s="26"/>
      <c r="AO132" s="26"/>
      <c r="AP132" s="26"/>
      <c r="AQ132" s="26"/>
      <c r="AR132" s="26"/>
      <c r="AS132" s="26"/>
      <c r="AT132" s="26"/>
      <c r="AU132" s="26"/>
      <c r="AV132" s="26"/>
      <c r="AW132" s="26"/>
      <c r="AX132" s="26"/>
      <c r="AY132" s="26"/>
      <c r="AZ132" s="26"/>
      <c r="BA132" s="26"/>
      <c r="BB132" s="26"/>
      <c r="BC132" s="26"/>
      <c r="BD132" s="26"/>
      <c r="BE132" s="26"/>
      <c r="BF132" s="26"/>
      <c r="BG132" s="26"/>
      <c r="BH132" s="26"/>
      <c r="BI132" s="26"/>
      <c r="BJ132" s="26"/>
      <c r="BK132" s="26"/>
    </row>
    <row r="133" ht="14.25" customHeight="1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  <c r="AM133" s="26"/>
      <c r="AN133" s="26"/>
      <c r="AO133" s="26"/>
      <c r="AP133" s="26"/>
      <c r="AQ133" s="26"/>
      <c r="AR133" s="26"/>
      <c r="AS133" s="26"/>
      <c r="AT133" s="26"/>
      <c r="AU133" s="26"/>
      <c r="AV133" s="26"/>
      <c r="AW133" s="26"/>
      <c r="AX133" s="26"/>
      <c r="AY133" s="26"/>
      <c r="AZ133" s="26"/>
      <c r="BA133" s="26"/>
      <c r="BB133" s="26"/>
      <c r="BC133" s="26"/>
      <c r="BD133" s="26"/>
      <c r="BE133" s="26"/>
      <c r="BF133" s="26"/>
      <c r="BG133" s="26"/>
      <c r="BH133" s="26"/>
      <c r="BI133" s="26"/>
      <c r="BJ133" s="26"/>
      <c r="BK133" s="26"/>
    </row>
    <row r="134" ht="14.25" customHeight="1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  <c r="AM134" s="26"/>
      <c r="AN134" s="26"/>
      <c r="AO134" s="26"/>
      <c r="AP134" s="26"/>
      <c r="AQ134" s="26"/>
      <c r="AR134" s="26"/>
      <c r="AS134" s="26"/>
      <c r="AT134" s="26"/>
      <c r="AU134" s="26"/>
      <c r="AV134" s="26"/>
      <c r="AW134" s="26"/>
      <c r="AX134" s="26"/>
      <c r="AY134" s="26"/>
      <c r="AZ134" s="26"/>
      <c r="BA134" s="26"/>
      <c r="BB134" s="26"/>
      <c r="BC134" s="26"/>
      <c r="BD134" s="26"/>
      <c r="BE134" s="26"/>
      <c r="BF134" s="26"/>
      <c r="BG134" s="26"/>
      <c r="BH134" s="26"/>
      <c r="BI134" s="26"/>
      <c r="BJ134" s="26"/>
      <c r="BK134" s="26"/>
    </row>
    <row r="135" ht="14.25" customHeight="1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  <c r="AM135" s="26"/>
      <c r="AN135" s="26"/>
      <c r="AO135" s="26"/>
      <c r="AP135" s="26"/>
      <c r="AQ135" s="26"/>
      <c r="AR135" s="26"/>
      <c r="AS135" s="26"/>
      <c r="AT135" s="26"/>
      <c r="AU135" s="26"/>
      <c r="AV135" s="26"/>
      <c r="AW135" s="26"/>
      <c r="AX135" s="26"/>
      <c r="AY135" s="26"/>
      <c r="AZ135" s="26"/>
      <c r="BA135" s="26"/>
      <c r="BB135" s="26"/>
      <c r="BC135" s="26"/>
      <c r="BD135" s="26"/>
      <c r="BE135" s="26"/>
      <c r="BF135" s="26"/>
      <c r="BG135" s="26"/>
      <c r="BH135" s="26"/>
      <c r="BI135" s="26"/>
      <c r="BJ135" s="26"/>
      <c r="BK135" s="26"/>
    </row>
    <row r="136" ht="14.25" customHeight="1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  <c r="AM136" s="26"/>
      <c r="AN136" s="26"/>
      <c r="AO136" s="26"/>
      <c r="AP136" s="26"/>
      <c r="AQ136" s="26"/>
      <c r="AR136" s="26"/>
      <c r="AS136" s="26"/>
      <c r="AT136" s="26"/>
      <c r="AU136" s="26"/>
      <c r="AV136" s="26"/>
      <c r="AW136" s="26"/>
      <c r="AX136" s="26"/>
      <c r="AY136" s="26"/>
      <c r="AZ136" s="26"/>
      <c r="BA136" s="26"/>
      <c r="BB136" s="26"/>
      <c r="BC136" s="26"/>
      <c r="BD136" s="26"/>
      <c r="BE136" s="26"/>
      <c r="BF136" s="26"/>
      <c r="BG136" s="26"/>
      <c r="BH136" s="26"/>
      <c r="BI136" s="26"/>
      <c r="BJ136" s="26"/>
      <c r="BK136" s="26"/>
    </row>
    <row r="137" ht="14.25" customHeight="1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  <c r="AM137" s="26"/>
      <c r="AN137" s="26"/>
      <c r="AO137" s="26"/>
      <c r="AP137" s="26"/>
      <c r="AQ137" s="26"/>
      <c r="AR137" s="26"/>
      <c r="AS137" s="26"/>
      <c r="AT137" s="26"/>
      <c r="AU137" s="26"/>
      <c r="AV137" s="26"/>
      <c r="AW137" s="26"/>
      <c r="AX137" s="26"/>
      <c r="AY137" s="26"/>
      <c r="AZ137" s="26"/>
      <c r="BA137" s="26"/>
      <c r="BB137" s="26"/>
      <c r="BC137" s="26"/>
      <c r="BD137" s="26"/>
      <c r="BE137" s="26"/>
      <c r="BF137" s="26"/>
      <c r="BG137" s="26"/>
      <c r="BH137" s="26"/>
      <c r="BI137" s="26"/>
      <c r="BJ137" s="26"/>
      <c r="BK137" s="26"/>
    </row>
    <row r="138" ht="14.25" customHeight="1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  <c r="AM138" s="26"/>
      <c r="AN138" s="26"/>
      <c r="AO138" s="26"/>
      <c r="AP138" s="26"/>
      <c r="AQ138" s="26"/>
      <c r="AR138" s="26"/>
      <c r="AS138" s="26"/>
      <c r="AT138" s="26"/>
      <c r="AU138" s="26"/>
      <c r="AV138" s="26"/>
      <c r="AW138" s="26"/>
      <c r="AX138" s="26"/>
      <c r="AY138" s="26"/>
      <c r="AZ138" s="26"/>
      <c r="BA138" s="26"/>
      <c r="BB138" s="26"/>
      <c r="BC138" s="26"/>
      <c r="BD138" s="26"/>
      <c r="BE138" s="26"/>
      <c r="BF138" s="26"/>
      <c r="BG138" s="26"/>
      <c r="BH138" s="26"/>
      <c r="BI138" s="26"/>
      <c r="BJ138" s="26"/>
      <c r="BK138" s="26"/>
    </row>
    <row r="139" ht="14.25" customHeight="1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  <c r="AM139" s="26"/>
      <c r="AN139" s="26"/>
      <c r="AO139" s="26"/>
      <c r="AP139" s="26"/>
      <c r="AQ139" s="26"/>
      <c r="AR139" s="26"/>
      <c r="AS139" s="26"/>
      <c r="AT139" s="26"/>
      <c r="AU139" s="26"/>
      <c r="AV139" s="26"/>
      <c r="AW139" s="26"/>
      <c r="AX139" s="26"/>
      <c r="AY139" s="26"/>
      <c r="AZ139" s="26"/>
      <c r="BA139" s="26"/>
      <c r="BB139" s="26"/>
      <c r="BC139" s="26"/>
      <c r="BD139" s="26"/>
      <c r="BE139" s="26"/>
      <c r="BF139" s="26"/>
      <c r="BG139" s="26"/>
      <c r="BH139" s="26"/>
      <c r="BI139" s="26"/>
      <c r="BJ139" s="26"/>
      <c r="BK139" s="26"/>
    </row>
    <row r="140" ht="14.25" customHeight="1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  <c r="AM140" s="26"/>
      <c r="AN140" s="26"/>
      <c r="AO140" s="26"/>
      <c r="AP140" s="26"/>
      <c r="AQ140" s="26"/>
      <c r="AR140" s="26"/>
      <c r="AS140" s="26"/>
      <c r="AT140" s="26"/>
      <c r="AU140" s="26"/>
      <c r="AV140" s="26"/>
      <c r="AW140" s="26"/>
      <c r="AX140" s="26"/>
      <c r="AY140" s="26"/>
      <c r="AZ140" s="26"/>
      <c r="BA140" s="26"/>
      <c r="BB140" s="26"/>
      <c r="BC140" s="26"/>
      <c r="BD140" s="26"/>
      <c r="BE140" s="26"/>
      <c r="BF140" s="26"/>
      <c r="BG140" s="26"/>
      <c r="BH140" s="26"/>
      <c r="BI140" s="26"/>
      <c r="BJ140" s="26"/>
      <c r="BK140" s="26"/>
    </row>
    <row r="141" ht="14.25" customHeight="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  <c r="AM141" s="26"/>
      <c r="AN141" s="26"/>
      <c r="AO141" s="26"/>
      <c r="AP141" s="26"/>
      <c r="AQ141" s="26"/>
      <c r="AR141" s="26"/>
      <c r="AS141" s="26"/>
      <c r="AT141" s="26"/>
      <c r="AU141" s="26"/>
      <c r="AV141" s="26"/>
      <c r="AW141" s="26"/>
      <c r="AX141" s="26"/>
      <c r="AY141" s="26"/>
      <c r="AZ141" s="26"/>
      <c r="BA141" s="26"/>
      <c r="BB141" s="26"/>
      <c r="BC141" s="26"/>
      <c r="BD141" s="26"/>
      <c r="BE141" s="26"/>
      <c r="BF141" s="26"/>
      <c r="BG141" s="26"/>
      <c r="BH141" s="26"/>
      <c r="BI141" s="26"/>
      <c r="BJ141" s="26"/>
      <c r="BK141" s="26"/>
    </row>
    <row r="142" ht="14.25" customHeight="1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  <c r="AM142" s="26"/>
      <c r="AN142" s="26"/>
      <c r="AO142" s="26"/>
      <c r="AP142" s="26"/>
      <c r="AQ142" s="26"/>
      <c r="AR142" s="26"/>
      <c r="AS142" s="26"/>
      <c r="AT142" s="26"/>
      <c r="AU142" s="26"/>
      <c r="AV142" s="26"/>
      <c r="AW142" s="26"/>
      <c r="AX142" s="26"/>
      <c r="AY142" s="26"/>
      <c r="AZ142" s="26"/>
      <c r="BA142" s="26"/>
      <c r="BB142" s="26"/>
      <c r="BC142" s="26"/>
      <c r="BD142" s="26"/>
      <c r="BE142" s="26"/>
      <c r="BF142" s="26"/>
      <c r="BG142" s="26"/>
      <c r="BH142" s="26"/>
      <c r="BI142" s="26"/>
      <c r="BJ142" s="26"/>
      <c r="BK142" s="26"/>
    </row>
    <row r="143" ht="14.25" customHeight="1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  <c r="AM143" s="26"/>
      <c r="AN143" s="26"/>
      <c r="AO143" s="26"/>
      <c r="AP143" s="26"/>
      <c r="AQ143" s="26"/>
      <c r="AR143" s="26"/>
      <c r="AS143" s="26"/>
      <c r="AT143" s="26"/>
      <c r="AU143" s="26"/>
      <c r="AV143" s="26"/>
      <c r="AW143" s="26"/>
      <c r="AX143" s="26"/>
      <c r="AY143" s="26"/>
      <c r="AZ143" s="26"/>
      <c r="BA143" s="26"/>
      <c r="BB143" s="26"/>
      <c r="BC143" s="26"/>
      <c r="BD143" s="26"/>
      <c r="BE143" s="26"/>
      <c r="BF143" s="26"/>
      <c r="BG143" s="26"/>
      <c r="BH143" s="26"/>
      <c r="BI143" s="26"/>
      <c r="BJ143" s="26"/>
      <c r="BK143" s="26"/>
    </row>
    <row r="144" ht="14.25" customHeight="1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  <c r="AM144" s="26"/>
      <c r="AN144" s="26"/>
      <c r="AO144" s="26"/>
      <c r="AP144" s="26"/>
      <c r="AQ144" s="26"/>
      <c r="AR144" s="26"/>
      <c r="AS144" s="26"/>
      <c r="AT144" s="26"/>
      <c r="AU144" s="26"/>
      <c r="AV144" s="26"/>
      <c r="AW144" s="26"/>
      <c r="AX144" s="26"/>
      <c r="AY144" s="26"/>
      <c r="AZ144" s="26"/>
      <c r="BA144" s="26"/>
      <c r="BB144" s="26"/>
      <c r="BC144" s="26"/>
      <c r="BD144" s="26"/>
      <c r="BE144" s="26"/>
      <c r="BF144" s="26"/>
      <c r="BG144" s="26"/>
      <c r="BH144" s="26"/>
      <c r="BI144" s="26"/>
      <c r="BJ144" s="26"/>
      <c r="BK144" s="26"/>
    </row>
    <row r="145" ht="14.25" customHeight="1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  <c r="AM145" s="26"/>
      <c r="AN145" s="26"/>
      <c r="AO145" s="26"/>
      <c r="AP145" s="26"/>
      <c r="AQ145" s="26"/>
      <c r="AR145" s="26"/>
      <c r="AS145" s="26"/>
      <c r="AT145" s="26"/>
      <c r="AU145" s="26"/>
      <c r="AV145" s="26"/>
      <c r="AW145" s="26"/>
      <c r="AX145" s="26"/>
      <c r="AY145" s="26"/>
      <c r="AZ145" s="26"/>
      <c r="BA145" s="26"/>
      <c r="BB145" s="26"/>
      <c r="BC145" s="26"/>
      <c r="BD145" s="26"/>
      <c r="BE145" s="26"/>
      <c r="BF145" s="26"/>
      <c r="BG145" s="26"/>
      <c r="BH145" s="26"/>
      <c r="BI145" s="26"/>
      <c r="BJ145" s="26"/>
      <c r="BK145" s="26"/>
    </row>
    <row r="146" ht="14.25" customHeight="1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  <c r="AM146" s="26"/>
      <c r="AN146" s="26"/>
      <c r="AO146" s="26"/>
      <c r="AP146" s="26"/>
      <c r="AQ146" s="26"/>
      <c r="AR146" s="26"/>
      <c r="AS146" s="26"/>
      <c r="AT146" s="26"/>
      <c r="AU146" s="26"/>
      <c r="AV146" s="26"/>
      <c r="AW146" s="26"/>
      <c r="AX146" s="26"/>
      <c r="AY146" s="26"/>
      <c r="AZ146" s="26"/>
      <c r="BA146" s="26"/>
      <c r="BB146" s="26"/>
      <c r="BC146" s="26"/>
      <c r="BD146" s="26"/>
      <c r="BE146" s="26"/>
      <c r="BF146" s="26"/>
      <c r="BG146" s="26"/>
      <c r="BH146" s="26"/>
      <c r="BI146" s="26"/>
      <c r="BJ146" s="26"/>
      <c r="BK146" s="26"/>
    </row>
    <row r="147" ht="14.25" customHeight="1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  <c r="AM147" s="26"/>
      <c r="AN147" s="26"/>
      <c r="AO147" s="26"/>
      <c r="AP147" s="26"/>
      <c r="AQ147" s="26"/>
      <c r="AR147" s="26"/>
      <c r="AS147" s="26"/>
      <c r="AT147" s="26"/>
      <c r="AU147" s="26"/>
      <c r="AV147" s="26"/>
      <c r="AW147" s="26"/>
      <c r="AX147" s="26"/>
      <c r="AY147" s="26"/>
      <c r="AZ147" s="26"/>
      <c r="BA147" s="26"/>
      <c r="BB147" s="26"/>
      <c r="BC147" s="26"/>
      <c r="BD147" s="26"/>
      <c r="BE147" s="26"/>
      <c r="BF147" s="26"/>
      <c r="BG147" s="26"/>
      <c r="BH147" s="26"/>
      <c r="BI147" s="26"/>
      <c r="BJ147" s="26"/>
      <c r="BK147" s="26"/>
    </row>
    <row r="148" ht="14.25" customHeight="1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  <c r="AM148" s="26"/>
      <c r="AN148" s="26"/>
      <c r="AO148" s="26"/>
      <c r="AP148" s="26"/>
      <c r="AQ148" s="26"/>
      <c r="AR148" s="26"/>
      <c r="AS148" s="26"/>
      <c r="AT148" s="26"/>
      <c r="AU148" s="26"/>
      <c r="AV148" s="26"/>
      <c r="AW148" s="26"/>
      <c r="AX148" s="26"/>
      <c r="AY148" s="26"/>
      <c r="AZ148" s="26"/>
      <c r="BA148" s="26"/>
      <c r="BB148" s="26"/>
      <c r="BC148" s="26"/>
      <c r="BD148" s="26"/>
      <c r="BE148" s="26"/>
      <c r="BF148" s="26"/>
      <c r="BG148" s="26"/>
      <c r="BH148" s="26"/>
      <c r="BI148" s="26"/>
      <c r="BJ148" s="26"/>
      <c r="BK148" s="26"/>
    </row>
    <row r="149" ht="14.25" customHeight="1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  <c r="AM149" s="26"/>
      <c r="AN149" s="26"/>
      <c r="AO149" s="26"/>
      <c r="AP149" s="26"/>
      <c r="AQ149" s="26"/>
      <c r="AR149" s="26"/>
      <c r="AS149" s="26"/>
      <c r="AT149" s="26"/>
      <c r="AU149" s="26"/>
      <c r="AV149" s="26"/>
      <c r="AW149" s="26"/>
      <c r="AX149" s="26"/>
      <c r="AY149" s="26"/>
      <c r="AZ149" s="26"/>
      <c r="BA149" s="26"/>
      <c r="BB149" s="26"/>
      <c r="BC149" s="26"/>
      <c r="BD149" s="26"/>
      <c r="BE149" s="26"/>
      <c r="BF149" s="26"/>
      <c r="BG149" s="26"/>
      <c r="BH149" s="26"/>
      <c r="BI149" s="26"/>
      <c r="BJ149" s="26"/>
      <c r="BK149" s="26"/>
    </row>
    <row r="150" ht="14.25" customHeight="1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  <c r="AM150" s="26"/>
      <c r="AN150" s="26"/>
      <c r="AO150" s="26"/>
      <c r="AP150" s="26"/>
      <c r="AQ150" s="26"/>
      <c r="AR150" s="26"/>
      <c r="AS150" s="26"/>
      <c r="AT150" s="26"/>
      <c r="AU150" s="26"/>
      <c r="AV150" s="26"/>
      <c r="AW150" s="26"/>
      <c r="AX150" s="26"/>
      <c r="AY150" s="26"/>
      <c r="AZ150" s="26"/>
      <c r="BA150" s="26"/>
      <c r="BB150" s="26"/>
      <c r="BC150" s="26"/>
      <c r="BD150" s="26"/>
      <c r="BE150" s="26"/>
      <c r="BF150" s="26"/>
      <c r="BG150" s="26"/>
      <c r="BH150" s="26"/>
      <c r="BI150" s="26"/>
      <c r="BJ150" s="26"/>
      <c r="BK150" s="26"/>
    </row>
    <row r="151" ht="14.25" customHeight="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  <c r="AM151" s="26"/>
      <c r="AN151" s="26"/>
      <c r="AO151" s="26"/>
      <c r="AP151" s="26"/>
      <c r="AQ151" s="26"/>
      <c r="AR151" s="26"/>
      <c r="AS151" s="26"/>
      <c r="AT151" s="26"/>
      <c r="AU151" s="26"/>
      <c r="AV151" s="26"/>
      <c r="AW151" s="26"/>
      <c r="AX151" s="26"/>
      <c r="AY151" s="26"/>
      <c r="AZ151" s="26"/>
      <c r="BA151" s="26"/>
      <c r="BB151" s="26"/>
      <c r="BC151" s="26"/>
      <c r="BD151" s="26"/>
      <c r="BE151" s="26"/>
      <c r="BF151" s="26"/>
      <c r="BG151" s="26"/>
      <c r="BH151" s="26"/>
      <c r="BI151" s="26"/>
      <c r="BJ151" s="26"/>
      <c r="BK151" s="26"/>
    </row>
    <row r="152" ht="14.25" customHeight="1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  <c r="AM152" s="26"/>
      <c r="AN152" s="26"/>
      <c r="AO152" s="26"/>
      <c r="AP152" s="26"/>
      <c r="AQ152" s="26"/>
      <c r="AR152" s="26"/>
      <c r="AS152" s="26"/>
      <c r="AT152" s="26"/>
      <c r="AU152" s="26"/>
      <c r="AV152" s="26"/>
      <c r="AW152" s="26"/>
      <c r="AX152" s="26"/>
      <c r="AY152" s="26"/>
      <c r="AZ152" s="26"/>
      <c r="BA152" s="26"/>
      <c r="BB152" s="26"/>
      <c r="BC152" s="26"/>
      <c r="BD152" s="26"/>
      <c r="BE152" s="26"/>
      <c r="BF152" s="26"/>
      <c r="BG152" s="26"/>
      <c r="BH152" s="26"/>
      <c r="BI152" s="26"/>
      <c r="BJ152" s="26"/>
      <c r="BK152" s="26"/>
    </row>
    <row r="153" ht="14.25" customHeight="1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  <c r="AM153" s="26"/>
      <c r="AN153" s="26"/>
      <c r="AO153" s="26"/>
      <c r="AP153" s="26"/>
      <c r="AQ153" s="26"/>
      <c r="AR153" s="26"/>
      <c r="AS153" s="26"/>
      <c r="AT153" s="26"/>
      <c r="AU153" s="26"/>
      <c r="AV153" s="26"/>
      <c r="AW153" s="26"/>
      <c r="AX153" s="26"/>
      <c r="AY153" s="26"/>
      <c r="AZ153" s="26"/>
      <c r="BA153" s="26"/>
      <c r="BB153" s="26"/>
      <c r="BC153" s="26"/>
      <c r="BD153" s="26"/>
      <c r="BE153" s="26"/>
      <c r="BF153" s="26"/>
      <c r="BG153" s="26"/>
      <c r="BH153" s="26"/>
      <c r="BI153" s="26"/>
      <c r="BJ153" s="26"/>
      <c r="BK153" s="26"/>
    </row>
    <row r="154" ht="14.25" customHeight="1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  <c r="AM154" s="26"/>
      <c r="AN154" s="26"/>
      <c r="AO154" s="26"/>
      <c r="AP154" s="26"/>
      <c r="AQ154" s="26"/>
      <c r="AR154" s="26"/>
      <c r="AS154" s="26"/>
      <c r="AT154" s="26"/>
      <c r="AU154" s="26"/>
      <c r="AV154" s="26"/>
      <c r="AW154" s="26"/>
      <c r="AX154" s="26"/>
      <c r="AY154" s="26"/>
      <c r="AZ154" s="26"/>
      <c r="BA154" s="26"/>
      <c r="BB154" s="26"/>
      <c r="BC154" s="26"/>
      <c r="BD154" s="26"/>
      <c r="BE154" s="26"/>
      <c r="BF154" s="26"/>
      <c r="BG154" s="26"/>
      <c r="BH154" s="26"/>
      <c r="BI154" s="26"/>
      <c r="BJ154" s="26"/>
      <c r="BK154" s="26"/>
    </row>
    <row r="155" ht="14.25" customHeight="1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  <c r="AM155" s="26"/>
      <c r="AN155" s="26"/>
      <c r="AO155" s="26"/>
      <c r="AP155" s="26"/>
      <c r="AQ155" s="26"/>
      <c r="AR155" s="26"/>
      <c r="AS155" s="26"/>
      <c r="AT155" s="26"/>
      <c r="AU155" s="26"/>
      <c r="AV155" s="26"/>
      <c r="AW155" s="26"/>
      <c r="AX155" s="26"/>
      <c r="AY155" s="26"/>
      <c r="AZ155" s="26"/>
      <c r="BA155" s="26"/>
      <c r="BB155" s="26"/>
      <c r="BC155" s="26"/>
      <c r="BD155" s="26"/>
      <c r="BE155" s="26"/>
      <c r="BF155" s="26"/>
      <c r="BG155" s="26"/>
      <c r="BH155" s="26"/>
      <c r="BI155" s="26"/>
      <c r="BJ155" s="26"/>
      <c r="BK155" s="26"/>
    </row>
    <row r="156" ht="14.25" customHeight="1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  <c r="AM156" s="26"/>
      <c r="AN156" s="26"/>
      <c r="AO156" s="26"/>
      <c r="AP156" s="26"/>
      <c r="AQ156" s="26"/>
      <c r="AR156" s="26"/>
      <c r="AS156" s="26"/>
      <c r="AT156" s="26"/>
      <c r="AU156" s="26"/>
      <c r="AV156" s="26"/>
      <c r="AW156" s="26"/>
      <c r="AX156" s="26"/>
      <c r="AY156" s="26"/>
      <c r="AZ156" s="26"/>
      <c r="BA156" s="26"/>
      <c r="BB156" s="26"/>
      <c r="BC156" s="26"/>
      <c r="BD156" s="26"/>
      <c r="BE156" s="26"/>
      <c r="BF156" s="26"/>
      <c r="BG156" s="26"/>
      <c r="BH156" s="26"/>
      <c r="BI156" s="26"/>
      <c r="BJ156" s="26"/>
      <c r="BK156" s="26"/>
    </row>
    <row r="157" ht="14.25" customHeight="1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  <c r="AM157" s="26"/>
      <c r="AN157" s="26"/>
      <c r="AO157" s="26"/>
      <c r="AP157" s="26"/>
      <c r="AQ157" s="26"/>
      <c r="AR157" s="26"/>
      <c r="AS157" s="26"/>
      <c r="AT157" s="26"/>
      <c r="AU157" s="26"/>
      <c r="AV157" s="26"/>
      <c r="AW157" s="26"/>
      <c r="AX157" s="26"/>
      <c r="AY157" s="26"/>
      <c r="AZ157" s="26"/>
      <c r="BA157" s="26"/>
      <c r="BB157" s="26"/>
      <c r="BC157" s="26"/>
      <c r="BD157" s="26"/>
      <c r="BE157" s="26"/>
      <c r="BF157" s="26"/>
      <c r="BG157" s="26"/>
      <c r="BH157" s="26"/>
      <c r="BI157" s="26"/>
      <c r="BJ157" s="26"/>
      <c r="BK157" s="26"/>
    </row>
    <row r="158" ht="14.25" customHeight="1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  <c r="AM158" s="26"/>
      <c r="AN158" s="26"/>
      <c r="AO158" s="26"/>
      <c r="AP158" s="26"/>
      <c r="AQ158" s="26"/>
      <c r="AR158" s="26"/>
      <c r="AS158" s="26"/>
      <c r="AT158" s="26"/>
      <c r="AU158" s="26"/>
      <c r="AV158" s="26"/>
      <c r="AW158" s="26"/>
      <c r="AX158" s="26"/>
      <c r="AY158" s="26"/>
      <c r="AZ158" s="26"/>
      <c r="BA158" s="26"/>
      <c r="BB158" s="26"/>
      <c r="BC158" s="26"/>
      <c r="BD158" s="26"/>
      <c r="BE158" s="26"/>
      <c r="BF158" s="26"/>
      <c r="BG158" s="26"/>
      <c r="BH158" s="26"/>
      <c r="BI158" s="26"/>
      <c r="BJ158" s="26"/>
      <c r="BK158" s="26"/>
    </row>
    <row r="159" ht="14.25" customHeight="1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  <c r="AM159" s="26"/>
      <c r="AN159" s="26"/>
      <c r="AO159" s="26"/>
      <c r="AP159" s="26"/>
      <c r="AQ159" s="26"/>
      <c r="AR159" s="26"/>
      <c r="AS159" s="26"/>
      <c r="AT159" s="26"/>
      <c r="AU159" s="26"/>
      <c r="AV159" s="26"/>
      <c r="AW159" s="26"/>
      <c r="AX159" s="26"/>
      <c r="AY159" s="26"/>
      <c r="AZ159" s="26"/>
      <c r="BA159" s="26"/>
      <c r="BB159" s="26"/>
      <c r="BC159" s="26"/>
      <c r="BD159" s="26"/>
      <c r="BE159" s="26"/>
      <c r="BF159" s="26"/>
      <c r="BG159" s="26"/>
      <c r="BH159" s="26"/>
      <c r="BI159" s="26"/>
      <c r="BJ159" s="26"/>
      <c r="BK159" s="26"/>
    </row>
    <row r="160" ht="14.25" customHeight="1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  <c r="AM160" s="26"/>
      <c r="AN160" s="26"/>
      <c r="AO160" s="26"/>
      <c r="AP160" s="26"/>
      <c r="AQ160" s="26"/>
      <c r="AR160" s="26"/>
      <c r="AS160" s="26"/>
      <c r="AT160" s="26"/>
      <c r="AU160" s="26"/>
      <c r="AV160" s="26"/>
      <c r="AW160" s="26"/>
      <c r="AX160" s="26"/>
      <c r="AY160" s="26"/>
      <c r="AZ160" s="26"/>
      <c r="BA160" s="26"/>
      <c r="BB160" s="26"/>
      <c r="BC160" s="26"/>
      <c r="BD160" s="26"/>
      <c r="BE160" s="26"/>
      <c r="BF160" s="26"/>
      <c r="BG160" s="26"/>
      <c r="BH160" s="26"/>
      <c r="BI160" s="26"/>
      <c r="BJ160" s="26"/>
      <c r="BK160" s="26"/>
    </row>
    <row r="161" ht="14.25" customHeight="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  <c r="AM161" s="26"/>
      <c r="AN161" s="26"/>
      <c r="AO161" s="26"/>
      <c r="AP161" s="26"/>
      <c r="AQ161" s="26"/>
      <c r="AR161" s="26"/>
      <c r="AS161" s="26"/>
      <c r="AT161" s="26"/>
      <c r="AU161" s="26"/>
      <c r="AV161" s="26"/>
      <c r="AW161" s="26"/>
      <c r="AX161" s="26"/>
      <c r="AY161" s="26"/>
      <c r="AZ161" s="26"/>
      <c r="BA161" s="26"/>
      <c r="BB161" s="26"/>
      <c r="BC161" s="26"/>
      <c r="BD161" s="26"/>
      <c r="BE161" s="26"/>
      <c r="BF161" s="26"/>
      <c r="BG161" s="26"/>
      <c r="BH161" s="26"/>
      <c r="BI161" s="26"/>
      <c r="BJ161" s="26"/>
      <c r="BK161" s="26"/>
    </row>
    <row r="162" ht="14.25" customHeight="1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  <c r="AM162" s="26"/>
      <c r="AN162" s="26"/>
      <c r="AO162" s="26"/>
      <c r="AP162" s="26"/>
      <c r="AQ162" s="26"/>
      <c r="AR162" s="26"/>
      <c r="AS162" s="26"/>
      <c r="AT162" s="26"/>
      <c r="AU162" s="26"/>
      <c r="AV162" s="26"/>
      <c r="AW162" s="26"/>
      <c r="AX162" s="26"/>
      <c r="AY162" s="26"/>
      <c r="AZ162" s="26"/>
      <c r="BA162" s="26"/>
      <c r="BB162" s="26"/>
      <c r="BC162" s="26"/>
      <c r="BD162" s="26"/>
      <c r="BE162" s="26"/>
      <c r="BF162" s="26"/>
      <c r="BG162" s="26"/>
      <c r="BH162" s="26"/>
      <c r="BI162" s="26"/>
      <c r="BJ162" s="26"/>
      <c r="BK162" s="26"/>
    </row>
    <row r="163" ht="14.25" customHeight="1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  <c r="AM163" s="26"/>
      <c r="AN163" s="26"/>
      <c r="AO163" s="26"/>
      <c r="AP163" s="26"/>
      <c r="AQ163" s="26"/>
      <c r="AR163" s="26"/>
      <c r="AS163" s="26"/>
      <c r="AT163" s="26"/>
      <c r="AU163" s="26"/>
      <c r="AV163" s="26"/>
      <c r="AW163" s="26"/>
      <c r="AX163" s="26"/>
      <c r="AY163" s="26"/>
      <c r="AZ163" s="26"/>
      <c r="BA163" s="26"/>
      <c r="BB163" s="26"/>
      <c r="BC163" s="26"/>
      <c r="BD163" s="26"/>
      <c r="BE163" s="26"/>
      <c r="BF163" s="26"/>
      <c r="BG163" s="26"/>
      <c r="BH163" s="26"/>
      <c r="BI163" s="26"/>
      <c r="BJ163" s="26"/>
      <c r="BK163" s="26"/>
    </row>
    <row r="164" ht="14.25" customHeight="1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  <c r="AM164" s="26"/>
      <c r="AN164" s="26"/>
      <c r="AO164" s="26"/>
      <c r="AP164" s="26"/>
      <c r="AQ164" s="26"/>
      <c r="AR164" s="26"/>
      <c r="AS164" s="26"/>
      <c r="AT164" s="26"/>
      <c r="AU164" s="26"/>
      <c r="AV164" s="26"/>
      <c r="AW164" s="26"/>
      <c r="AX164" s="26"/>
      <c r="AY164" s="26"/>
      <c r="AZ164" s="26"/>
      <c r="BA164" s="26"/>
      <c r="BB164" s="26"/>
      <c r="BC164" s="26"/>
      <c r="BD164" s="26"/>
      <c r="BE164" s="26"/>
      <c r="BF164" s="26"/>
      <c r="BG164" s="26"/>
      <c r="BH164" s="26"/>
      <c r="BI164" s="26"/>
      <c r="BJ164" s="26"/>
      <c r="BK164" s="26"/>
    </row>
    <row r="165" ht="14.25" customHeight="1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  <c r="AM165" s="26"/>
      <c r="AN165" s="26"/>
      <c r="AO165" s="26"/>
      <c r="AP165" s="26"/>
      <c r="AQ165" s="26"/>
      <c r="AR165" s="26"/>
      <c r="AS165" s="26"/>
      <c r="AT165" s="26"/>
      <c r="AU165" s="26"/>
      <c r="AV165" s="26"/>
      <c r="AW165" s="26"/>
      <c r="AX165" s="26"/>
      <c r="AY165" s="26"/>
      <c r="AZ165" s="26"/>
      <c r="BA165" s="26"/>
      <c r="BB165" s="26"/>
      <c r="BC165" s="26"/>
      <c r="BD165" s="26"/>
      <c r="BE165" s="26"/>
      <c r="BF165" s="26"/>
      <c r="BG165" s="26"/>
      <c r="BH165" s="26"/>
      <c r="BI165" s="26"/>
      <c r="BJ165" s="26"/>
      <c r="BK165" s="26"/>
    </row>
    <row r="166" ht="14.25" customHeight="1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  <c r="AM166" s="26"/>
      <c r="AN166" s="26"/>
      <c r="AO166" s="26"/>
      <c r="AP166" s="26"/>
      <c r="AQ166" s="26"/>
      <c r="AR166" s="26"/>
      <c r="AS166" s="26"/>
      <c r="AT166" s="26"/>
      <c r="AU166" s="26"/>
      <c r="AV166" s="26"/>
      <c r="AW166" s="26"/>
      <c r="AX166" s="26"/>
      <c r="AY166" s="26"/>
      <c r="AZ166" s="26"/>
      <c r="BA166" s="26"/>
      <c r="BB166" s="26"/>
      <c r="BC166" s="26"/>
      <c r="BD166" s="26"/>
      <c r="BE166" s="26"/>
      <c r="BF166" s="26"/>
      <c r="BG166" s="26"/>
      <c r="BH166" s="26"/>
      <c r="BI166" s="26"/>
      <c r="BJ166" s="26"/>
      <c r="BK166" s="26"/>
    </row>
    <row r="167" ht="14.25" customHeight="1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  <c r="AM167" s="26"/>
      <c r="AN167" s="26"/>
      <c r="AO167" s="26"/>
      <c r="AP167" s="26"/>
      <c r="AQ167" s="26"/>
      <c r="AR167" s="26"/>
      <c r="AS167" s="26"/>
      <c r="AT167" s="26"/>
      <c r="AU167" s="26"/>
      <c r="AV167" s="26"/>
      <c r="AW167" s="26"/>
      <c r="AX167" s="26"/>
      <c r="AY167" s="26"/>
      <c r="AZ167" s="26"/>
      <c r="BA167" s="26"/>
      <c r="BB167" s="26"/>
      <c r="BC167" s="26"/>
      <c r="BD167" s="26"/>
      <c r="BE167" s="26"/>
      <c r="BF167" s="26"/>
      <c r="BG167" s="26"/>
      <c r="BH167" s="26"/>
      <c r="BI167" s="26"/>
      <c r="BJ167" s="26"/>
      <c r="BK167" s="26"/>
    </row>
    <row r="168" ht="14.25" customHeight="1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  <c r="AM168" s="26"/>
      <c r="AN168" s="26"/>
      <c r="AO168" s="26"/>
      <c r="AP168" s="26"/>
      <c r="AQ168" s="26"/>
      <c r="AR168" s="26"/>
      <c r="AS168" s="26"/>
      <c r="AT168" s="26"/>
      <c r="AU168" s="26"/>
      <c r="AV168" s="26"/>
      <c r="AW168" s="26"/>
      <c r="AX168" s="26"/>
      <c r="AY168" s="26"/>
      <c r="AZ168" s="26"/>
      <c r="BA168" s="26"/>
      <c r="BB168" s="26"/>
      <c r="BC168" s="26"/>
      <c r="BD168" s="26"/>
      <c r="BE168" s="26"/>
      <c r="BF168" s="26"/>
      <c r="BG168" s="26"/>
      <c r="BH168" s="26"/>
      <c r="BI168" s="26"/>
      <c r="BJ168" s="26"/>
      <c r="BK168" s="26"/>
    </row>
    <row r="169" ht="14.25" customHeight="1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  <c r="AM169" s="26"/>
      <c r="AN169" s="26"/>
      <c r="AO169" s="26"/>
      <c r="AP169" s="26"/>
      <c r="AQ169" s="26"/>
      <c r="AR169" s="26"/>
      <c r="AS169" s="26"/>
      <c r="AT169" s="26"/>
      <c r="AU169" s="26"/>
      <c r="AV169" s="26"/>
      <c r="AW169" s="26"/>
      <c r="AX169" s="26"/>
      <c r="AY169" s="26"/>
      <c r="AZ169" s="26"/>
      <c r="BA169" s="26"/>
      <c r="BB169" s="26"/>
      <c r="BC169" s="26"/>
      <c r="BD169" s="26"/>
      <c r="BE169" s="26"/>
      <c r="BF169" s="26"/>
      <c r="BG169" s="26"/>
      <c r="BH169" s="26"/>
      <c r="BI169" s="26"/>
      <c r="BJ169" s="26"/>
      <c r="BK169" s="26"/>
    </row>
    <row r="170" ht="14.25" customHeight="1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  <c r="AM170" s="26"/>
      <c r="AN170" s="26"/>
      <c r="AO170" s="26"/>
      <c r="AP170" s="26"/>
      <c r="AQ170" s="26"/>
      <c r="AR170" s="26"/>
      <c r="AS170" s="26"/>
      <c r="AT170" s="26"/>
      <c r="AU170" s="26"/>
      <c r="AV170" s="26"/>
      <c r="AW170" s="26"/>
      <c r="AX170" s="26"/>
      <c r="AY170" s="26"/>
      <c r="AZ170" s="26"/>
      <c r="BA170" s="26"/>
      <c r="BB170" s="26"/>
      <c r="BC170" s="26"/>
      <c r="BD170" s="26"/>
      <c r="BE170" s="26"/>
      <c r="BF170" s="26"/>
      <c r="BG170" s="26"/>
      <c r="BH170" s="26"/>
      <c r="BI170" s="26"/>
      <c r="BJ170" s="26"/>
      <c r="BK170" s="26"/>
    </row>
    <row r="171" ht="14.25" customHeight="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  <c r="AM171" s="26"/>
      <c r="AN171" s="26"/>
      <c r="AO171" s="26"/>
      <c r="AP171" s="26"/>
      <c r="AQ171" s="26"/>
      <c r="AR171" s="26"/>
      <c r="AS171" s="26"/>
      <c r="AT171" s="26"/>
      <c r="AU171" s="26"/>
      <c r="AV171" s="26"/>
      <c r="AW171" s="26"/>
      <c r="AX171" s="26"/>
      <c r="AY171" s="26"/>
      <c r="AZ171" s="26"/>
      <c r="BA171" s="26"/>
      <c r="BB171" s="26"/>
      <c r="BC171" s="26"/>
      <c r="BD171" s="26"/>
      <c r="BE171" s="26"/>
      <c r="BF171" s="26"/>
      <c r="BG171" s="26"/>
      <c r="BH171" s="26"/>
      <c r="BI171" s="26"/>
      <c r="BJ171" s="26"/>
      <c r="BK171" s="26"/>
    </row>
    <row r="172" ht="14.25" customHeight="1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  <c r="AM172" s="26"/>
      <c r="AN172" s="26"/>
      <c r="AO172" s="26"/>
      <c r="AP172" s="26"/>
      <c r="AQ172" s="26"/>
      <c r="AR172" s="26"/>
      <c r="AS172" s="26"/>
      <c r="AT172" s="26"/>
      <c r="AU172" s="26"/>
      <c r="AV172" s="26"/>
      <c r="AW172" s="26"/>
      <c r="AX172" s="26"/>
      <c r="AY172" s="26"/>
      <c r="AZ172" s="26"/>
      <c r="BA172" s="26"/>
      <c r="BB172" s="26"/>
      <c r="BC172" s="26"/>
      <c r="BD172" s="26"/>
      <c r="BE172" s="26"/>
      <c r="BF172" s="26"/>
      <c r="BG172" s="26"/>
      <c r="BH172" s="26"/>
      <c r="BI172" s="26"/>
      <c r="BJ172" s="26"/>
      <c r="BK172" s="26"/>
    </row>
    <row r="173" ht="14.25" customHeight="1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  <c r="AM173" s="26"/>
      <c r="AN173" s="26"/>
      <c r="AO173" s="26"/>
      <c r="AP173" s="26"/>
      <c r="AQ173" s="26"/>
      <c r="AR173" s="26"/>
      <c r="AS173" s="26"/>
      <c r="AT173" s="26"/>
      <c r="AU173" s="26"/>
      <c r="AV173" s="26"/>
      <c r="AW173" s="26"/>
      <c r="AX173" s="26"/>
      <c r="AY173" s="26"/>
      <c r="AZ173" s="26"/>
      <c r="BA173" s="26"/>
      <c r="BB173" s="26"/>
      <c r="BC173" s="26"/>
      <c r="BD173" s="26"/>
      <c r="BE173" s="26"/>
      <c r="BF173" s="26"/>
      <c r="BG173" s="26"/>
      <c r="BH173" s="26"/>
      <c r="BI173" s="26"/>
      <c r="BJ173" s="26"/>
      <c r="BK173" s="26"/>
    </row>
    <row r="174" ht="14.25" customHeight="1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  <c r="AM174" s="26"/>
      <c r="AN174" s="26"/>
      <c r="AO174" s="26"/>
      <c r="AP174" s="26"/>
      <c r="AQ174" s="26"/>
      <c r="AR174" s="26"/>
      <c r="AS174" s="26"/>
      <c r="AT174" s="26"/>
      <c r="AU174" s="26"/>
      <c r="AV174" s="26"/>
      <c r="AW174" s="26"/>
      <c r="AX174" s="26"/>
      <c r="AY174" s="26"/>
      <c r="AZ174" s="26"/>
      <c r="BA174" s="26"/>
      <c r="BB174" s="26"/>
      <c r="BC174" s="26"/>
      <c r="BD174" s="26"/>
      <c r="BE174" s="26"/>
      <c r="BF174" s="26"/>
      <c r="BG174" s="26"/>
      <c r="BH174" s="26"/>
      <c r="BI174" s="26"/>
      <c r="BJ174" s="26"/>
      <c r="BK174" s="26"/>
    </row>
    <row r="175" ht="14.25" customHeight="1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  <c r="AM175" s="26"/>
      <c r="AN175" s="26"/>
      <c r="AO175" s="26"/>
      <c r="AP175" s="26"/>
      <c r="AQ175" s="26"/>
      <c r="AR175" s="26"/>
      <c r="AS175" s="26"/>
      <c r="AT175" s="26"/>
      <c r="AU175" s="26"/>
      <c r="AV175" s="26"/>
      <c r="AW175" s="26"/>
      <c r="AX175" s="26"/>
      <c r="AY175" s="26"/>
      <c r="AZ175" s="26"/>
      <c r="BA175" s="26"/>
      <c r="BB175" s="26"/>
      <c r="BC175" s="26"/>
      <c r="BD175" s="26"/>
      <c r="BE175" s="26"/>
      <c r="BF175" s="26"/>
      <c r="BG175" s="26"/>
      <c r="BH175" s="26"/>
      <c r="BI175" s="26"/>
      <c r="BJ175" s="26"/>
      <c r="BK175" s="26"/>
    </row>
    <row r="176" ht="14.25" customHeight="1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  <c r="AM176" s="26"/>
      <c r="AN176" s="26"/>
      <c r="AO176" s="26"/>
      <c r="AP176" s="26"/>
      <c r="AQ176" s="26"/>
      <c r="AR176" s="26"/>
      <c r="AS176" s="26"/>
      <c r="AT176" s="26"/>
      <c r="AU176" s="26"/>
      <c r="AV176" s="26"/>
      <c r="AW176" s="26"/>
      <c r="AX176" s="26"/>
      <c r="AY176" s="26"/>
      <c r="AZ176" s="26"/>
      <c r="BA176" s="26"/>
      <c r="BB176" s="26"/>
      <c r="BC176" s="26"/>
      <c r="BD176" s="26"/>
      <c r="BE176" s="26"/>
      <c r="BF176" s="26"/>
      <c r="BG176" s="26"/>
      <c r="BH176" s="26"/>
      <c r="BI176" s="26"/>
      <c r="BJ176" s="26"/>
      <c r="BK176" s="26"/>
    </row>
    <row r="177" ht="14.25" customHeight="1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  <c r="AM177" s="26"/>
      <c r="AN177" s="26"/>
      <c r="AO177" s="26"/>
      <c r="AP177" s="26"/>
      <c r="AQ177" s="26"/>
      <c r="AR177" s="26"/>
      <c r="AS177" s="26"/>
      <c r="AT177" s="26"/>
      <c r="AU177" s="26"/>
      <c r="AV177" s="26"/>
      <c r="AW177" s="26"/>
      <c r="AX177" s="26"/>
      <c r="AY177" s="26"/>
      <c r="AZ177" s="26"/>
      <c r="BA177" s="26"/>
      <c r="BB177" s="26"/>
      <c r="BC177" s="26"/>
      <c r="BD177" s="26"/>
      <c r="BE177" s="26"/>
      <c r="BF177" s="26"/>
      <c r="BG177" s="26"/>
      <c r="BH177" s="26"/>
      <c r="BI177" s="26"/>
      <c r="BJ177" s="26"/>
      <c r="BK177" s="26"/>
    </row>
    <row r="178" ht="14.25" customHeight="1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  <c r="AM178" s="26"/>
      <c r="AN178" s="26"/>
      <c r="AO178" s="26"/>
      <c r="AP178" s="26"/>
      <c r="AQ178" s="26"/>
      <c r="AR178" s="26"/>
      <c r="AS178" s="26"/>
      <c r="AT178" s="26"/>
      <c r="AU178" s="26"/>
      <c r="AV178" s="26"/>
      <c r="AW178" s="26"/>
      <c r="AX178" s="26"/>
      <c r="AY178" s="26"/>
      <c r="AZ178" s="26"/>
      <c r="BA178" s="26"/>
      <c r="BB178" s="26"/>
      <c r="BC178" s="26"/>
      <c r="BD178" s="26"/>
      <c r="BE178" s="26"/>
      <c r="BF178" s="26"/>
      <c r="BG178" s="26"/>
      <c r="BH178" s="26"/>
      <c r="BI178" s="26"/>
      <c r="BJ178" s="26"/>
      <c r="BK178" s="26"/>
    </row>
    <row r="179" ht="14.25" customHeight="1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  <c r="AM179" s="26"/>
      <c r="AN179" s="26"/>
      <c r="AO179" s="26"/>
      <c r="AP179" s="26"/>
      <c r="AQ179" s="26"/>
      <c r="AR179" s="26"/>
      <c r="AS179" s="26"/>
      <c r="AT179" s="26"/>
      <c r="AU179" s="26"/>
      <c r="AV179" s="26"/>
      <c r="AW179" s="26"/>
      <c r="AX179" s="26"/>
      <c r="AY179" s="26"/>
      <c r="AZ179" s="26"/>
      <c r="BA179" s="26"/>
      <c r="BB179" s="26"/>
      <c r="BC179" s="26"/>
      <c r="BD179" s="26"/>
      <c r="BE179" s="26"/>
      <c r="BF179" s="26"/>
      <c r="BG179" s="26"/>
      <c r="BH179" s="26"/>
      <c r="BI179" s="26"/>
      <c r="BJ179" s="26"/>
      <c r="BK179" s="26"/>
    </row>
    <row r="180" ht="14.25" customHeight="1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  <c r="AM180" s="26"/>
      <c r="AN180" s="26"/>
      <c r="AO180" s="26"/>
      <c r="AP180" s="26"/>
      <c r="AQ180" s="26"/>
      <c r="AR180" s="26"/>
      <c r="AS180" s="26"/>
      <c r="AT180" s="26"/>
      <c r="AU180" s="26"/>
      <c r="AV180" s="26"/>
      <c r="AW180" s="26"/>
      <c r="AX180" s="26"/>
      <c r="AY180" s="26"/>
      <c r="AZ180" s="26"/>
      <c r="BA180" s="26"/>
      <c r="BB180" s="26"/>
      <c r="BC180" s="26"/>
      <c r="BD180" s="26"/>
      <c r="BE180" s="26"/>
      <c r="BF180" s="26"/>
      <c r="BG180" s="26"/>
      <c r="BH180" s="26"/>
      <c r="BI180" s="26"/>
      <c r="BJ180" s="26"/>
      <c r="BK180" s="26"/>
    </row>
    <row r="181" ht="14.25" customHeight="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  <c r="AM181" s="26"/>
      <c r="AN181" s="26"/>
      <c r="AO181" s="26"/>
      <c r="AP181" s="26"/>
      <c r="AQ181" s="26"/>
      <c r="AR181" s="26"/>
      <c r="AS181" s="26"/>
      <c r="AT181" s="26"/>
      <c r="AU181" s="26"/>
      <c r="AV181" s="26"/>
      <c r="AW181" s="26"/>
      <c r="AX181" s="26"/>
      <c r="AY181" s="26"/>
      <c r="AZ181" s="26"/>
      <c r="BA181" s="26"/>
      <c r="BB181" s="26"/>
      <c r="BC181" s="26"/>
      <c r="BD181" s="26"/>
      <c r="BE181" s="26"/>
      <c r="BF181" s="26"/>
      <c r="BG181" s="26"/>
      <c r="BH181" s="26"/>
      <c r="BI181" s="26"/>
      <c r="BJ181" s="26"/>
      <c r="BK181" s="26"/>
    </row>
    <row r="182" ht="14.25" customHeight="1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  <c r="AM182" s="26"/>
      <c r="AN182" s="26"/>
      <c r="AO182" s="26"/>
      <c r="AP182" s="26"/>
      <c r="AQ182" s="26"/>
      <c r="AR182" s="26"/>
      <c r="AS182" s="26"/>
      <c r="AT182" s="26"/>
      <c r="AU182" s="26"/>
      <c r="AV182" s="26"/>
      <c r="AW182" s="26"/>
      <c r="AX182" s="26"/>
      <c r="AY182" s="26"/>
      <c r="AZ182" s="26"/>
      <c r="BA182" s="26"/>
      <c r="BB182" s="26"/>
      <c r="BC182" s="26"/>
      <c r="BD182" s="26"/>
      <c r="BE182" s="26"/>
      <c r="BF182" s="26"/>
      <c r="BG182" s="26"/>
      <c r="BH182" s="26"/>
      <c r="BI182" s="26"/>
      <c r="BJ182" s="26"/>
      <c r="BK182" s="26"/>
    </row>
    <row r="183" ht="14.25" customHeight="1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  <c r="AM183" s="26"/>
      <c r="AN183" s="26"/>
      <c r="AO183" s="26"/>
      <c r="AP183" s="26"/>
      <c r="AQ183" s="26"/>
      <c r="AR183" s="26"/>
      <c r="AS183" s="26"/>
      <c r="AT183" s="26"/>
      <c r="AU183" s="26"/>
      <c r="AV183" s="26"/>
      <c r="AW183" s="26"/>
      <c r="AX183" s="26"/>
      <c r="AY183" s="26"/>
      <c r="AZ183" s="26"/>
      <c r="BA183" s="26"/>
      <c r="BB183" s="26"/>
      <c r="BC183" s="26"/>
      <c r="BD183" s="26"/>
      <c r="BE183" s="26"/>
      <c r="BF183" s="26"/>
      <c r="BG183" s="26"/>
      <c r="BH183" s="26"/>
      <c r="BI183" s="26"/>
      <c r="BJ183" s="26"/>
      <c r="BK183" s="26"/>
    </row>
    <row r="184" ht="14.25" customHeight="1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  <c r="AM184" s="26"/>
      <c r="AN184" s="26"/>
      <c r="AO184" s="26"/>
      <c r="AP184" s="26"/>
      <c r="AQ184" s="26"/>
      <c r="AR184" s="26"/>
      <c r="AS184" s="26"/>
      <c r="AT184" s="26"/>
      <c r="AU184" s="26"/>
      <c r="AV184" s="26"/>
      <c r="AW184" s="26"/>
      <c r="AX184" s="26"/>
      <c r="AY184" s="26"/>
      <c r="AZ184" s="26"/>
      <c r="BA184" s="26"/>
      <c r="BB184" s="26"/>
      <c r="BC184" s="26"/>
      <c r="BD184" s="26"/>
      <c r="BE184" s="26"/>
      <c r="BF184" s="26"/>
      <c r="BG184" s="26"/>
      <c r="BH184" s="26"/>
      <c r="BI184" s="26"/>
      <c r="BJ184" s="26"/>
      <c r="BK184" s="26"/>
    </row>
    <row r="185" ht="14.25" customHeight="1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  <c r="AM185" s="26"/>
      <c r="AN185" s="26"/>
      <c r="AO185" s="26"/>
      <c r="AP185" s="26"/>
      <c r="AQ185" s="26"/>
      <c r="AR185" s="26"/>
      <c r="AS185" s="26"/>
      <c r="AT185" s="26"/>
      <c r="AU185" s="26"/>
      <c r="AV185" s="26"/>
      <c r="AW185" s="26"/>
      <c r="AX185" s="26"/>
      <c r="AY185" s="26"/>
      <c r="AZ185" s="26"/>
      <c r="BA185" s="26"/>
      <c r="BB185" s="26"/>
      <c r="BC185" s="26"/>
      <c r="BD185" s="26"/>
      <c r="BE185" s="26"/>
      <c r="BF185" s="26"/>
      <c r="BG185" s="26"/>
      <c r="BH185" s="26"/>
      <c r="BI185" s="26"/>
      <c r="BJ185" s="26"/>
      <c r="BK185" s="26"/>
    </row>
    <row r="186" ht="14.25" customHeight="1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  <c r="AM186" s="26"/>
      <c r="AN186" s="26"/>
      <c r="AO186" s="26"/>
      <c r="AP186" s="26"/>
      <c r="AQ186" s="26"/>
      <c r="AR186" s="26"/>
      <c r="AS186" s="26"/>
      <c r="AT186" s="26"/>
      <c r="AU186" s="26"/>
      <c r="AV186" s="26"/>
      <c r="AW186" s="26"/>
      <c r="AX186" s="26"/>
      <c r="AY186" s="26"/>
      <c r="AZ186" s="26"/>
      <c r="BA186" s="26"/>
      <c r="BB186" s="26"/>
      <c r="BC186" s="26"/>
      <c r="BD186" s="26"/>
      <c r="BE186" s="26"/>
      <c r="BF186" s="26"/>
      <c r="BG186" s="26"/>
      <c r="BH186" s="26"/>
      <c r="BI186" s="26"/>
      <c r="BJ186" s="26"/>
      <c r="BK186" s="26"/>
    </row>
    <row r="187" ht="14.25" customHeight="1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  <c r="AM187" s="26"/>
      <c r="AN187" s="26"/>
      <c r="AO187" s="26"/>
      <c r="AP187" s="26"/>
      <c r="AQ187" s="26"/>
      <c r="AR187" s="26"/>
      <c r="AS187" s="26"/>
      <c r="AT187" s="26"/>
      <c r="AU187" s="26"/>
      <c r="AV187" s="26"/>
      <c r="AW187" s="26"/>
      <c r="AX187" s="26"/>
      <c r="AY187" s="26"/>
      <c r="AZ187" s="26"/>
      <c r="BA187" s="26"/>
      <c r="BB187" s="26"/>
      <c r="BC187" s="26"/>
      <c r="BD187" s="26"/>
      <c r="BE187" s="26"/>
      <c r="BF187" s="26"/>
      <c r="BG187" s="26"/>
      <c r="BH187" s="26"/>
      <c r="BI187" s="26"/>
      <c r="BJ187" s="26"/>
      <c r="BK187" s="26"/>
    </row>
    <row r="188" ht="14.25" customHeight="1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  <c r="AM188" s="26"/>
      <c r="AN188" s="26"/>
      <c r="AO188" s="26"/>
      <c r="AP188" s="26"/>
      <c r="AQ188" s="26"/>
      <c r="AR188" s="26"/>
      <c r="AS188" s="26"/>
      <c r="AT188" s="26"/>
      <c r="AU188" s="26"/>
      <c r="AV188" s="26"/>
      <c r="AW188" s="26"/>
      <c r="AX188" s="26"/>
      <c r="AY188" s="26"/>
      <c r="AZ188" s="26"/>
      <c r="BA188" s="26"/>
      <c r="BB188" s="26"/>
      <c r="BC188" s="26"/>
      <c r="BD188" s="26"/>
      <c r="BE188" s="26"/>
      <c r="BF188" s="26"/>
      <c r="BG188" s="26"/>
      <c r="BH188" s="26"/>
      <c r="BI188" s="26"/>
      <c r="BJ188" s="26"/>
      <c r="BK188" s="26"/>
    </row>
    <row r="189" ht="14.25" customHeight="1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  <c r="AM189" s="26"/>
      <c r="AN189" s="26"/>
      <c r="AO189" s="26"/>
      <c r="AP189" s="26"/>
      <c r="AQ189" s="26"/>
      <c r="AR189" s="26"/>
      <c r="AS189" s="26"/>
      <c r="AT189" s="26"/>
      <c r="AU189" s="26"/>
      <c r="AV189" s="26"/>
      <c r="AW189" s="26"/>
      <c r="AX189" s="26"/>
      <c r="AY189" s="26"/>
      <c r="AZ189" s="26"/>
      <c r="BA189" s="26"/>
      <c r="BB189" s="26"/>
      <c r="BC189" s="26"/>
      <c r="BD189" s="26"/>
      <c r="BE189" s="26"/>
      <c r="BF189" s="26"/>
      <c r="BG189" s="26"/>
      <c r="BH189" s="26"/>
      <c r="BI189" s="26"/>
      <c r="BJ189" s="26"/>
      <c r="BK189" s="26"/>
    </row>
    <row r="190" ht="14.25" customHeight="1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  <c r="AM190" s="26"/>
      <c r="AN190" s="26"/>
      <c r="AO190" s="26"/>
      <c r="AP190" s="26"/>
      <c r="AQ190" s="26"/>
      <c r="AR190" s="26"/>
      <c r="AS190" s="26"/>
      <c r="AT190" s="26"/>
      <c r="AU190" s="26"/>
      <c r="AV190" s="26"/>
      <c r="AW190" s="26"/>
      <c r="AX190" s="26"/>
      <c r="AY190" s="26"/>
      <c r="AZ190" s="26"/>
      <c r="BA190" s="26"/>
      <c r="BB190" s="26"/>
      <c r="BC190" s="26"/>
      <c r="BD190" s="26"/>
      <c r="BE190" s="26"/>
      <c r="BF190" s="26"/>
      <c r="BG190" s="26"/>
      <c r="BH190" s="26"/>
      <c r="BI190" s="26"/>
      <c r="BJ190" s="26"/>
      <c r="BK190" s="26"/>
    </row>
    <row r="191" ht="14.25" customHeight="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  <c r="AM191" s="26"/>
      <c r="AN191" s="26"/>
      <c r="AO191" s="26"/>
      <c r="AP191" s="26"/>
      <c r="AQ191" s="26"/>
      <c r="AR191" s="26"/>
      <c r="AS191" s="26"/>
      <c r="AT191" s="26"/>
      <c r="AU191" s="26"/>
      <c r="AV191" s="26"/>
      <c r="AW191" s="26"/>
      <c r="AX191" s="26"/>
      <c r="AY191" s="26"/>
      <c r="AZ191" s="26"/>
      <c r="BA191" s="26"/>
      <c r="BB191" s="26"/>
      <c r="BC191" s="26"/>
      <c r="BD191" s="26"/>
      <c r="BE191" s="26"/>
      <c r="BF191" s="26"/>
      <c r="BG191" s="26"/>
      <c r="BH191" s="26"/>
      <c r="BI191" s="26"/>
      <c r="BJ191" s="26"/>
      <c r="BK191" s="26"/>
    </row>
    <row r="192" ht="14.25" customHeight="1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  <c r="AM192" s="26"/>
      <c r="AN192" s="26"/>
      <c r="AO192" s="26"/>
      <c r="AP192" s="26"/>
      <c r="AQ192" s="26"/>
      <c r="AR192" s="26"/>
      <c r="AS192" s="26"/>
      <c r="AT192" s="26"/>
      <c r="AU192" s="26"/>
      <c r="AV192" s="26"/>
      <c r="AW192" s="26"/>
      <c r="AX192" s="26"/>
      <c r="AY192" s="26"/>
      <c r="AZ192" s="26"/>
      <c r="BA192" s="26"/>
      <c r="BB192" s="26"/>
      <c r="BC192" s="26"/>
      <c r="BD192" s="26"/>
      <c r="BE192" s="26"/>
      <c r="BF192" s="26"/>
      <c r="BG192" s="26"/>
      <c r="BH192" s="26"/>
      <c r="BI192" s="26"/>
      <c r="BJ192" s="26"/>
      <c r="BK192" s="26"/>
    </row>
    <row r="193" ht="14.25" customHeight="1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  <c r="AM193" s="26"/>
      <c r="AN193" s="26"/>
      <c r="AO193" s="26"/>
      <c r="AP193" s="26"/>
      <c r="AQ193" s="26"/>
      <c r="AR193" s="26"/>
      <c r="AS193" s="26"/>
      <c r="AT193" s="26"/>
      <c r="AU193" s="26"/>
      <c r="AV193" s="26"/>
      <c r="AW193" s="26"/>
      <c r="AX193" s="26"/>
      <c r="AY193" s="26"/>
      <c r="AZ193" s="26"/>
      <c r="BA193" s="26"/>
      <c r="BB193" s="26"/>
      <c r="BC193" s="26"/>
      <c r="BD193" s="26"/>
      <c r="BE193" s="26"/>
      <c r="BF193" s="26"/>
      <c r="BG193" s="26"/>
      <c r="BH193" s="26"/>
      <c r="BI193" s="26"/>
      <c r="BJ193" s="26"/>
      <c r="BK193" s="26"/>
    </row>
    <row r="194" ht="14.25" customHeight="1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  <c r="AM194" s="26"/>
      <c r="AN194" s="26"/>
      <c r="AO194" s="26"/>
      <c r="AP194" s="26"/>
      <c r="AQ194" s="26"/>
      <c r="AR194" s="26"/>
      <c r="AS194" s="26"/>
      <c r="AT194" s="26"/>
      <c r="AU194" s="26"/>
      <c r="AV194" s="26"/>
      <c r="AW194" s="26"/>
      <c r="AX194" s="26"/>
      <c r="AY194" s="26"/>
      <c r="AZ194" s="26"/>
      <c r="BA194" s="26"/>
      <c r="BB194" s="26"/>
      <c r="BC194" s="26"/>
      <c r="BD194" s="26"/>
      <c r="BE194" s="26"/>
      <c r="BF194" s="26"/>
      <c r="BG194" s="26"/>
      <c r="BH194" s="26"/>
      <c r="BI194" s="26"/>
      <c r="BJ194" s="26"/>
      <c r="BK194" s="26"/>
    </row>
    <row r="195" ht="14.25" customHeight="1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  <c r="AM195" s="26"/>
      <c r="AN195" s="26"/>
      <c r="AO195" s="26"/>
      <c r="AP195" s="26"/>
      <c r="AQ195" s="26"/>
      <c r="AR195" s="26"/>
      <c r="AS195" s="26"/>
      <c r="AT195" s="26"/>
      <c r="AU195" s="26"/>
      <c r="AV195" s="26"/>
      <c r="AW195" s="26"/>
      <c r="AX195" s="26"/>
      <c r="AY195" s="26"/>
      <c r="AZ195" s="26"/>
      <c r="BA195" s="26"/>
      <c r="BB195" s="26"/>
      <c r="BC195" s="26"/>
      <c r="BD195" s="26"/>
      <c r="BE195" s="26"/>
      <c r="BF195" s="26"/>
      <c r="BG195" s="26"/>
      <c r="BH195" s="26"/>
      <c r="BI195" s="26"/>
      <c r="BJ195" s="26"/>
      <c r="BK195" s="26"/>
    </row>
    <row r="196" ht="14.25" customHeight="1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  <c r="AM196" s="26"/>
      <c r="AN196" s="26"/>
      <c r="AO196" s="26"/>
      <c r="AP196" s="26"/>
      <c r="AQ196" s="26"/>
      <c r="AR196" s="26"/>
      <c r="AS196" s="26"/>
      <c r="AT196" s="26"/>
      <c r="AU196" s="26"/>
      <c r="AV196" s="26"/>
      <c r="AW196" s="26"/>
      <c r="AX196" s="26"/>
      <c r="AY196" s="26"/>
      <c r="AZ196" s="26"/>
      <c r="BA196" s="26"/>
      <c r="BB196" s="26"/>
      <c r="BC196" s="26"/>
      <c r="BD196" s="26"/>
      <c r="BE196" s="26"/>
      <c r="BF196" s="26"/>
      <c r="BG196" s="26"/>
      <c r="BH196" s="26"/>
      <c r="BI196" s="26"/>
      <c r="BJ196" s="26"/>
      <c r="BK196" s="26"/>
    </row>
    <row r="197" ht="14.25" customHeight="1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  <c r="AM197" s="26"/>
      <c r="AN197" s="26"/>
      <c r="AO197" s="26"/>
      <c r="AP197" s="26"/>
      <c r="AQ197" s="26"/>
      <c r="AR197" s="26"/>
      <c r="AS197" s="26"/>
      <c r="AT197" s="26"/>
      <c r="AU197" s="26"/>
      <c r="AV197" s="26"/>
      <c r="AW197" s="26"/>
      <c r="AX197" s="26"/>
      <c r="AY197" s="26"/>
      <c r="AZ197" s="26"/>
      <c r="BA197" s="26"/>
      <c r="BB197" s="26"/>
      <c r="BC197" s="26"/>
      <c r="BD197" s="26"/>
      <c r="BE197" s="26"/>
      <c r="BF197" s="26"/>
      <c r="BG197" s="26"/>
      <c r="BH197" s="26"/>
      <c r="BI197" s="26"/>
      <c r="BJ197" s="26"/>
      <c r="BK197" s="26"/>
    </row>
    <row r="198" ht="14.25" customHeight="1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  <c r="AM198" s="26"/>
      <c r="AN198" s="26"/>
      <c r="AO198" s="26"/>
      <c r="AP198" s="26"/>
      <c r="AQ198" s="26"/>
      <c r="AR198" s="26"/>
      <c r="AS198" s="26"/>
      <c r="AT198" s="26"/>
      <c r="AU198" s="26"/>
      <c r="AV198" s="26"/>
      <c r="AW198" s="26"/>
      <c r="AX198" s="26"/>
      <c r="AY198" s="26"/>
      <c r="AZ198" s="26"/>
      <c r="BA198" s="26"/>
      <c r="BB198" s="26"/>
      <c r="BC198" s="26"/>
      <c r="BD198" s="26"/>
      <c r="BE198" s="26"/>
      <c r="BF198" s="26"/>
      <c r="BG198" s="26"/>
      <c r="BH198" s="26"/>
      <c r="BI198" s="26"/>
      <c r="BJ198" s="26"/>
      <c r="BK198" s="26"/>
    </row>
    <row r="199" ht="14.25" customHeight="1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  <c r="AM199" s="26"/>
      <c r="AN199" s="26"/>
      <c r="AO199" s="26"/>
      <c r="AP199" s="26"/>
      <c r="AQ199" s="26"/>
      <c r="AR199" s="26"/>
      <c r="AS199" s="26"/>
      <c r="AT199" s="26"/>
      <c r="AU199" s="26"/>
      <c r="AV199" s="26"/>
      <c r="AW199" s="26"/>
      <c r="AX199" s="26"/>
      <c r="AY199" s="26"/>
      <c r="AZ199" s="26"/>
      <c r="BA199" s="26"/>
      <c r="BB199" s="26"/>
      <c r="BC199" s="26"/>
      <c r="BD199" s="26"/>
      <c r="BE199" s="26"/>
      <c r="BF199" s="26"/>
      <c r="BG199" s="26"/>
      <c r="BH199" s="26"/>
      <c r="BI199" s="26"/>
      <c r="BJ199" s="26"/>
      <c r="BK199" s="26"/>
    </row>
    <row r="200" ht="14.25" customHeight="1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  <c r="AM200" s="26"/>
      <c r="AN200" s="26"/>
      <c r="AO200" s="26"/>
      <c r="AP200" s="26"/>
      <c r="AQ200" s="26"/>
      <c r="AR200" s="26"/>
      <c r="AS200" s="26"/>
      <c r="AT200" s="26"/>
      <c r="AU200" s="26"/>
      <c r="AV200" s="26"/>
      <c r="AW200" s="26"/>
      <c r="AX200" s="26"/>
      <c r="AY200" s="26"/>
      <c r="AZ200" s="26"/>
      <c r="BA200" s="26"/>
      <c r="BB200" s="26"/>
      <c r="BC200" s="26"/>
      <c r="BD200" s="26"/>
      <c r="BE200" s="26"/>
      <c r="BF200" s="26"/>
      <c r="BG200" s="26"/>
      <c r="BH200" s="26"/>
      <c r="BI200" s="26"/>
      <c r="BJ200" s="26"/>
      <c r="BK200" s="26"/>
    </row>
    <row r="201" ht="14.25" customHeight="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  <c r="AM201" s="26"/>
      <c r="AN201" s="26"/>
      <c r="AO201" s="26"/>
      <c r="AP201" s="26"/>
      <c r="AQ201" s="26"/>
      <c r="AR201" s="26"/>
      <c r="AS201" s="26"/>
      <c r="AT201" s="26"/>
      <c r="AU201" s="26"/>
      <c r="AV201" s="26"/>
      <c r="AW201" s="26"/>
      <c r="AX201" s="26"/>
      <c r="AY201" s="26"/>
      <c r="AZ201" s="26"/>
      <c r="BA201" s="26"/>
      <c r="BB201" s="26"/>
      <c r="BC201" s="26"/>
      <c r="BD201" s="26"/>
      <c r="BE201" s="26"/>
      <c r="BF201" s="26"/>
      <c r="BG201" s="26"/>
      <c r="BH201" s="26"/>
      <c r="BI201" s="26"/>
      <c r="BJ201" s="26"/>
      <c r="BK201" s="26"/>
    </row>
    <row r="202" ht="14.25" customHeight="1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  <c r="AM202" s="26"/>
      <c r="AN202" s="26"/>
      <c r="AO202" s="26"/>
      <c r="AP202" s="26"/>
      <c r="AQ202" s="26"/>
      <c r="AR202" s="26"/>
      <c r="AS202" s="26"/>
      <c r="AT202" s="26"/>
      <c r="AU202" s="26"/>
      <c r="AV202" s="26"/>
      <c r="AW202" s="26"/>
      <c r="AX202" s="26"/>
      <c r="AY202" s="26"/>
      <c r="AZ202" s="26"/>
      <c r="BA202" s="26"/>
      <c r="BB202" s="26"/>
      <c r="BC202" s="26"/>
      <c r="BD202" s="26"/>
      <c r="BE202" s="26"/>
      <c r="BF202" s="26"/>
      <c r="BG202" s="26"/>
      <c r="BH202" s="26"/>
      <c r="BI202" s="26"/>
      <c r="BJ202" s="26"/>
      <c r="BK202" s="26"/>
    </row>
    <row r="203" ht="14.25" customHeight="1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  <c r="AM203" s="26"/>
      <c r="AN203" s="26"/>
      <c r="AO203" s="26"/>
      <c r="AP203" s="26"/>
      <c r="AQ203" s="26"/>
      <c r="AR203" s="26"/>
      <c r="AS203" s="26"/>
      <c r="AT203" s="26"/>
      <c r="AU203" s="26"/>
      <c r="AV203" s="26"/>
      <c r="AW203" s="26"/>
      <c r="AX203" s="26"/>
      <c r="AY203" s="26"/>
      <c r="AZ203" s="26"/>
      <c r="BA203" s="26"/>
      <c r="BB203" s="26"/>
      <c r="BC203" s="26"/>
      <c r="BD203" s="26"/>
      <c r="BE203" s="26"/>
      <c r="BF203" s="26"/>
      <c r="BG203" s="26"/>
      <c r="BH203" s="26"/>
      <c r="BI203" s="26"/>
      <c r="BJ203" s="26"/>
      <c r="BK203" s="26"/>
    </row>
    <row r="204" ht="14.25" customHeight="1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  <c r="AM204" s="26"/>
      <c r="AN204" s="26"/>
      <c r="AO204" s="26"/>
      <c r="AP204" s="26"/>
      <c r="AQ204" s="26"/>
      <c r="AR204" s="26"/>
      <c r="AS204" s="26"/>
      <c r="AT204" s="26"/>
      <c r="AU204" s="26"/>
      <c r="AV204" s="26"/>
      <c r="AW204" s="26"/>
      <c r="AX204" s="26"/>
      <c r="AY204" s="26"/>
      <c r="AZ204" s="26"/>
      <c r="BA204" s="26"/>
      <c r="BB204" s="26"/>
      <c r="BC204" s="26"/>
      <c r="BD204" s="26"/>
      <c r="BE204" s="26"/>
      <c r="BF204" s="26"/>
      <c r="BG204" s="26"/>
      <c r="BH204" s="26"/>
      <c r="BI204" s="26"/>
      <c r="BJ204" s="26"/>
      <c r="BK204" s="26"/>
    </row>
    <row r="205" ht="14.25" customHeight="1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  <c r="AM205" s="26"/>
      <c r="AN205" s="26"/>
      <c r="AO205" s="26"/>
      <c r="AP205" s="26"/>
      <c r="AQ205" s="26"/>
      <c r="AR205" s="26"/>
      <c r="AS205" s="26"/>
      <c r="AT205" s="26"/>
      <c r="AU205" s="26"/>
      <c r="AV205" s="26"/>
      <c r="AW205" s="26"/>
      <c r="AX205" s="26"/>
      <c r="AY205" s="26"/>
      <c r="AZ205" s="26"/>
      <c r="BA205" s="26"/>
      <c r="BB205" s="26"/>
      <c r="BC205" s="26"/>
      <c r="BD205" s="26"/>
      <c r="BE205" s="26"/>
      <c r="BF205" s="26"/>
      <c r="BG205" s="26"/>
      <c r="BH205" s="26"/>
      <c r="BI205" s="26"/>
      <c r="BJ205" s="26"/>
      <c r="BK205" s="26"/>
    </row>
    <row r="206" ht="14.25" customHeight="1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  <c r="AM206" s="26"/>
      <c r="AN206" s="26"/>
      <c r="AO206" s="26"/>
      <c r="AP206" s="26"/>
      <c r="AQ206" s="26"/>
      <c r="AR206" s="26"/>
      <c r="AS206" s="26"/>
      <c r="AT206" s="26"/>
      <c r="AU206" s="26"/>
      <c r="AV206" s="26"/>
      <c r="AW206" s="26"/>
      <c r="AX206" s="26"/>
      <c r="AY206" s="26"/>
      <c r="AZ206" s="26"/>
      <c r="BA206" s="26"/>
      <c r="BB206" s="26"/>
      <c r="BC206" s="26"/>
      <c r="BD206" s="26"/>
      <c r="BE206" s="26"/>
      <c r="BF206" s="26"/>
      <c r="BG206" s="26"/>
      <c r="BH206" s="26"/>
      <c r="BI206" s="26"/>
      <c r="BJ206" s="26"/>
      <c r="BK206" s="26"/>
    </row>
    <row r="207" ht="14.25" customHeight="1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  <c r="AM207" s="26"/>
      <c r="AN207" s="26"/>
      <c r="AO207" s="26"/>
      <c r="AP207" s="26"/>
      <c r="AQ207" s="26"/>
      <c r="AR207" s="26"/>
      <c r="AS207" s="26"/>
      <c r="AT207" s="26"/>
      <c r="AU207" s="26"/>
      <c r="AV207" s="26"/>
      <c r="AW207" s="26"/>
      <c r="AX207" s="26"/>
      <c r="AY207" s="26"/>
      <c r="AZ207" s="26"/>
      <c r="BA207" s="26"/>
      <c r="BB207" s="26"/>
      <c r="BC207" s="26"/>
      <c r="BD207" s="26"/>
      <c r="BE207" s="26"/>
      <c r="BF207" s="26"/>
      <c r="BG207" s="26"/>
      <c r="BH207" s="26"/>
      <c r="BI207" s="26"/>
      <c r="BJ207" s="26"/>
      <c r="BK207" s="26"/>
    </row>
    <row r="208" ht="14.25" customHeight="1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  <c r="AM208" s="26"/>
      <c r="AN208" s="26"/>
      <c r="AO208" s="26"/>
      <c r="AP208" s="26"/>
      <c r="AQ208" s="26"/>
      <c r="AR208" s="26"/>
      <c r="AS208" s="26"/>
      <c r="AT208" s="26"/>
      <c r="AU208" s="26"/>
      <c r="AV208" s="26"/>
      <c r="AW208" s="26"/>
      <c r="AX208" s="26"/>
      <c r="AY208" s="26"/>
      <c r="AZ208" s="26"/>
      <c r="BA208" s="26"/>
      <c r="BB208" s="26"/>
      <c r="BC208" s="26"/>
      <c r="BD208" s="26"/>
      <c r="BE208" s="26"/>
      <c r="BF208" s="26"/>
      <c r="BG208" s="26"/>
      <c r="BH208" s="26"/>
      <c r="BI208" s="26"/>
      <c r="BJ208" s="26"/>
      <c r="BK208" s="26"/>
    </row>
    <row r="209" ht="14.25" customHeight="1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  <c r="AM209" s="26"/>
      <c r="AN209" s="26"/>
      <c r="AO209" s="26"/>
      <c r="AP209" s="26"/>
      <c r="AQ209" s="26"/>
      <c r="AR209" s="26"/>
      <c r="AS209" s="26"/>
      <c r="AT209" s="26"/>
      <c r="AU209" s="26"/>
      <c r="AV209" s="26"/>
      <c r="AW209" s="26"/>
      <c r="AX209" s="26"/>
      <c r="AY209" s="26"/>
      <c r="AZ209" s="26"/>
      <c r="BA209" s="26"/>
      <c r="BB209" s="26"/>
      <c r="BC209" s="26"/>
      <c r="BD209" s="26"/>
      <c r="BE209" s="26"/>
      <c r="BF209" s="26"/>
      <c r="BG209" s="26"/>
      <c r="BH209" s="26"/>
      <c r="BI209" s="26"/>
      <c r="BJ209" s="26"/>
      <c r="BK209" s="26"/>
    </row>
    <row r="210" ht="14.25" customHeight="1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  <c r="AM210" s="26"/>
      <c r="AN210" s="26"/>
      <c r="AO210" s="26"/>
      <c r="AP210" s="26"/>
      <c r="AQ210" s="26"/>
      <c r="AR210" s="26"/>
      <c r="AS210" s="26"/>
      <c r="AT210" s="26"/>
      <c r="AU210" s="26"/>
      <c r="AV210" s="26"/>
      <c r="AW210" s="26"/>
      <c r="AX210" s="26"/>
      <c r="AY210" s="26"/>
      <c r="AZ210" s="26"/>
      <c r="BA210" s="26"/>
      <c r="BB210" s="26"/>
      <c r="BC210" s="26"/>
      <c r="BD210" s="26"/>
      <c r="BE210" s="26"/>
      <c r="BF210" s="26"/>
      <c r="BG210" s="26"/>
      <c r="BH210" s="26"/>
      <c r="BI210" s="26"/>
      <c r="BJ210" s="26"/>
      <c r="BK210" s="26"/>
    </row>
    <row r="211" ht="14.25" customHeight="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  <c r="AM211" s="26"/>
      <c r="AN211" s="26"/>
      <c r="AO211" s="26"/>
      <c r="AP211" s="26"/>
      <c r="AQ211" s="26"/>
      <c r="AR211" s="26"/>
      <c r="AS211" s="26"/>
      <c r="AT211" s="26"/>
      <c r="AU211" s="26"/>
      <c r="AV211" s="26"/>
      <c r="AW211" s="26"/>
      <c r="AX211" s="26"/>
      <c r="AY211" s="26"/>
      <c r="AZ211" s="26"/>
      <c r="BA211" s="26"/>
      <c r="BB211" s="26"/>
      <c r="BC211" s="26"/>
      <c r="BD211" s="26"/>
      <c r="BE211" s="26"/>
      <c r="BF211" s="26"/>
      <c r="BG211" s="26"/>
      <c r="BH211" s="26"/>
      <c r="BI211" s="26"/>
      <c r="BJ211" s="26"/>
      <c r="BK211" s="26"/>
    </row>
    <row r="212" ht="14.25" customHeight="1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  <c r="AM212" s="26"/>
      <c r="AN212" s="26"/>
      <c r="AO212" s="26"/>
      <c r="AP212" s="26"/>
      <c r="AQ212" s="26"/>
      <c r="AR212" s="26"/>
      <c r="AS212" s="26"/>
      <c r="AT212" s="26"/>
      <c r="AU212" s="26"/>
      <c r="AV212" s="26"/>
      <c r="AW212" s="26"/>
      <c r="AX212" s="26"/>
      <c r="AY212" s="26"/>
      <c r="AZ212" s="26"/>
      <c r="BA212" s="26"/>
      <c r="BB212" s="26"/>
      <c r="BC212" s="26"/>
      <c r="BD212" s="26"/>
      <c r="BE212" s="26"/>
      <c r="BF212" s="26"/>
      <c r="BG212" s="26"/>
      <c r="BH212" s="26"/>
      <c r="BI212" s="26"/>
      <c r="BJ212" s="26"/>
      <c r="BK212" s="26"/>
    </row>
    <row r="213" ht="14.25" customHeight="1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  <c r="AM213" s="26"/>
      <c r="AN213" s="26"/>
      <c r="AO213" s="26"/>
      <c r="AP213" s="26"/>
      <c r="AQ213" s="26"/>
      <c r="AR213" s="26"/>
      <c r="AS213" s="26"/>
      <c r="AT213" s="26"/>
      <c r="AU213" s="26"/>
      <c r="AV213" s="26"/>
      <c r="AW213" s="26"/>
      <c r="AX213" s="26"/>
      <c r="AY213" s="26"/>
      <c r="AZ213" s="26"/>
      <c r="BA213" s="26"/>
      <c r="BB213" s="26"/>
      <c r="BC213" s="26"/>
      <c r="BD213" s="26"/>
      <c r="BE213" s="26"/>
      <c r="BF213" s="26"/>
      <c r="BG213" s="26"/>
      <c r="BH213" s="26"/>
      <c r="BI213" s="26"/>
      <c r="BJ213" s="26"/>
      <c r="BK213" s="26"/>
    </row>
    <row r="214" ht="14.25" customHeight="1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  <c r="AM214" s="26"/>
      <c r="AN214" s="26"/>
      <c r="AO214" s="26"/>
      <c r="AP214" s="26"/>
      <c r="AQ214" s="26"/>
      <c r="AR214" s="26"/>
      <c r="AS214" s="26"/>
      <c r="AT214" s="26"/>
      <c r="AU214" s="26"/>
      <c r="AV214" s="26"/>
      <c r="AW214" s="26"/>
      <c r="AX214" s="26"/>
      <c r="AY214" s="26"/>
      <c r="AZ214" s="26"/>
      <c r="BA214" s="26"/>
      <c r="BB214" s="26"/>
      <c r="BC214" s="26"/>
      <c r="BD214" s="26"/>
      <c r="BE214" s="26"/>
      <c r="BF214" s="26"/>
      <c r="BG214" s="26"/>
      <c r="BH214" s="26"/>
      <c r="BI214" s="26"/>
      <c r="BJ214" s="26"/>
      <c r="BK214" s="26"/>
    </row>
    <row r="215" ht="14.25" customHeight="1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  <c r="AM215" s="26"/>
      <c r="AN215" s="26"/>
      <c r="AO215" s="26"/>
      <c r="AP215" s="26"/>
      <c r="AQ215" s="26"/>
      <c r="AR215" s="26"/>
      <c r="AS215" s="26"/>
      <c r="AT215" s="26"/>
      <c r="AU215" s="26"/>
      <c r="AV215" s="26"/>
      <c r="AW215" s="26"/>
      <c r="AX215" s="26"/>
      <c r="AY215" s="26"/>
      <c r="AZ215" s="26"/>
      <c r="BA215" s="26"/>
      <c r="BB215" s="26"/>
      <c r="BC215" s="26"/>
      <c r="BD215" s="26"/>
      <c r="BE215" s="26"/>
      <c r="BF215" s="26"/>
      <c r="BG215" s="26"/>
      <c r="BH215" s="26"/>
      <c r="BI215" s="26"/>
      <c r="BJ215" s="26"/>
      <c r="BK215" s="26"/>
    </row>
    <row r="216" ht="14.25" customHeight="1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  <c r="AM216" s="26"/>
      <c r="AN216" s="26"/>
      <c r="AO216" s="26"/>
      <c r="AP216" s="26"/>
      <c r="AQ216" s="26"/>
      <c r="AR216" s="26"/>
      <c r="AS216" s="26"/>
      <c r="AT216" s="26"/>
      <c r="AU216" s="26"/>
      <c r="AV216" s="26"/>
      <c r="AW216" s="26"/>
      <c r="AX216" s="26"/>
      <c r="AY216" s="26"/>
      <c r="AZ216" s="26"/>
      <c r="BA216" s="26"/>
      <c r="BB216" s="26"/>
      <c r="BC216" s="26"/>
      <c r="BD216" s="26"/>
      <c r="BE216" s="26"/>
      <c r="BF216" s="26"/>
      <c r="BG216" s="26"/>
      <c r="BH216" s="26"/>
      <c r="BI216" s="26"/>
      <c r="BJ216" s="26"/>
      <c r="BK216" s="26"/>
    </row>
    <row r="217" ht="14.25" customHeight="1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  <c r="AM217" s="26"/>
      <c r="AN217" s="26"/>
      <c r="AO217" s="26"/>
      <c r="AP217" s="26"/>
      <c r="AQ217" s="26"/>
      <c r="AR217" s="26"/>
      <c r="AS217" s="26"/>
      <c r="AT217" s="26"/>
      <c r="AU217" s="26"/>
      <c r="AV217" s="26"/>
      <c r="AW217" s="26"/>
      <c r="AX217" s="26"/>
      <c r="AY217" s="26"/>
      <c r="AZ217" s="26"/>
      <c r="BA217" s="26"/>
      <c r="BB217" s="26"/>
      <c r="BC217" s="26"/>
      <c r="BD217" s="26"/>
      <c r="BE217" s="26"/>
      <c r="BF217" s="26"/>
      <c r="BG217" s="26"/>
      <c r="BH217" s="26"/>
      <c r="BI217" s="26"/>
      <c r="BJ217" s="26"/>
      <c r="BK217" s="26"/>
    </row>
    <row r="218" ht="14.25" customHeight="1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  <c r="AM218" s="26"/>
      <c r="AN218" s="26"/>
      <c r="AO218" s="26"/>
      <c r="AP218" s="26"/>
      <c r="AQ218" s="26"/>
      <c r="AR218" s="26"/>
      <c r="AS218" s="26"/>
      <c r="AT218" s="26"/>
      <c r="AU218" s="26"/>
      <c r="AV218" s="26"/>
      <c r="AW218" s="26"/>
      <c r="AX218" s="26"/>
      <c r="AY218" s="26"/>
      <c r="AZ218" s="26"/>
      <c r="BA218" s="26"/>
      <c r="BB218" s="26"/>
      <c r="BC218" s="26"/>
      <c r="BD218" s="26"/>
      <c r="BE218" s="26"/>
      <c r="BF218" s="26"/>
      <c r="BG218" s="26"/>
      <c r="BH218" s="26"/>
      <c r="BI218" s="26"/>
      <c r="BJ218" s="26"/>
      <c r="BK218" s="26"/>
    </row>
    <row r="219" ht="14.25" customHeight="1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  <c r="AM219" s="26"/>
      <c r="AN219" s="26"/>
      <c r="AO219" s="26"/>
      <c r="AP219" s="26"/>
      <c r="AQ219" s="26"/>
      <c r="AR219" s="26"/>
      <c r="AS219" s="26"/>
      <c r="AT219" s="26"/>
      <c r="AU219" s="26"/>
      <c r="AV219" s="26"/>
      <c r="AW219" s="26"/>
      <c r="AX219" s="26"/>
      <c r="AY219" s="26"/>
      <c r="AZ219" s="26"/>
      <c r="BA219" s="26"/>
      <c r="BB219" s="26"/>
      <c r="BC219" s="26"/>
      <c r="BD219" s="26"/>
      <c r="BE219" s="26"/>
      <c r="BF219" s="26"/>
      <c r="BG219" s="26"/>
      <c r="BH219" s="26"/>
      <c r="BI219" s="26"/>
      <c r="BJ219" s="26"/>
      <c r="BK219" s="26"/>
    </row>
    <row r="220" ht="14.25" customHeight="1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  <c r="AM220" s="26"/>
      <c r="AN220" s="26"/>
      <c r="AO220" s="26"/>
      <c r="AP220" s="26"/>
      <c r="AQ220" s="26"/>
      <c r="AR220" s="26"/>
      <c r="AS220" s="26"/>
      <c r="AT220" s="26"/>
      <c r="AU220" s="26"/>
      <c r="AV220" s="26"/>
      <c r="AW220" s="26"/>
      <c r="AX220" s="26"/>
      <c r="AY220" s="26"/>
      <c r="AZ220" s="26"/>
      <c r="BA220" s="26"/>
      <c r="BB220" s="26"/>
      <c r="BC220" s="26"/>
      <c r="BD220" s="26"/>
      <c r="BE220" s="26"/>
      <c r="BF220" s="26"/>
      <c r="BG220" s="26"/>
      <c r="BH220" s="26"/>
      <c r="BI220" s="26"/>
      <c r="BJ220" s="26"/>
      <c r="BK220" s="26"/>
    </row>
    <row r="221" ht="14.25" customHeight="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  <c r="AM221" s="26"/>
      <c r="AN221" s="26"/>
      <c r="AO221" s="26"/>
      <c r="AP221" s="26"/>
      <c r="AQ221" s="26"/>
      <c r="AR221" s="26"/>
      <c r="AS221" s="26"/>
      <c r="AT221" s="26"/>
      <c r="AU221" s="26"/>
      <c r="AV221" s="26"/>
      <c r="AW221" s="26"/>
      <c r="AX221" s="26"/>
      <c r="AY221" s="26"/>
      <c r="AZ221" s="26"/>
      <c r="BA221" s="26"/>
      <c r="BB221" s="26"/>
      <c r="BC221" s="26"/>
      <c r="BD221" s="26"/>
      <c r="BE221" s="26"/>
      <c r="BF221" s="26"/>
      <c r="BG221" s="26"/>
      <c r="BH221" s="26"/>
      <c r="BI221" s="26"/>
      <c r="BJ221" s="26"/>
      <c r="BK221" s="26"/>
    </row>
    <row r="222" ht="14.25" customHeight="1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  <c r="AM222" s="26"/>
      <c r="AN222" s="26"/>
      <c r="AO222" s="26"/>
      <c r="AP222" s="26"/>
      <c r="AQ222" s="26"/>
      <c r="AR222" s="26"/>
      <c r="AS222" s="26"/>
      <c r="AT222" s="26"/>
      <c r="AU222" s="26"/>
      <c r="AV222" s="26"/>
      <c r="AW222" s="26"/>
      <c r="AX222" s="26"/>
      <c r="AY222" s="26"/>
      <c r="AZ222" s="26"/>
      <c r="BA222" s="26"/>
      <c r="BB222" s="26"/>
      <c r="BC222" s="26"/>
      <c r="BD222" s="26"/>
      <c r="BE222" s="26"/>
      <c r="BF222" s="26"/>
      <c r="BG222" s="26"/>
      <c r="BH222" s="26"/>
      <c r="BI222" s="26"/>
      <c r="BJ222" s="26"/>
      <c r="BK222" s="26"/>
    </row>
    <row r="223" ht="14.25" customHeight="1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  <c r="AM223" s="26"/>
      <c r="AN223" s="26"/>
      <c r="AO223" s="26"/>
      <c r="AP223" s="26"/>
      <c r="AQ223" s="26"/>
      <c r="AR223" s="26"/>
      <c r="AS223" s="26"/>
      <c r="AT223" s="26"/>
      <c r="AU223" s="26"/>
      <c r="AV223" s="26"/>
      <c r="AW223" s="26"/>
      <c r="AX223" s="26"/>
      <c r="AY223" s="26"/>
      <c r="AZ223" s="26"/>
      <c r="BA223" s="26"/>
      <c r="BB223" s="26"/>
      <c r="BC223" s="26"/>
      <c r="BD223" s="26"/>
      <c r="BE223" s="26"/>
      <c r="BF223" s="26"/>
      <c r="BG223" s="26"/>
      <c r="BH223" s="26"/>
      <c r="BI223" s="26"/>
      <c r="BJ223" s="26"/>
      <c r="BK223" s="26"/>
    </row>
    <row r="224" ht="14.25" customHeight="1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  <c r="AM224" s="26"/>
      <c r="AN224" s="26"/>
      <c r="AO224" s="26"/>
      <c r="AP224" s="26"/>
      <c r="AQ224" s="26"/>
      <c r="AR224" s="26"/>
      <c r="AS224" s="26"/>
      <c r="AT224" s="26"/>
      <c r="AU224" s="26"/>
      <c r="AV224" s="26"/>
      <c r="AW224" s="26"/>
      <c r="AX224" s="26"/>
      <c r="AY224" s="26"/>
      <c r="AZ224" s="26"/>
      <c r="BA224" s="26"/>
      <c r="BB224" s="26"/>
      <c r="BC224" s="26"/>
      <c r="BD224" s="26"/>
      <c r="BE224" s="26"/>
      <c r="BF224" s="26"/>
      <c r="BG224" s="26"/>
      <c r="BH224" s="26"/>
      <c r="BI224" s="26"/>
      <c r="BJ224" s="26"/>
      <c r="BK224" s="26"/>
    </row>
    <row r="225" ht="14.25" customHeight="1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  <c r="AM225" s="26"/>
      <c r="AN225" s="26"/>
      <c r="AO225" s="26"/>
      <c r="AP225" s="26"/>
      <c r="AQ225" s="26"/>
      <c r="AR225" s="26"/>
      <c r="AS225" s="26"/>
      <c r="AT225" s="26"/>
      <c r="AU225" s="26"/>
      <c r="AV225" s="26"/>
      <c r="AW225" s="26"/>
      <c r="AX225" s="26"/>
      <c r="AY225" s="26"/>
      <c r="AZ225" s="26"/>
      <c r="BA225" s="26"/>
      <c r="BB225" s="26"/>
      <c r="BC225" s="26"/>
      <c r="BD225" s="26"/>
      <c r="BE225" s="26"/>
      <c r="BF225" s="26"/>
      <c r="BG225" s="26"/>
      <c r="BH225" s="26"/>
      <c r="BI225" s="26"/>
      <c r="BJ225" s="26"/>
      <c r="BK225" s="26"/>
    </row>
    <row r="226" ht="14.25" customHeight="1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  <c r="AM226" s="26"/>
      <c r="AN226" s="26"/>
      <c r="AO226" s="26"/>
      <c r="AP226" s="26"/>
      <c r="AQ226" s="26"/>
      <c r="AR226" s="26"/>
      <c r="AS226" s="26"/>
      <c r="AT226" s="26"/>
      <c r="AU226" s="26"/>
      <c r="AV226" s="26"/>
      <c r="AW226" s="26"/>
      <c r="AX226" s="26"/>
      <c r="AY226" s="26"/>
      <c r="AZ226" s="26"/>
      <c r="BA226" s="26"/>
      <c r="BB226" s="26"/>
      <c r="BC226" s="26"/>
      <c r="BD226" s="26"/>
      <c r="BE226" s="26"/>
      <c r="BF226" s="26"/>
      <c r="BG226" s="26"/>
      <c r="BH226" s="26"/>
      <c r="BI226" s="26"/>
      <c r="BJ226" s="26"/>
      <c r="BK226" s="26"/>
    </row>
    <row r="227" ht="14.25" customHeight="1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  <c r="AM227" s="26"/>
      <c r="AN227" s="26"/>
      <c r="AO227" s="26"/>
      <c r="AP227" s="26"/>
      <c r="AQ227" s="26"/>
      <c r="AR227" s="26"/>
      <c r="AS227" s="26"/>
      <c r="AT227" s="26"/>
      <c r="AU227" s="26"/>
      <c r="AV227" s="26"/>
      <c r="AW227" s="26"/>
      <c r="AX227" s="26"/>
      <c r="AY227" s="26"/>
      <c r="AZ227" s="26"/>
      <c r="BA227" s="26"/>
      <c r="BB227" s="26"/>
      <c r="BC227" s="26"/>
      <c r="BD227" s="26"/>
      <c r="BE227" s="26"/>
      <c r="BF227" s="26"/>
      <c r="BG227" s="26"/>
      <c r="BH227" s="26"/>
      <c r="BI227" s="26"/>
      <c r="BJ227" s="26"/>
      <c r="BK227" s="26"/>
    </row>
    <row r="228" ht="14.25" customHeight="1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  <c r="AM228" s="26"/>
      <c r="AN228" s="26"/>
      <c r="AO228" s="26"/>
      <c r="AP228" s="26"/>
      <c r="AQ228" s="26"/>
      <c r="AR228" s="26"/>
      <c r="AS228" s="26"/>
      <c r="AT228" s="26"/>
      <c r="AU228" s="26"/>
      <c r="AV228" s="26"/>
      <c r="AW228" s="26"/>
      <c r="AX228" s="26"/>
      <c r="AY228" s="26"/>
      <c r="AZ228" s="26"/>
      <c r="BA228" s="26"/>
      <c r="BB228" s="26"/>
      <c r="BC228" s="26"/>
      <c r="BD228" s="26"/>
      <c r="BE228" s="26"/>
      <c r="BF228" s="26"/>
      <c r="BG228" s="26"/>
      <c r="BH228" s="26"/>
      <c r="BI228" s="26"/>
      <c r="BJ228" s="26"/>
      <c r="BK228" s="26"/>
    </row>
    <row r="229" ht="14.25" customHeight="1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  <c r="AM229" s="26"/>
      <c r="AN229" s="26"/>
      <c r="AO229" s="26"/>
      <c r="AP229" s="26"/>
      <c r="AQ229" s="26"/>
      <c r="AR229" s="26"/>
      <c r="AS229" s="26"/>
      <c r="AT229" s="26"/>
      <c r="AU229" s="26"/>
      <c r="AV229" s="26"/>
      <c r="AW229" s="26"/>
      <c r="AX229" s="26"/>
      <c r="AY229" s="26"/>
      <c r="AZ229" s="26"/>
      <c r="BA229" s="26"/>
      <c r="BB229" s="26"/>
      <c r="BC229" s="26"/>
      <c r="BD229" s="26"/>
      <c r="BE229" s="26"/>
      <c r="BF229" s="26"/>
      <c r="BG229" s="26"/>
      <c r="BH229" s="26"/>
      <c r="BI229" s="26"/>
      <c r="BJ229" s="26"/>
      <c r="BK229" s="26"/>
    </row>
    <row r="230" ht="14.25" customHeight="1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  <c r="AM230" s="26"/>
      <c r="AN230" s="26"/>
      <c r="AO230" s="26"/>
      <c r="AP230" s="26"/>
      <c r="AQ230" s="26"/>
      <c r="AR230" s="26"/>
      <c r="AS230" s="26"/>
      <c r="AT230" s="26"/>
      <c r="AU230" s="26"/>
      <c r="AV230" s="26"/>
      <c r="AW230" s="26"/>
      <c r="AX230" s="26"/>
      <c r="AY230" s="26"/>
      <c r="AZ230" s="26"/>
      <c r="BA230" s="26"/>
      <c r="BB230" s="26"/>
      <c r="BC230" s="26"/>
      <c r="BD230" s="26"/>
      <c r="BE230" s="26"/>
      <c r="BF230" s="26"/>
      <c r="BG230" s="26"/>
      <c r="BH230" s="26"/>
      <c r="BI230" s="26"/>
      <c r="BJ230" s="26"/>
      <c r="BK230" s="26"/>
    </row>
    <row r="231" ht="14.25" customHeight="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  <c r="AM231" s="26"/>
      <c r="AN231" s="26"/>
      <c r="AO231" s="26"/>
      <c r="AP231" s="26"/>
      <c r="AQ231" s="26"/>
      <c r="AR231" s="26"/>
      <c r="AS231" s="26"/>
      <c r="AT231" s="26"/>
      <c r="AU231" s="26"/>
      <c r="AV231" s="26"/>
      <c r="AW231" s="26"/>
      <c r="AX231" s="26"/>
      <c r="AY231" s="26"/>
      <c r="AZ231" s="26"/>
      <c r="BA231" s="26"/>
      <c r="BB231" s="26"/>
      <c r="BC231" s="26"/>
      <c r="BD231" s="26"/>
      <c r="BE231" s="26"/>
      <c r="BF231" s="26"/>
      <c r="BG231" s="26"/>
      <c r="BH231" s="26"/>
      <c r="BI231" s="26"/>
      <c r="BJ231" s="26"/>
      <c r="BK231" s="26"/>
    </row>
    <row r="232" ht="14.25" customHeight="1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  <c r="AM232" s="26"/>
      <c r="AN232" s="26"/>
      <c r="AO232" s="26"/>
      <c r="AP232" s="26"/>
      <c r="AQ232" s="26"/>
      <c r="AR232" s="26"/>
      <c r="AS232" s="26"/>
      <c r="AT232" s="26"/>
      <c r="AU232" s="26"/>
      <c r="AV232" s="26"/>
      <c r="AW232" s="26"/>
      <c r="AX232" s="26"/>
      <c r="AY232" s="26"/>
      <c r="AZ232" s="26"/>
      <c r="BA232" s="26"/>
      <c r="BB232" s="26"/>
      <c r="BC232" s="26"/>
      <c r="BD232" s="26"/>
      <c r="BE232" s="26"/>
      <c r="BF232" s="26"/>
      <c r="BG232" s="26"/>
      <c r="BH232" s="26"/>
      <c r="BI232" s="26"/>
      <c r="BJ232" s="26"/>
      <c r="BK232" s="26"/>
    </row>
    <row r="233" ht="14.25" customHeight="1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  <c r="AM233" s="26"/>
      <c r="AN233" s="26"/>
      <c r="AO233" s="26"/>
      <c r="AP233" s="26"/>
      <c r="AQ233" s="26"/>
      <c r="AR233" s="26"/>
      <c r="AS233" s="26"/>
      <c r="AT233" s="26"/>
      <c r="AU233" s="26"/>
      <c r="AV233" s="26"/>
      <c r="AW233" s="26"/>
      <c r="AX233" s="26"/>
      <c r="AY233" s="26"/>
      <c r="AZ233" s="26"/>
      <c r="BA233" s="26"/>
      <c r="BB233" s="26"/>
      <c r="BC233" s="26"/>
      <c r="BD233" s="26"/>
      <c r="BE233" s="26"/>
      <c r="BF233" s="26"/>
      <c r="BG233" s="26"/>
      <c r="BH233" s="26"/>
      <c r="BI233" s="26"/>
      <c r="BJ233" s="26"/>
      <c r="BK233" s="26"/>
    </row>
    <row r="234" ht="14.25" customHeight="1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  <c r="AM234" s="26"/>
      <c r="AN234" s="26"/>
      <c r="AO234" s="26"/>
      <c r="AP234" s="26"/>
      <c r="AQ234" s="26"/>
      <c r="AR234" s="26"/>
      <c r="AS234" s="26"/>
      <c r="AT234" s="26"/>
      <c r="AU234" s="26"/>
      <c r="AV234" s="26"/>
      <c r="AW234" s="26"/>
      <c r="AX234" s="26"/>
      <c r="AY234" s="26"/>
      <c r="AZ234" s="26"/>
      <c r="BA234" s="26"/>
      <c r="BB234" s="26"/>
      <c r="BC234" s="26"/>
      <c r="BD234" s="26"/>
      <c r="BE234" s="26"/>
      <c r="BF234" s="26"/>
      <c r="BG234" s="26"/>
      <c r="BH234" s="26"/>
      <c r="BI234" s="26"/>
      <c r="BJ234" s="26"/>
      <c r="BK234" s="26"/>
    </row>
    <row r="235" ht="14.25" customHeight="1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  <c r="AM235" s="26"/>
      <c r="AN235" s="26"/>
      <c r="AO235" s="26"/>
      <c r="AP235" s="26"/>
      <c r="AQ235" s="26"/>
      <c r="AR235" s="26"/>
      <c r="AS235" s="26"/>
      <c r="AT235" s="26"/>
      <c r="AU235" s="26"/>
      <c r="AV235" s="26"/>
      <c r="AW235" s="26"/>
      <c r="AX235" s="26"/>
      <c r="AY235" s="26"/>
      <c r="AZ235" s="26"/>
      <c r="BA235" s="26"/>
      <c r="BB235" s="26"/>
      <c r="BC235" s="26"/>
      <c r="BD235" s="26"/>
      <c r="BE235" s="26"/>
      <c r="BF235" s="26"/>
      <c r="BG235" s="26"/>
      <c r="BH235" s="26"/>
      <c r="BI235" s="26"/>
      <c r="BJ235" s="26"/>
      <c r="BK235" s="26"/>
    </row>
    <row r="236" ht="14.25" customHeight="1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  <c r="AM236" s="26"/>
      <c r="AN236" s="26"/>
      <c r="AO236" s="26"/>
      <c r="AP236" s="26"/>
      <c r="AQ236" s="26"/>
      <c r="AR236" s="26"/>
      <c r="AS236" s="26"/>
      <c r="AT236" s="26"/>
      <c r="AU236" s="26"/>
      <c r="AV236" s="26"/>
      <c r="AW236" s="26"/>
      <c r="AX236" s="26"/>
      <c r="AY236" s="26"/>
      <c r="AZ236" s="26"/>
      <c r="BA236" s="26"/>
      <c r="BB236" s="26"/>
      <c r="BC236" s="26"/>
      <c r="BD236" s="26"/>
      <c r="BE236" s="26"/>
      <c r="BF236" s="26"/>
      <c r="BG236" s="26"/>
      <c r="BH236" s="26"/>
      <c r="BI236" s="26"/>
      <c r="BJ236" s="26"/>
      <c r="BK236" s="26"/>
    </row>
    <row r="237" ht="14.25" customHeight="1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  <c r="AM237" s="26"/>
      <c r="AN237" s="26"/>
      <c r="AO237" s="26"/>
      <c r="AP237" s="26"/>
      <c r="AQ237" s="26"/>
      <c r="AR237" s="26"/>
      <c r="AS237" s="26"/>
      <c r="AT237" s="26"/>
      <c r="AU237" s="26"/>
      <c r="AV237" s="26"/>
      <c r="AW237" s="26"/>
      <c r="AX237" s="26"/>
      <c r="AY237" s="26"/>
      <c r="AZ237" s="26"/>
      <c r="BA237" s="26"/>
      <c r="BB237" s="26"/>
      <c r="BC237" s="26"/>
      <c r="BD237" s="26"/>
      <c r="BE237" s="26"/>
      <c r="BF237" s="26"/>
      <c r="BG237" s="26"/>
      <c r="BH237" s="26"/>
      <c r="BI237" s="26"/>
      <c r="BJ237" s="26"/>
      <c r="BK237" s="26"/>
    </row>
    <row r="238" ht="14.25" customHeight="1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  <c r="AM238" s="26"/>
      <c r="AN238" s="26"/>
      <c r="AO238" s="26"/>
      <c r="AP238" s="26"/>
      <c r="AQ238" s="26"/>
      <c r="AR238" s="26"/>
      <c r="AS238" s="26"/>
      <c r="AT238" s="26"/>
      <c r="AU238" s="26"/>
      <c r="AV238" s="26"/>
      <c r="AW238" s="26"/>
      <c r="AX238" s="26"/>
      <c r="AY238" s="26"/>
      <c r="AZ238" s="26"/>
      <c r="BA238" s="26"/>
      <c r="BB238" s="26"/>
      <c r="BC238" s="26"/>
      <c r="BD238" s="26"/>
      <c r="BE238" s="26"/>
      <c r="BF238" s="26"/>
      <c r="BG238" s="26"/>
      <c r="BH238" s="26"/>
      <c r="BI238" s="26"/>
      <c r="BJ238" s="26"/>
      <c r="BK238" s="26"/>
    </row>
    <row r="239" ht="14.25" customHeight="1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  <c r="AM239" s="26"/>
      <c r="AN239" s="26"/>
      <c r="AO239" s="26"/>
      <c r="AP239" s="26"/>
      <c r="AQ239" s="26"/>
      <c r="AR239" s="26"/>
      <c r="AS239" s="26"/>
      <c r="AT239" s="26"/>
      <c r="AU239" s="26"/>
      <c r="AV239" s="26"/>
      <c r="AW239" s="26"/>
      <c r="AX239" s="26"/>
      <c r="AY239" s="26"/>
      <c r="AZ239" s="26"/>
      <c r="BA239" s="26"/>
      <c r="BB239" s="26"/>
      <c r="BC239" s="26"/>
      <c r="BD239" s="26"/>
      <c r="BE239" s="26"/>
      <c r="BF239" s="26"/>
      <c r="BG239" s="26"/>
      <c r="BH239" s="26"/>
      <c r="BI239" s="26"/>
      <c r="BJ239" s="26"/>
      <c r="BK239" s="26"/>
    </row>
    <row r="240" ht="14.25" customHeight="1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  <c r="AM240" s="26"/>
      <c r="AN240" s="26"/>
      <c r="AO240" s="26"/>
      <c r="AP240" s="26"/>
      <c r="AQ240" s="26"/>
      <c r="AR240" s="26"/>
      <c r="AS240" s="26"/>
      <c r="AT240" s="26"/>
      <c r="AU240" s="26"/>
      <c r="AV240" s="26"/>
      <c r="AW240" s="26"/>
      <c r="AX240" s="26"/>
      <c r="AY240" s="26"/>
      <c r="AZ240" s="26"/>
      <c r="BA240" s="26"/>
      <c r="BB240" s="26"/>
      <c r="BC240" s="26"/>
      <c r="BD240" s="26"/>
      <c r="BE240" s="26"/>
      <c r="BF240" s="26"/>
      <c r="BG240" s="26"/>
      <c r="BH240" s="26"/>
      <c r="BI240" s="26"/>
      <c r="BJ240" s="26"/>
      <c r="BK240" s="26"/>
    </row>
    <row r="241" ht="14.25" customHeight="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  <c r="AM241" s="26"/>
      <c r="AN241" s="26"/>
      <c r="AO241" s="26"/>
      <c r="AP241" s="26"/>
      <c r="AQ241" s="26"/>
      <c r="AR241" s="26"/>
      <c r="AS241" s="26"/>
      <c r="AT241" s="26"/>
      <c r="AU241" s="26"/>
      <c r="AV241" s="26"/>
      <c r="AW241" s="26"/>
      <c r="AX241" s="26"/>
      <c r="AY241" s="26"/>
      <c r="AZ241" s="26"/>
      <c r="BA241" s="26"/>
      <c r="BB241" s="26"/>
      <c r="BC241" s="26"/>
      <c r="BD241" s="26"/>
      <c r="BE241" s="26"/>
      <c r="BF241" s="26"/>
      <c r="BG241" s="26"/>
      <c r="BH241" s="26"/>
      <c r="BI241" s="26"/>
      <c r="BJ241" s="26"/>
      <c r="BK241" s="26"/>
    </row>
    <row r="242" ht="14.25" customHeight="1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  <c r="AM242" s="26"/>
      <c r="AN242" s="26"/>
      <c r="AO242" s="26"/>
      <c r="AP242" s="26"/>
      <c r="AQ242" s="26"/>
      <c r="AR242" s="26"/>
      <c r="AS242" s="26"/>
      <c r="AT242" s="26"/>
      <c r="AU242" s="26"/>
      <c r="AV242" s="26"/>
      <c r="AW242" s="26"/>
      <c r="AX242" s="26"/>
      <c r="AY242" s="26"/>
      <c r="AZ242" s="26"/>
      <c r="BA242" s="26"/>
      <c r="BB242" s="26"/>
      <c r="BC242" s="26"/>
      <c r="BD242" s="26"/>
      <c r="BE242" s="26"/>
      <c r="BF242" s="26"/>
      <c r="BG242" s="26"/>
      <c r="BH242" s="26"/>
      <c r="BI242" s="26"/>
      <c r="BJ242" s="26"/>
      <c r="BK242" s="26"/>
    </row>
    <row r="243" ht="14.25" customHeight="1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  <c r="AM243" s="26"/>
      <c r="AN243" s="26"/>
      <c r="AO243" s="26"/>
      <c r="AP243" s="26"/>
      <c r="AQ243" s="26"/>
      <c r="AR243" s="26"/>
      <c r="AS243" s="26"/>
      <c r="AT243" s="26"/>
      <c r="AU243" s="26"/>
      <c r="AV243" s="26"/>
      <c r="AW243" s="26"/>
      <c r="AX243" s="26"/>
      <c r="AY243" s="26"/>
      <c r="AZ243" s="26"/>
      <c r="BA243" s="26"/>
      <c r="BB243" s="26"/>
      <c r="BC243" s="26"/>
      <c r="BD243" s="26"/>
      <c r="BE243" s="26"/>
      <c r="BF243" s="26"/>
      <c r="BG243" s="26"/>
      <c r="BH243" s="26"/>
      <c r="BI243" s="26"/>
      <c r="BJ243" s="26"/>
      <c r="BK243" s="26"/>
    </row>
    <row r="244" ht="14.25" customHeight="1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  <c r="AM244" s="26"/>
      <c r="AN244" s="26"/>
      <c r="AO244" s="26"/>
      <c r="AP244" s="26"/>
      <c r="AQ244" s="26"/>
      <c r="AR244" s="26"/>
      <c r="AS244" s="26"/>
      <c r="AT244" s="26"/>
      <c r="AU244" s="26"/>
      <c r="AV244" s="26"/>
      <c r="AW244" s="26"/>
      <c r="AX244" s="26"/>
      <c r="AY244" s="26"/>
      <c r="AZ244" s="26"/>
      <c r="BA244" s="26"/>
      <c r="BB244" s="26"/>
      <c r="BC244" s="26"/>
      <c r="BD244" s="26"/>
      <c r="BE244" s="26"/>
      <c r="BF244" s="26"/>
      <c r="BG244" s="26"/>
      <c r="BH244" s="26"/>
      <c r="BI244" s="26"/>
      <c r="BJ244" s="26"/>
      <c r="BK244" s="26"/>
    </row>
    <row r="245" ht="14.25" customHeight="1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  <c r="AM245" s="26"/>
      <c r="AN245" s="26"/>
      <c r="AO245" s="26"/>
      <c r="AP245" s="26"/>
      <c r="AQ245" s="26"/>
      <c r="AR245" s="26"/>
      <c r="AS245" s="26"/>
      <c r="AT245" s="26"/>
      <c r="AU245" s="26"/>
      <c r="AV245" s="26"/>
      <c r="AW245" s="26"/>
      <c r="AX245" s="26"/>
      <c r="AY245" s="26"/>
      <c r="AZ245" s="26"/>
      <c r="BA245" s="26"/>
      <c r="BB245" s="26"/>
      <c r="BC245" s="26"/>
      <c r="BD245" s="26"/>
      <c r="BE245" s="26"/>
      <c r="BF245" s="26"/>
      <c r="BG245" s="26"/>
      <c r="BH245" s="26"/>
      <c r="BI245" s="26"/>
      <c r="BJ245" s="26"/>
      <c r="BK245" s="26"/>
    </row>
    <row r="246" ht="14.25" customHeight="1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  <c r="AM246" s="26"/>
      <c r="AN246" s="26"/>
      <c r="AO246" s="26"/>
      <c r="AP246" s="26"/>
      <c r="AQ246" s="26"/>
      <c r="AR246" s="26"/>
      <c r="AS246" s="26"/>
      <c r="AT246" s="26"/>
      <c r="AU246" s="26"/>
      <c r="AV246" s="26"/>
      <c r="AW246" s="26"/>
      <c r="AX246" s="26"/>
      <c r="AY246" s="26"/>
      <c r="AZ246" s="26"/>
      <c r="BA246" s="26"/>
      <c r="BB246" s="26"/>
      <c r="BC246" s="26"/>
      <c r="BD246" s="26"/>
      <c r="BE246" s="26"/>
      <c r="BF246" s="26"/>
      <c r="BG246" s="26"/>
      <c r="BH246" s="26"/>
      <c r="BI246" s="26"/>
      <c r="BJ246" s="26"/>
      <c r="BK246" s="26"/>
    </row>
    <row r="247" ht="14.25" customHeight="1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  <c r="AM247" s="26"/>
      <c r="AN247" s="26"/>
      <c r="AO247" s="26"/>
      <c r="AP247" s="26"/>
      <c r="AQ247" s="26"/>
      <c r="AR247" s="26"/>
      <c r="AS247" s="26"/>
      <c r="AT247" s="26"/>
      <c r="AU247" s="26"/>
      <c r="AV247" s="26"/>
      <c r="AW247" s="26"/>
      <c r="AX247" s="26"/>
      <c r="AY247" s="26"/>
      <c r="AZ247" s="26"/>
      <c r="BA247" s="26"/>
      <c r="BB247" s="26"/>
      <c r="BC247" s="26"/>
      <c r="BD247" s="26"/>
      <c r="BE247" s="26"/>
      <c r="BF247" s="26"/>
      <c r="BG247" s="26"/>
      <c r="BH247" s="26"/>
      <c r="BI247" s="26"/>
      <c r="BJ247" s="26"/>
      <c r="BK247" s="26"/>
    </row>
    <row r="248" ht="14.25" customHeight="1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  <c r="AM248" s="26"/>
      <c r="AN248" s="26"/>
      <c r="AO248" s="26"/>
      <c r="AP248" s="26"/>
      <c r="AQ248" s="26"/>
      <c r="AR248" s="26"/>
      <c r="AS248" s="26"/>
      <c r="AT248" s="26"/>
      <c r="AU248" s="26"/>
      <c r="AV248" s="26"/>
      <c r="AW248" s="26"/>
      <c r="AX248" s="26"/>
      <c r="AY248" s="26"/>
      <c r="AZ248" s="26"/>
      <c r="BA248" s="26"/>
      <c r="BB248" s="26"/>
      <c r="BC248" s="26"/>
      <c r="BD248" s="26"/>
      <c r="BE248" s="26"/>
      <c r="BF248" s="26"/>
      <c r="BG248" s="26"/>
      <c r="BH248" s="26"/>
      <c r="BI248" s="26"/>
      <c r="BJ248" s="26"/>
      <c r="BK248" s="26"/>
    </row>
    <row r="249" ht="14.25" customHeight="1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  <c r="AM249" s="26"/>
      <c r="AN249" s="26"/>
      <c r="AO249" s="26"/>
      <c r="AP249" s="26"/>
      <c r="AQ249" s="26"/>
      <c r="AR249" s="26"/>
      <c r="AS249" s="26"/>
      <c r="AT249" s="26"/>
      <c r="AU249" s="26"/>
      <c r="AV249" s="26"/>
      <c r="AW249" s="26"/>
      <c r="AX249" s="26"/>
      <c r="AY249" s="26"/>
      <c r="AZ249" s="26"/>
      <c r="BA249" s="26"/>
      <c r="BB249" s="26"/>
      <c r="BC249" s="26"/>
      <c r="BD249" s="26"/>
      <c r="BE249" s="26"/>
      <c r="BF249" s="26"/>
      <c r="BG249" s="26"/>
      <c r="BH249" s="26"/>
      <c r="BI249" s="26"/>
      <c r="BJ249" s="26"/>
      <c r="BK249" s="26"/>
    </row>
    <row r="250" ht="14.25" customHeight="1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  <c r="AM250" s="26"/>
      <c r="AN250" s="26"/>
      <c r="AO250" s="26"/>
      <c r="AP250" s="26"/>
      <c r="AQ250" s="26"/>
      <c r="AR250" s="26"/>
      <c r="AS250" s="26"/>
      <c r="AT250" s="26"/>
      <c r="AU250" s="26"/>
      <c r="AV250" s="26"/>
      <c r="AW250" s="26"/>
      <c r="AX250" s="26"/>
      <c r="AY250" s="26"/>
      <c r="AZ250" s="26"/>
      <c r="BA250" s="26"/>
      <c r="BB250" s="26"/>
      <c r="BC250" s="26"/>
      <c r="BD250" s="26"/>
      <c r="BE250" s="26"/>
      <c r="BF250" s="26"/>
      <c r="BG250" s="26"/>
      <c r="BH250" s="26"/>
      <c r="BI250" s="26"/>
      <c r="BJ250" s="26"/>
      <c r="BK250" s="26"/>
    </row>
    <row r="251" ht="14.25" customHeight="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  <c r="AM251" s="26"/>
      <c r="AN251" s="26"/>
      <c r="AO251" s="26"/>
      <c r="AP251" s="26"/>
      <c r="AQ251" s="26"/>
      <c r="AR251" s="26"/>
      <c r="AS251" s="26"/>
      <c r="AT251" s="26"/>
      <c r="AU251" s="26"/>
      <c r="AV251" s="26"/>
      <c r="AW251" s="26"/>
      <c r="AX251" s="26"/>
      <c r="AY251" s="26"/>
      <c r="AZ251" s="26"/>
      <c r="BA251" s="26"/>
      <c r="BB251" s="26"/>
      <c r="BC251" s="26"/>
      <c r="BD251" s="26"/>
      <c r="BE251" s="26"/>
      <c r="BF251" s="26"/>
      <c r="BG251" s="26"/>
      <c r="BH251" s="26"/>
      <c r="BI251" s="26"/>
      <c r="BJ251" s="26"/>
      <c r="BK251" s="26"/>
    </row>
    <row r="252" ht="14.25" customHeight="1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  <c r="AH252" s="26"/>
      <c r="AI252" s="26"/>
      <c r="AJ252" s="26"/>
      <c r="AK252" s="26"/>
      <c r="AL252" s="26"/>
      <c r="AM252" s="26"/>
      <c r="AN252" s="26"/>
      <c r="AO252" s="26"/>
      <c r="AP252" s="26"/>
      <c r="AQ252" s="26"/>
      <c r="AR252" s="26"/>
      <c r="AS252" s="26"/>
      <c r="AT252" s="26"/>
      <c r="AU252" s="26"/>
      <c r="AV252" s="26"/>
      <c r="AW252" s="26"/>
      <c r="AX252" s="26"/>
      <c r="AY252" s="26"/>
      <c r="AZ252" s="26"/>
      <c r="BA252" s="26"/>
      <c r="BB252" s="26"/>
      <c r="BC252" s="26"/>
      <c r="BD252" s="26"/>
      <c r="BE252" s="26"/>
      <c r="BF252" s="26"/>
      <c r="BG252" s="26"/>
      <c r="BH252" s="26"/>
      <c r="BI252" s="26"/>
      <c r="BJ252" s="26"/>
      <c r="BK252" s="26"/>
    </row>
    <row r="253" ht="14.25" customHeight="1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26"/>
      <c r="AH253" s="26"/>
      <c r="AI253" s="26"/>
      <c r="AJ253" s="26"/>
      <c r="AK253" s="26"/>
      <c r="AL253" s="26"/>
      <c r="AM253" s="26"/>
      <c r="AN253" s="26"/>
      <c r="AO253" s="26"/>
      <c r="AP253" s="26"/>
      <c r="AQ253" s="26"/>
      <c r="AR253" s="26"/>
      <c r="AS253" s="26"/>
      <c r="AT253" s="26"/>
      <c r="AU253" s="26"/>
      <c r="AV253" s="26"/>
      <c r="AW253" s="26"/>
      <c r="AX253" s="26"/>
      <c r="AY253" s="26"/>
      <c r="AZ253" s="26"/>
      <c r="BA253" s="26"/>
      <c r="BB253" s="26"/>
      <c r="BC253" s="26"/>
      <c r="BD253" s="26"/>
      <c r="BE253" s="26"/>
      <c r="BF253" s="26"/>
      <c r="BG253" s="26"/>
      <c r="BH253" s="26"/>
      <c r="BI253" s="26"/>
      <c r="BJ253" s="26"/>
      <c r="BK253" s="26"/>
    </row>
    <row r="254" ht="14.25" customHeight="1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  <c r="AG254" s="26"/>
      <c r="AH254" s="26"/>
      <c r="AI254" s="26"/>
      <c r="AJ254" s="26"/>
      <c r="AK254" s="26"/>
      <c r="AL254" s="26"/>
      <c r="AM254" s="26"/>
      <c r="AN254" s="26"/>
      <c r="AO254" s="26"/>
      <c r="AP254" s="26"/>
      <c r="AQ254" s="26"/>
      <c r="AR254" s="26"/>
      <c r="AS254" s="26"/>
      <c r="AT254" s="26"/>
      <c r="AU254" s="26"/>
      <c r="AV254" s="26"/>
      <c r="AW254" s="26"/>
      <c r="AX254" s="26"/>
      <c r="AY254" s="26"/>
      <c r="AZ254" s="26"/>
      <c r="BA254" s="26"/>
      <c r="BB254" s="26"/>
      <c r="BC254" s="26"/>
      <c r="BD254" s="26"/>
      <c r="BE254" s="26"/>
      <c r="BF254" s="26"/>
      <c r="BG254" s="26"/>
      <c r="BH254" s="26"/>
      <c r="BI254" s="26"/>
      <c r="BJ254" s="26"/>
      <c r="BK254" s="26"/>
    </row>
    <row r="255" ht="14.25" customHeight="1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AG255" s="26"/>
      <c r="AH255" s="26"/>
      <c r="AI255" s="26"/>
      <c r="AJ255" s="26"/>
      <c r="AK255" s="26"/>
      <c r="AL255" s="26"/>
      <c r="AM255" s="26"/>
      <c r="AN255" s="26"/>
      <c r="AO255" s="26"/>
      <c r="AP255" s="26"/>
      <c r="AQ255" s="26"/>
      <c r="AR255" s="26"/>
      <c r="AS255" s="26"/>
      <c r="AT255" s="26"/>
      <c r="AU255" s="26"/>
      <c r="AV255" s="26"/>
      <c r="AW255" s="26"/>
      <c r="AX255" s="26"/>
      <c r="AY255" s="26"/>
      <c r="AZ255" s="26"/>
      <c r="BA255" s="26"/>
      <c r="BB255" s="26"/>
      <c r="BC255" s="26"/>
      <c r="BD255" s="26"/>
      <c r="BE255" s="26"/>
      <c r="BF255" s="26"/>
      <c r="BG255" s="26"/>
      <c r="BH255" s="26"/>
      <c r="BI255" s="26"/>
      <c r="BJ255" s="26"/>
      <c r="BK255" s="26"/>
    </row>
    <row r="256" ht="14.25" customHeight="1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26"/>
      <c r="AH256" s="26"/>
      <c r="AI256" s="26"/>
      <c r="AJ256" s="26"/>
      <c r="AK256" s="26"/>
      <c r="AL256" s="26"/>
      <c r="AM256" s="26"/>
      <c r="AN256" s="26"/>
      <c r="AO256" s="26"/>
      <c r="AP256" s="26"/>
      <c r="AQ256" s="26"/>
      <c r="AR256" s="26"/>
      <c r="AS256" s="26"/>
      <c r="AT256" s="26"/>
      <c r="AU256" s="26"/>
      <c r="AV256" s="26"/>
      <c r="AW256" s="26"/>
      <c r="AX256" s="26"/>
      <c r="AY256" s="26"/>
      <c r="AZ256" s="26"/>
      <c r="BA256" s="26"/>
      <c r="BB256" s="26"/>
      <c r="BC256" s="26"/>
      <c r="BD256" s="26"/>
      <c r="BE256" s="26"/>
      <c r="BF256" s="26"/>
      <c r="BG256" s="26"/>
      <c r="BH256" s="26"/>
      <c r="BI256" s="26"/>
      <c r="BJ256" s="26"/>
      <c r="BK256" s="26"/>
    </row>
    <row r="257" ht="14.25" customHeight="1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26"/>
      <c r="AH257" s="26"/>
      <c r="AI257" s="26"/>
      <c r="AJ257" s="26"/>
      <c r="AK257" s="26"/>
      <c r="AL257" s="26"/>
      <c r="AM257" s="26"/>
      <c r="AN257" s="26"/>
      <c r="AO257" s="26"/>
      <c r="AP257" s="26"/>
      <c r="AQ257" s="26"/>
      <c r="AR257" s="26"/>
      <c r="AS257" s="26"/>
      <c r="AT257" s="26"/>
      <c r="AU257" s="26"/>
      <c r="AV257" s="26"/>
      <c r="AW257" s="26"/>
      <c r="AX257" s="26"/>
      <c r="AY257" s="26"/>
      <c r="AZ257" s="26"/>
      <c r="BA257" s="26"/>
      <c r="BB257" s="26"/>
      <c r="BC257" s="26"/>
      <c r="BD257" s="26"/>
      <c r="BE257" s="26"/>
      <c r="BF257" s="26"/>
      <c r="BG257" s="26"/>
      <c r="BH257" s="26"/>
      <c r="BI257" s="26"/>
      <c r="BJ257" s="26"/>
      <c r="BK257" s="26"/>
    </row>
    <row r="258" ht="14.25" customHeight="1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26"/>
      <c r="AH258" s="26"/>
      <c r="AI258" s="26"/>
      <c r="AJ258" s="26"/>
      <c r="AK258" s="26"/>
      <c r="AL258" s="26"/>
      <c r="AM258" s="26"/>
      <c r="AN258" s="26"/>
      <c r="AO258" s="26"/>
      <c r="AP258" s="26"/>
      <c r="AQ258" s="26"/>
      <c r="AR258" s="26"/>
      <c r="AS258" s="26"/>
      <c r="AT258" s="26"/>
      <c r="AU258" s="26"/>
      <c r="AV258" s="26"/>
      <c r="AW258" s="26"/>
      <c r="AX258" s="26"/>
      <c r="AY258" s="26"/>
      <c r="AZ258" s="26"/>
      <c r="BA258" s="26"/>
      <c r="BB258" s="26"/>
      <c r="BC258" s="26"/>
      <c r="BD258" s="26"/>
      <c r="BE258" s="26"/>
      <c r="BF258" s="26"/>
      <c r="BG258" s="26"/>
      <c r="BH258" s="26"/>
      <c r="BI258" s="26"/>
      <c r="BJ258" s="26"/>
      <c r="BK258" s="26"/>
    </row>
    <row r="259" ht="14.25" customHeight="1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  <c r="AF259" s="26"/>
      <c r="AG259" s="26"/>
      <c r="AH259" s="26"/>
      <c r="AI259" s="26"/>
      <c r="AJ259" s="26"/>
      <c r="AK259" s="26"/>
      <c r="AL259" s="26"/>
      <c r="AM259" s="26"/>
      <c r="AN259" s="26"/>
      <c r="AO259" s="26"/>
      <c r="AP259" s="26"/>
      <c r="AQ259" s="26"/>
      <c r="AR259" s="26"/>
      <c r="AS259" s="26"/>
      <c r="AT259" s="26"/>
      <c r="AU259" s="26"/>
      <c r="AV259" s="26"/>
      <c r="AW259" s="26"/>
      <c r="AX259" s="26"/>
      <c r="AY259" s="26"/>
      <c r="AZ259" s="26"/>
      <c r="BA259" s="26"/>
      <c r="BB259" s="26"/>
      <c r="BC259" s="26"/>
      <c r="BD259" s="26"/>
      <c r="BE259" s="26"/>
      <c r="BF259" s="26"/>
      <c r="BG259" s="26"/>
      <c r="BH259" s="26"/>
      <c r="BI259" s="26"/>
      <c r="BJ259" s="26"/>
      <c r="BK259" s="26"/>
    </row>
    <row r="260" ht="14.25" customHeight="1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26"/>
      <c r="AH260" s="26"/>
      <c r="AI260" s="26"/>
      <c r="AJ260" s="26"/>
      <c r="AK260" s="26"/>
      <c r="AL260" s="26"/>
      <c r="AM260" s="26"/>
      <c r="AN260" s="26"/>
      <c r="AO260" s="26"/>
      <c r="AP260" s="26"/>
      <c r="AQ260" s="26"/>
      <c r="AR260" s="26"/>
      <c r="AS260" s="26"/>
      <c r="AT260" s="26"/>
      <c r="AU260" s="26"/>
      <c r="AV260" s="26"/>
      <c r="AW260" s="26"/>
      <c r="AX260" s="26"/>
      <c r="AY260" s="26"/>
      <c r="AZ260" s="26"/>
      <c r="BA260" s="26"/>
      <c r="BB260" s="26"/>
      <c r="BC260" s="26"/>
      <c r="BD260" s="26"/>
      <c r="BE260" s="26"/>
      <c r="BF260" s="26"/>
      <c r="BG260" s="26"/>
      <c r="BH260" s="26"/>
      <c r="BI260" s="26"/>
      <c r="BJ260" s="26"/>
      <c r="BK260" s="26"/>
    </row>
    <row r="261" ht="14.25" customHeight="1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26"/>
      <c r="AH261" s="26"/>
      <c r="AI261" s="26"/>
      <c r="AJ261" s="26"/>
      <c r="AK261" s="26"/>
      <c r="AL261" s="26"/>
      <c r="AM261" s="26"/>
      <c r="AN261" s="26"/>
      <c r="AO261" s="26"/>
      <c r="AP261" s="26"/>
      <c r="AQ261" s="26"/>
      <c r="AR261" s="26"/>
      <c r="AS261" s="26"/>
      <c r="AT261" s="26"/>
      <c r="AU261" s="26"/>
      <c r="AV261" s="26"/>
      <c r="AW261" s="26"/>
      <c r="AX261" s="26"/>
      <c r="AY261" s="26"/>
      <c r="AZ261" s="26"/>
      <c r="BA261" s="26"/>
      <c r="BB261" s="26"/>
      <c r="BC261" s="26"/>
      <c r="BD261" s="26"/>
      <c r="BE261" s="26"/>
      <c r="BF261" s="26"/>
      <c r="BG261" s="26"/>
      <c r="BH261" s="26"/>
      <c r="BI261" s="26"/>
      <c r="BJ261" s="26"/>
      <c r="BK261" s="26"/>
    </row>
    <row r="262" ht="14.25" customHeight="1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26"/>
      <c r="AH262" s="26"/>
      <c r="AI262" s="26"/>
      <c r="AJ262" s="26"/>
      <c r="AK262" s="26"/>
      <c r="AL262" s="26"/>
      <c r="AM262" s="26"/>
      <c r="AN262" s="26"/>
      <c r="AO262" s="26"/>
      <c r="AP262" s="26"/>
      <c r="AQ262" s="26"/>
      <c r="AR262" s="26"/>
      <c r="AS262" s="26"/>
      <c r="AT262" s="26"/>
      <c r="AU262" s="26"/>
      <c r="AV262" s="26"/>
      <c r="AW262" s="26"/>
      <c r="AX262" s="26"/>
      <c r="AY262" s="26"/>
      <c r="AZ262" s="26"/>
      <c r="BA262" s="26"/>
      <c r="BB262" s="26"/>
      <c r="BC262" s="26"/>
      <c r="BD262" s="26"/>
      <c r="BE262" s="26"/>
      <c r="BF262" s="26"/>
      <c r="BG262" s="26"/>
      <c r="BH262" s="26"/>
      <c r="BI262" s="26"/>
      <c r="BJ262" s="26"/>
      <c r="BK262" s="26"/>
    </row>
    <row r="263" ht="14.25" customHeight="1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26"/>
      <c r="AH263" s="26"/>
      <c r="AI263" s="26"/>
      <c r="AJ263" s="26"/>
      <c r="AK263" s="26"/>
      <c r="AL263" s="26"/>
      <c r="AM263" s="26"/>
      <c r="AN263" s="26"/>
      <c r="AO263" s="26"/>
      <c r="AP263" s="26"/>
      <c r="AQ263" s="26"/>
      <c r="AR263" s="26"/>
      <c r="AS263" s="26"/>
      <c r="AT263" s="26"/>
      <c r="AU263" s="26"/>
      <c r="AV263" s="26"/>
      <c r="AW263" s="26"/>
      <c r="AX263" s="26"/>
      <c r="AY263" s="26"/>
      <c r="AZ263" s="26"/>
      <c r="BA263" s="26"/>
      <c r="BB263" s="26"/>
      <c r="BC263" s="26"/>
      <c r="BD263" s="26"/>
      <c r="BE263" s="26"/>
      <c r="BF263" s="26"/>
      <c r="BG263" s="26"/>
      <c r="BH263" s="26"/>
      <c r="BI263" s="26"/>
      <c r="BJ263" s="26"/>
      <c r="BK263" s="26"/>
    </row>
    <row r="264" ht="14.25" customHeight="1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26"/>
      <c r="AH264" s="26"/>
      <c r="AI264" s="26"/>
      <c r="AJ264" s="26"/>
      <c r="AK264" s="26"/>
      <c r="AL264" s="26"/>
      <c r="AM264" s="26"/>
      <c r="AN264" s="26"/>
      <c r="AO264" s="26"/>
      <c r="AP264" s="26"/>
      <c r="AQ264" s="26"/>
      <c r="AR264" s="26"/>
      <c r="AS264" s="26"/>
      <c r="AT264" s="26"/>
      <c r="AU264" s="26"/>
      <c r="AV264" s="26"/>
      <c r="AW264" s="26"/>
      <c r="AX264" s="26"/>
      <c r="AY264" s="26"/>
      <c r="AZ264" s="26"/>
      <c r="BA264" s="26"/>
      <c r="BB264" s="26"/>
      <c r="BC264" s="26"/>
      <c r="BD264" s="26"/>
      <c r="BE264" s="26"/>
      <c r="BF264" s="26"/>
      <c r="BG264" s="26"/>
      <c r="BH264" s="26"/>
      <c r="BI264" s="26"/>
      <c r="BJ264" s="26"/>
      <c r="BK264" s="26"/>
    </row>
    <row r="265" ht="14.25" customHeight="1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26"/>
      <c r="AH265" s="26"/>
      <c r="AI265" s="26"/>
      <c r="AJ265" s="26"/>
      <c r="AK265" s="26"/>
      <c r="AL265" s="26"/>
      <c r="AM265" s="26"/>
      <c r="AN265" s="26"/>
      <c r="AO265" s="26"/>
      <c r="AP265" s="26"/>
      <c r="AQ265" s="26"/>
      <c r="AR265" s="26"/>
      <c r="AS265" s="26"/>
      <c r="AT265" s="26"/>
      <c r="AU265" s="26"/>
      <c r="AV265" s="26"/>
      <c r="AW265" s="26"/>
      <c r="AX265" s="26"/>
      <c r="AY265" s="26"/>
      <c r="AZ265" s="26"/>
      <c r="BA265" s="26"/>
      <c r="BB265" s="26"/>
      <c r="BC265" s="26"/>
      <c r="BD265" s="26"/>
      <c r="BE265" s="26"/>
      <c r="BF265" s="26"/>
      <c r="BG265" s="26"/>
      <c r="BH265" s="26"/>
      <c r="BI265" s="26"/>
      <c r="BJ265" s="26"/>
      <c r="BK265" s="26"/>
    </row>
    <row r="266" ht="14.25" customHeight="1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26"/>
      <c r="AH266" s="26"/>
      <c r="AI266" s="26"/>
      <c r="AJ266" s="26"/>
      <c r="AK266" s="26"/>
      <c r="AL266" s="26"/>
      <c r="AM266" s="26"/>
      <c r="AN266" s="26"/>
      <c r="AO266" s="26"/>
      <c r="AP266" s="26"/>
      <c r="AQ266" s="26"/>
      <c r="AR266" s="26"/>
      <c r="AS266" s="26"/>
      <c r="AT266" s="26"/>
      <c r="AU266" s="26"/>
      <c r="AV266" s="26"/>
      <c r="AW266" s="26"/>
      <c r="AX266" s="26"/>
      <c r="AY266" s="26"/>
      <c r="AZ266" s="26"/>
      <c r="BA266" s="26"/>
      <c r="BB266" s="26"/>
      <c r="BC266" s="26"/>
      <c r="BD266" s="26"/>
      <c r="BE266" s="26"/>
      <c r="BF266" s="26"/>
      <c r="BG266" s="26"/>
      <c r="BH266" s="26"/>
      <c r="BI266" s="26"/>
      <c r="BJ266" s="26"/>
      <c r="BK266" s="26"/>
    </row>
    <row r="267" ht="14.25" customHeight="1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  <c r="AG267" s="26"/>
      <c r="AH267" s="26"/>
      <c r="AI267" s="26"/>
      <c r="AJ267" s="26"/>
      <c r="AK267" s="26"/>
      <c r="AL267" s="26"/>
      <c r="AM267" s="26"/>
      <c r="AN267" s="26"/>
      <c r="AO267" s="26"/>
      <c r="AP267" s="26"/>
      <c r="AQ267" s="26"/>
      <c r="AR267" s="26"/>
      <c r="AS267" s="26"/>
      <c r="AT267" s="26"/>
      <c r="AU267" s="26"/>
      <c r="AV267" s="26"/>
      <c r="AW267" s="26"/>
      <c r="AX267" s="26"/>
      <c r="AY267" s="26"/>
      <c r="AZ267" s="26"/>
      <c r="BA267" s="26"/>
      <c r="BB267" s="26"/>
      <c r="BC267" s="26"/>
      <c r="BD267" s="26"/>
      <c r="BE267" s="26"/>
      <c r="BF267" s="26"/>
      <c r="BG267" s="26"/>
      <c r="BH267" s="26"/>
      <c r="BI267" s="26"/>
      <c r="BJ267" s="26"/>
      <c r="BK267" s="26"/>
    </row>
    <row r="268" ht="14.25" customHeight="1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26"/>
      <c r="AH268" s="26"/>
      <c r="AI268" s="26"/>
      <c r="AJ268" s="26"/>
      <c r="AK268" s="26"/>
      <c r="AL268" s="26"/>
      <c r="AM268" s="26"/>
      <c r="AN268" s="26"/>
      <c r="AO268" s="26"/>
      <c r="AP268" s="26"/>
      <c r="AQ268" s="26"/>
      <c r="AR268" s="26"/>
      <c r="AS268" s="26"/>
      <c r="AT268" s="26"/>
      <c r="AU268" s="26"/>
      <c r="AV268" s="26"/>
      <c r="AW268" s="26"/>
      <c r="AX268" s="26"/>
      <c r="AY268" s="26"/>
      <c r="AZ268" s="26"/>
      <c r="BA268" s="26"/>
      <c r="BB268" s="26"/>
      <c r="BC268" s="26"/>
      <c r="BD268" s="26"/>
      <c r="BE268" s="26"/>
      <c r="BF268" s="26"/>
      <c r="BG268" s="26"/>
      <c r="BH268" s="26"/>
      <c r="BI268" s="26"/>
      <c r="BJ268" s="26"/>
      <c r="BK268" s="26"/>
    </row>
    <row r="269" ht="14.25" customHeight="1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  <c r="AE269" s="26"/>
      <c r="AF269" s="26"/>
      <c r="AG269" s="26"/>
      <c r="AH269" s="26"/>
      <c r="AI269" s="26"/>
      <c r="AJ269" s="26"/>
      <c r="AK269" s="26"/>
      <c r="AL269" s="26"/>
      <c r="AM269" s="26"/>
      <c r="AN269" s="26"/>
      <c r="AO269" s="26"/>
      <c r="AP269" s="26"/>
      <c r="AQ269" s="26"/>
      <c r="AR269" s="26"/>
      <c r="AS269" s="26"/>
      <c r="AT269" s="26"/>
      <c r="AU269" s="26"/>
      <c r="AV269" s="26"/>
      <c r="AW269" s="26"/>
      <c r="AX269" s="26"/>
      <c r="AY269" s="26"/>
      <c r="AZ269" s="26"/>
      <c r="BA269" s="26"/>
      <c r="BB269" s="26"/>
      <c r="BC269" s="26"/>
      <c r="BD269" s="26"/>
      <c r="BE269" s="26"/>
      <c r="BF269" s="26"/>
      <c r="BG269" s="26"/>
      <c r="BH269" s="26"/>
      <c r="BI269" s="26"/>
      <c r="BJ269" s="26"/>
      <c r="BK269" s="26"/>
    </row>
    <row r="270" ht="14.25" customHeight="1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26"/>
      <c r="AH270" s="26"/>
      <c r="AI270" s="26"/>
      <c r="AJ270" s="26"/>
      <c r="AK270" s="26"/>
      <c r="AL270" s="26"/>
      <c r="AM270" s="26"/>
      <c r="AN270" s="26"/>
      <c r="AO270" s="26"/>
      <c r="AP270" s="26"/>
      <c r="AQ270" s="26"/>
      <c r="AR270" s="26"/>
      <c r="AS270" s="26"/>
      <c r="AT270" s="26"/>
      <c r="AU270" s="26"/>
      <c r="AV270" s="26"/>
      <c r="AW270" s="26"/>
      <c r="AX270" s="26"/>
      <c r="AY270" s="26"/>
      <c r="AZ270" s="26"/>
      <c r="BA270" s="26"/>
      <c r="BB270" s="26"/>
      <c r="BC270" s="26"/>
      <c r="BD270" s="26"/>
      <c r="BE270" s="26"/>
      <c r="BF270" s="26"/>
      <c r="BG270" s="26"/>
      <c r="BH270" s="26"/>
      <c r="BI270" s="26"/>
      <c r="BJ270" s="26"/>
      <c r="BK270" s="26"/>
    </row>
    <row r="271" ht="14.25" customHeight="1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  <c r="AG271" s="26"/>
      <c r="AH271" s="26"/>
      <c r="AI271" s="26"/>
      <c r="AJ271" s="26"/>
      <c r="AK271" s="26"/>
      <c r="AL271" s="26"/>
      <c r="AM271" s="26"/>
      <c r="AN271" s="26"/>
      <c r="AO271" s="26"/>
      <c r="AP271" s="26"/>
      <c r="AQ271" s="26"/>
      <c r="AR271" s="26"/>
      <c r="AS271" s="26"/>
      <c r="AT271" s="26"/>
      <c r="AU271" s="26"/>
      <c r="AV271" s="26"/>
      <c r="AW271" s="26"/>
      <c r="AX271" s="26"/>
      <c r="AY271" s="26"/>
      <c r="AZ271" s="26"/>
      <c r="BA271" s="26"/>
      <c r="BB271" s="26"/>
      <c r="BC271" s="26"/>
      <c r="BD271" s="26"/>
      <c r="BE271" s="26"/>
      <c r="BF271" s="26"/>
      <c r="BG271" s="26"/>
      <c r="BH271" s="26"/>
      <c r="BI271" s="26"/>
      <c r="BJ271" s="26"/>
      <c r="BK271" s="26"/>
    </row>
    <row r="272" ht="14.25" customHeight="1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26"/>
      <c r="AH272" s="26"/>
      <c r="AI272" s="26"/>
      <c r="AJ272" s="26"/>
      <c r="AK272" s="26"/>
      <c r="AL272" s="26"/>
      <c r="AM272" s="26"/>
      <c r="AN272" s="26"/>
      <c r="AO272" s="26"/>
      <c r="AP272" s="26"/>
      <c r="AQ272" s="26"/>
      <c r="AR272" s="26"/>
      <c r="AS272" s="26"/>
      <c r="AT272" s="26"/>
      <c r="AU272" s="26"/>
      <c r="AV272" s="26"/>
      <c r="AW272" s="26"/>
      <c r="AX272" s="26"/>
      <c r="AY272" s="26"/>
      <c r="AZ272" s="26"/>
      <c r="BA272" s="26"/>
      <c r="BB272" s="26"/>
      <c r="BC272" s="26"/>
      <c r="BD272" s="26"/>
      <c r="BE272" s="26"/>
      <c r="BF272" s="26"/>
      <c r="BG272" s="26"/>
      <c r="BH272" s="26"/>
      <c r="BI272" s="26"/>
      <c r="BJ272" s="26"/>
      <c r="BK272" s="26"/>
    </row>
    <row r="273" ht="14.25" customHeight="1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  <c r="AG273" s="26"/>
      <c r="AH273" s="26"/>
      <c r="AI273" s="26"/>
      <c r="AJ273" s="26"/>
      <c r="AK273" s="26"/>
      <c r="AL273" s="26"/>
      <c r="AM273" s="26"/>
      <c r="AN273" s="26"/>
      <c r="AO273" s="26"/>
      <c r="AP273" s="26"/>
      <c r="AQ273" s="26"/>
      <c r="AR273" s="26"/>
      <c r="AS273" s="26"/>
      <c r="AT273" s="26"/>
      <c r="AU273" s="26"/>
      <c r="AV273" s="26"/>
      <c r="AW273" s="26"/>
      <c r="AX273" s="26"/>
      <c r="AY273" s="26"/>
      <c r="AZ273" s="26"/>
      <c r="BA273" s="26"/>
      <c r="BB273" s="26"/>
      <c r="BC273" s="26"/>
      <c r="BD273" s="26"/>
      <c r="BE273" s="26"/>
      <c r="BF273" s="26"/>
      <c r="BG273" s="26"/>
      <c r="BH273" s="26"/>
      <c r="BI273" s="26"/>
      <c r="BJ273" s="26"/>
      <c r="BK273" s="26"/>
    </row>
    <row r="274" ht="14.25" customHeight="1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26"/>
      <c r="AH274" s="26"/>
      <c r="AI274" s="26"/>
      <c r="AJ274" s="26"/>
      <c r="AK274" s="26"/>
      <c r="AL274" s="26"/>
      <c r="AM274" s="26"/>
      <c r="AN274" s="26"/>
      <c r="AO274" s="26"/>
      <c r="AP274" s="26"/>
      <c r="AQ274" s="26"/>
      <c r="AR274" s="26"/>
      <c r="AS274" s="26"/>
      <c r="AT274" s="26"/>
      <c r="AU274" s="26"/>
      <c r="AV274" s="26"/>
      <c r="AW274" s="26"/>
      <c r="AX274" s="26"/>
      <c r="AY274" s="26"/>
      <c r="AZ274" s="26"/>
      <c r="BA274" s="26"/>
      <c r="BB274" s="26"/>
      <c r="BC274" s="26"/>
      <c r="BD274" s="26"/>
      <c r="BE274" s="26"/>
      <c r="BF274" s="26"/>
      <c r="BG274" s="26"/>
      <c r="BH274" s="26"/>
      <c r="BI274" s="26"/>
      <c r="BJ274" s="26"/>
      <c r="BK274" s="26"/>
    </row>
    <row r="275" ht="14.25" customHeight="1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  <c r="AG275" s="26"/>
      <c r="AH275" s="26"/>
      <c r="AI275" s="26"/>
      <c r="AJ275" s="26"/>
      <c r="AK275" s="26"/>
      <c r="AL275" s="26"/>
      <c r="AM275" s="26"/>
      <c r="AN275" s="26"/>
      <c r="AO275" s="26"/>
      <c r="AP275" s="26"/>
      <c r="AQ275" s="26"/>
      <c r="AR275" s="26"/>
      <c r="AS275" s="26"/>
      <c r="AT275" s="26"/>
      <c r="AU275" s="26"/>
      <c r="AV275" s="26"/>
      <c r="AW275" s="26"/>
      <c r="AX275" s="26"/>
      <c r="AY275" s="26"/>
      <c r="AZ275" s="26"/>
      <c r="BA275" s="26"/>
      <c r="BB275" s="26"/>
      <c r="BC275" s="26"/>
      <c r="BD275" s="26"/>
      <c r="BE275" s="26"/>
      <c r="BF275" s="26"/>
      <c r="BG275" s="26"/>
      <c r="BH275" s="26"/>
      <c r="BI275" s="26"/>
      <c r="BJ275" s="26"/>
      <c r="BK275" s="26"/>
    </row>
    <row r="276" ht="14.25" customHeight="1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26"/>
      <c r="AH276" s="26"/>
      <c r="AI276" s="26"/>
      <c r="AJ276" s="26"/>
      <c r="AK276" s="26"/>
      <c r="AL276" s="26"/>
      <c r="AM276" s="26"/>
      <c r="AN276" s="26"/>
      <c r="AO276" s="26"/>
      <c r="AP276" s="26"/>
      <c r="AQ276" s="26"/>
      <c r="AR276" s="26"/>
      <c r="AS276" s="26"/>
      <c r="AT276" s="26"/>
      <c r="AU276" s="26"/>
      <c r="AV276" s="26"/>
      <c r="AW276" s="26"/>
      <c r="AX276" s="26"/>
      <c r="AY276" s="26"/>
      <c r="AZ276" s="26"/>
      <c r="BA276" s="26"/>
      <c r="BB276" s="26"/>
      <c r="BC276" s="26"/>
      <c r="BD276" s="26"/>
      <c r="BE276" s="26"/>
      <c r="BF276" s="26"/>
      <c r="BG276" s="26"/>
      <c r="BH276" s="26"/>
      <c r="BI276" s="26"/>
      <c r="BJ276" s="26"/>
      <c r="BK276" s="26"/>
    </row>
    <row r="277" ht="14.25" customHeight="1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  <c r="AF277" s="26"/>
      <c r="AG277" s="26"/>
      <c r="AH277" s="26"/>
      <c r="AI277" s="26"/>
      <c r="AJ277" s="26"/>
      <c r="AK277" s="26"/>
      <c r="AL277" s="26"/>
      <c r="AM277" s="26"/>
      <c r="AN277" s="26"/>
      <c r="AO277" s="26"/>
      <c r="AP277" s="26"/>
      <c r="AQ277" s="26"/>
      <c r="AR277" s="26"/>
      <c r="AS277" s="26"/>
      <c r="AT277" s="26"/>
      <c r="AU277" s="26"/>
      <c r="AV277" s="26"/>
      <c r="AW277" s="26"/>
      <c r="AX277" s="26"/>
      <c r="AY277" s="26"/>
      <c r="AZ277" s="26"/>
      <c r="BA277" s="26"/>
      <c r="BB277" s="26"/>
      <c r="BC277" s="26"/>
      <c r="BD277" s="26"/>
      <c r="BE277" s="26"/>
      <c r="BF277" s="26"/>
      <c r="BG277" s="26"/>
      <c r="BH277" s="26"/>
      <c r="BI277" s="26"/>
      <c r="BJ277" s="26"/>
      <c r="BK277" s="26"/>
    </row>
    <row r="278" ht="14.25" customHeight="1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  <c r="AF278" s="26"/>
      <c r="AG278" s="26"/>
      <c r="AH278" s="26"/>
      <c r="AI278" s="26"/>
      <c r="AJ278" s="26"/>
      <c r="AK278" s="26"/>
      <c r="AL278" s="26"/>
      <c r="AM278" s="26"/>
      <c r="AN278" s="26"/>
      <c r="AO278" s="26"/>
      <c r="AP278" s="26"/>
      <c r="AQ278" s="26"/>
      <c r="AR278" s="26"/>
      <c r="AS278" s="26"/>
      <c r="AT278" s="26"/>
      <c r="AU278" s="26"/>
      <c r="AV278" s="26"/>
      <c r="AW278" s="26"/>
      <c r="AX278" s="26"/>
      <c r="AY278" s="26"/>
      <c r="AZ278" s="26"/>
      <c r="BA278" s="26"/>
      <c r="BB278" s="26"/>
      <c r="BC278" s="26"/>
      <c r="BD278" s="26"/>
      <c r="BE278" s="26"/>
      <c r="BF278" s="26"/>
      <c r="BG278" s="26"/>
      <c r="BH278" s="26"/>
      <c r="BI278" s="26"/>
      <c r="BJ278" s="26"/>
      <c r="BK278" s="26"/>
    </row>
    <row r="279" ht="14.25" customHeight="1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  <c r="AE279" s="26"/>
      <c r="AF279" s="26"/>
      <c r="AG279" s="26"/>
      <c r="AH279" s="26"/>
      <c r="AI279" s="26"/>
      <c r="AJ279" s="26"/>
      <c r="AK279" s="26"/>
      <c r="AL279" s="26"/>
      <c r="AM279" s="26"/>
      <c r="AN279" s="26"/>
      <c r="AO279" s="26"/>
      <c r="AP279" s="26"/>
      <c r="AQ279" s="26"/>
      <c r="AR279" s="26"/>
      <c r="AS279" s="26"/>
      <c r="AT279" s="26"/>
      <c r="AU279" s="26"/>
      <c r="AV279" s="26"/>
      <c r="AW279" s="26"/>
      <c r="AX279" s="26"/>
      <c r="AY279" s="26"/>
      <c r="AZ279" s="26"/>
      <c r="BA279" s="26"/>
      <c r="BB279" s="26"/>
      <c r="BC279" s="26"/>
      <c r="BD279" s="26"/>
      <c r="BE279" s="26"/>
      <c r="BF279" s="26"/>
      <c r="BG279" s="26"/>
      <c r="BH279" s="26"/>
      <c r="BI279" s="26"/>
      <c r="BJ279" s="26"/>
      <c r="BK279" s="26"/>
    </row>
    <row r="280" ht="14.25" customHeight="1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  <c r="AG280" s="26"/>
      <c r="AH280" s="26"/>
      <c r="AI280" s="26"/>
      <c r="AJ280" s="26"/>
      <c r="AK280" s="26"/>
      <c r="AL280" s="26"/>
      <c r="AM280" s="26"/>
      <c r="AN280" s="26"/>
      <c r="AO280" s="26"/>
      <c r="AP280" s="26"/>
      <c r="AQ280" s="26"/>
      <c r="AR280" s="26"/>
      <c r="AS280" s="26"/>
      <c r="AT280" s="26"/>
      <c r="AU280" s="26"/>
      <c r="AV280" s="26"/>
      <c r="AW280" s="26"/>
      <c r="AX280" s="26"/>
      <c r="AY280" s="26"/>
      <c r="AZ280" s="26"/>
      <c r="BA280" s="26"/>
      <c r="BB280" s="26"/>
      <c r="BC280" s="26"/>
      <c r="BD280" s="26"/>
      <c r="BE280" s="26"/>
      <c r="BF280" s="26"/>
      <c r="BG280" s="26"/>
      <c r="BH280" s="26"/>
      <c r="BI280" s="26"/>
      <c r="BJ280" s="26"/>
      <c r="BK280" s="26"/>
    </row>
    <row r="281" ht="14.25" customHeight="1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  <c r="AF281" s="26"/>
      <c r="AG281" s="26"/>
      <c r="AH281" s="26"/>
      <c r="AI281" s="26"/>
      <c r="AJ281" s="26"/>
      <c r="AK281" s="26"/>
      <c r="AL281" s="26"/>
      <c r="AM281" s="26"/>
      <c r="AN281" s="26"/>
      <c r="AO281" s="26"/>
      <c r="AP281" s="26"/>
      <c r="AQ281" s="26"/>
      <c r="AR281" s="26"/>
      <c r="AS281" s="26"/>
      <c r="AT281" s="26"/>
      <c r="AU281" s="26"/>
      <c r="AV281" s="26"/>
      <c r="AW281" s="26"/>
      <c r="AX281" s="26"/>
      <c r="AY281" s="26"/>
      <c r="AZ281" s="26"/>
      <c r="BA281" s="26"/>
      <c r="BB281" s="26"/>
      <c r="BC281" s="26"/>
      <c r="BD281" s="26"/>
      <c r="BE281" s="26"/>
      <c r="BF281" s="26"/>
      <c r="BG281" s="26"/>
      <c r="BH281" s="26"/>
      <c r="BI281" s="26"/>
      <c r="BJ281" s="26"/>
      <c r="BK281" s="26"/>
    </row>
    <row r="282" ht="14.25" customHeight="1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  <c r="AG282" s="26"/>
      <c r="AH282" s="26"/>
      <c r="AI282" s="26"/>
      <c r="AJ282" s="26"/>
      <c r="AK282" s="26"/>
      <c r="AL282" s="26"/>
      <c r="AM282" s="26"/>
      <c r="AN282" s="26"/>
      <c r="AO282" s="26"/>
      <c r="AP282" s="26"/>
      <c r="AQ282" s="26"/>
      <c r="AR282" s="26"/>
      <c r="AS282" s="26"/>
      <c r="AT282" s="26"/>
      <c r="AU282" s="26"/>
      <c r="AV282" s="26"/>
      <c r="AW282" s="26"/>
      <c r="AX282" s="26"/>
      <c r="AY282" s="26"/>
      <c r="AZ282" s="26"/>
      <c r="BA282" s="26"/>
      <c r="BB282" s="26"/>
      <c r="BC282" s="26"/>
      <c r="BD282" s="26"/>
      <c r="BE282" s="26"/>
      <c r="BF282" s="26"/>
      <c r="BG282" s="26"/>
      <c r="BH282" s="26"/>
      <c r="BI282" s="26"/>
      <c r="BJ282" s="26"/>
      <c r="BK282" s="26"/>
    </row>
    <row r="283" ht="14.25" customHeight="1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  <c r="AF283" s="26"/>
      <c r="AG283" s="26"/>
      <c r="AH283" s="26"/>
      <c r="AI283" s="26"/>
      <c r="AJ283" s="26"/>
      <c r="AK283" s="26"/>
      <c r="AL283" s="26"/>
      <c r="AM283" s="26"/>
      <c r="AN283" s="26"/>
      <c r="AO283" s="26"/>
      <c r="AP283" s="26"/>
      <c r="AQ283" s="26"/>
      <c r="AR283" s="26"/>
      <c r="AS283" s="26"/>
      <c r="AT283" s="26"/>
      <c r="AU283" s="26"/>
      <c r="AV283" s="26"/>
      <c r="AW283" s="26"/>
      <c r="AX283" s="26"/>
      <c r="AY283" s="26"/>
      <c r="AZ283" s="26"/>
      <c r="BA283" s="26"/>
      <c r="BB283" s="26"/>
      <c r="BC283" s="26"/>
      <c r="BD283" s="26"/>
      <c r="BE283" s="26"/>
      <c r="BF283" s="26"/>
      <c r="BG283" s="26"/>
      <c r="BH283" s="26"/>
      <c r="BI283" s="26"/>
      <c r="BJ283" s="26"/>
      <c r="BK283" s="26"/>
    </row>
    <row r="284" ht="14.25" customHeight="1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  <c r="AE284" s="26"/>
      <c r="AF284" s="26"/>
      <c r="AG284" s="26"/>
      <c r="AH284" s="26"/>
      <c r="AI284" s="26"/>
      <c r="AJ284" s="26"/>
      <c r="AK284" s="26"/>
      <c r="AL284" s="26"/>
      <c r="AM284" s="26"/>
      <c r="AN284" s="26"/>
      <c r="AO284" s="26"/>
      <c r="AP284" s="26"/>
      <c r="AQ284" s="26"/>
      <c r="AR284" s="26"/>
      <c r="AS284" s="26"/>
      <c r="AT284" s="26"/>
      <c r="AU284" s="26"/>
      <c r="AV284" s="26"/>
      <c r="AW284" s="26"/>
      <c r="AX284" s="26"/>
      <c r="AY284" s="26"/>
      <c r="AZ284" s="26"/>
      <c r="BA284" s="26"/>
      <c r="BB284" s="26"/>
      <c r="BC284" s="26"/>
      <c r="BD284" s="26"/>
      <c r="BE284" s="26"/>
      <c r="BF284" s="26"/>
      <c r="BG284" s="26"/>
      <c r="BH284" s="26"/>
      <c r="BI284" s="26"/>
      <c r="BJ284" s="26"/>
      <c r="BK284" s="26"/>
    </row>
    <row r="285" ht="14.25" customHeight="1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  <c r="AG285" s="26"/>
      <c r="AH285" s="26"/>
      <c r="AI285" s="26"/>
      <c r="AJ285" s="26"/>
      <c r="AK285" s="26"/>
      <c r="AL285" s="26"/>
      <c r="AM285" s="26"/>
      <c r="AN285" s="26"/>
      <c r="AO285" s="26"/>
      <c r="AP285" s="26"/>
      <c r="AQ285" s="26"/>
      <c r="AR285" s="26"/>
      <c r="AS285" s="26"/>
      <c r="AT285" s="26"/>
      <c r="AU285" s="26"/>
      <c r="AV285" s="26"/>
      <c r="AW285" s="26"/>
      <c r="AX285" s="26"/>
      <c r="AY285" s="26"/>
      <c r="AZ285" s="26"/>
      <c r="BA285" s="26"/>
      <c r="BB285" s="26"/>
      <c r="BC285" s="26"/>
      <c r="BD285" s="26"/>
      <c r="BE285" s="26"/>
      <c r="BF285" s="26"/>
      <c r="BG285" s="26"/>
      <c r="BH285" s="26"/>
      <c r="BI285" s="26"/>
      <c r="BJ285" s="26"/>
      <c r="BK285" s="26"/>
    </row>
    <row r="286" ht="14.25" customHeight="1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  <c r="AE286" s="26"/>
      <c r="AF286" s="26"/>
      <c r="AG286" s="26"/>
      <c r="AH286" s="26"/>
      <c r="AI286" s="26"/>
      <c r="AJ286" s="26"/>
      <c r="AK286" s="26"/>
      <c r="AL286" s="26"/>
      <c r="AM286" s="26"/>
      <c r="AN286" s="26"/>
      <c r="AO286" s="26"/>
      <c r="AP286" s="26"/>
      <c r="AQ286" s="26"/>
      <c r="AR286" s="26"/>
      <c r="AS286" s="26"/>
      <c r="AT286" s="26"/>
      <c r="AU286" s="26"/>
      <c r="AV286" s="26"/>
      <c r="AW286" s="26"/>
      <c r="AX286" s="26"/>
      <c r="AY286" s="26"/>
      <c r="AZ286" s="26"/>
      <c r="BA286" s="26"/>
      <c r="BB286" s="26"/>
      <c r="BC286" s="26"/>
      <c r="BD286" s="26"/>
      <c r="BE286" s="26"/>
      <c r="BF286" s="26"/>
      <c r="BG286" s="26"/>
      <c r="BH286" s="26"/>
      <c r="BI286" s="26"/>
      <c r="BJ286" s="26"/>
      <c r="BK286" s="26"/>
    </row>
    <row r="287" ht="14.25" customHeight="1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  <c r="AE287" s="26"/>
      <c r="AF287" s="26"/>
      <c r="AG287" s="26"/>
      <c r="AH287" s="26"/>
      <c r="AI287" s="26"/>
      <c r="AJ287" s="26"/>
      <c r="AK287" s="26"/>
      <c r="AL287" s="26"/>
      <c r="AM287" s="26"/>
      <c r="AN287" s="26"/>
      <c r="AO287" s="26"/>
      <c r="AP287" s="26"/>
      <c r="AQ287" s="26"/>
      <c r="AR287" s="26"/>
      <c r="AS287" s="26"/>
      <c r="AT287" s="26"/>
      <c r="AU287" s="26"/>
      <c r="AV287" s="26"/>
      <c r="AW287" s="26"/>
      <c r="AX287" s="26"/>
      <c r="AY287" s="26"/>
      <c r="AZ287" s="26"/>
      <c r="BA287" s="26"/>
      <c r="BB287" s="26"/>
      <c r="BC287" s="26"/>
      <c r="BD287" s="26"/>
      <c r="BE287" s="26"/>
      <c r="BF287" s="26"/>
      <c r="BG287" s="26"/>
      <c r="BH287" s="26"/>
      <c r="BI287" s="26"/>
      <c r="BJ287" s="26"/>
      <c r="BK287" s="26"/>
    </row>
    <row r="288" ht="14.25" customHeight="1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  <c r="AF288" s="26"/>
      <c r="AG288" s="26"/>
      <c r="AH288" s="26"/>
      <c r="AI288" s="26"/>
      <c r="AJ288" s="26"/>
      <c r="AK288" s="26"/>
      <c r="AL288" s="26"/>
      <c r="AM288" s="26"/>
      <c r="AN288" s="26"/>
      <c r="AO288" s="26"/>
      <c r="AP288" s="26"/>
      <c r="AQ288" s="26"/>
      <c r="AR288" s="26"/>
      <c r="AS288" s="26"/>
      <c r="AT288" s="26"/>
      <c r="AU288" s="26"/>
      <c r="AV288" s="26"/>
      <c r="AW288" s="26"/>
      <c r="AX288" s="26"/>
      <c r="AY288" s="26"/>
      <c r="AZ288" s="26"/>
      <c r="BA288" s="26"/>
      <c r="BB288" s="26"/>
      <c r="BC288" s="26"/>
      <c r="BD288" s="26"/>
      <c r="BE288" s="26"/>
      <c r="BF288" s="26"/>
      <c r="BG288" s="26"/>
      <c r="BH288" s="26"/>
      <c r="BI288" s="26"/>
      <c r="BJ288" s="26"/>
      <c r="BK288" s="26"/>
    </row>
    <row r="289" ht="14.25" customHeight="1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  <c r="AF289" s="26"/>
      <c r="AG289" s="26"/>
      <c r="AH289" s="26"/>
      <c r="AI289" s="26"/>
      <c r="AJ289" s="26"/>
      <c r="AK289" s="26"/>
      <c r="AL289" s="26"/>
      <c r="AM289" s="26"/>
      <c r="AN289" s="26"/>
      <c r="AO289" s="26"/>
      <c r="AP289" s="26"/>
      <c r="AQ289" s="26"/>
      <c r="AR289" s="26"/>
      <c r="AS289" s="26"/>
      <c r="AT289" s="26"/>
      <c r="AU289" s="26"/>
      <c r="AV289" s="26"/>
      <c r="AW289" s="26"/>
      <c r="AX289" s="26"/>
      <c r="AY289" s="26"/>
      <c r="AZ289" s="26"/>
      <c r="BA289" s="26"/>
      <c r="BB289" s="26"/>
      <c r="BC289" s="26"/>
      <c r="BD289" s="26"/>
      <c r="BE289" s="26"/>
      <c r="BF289" s="26"/>
      <c r="BG289" s="26"/>
      <c r="BH289" s="26"/>
      <c r="BI289" s="26"/>
      <c r="BJ289" s="26"/>
      <c r="BK289" s="26"/>
    </row>
    <row r="290" ht="14.25" customHeight="1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  <c r="AF290" s="26"/>
      <c r="AG290" s="26"/>
      <c r="AH290" s="26"/>
      <c r="AI290" s="26"/>
      <c r="AJ290" s="26"/>
      <c r="AK290" s="26"/>
      <c r="AL290" s="26"/>
      <c r="AM290" s="26"/>
      <c r="AN290" s="26"/>
      <c r="AO290" s="26"/>
      <c r="AP290" s="26"/>
      <c r="AQ290" s="26"/>
      <c r="AR290" s="26"/>
      <c r="AS290" s="26"/>
      <c r="AT290" s="26"/>
      <c r="AU290" s="26"/>
      <c r="AV290" s="26"/>
      <c r="AW290" s="26"/>
      <c r="AX290" s="26"/>
      <c r="AY290" s="26"/>
      <c r="AZ290" s="26"/>
      <c r="BA290" s="26"/>
      <c r="BB290" s="26"/>
      <c r="BC290" s="26"/>
      <c r="BD290" s="26"/>
      <c r="BE290" s="26"/>
      <c r="BF290" s="26"/>
      <c r="BG290" s="26"/>
      <c r="BH290" s="26"/>
      <c r="BI290" s="26"/>
      <c r="BJ290" s="26"/>
      <c r="BK290" s="26"/>
    </row>
    <row r="291" ht="14.25" customHeight="1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  <c r="AF291" s="26"/>
      <c r="AG291" s="26"/>
      <c r="AH291" s="26"/>
      <c r="AI291" s="26"/>
      <c r="AJ291" s="26"/>
      <c r="AK291" s="26"/>
      <c r="AL291" s="26"/>
      <c r="AM291" s="26"/>
      <c r="AN291" s="26"/>
      <c r="AO291" s="26"/>
      <c r="AP291" s="26"/>
      <c r="AQ291" s="26"/>
      <c r="AR291" s="26"/>
      <c r="AS291" s="26"/>
      <c r="AT291" s="26"/>
      <c r="AU291" s="26"/>
      <c r="AV291" s="26"/>
      <c r="AW291" s="26"/>
      <c r="AX291" s="26"/>
      <c r="AY291" s="26"/>
      <c r="AZ291" s="26"/>
      <c r="BA291" s="26"/>
      <c r="BB291" s="26"/>
      <c r="BC291" s="26"/>
      <c r="BD291" s="26"/>
      <c r="BE291" s="26"/>
      <c r="BF291" s="26"/>
      <c r="BG291" s="26"/>
      <c r="BH291" s="26"/>
      <c r="BI291" s="26"/>
      <c r="BJ291" s="26"/>
      <c r="BK291" s="26"/>
    </row>
    <row r="292" ht="14.25" customHeight="1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  <c r="AF292" s="26"/>
      <c r="AG292" s="26"/>
      <c r="AH292" s="26"/>
      <c r="AI292" s="26"/>
      <c r="AJ292" s="26"/>
      <c r="AK292" s="26"/>
      <c r="AL292" s="26"/>
      <c r="AM292" s="26"/>
      <c r="AN292" s="26"/>
      <c r="AO292" s="26"/>
      <c r="AP292" s="26"/>
      <c r="AQ292" s="26"/>
      <c r="AR292" s="26"/>
      <c r="AS292" s="26"/>
      <c r="AT292" s="26"/>
      <c r="AU292" s="26"/>
      <c r="AV292" s="26"/>
      <c r="AW292" s="26"/>
      <c r="AX292" s="26"/>
      <c r="AY292" s="26"/>
      <c r="AZ292" s="26"/>
      <c r="BA292" s="26"/>
      <c r="BB292" s="26"/>
      <c r="BC292" s="26"/>
      <c r="BD292" s="26"/>
      <c r="BE292" s="26"/>
      <c r="BF292" s="26"/>
      <c r="BG292" s="26"/>
      <c r="BH292" s="26"/>
      <c r="BI292" s="26"/>
      <c r="BJ292" s="26"/>
      <c r="BK292" s="26"/>
    </row>
    <row r="293" ht="14.25" customHeight="1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  <c r="AE293" s="26"/>
      <c r="AF293" s="26"/>
      <c r="AG293" s="26"/>
      <c r="AH293" s="26"/>
      <c r="AI293" s="26"/>
      <c r="AJ293" s="26"/>
      <c r="AK293" s="26"/>
      <c r="AL293" s="26"/>
      <c r="AM293" s="26"/>
      <c r="AN293" s="26"/>
      <c r="AO293" s="26"/>
      <c r="AP293" s="26"/>
      <c r="AQ293" s="26"/>
      <c r="AR293" s="26"/>
      <c r="AS293" s="26"/>
      <c r="AT293" s="26"/>
      <c r="AU293" s="26"/>
      <c r="AV293" s="26"/>
      <c r="AW293" s="26"/>
      <c r="AX293" s="26"/>
      <c r="AY293" s="26"/>
      <c r="AZ293" s="26"/>
      <c r="BA293" s="26"/>
      <c r="BB293" s="26"/>
      <c r="BC293" s="26"/>
      <c r="BD293" s="26"/>
      <c r="BE293" s="26"/>
      <c r="BF293" s="26"/>
      <c r="BG293" s="26"/>
      <c r="BH293" s="26"/>
      <c r="BI293" s="26"/>
      <c r="BJ293" s="26"/>
      <c r="BK293" s="26"/>
    </row>
    <row r="294" ht="14.25" customHeight="1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  <c r="AE294" s="26"/>
      <c r="AF294" s="26"/>
      <c r="AG294" s="26"/>
      <c r="AH294" s="26"/>
      <c r="AI294" s="26"/>
      <c r="AJ294" s="26"/>
      <c r="AK294" s="26"/>
      <c r="AL294" s="26"/>
      <c r="AM294" s="26"/>
      <c r="AN294" s="26"/>
      <c r="AO294" s="26"/>
      <c r="AP294" s="26"/>
      <c r="AQ294" s="26"/>
      <c r="AR294" s="26"/>
      <c r="AS294" s="26"/>
      <c r="AT294" s="26"/>
      <c r="AU294" s="26"/>
      <c r="AV294" s="26"/>
      <c r="AW294" s="26"/>
      <c r="AX294" s="26"/>
      <c r="AY294" s="26"/>
      <c r="AZ294" s="26"/>
      <c r="BA294" s="26"/>
      <c r="BB294" s="26"/>
      <c r="BC294" s="26"/>
      <c r="BD294" s="26"/>
      <c r="BE294" s="26"/>
      <c r="BF294" s="26"/>
      <c r="BG294" s="26"/>
      <c r="BH294" s="26"/>
      <c r="BI294" s="26"/>
      <c r="BJ294" s="26"/>
      <c r="BK294" s="26"/>
    </row>
    <row r="295" ht="14.25" customHeight="1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  <c r="AE295" s="26"/>
      <c r="AF295" s="26"/>
      <c r="AG295" s="26"/>
      <c r="AH295" s="26"/>
      <c r="AI295" s="26"/>
      <c r="AJ295" s="26"/>
      <c r="AK295" s="26"/>
      <c r="AL295" s="26"/>
      <c r="AM295" s="26"/>
      <c r="AN295" s="26"/>
      <c r="AO295" s="26"/>
      <c r="AP295" s="26"/>
      <c r="AQ295" s="26"/>
      <c r="AR295" s="26"/>
      <c r="AS295" s="26"/>
      <c r="AT295" s="26"/>
      <c r="AU295" s="26"/>
      <c r="AV295" s="26"/>
      <c r="AW295" s="26"/>
      <c r="AX295" s="26"/>
      <c r="AY295" s="26"/>
      <c r="AZ295" s="26"/>
      <c r="BA295" s="26"/>
      <c r="BB295" s="26"/>
      <c r="BC295" s="26"/>
      <c r="BD295" s="26"/>
      <c r="BE295" s="26"/>
      <c r="BF295" s="26"/>
      <c r="BG295" s="26"/>
      <c r="BH295" s="26"/>
      <c r="BI295" s="26"/>
      <c r="BJ295" s="26"/>
      <c r="BK295" s="26"/>
    </row>
    <row r="296" ht="14.25" customHeight="1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  <c r="AE296" s="26"/>
      <c r="AF296" s="26"/>
      <c r="AG296" s="26"/>
      <c r="AH296" s="26"/>
      <c r="AI296" s="26"/>
      <c r="AJ296" s="26"/>
      <c r="AK296" s="26"/>
      <c r="AL296" s="26"/>
      <c r="AM296" s="26"/>
      <c r="AN296" s="26"/>
      <c r="AO296" s="26"/>
      <c r="AP296" s="26"/>
      <c r="AQ296" s="26"/>
      <c r="AR296" s="26"/>
      <c r="AS296" s="26"/>
      <c r="AT296" s="26"/>
      <c r="AU296" s="26"/>
      <c r="AV296" s="26"/>
      <c r="AW296" s="26"/>
      <c r="AX296" s="26"/>
      <c r="AY296" s="26"/>
      <c r="AZ296" s="26"/>
      <c r="BA296" s="26"/>
      <c r="BB296" s="26"/>
      <c r="BC296" s="26"/>
      <c r="BD296" s="26"/>
      <c r="BE296" s="26"/>
      <c r="BF296" s="26"/>
      <c r="BG296" s="26"/>
      <c r="BH296" s="26"/>
      <c r="BI296" s="26"/>
      <c r="BJ296" s="26"/>
      <c r="BK296" s="26"/>
    </row>
    <row r="297" ht="14.25" customHeight="1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  <c r="AE297" s="26"/>
      <c r="AF297" s="26"/>
      <c r="AG297" s="26"/>
      <c r="AH297" s="26"/>
      <c r="AI297" s="26"/>
      <c r="AJ297" s="26"/>
      <c r="AK297" s="26"/>
      <c r="AL297" s="26"/>
      <c r="AM297" s="26"/>
      <c r="AN297" s="26"/>
      <c r="AO297" s="26"/>
      <c r="AP297" s="26"/>
      <c r="AQ297" s="26"/>
      <c r="AR297" s="26"/>
      <c r="AS297" s="26"/>
      <c r="AT297" s="26"/>
      <c r="AU297" s="26"/>
      <c r="AV297" s="26"/>
      <c r="AW297" s="26"/>
      <c r="AX297" s="26"/>
      <c r="AY297" s="26"/>
      <c r="AZ297" s="26"/>
      <c r="BA297" s="26"/>
      <c r="BB297" s="26"/>
      <c r="BC297" s="26"/>
      <c r="BD297" s="26"/>
      <c r="BE297" s="26"/>
      <c r="BF297" s="26"/>
      <c r="BG297" s="26"/>
      <c r="BH297" s="26"/>
      <c r="BI297" s="26"/>
      <c r="BJ297" s="26"/>
      <c r="BK297" s="26"/>
    </row>
    <row r="298" ht="14.25" customHeight="1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  <c r="AE298" s="26"/>
      <c r="AF298" s="26"/>
      <c r="AG298" s="26"/>
      <c r="AH298" s="26"/>
      <c r="AI298" s="26"/>
      <c r="AJ298" s="26"/>
      <c r="AK298" s="26"/>
      <c r="AL298" s="26"/>
      <c r="AM298" s="26"/>
      <c r="AN298" s="26"/>
      <c r="AO298" s="26"/>
      <c r="AP298" s="26"/>
      <c r="AQ298" s="26"/>
      <c r="AR298" s="26"/>
      <c r="AS298" s="26"/>
      <c r="AT298" s="26"/>
      <c r="AU298" s="26"/>
      <c r="AV298" s="26"/>
      <c r="AW298" s="26"/>
      <c r="AX298" s="26"/>
      <c r="AY298" s="26"/>
      <c r="AZ298" s="26"/>
      <c r="BA298" s="26"/>
      <c r="BB298" s="26"/>
      <c r="BC298" s="26"/>
      <c r="BD298" s="26"/>
      <c r="BE298" s="26"/>
      <c r="BF298" s="26"/>
      <c r="BG298" s="26"/>
      <c r="BH298" s="26"/>
      <c r="BI298" s="26"/>
      <c r="BJ298" s="26"/>
      <c r="BK298" s="26"/>
    </row>
    <row r="299" ht="14.25" customHeight="1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  <c r="AE299" s="26"/>
      <c r="AF299" s="26"/>
      <c r="AG299" s="26"/>
      <c r="AH299" s="26"/>
      <c r="AI299" s="26"/>
      <c r="AJ299" s="26"/>
      <c r="AK299" s="26"/>
      <c r="AL299" s="26"/>
      <c r="AM299" s="26"/>
      <c r="AN299" s="26"/>
      <c r="AO299" s="26"/>
      <c r="AP299" s="26"/>
      <c r="AQ299" s="26"/>
      <c r="AR299" s="26"/>
      <c r="AS299" s="26"/>
      <c r="AT299" s="26"/>
      <c r="AU299" s="26"/>
      <c r="AV299" s="26"/>
      <c r="AW299" s="26"/>
      <c r="AX299" s="26"/>
      <c r="AY299" s="26"/>
      <c r="AZ299" s="26"/>
      <c r="BA299" s="26"/>
      <c r="BB299" s="26"/>
      <c r="BC299" s="26"/>
      <c r="BD299" s="26"/>
      <c r="BE299" s="26"/>
      <c r="BF299" s="26"/>
      <c r="BG299" s="26"/>
      <c r="BH299" s="26"/>
      <c r="BI299" s="26"/>
      <c r="BJ299" s="26"/>
      <c r="BK299" s="26"/>
    </row>
    <row r="300" ht="14.25" customHeight="1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  <c r="AF300" s="26"/>
      <c r="AG300" s="26"/>
      <c r="AH300" s="26"/>
      <c r="AI300" s="26"/>
      <c r="AJ300" s="26"/>
      <c r="AK300" s="26"/>
      <c r="AL300" s="26"/>
      <c r="AM300" s="26"/>
      <c r="AN300" s="26"/>
      <c r="AO300" s="26"/>
      <c r="AP300" s="26"/>
      <c r="AQ300" s="26"/>
      <c r="AR300" s="26"/>
      <c r="AS300" s="26"/>
      <c r="AT300" s="26"/>
      <c r="AU300" s="26"/>
      <c r="AV300" s="26"/>
      <c r="AW300" s="26"/>
      <c r="AX300" s="26"/>
      <c r="AY300" s="26"/>
      <c r="AZ300" s="26"/>
      <c r="BA300" s="26"/>
      <c r="BB300" s="26"/>
      <c r="BC300" s="26"/>
      <c r="BD300" s="26"/>
      <c r="BE300" s="26"/>
      <c r="BF300" s="26"/>
      <c r="BG300" s="26"/>
      <c r="BH300" s="26"/>
      <c r="BI300" s="26"/>
      <c r="BJ300" s="26"/>
      <c r="BK300" s="26"/>
    </row>
    <row r="301" ht="14.25" customHeight="1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  <c r="AE301" s="26"/>
      <c r="AF301" s="26"/>
      <c r="AG301" s="26"/>
      <c r="AH301" s="26"/>
      <c r="AI301" s="26"/>
      <c r="AJ301" s="26"/>
      <c r="AK301" s="26"/>
      <c r="AL301" s="26"/>
      <c r="AM301" s="26"/>
      <c r="AN301" s="26"/>
      <c r="AO301" s="26"/>
      <c r="AP301" s="26"/>
      <c r="AQ301" s="26"/>
      <c r="AR301" s="26"/>
      <c r="AS301" s="26"/>
      <c r="AT301" s="26"/>
      <c r="AU301" s="26"/>
      <c r="AV301" s="26"/>
      <c r="AW301" s="26"/>
      <c r="AX301" s="26"/>
      <c r="AY301" s="26"/>
      <c r="AZ301" s="26"/>
      <c r="BA301" s="26"/>
      <c r="BB301" s="26"/>
      <c r="BC301" s="26"/>
      <c r="BD301" s="26"/>
      <c r="BE301" s="26"/>
      <c r="BF301" s="26"/>
      <c r="BG301" s="26"/>
      <c r="BH301" s="26"/>
      <c r="BI301" s="26"/>
      <c r="BJ301" s="26"/>
      <c r="BK301" s="26"/>
    </row>
    <row r="302" ht="14.25" customHeight="1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  <c r="AF302" s="26"/>
      <c r="AG302" s="26"/>
      <c r="AH302" s="26"/>
      <c r="AI302" s="26"/>
      <c r="AJ302" s="26"/>
      <c r="AK302" s="26"/>
      <c r="AL302" s="26"/>
      <c r="AM302" s="26"/>
      <c r="AN302" s="26"/>
      <c r="AO302" s="26"/>
      <c r="AP302" s="26"/>
      <c r="AQ302" s="26"/>
      <c r="AR302" s="26"/>
      <c r="AS302" s="26"/>
      <c r="AT302" s="26"/>
      <c r="AU302" s="26"/>
      <c r="AV302" s="26"/>
      <c r="AW302" s="26"/>
      <c r="AX302" s="26"/>
      <c r="AY302" s="26"/>
      <c r="AZ302" s="26"/>
      <c r="BA302" s="26"/>
      <c r="BB302" s="26"/>
      <c r="BC302" s="26"/>
      <c r="BD302" s="26"/>
      <c r="BE302" s="26"/>
      <c r="BF302" s="26"/>
      <c r="BG302" s="26"/>
      <c r="BH302" s="26"/>
      <c r="BI302" s="26"/>
      <c r="BJ302" s="26"/>
      <c r="BK302" s="26"/>
    </row>
    <row r="303" ht="14.25" customHeight="1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  <c r="AF303" s="26"/>
      <c r="AG303" s="26"/>
      <c r="AH303" s="26"/>
      <c r="AI303" s="26"/>
      <c r="AJ303" s="26"/>
      <c r="AK303" s="26"/>
      <c r="AL303" s="26"/>
      <c r="AM303" s="26"/>
      <c r="AN303" s="26"/>
      <c r="AO303" s="26"/>
      <c r="AP303" s="26"/>
      <c r="AQ303" s="26"/>
      <c r="AR303" s="26"/>
      <c r="AS303" s="26"/>
      <c r="AT303" s="26"/>
      <c r="AU303" s="26"/>
      <c r="AV303" s="26"/>
      <c r="AW303" s="26"/>
      <c r="AX303" s="26"/>
      <c r="AY303" s="26"/>
      <c r="AZ303" s="26"/>
      <c r="BA303" s="26"/>
      <c r="BB303" s="26"/>
      <c r="BC303" s="26"/>
      <c r="BD303" s="26"/>
      <c r="BE303" s="26"/>
      <c r="BF303" s="26"/>
      <c r="BG303" s="26"/>
      <c r="BH303" s="26"/>
      <c r="BI303" s="26"/>
      <c r="BJ303" s="26"/>
      <c r="BK303" s="26"/>
    </row>
    <row r="304" ht="14.25" customHeight="1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  <c r="AG304" s="26"/>
      <c r="AH304" s="26"/>
      <c r="AI304" s="26"/>
      <c r="AJ304" s="26"/>
      <c r="AK304" s="26"/>
      <c r="AL304" s="26"/>
      <c r="AM304" s="26"/>
      <c r="AN304" s="26"/>
      <c r="AO304" s="26"/>
      <c r="AP304" s="26"/>
      <c r="AQ304" s="26"/>
      <c r="AR304" s="26"/>
      <c r="AS304" s="26"/>
      <c r="AT304" s="26"/>
      <c r="AU304" s="26"/>
      <c r="AV304" s="26"/>
      <c r="AW304" s="26"/>
      <c r="AX304" s="26"/>
      <c r="AY304" s="26"/>
      <c r="AZ304" s="26"/>
      <c r="BA304" s="26"/>
      <c r="BB304" s="26"/>
      <c r="BC304" s="26"/>
      <c r="BD304" s="26"/>
      <c r="BE304" s="26"/>
      <c r="BF304" s="26"/>
      <c r="BG304" s="26"/>
      <c r="BH304" s="26"/>
      <c r="BI304" s="26"/>
      <c r="BJ304" s="26"/>
      <c r="BK304" s="26"/>
    </row>
    <row r="305" ht="14.25" customHeight="1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  <c r="AF305" s="26"/>
      <c r="AG305" s="26"/>
      <c r="AH305" s="26"/>
      <c r="AI305" s="26"/>
      <c r="AJ305" s="26"/>
      <c r="AK305" s="26"/>
      <c r="AL305" s="26"/>
      <c r="AM305" s="26"/>
      <c r="AN305" s="26"/>
      <c r="AO305" s="26"/>
      <c r="AP305" s="26"/>
      <c r="AQ305" s="26"/>
      <c r="AR305" s="26"/>
      <c r="AS305" s="26"/>
      <c r="AT305" s="26"/>
      <c r="AU305" s="26"/>
      <c r="AV305" s="26"/>
      <c r="AW305" s="26"/>
      <c r="AX305" s="26"/>
      <c r="AY305" s="26"/>
      <c r="AZ305" s="26"/>
      <c r="BA305" s="26"/>
      <c r="BB305" s="26"/>
      <c r="BC305" s="26"/>
      <c r="BD305" s="26"/>
      <c r="BE305" s="26"/>
      <c r="BF305" s="26"/>
      <c r="BG305" s="26"/>
      <c r="BH305" s="26"/>
      <c r="BI305" s="26"/>
      <c r="BJ305" s="26"/>
      <c r="BK305" s="26"/>
    </row>
    <row r="306" ht="14.25" customHeight="1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  <c r="AF306" s="26"/>
      <c r="AG306" s="26"/>
      <c r="AH306" s="26"/>
      <c r="AI306" s="26"/>
      <c r="AJ306" s="26"/>
      <c r="AK306" s="26"/>
      <c r="AL306" s="26"/>
      <c r="AM306" s="26"/>
      <c r="AN306" s="26"/>
      <c r="AO306" s="26"/>
      <c r="AP306" s="26"/>
      <c r="AQ306" s="26"/>
      <c r="AR306" s="26"/>
      <c r="AS306" s="26"/>
      <c r="AT306" s="26"/>
      <c r="AU306" s="26"/>
      <c r="AV306" s="26"/>
      <c r="AW306" s="26"/>
      <c r="AX306" s="26"/>
      <c r="AY306" s="26"/>
      <c r="AZ306" s="26"/>
      <c r="BA306" s="26"/>
      <c r="BB306" s="26"/>
      <c r="BC306" s="26"/>
      <c r="BD306" s="26"/>
      <c r="BE306" s="26"/>
      <c r="BF306" s="26"/>
      <c r="BG306" s="26"/>
      <c r="BH306" s="26"/>
      <c r="BI306" s="26"/>
      <c r="BJ306" s="26"/>
      <c r="BK306" s="26"/>
    </row>
    <row r="307" ht="14.25" customHeight="1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  <c r="AE307" s="26"/>
      <c r="AF307" s="26"/>
      <c r="AG307" s="26"/>
      <c r="AH307" s="26"/>
      <c r="AI307" s="26"/>
      <c r="AJ307" s="26"/>
      <c r="AK307" s="26"/>
      <c r="AL307" s="26"/>
      <c r="AM307" s="26"/>
      <c r="AN307" s="26"/>
      <c r="AO307" s="26"/>
      <c r="AP307" s="26"/>
      <c r="AQ307" s="26"/>
      <c r="AR307" s="26"/>
      <c r="AS307" s="26"/>
      <c r="AT307" s="26"/>
      <c r="AU307" s="26"/>
      <c r="AV307" s="26"/>
      <c r="AW307" s="26"/>
      <c r="AX307" s="26"/>
      <c r="AY307" s="26"/>
      <c r="AZ307" s="26"/>
      <c r="BA307" s="26"/>
      <c r="BB307" s="26"/>
      <c r="BC307" s="26"/>
      <c r="BD307" s="26"/>
      <c r="BE307" s="26"/>
      <c r="BF307" s="26"/>
      <c r="BG307" s="26"/>
      <c r="BH307" s="26"/>
      <c r="BI307" s="26"/>
      <c r="BJ307" s="26"/>
      <c r="BK307" s="26"/>
    </row>
    <row r="308" ht="14.25" customHeight="1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  <c r="AE308" s="26"/>
      <c r="AF308" s="26"/>
      <c r="AG308" s="26"/>
      <c r="AH308" s="26"/>
      <c r="AI308" s="26"/>
      <c r="AJ308" s="26"/>
      <c r="AK308" s="26"/>
      <c r="AL308" s="26"/>
      <c r="AM308" s="26"/>
      <c r="AN308" s="26"/>
      <c r="AO308" s="26"/>
      <c r="AP308" s="26"/>
      <c r="AQ308" s="26"/>
      <c r="AR308" s="26"/>
      <c r="AS308" s="26"/>
      <c r="AT308" s="26"/>
      <c r="AU308" s="26"/>
      <c r="AV308" s="26"/>
      <c r="AW308" s="26"/>
      <c r="AX308" s="26"/>
      <c r="AY308" s="26"/>
      <c r="AZ308" s="26"/>
      <c r="BA308" s="26"/>
      <c r="BB308" s="26"/>
      <c r="BC308" s="26"/>
      <c r="BD308" s="26"/>
      <c r="BE308" s="26"/>
      <c r="BF308" s="26"/>
      <c r="BG308" s="26"/>
      <c r="BH308" s="26"/>
      <c r="BI308" s="26"/>
      <c r="BJ308" s="26"/>
      <c r="BK308" s="26"/>
    </row>
    <row r="309" ht="14.25" customHeight="1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  <c r="AE309" s="26"/>
      <c r="AF309" s="26"/>
      <c r="AG309" s="26"/>
      <c r="AH309" s="26"/>
      <c r="AI309" s="26"/>
      <c r="AJ309" s="26"/>
      <c r="AK309" s="26"/>
      <c r="AL309" s="26"/>
      <c r="AM309" s="26"/>
      <c r="AN309" s="26"/>
      <c r="AO309" s="26"/>
      <c r="AP309" s="26"/>
      <c r="AQ309" s="26"/>
      <c r="AR309" s="26"/>
      <c r="AS309" s="26"/>
      <c r="AT309" s="26"/>
      <c r="AU309" s="26"/>
      <c r="AV309" s="26"/>
      <c r="AW309" s="26"/>
      <c r="AX309" s="26"/>
      <c r="AY309" s="26"/>
      <c r="AZ309" s="26"/>
      <c r="BA309" s="26"/>
      <c r="BB309" s="26"/>
      <c r="BC309" s="26"/>
      <c r="BD309" s="26"/>
      <c r="BE309" s="26"/>
      <c r="BF309" s="26"/>
      <c r="BG309" s="26"/>
      <c r="BH309" s="26"/>
      <c r="BI309" s="26"/>
      <c r="BJ309" s="26"/>
      <c r="BK309" s="26"/>
    </row>
    <row r="310" ht="14.25" customHeight="1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  <c r="AE310" s="26"/>
      <c r="AF310" s="26"/>
      <c r="AG310" s="26"/>
      <c r="AH310" s="26"/>
      <c r="AI310" s="26"/>
      <c r="AJ310" s="26"/>
      <c r="AK310" s="26"/>
      <c r="AL310" s="26"/>
      <c r="AM310" s="26"/>
      <c r="AN310" s="26"/>
      <c r="AO310" s="26"/>
      <c r="AP310" s="26"/>
      <c r="AQ310" s="26"/>
      <c r="AR310" s="26"/>
      <c r="AS310" s="26"/>
      <c r="AT310" s="26"/>
      <c r="AU310" s="26"/>
      <c r="AV310" s="26"/>
      <c r="AW310" s="26"/>
      <c r="AX310" s="26"/>
      <c r="AY310" s="26"/>
      <c r="AZ310" s="26"/>
      <c r="BA310" s="26"/>
      <c r="BB310" s="26"/>
      <c r="BC310" s="26"/>
      <c r="BD310" s="26"/>
      <c r="BE310" s="26"/>
      <c r="BF310" s="26"/>
      <c r="BG310" s="26"/>
      <c r="BH310" s="26"/>
      <c r="BI310" s="26"/>
      <c r="BJ310" s="26"/>
      <c r="BK310" s="26"/>
    </row>
    <row r="311" ht="14.25" customHeight="1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  <c r="AE311" s="26"/>
      <c r="AF311" s="26"/>
      <c r="AG311" s="26"/>
      <c r="AH311" s="26"/>
      <c r="AI311" s="26"/>
      <c r="AJ311" s="26"/>
      <c r="AK311" s="26"/>
      <c r="AL311" s="26"/>
      <c r="AM311" s="26"/>
      <c r="AN311" s="26"/>
      <c r="AO311" s="26"/>
      <c r="AP311" s="26"/>
      <c r="AQ311" s="26"/>
      <c r="AR311" s="26"/>
      <c r="AS311" s="26"/>
      <c r="AT311" s="26"/>
      <c r="AU311" s="26"/>
      <c r="AV311" s="26"/>
      <c r="AW311" s="26"/>
      <c r="AX311" s="26"/>
      <c r="AY311" s="26"/>
      <c r="AZ311" s="26"/>
      <c r="BA311" s="26"/>
      <c r="BB311" s="26"/>
      <c r="BC311" s="26"/>
      <c r="BD311" s="26"/>
      <c r="BE311" s="26"/>
      <c r="BF311" s="26"/>
      <c r="BG311" s="26"/>
      <c r="BH311" s="26"/>
      <c r="BI311" s="26"/>
      <c r="BJ311" s="26"/>
      <c r="BK311" s="26"/>
    </row>
    <row r="312" ht="14.25" customHeight="1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26"/>
      <c r="AF312" s="26"/>
      <c r="AG312" s="26"/>
      <c r="AH312" s="26"/>
      <c r="AI312" s="26"/>
      <c r="AJ312" s="26"/>
      <c r="AK312" s="26"/>
      <c r="AL312" s="26"/>
      <c r="AM312" s="26"/>
      <c r="AN312" s="26"/>
      <c r="AO312" s="26"/>
      <c r="AP312" s="26"/>
      <c r="AQ312" s="26"/>
      <c r="AR312" s="26"/>
      <c r="AS312" s="26"/>
      <c r="AT312" s="26"/>
      <c r="AU312" s="26"/>
      <c r="AV312" s="26"/>
      <c r="AW312" s="26"/>
      <c r="AX312" s="26"/>
      <c r="AY312" s="26"/>
      <c r="AZ312" s="26"/>
      <c r="BA312" s="26"/>
      <c r="BB312" s="26"/>
      <c r="BC312" s="26"/>
      <c r="BD312" s="26"/>
      <c r="BE312" s="26"/>
      <c r="BF312" s="26"/>
      <c r="BG312" s="26"/>
      <c r="BH312" s="26"/>
      <c r="BI312" s="26"/>
      <c r="BJ312" s="26"/>
      <c r="BK312" s="26"/>
    </row>
    <row r="313" ht="14.25" customHeight="1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  <c r="AE313" s="26"/>
      <c r="AF313" s="26"/>
      <c r="AG313" s="26"/>
      <c r="AH313" s="26"/>
      <c r="AI313" s="26"/>
      <c r="AJ313" s="26"/>
      <c r="AK313" s="26"/>
      <c r="AL313" s="26"/>
      <c r="AM313" s="26"/>
      <c r="AN313" s="26"/>
      <c r="AO313" s="26"/>
      <c r="AP313" s="26"/>
      <c r="AQ313" s="26"/>
      <c r="AR313" s="26"/>
      <c r="AS313" s="26"/>
      <c r="AT313" s="26"/>
      <c r="AU313" s="26"/>
      <c r="AV313" s="26"/>
      <c r="AW313" s="26"/>
      <c r="AX313" s="26"/>
      <c r="AY313" s="26"/>
      <c r="AZ313" s="26"/>
      <c r="BA313" s="26"/>
      <c r="BB313" s="26"/>
      <c r="BC313" s="26"/>
      <c r="BD313" s="26"/>
      <c r="BE313" s="26"/>
      <c r="BF313" s="26"/>
      <c r="BG313" s="26"/>
      <c r="BH313" s="26"/>
      <c r="BI313" s="26"/>
      <c r="BJ313" s="26"/>
      <c r="BK313" s="26"/>
    </row>
    <row r="314" ht="14.25" customHeight="1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  <c r="AF314" s="26"/>
      <c r="AG314" s="26"/>
      <c r="AH314" s="26"/>
      <c r="AI314" s="26"/>
      <c r="AJ314" s="26"/>
      <c r="AK314" s="26"/>
      <c r="AL314" s="26"/>
      <c r="AM314" s="26"/>
      <c r="AN314" s="26"/>
      <c r="AO314" s="26"/>
      <c r="AP314" s="26"/>
      <c r="AQ314" s="26"/>
      <c r="AR314" s="26"/>
      <c r="AS314" s="26"/>
      <c r="AT314" s="26"/>
      <c r="AU314" s="26"/>
      <c r="AV314" s="26"/>
      <c r="AW314" s="26"/>
      <c r="AX314" s="26"/>
      <c r="AY314" s="26"/>
      <c r="AZ314" s="26"/>
      <c r="BA314" s="26"/>
      <c r="BB314" s="26"/>
      <c r="BC314" s="26"/>
      <c r="BD314" s="26"/>
      <c r="BE314" s="26"/>
      <c r="BF314" s="26"/>
      <c r="BG314" s="26"/>
      <c r="BH314" s="26"/>
      <c r="BI314" s="26"/>
      <c r="BJ314" s="26"/>
      <c r="BK314" s="26"/>
    </row>
    <row r="315" ht="14.25" customHeight="1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  <c r="AF315" s="26"/>
      <c r="AG315" s="26"/>
      <c r="AH315" s="26"/>
      <c r="AI315" s="26"/>
      <c r="AJ315" s="26"/>
      <c r="AK315" s="26"/>
      <c r="AL315" s="26"/>
      <c r="AM315" s="26"/>
      <c r="AN315" s="26"/>
      <c r="AO315" s="26"/>
      <c r="AP315" s="26"/>
      <c r="AQ315" s="26"/>
      <c r="AR315" s="26"/>
      <c r="AS315" s="26"/>
      <c r="AT315" s="26"/>
      <c r="AU315" s="26"/>
      <c r="AV315" s="26"/>
      <c r="AW315" s="26"/>
      <c r="AX315" s="26"/>
      <c r="AY315" s="26"/>
      <c r="AZ315" s="26"/>
      <c r="BA315" s="26"/>
      <c r="BB315" s="26"/>
      <c r="BC315" s="26"/>
      <c r="BD315" s="26"/>
      <c r="BE315" s="26"/>
      <c r="BF315" s="26"/>
      <c r="BG315" s="26"/>
      <c r="BH315" s="26"/>
      <c r="BI315" s="26"/>
      <c r="BJ315" s="26"/>
      <c r="BK315" s="26"/>
    </row>
    <row r="316" ht="14.25" customHeight="1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  <c r="AE316" s="26"/>
      <c r="AF316" s="26"/>
      <c r="AG316" s="26"/>
      <c r="AH316" s="26"/>
      <c r="AI316" s="26"/>
      <c r="AJ316" s="26"/>
      <c r="AK316" s="26"/>
      <c r="AL316" s="26"/>
      <c r="AM316" s="26"/>
      <c r="AN316" s="26"/>
      <c r="AO316" s="26"/>
      <c r="AP316" s="26"/>
      <c r="AQ316" s="26"/>
      <c r="AR316" s="26"/>
      <c r="AS316" s="26"/>
      <c r="AT316" s="26"/>
      <c r="AU316" s="26"/>
      <c r="AV316" s="26"/>
      <c r="AW316" s="26"/>
      <c r="AX316" s="26"/>
      <c r="AY316" s="26"/>
      <c r="AZ316" s="26"/>
      <c r="BA316" s="26"/>
      <c r="BB316" s="26"/>
      <c r="BC316" s="26"/>
      <c r="BD316" s="26"/>
      <c r="BE316" s="26"/>
      <c r="BF316" s="26"/>
      <c r="BG316" s="26"/>
      <c r="BH316" s="26"/>
      <c r="BI316" s="26"/>
      <c r="BJ316" s="26"/>
      <c r="BK316" s="26"/>
    </row>
    <row r="317" ht="14.25" customHeight="1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  <c r="AE317" s="26"/>
      <c r="AF317" s="26"/>
      <c r="AG317" s="26"/>
      <c r="AH317" s="26"/>
      <c r="AI317" s="26"/>
      <c r="AJ317" s="26"/>
      <c r="AK317" s="26"/>
      <c r="AL317" s="26"/>
      <c r="AM317" s="26"/>
      <c r="AN317" s="26"/>
      <c r="AO317" s="26"/>
      <c r="AP317" s="26"/>
      <c r="AQ317" s="26"/>
      <c r="AR317" s="26"/>
      <c r="AS317" s="26"/>
      <c r="AT317" s="26"/>
      <c r="AU317" s="26"/>
      <c r="AV317" s="26"/>
      <c r="AW317" s="26"/>
      <c r="AX317" s="26"/>
      <c r="AY317" s="26"/>
      <c r="AZ317" s="26"/>
      <c r="BA317" s="26"/>
      <c r="BB317" s="26"/>
      <c r="BC317" s="26"/>
      <c r="BD317" s="26"/>
      <c r="BE317" s="26"/>
      <c r="BF317" s="26"/>
      <c r="BG317" s="26"/>
      <c r="BH317" s="26"/>
      <c r="BI317" s="26"/>
      <c r="BJ317" s="26"/>
      <c r="BK317" s="26"/>
    </row>
    <row r="318" ht="14.25" customHeight="1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  <c r="AF318" s="26"/>
      <c r="AG318" s="26"/>
      <c r="AH318" s="26"/>
      <c r="AI318" s="26"/>
      <c r="AJ318" s="26"/>
      <c r="AK318" s="26"/>
      <c r="AL318" s="26"/>
      <c r="AM318" s="26"/>
      <c r="AN318" s="26"/>
      <c r="AO318" s="26"/>
      <c r="AP318" s="26"/>
      <c r="AQ318" s="26"/>
      <c r="AR318" s="26"/>
      <c r="AS318" s="26"/>
      <c r="AT318" s="26"/>
      <c r="AU318" s="26"/>
      <c r="AV318" s="26"/>
      <c r="AW318" s="26"/>
      <c r="AX318" s="26"/>
      <c r="AY318" s="26"/>
      <c r="AZ318" s="26"/>
      <c r="BA318" s="26"/>
      <c r="BB318" s="26"/>
      <c r="BC318" s="26"/>
      <c r="BD318" s="26"/>
      <c r="BE318" s="26"/>
      <c r="BF318" s="26"/>
      <c r="BG318" s="26"/>
      <c r="BH318" s="26"/>
      <c r="BI318" s="26"/>
      <c r="BJ318" s="26"/>
      <c r="BK318" s="26"/>
    </row>
    <row r="319" ht="14.25" customHeight="1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  <c r="AE319" s="26"/>
      <c r="AF319" s="26"/>
      <c r="AG319" s="26"/>
      <c r="AH319" s="26"/>
      <c r="AI319" s="26"/>
      <c r="AJ319" s="26"/>
      <c r="AK319" s="26"/>
      <c r="AL319" s="26"/>
      <c r="AM319" s="26"/>
      <c r="AN319" s="26"/>
      <c r="AO319" s="26"/>
      <c r="AP319" s="26"/>
      <c r="AQ319" s="26"/>
      <c r="AR319" s="26"/>
      <c r="AS319" s="26"/>
      <c r="AT319" s="26"/>
      <c r="AU319" s="26"/>
      <c r="AV319" s="26"/>
      <c r="AW319" s="26"/>
      <c r="AX319" s="26"/>
      <c r="AY319" s="26"/>
      <c r="AZ319" s="26"/>
      <c r="BA319" s="26"/>
      <c r="BB319" s="26"/>
      <c r="BC319" s="26"/>
      <c r="BD319" s="26"/>
      <c r="BE319" s="26"/>
      <c r="BF319" s="26"/>
      <c r="BG319" s="26"/>
      <c r="BH319" s="26"/>
      <c r="BI319" s="26"/>
      <c r="BJ319" s="26"/>
      <c r="BK319" s="26"/>
    </row>
    <row r="320" ht="14.25" customHeight="1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  <c r="AF320" s="26"/>
      <c r="AG320" s="26"/>
      <c r="AH320" s="26"/>
      <c r="AI320" s="26"/>
      <c r="AJ320" s="26"/>
      <c r="AK320" s="26"/>
      <c r="AL320" s="26"/>
      <c r="AM320" s="26"/>
      <c r="AN320" s="26"/>
      <c r="AO320" s="26"/>
      <c r="AP320" s="26"/>
      <c r="AQ320" s="26"/>
      <c r="AR320" s="26"/>
      <c r="AS320" s="26"/>
      <c r="AT320" s="26"/>
      <c r="AU320" s="26"/>
      <c r="AV320" s="26"/>
      <c r="AW320" s="26"/>
      <c r="AX320" s="26"/>
      <c r="AY320" s="26"/>
      <c r="AZ320" s="26"/>
      <c r="BA320" s="26"/>
      <c r="BB320" s="26"/>
      <c r="BC320" s="26"/>
      <c r="BD320" s="26"/>
      <c r="BE320" s="26"/>
      <c r="BF320" s="26"/>
      <c r="BG320" s="26"/>
      <c r="BH320" s="26"/>
      <c r="BI320" s="26"/>
      <c r="BJ320" s="26"/>
      <c r="BK320" s="26"/>
    </row>
    <row r="321" ht="14.25" customHeight="1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  <c r="AE321" s="26"/>
      <c r="AF321" s="26"/>
      <c r="AG321" s="26"/>
      <c r="AH321" s="26"/>
      <c r="AI321" s="26"/>
      <c r="AJ321" s="26"/>
      <c r="AK321" s="26"/>
      <c r="AL321" s="26"/>
      <c r="AM321" s="26"/>
      <c r="AN321" s="26"/>
      <c r="AO321" s="26"/>
      <c r="AP321" s="26"/>
      <c r="AQ321" s="26"/>
      <c r="AR321" s="26"/>
      <c r="AS321" s="26"/>
      <c r="AT321" s="26"/>
      <c r="AU321" s="26"/>
      <c r="AV321" s="26"/>
      <c r="AW321" s="26"/>
      <c r="AX321" s="26"/>
      <c r="AY321" s="26"/>
      <c r="AZ321" s="26"/>
      <c r="BA321" s="26"/>
      <c r="BB321" s="26"/>
      <c r="BC321" s="26"/>
      <c r="BD321" s="26"/>
      <c r="BE321" s="26"/>
      <c r="BF321" s="26"/>
      <c r="BG321" s="26"/>
      <c r="BH321" s="26"/>
      <c r="BI321" s="26"/>
      <c r="BJ321" s="26"/>
      <c r="BK321" s="26"/>
    </row>
    <row r="322" ht="14.25" customHeight="1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  <c r="AE322" s="26"/>
      <c r="AF322" s="26"/>
      <c r="AG322" s="26"/>
      <c r="AH322" s="26"/>
      <c r="AI322" s="26"/>
      <c r="AJ322" s="26"/>
      <c r="AK322" s="26"/>
      <c r="AL322" s="26"/>
      <c r="AM322" s="26"/>
      <c r="AN322" s="26"/>
      <c r="AO322" s="26"/>
      <c r="AP322" s="26"/>
      <c r="AQ322" s="26"/>
      <c r="AR322" s="26"/>
      <c r="AS322" s="26"/>
      <c r="AT322" s="26"/>
      <c r="AU322" s="26"/>
      <c r="AV322" s="26"/>
      <c r="AW322" s="26"/>
      <c r="AX322" s="26"/>
      <c r="AY322" s="26"/>
      <c r="AZ322" s="26"/>
      <c r="BA322" s="26"/>
      <c r="BB322" s="26"/>
      <c r="BC322" s="26"/>
      <c r="BD322" s="26"/>
      <c r="BE322" s="26"/>
      <c r="BF322" s="26"/>
      <c r="BG322" s="26"/>
      <c r="BH322" s="26"/>
      <c r="BI322" s="26"/>
      <c r="BJ322" s="26"/>
      <c r="BK322" s="26"/>
    </row>
    <row r="323" ht="14.25" customHeight="1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  <c r="AE323" s="26"/>
      <c r="AF323" s="26"/>
      <c r="AG323" s="26"/>
      <c r="AH323" s="26"/>
      <c r="AI323" s="26"/>
      <c r="AJ323" s="26"/>
      <c r="AK323" s="26"/>
      <c r="AL323" s="26"/>
      <c r="AM323" s="26"/>
      <c r="AN323" s="26"/>
      <c r="AO323" s="26"/>
      <c r="AP323" s="26"/>
      <c r="AQ323" s="26"/>
      <c r="AR323" s="26"/>
      <c r="AS323" s="26"/>
      <c r="AT323" s="26"/>
      <c r="AU323" s="26"/>
      <c r="AV323" s="26"/>
      <c r="AW323" s="26"/>
      <c r="AX323" s="26"/>
      <c r="AY323" s="26"/>
      <c r="AZ323" s="26"/>
      <c r="BA323" s="26"/>
      <c r="BB323" s="26"/>
      <c r="BC323" s="26"/>
      <c r="BD323" s="26"/>
      <c r="BE323" s="26"/>
      <c r="BF323" s="26"/>
      <c r="BG323" s="26"/>
      <c r="BH323" s="26"/>
      <c r="BI323" s="26"/>
      <c r="BJ323" s="26"/>
      <c r="BK323" s="26"/>
    </row>
    <row r="324" ht="14.25" customHeight="1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  <c r="AE324" s="26"/>
      <c r="AF324" s="26"/>
      <c r="AG324" s="26"/>
      <c r="AH324" s="26"/>
      <c r="AI324" s="26"/>
      <c r="AJ324" s="26"/>
      <c r="AK324" s="26"/>
      <c r="AL324" s="26"/>
      <c r="AM324" s="26"/>
      <c r="AN324" s="26"/>
      <c r="AO324" s="26"/>
      <c r="AP324" s="26"/>
      <c r="AQ324" s="26"/>
      <c r="AR324" s="26"/>
      <c r="AS324" s="26"/>
      <c r="AT324" s="26"/>
      <c r="AU324" s="26"/>
      <c r="AV324" s="26"/>
      <c r="AW324" s="26"/>
      <c r="AX324" s="26"/>
      <c r="AY324" s="26"/>
      <c r="AZ324" s="26"/>
      <c r="BA324" s="26"/>
      <c r="BB324" s="26"/>
      <c r="BC324" s="26"/>
      <c r="BD324" s="26"/>
      <c r="BE324" s="26"/>
      <c r="BF324" s="26"/>
      <c r="BG324" s="26"/>
      <c r="BH324" s="26"/>
      <c r="BI324" s="26"/>
      <c r="BJ324" s="26"/>
      <c r="BK324" s="26"/>
    </row>
    <row r="325" ht="14.25" customHeight="1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  <c r="AE325" s="26"/>
      <c r="AF325" s="26"/>
      <c r="AG325" s="26"/>
      <c r="AH325" s="26"/>
      <c r="AI325" s="26"/>
      <c r="AJ325" s="26"/>
      <c r="AK325" s="26"/>
      <c r="AL325" s="26"/>
      <c r="AM325" s="26"/>
      <c r="AN325" s="26"/>
      <c r="AO325" s="26"/>
      <c r="AP325" s="26"/>
      <c r="AQ325" s="26"/>
      <c r="AR325" s="26"/>
      <c r="AS325" s="26"/>
      <c r="AT325" s="26"/>
      <c r="AU325" s="26"/>
      <c r="AV325" s="26"/>
      <c r="AW325" s="26"/>
      <c r="AX325" s="26"/>
      <c r="AY325" s="26"/>
      <c r="AZ325" s="26"/>
      <c r="BA325" s="26"/>
      <c r="BB325" s="26"/>
      <c r="BC325" s="26"/>
      <c r="BD325" s="26"/>
      <c r="BE325" s="26"/>
      <c r="BF325" s="26"/>
      <c r="BG325" s="26"/>
      <c r="BH325" s="26"/>
      <c r="BI325" s="26"/>
      <c r="BJ325" s="26"/>
      <c r="BK325" s="26"/>
    </row>
    <row r="326" ht="14.25" customHeight="1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  <c r="AE326" s="26"/>
      <c r="AF326" s="26"/>
      <c r="AG326" s="26"/>
      <c r="AH326" s="26"/>
      <c r="AI326" s="26"/>
      <c r="AJ326" s="26"/>
      <c r="AK326" s="26"/>
      <c r="AL326" s="26"/>
      <c r="AM326" s="26"/>
      <c r="AN326" s="26"/>
      <c r="AO326" s="26"/>
      <c r="AP326" s="26"/>
      <c r="AQ326" s="26"/>
      <c r="AR326" s="26"/>
      <c r="AS326" s="26"/>
      <c r="AT326" s="26"/>
      <c r="AU326" s="26"/>
      <c r="AV326" s="26"/>
      <c r="AW326" s="26"/>
      <c r="AX326" s="26"/>
      <c r="AY326" s="26"/>
      <c r="AZ326" s="26"/>
      <c r="BA326" s="26"/>
      <c r="BB326" s="26"/>
      <c r="BC326" s="26"/>
      <c r="BD326" s="26"/>
      <c r="BE326" s="26"/>
      <c r="BF326" s="26"/>
      <c r="BG326" s="26"/>
      <c r="BH326" s="26"/>
      <c r="BI326" s="26"/>
      <c r="BJ326" s="26"/>
      <c r="BK326" s="26"/>
    </row>
    <row r="327" ht="14.25" customHeight="1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  <c r="AE327" s="26"/>
      <c r="AF327" s="26"/>
      <c r="AG327" s="26"/>
      <c r="AH327" s="26"/>
      <c r="AI327" s="26"/>
      <c r="AJ327" s="26"/>
      <c r="AK327" s="26"/>
      <c r="AL327" s="26"/>
      <c r="AM327" s="26"/>
      <c r="AN327" s="26"/>
      <c r="AO327" s="26"/>
      <c r="AP327" s="26"/>
      <c r="AQ327" s="26"/>
      <c r="AR327" s="26"/>
      <c r="AS327" s="26"/>
      <c r="AT327" s="26"/>
      <c r="AU327" s="26"/>
      <c r="AV327" s="26"/>
      <c r="AW327" s="26"/>
      <c r="AX327" s="26"/>
      <c r="AY327" s="26"/>
      <c r="AZ327" s="26"/>
      <c r="BA327" s="26"/>
      <c r="BB327" s="26"/>
      <c r="BC327" s="26"/>
      <c r="BD327" s="26"/>
      <c r="BE327" s="26"/>
      <c r="BF327" s="26"/>
      <c r="BG327" s="26"/>
      <c r="BH327" s="26"/>
      <c r="BI327" s="26"/>
      <c r="BJ327" s="26"/>
      <c r="BK327" s="26"/>
    </row>
    <row r="328" ht="14.25" customHeight="1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  <c r="AE328" s="26"/>
      <c r="AF328" s="26"/>
      <c r="AG328" s="26"/>
      <c r="AH328" s="26"/>
      <c r="AI328" s="26"/>
      <c r="AJ328" s="26"/>
      <c r="AK328" s="26"/>
      <c r="AL328" s="26"/>
      <c r="AM328" s="26"/>
      <c r="AN328" s="26"/>
      <c r="AO328" s="26"/>
      <c r="AP328" s="26"/>
      <c r="AQ328" s="26"/>
      <c r="AR328" s="26"/>
      <c r="AS328" s="26"/>
      <c r="AT328" s="26"/>
      <c r="AU328" s="26"/>
      <c r="AV328" s="26"/>
      <c r="AW328" s="26"/>
      <c r="AX328" s="26"/>
      <c r="AY328" s="26"/>
      <c r="AZ328" s="26"/>
      <c r="BA328" s="26"/>
      <c r="BB328" s="26"/>
      <c r="BC328" s="26"/>
      <c r="BD328" s="26"/>
      <c r="BE328" s="26"/>
      <c r="BF328" s="26"/>
      <c r="BG328" s="26"/>
      <c r="BH328" s="26"/>
      <c r="BI328" s="26"/>
      <c r="BJ328" s="26"/>
      <c r="BK328" s="26"/>
    </row>
    <row r="329" ht="14.25" customHeight="1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  <c r="AE329" s="26"/>
      <c r="AF329" s="26"/>
      <c r="AG329" s="26"/>
      <c r="AH329" s="26"/>
      <c r="AI329" s="26"/>
      <c r="AJ329" s="26"/>
      <c r="AK329" s="26"/>
      <c r="AL329" s="26"/>
      <c r="AM329" s="26"/>
      <c r="AN329" s="26"/>
      <c r="AO329" s="26"/>
      <c r="AP329" s="26"/>
      <c r="AQ329" s="26"/>
      <c r="AR329" s="26"/>
      <c r="AS329" s="26"/>
      <c r="AT329" s="26"/>
      <c r="AU329" s="26"/>
      <c r="AV329" s="26"/>
      <c r="AW329" s="26"/>
      <c r="AX329" s="26"/>
      <c r="AY329" s="26"/>
      <c r="AZ329" s="26"/>
      <c r="BA329" s="26"/>
      <c r="BB329" s="26"/>
      <c r="BC329" s="26"/>
      <c r="BD329" s="26"/>
      <c r="BE329" s="26"/>
      <c r="BF329" s="26"/>
      <c r="BG329" s="26"/>
      <c r="BH329" s="26"/>
      <c r="BI329" s="26"/>
      <c r="BJ329" s="26"/>
      <c r="BK329" s="26"/>
    </row>
    <row r="330" ht="14.25" customHeight="1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  <c r="AE330" s="26"/>
      <c r="AF330" s="26"/>
      <c r="AG330" s="26"/>
      <c r="AH330" s="26"/>
      <c r="AI330" s="26"/>
      <c r="AJ330" s="26"/>
      <c r="AK330" s="26"/>
      <c r="AL330" s="26"/>
      <c r="AM330" s="26"/>
      <c r="AN330" s="26"/>
      <c r="AO330" s="26"/>
      <c r="AP330" s="26"/>
      <c r="AQ330" s="26"/>
      <c r="AR330" s="26"/>
      <c r="AS330" s="26"/>
      <c r="AT330" s="26"/>
      <c r="AU330" s="26"/>
      <c r="AV330" s="26"/>
      <c r="AW330" s="26"/>
      <c r="AX330" s="26"/>
      <c r="AY330" s="26"/>
      <c r="AZ330" s="26"/>
      <c r="BA330" s="26"/>
      <c r="BB330" s="26"/>
      <c r="BC330" s="26"/>
      <c r="BD330" s="26"/>
      <c r="BE330" s="26"/>
      <c r="BF330" s="26"/>
      <c r="BG330" s="26"/>
      <c r="BH330" s="26"/>
      <c r="BI330" s="26"/>
      <c r="BJ330" s="26"/>
      <c r="BK330" s="26"/>
    </row>
    <row r="331" ht="14.25" customHeight="1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  <c r="AE331" s="26"/>
      <c r="AF331" s="26"/>
      <c r="AG331" s="26"/>
      <c r="AH331" s="26"/>
      <c r="AI331" s="26"/>
      <c r="AJ331" s="26"/>
      <c r="AK331" s="26"/>
      <c r="AL331" s="26"/>
      <c r="AM331" s="26"/>
      <c r="AN331" s="26"/>
      <c r="AO331" s="26"/>
      <c r="AP331" s="26"/>
      <c r="AQ331" s="26"/>
      <c r="AR331" s="26"/>
      <c r="AS331" s="26"/>
      <c r="AT331" s="26"/>
      <c r="AU331" s="26"/>
      <c r="AV331" s="26"/>
      <c r="AW331" s="26"/>
      <c r="AX331" s="26"/>
      <c r="AY331" s="26"/>
      <c r="AZ331" s="26"/>
      <c r="BA331" s="26"/>
      <c r="BB331" s="26"/>
      <c r="BC331" s="26"/>
      <c r="BD331" s="26"/>
      <c r="BE331" s="26"/>
      <c r="BF331" s="26"/>
      <c r="BG331" s="26"/>
      <c r="BH331" s="26"/>
      <c r="BI331" s="26"/>
      <c r="BJ331" s="26"/>
      <c r="BK331" s="26"/>
    </row>
    <row r="332" ht="14.25" customHeight="1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  <c r="AE332" s="26"/>
      <c r="AF332" s="26"/>
      <c r="AG332" s="26"/>
      <c r="AH332" s="26"/>
      <c r="AI332" s="26"/>
      <c r="AJ332" s="26"/>
      <c r="AK332" s="26"/>
      <c r="AL332" s="26"/>
      <c r="AM332" s="26"/>
      <c r="AN332" s="26"/>
      <c r="AO332" s="26"/>
      <c r="AP332" s="26"/>
      <c r="AQ332" s="26"/>
      <c r="AR332" s="26"/>
      <c r="AS332" s="26"/>
      <c r="AT332" s="26"/>
      <c r="AU332" s="26"/>
      <c r="AV332" s="26"/>
      <c r="AW332" s="26"/>
      <c r="AX332" s="26"/>
      <c r="AY332" s="26"/>
      <c r="AZ332" s="26"/>
      <c r="BA332" s="26"/>
      <c r="BB332" s="26"/>
      <c r="BC332" s="26"/>
      <c r="BD332" s="26"/>
      <c r="BE332" s="26"/>
      <c r="BF332" s="26"/>
      <c r="BG332" s="26"/>
      <c r="BH332" s="26"/>
      <c r="BI332" s="26"/>
      <c r="BJ332" s="26"/>
      <c r="BK332" s="26"/>
    </row>
    <row r="333" ht="14.25" customHeight="1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  <c r="AE333" s="26"/>
      <c r="AF333" s="26"/>
      <c r="AG333" s="26"/>
      <c r="AH333" s="26"/>
      <c r="AI333" s="26"/>
      <c r="AJ333" s="26"/>
      <c r="AK333" s="26"/>
      <c r="AL333" s="26"/>
      <c r="AM333" s="26"/>
      <c r="AN333" s="26"/>
      <c r="AO333" s="26"/>
      <c r="AP333" s="26"/>
      <c r="AQ333" s="26"/>
      <c r="AR333" s="26"/>
      <c r="AS333" s="26"/>
      <c r="AT333" s="26"/>
      <c r="AU333" s="26"/>
      <c r="AV333" s="26"/>
      <c r="AW333" s="26"/>
      <c r="AX333" s="26"/>
      <c r="AY333" s="26"/>
      <c r="AZ333" s="26"/>
      <c r="BA333" s="26"/>
      <c r="BB333" s="26"/>
      <c r="BC333" s="26"/>
      <c r="BD333" s="26"/>
      <c r="BE333" s="26"/>
      <c r="BF333" s="26"/>
      <c r="BG333" s="26"/>
      <c r="BH333" s="26"/>
      <c r="BI333" s="26"/>
      <c r="BJ333" s="26"/>
      <c r="BK333" s="26"/>
    </row>
    <row r="334" ht="14.25" customHeight="1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  <c r="AE334" s="26"/>
      <c r="AF334" s="26"/>
      <c r="AG334" s="26"/>
      <c r="AH334" s="26"/>
      <c r="AI334" s="26"/>
      <c r="AJ334" s="26"/>
      <c r="AK334" s="26"/>
      <c r="AL334" s="26"/>
      <c r="AM334" s="26"/>
      <c r="AN334" s="26"/>
      <c r="AO334" s="26"/>
      <c r="AP334" s="26"/>
      <c r="AQ334" s="26"/>
      <c r="AR334" s="26"/>
      <c r="AS334" s="26"/>
      <c r="AT334" s="26"/>
      <c r="AU334" s="26"/>
      <c r="AV334" s="26"/>
      <c r="AW334" s="26"/>
      <c r="AX334" s="26"/>
      <c r="AY334" s="26"/>
      <c r="AZ334" s="26"/>
      <c r="BA334" s="26"/>
      <c r="BB334" s="26"/>
      <c r="BC334" s="26"/>
      <c r="BD334" s="26"/>
      <c r="BE334" s="26"/>
      <c r="BF334" s="26"/>
      <c r="BG334" s="26"/>
      <c r="BH334" s="26"/>
      <c r="BI334" s="26"/>
      <c r="BJ334" s="26"/>
      <c r="BK334" s="26"/>
    </row>
    <row r="335" ht="14.25" customHeight="1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  <c r="AE335" s="26"/>
      <c r="AF335" s="26"/>
      <c r="AG335" s="26"/>
      <c r="AH335" s="26"/>
      <c r="AI335" s="26"/>
      <c r="AJ335" s="26"/>
      <c r="AK335" s="26"/>
      <c r="AL335" s="26"/>
      <c r="AM335" s="26"/>
      <c r="AN335" s="26"/>
      <c r="AO335" s="26"/>
      <c r="AP335" s="26"/>
      <c r="AQ335" s="26"/>
      <c r="AR335" s="26"/>
      <c r="AS335" s="26"/>
      <c r="AT335" s="26"/>
      <c r="AU335" s="26"/>
      <c r="AV335" s="26"/>
      <c r="AW335" s="26"/>
      <c r="AX335" s="26"/>
      <c r="AY335" s="26"/>
      <c r="AZ335" s="26"/>
      <c r="BA335" s="26"/>
      <c r="BB335" s="26"/>
      <c r="BC335" s="26"/>
      <c r="BD335" s="26"/>
      <c r="BE335" s="26"/>
      <c r="BF335" s="26"/>
      <c r="BG335" s="26"/>
      <c r="BH335" s="26"/>
      <c r="BI335" s="26"/>
      <c r="BJ335" s="26"/>
      <c r="BK335" s="26"/>
    </row>
    <row r="336" ht="14.25" customHeight="1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  <c r="AE336" s="26"/>
      <c r="AF336" s="26"/>
      <c r="AG336" s="26"/>
      <c r="AH336" s="26"/>
      <c r="AI336" s="26"/>
      <c r="AJ336" s="26"/>
      <c r="AK336" s="26"/>
      <c r="AL336" s="26"/>
      <c r="AM336" s="26"/>
      <c r="AN336" s="26"/>
      <c r="AO336" s="26"/>
      <c r="AP336" s="26"/>
      <c r="AQ336" s="26"/>
      <c r="AR336" s="26"/>
      <c r="AS336" s="26"/>
      <c r="AT336" s="26"/>
      <c r="AU336" s="26"/>
      <c r="AV336" s="26"/>
      <c r="AW336" s="26"/>
      <c r="AX336" s="26"/>
      <c r="AY336" s="26"/>
      <c r="AZ336" s="26"/>
      <c r="BA336" s="26"/>
      <c r="BB336" s="26"/>
      <c r="BC336" s="26"/>
      <c r="BD336" s="26"/>
      <c r="BE336" s="26"/>
      <c r="BF336" s="26"/>
      <c r="BG336" s="26"/>
      <c r="BH336" s="26"/>
      <c r="BI336" s="26"/>
      <c r="BJ336" s="26"/>
      <c r="BK336" s="26"/>
    </row>
    <row r="337" ht="14.25" customHeight="1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  <c r="AE337" s="26"/>
      <c r="AF337" s="26"/>
      <c r="AG337" s="26"/>
      <c r="AH337" s="26"/>
      <c r="AI337" s="26"/>
      <c r="AJ337" s="26"/>
      <c r="AK337" s="26"/>
      <c r="AL337" s="26"/>
      <c r="AM337" s="26"/>
      <c r="AN337" s="26"/>
      <c r="AO337" s="26"/>
      <c r="AP337" s="26"/>
      <c r="AQ337" s="26"/>
      <c r="AR337" s="26"/>
      <c r="AS337" s="26"/>
      <c r="AT337" s="26"/>
      <c r="AU337" s="26"/>
      <c r="AV337" s="26"/>
      <c r="AW337" s="26"/>
      <c r="AX337" s="26"/>
      <c r="AY337" s="26"/>
      <c r="AZ337" s="26"/>
      <c r="BA337" s="26"/>
      <c r="BB337" s="26"/>
      <c r="BC337" s="26"/>
      <c r="BD337" s="26"/>
      <c r="BE337" s="26"/>
      <c r="BF337" s="26"/>
      <c r="BG337" s="26"/>
      <c r="BH337" s="26"/>
      <c r="BI337" s="26"/>
      <c r="BJ337" s="26"/>
      <c r="BK337" s="26"/>
    </row>
    <row r="338" ht="14.25" customHeight="1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  <c r="AE338" s="26"/>
      <c r="AF338" s="26"/>
      <c r="AG338" s="26"/>
      <c r="AH338" s="26"/>
      <c r="AI338" s="26"/>
      <c r="AJ338" s="26"/>
      <c r="AK338" s="26"/>
      <c r="AL338" s="26"/>
      <c r="AM338" s="26"/>
      <c r="AN338" s="26"/>
      <c r="AO338" s="26"/>
      <c r="AP338" s="26"/>
      <c r="AQ338" s="26"/>
      <c r="AR338" s="26"/>
      <c r="AS338" s="26"/>
      <c r="AT338" s="26"/>
      <c r="AU338" s="26"/>
      <c r="AV338" s="26"/>
      <c r="AW338" s="26"/>
      <c r="AX338" s="26"/>
      <c r="AY338" s="26"/>
      <c r="AZ338" s="26"/>
      <c r="BA338" s="26"/>
      <c r="BB338" s="26"/>
      <c r="BC338" s="26"/>
      <c r="BD338" s="26"/>
      <c r="BE338" s="26"/>
      <c r="BF338" s="26"/>
      <c r="BG338" s="26"/>
      <c r="BH338" s="26"/>
      <c r="BI338" s="26"/>
      <c r="BJ338" s="26"/>
      <c r="BK338" s="26"/>
    </row>
    <row r="339" ht="14.25" customHeight="1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  <c r="AD339" s="26"/>
      <c r="AE339" s="26"/>
      <c r="AF339" s="26"/>
      <c r="AG339" s="26"/>
      <c r="AH339" s="26"/>
      <c r="AI339" s="26"/>
      <c r="AJ339" s="26"/>
      <c r="AK339" s="26"/>
      <c r="AL339" s="26"/>
      <c r="AM339" s="26"/>
      <c r="AN339" s="26"/>
      <c r="AO339" s="26"/>
      <c r="AP339" s="26"/>
      <c r="AQ339" s="26"/>
      <c r="AR339" s="26"/>
      <c r="AS339" s="26"/>
      <c r="AT339" s="26"/>
      <c r="AU339" s="26"/>
      <c r="AV339" s="26"/>
      <c r="AW339" s="26"/>
      <c r="AX339" s="26"/>
      <c r="AY339" s="26"/>
      <c r="AZ339" s="26"/>
      <c r="BA339" s="26"/>
      <c r="BB339" s="26"/>
      <c r="BC339" s="26"/>
      <c r="BD339" s="26"/>
      <c r="BE339" s="26"/>
      <c r="BF339" s="26"/>
      <c r="BG339" s="26"/>
      <c r="BH339" s="26"/>
      <c r="BI339" s="26"/>
      <c r="BJ339" s="26"/>
      <c r="BK339" s="26"/>
    </row>
    <row r="340" ht="14.25" customHeight="1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  <c r="AE340" s="26"/>
      <c r="AF340" s="26"/>
      <c r="AG340" s="26"/>
      <c r="AH340" s="26"/>
      <c r="AI340" s="26"/>
      <c r="AJ340" s="26"/>
      <c r="AK340" s="26"/>
      <c r="AL340" s="26"/>
      <c r="AM340" s="26"/>
      <c r="AN340" s="26"/>
      <c r="AO340" s="26"/>
      <c r="AP340" s="26"/>
      <c r="AQ340" s="26"/>
      <c r="AR340" s="26"/>
      <c r="AS340" s="26"/>
      <c r="AT340" s="26"/>
      <c r="AU340" s="26"/>
      <c r="AV340" s="26"/>
      <c r="AW340" s="26"/>
      <c r="AX340" s="26"/>
      <c r="AY340" s="26"/>
      <c r="AZ340" s="26"/>
      <c r="BA340" s="26"/>
      <c r="BB340" s="26"/>
      <c r="BC340" s="26"/>
      <c r="BD340" s="26"/>
      <c r="BE340" s="26"/>
      <c r="BF340" s="26"/>
      <c r="BG340" s="26"/>
      <c r="BH340" s="26"/>
      <c r="BI340" s="26"/>
      <c r="BJ340" s="26"/>
      <c r="BK340" s="26"/>
    </row>
    <row r="341" ht="14.25" customHeight="1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  <c r="AE341" s="26"/>
      <c r="AF341" s="26"/>
      <c r="AG341" s="26"/>
      <c r="AH341" s="26"/>
      <c r="AI341" s="26"/>
      <c r="AJ341" s="26"/>
      <c r="AK341" s="26"/>
      <c r="AL341" s="26"/>
      <c r="AM341" s="26"/>
      <c r="AN341" s="26"/>
      <c r="AO341" s="26"/>
      <c r="AP341" s="26"/>
      <c r="AQ341" s="26"/>
      <c r="AR341" s="26"/>
      <c r="AS341" s="26"/>
      <c r="AT341" s="26"/>
      <c r="AU341" s="26"/>
      <c r="AV341" s="26"/>
      <c r="AW341" s="26"/>
      <c r="AX341" s="26"/>
      <c r="AY341" s="26"/>
      <c r="AZ341" s="26"/>
      <c r="BA341" s="26"/>
      <c r="BB341" s="26"/>
      <c r="BC341" s="26"/>
      <c r="BD341" s="26"/>
      <c r="BE341" s="26"/>
      <c r="BF341" s="26"/>
      <c r="BG341" s="26"/>
      <c r="BH341" s="26"/>
      <c r="BI341" s="26"/>
      <c r="BJ341" s="26"/>
      <c r="BK341" s="26"/>
    </row>
    <row r="342" ht="14.25" customHeight="1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  <c r="AE342" s="26"/>
      <c r="AF342" s="26"/>
      <c r="AG342" s="26"/>
      <c r="AH342" s="26"/>
      <c r="AI342" s="26"/>
      <c r="AJ342" s="26"/>
      <c r="AK342" s="26"/>
      <c r="AL342" s="26"/>
      <c r="AM342" s="26"/>
      <c r="AN342" s="26"/>
      <c r="AO342" s="26"/>
      <c r="AP342" s="26"/>
      <c r="AQ342" s="26"/>
      <c r="AR342" s="26"/>
      <c r="AS342" s="26"/>
      <c r="AT342" s="26"/>
      <c r="AU342" s="26"/>
      <c r="AV342" s="26"/>
      <c r="AW342" s="26"/>
      <c r="AX342" s="26"/>
      <c r="AY342" s="26"/>
      <c r="AZ342" s="26"/>
      <c r="BA342" s="26"/>
      <c r="BB342" s="26"/>
      <c r="BC342" s="26"/>
      <c r="BD342" s="26"/>
      <c r="BE342" s="26"/>
      <c r="BF342" s="26"/>
      <c r="BG342" s="26"/>
      <c r="BH342" s="26"/>
      <c r="BI342" s="26"/>
      <c r="BJ342" s="26"/>
      <c r="BK342" s="26"/>
    </row>
    <row r="343" ht="14.25" customHeight="1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  <c r="AE343" s="26"/>
      <c r="AF343" s="26"/>
      <c r="AG343" s="26"/>
      <c r="AH343" s="26"/>
      <c r="AI343" s="26"/>
      <c r="AJ343" s="26"/>
      <c r="AK343" s="26"/>
      <c r="AL343" s="26"/>
      <c r="AM343" s="26"/>
      <c r="AN343" s="26"/>
      <c r="AO343" s="26"/>
      <c r="AP343" s="26"/>
      <c r="AQ343" s="26"/>
      <c r="AR343" s="26"/>
      <c r="AS343" s="26"/>
      <c r="AT343" s="26"/>
      <c r="AU343" s="26"/>
      <c r="AV343" s="26"/>
      <c r="AW343" s="26"/>
      <c r="AX343" s="26"/>
      <c r="AY343" s="26"/>
      <c r="AZ343" s="26"/>
      <c r="BA343" s="26"/>
      <c r="BB343" s="26"/>
      <c r="BC343" s="26"/>
      <c r="BD343" s="26"/>
      <c r="BE343" s="26"/>
      <c r="BF343" s="26"/>
      <c r="BG343" s="26"/>
      <c r="BH343" s="26"/>
      <c r="BI343" s="26"/>
      <c r="BJ343" s="26"/>
      <c r="BK343" s="26"/>
    </row>
    <row r="344" ht="14.25" customHeight="1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  <c r="AF344" s="26"/>
      <c r="AG344" s="26"/>
      <c r="AH344" s="26"/>
      <c r="AI344" s="26"/>
      <c r="AJ344" s="26"/>
      <c r="AK344" s="26"/>
      <c r="AL344" s="26"/>
      <c r="AM344" s="26"/>
      <c r="AN344" s="26"/>
      <c r="AO344" s="26"/>
      <c r="AP344" s="26"/>
      <c r="AQ344" s="26"/>
      <c r="AR344" s="26"/>
      <c r="AS344" s="26"/>
      <c r="AT344" s="26"/>
      <c r="AU344" s="26"/>
      <c r="AV344" s="26"/>
      <c r="AW344" s="26"/>
      <c r="AX344" s="26"/>
      <c r="AY344" s="26"/>
      <c r="AZ344" s="26"/>
      <c r="BA344" s="26"/>
      <c r="BB344" s="26"/>
      <c r="BC344" s="26"/>
      <c r="BD344" s="26"/>
      <c r="BE344" s="26"/>
      <c r="BF344" s="26"/>
      <c r="BG344" s="26"/>
      <c r="BH344" s="26"/>
      <c r="BI344" s="26"/>
      <c r="BJ344" s="26"/>
      <c r="BK344" s="26"/>
    </row>
    <row r="345" ht="14.25" customHeight="1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  <c r="AE345" s="26"/>
      <c r="AF345" s="26"/>
      <c r="AG345" s="26"/>
      <c r="AH345" s="26"/>
      <c r="AI345" s="26"/>
      <c r="AJ345" s="26"/>
      <c r="AK345" s="26"/>
      <c r="AL345" s="26"/>
      <c r="AM345" s="26"/>
      <c r="AN345" s="26"/>
      <c r="AO345" s="26"/>
      <c r="AP345" s="26"/>
      <c r="AQ345" s="26"/>
      <c r="AR345" s="26"/>
      <c r="AS345" s="26"/>
      <c r="AT345" s="26"/>
      <c r="AU345" s="26"/>
      <c r="AV345" s="26"/>
      <c r="AW345" s="26"/>
      <c r="AX345" s="26"/>
      <c r="AY345" s="26"/>
      <c r="AZ345" s="26"/>
      <c r="BA345" s="26"/>
      <c r="BB345" s="26"/>
      <c r="BC345" s="26"/>
      <c r="BD345" s="26"/>
      <c r="BE345" s="26"/>
      <c r="BF345" s="26"/>
      <c r="BG345" s="26"/>
      <c r="BH345" s="26"/>
      <c r="BI345" s="26"/>
      <c r="BJ345" s="26"/>
      <c r="BK345" s="26"/>
    </row>
    <row r="346" ht="14.25" customHeight="1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  <c r="AF346" s="26"/>
      <c r="AG346" s="26"/>
      <c r="AH346" s="26"/>
      <c r="AI346" s="26"/>
      <c r="AJ346" s="26"/>
      <c r="AK346" s="26"/>
      <c r="AL346" s="26"/>
      <c r="AM346" s="26"/>
      <c r="AN346" s="26"/>
      <c r="AO346" s="26"/>
      <c r="AP346" s="26"/>
      <c r="AQ346" s="26"/>
      <c r="AR346" s="26"/>
      <c r="AS346" s="26"/>
      <c r="AT346" s="26"/>
      <c r="AU346" s="26"/>
      <c r="AV346" s="26"/>
      <c r="AW346" s="26"/>
      <c r="AX346" s="26"/>
      <c r="AY346" s="26"/>
      <c r="AZ346" s="26"/>
      <c r="BA346" s="26"/>
      <c r="BB346" s="26"/>
      <c r="BC346" s="26"/>
      <c r="BD346" s="26"/>
      <c r="BE346" s="26"/>
      <c r="BF346" s="26"/>
      <c r="BG346" s="26"/>
      <c r="BH346" s="26"/>
      <c r="BI346" s="26"/>
      <c r="BJ346" s="26"/>
      <c r="BK346" s="26"/>
    </row>
    <row r="347" ht="14.25" customHeight="1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  <c r="AE347" s="26"/>
      <c r="AF347" s="26"/>
      <c r="AG347" s="26"/>
      <c r="AH347" s="26"/>
      <c r="AI347" s="26"/>
      <c r="AJ347" s="26"/>
      <c r="AK347" s="26"/>
      <c r="AL347" s="26"/>
      <c r="AM347" s="26"/>
      <c r="AN347" s="26"/>
      <c r="AO347" s="26"/>
      <c r="AP347" s="26"/>
      <c r="AQ347" s="26"/>
      <c r="AR347" s="26"/>
      <c r="AS347" s="26"/>
      <c r="AT347" s="26"/>
      <c r="AU347" s="26"/>
      <c r="AV347" s="26"/>
      <c r="AW347" s="26"/>
      <c r="AX347" s="26"/>
      <c r="AY347" s="26"/>
      <c r="AZ347" s="26"/>
      <c r="BA347" s="26"/>
      <c r="BB347" s="26"/>
      <c r="BC347" s="26"/>
      <c r="BD347" s="26"/>
      <c r="BE347" s="26"/>
      <c r="BF347" s="26"/>
      <c r="BG347" s="26"/>
      <c r="BH347" s="26"/>
      <c r="BI347" s="26"/>
      <c r="BJ347" s="26"/>
      <c r="BK347" s="26"/>
    </row>
    <row r="348" ht="14.25" customHeight="1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  <c r="AE348" s="26"/>
      <c r="AF348" s="26"/>
      <c r="AG348" s="26"/>
      <c r="AH348" s="26"/>
      <c r="AI348" s="26"/>
      <c r="AJ348" s="26"/>
      <c r="AK348" s="26"/>
      <c r="AL348" s="26"/>
      <c r="AM348" s="26"/>
      <c r="AN348" s="26"/>
      <c r="AO348" s="26"/>
      <c r="AP348" s="26"/>
      <c r="AQ348" s="26"/>
      <c r="AR348" s="26"/>
      <c r="AS348" s="26"/>
      <c r="AT348" s="26"/>
      <c r="AU348" s="26"/>
      <c r="AV348" s="26"/>
      <c r="AW348" s="26"/>
      <c r="AX348" s="26"/>
      <c r="AY348" s="26"/>
      <c r="AZ348" s="26"/>
      <c r="BA348" s="26"/>
      <c r="BB348" s="26"/>
      <c r="BC348" s="26"/>
      <c r="BD348" s="26"/>
      <c r="BE348" s="26"/>
      <c r="BF348" s="26"/>
      <c r="BG348" s="26"/>
      <c r="BH348" s="26"/>
      <c r="BI348" s="26"/>
      <c r="BJ348" s="26"/>
      <c r="BK348" s="26"/>
    </row>
    <row r="349" ht="14.25" customHeight="1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  <c r="AE349" s="26"/>
      <c r="AF349" s="26"/>
      <c r="AG349" s="26"/>
      <c r="AH349" s="26"/>
      <c r="AI349" s="26"/>
      <c r="AJ349" s="26"/>
      <c r="AK349" s="26"/>
      <c r="AL349" s="26"/>
      <c r="AM349" s="26"/>
      <c r="AN349" s="26"/>
      <c r="AO349" s="26"/>
      <c r="AP349" s="26"/>
      <c r="AQ349" s="26"/>
      <c r="AR349" s="26"/>
      <c r="AS349" s="26"/>
      <c r="AT349" s="26"/>
      <c r="AU349" s="26"/>
      <c r="AV349" s="26"/>
      <c r="AW349" s="26"/>
      <c r="AX349" s="26"/>
      <c r="AY349" s="26"/>
      <c r="AZ349" s="26"/>
      <c r="BA349" s="26"/>
      <c r="BB349" s="26"/>
      <c r="BC349" s="26"/>
      <c r="BD349" s="26"/>
      <c r="BE349" s="26"/>
      <c r="BF349" s="26"/>
      <c r="BG349" s="26"/>
      <c r="BH349" s="26"/>
      <c r="BI349" s="26"/>
      <c r="BJ349" s="26"/>
      <c r="BK349" s="26"/>
    </row>
    <row r="350" ht="14.25" customHeight="1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  <c r="AE350" s="26"/>
      <c r="AF350" s="26"/>
      <c r="AG350" s="26"/>
      <c r="AH350" s="26"/>
      <c r="AI350" s="26"/>
      <c r="AJ350" s="26"/>
      <c r="AK350" s="26"/>
      <c r="AL350" s="26"/>
      <c r="AM350" s="26"/>
      <c r="AN350" s="26"/>
      <c r="AO350" s="26"/>
      <c r="AP350" s="26"/>
      <c r="AQ350" s="26"/>
      <c r="AR350" s="26"/>
      <c r="AS350" s="26"/>
      <c r="AT350" s="26"/>
      <c r="AU350" s="26"/>
      <c r="AV350" s="26"/>
      <c r="AW350" s="26"/>
      <c r="AX350" s="26"/>
      <c r="AY350" s="26"/>
      <c r="AZ350" s="26"/>
      <c r="BA350" s="26"/>
      <c r="BB350" s="26"/>
      <c r="BC350" s="26"/>
      <c r="BD350" s="26"/>
      <c r="BE350" s="26"/>
      <c r="BF350" s="26"/>
      <c r="BG350" s="26"/>
      <c r="BH350" s="26"/>
      <c r="BI350" s="26"/>
      <c r="BJ350" s="26"/>
      <c r="BK350" s="26"/>
    </row>
    <row r="351" ht="14.25" customHeight="1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  <c r="AE351" s="26"/>
      <c r="AF351" s="26"/>
      <c r="AG351" s="26"/>
      <c r="AH351" s="26"/>
      <c r="AI351" s="26"/>
      <c r="AJ351" s="26"/>
      <c r="AK351" s="26"/>
      <c r="AL351" s="26"/>
      <c r="AM351" s="26"/>
      <c r="AN351" s="26"/>
      <c r="AO351" s="26"/>
      <c r="AP351" s="26"/>
      <c r="AQ351" s="26"/>
      <c r="AR351" s="26"/>
      <c r="AS351" s="26"/>
      <c r="AT351" s="26"/>
      <c r="AU351" s="26"/>
      <c r="AV351" s="26"/>
      <c r="AW351" s="26"/>
      <c r="AX351" s="26"/>
      <c r="AY351" s="26"/>
      <c r="AZ351" s="26"/>
      <c r="BA351" s="26"/>
      <c r="BB351" s="26"/>
      <c r="BC351" s="26"/>
      <c r="BD351" s="26"/>
      <c r="BE351" s="26"/>
      <c r="BF351" s="26"/>
      <c r="BG351" s="26"/>
      <c r="BH351" s="26"/>
      <c r="BI351" s="26"/>
      <c r="BJ351" s="26"/>
      <c r="BK351" s="26"/>
    </row>
    <row r="352" ht="14.25" customHeight="1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  <c r="AE352" s="26"/>
      <c r="AF352" s="26"/>
      <c r="AG352" s="26"/>
      <c r="AH352" s="26"/>
      <c r="AI352" s="26"/>
      <c r="AJ352" s="26"/>
      <c r="AK352" s="26"/>
      <c r="AL352" s="26"/>
      <c r="AM352" s="26"/>
      <c r="AN352" s="26"/>
      <c r="AO352" s="26"/>
      <c r="AP352" s="26"/>
      <c r="AQ352" s="26"/>
      <c r="AR352" s="26"/>
      <c r="AS352" s="26"/>
      <c r="AT352" s="26"/>
      <c r="AU352" s="26"/>
      <c r="AV352" s="26"/>
      <c r="AW352" s="26"/>
      <c r="AX352" s="26"/>
      <c r="AY352" s="26"/>
      <c r="AZ352" s="26"/>
      <c r="BA352" s="26"/>
      <c r="BB352" s="26"/>
      <c r="BC352" s="26"/>
      <c r="BD352" s="26"/>
      <c r="BE352" s="26"/>
      <c r="BF352" s="26"/>
      <c r="BG352" s="26"/>
      <c r="BH352" s="26"/>
      <c r="BI352" s="26"/>
      <c r="BJ352" s="26"/>
      <c r="BK352" s="26"/>
    </row>
    <row r="353" ht="14.25" customHeight="1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  <c r="AE353" s="26"/>
      <c r="AF353" s="26"/>
      <c r="AG353" s="26"/>
      <c r="AH353" s="26"/>
      <c r="AI353" s="26"/>
      <c r="AJ353" s="26"/>
      <c r="AK353" s="26"/>
      <c r="AL353" s="26"/>
      <c r="AM353" s="26"/>
      <c r="AN353" s="26"/>
      <c r="AO353" s="26"/>
      <c r="AP353" s="26"/>
      <c r="AQ353" s="26"/>
      <c r="AR353" s="26"/>
      <c r="AS353" s="26"/>
      <c r="AT353" s="26"/>
      <c r="AU353" s="26"/>
      <c r="AV353" s="26"/>
      <c r="AW353" s="26"/>
      <c r="AX353" s="26"/>
      <c r="AY353" s="26"/>
      <c r="AZ353" s="26"/>
      <c r="BA353" s="26"/>
      <c r="BB353" s="26"/>
      <c r="BC353" s="26"/>
      <c r="BD353" s="26"/>
      <c r="BE353" s="26"/>
      <c r="BF353" s="26"/>
      <c r="BG353" s="26"/>
      <c r="BH353" s="26"/>
      <c r="BI353" s="26"/>
      <c r="BJ353" s="26"/>
      <c r="BK353" s="26"/>
    </row>
    <row r="354" ht="14.25" customHeight="1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  <c r="AE354" s="26"/>
      <c r="AF354" s="26"/>
      <c r="AG354" s="26"/>
      <c r="AH354" s="26"/>
      <c r="AI354" s="26"/>
      <c r="AJ354" s="26"/>
      <c r="AK354" s="26"/>
      <c r="AL354" s="26"/>
      <c r="AM354" s="26"/>
      <c r="AN354" s="26"/>
      <c r="AO354" s="26"/>
      <c r="AP354" s="26"/>
      <c r="AQ354" s="26"/>
      <c r="AR354" s="26"/>
      <c r="AS354" s="26"/>
      <c r="AT354" s="26"/>
      <c r="AU354" s="26"/>
      <c r="AV354" s="26"/>
      <c r="AW354" s="26"/>
      <c r="AX354" s="26"/>
      <c r="AY354" s="26"/>
      <c r="AZ354" s="26"/>
      <c r="BA354" s="26"/>
      <c r="BB354" s="26"/>
      <c r="BC354" s="26"/>
      <c r="BD354" s="26"/>
      <c r="BE354" s="26"/>
      <c r="BF354" s="26"/>
      <c r="BG354" s="26"/>
      <c r="BH354" s="26"/>
      <c r="BI354" s="26"/>
      <c r="BJ354" s="26"/>
      <c r="BK354" s="26"/>
    </row>
    <row r="355" ht="14.25" customHeight="1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  <c r="AE355" s="26"/>
      <c r="AF355" s="26"/>
      <c r="AG355" s="26"/>
      <c r="AH355" s="26"/>
      <c r="AI355" s="26"/>
      <c r="AJ355" s="26"/>
      <c r="AK355" s="26"/>
      <c r="AL355" s="26"/>
      <c r="AM355" s="26"/>
      <c r="AN355" s="26"/>
      <c r="AO355" s="26"/>
      <c r="AP355" s="26"/>
      <c r="AQ355" s="26"/>
      <c r="AR355" s="26"/>
      <c r="AS355" s="26"/>
      <c r="AT355" s="26"/>
      <c r="AU355" s="26"/>
      <c r="AV355" s="26"/>
      <c r="AW355" s="26"/>
      <c r="AX355" s="26"/>
      <c r="AY355" s="26"/>
      <c r="AZ355" s="26"/>
      <c r="BA355" s="26"/>
      <c r="BB355" s="26"/>
      <c r="BC355" s="26"/>
      <c r="BD355" s="26"/>
      <c r="BE355" s="26"/>
      <c r="BF355" s="26"/>
      <c r="BG355" s="26"/>
      <c r="BH355" s="26"/>
      <c r="BI355" s="26"/>
      <c r="BJ355" s="26"/>
      <c r="BK355" s="26"/>
    </row>
    <row r="356" ht="14.25" customHeight="1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  <c r="AE356" s="26"/>
      <c r="AF356" s="26"/>
      <c r="AG356" s="26"/>
      <c r="AH356" s="26"/>
      <c r="AI356" s="26"/>
      <c r="AJ356" s="26"/>
      <c r="AK356" s="26"/>
      <c r="AL356" s="26"/>
      <c r="AM356" s="26"/>
      <c r="AN356" s="26"/>
      <c r="AO356" s="26"/>
      <c r="AP356" s="26"/>
      <c r="AQ356" s="26"/>
      <c r="AR356" s="26"/>
      <c r="AS356" s="26"/>
      <c r="AT356" s="26"/>
      <c r="AU356" s="26"/>
      <c r="AV356" s="26"/>
      <c r="AW356" s="26"/>
      <c r="AX356" s="26"/>
      <c r="AY356" s="26"/>
      <c r="AZ356" s="26"/>
      <c r="BA356" s="26"/>
      <c r="BB356" s="26"/>
      <c r="BC356" s="26"/>
      <c r="BD356" s="26"/>
      <c r="BE356" s="26"/>
      <c r="BF356" s="26"/>
      <c r="BG356" s="26"/>
      <c r="BH356" s="26"/>
      <c r="BI356" s="26"/>
      <c r="BJ356" s="26"/>
      <c r="BK356" s="26"/>
    </row>
    <row r="357" ht="14.25" customHeight="1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  <c r="AE357" s="26"/>
      <c r="AF357" s="26"/>
      <c r="AG357" s="26"/>
      <c r="AH357" s="26"/>
      <c r="AI357" s="26"/>
      <c r="AJ357" s="26"/>
      <c r="AK357" s="26"/>
      <c r="AL357" s="26"/>
      <c r="AM357" s="26"/>
      <c r="AN357" s="26"/>
      <c r="AO357" s="26"/>
      <c r="AP357" s="26"/>
      <c r="AQ357" s="26"/>
      <c r="AR357" s="26"/>
      <c r="AS357" s="26"/>
      <c r="AT357" s="26"/>
      <c r="AU357" s="26"/>
      <c r="AV357" s="26"/>
      <c r="AW357" s="26"/>
      <c r="AX357" s="26"/>
      <c r="AY357" s="26"/>
      <c r="AZ357" s="26"/>
      <c r="BA357" s="26"/>
      <c r="BB357" s="26"/>
      <c r="BC357" s="26"/>
      <c r="BD357" s="26"/>
      <c r="BE357" s="26"/>
      <c r="BF357" s="26"/>
      <c r="BG357" s="26"/>
      <c r="BH357" s="26"/>
      <c r="BI357" s="26"/>
      <c r="BJ357" s="26"/>
      <c r="BK357" s="26"/>
    </row>
    <row r="358" ht="14.25" customHeight="1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  <c r="AF358" s="26"/>
      <c r="AG358" s="26"/>
      <c r="AH358" s="26"/>
      <c r="AI358" s="26"/>
      <c r="AJ358" s="26"/>
      <c r="AK358" s="26"/>
      <c r="AL358" s="26"/>
      <c r="AM358" s="26"/>
      <c r="AN358" s="26"/>
      <c r="AO358" s="26"/>
      <c r="AP358" s="26"/>
      <c r="AQ358" s="26"/>
      <c r="AR358" s="26"/>
      <c r="AS358" s="26"/>
      <c r="AT358" s="26"/>
      <c r="AU358" s="26"/>
      <c r="AV358" s="26"/>
      <c r="AW358" s="26"/>
      <c r="AX358" s="26"/>
      <c r="AY358" s="26"/>
      <c r="AZ358" s="26"/>
      <c r="BA358" s="26"/>
      <c r="BB358" s="26"/>
      <c r="BC358" s="26"/>
      <c r="BD358" s="26"/>
      <c r="BE358" s="26"/>
      <c r="BF358" s="26"/>
      <c r="BG358" s="26"/>
      <c r="BH358" s="26"/>
      <c r="BI358" s="26"/>
      <c r="BJ358" s="26"/>
      <c r="BK358" s="26"/>
    </row>
    <row r="359" ht="14.25" customHeight="1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  <c r="AE359" s="26"/>
      <c r="AF359" s="26"/>
      <c r="AG359" s="26"/>
      <c r="AH359" s="26"/>
      <c r="AI359" s="26"/>
      <c r="AJ359" s="26"/>
      <c r="AK359" s="26"/>
      <c r="AL359" s="26"/>
      <c r="AM359" s="26"/>
      <c r="AN359" s="26"/>
      <c r="AO359" s="26"/>
      <c r="AP359" s="26"/>
      <c r="AQ359" s="26"/>
      <c r="AR359" s="26"/>
      <c r="AS359" s="26"/>
      <c r="AT359" s="26"/>
      <c r="AU359" s="26"/>
      <c r="AV359" s="26"/>
      <c r="AW359" s="26"/>
      <c r="AX359" s="26"/>
      <c r="AY359" s="26"/>
      <c r="AZ359" s="26"/>
      <c r="BA359" s="26"/>
      <c r="BB359" s="26"/>
      <c r="BC359" s="26"/>
      <c r="BD359" s="26"/>
      <c r="BE359" s="26"/>
      <c r="BF359" s="26"/>
      <c r="BG359" s="26"/>
      <c r="BH359" s="26"/>
      <c r="BI359" s="26"/>
      <c r="BJ359" s="26"/>
      <c r="BK359" s="26"/>
    </row>
    <row r="360" ht="14.25" customHeight="1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  <c r="AE360" s="26"/>
      <c r="AF360" s="26"/>
      <c r="AG360" s="26"/>
      <c r="AH360" s="26"/>
      <c r="AI360" s="26"/>
      <c r="AJ360" s="26"/>
      <c r="AK360" s="26"/>
      <c r="AL360" s="26"/>
      <c r="AM360" s="26"/>
      <c r="AN360" s="26"/>
      <c r="AO360" s="26"/>
      <c r="AP360" s="26"/>
      <c r="AQ360" s="26"/>
      <c r="AR360" s="26"/>
      <c r="AS360" s="26"/>
      <c r="AT360" s="26"/>
      <c r="AU360" s="26"/>
      <c r="AV360" s="26"/>
      <c r="AW360" s="26"/>
      <c r="AX360" s="26"/>
      <c r="AY360" s="26"/>
      <c r="AZ360" s="26"/>
      <c r="BA360" s="26"/>
      <c r="BB360" s="26"/>
      <c r="BC360" s="26"/>
      <c r="BD360" s="26"/>
      <c r="BE360" s="26"/>
      <c r="BF360" s="26"/>
      <c r="BG360" s="26"/>
      <c r="BH360" s="26"/>
      <c r="BI360" s="26"/>
      <c r="BJ360" s="26"/>
      <c r="BK360" s="26"/>
    </row>
    <row r="361" ht="14.25" customHeight="1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  <c r="AE361" s="26"/>
      <c r="AF361" s="26"/>
      <c r="AG361" s="26"/>
      <c r="AH361" s="26"/>
      <c r="AI361" s="26"/>
      <c r="AJ361" s="26"/>
      <c r="AK361" s="26"/>
      <c r="AL361" s="26"/>
      <c r="AM361" s="26"/>
      <c r="AN361" s="26"/>
      <c r="AO361" s="26"/>
      <c r="AP361" s="26"/>
      <c r="AQ361" s="26"/>
      <c r="AR361" s="26"/>
      <c r="AS361" s="26"/>
      <c r="AT361" s="26"/>
      <c r="AU361" s="26"/>
      <c r="AV361" s="26"/>
      <c r="AW361" s="26"/>
      <c r="AX361" s="26"/>
      <c r="AY361" s="26"/>
      <c r="AZ361" s="26"/>
      <c r="BA361" s="26"/>
      <c r="BB361" s="26"/>
      <c r="BC361" s="26"/>
      <c r="BD361" s="26"/>
      <c r="BE361" s="26"/>
      <c r="BF361" s="26"/>
      <c r="BG361" s="26"/>
      <c r="BH361" s="26"/>
      <c r="BI361" s="26"/>
      <c r="BJ361" s="26"/>
      <c r="BK361" s="26"/>
    </row>
    <row r="362" ht="14.25" customHeight="1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  <c r="AE362" s="26"/>
      <c r="AF362" s="26"/>
      <c r="AG362" s="26"/>
      <c r="AH362" s="26"/>
      <c r="AI362" s="26"/>
      <c r="AJ362" s="26"/>
      <c r="AK362" s="26"/>
      <c r="AL362" s="26"/>
      <c r="AM362" s="26"/>
      <c r="AN362" s="26"/>
      <c r="AO362" s="26"/>
      <c r="AP362" s="26"/>
      <c r="AQ362" s="26"/>
      <c r="AR362" s="26"/>
      <c r="AS362" s="26"/>
      <c r="AT362" s="26"/>
      <c r="AU362" s="26"/>
      <c r="AV362" s="26"/>
      <c r="AW362" s="26"/>
      <c r="AX362" s="26"/>
      <c r="AY362" s="26"/>
      <c r="AZ362" s="26"/>
      <c r="BA362" s="26"/>
      <c r="BB362" s="26"/>
      <c r="BC362" s="26"/>
      <c r="BD362" s="26"/>
      <c r="BE362" s="26"/>
      <c r="BF362" s="26"/>
      <c r="BG362" s="26"/>
      <c r="BH362" s="26"/>
      <c r="BI362" s="26"/>
      <c r="BJ362" s="26"/>
      <c r="BK362" s="26"/>
    </row>
    <row r="363" ht="14.25" customHeight="1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  <c r="AE363" s="26"/>
      <c r="AF363" s="26"/>
      <c r="AG363" s="26"/>
      <c r="AH363" s="26"/>
      <c r="AI363" s="26"/>
      <c r="AJ363" s="26"/>
      <c r="AK363" s="26"/>
      <c r="AL363" s="26"/>
      <c r="AM363" s="26"/>
      <c r="AN363" s="26"/>
      <c r="AO363" s="26"/>
      <c r="AP363" s="26"/>
      <c r="AQ363" s="26"/>
      <c r="AR363" s="26"/>
      <c r="AS363" s="26"/>
      <c r="AT363" s="26"/>
      <c r="AU363" s="26"/>
      <c r="AV363" s="26"/>
      <c r="AW363" s="26"/>
      <c r="AX363" s="26"/>
      <c r="AY363" s="26"/>
      <c r="AZ363" s="26"/>
      <c r="BA363" s="26"/>
      <c r="BB363" s="26"/>
      <c r="BC363" s="26"/>
      <c r="BD363" s="26"/>
      <c r="BE363" s="26"/>
      <c r="BF363" s="26"/>
      <c r="BG363" s="26"/>
      <c r="BH363" s="26"/>
      <c r="BI363" s="26"/>
      <c r="BJ363" s="26"/>
      <c r="BK363" s="26"/>
    </row>
    <row r="364" ht="14.25" customHeight="1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  <c r="AE364" s="26"/>
      <c r="AF364" s="26"/>
      <c r="AG364" s="26"/>
      <c r="AH364" s="26"/>
      <c r="AI364" s="26"/>
      <c r="AJ364" s="26"/>
      <c r="AK364" s="26"/>
      <c r="AL364" s="26"/>
      <c r="AM364" s="26"/>
      <c r="AN364" s="26"/>
      <c r="AO364" s="26"/>
      <c r="AP364" s="26"/>
      <c r="AQ364" s="26"/>
      <c r="AR364" s="26"/>
      <c r="AS364" s="26"/>
      <c r="AT364" s="26"/>
      <c r="AU364" s="26"/>
      <c r="AV364" s="26"/>
      <c r="AW364" s="26"/>
      <c r="AX364" s="26"/>
      <c r="AY364" s="26"/>
      <c r="AZ364" s="26"/>
      <c r="BA364" s="26"/>
      <c r="BB364" s="26"/>
      <c r="BC364" s="26"/>
      <c r="BD364" s="26"/>
      <c r="BE364" s="26"/>
      <c r="BF364" s="26"/>
      <c r="BG364" s="26"/>
      <c r="BH364" s="26"/>
      <c r="BI364" s="26"/>
      <c r="BJ364" s="26"/>
      <c r="BK364" s="26"/>
    </row>
    <row r="365" ht="14.25" customHeight="1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  <c r="AE365" s="26"/>
      <c r="AF365" s="26"/>
      <c r="AG365" s="26"/>
      <c r="AH365" s="26"/>
      <c r="AI365" s="26"/>
      <c r="AJ365" s="26"/>
      <c r="AK365" s="26"/>
      <c r="AL365" s="26"/>
      <c r="AM365" s="26"/>
      <c r="AN365" s="26"/>
      <c r="AO365" s="26"/>
      <c r="AP365" s="26"/>
      <c r="AQ365" s="26"/>
      <c r="AR365" s="26"/>
      <c r="AS365" s="26"/>
      <c r="AT365" s="26"/>
      <c r="AU365" s="26"/>
      <c r="AV365" s="26"/>
      <c r="AW365" s="26"/>
      <c r="AX365" s="26"/>
      <c r="AY365" s="26"/>
      <c r="AZ365" s="26"/>
      <c r="BA365" s="26"/>
      <c r="BB365" s="26"/>
      <c r="BC365" s="26"/>
      <c r="BD365" s="26"/>
      <c r="BE365" s="26"/>
      <c r="BF365" s="26"/>
      <c r="BG365" s="26"/>
      <c r="BH365" s="26"/>
      <c r="BI365" s="26"/>
      <c r="BJ365" s="26"/>
      <c r="BK365" s="26"/>
    </row>
    <row r="366" ht="14.25" customHeight="1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  <c r="AF366" s="26"/>
      <c r="AG366" s="26"/>
      <c r="AH366" s="26"/>
      <c r="AI366" s="26"/>
      <c r="AJ366" s="26"/>
      <c r="AK366" s="26"/>
      <c r="AL366" s="26"/>
      <c r="AM366" s="26"/>
      <c r="AN366" s="26"/>
      <c r="AO366" s="26"/>
      <c r="AP366" s="26"/>
      <c r="AQ366" s="26"/>
      <c r="AR366" s="26"/>
      <c r="AS366" s="26"/>
      <c r="AT366" s="26"/>
      <c r="AU366" s="26"/>
      <c r="AV366" s="26"/>
      <c r="AW366" s="26"/>
      <c r="AX366" s="26"/>
      <c r="AY366" s="26"/>
      <c r="AZ366" s="26"/>
      <c r="BA366" s="26"/>
      <c r="BB366" s="26"/>
      <c r="BC366" s="26"/>
      <c r="BD366" s="26"/>
      <c r="BE366" s="26"/>
      <c r="BF366" s="26"/>
      <c r="BG366" s="26"/>
      <c r="BH366" s="26"/>
      <c r="BI366" s="26"/>
      <c r="BJ366" s="26"/>
      <c r="BK366" s="26"/>
    </row>
    <row r="367" ht="14.25" customHeight="1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  <c r="AE367" s="26"/>
      <c r="AF367" s="26"/>
      <c r="AG367" s="26"/>
      <c r="AH367" s="26"/>
      <c r="AI367" s="26"/>
      <c r="AJ367" s="26"/>
      <c r="AK367" s="26"/>
      <c r="AL367" s="26"/>
      <c r="AM367" s="26"/>
      <c r="AN367" s="26"/>
      <c r="AO367" s="26"/>
      <c r="AP367" s="26"/>
      <c r="AQ367" s="26"/>
      <c r="AR367" s="26"/>
      <c r="AS367" s="26"/>
      <c r="AT367" s="26"/>
      <c r="AU367" s="26"/>
      <c r="AV367" s="26"/>
      <c r="AW367" s="26"/>
      <c r="AX367" s="26"/>
      <c r="AY367" s="26"/>
      <c r="AZ367" s="26"/>
      <c r="BA367" s="26"/>
      <c r="BB367" s="26"/>
      <c r="BC367" s="26"/>
      <c r="BD367" s="26"/>
      <c r="BE367" s="26"/>
      <c r="BF367" s="26"/>
      <c r="BG367" s="26"/>
      <c r="BH367" s="26"/>
      <c r="BI367" s="26"/>
      <c r="BJ367" s="26"/>
      <c r="BK367" s="26"/>
    </row>
    <row r="368" ht="14.25" customHeight="1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  <c r="AE368" s="26"/>
      <c r="AF368" s="26"/>
      <c r="AG368" s="26"/>
      <c r="AH368" s="26"/>
      <c r="AI368" s="26"/>
      <c r="AJ368" s="26"/>
      <c r="AK368" s="26"/>
      <c r="AL368" s="26"/>
      <c r="AM368" s="26"/>
      <c r="AN368" s="26"/>
      <c r="AO368" s="26"/>
      <c r="AP368" s="26"/>
      <c r="AQ368" s="26"/>
      <c r="AR368" s="26"/>
      <c r="AS368" s="26"/>
      <c r="AT368" s="26"/>
      <c r="AU368" s="26"/>
      <c r="AV368" s="26"/>
      <c r="AW368" s="26"/>
      <c r="AX368" s="26"/>
      <c r="AY368" s="26"/>
      <c r="AZ368" s="26"/>
      <c r="BA368" s="26"/>
      <c r="BB368" s="26"/>
      <c r="BC368" s="26"/>
      <c r="BD368" s="26"/>
      <c r="BE368" s="26"/>
      <c r="BF368" s="26"/>
      <c r="BG368" s="26"/>
      <c r="BH368" s="26"/>
      <c r="BI368" s="26"/>
      <c r="BJ368" s="26"/>
      <c r="BK368" s="26"/>
    </row>
    <row r="369" ht="14.25" customHeight="1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  <c r="AE369" s="26"/>
      <c r="AF369" s="26"/>
      <c r="AG369" s="26"/>
      <c r="AH369" s="26"/>
      <c r="AI369" s="26"/>
      <c r="AJ369" s="26"/>
      <c r="AK369" s="26"/>
      <c r="AL369" s="26"/>
      <c r="AM369" s="26"/>
      <c r="AN369" s="26"/>
      <c r="AO369" s="26"/>
      <c r="AP369" s="26"/>
      <c r="AQ369" s="26"/>
      <c r="AR369" s="26"/>
      <c r="AS369" s="26"/>
      <c r="AT369" s="26"/>
      <c r="AU369" s="26"/>
      <c r="AV369" s="26"/>
      <c r="AW369" s="26"/>
      <c r="AX369" s="26"/>
      <c r="AY369" s="26"/>
      <c r="AZ369" s="26"/>
      <c r="BA369" s="26"/>
      <c r="BB369" s="26"/>
      <c r="BC369" s="26"/>
      <c r="BD369" s="26"/>
      <c r="BE369" s="26"/>
      <c r="BF369" s="26"/>
      <c r="BG369" s="26"/>
      <c r="BH369" s="26"/>
      <c r="BI369" s="26"/>
      <c r="BJ369" s="26"/>
      <c r="BK369" s="26"/>
    </row>
    <row r="370" ht="14.25" customHeight="1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  <c r="AF370" s="26"/>
      <c r="AG370" s="26"/>
      <c r="AH370" s="26"/>
      <c r="AI370" s="26"/>
      <c r="AJ370" s="26"/>
      <c r="AK370" s="26"/>
      <c r="AL370" s="26"/>
      <c r="AM370" s="26"/>
      <c r="AN370" s="26"/>
      <c r="AO370" s="26"/>
      <c r="AP370" s="26"/>
      <c r="AQ370" s="26"/>
      <c r="AR370" s="26"/>
      <c r="AS370" s="26"/>
      <c r="AT370" s="26"/>
      <c r="AU370" s="26"/>
      <c r="AV370" s="26"/>
      <c r="AW370" s="26"/>
      <c r="AX370" s="26"/>
      <c r="AY370" s="26"/>
      <c r="AZ370" s="26"/>
      <c r="BA370" s="26"/>
      <c r="BB370" s="26"/>
      <c r="BC370" s="26"/>
      <c r="BD370" s="26"/>
      <c r="BE370" s="26"/>
      <c r="BF370" s="26"/>
      <c r="BG370" s="26"/>
      <c r="BH370" s="26"/>
      <c r="BI370" s="26"/>
      <c r="BJ370" s="26"/>
      <c r="BK370" s="26"/>
    </row>
    <row r="371" ht="14.25" customHeight="1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  <c r="AE371" s="26"/>
      <c r="AF371" s="26"/>
      <c r="AG371" s="26"/>
      <c r="AH371" s="26"/>
      <c r="AI371" s="26"/>
      <c r="AJ371" s="26"/>
      <c r="AK371" s="26"/>
      <c r="AL371" s="26"/>
      <c r="AM371" s="26"/>
      <c r="AN371" s="26"/>
      <c r="AO371" s="26"/>
      <c r="AP371" s="26"/>
      <c r="AQ371" s="26"/>
      <c r="AR371" s="26"/>
      <c r="AS371" s="26"/>
      <c r="AT371" s="26"/>
      <c r="AU371" s="26"/>
      <c r="AV371" s="26"/>
      <c r="AW371" s="26"/>
      <c r="AX371" s="26"/>
      <c r="AY371" s="26"/>
      <c r="AZ371" s="26"/>
      <c r="BA371" s="26"/>
      <c r="BB371" s="26"/>
      <c r="BC371" s="26"/>
      <c r="BD371" s="26"/>
      <c r="BE371" s="26"/>
      <c r="BF371" s="26"/>
      <c r="BG371" s="26"/>
      <c r="BH371" s="26"/>
      <c r="BI371" s="26"/>
      <c r="BJ371" s="26"/>
      <c r="BK371" s="26"/>
    </row>
    <row r="372" ht="14.25" customHeight="1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  <c r="AE372" s="26"/>
      <c r="AF372" s="26"/>
      <c r="AG372" s="26"/>
      <c r="AH372" s="26"/>
      <c r="AI372" s="26"/>
      <c r="AJ372" s="26"/>
      <c r="AK372" s="26"/>
      <c r="AL372" s="26"/>
      <c r="AM372" s="26"/>
      <c r="AN372" s="26"/>
      <c r="AO372" s="26"/>
      <c r="AP372" s="26"/>
      <c r="AQ372" s="26"/>
      <c r="AR372" s="26"/>
      <c r="AS372" s="26"/>
      <c r="AT372" s="26"/>
      <c r="AU372" s="26"/>
      <c r="AV372" s="26"/>
      <c r="AW372" s="26"/>
      <c r="AX372" s="26"/>
      <c r="AY372" s="26"/>
      <c r="AZ372" s="26"/>
      <c r="BA372" s="26"/>
      <c r="BB372" s="26"/>
      <c r="BC372" s="26"/>
      <c r="BD372" s="26"/>
      <c r="BE372" s="26"/>
      <c r="BF372" s="26"/>
      <c r="BG372" s="26"/>
      <c r="BH372" s="26"/>
      <c r="BI372" s="26"/>
      <c r="BJ372" s="26"/>
      <c r="BK372" s="26"/>
    </row>
    <row r="373" ht="14.25" customHeight="1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  <c r="AE373" s="26"/>
      <c r="AF373" s="26"/>
      <c r="AG373" s="26"/>
      <c r="AH373" s="26"/>
      <c r="AI373" s="26"/>
      <c r="AJ373" s="26"/>
      <c r="AK373" s="26"/>
      <c r="AL373" s="26"/>
      <c r="AM373" s="26"/>
      <c r="AN373" s="26"/>
      <c r="AO373" s="26"/>
      <c r="AP373" s="26"/>
      <c r="AQ373" s="26"/>
      <c r="AR373" s="26"/>
      <c r="AS373" s="26"/>
      <c r="AT373" s="26"/>
      <c r="AU373" s="26"/>
      <c r="AV373" s="26"/>
      <c r="AW373" s="26"/>
      <c r="AX373" s="26"/>
      <c r="AY373" s="26"/>
      <c r="AZ373" s="26"/>
      <c r="BA373" s="26"/>
      <c r="BB373" s="26"/>
      <c r="BC373" s="26"/>
      <c r="BD373" s="26"/>
      <c r="BE373" s="26"/>
      <c r="BF373" s="26"/>
      <c r="BG373" s="26"/>
      <c r="BH373" s="26"/>
      <c r="BI373" s="26"/>
      <c r="BJ373" s="26"/>
      <c r="BK373" s="26"/>
    </row>
    <row r="374" ht="14.25" customHeight="1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  <c r="AE374" s="26"/>
      <c r="AF374" s="26"/>
      <c r="AG374" s="26"/>
      <c r="AH374" s="26"/>
      <c r="AI374" s="26"/>
      <c r="AJ374" s="26"/>
      <c r="AK374" s="26"/>
      <c r="AL374" s="26"/>
      <c r="AM374" s="26"/>
      <c r="AN374" s="26"/>
      <c r="AO374" s="26"/>
      <c r="AP374" s="26"/>
      <c r="AQ374" s="26"/>
      <c r="AR374" s="26"/>
      <c r="AS374" s="26"/>
      <c r="AT374" s="26"/>
      <c r="AU374" s="26"/>
      <c r="AV374" s="26"/>
      <c r="AW374" s="26"/>
      <c r="AX374" s="26"/>
      <c r="AY374" s="26"/>
      <c r="AZ374" s="26"/>
      <c r="BA374" s="26"/>
      <c r="BB374" s="26"/>
      <c r="BC374" s="26"/>
      <c r="BD374" s="26"/>
      <c r="BE374" s="26"/>
      <c r="BF374" s="26"/>
      <c r="BG374" s="26"/>
      <c r="BH374" s="26"/>
      <c r="BI374" s="26"/>
      <c r="BJ374" s="26"/>
      <c r="BK374" s="26"/>
    </row>
    <row r="375" ht="14.25" customHeight="1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  <c r="AE375" s="26"/>
      <c r="AF375" s="26"/>
      <c r="AG375" s="26"/>
      <c r="AH375" s="26"/>
      <c r="AI375" s="26"/>
      <c r="AJ375" s="26"/>
      <c r="AK375" s="26"/>
      <c r="AL375" s="26"/>
      <c r="AM375" s="26"/>
      <c r="AN375" s="26"/>
      <c r="AO375" s="26"/>
      <c r="AP375" s="26"/>
      <c r="AQ375" s="26"/>
      <c r="AR375" s="26"/>
      <c r="AS375" s="26"/>
      <c r="AT375" s="26"/>
      <c r="AU375" s="26"/>
      <c r="AV375" s="26"/>
      <c r="AW375" s="26"/>
      <c r="AX375" s="26"/>
      <c r="AY375" s="26"/>
      <c r="AZ375" s="26"/>
      <c r="BA375" s="26"/>
      <c r="BB375" s="26"/>
      <c r="BC375" s="26"/>
      <c r="BD375" s="26"/>
      <c r="BE375" s="26"/>
      <c r="BF375" s="26"/>
      <c r="BG375" s="26"/>
      <c r="BH375" s="26"/>
      <c r="BI375" s="26"/>
      <c r="BJ375" s="26"/>
      <c r="BK375" s="26"/>
    </row>
    <row r="376" ht="14.25" customHeight="1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26"/>
      <c r="AF376" s="26"/>
      <c r="AG376" s="26"/>
      <c r="AH376" s="26"/>
      <c r="AI376" s="26"/>
      <c r="AJ376" s="26"/>
      <c r="AK376" s="26"/>
      <c r="AL376" s="26"/>
      <c r="AM376" s="26"/>
      <c r="AN376" s="26"/>
      <c r="AO376" s="26"/>
      <c r="AP376" s="26"/>
      <c r="AQ376" s="26"/>
      <c r="AR376" s="26"/>
      <c r="AS376" s="26"/>
      <c r="AT376" s="26"/>
      <c r="AU376" s="26"/>
      <c r="AV376" s="26"/>
      <c r="AW376" s="26"/>
      <c r="AX376" s="26"/>
      <c r="AY376" s="26"/>
      <c r="AZ376" s="26"/>
      <c r="BA376" s="26"/>
      <c r="BB376" s="26"/>
      <c r="BC376" s="26"/>
      <c r="BD376" s="26"/>
      <c r="BE376" s="26"/>
      <c r="BF376" s="26"/>
      <c r="BG376" s="26"/>
      <c r="BH376" s="26"/>
      <c r="BI376" s="26"/>
      <c r="BJ376" s="26"/>
      <c r="BK376" s="26"/>
    </row>
    <row r="377" ht="14.25" customHeight="1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  <c r="AE377" s="26"/>
      <c r="AF377" s="26"/>
      <c r="AG377" s="26"/>
      <c r="AH377" s="26"/>
      <c r="AI377" s="26"/>
      <c r="AJ377" s="26"/>
      <c r="AK377" s="26"/>
      <c r="AL377" s="26"/>
      <c r="AM377" s="26"/>
      <c r="AN377" s="26"/>
      <c r="AO377" s="26"/>
      <c r="AP377" s="26"/>
      <c r="AQ377" s="26"/>
      <c r="AR377" s="26"/>
      <c r="AS377" s="26"/>
      <c r="AT377" s="26"/>
      <c r="AU377" s="26"/>
      <c r="AV377" s="26"/>
      <c r="AW377" s="26"/>
      <c r="AX377" s="26"/>
      <c r="AY377" s="26"/>
      <c r="AZ377" s="26"/>
      <c r="BA377" s="26"/>
      <c r="BB377" s="26"/>
      <c r="BC377" s="26"/>
      <c r="BD377" s="26"/>
      <c r="BE377" s="26"/>
      <c r="BF377" s="26"/>
      <c r="BG377" s="26"/>
      <c r="BH377" s="26"/>
      <c r="BI377" s="26"/>
      <c r="BJ377" s="26"/>
      <c r="BK377" s="26"/>
    </row>
    <row r="378" ht="14.25" customHeight="1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  <c r="AE378" s="26"/>
      <c r="AF378" s="26"/>
      <c r="AG378" s="26"/>
      <c r="AH378" s="26"/>
      <c r="AI378" s="26"/>
      <c r="AJ378" s="26"/>
      <c r="AK378" s="26"/>
      <c r="AL378" s="26"/>
      <c r="AM378" s="26"/>
      <c r="AN378" s="26"/>
      <c r="AO378" s="26"/>
      <c r="AP378" s="26"/>
      <c r="AQ378" s="26"/>
      <c r="AR378" s="26"/>
      <c r="AS378" s="26"/>
      <c r="AT378" s="26"/>
      <c r="AU378" s="26"/>
      <c r="AV378" s="26"/>
      <c r="AW378" s="26"/>
      <c r="AX378" s="26"/>
      <c r="AY378" s="26"/>
      <c r="AZ378" s="26"/>
      <c r="BA378" s="26"/>
      <c r="BB378" s="26"/>
      <c r="BC378" s="26"/>
      <c r="BD378" s="26"/>
      <c r="BE378" s="26"/>
      <c r="BF378" s="26"/>
      <c r="BG378" s="26"/>
      <c r="BH378" s="26"/>
      <c r="BI378" s="26"/>
      <c r="BJ378" s="26"/>
      <c r="BK378" s="26"/>
    </row>
    <row r="379" ht="14.25" customHeight="1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  <c r="AE379" s="26"/>
      <c r="AF379" s="26"/>
      <c r="AG379" s="26"/>
      <c r="AH379" s="26"/>
      <c r="AI379" s="26"/>
      <c r="AJ379" s="26"/>
      <c r="AK379" s="26"/>
      <c r="AL379" s="26"/>
      <c r="AM379" s="26"/>
      <c r="AN379" s="26"/>
      <c r="AO379" s="26"/>
      <c r="AP379" s="26"/>
      <c r="AQ379" s="26"/>
      <c r="AR379" s="26"/>
      <c r="AS379" s="26"/>
      <c r="AT379" s="26"/>
      <c r="AU379" s="26"/>
      <c r="AV379" s="26"/>
      <c r="AW379" s="26"/>
      <c r="AX379" s="26"/>
      <c r="AY379" s="26"/>
      <c r="AZ379" s="26"/>
      <c r="BA379" s="26"/>
      <c r="BB379" s="26"/>
      <c r="BC379" s="26"/>
      <c r="BD379" s="26"/>
      <c r="BE379" s="26"/>
      <c r="BF379" s="26"/>
      <c r="BG379" s="26"/>
      <c r="BH379" s="26"/>
      <c r="BI379" s="26"/>
      <c r="BJ379" s="26"/>
      <c r="BK379" s="26"/>
    </row>
    <row r="380" ht="14.25" customHeight="1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  <c r="AF380" s="26"/>
      <c r="AG380" s="26"/>
      <c r="AH380" s="26"/>
      <c r="AI380" s="26"/>
      <c r="AJ380" s="26"/>
      <c r="AK380" s="26"/>
      <c r="AL380" s="26"/>
      <c r="AM380" s="26"/>
      <c r="AN380" s="26"/>
      <c r="AO380" s="26"/>
      <c r="AP380" s="26"/>
      <c r="AQ380" s="26"/>
      <c r="AR380" s="26"/>
      <c r="AS380" s="26"/>
      <c r="AT380" s="26"/>
      <c r="AU380" s="26"/>
      <c r="AV380" s="26"/>
      <c r="AW380" s="26"/>
      <c r="AX380" s="26"/>
      <c r="AY380" s="26"/>
      <c r="AZ380" s="26"/>
      <c r="BA380" s="26"/>
      <c r="BB380" s="26"/>
      <c r="BC380" s="26"/>
      <c r="BD380" s="26"/>
      <c r="BE380" s="26"/>
      <c r="BF380" s="26"/>
      <c r="BG380" s="26"/>
      <c r="BH380" s="26"/>
      <c r="BI380" s="26"/>
      <c r="BJ380" s="26"/>
      <c r="BK380" s="26"/>
    </row>
    <row r="381" ht="14.25" customHeight="1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  <c r="AE381" s="26"/>
      <c r="AF381" s="26"/>
      <c r="AG381" s="26"/>
      <c r="AH381" s="26"/>
      <c r="AI381" s="26"/>
      <c r="AJ381" s="26"/>
      <c r="AK381" s="26"/>
      <c r="AL381" s="26"/>
      <c r="AM381" s="26"/>
      <c r="AN381" s="26"/>
      <c r="AO381" s="26"/>
      <c r="AP381" s="26"/>
      <c r="AQ381" s="26"/>
      <c r="AR381" s="26"/>
      <c r="AS381" s="26"/>
      <c r="AT381" s="26"/>
      <c r="AU381" s="26"/>
      <c r="AV381" s="26"/>
      <c r="AW381" s="26"/>
      <c r="AX381" s="26"/>
      <c r="AY381" s="26"/>
      <c r="AZ381" s="26"/>
      <c r="BA381" s="26"/>
      <c r="BB381" s="26"/>
      <c r="BC381" s="26"/>
      <c r="BD381" s="26"/>
      <c r="BE381" s="26"/>
      <c r="BF381" s="26"/>
      <c r="BG381" s="26"/>
      <c r="BH381" s="26"/>
      <c r="BI381" s="26"/>
      <c r="BJ381" s="26"/>
      <c r="BK381" s="26"/>
    </row>
    <row r="382" ht="14.25" customHeight="1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  <c r="AE382" s="26"/>
      <c r="AF382" s="26"/>
      <c r="AG382" s="26"/>
      <c r="AH382" s="26"/>
      <c r="AI382" s="26"/>
      <c r="AJ382" s="26"/>
      <c r="AK382" s="26"/>
      <c r="AL382" s="26"/>
      <c r="AM382" s="26"/>
      <c r="AN382" s="26"/>
      <c r="AO382" s="26"/>
      <c r="AP382" s="26"/>
      <c r="AQ382" s="26"/>
      <c r="AR382" s="26"/>
      <c r="AS382" s="26"/>
      <c r="AT382" s="26"/>
      <c r="AU382" s="26"/>
      <c r="AV382" s="26"/>
      <c r="AW382" s="26"/>
      <c r="AX382" s="26"/>
      <c r="AY382" s="26"/>
      <c r="AZ382" s="26"/>
      <c r="BA382" s="26"/>
      <c r="BB382" s="26"/>
      <c r="BC382" s="26"/>
      <c r="BD382" s="26"/>
      <c r="BE382" s="26"/>
      <c r="BF382" s="26"/>
      <c r="BG382" s="26"/>
      <c r="BH382" s="26"/>
      <c r="BI382" s="26"/>
      <c r="BJ382" s="26"/>
      <c r="BK382" s="26"/>
    </row>
    <row r="383" ht="14.25" customHeight="1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  <c r="AE383" s="26"/>
      <c r="AF383" s="26"/>
      <c r="AG383" s="26"/>
      <c r="AH383" s="26"/>
      <c r="AI383" s="26"/>
      <c r="AJ383" s="26"/>
      <c r="AK383" s="26"/>
      <c r="AL383" s="26"/>
      <c r="AM383" s="26"/>
      <c r="AN383" s="26"/>
      <c r="AO383" s="26"/>
      <c r="AP383" s="26"/>
      <c r="AQ383" s="26"/>
      <c r="AR383" s="26"/>
      <c r="AS383" s="26"/>
      <c r="AT383" s="26"/>
      <c r="AU383" s="26"/>
      <c r="AV383" s="26"/>
      <c r="AW383" s="26"/>
      <c r="AX383" s="26"/>
      <c r="AY383" s="26"/>
      <c r="AZ383" s="26"/>
      <c r="BA383" s="26"/>
      <c r="BB383" s="26"/>
      <c r="BC383" s="26"/>
      <c r="BD383" s="26"/>
      <c r="BE383" s="26"/>
      <c r="BF383" s="26"/>
      <c r="BG383" s="26"/>
      <c r="BH383" s="26"/>
      <c r="BI383" s="26"/>
      <c r="BJ383" s="26"/>
      <c r="BK383" s="26"/>
    </row>
    <row r="384" ht="14.25" customHeight="1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  <c r="AE384" s="26"/>
      <c r="AF384" s="26"/>
      <c r="AG384" s="26"/>
      <c r="AH384" s="26"/>
      <c r="AI384" s="26"/>
      <c r="AJ384" s="26"/>
      <c r="AK384" s="26"/>
      <c r="AL384" s="26"/>
      <c r="AM384" s="26"/>
      <c r="AN384" s="26"/>
      <c r="AO384" s="26"/>
      <c r="AP384" s="26"/>
      <c r="AQ384" s="26"/>
      <c r="AR384" s="26"/>
      <c r="AS384" s="26"/>
      <c r="AT384" s="26"/>
      <c r="AU384" s="26"/>
      <c r="AV384" s="26"/>
      <c r="AW384" s="26"/>
      <c r="AX384" s="26"/>
      <c r="AY384" s="26"/>
      <c r="AZ384" s="26"/>
      <c r="BA384" s="26"/>
      <c r="BB384" s="26"/>
      <c r="BC384" s="26"/>
      <c r="BD384" s="26"/>
      <c r="BE384" s="26"/>
      <c r="BF384" s="26"/>
      <c r="BG384" s="26"/>
      <c r="BH384" s="26"/>
      <c r="BI384" s="26"/>
      <c r="BJ384" s="26"/>
      <c r="BK384" s="26"/>
    </row>
    <row r="385" ht="14.25" customHeight="1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  <c r="AE385" s="26"/>
      <c r="AF385" s="26"/>
      <c r="AG385" s="26"/>
      <c r="AH385" s="26"/>
      <c r="AI385" s="26"/>
      <c r="AJ385" s="26"/>
      <c r="AK385" s="26"/>
      <c r="AL385" s="26"/>
      <c r="AM385" s="26"/>
      <c r="AN385" s="26"/>
      <c r="AO385" s="26"/>
      <c r="AP385" s="26"/>
      <c r="AQ385" s="26"/>
      <c r="AR385" s="26"/>
      <c r="AS385" s="26"/>
      <c r="AT385" s="26"/>
      <c r="AU385" s="26"/>
      <c r="AV385" s="26"/>
      <c r="AW385" s="26"/>
      <c r="AX385" s="26"/>
      <c r="AY385" s="26"/>
      <c r="AZ385" s="26"/>
      <c r="BA385" s="26"/>
      <c r="BB385" s="26"/>
      <c r="BC385" s="26"/>
      <c r="BD385" s="26"/>
      <c r="BE385" s="26"/>
      <c r="BF385" s="26"/>
      <c r="BG385" s="26"/>
      <c r="BH385" s="26"/>
      <c r="BI385" s="26"/>
      <c r="BJ385" s="26"/>
      <c r="BK385" s="26"/>
    </row>
    <row r="386" ht="14.25" customHeight="1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  <c r="AE386" s="26"/>
      <c r="AF386" s="26"/>
      <c r="AG386" s="26"/>
      <c r="AH386" s="26"/>
      <c r="AI386" s="26"/>
      <c r="AJ386" s="26"/>
      <c r="AK386" s="26"/>
      <c r="AL386" s="26"/>
      <c r="AM386" s="26"/>
      <c r="AN386" s="26"/>
      <c r="AO386" s="26"/>
      <c r="AP386" s="26"/>
      <c r="AQ386" s="26"/>
      <c r="AR386" s="26"/>
      <c r="AS386" s="26"/>
      <c r="AT386" s="26"/>
      <c r="AU386" s="26"/>
      <c r="AV386" s="26"/>
      <c r="AW386" s="26"/>
      <c r="AX386" s="26"/>
      <c r="AY386" s="26"/>
      <c r="AZ386" s="26"/>
      <c r="BA386" s="26"/>
      <c r="BB386" s="26"/>
      <c r="BC386" s="26"/>
      <c r="BD386" s="26"/>
      <c r="BE386" s="26"/>
      <c r="BF386" s="26"/>
      <c r="BG386" s="26"/>
      <c r="BH386" s="26"/>
      <c r="BI386" s="26"/>
      <c r="BJ386" s="26"/>
      <c r="BK386" s="26"/>
    </row>
    <row r="387" ht="14.25" customHeight="1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  <c r="AD387" s="26"/>
      <c r="AE387" s="26"/>
      <c r="AF387" s="26"/>
      <c r="AG387" s="26"/>
      <c r="AH387" s="26"/>
      <c r="AI387" s="26"/>
      <c r="AJ387" s="26"/>
      <c r="AK387" s="26"/>
      <c r="AL387" s="26"/>
      <c r="AM387" s="26"/>
      <c r="AN387" s="26"/>
      <c r="AO387" s="26"/>
      <c r="AP387" s="26"/>
      <c r="AQ387" s="26"/>
      <c r="AR387" s="26"/>
      <c r="AS387" s="26"/>
      <c r="AT387" s="26"/>
      <c r="AU387" s="26"/>
      <c r="AV387" s="26"/>
      <c r="AW387" s="26"/>
      <c r="AX387" s="26"/>
      <c r="AY387" s="26"/>
      <c r="AZ387" s="26"/>
      <c r="BA387" s="26"/>
      <c r="BB387" s="26"/>
      <c r="BC387" s="26"/>
      <c r="BD387" s="26"/>
      <c r="BE387" s="26"/>
      <c r="BF387" s="26"/>
      <c r="BG387" s="26"/>
      <c r="BH387" s="26"/>
      <c r="BI387" s="26"/>
      <c r="BJ387" s="26"/>
      <c r="BK387" s="26"/>
    </row>
    <row r="388" ht="14.25" customHeight="1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  <c r="AE388" s="26"/>
      <c r="AF388" s="26"/>
      <c r="AG388" s="26"/>
      <c r="AH388" s="26"/>
      <c r="AI388" s="26"/>
      <c r="AJ388" s="26"/>
      <c r="AK388" s="26"/>
      <c r="AL388" s="26"/>
      <c r="AM388" s="26"/>
      <c r="AN388" s="26"/>
      <c r="AO388" s="26"/>
      <c r="AP388" s="26"/>
      <c r="AQ388" s="26"/>
      <c r="AR388" s="26"/>
      <c r="AS388" s="26"/>
      <c r="AT388" s="26"/>
      <c r="AU388" s="26"/>
      <c r="AV388" s="26"/>
      <c r="AW388" s="26"/>
      <c r="AX388" s="26"/>
      <c r="AY388" s="26"/>
      <c r="AZ388" s="26"/>
      <c r="BA388" s="26"/>
      <c r="BB388" s="26"/>
      <c r="BC388" s="26"/>
      <c r="BD388" s="26"/>
      <c r="BE388" s="26"/>
      <c r="BF388" s="26"/>
      <c r="BG388" s="26"/>
      <c r="BH388" s="26"/>
      <c r="BI388" s="26"/>
      <c r="BJ388" s="26"/>
      <c r="BK388" s="26"/>
    </row>
    <row r="389" ht="14.25" customHeight="1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26"/>
      <c r="AE389" s="26"/>
      <c r="AF389" s="26"/>
      <c r="AG389" s="26"/>
      <c r="AH389" s="26"/>
      <c r="AI389" s="26"/>
      <c r="AJ389" s="26"/>
      <c r="AK389" s="26"/>
      <c r="AL389" s="26"/>
      <c r="AM389" s="26"/>
      <c r="AN389" s="26"/>
      <c r="AO389" s="26"/>
      <c r="AP389" s="26"/>
      <c r="AQ389" s="26"/>
      <c r="AR389" s="26"/>
      <c r="AS389" s="26"/>
      <c r="AT389" s="26"/>
      <c r="AU389" s="26"/>
      <c r="AV389" s="26"/>
      <c r="AW389" s="26"/>
      <c r="AX389" s="26"/>
      <c r="AY389" s="26"/>
      <c r="AZ389" s="26"/>
      <c r="BA389" s="26"/>
      <c r="BB389" s="26"/>
      <c r="BC389" s="26"/>
      <c r="BD389" s="26"/>
      <c r="BE389" s="26"/>
      <c r="BF389" s="26"/>
      <c r="BG389" s="26"/>
      <c r="BH389" s="26"/>
      <c r="BI389" s="26"/>
      <c r="BJ389" s="26"/>
      <c r="BK389" s="26"/>
    </row>
    <row r="390" ht="14.25" customHeight="1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  <c r="AE390" s="26"/>
      <c r="AF390" s="26"/>
      <c r="AG390" s="26"/>
      <c r="AH390" s="26"/>
      <c r="AI390" s="26"/>
      <c r="AJ390" s="26"/>
      <c r="AK390" s="26"/>
      <c r="AL390" s="26"/>
      <c r="AM390" s="26"/>
      <c r="AN390" s="26"/>
      <c r="AO390" s="26"/>
      <c r="AP390" s="26"/>
      <c r="AQ390" s="26"/>
      <c r="AR390" s="26"/>
      <c r="AS390" s="26"/>
      <c r="AT390" s="26"/>
      <c r="AU390" s="26"/>
      <c r="AV390" s="26"/>
      <c r="AW390" s="26"/>
      <c r="AX390" s="26"/>
      <c r="AY390" s="26"/>
      <c r="AZ390" s="26"/>
      <c r="BA390" s="26"/>
      <c r="BB390" s="26"/>
      <c r="BC390" s="26"/>
      <c r="BD390" s="26"/>
      <c r="BE390" s="26"/>
      <c r="BF390" s="26"/>
      <c r="BG390" s="26"/>
      <c r="BH390" s="26"/>
      <c r="BI390" s="26"/>
      <c r="BJ390" s="26"/>
      <c r="BK390" s="26"/>
    </row>
    <row r="391" ht="14.25" customHeight="1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  <c r="AD391" s="26"/>
      <c r="AE391" s="26"/>
      <c r="AF391" s="26"/>
      <c r="AG391" s="26"/>
      <c r="AH391" s="26"/>
      <c r="AI391" s="26"/>
      <c r="AJ391" s="26"/>
      <c r="AK391" s="26"/>
      <c r="AL391" s="26"/>
      <c r="AM391" s="26"/>
      <c r="AN391" s="26"/>
      <c r="AO391" s="26"/>
      <c r="AP391" s="26"/>
      <c r="AQ391" s="26"/>
      <c r="AR391" s="26"/>
      <c r="AS391" s="26"/>
      <c r="AT391" s="26"/>
      <c r="AU391" s="26"/>
      <c r="AV391" s="26"/>
      <c r="AW391" s="26"/>
      <c r="AX391" s="26"/>
      <c r="AY391" s="26"/>
      <c r="AZ391" s="26"/>
      <c r="BA391" s="26"/>
      <c r="BB391" s="26"/>
      <c r="BC391" s="26"/>
      <c r="BD391" s="26"/>
      <c r="BE391" s="26"/>
      <c r="BF391" s="26"/>
      <c r="BG391" s="26"/>
      <c r="BH391" s="26"/>
      <c r="BI391" s="26"/>
      <c r="BJ391" s="26"/>
      <c r="BK391" s="26"/>
    </row>
    <row r="392" ht="14.25" customHeight="1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  <c r="AE392" s="26"/>
      <c r="AF392" s="26"/>
      <c r="AG392" s="26"/>
      <c r="AH392" s="26"/>
      <c r="AI392" s="26"/>
      <c r="AJ392" s="26"/>
      <c r="AK392" s="26"/>
      <c r="AL392" s="26"/>
      <c r="AM392" s="26"/>
      <c r="AN392" s="26"/>
      <c r="AO392" s="26"/>
      <c r="AP392" s="26"/>
      <c r="AQ392" s="26"/>
      <c r="AR392" s="26"/>
      <c r="AS392" s="26"/>
      <c r="AT392" s="26"/>
      <c r="AU392" s="26"/>
      <c r="AV392" s="26"/>
      <c r="AW392" s="26"/>
      <c r="AX392" s="26"/>
      <c r="AY392" s="26"/>
      <c r="AZ392" s="26"/>
      <c r="BA392" s="26"/>
      <c r="BB392" s="26"/>
      <c r="BC392" s="26"/>
      <c r="BD392" s="26"/>
      <c r="BE392" s="26"/>
      <c r="BF392" s="26"/>
      <c r="BG392" s="26"/>
      <c r="BH392" s="26"/>
      <c r="BI392" s="26"/>
      <c r="BJ392" s="26"/>
      <c r="BK392" s="26"/>
    </row>
    <row r="393" ht="14.25" customHeight="1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  <c r="AE393" s="26"/>
      <c r="AF393" s="26"/>
      <c r="AG393" s="26"/>
      <c r="AH393" s="26"/>
      <c r="AI393" s="26"/>
      <c r="AJ393" s="26"/>
      <c r="AK393" s="26"/>
      <c r="AL393" s="26"/>
      <c r="AM393" s="26"/>
      <c r="AN393" s="26"/>
      <c r="AO393" s="26"/>
      <c r="AP393" s="26"/>
      <c r="AQ393" s="26"/>
      <c r="AR393" s="26"/>
      <c r="AS393" s="26"/>
      <c r="AT393" s="26"/>
      <c r="AU393" s="26"/>
      <c r="AV393" s="26"/>
      <c r="AW393" s="26"/>
      <c r="AX393" s="26"/>
      <c r="AY393" s="26"/>
      <c r="AZ393" s="26"/>
      <c r="BA393" s="26"/>
      <c r="BB393" s="26"/>
      <c r="BC393" s="26"/>
      <c r="BD393" s="26"/>
      <c r="BE393" s="26"/>
      <c r="BF393" s="26"/>
      <c r="BG393" s="26"/>
      <c r="BH393" s="26"/>
      <c r="BI393" s="26"/>
      <c r="BJ393" s="26"/>
      <c r="BK393" s="26"/>
    </row>
    <row r="394" ht="14.25" customHeight="1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  <c r="AE394" s="26"/>
      <c r="AF394" s="26"/>
      <c r="AG394" s="26"/>
      <c r="AH394" s="26"/>
      <c r="AI394" s="26"/>
      <c r="AJ394" s="26"/>
      <c r="AK394" s="26"/>
      <c r="AL394" s="26"/>
      <c r="AM394" s="26"/>
      <c r="AN394" s="26"/>
      <c r="AO394" s="26"/>
      <c r="AP394" s="26"/>
      <c r="AQ394" s="26"/>
      <c r="AR394" s="26"/>
      <c r="AS394" s="26"/>
      <c r="AT394" s="26"/>
      <c r="AU394" s="26"/>
      <c r="AV394" s="26"/>
      <c r="AW394" s="26"/>
      <c r="AX394" s="26"/>
      <c r="AY394" s="26"/>
      <c r="AZ394" s="26"/>
      <c r="BA394" s="26"/>
      <c r="BB394" s="26"/>
      <c r="BC394" s="26"/>
      <c r="BD394" s="26"/>
      <c r="BE394" s="26"/>
      <c r="BF394" s="26"/>
      <c r="BG394" s="26"/>
      <c r="BH394" s="26"/>
      <c r="BI394" s="26"/>
      <c r="BJ394" s="26"/>
      <c r="BK394" s="26"/>
    </row>
    <row r="395" ht="14.25" customHeight="1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  <c r="AE395" s="26"/>
      <c r="AF395" s="26"/>
      <c r="AG395" s="26"/>
      <c r="AH395" s="26"/>
      <c r="AI395" s="26"/>
      <c r="AJ395" s="26"/>
      <c r="AK395" s="26"/>
      <c r="AL395" s="26"/>
      <c r="AM395" s="26"/>
      <c r="AN395" s="26"/>
      <c r="AO395" s="26"/>
      <c r="AP395" s="26"/>
      <c r="AQ395" s="26"/>
      <c r="AR395" s="26"/>
      <c r="AS395" s="26"/>
      <c r="AT395" s="26"/>
      <c r="AU395" s="26"/>
      <c r="AV395" s="26"/>
      <c r="AW395" s="26"/>
      <c r="AX395" s="26"/>
      <c r="AY395" s="26"/>
      <c r="AZ395" s="26"/>
      <c r="BA395" s="26"/>
      <c r="BB395" s="26"/>
      <c r="BC395" s="26"/>
      <c r="BD395" s="26"/>
      <c r="BE395" s="26"/>
      <c r="BF395" s="26"/>
      <c r="BG395" s="26"/>
      <c r="BH395" s="26"/>
      <c r="BI395" s="26"/>
      <c r="BJ395" s="26"/>
      <c r="BK395" s="26"/>
    </row>
    <row r="396" ht="14.25" customHeight="1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  <c r="AE396" s="26"/>
      <c r="AF396" s="26"/>
      <c r="AG396" s="26"/>
      <c r="AH396" s="26"/>
      <c r="AI396" s="26"/>
      <c r="AJ396" s="26"/>
      <c r="AK396" s="26"/>
      <c r="AL396" s="26"/>
      <c r="AM396" s="26"/>
      <c r="AN396" s="26"/>
      <c r="AO396" s="26"/>
      <c r="AP396" s="26"/>
      <c r="AQ396" s="26"/>
      <c r="AR396" s="26"/>
      <c r="AS396" s="26"/>
      <c r="AT396" s="26"/>
      <c r="AU396" s="26"/>
      <c r="AV396" s="26"/>
      <c r="AW396" s="26"/>
      <c r="AX396" s="26"/>
      <c r="AY396" s="26"/>
      <c r="AZ396" s="26"/>
      <c r="BA396" s="26"/>
      <c r="BB396" s="26"/>
      <c r="BC396" s="26"/>
      <c r="BD396" s="26"/>
      <c r="BE396" s="26"/>
      <c r="BF396" s="26"/>
      <c r="BG396" s="26"/>
      <c r="BH396" s="26"/>
      <c r="BI396" s="26"/>
      <c r="BJ396" s="26"/>
      <c r="BK396" s="26"/>
    </row>
    <row r="397" ht="14.25" customHeight="1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  <c r="AE397" s="26"/>
      <c r="AF397" s="26"/>
      <c r="AG397" s="26"/>
      <c r="AH397" s="26"/>
      <c r="AI397" s="26"/>
      <c r="AJ397" s="26"/>
      <c r="AK397" s="26"/>
      <c r="AL397" s="26"/>
      <c r="AM397" s="26"/>
      <c r="AN397" s="26"/>
      <c r="AO397" s="26"/>
      <c r="AP397" s="26"/>
      <c r="AQ397" s="26"/>
      <c r="AR397" s="26"/>
      <c r="AS397" s="26"/>
      <c r="AT397" s="26"/>
      <c r="AU397" s="26"/>
      <c r="AV397" s="26"/>
      <c r="AW397" s="26"/>
      <c r="AX397" s="26"/>
      <c r="AY397" s="26"/>
      <c r="AZ397" s="26"/>
      <c r="BA397" s="26"/>
      <c r="BB397" s="26"/>
      <c r="BC397" s="26"/>
      <c r="BD397" s="26"/>
      <c r="BE397" s="26"/>
      <c r="BF397" s="26"/>
      <c r="BG397" s="26"/>
      <c r="BH397" s="26"/>
      <c r="BI397" s="26"/>
      <c r="BJ397" s="26"/>
      <c r="BK397" s="26"/>
    </row>
    <row r="398" ht="14.25" customHeight="1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  <c r="AE398" s="26"/>
      <c r="AF398" s="26"/>
      <c r="AG398" s="26"/>
      <c r="AH398" s="26"/>
      <c r="AI398" s="26"/>
      <c r="AJ398" s="26"/>
      <c r="AK398" s="26"/>
      <c r="AL398" s="26"/>
      <c r="AM398" s="26"/>
      <c r="AN398" s="26"/>
      <c r="AO398" s="26"/>
      <c r="AP398" s="26"/>
      <c r="AQ398" s="26"/>
      <c r="AR398" s="26"/>
      <c r="AS398" s="26"/>
      <c r="AT398" s="26"/>
      <c r="AU398" s="26"/>
      <c r="AV398" s="26"/>
      <c r="AW398" s="26"/>
      <c r="AX398" s="26"/>
      <c r="AY398" s="26"/>
      <c r="AZ398" s="26"/>
      <c r="BA398" s="26"/>
      <c r="BB398" s="26"/>
      <c r="BC398" s="26"/>
      <c r="BD398" s="26"/>
      <c r="BE398" s="26"/>
      <c r="BF398" s="26"/>
      <c r="BG398" s="26"/>
      <c r="BH398" s="26"/>
      <c r="BI398" s="26"/>
      <c r="BJ398" s="26"/>
      <c r="BK398" s="26"/>
    </row>
    <row r="399" ht="14.25" customHeight="1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  <c r="AE399" s="26"/>
      <c r="AF399" s="26"/>
      <c r="AG399" s="26"/>
      <c r="AH399" s="26"/>
      <c r="AI399" s="26"/>
      <c r="AJ399" s="26"/>
      <c r="AK399" s="26"/>
      <c r="AL399" s="26"/>
      <c r="AM399" s="26"/>
      <c r="AN399" s="26"/>
      <c r="AO399" s="26"/>
      <c r="AP399" s="26"/>
      <c r="AQ399" s="26"/>
      <c r="AR399" s="26"/>
      <c r="AS399" s="26"/>
      <c r="AT399" s="26"/>
      <c r="AU399" s="26"/>
      <c r="AV399" s="26"/>
      <c r="AW399" s="26"/>
      <c r="AX399" s="26"/>
      <c r="AY399" s="26"/>
      <c r="AZ399" s="26"/>
      <c r="BA399" s="26"/>
      <c r="BB399" s="26"/>
      <c r="BC399" s="26"/>
      <c r="BD399" s="26"/>
      <c r="BE399" s="26"/>
      <c r="BF399" s="26"/>
      <c r="BG399" s="26"/>
      <c r="BH399" s="26"/>
      <c r="BI399" s="26"/>
      <c r="BJ399" s="26"/>
      <c r="BK399" s="26"/>
    </row>
    <row r="400" ht="14.25" customHeight="1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  <c r="AE400" s="26"/>
      <c r="AF400" s="26"/>
      <c r="AG400" s="26"/>
      <c r="AH400" s="26"/>
      <c r="AI400" s="26"/>
      <c r="AJ400" s="26"/>
      <c r="AK400" s="26"/>
      <c r="AL400" s="26"/>
      <c r="AM400" s="26"/>
      <c r="AN400" s="26"/>
      <c r="AO400" s="26"/>
      <c r="AP400" s="26"/>
      <c r="AQ400" s="26"/>
      <c r="AR400" s="26"/>
      <c r="AS400" s="26"/>
      <c r="AT400" s="26"/>
      <c r="AU400" s="26"/>
      <c r="AV400" s="26"/>
      <c r="AW400" s="26"/>
      <c r="AX400" s="26"/>
      <c r="AY400" s="26"/>
      <c r="AZ400" s="26"/>
      <c r="BA400" s="26"/>
      <c r="BB400" s="26"/>
      <c r="BC400" s="26"/>
      <c r="BD400" s="26"/>
      <c r="BE400" s="26"/>
      <c r="BF400" s="26"/>
      <c r="BG400" s="26"/>
      <c r="BH400" s="26"/>
      <c r="BI400" s="26"/>
      <c r="BJ400" s="26"/>
      <c r="BK400" s="26"/>
    </row>
    <row r="401" ht="14.25" customHeight="1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  <c r="AD401" s="26"/>
      <c r="AE401" s="26"/>
      <c r="AF401" s="26"/>
      <c r="AG401" s="26"/>
      <c r="AH401" s="26"/>
      <c r="AI401" s="26"/>
      <c r="AJ401" s="26"/>
      <c r="AK401" s="26"/>
      <c r="AL401" s="26"/>
      <c r="AM401" s="26"/>
      <c r="AN401" s="26"/>
      <c r="AO401" s="26"/>
      <c r="AP401" s="26"/>
      <c r="AQ401" s="26"/>
      <c r="AR401" s="26"/>
      <c r="AS401" s="26"/>
      <c r="AT401" s="26"/>
      <c r="AU401" s="26"/>
      <c r="AV401" s="26"/>
      <c r="AW401" s="26"/>
      <c r="AX401" s="26"/>
      <c r="AY401" s="26"/>
      <c r="AZ401" s="26"/>
      <c r="BA401" s="26"/>
      <c r="BB401" s="26"/>
      <c r="BC401" s="26"/>
      <c r="BD401" s="26"/>
      <c r="BE401" s="26"/>
      <c r="BF401" s="26"/>
      <c r="BG401" s="26"/>
      <c r="BH401" s="26"/>
      <c r="BI401" s="26"/>
      <c r="BJ401" s="26"/>
      <c r="BK401" s="26"/>
    </row>
    <row r="402" ht="14.25" customHeight="1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  <c r="AD402" s="26"/>
      <c r="AE402" s="26"/>
      <c r="AF402" s="26"/>
      <c r="AG402" s="26"/>
      <c r="AH402" s="26"/>
      <c r="AI402" s="26"/>
      <c r="AJ402" s="26"/>
      <c r="AK402" s="26"/>
      <c r="AL402" s="26"/>
      <c r="AM402" s="26"/>
      <c r="AN402" s="26"/>
      <c r="AO402" s="26"/>
      <c r="AP402" s="26"/>
      <c r="AQ402" s="26"/>
      <c r="AR402" s="26"/>
      <c r="AS402" s="26"/>
      <c r="AT402" s="26"/>
      <c r="AU402" s="26"/>
      <c r="AV402" s="26"/>
      <c r="AW402" s="26"/>
      <c r="AX402" s="26"/>
      <c r="AY402" s="26"/>
      <c r="AZ402" s="26"/>
      <c r="BA402" s="26"/>
      <c r="BB402" s="26"/>
      <c r="BC402" s="26"/>
      <c r="BD402" s="26"/>
      <c r="BE402" s="26"/>
      <c r="BF402" s="26"/>
      <c r="BG402" s="26"/>
      <c r="BH402" s="26"/>
      <c r="BI402" s="26"/>
      <c r="BJ402" s="26"/>
      <c r="BK402" s="26"/>
    </row>
    <row r="403" ht="14.25" customHeight="1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  <c r="AD403" s="26"/>
      <c r="AE403" s="26"/>
      <c r="AF403" s="26"/>
      <c r="AG403" s="26"/>
      <c r="AH403" s="26"/>
      <c r="AI403" s="26"/>
      <c r="AJ403" s="26"/>
      <c r="AK403" s="26"/>
      <c r="AL403" s="26"/>
      <c r="AM403" s="26"/>
      <c r="AN403" s="26"/>
      <c r="AO403" s="26"/>
      <c r="AP403" s="26"/>
      <c r="AQ403" s="26"/>
      <c r="AR403" s="26"/>
      <c r="AS403" s="26"/>
      <c r="AT403" s="26"/>
      <c r="AU403" s="26"/>
      <c r="AV403" s="26"/>
      <c r="AW403" s="26"/>
      <c r="AX403" s="26"/>
      <c r="AY403" s="26"/>
      <c r="AZ403" s="26"/>
      <c r="BA403" s="26"/>
      <c r="BB403" s="26"/>
      <c r="BC403" s="26"/>
      <c r="BD403" s="26"/>
      <c r="BE403" s="26"/>
      <c r="BF403" s="26"/>
      <c r="BG403" s="26"/>
      <c r="BH403" s="26"/>
      <c r="BI403" s="26"/>
      <c r="BJ403" s="26"/>
      <c r="BK403" s="26"/>
    </row>
    <row r="404" ht="14.25" customHeight="1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  <c r="AE404" s="26"/>
      <c r="AF404" s="26"/>
      <c r="AG404" s="26"/>
      <c r="AH404" s="26"/>
      <c r="AI404" s="26"/>
      <c r="AJ404" s="26"/>
      <c r="AK404" s="26"/>
      <c r="AL404" s="26"/>
      <c r="AM404" s="26"/>
      <c r="AN404" s="26"/>
      <c r="AO404" s="26"/>
      <c r="AP404" s="26"/>
      <c r="AQ404" s="26"/>
      <c r="AR404" s="26"/>
      <c r="AS404" s="26"/>
      <c r="AT404" s="26"/>
      <c r="AU404" s="26"/>
      <c r="AV404" s="26"/>
      <c r="AW404" s="26"/>
      <c r="AX404" s="26"/>
      <c r="AY404" s="26"/>
      <c r="AZ404" s="26"/>
      <c r="BA404" s="26"/>
      <c r="BB404" s="26"/>
      <c r="BC404" s="26"/>
      <c r="BD404" s="26"/>
      <c r="BE404" s="26"/>
      <c r="BF404" s="26"/>
      <c r="BG404" s="26"/>
      <c r="BH404" s="26"/>
      <c r="BI404" s="26"/>
      <c r="BJ404" s="26"/>
      <c r="BK404" s="26"/>
    </row>
    <row r="405" ht="14.25" customHeight="1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  <c r="AD405" s="26"/>
      <c r="AE405" s="26"/>
      <c r="AF405" s="26"/>
      <c r="AG405" s="26"/>
      <c r="AH405" s="26"/>
      <c r="AI405" s="26"/>
      <c r="AJ405" s="26"/>
      <c r="AK405" s="26"/>
      <c r="AL405" s="26"/>
      <c r="AM405" s="26"/>
      <c r="AN405" s="26"/>
      <c r="AO405" s="26"/>
      <c r="AP405" s="26"/>
      <c r="AQ405" s="26"/>
      <c r="AR405" s="26"/>
      <c r="AS405" s="26"/>
      <c r="AT405" s="26"/>
      <c r="AU405" s="26"/>
      <c r="AV405" s="26"/>
      <c r="AW405" s="26"/>
      <c r="AX405" s="26"/>
      <c r="AY405" s="26"/>
      <c r="AZ405" s="26"/>
      <c r="BA405" s="26"/>
      <c r="BB405" s="26"/>
      <c r="BC405" s="26"/>
      <c r="BD405" s="26"/>
      <c r="BE405" s="26"/>
      <c r="BF405" s="26"/>
      <c r="BG405" s="26"/>
      <c r="BH405" s="26"/>
      <c r="BI405" s="26"/>
      <c r="BJ405" s="26"/>
      <c r="BK405" s="26"/>
    </row>
    <row r="406" ht="14.25" customHeight="1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  <c r="AE406" s="26"/>
      <c r="AF406" s="26"/>
      <c r="AG406" s="26"/>
      <c r="AH406" s="26"/>
      <c r="AI406" s="26"/>
      <c r="AJ406" s="26"/>
      <c r="AK406" s="26"/>
      <c r="AL406" s="26"/>
      <c r="AM406" s="26"/>
      <c r="AN406" s="26"/>
      <c r="AO406" s="26"/>
      <c r="AP406" s="26"/>
      <c r="AQ406" s="26"/>
      <c r="AR406" s="26"/>
      <c r="AS406" s="26"/>
      <c r="AT406" s="26"/>
      <c r="AU406" s="26"/>
      <c r="AV406" s="26"/>
      <c r="AW406" s="26"/>
      <c r="AX406" s="26"/>
      <c r="AY406" s="26"/>
      <c r="AZ406" s="26"/>
      <c r="BA406" s="26"/>
      <c r="BB406" s="26"/>
      <c r="BC406" s="26"/>
      <c r="BD406" s="26"/>
      <c r="BE406" s="26"/>
      <c r="BF406" s="26"/>
      <c r="BG406" s="26"/>
      <c r="BH406" s="26"/>
      <c r="BI406" s="26"/>
      <c r="BJ406" s="26"/>
      <c r="BK406" s="26"/>
    </row>
    <row r="407" ht="14.25" customHeight="1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  <c r="AD407" s="26"/>
      <c r="AE407" s="26"/>
      <c r="AF407" s="26"/>
      <c r="AG407" s="26"/>
      <c r="AH407" s="26"/>
      <c r="AI407" s="26"/>
      <c r="AJ407" s="26"/>
      <c r="AK407" s="26"/>
      <c r="AL407" s="26"/>
      <c r="AM407" s="26"/>
      <c r="AN407" s="26"/>
      <c r="AO407" s="26"/>
      <c r="AP407" s="26"/>
      <c r="AQ407" s="26"/>
      <c r="AR407" s="26"/>
      <c r="AS407" s="26"/>
      <c r="AT407" s="26"/>
      <c r="AU407" s="26"/>
      <c r="AV407" s="26"/>
      <c r="AW407" s="26"/>
      <c r="AX407" s="26"/>
      <c r="AY407" s="26"/>
      <c r="AZ407" s="26"/>
      <c r="BA407" s="26"/>
      <c r="BB407" s="26"/>
      <c r="BC407" s="26"/>
      <c r="BD407" s="26"/>
      <c r="BE407" s="26"/>
      <c r="BF407" s="26"/>
      <c r="BG407" s="26"/>
      <c r="BH407" s="26"/>
      <c r="BI407" s="26"/>
      <c r="BJ407" s="26"/>
      <c r="BK407" s="26"/>
    </row>
    <row r="408" ht="14.25" customHeight="1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  <c r="AD408" s="26"/>
      <c r="AE408" s="26"/>
      <c r="AF408" s="26"/>
      <c r="AG408" s="26"/>
      <c r="AH408" s="26"/>
      <c r="AI408" s="26"/>
      <c r="AJ408" s="26"/>
      <c r="AK408" s="26"/>
      <c r="AL408" s="26"/>
      <c r="AM408" s="26"/>
      <c r="AN408" s="26"/>
      <c r="AO408" s="26"/>
      <c r="AP408" s="26"/>
      <c r="AQ408" s="26"/>
      <c r="AR408" s="26"/>
      <c r="AS408" s="26"/>
      <c r="AT408" s="26"/>
      <c r="AU408" s="26"/>
      <c r="AV408" s="26"/>
      <c r="AW408" s="26"/>
      <c r="AX408" s="26"/>
      <c r="AY408" s="26"/>
      <c r="AZ408" s="26"/>
      <c r="BA408" s="26"/>
      <c r="BB408" s="26"/>
      <c r="BC408" s="26"/>
      <c r="BD408" s="26"/>
      <c r="BE408" s="26"/>
      <c r="BF408" s="26"/>
      <c r="BG408" s="26"/>
      <c r="BH408" s="26"/>
      <c r="BI408" s="26"/>
      <c r="BJ408" s="26"/>
      <c r="BK408" s="26"/>
    </row>
    <row r="409" ht="14.25" customHeight="1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  <c r="AD409" s="26"/>
      <c r="AE409" s="26"/>
      <c r="AF409" s="26"/>
      <c r="AG409" s="26"/>
      <c r="AH409" s="26"/>
      <c r="AI409" s="26"/>
      <c r="AJ409" s="26"/>
      <c r="AK409" s="26"/>
      <c r="AL409" s="26"/>
      <c r="AM409" s="26"/>
      <c r="AN409" s="26"/>
      <c r="AO409" s="26"/>
      <c r="AP409" s="26"/>
      <c r="AQ409" s="26"/>
      <c r="AR409" s="26"/>
      <c r="AS409" s="26"/>
      <c r="AT409" s="26"/>
      <c r="AU409" s="26"/>
      <c r="AV409" s="26"/>
      <c r="AW409" s="26"/>
      <c r="AX409" s="26"/>
      <c r="AY409" s="26"/>
      <c r="AZ409" s="26"/>
      <c r="BA409" s="26"/>
      <c r="BB409" s="26"/>
      <c r="BC409" s="26"/>
      <c r="BD409" s="26"/>
      <c r="BE409" s="26"/>
      <c r="BF409" s="26"/>
      <c r="BG409" s="26"/>
      <c r="BH409" s="26"/>
      <c r="BI409" s="26"/>
      <c r="BJ409" s="26"/>
      <c r="BK409" s="26"/>
    </row>
    <row r="410" ht="14.25" customHeight="1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  <c r="AE410" s="26"/>
      <c r="AF410" s="26"/>
      <c r="AG410" s="26"/>
      <c r="AH410" s="26"/>
      <c r="AI410" s="26"/>
      <c r="AJ410" s="26"/>
      <c r="AK410" s="26"/>
      <c r="AL410" s="26"/>
      <c r="AM410" s="26"/>
      <c r="AN410" s="26"/>
      <c r="AO410" s="26"/>
      <c r="AP410" s="26"/>
      <c r="AQ410" s="26"/>
      <c r="AR410" s="26"/>
      <c r="AS410" s="26"/>
      <c r="AT410" s="26"/>
      <c r="AU410" s="26"/>
      <c r="AV410" s="26"/>
      <c r="AW410" s="26"/>
      <c r="AX410" s="26"/>
      <c r="AY410" s="26"/>
      <c r="AZ410" s="26"/>
      <c r="BA410" s="26"/>
      <c r="BB410" s="26"/>
      <c r="BC410" s="26"/>
      <c r="BD410" s="26"/>
      <c r="BE410" s="26"/>
      <c r="BF410" s="26"/>
      <c r="BG410" s="26"/>
      <c r="BH410" s="26"/>
      <c r="BI410" s="26"/>
      <c r="BJ410" s="26"/>
      <c r="BK410" s="26"/>
    </row>
    <row r="411" ht="14.25" customHeight="1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  <c r="AD411" s="26"/>
      <c r="AE411" s="26"/>
      <c r="AF411" s="26"/>
      <c r="AG411" s="26"/>
      <c r="AH411" s="26"/>
      <c r="AI411" s="26"/>
      <c r="AJ411" s="26"/>
      <c r="AK411" s="26"/>
      <c r="AL411" s="26"/>
      <c r="AM411" s="26"/>
      <c r="AN411" s="26"/>
      <c r="AO411" s="26"/>
      <c r="AP411" s="26"/>
      <c r="AQ411" s="26"/>
      <c r="AR411" s="26"/>
      <c r="AS411" s="26"/>
      <c r="AT411" s="26"/>
      <c r="AU411" s="26"/>
      <c r="AV411" s="26"/>
      <c r="AW411" s="26"/>
      <c r="AX411" s="26"/>
      <c r="AY411" s="26"/>
      <c r="AZ411" s="26"/>
      <c r="BA411" s="26"/>
      <c r="BB411" s="26"/>
      <c r="BC411" s="26"/>
      <c r="BD411" s="26"/>
      <c r="BE411" s="26"/>
      <c r="BF411" s="26"/>
      <c r="BG411" s="26"/>
      <c r="BH411" s="26"/>
      <c r="BI411" s="26"/>
      <c r="BJ411" s="26"/>
      <c r="BK411" s="26"/>
    </row>
    <row r="412" ht="14.25" customHeight="1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  <c r="AD412" s="26"/>
      <c r="AE412" s="26"/>
      <c r="AF412" s="26"/>
      <c r="AG412" s="26"/>
      <c r="AH412" s="26"/>
      <c r="AI412" s="26"/>
      <c r="AJ412" s="26"/>
      <c r="AK412" s="26"/>
      <c r="AL412" s="26"/>
      <c r="AM412" s="26"/>
      <c r="AN412" s="26"/>
      <c r="AO412" s="26"/>
      <c r="AP412" s="26"/>
      <c r="AQ412" s="26"/>
      <c r="AR412" s="26"/>
      <c r="AS412" s="26"/>
      <c r="AT412" s="26"/>
      <c r="AU412" s="26"/>
      <c r="AV412" s="26"/>
      <c r="AW412" s="26"/>
      <c r="AX412" s="26"/>
      <c r="AY412" s="26"/>
      <c r="AZ412" s="26"/>
      <c r="BA412" s="26"/>
      <c r="BB412" s="26"/>
      <c r="BC412" s="26"/>
      <c r="BD412" s="26"/>
      <c r="BE412" s="26"/>
      <c r="BF412" s="26"/>
      <c r="BG412" s="26"/>
      <c r="BH412" s="26"/>
      <c r="BI412" s="26"/>
      <c r="BJ412" s="26"/>
      <c r="BK412" s="26"/>
    </row>
    <row r="413" ht="14.25" customHeight="1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  <c r="AD413" s="26"/>
      <c r="AE413" s="26"/>
      <c r="AF413" s="26"/>
      <c r="AG413" s="26"/>
      <c r="AH413" s="26"/>
      <c r="AI413" s="26"/>
      <c r="AJ413" s="26"/>
      <c r="AK413" s="26"/>
      <c r="AL413" s="26"/>
      <c r="AM413" s="26"/>
      <c r="AN413" s="26"/>
      <c r="AO413" s="26"/>
      <c r="AP413" s="26"/>
      <c r="AQ413" s="26"/>
      <c r="AR413" s="26"/>
      <c r="AS413" s="26"/>
      <c r="AT413" s="26"/>
      <c r="AU413" s="26"/>
      <c r="AV413" s="26"/>
      <c r="AW413" s="26"/>
      <c r="AX413" s="26"/>
      <c r="AY413" s="26"/>
      <c r="AZ413" s="26"/>
      <c r="BA413" s="26"/>
      <c r="BB413" s="26"/>
      <c r="BC413" s="26"/>
      <c r="BD413" s="26"/>
      <c r="BE413" s="26"/>
      <c r="BF413" s="26"/>
      <c r="BG413" s="26"/>
      <c r="BH413" s="26"/>
      <c r="BI413" s="26"/>
      <c r="BJ413" s="26"/>
      <c r="BK413" s="26"/>
    </row>
    <row r="414" ht="14.25" customHeight="1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  <c r="AE414" s="26"/>
      <c r="AF414" s="26"/>
      <c r="AG414" s="26"/>
      <c r="AH414" s="26"/>
      <c r="AI414" s="26"/>
      <c r="AJ414" s="26"/>
      <c r="AK414" s="26"/>
      <c r="AL414" s="26"/>
      <c r="AM414" s="26"/>
      <c r="AN414" s="26"/>
      <c r="AO414" s="26"/>
      <c r="AP414" s="26"/>
      <c r="AQ414" s="26"/>
      <c r="AR414" s="26"/>
      <c r="AS414" s="26"/>
      <c r="AT414" s="26"/>
      <c r="AU414" s="26"/>
      <c r="AV414" s="26"/>
      <c r="AW414" s="26"/>
      <c r="AX414" s="26"/>
      <c r="AY414" s="26"/>
      <c r="AZ414" s="26"/>
      <c r="BA414" s="26"/>
      <c r="BB414" s="26"/>
      <c r="BC414" s="26"/>
      <c r="BD414" s="26"/>
      <c r="BE414" s="26"/>
      <c r="BF414" s="26"/>
      <c r="BG414" s="26"/>
      <c r="BH414" s="26"/>
      <c r="BI414" s="26"/>
      <c r="BJ414" s="26"/>
      <c r="BK414" s="26"/>
    </row>
    <row r="415" ht="14.25" customHeight="1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  <c r="AD415" s="26"/>
      <c r="AE415" s="26"/>
      <c r="AF415" s="26"/>
      <c r="AG415" s="26"/>
      <c r="AH415" s="26"/>
      <c r="AI415" s="26"/>
      <c r="AJ415" s="26"/>
      <c r="AK415" s="26"/>
      <c r="AL415" s="26"/>
      <c r="AM415" s="26"/>
      <c r="AN415" s="26"/>
      <c r="AO415" s="26"/>
      <c r="AP415" s="26"/>
      <c r="AQ415" s="26"/>
      <c r="AR415" s="26"/>
      <c r="AS415" s="26"/>
      <c r="AT415" s="26"/>
      <c r="AU415" s="26"/>
      <c r="AV415" s="26"/>
      <c r="AW415" s="26"/>
      <c r="AX415" s="26"/>
      <c r="AY415" s="26"/>
      <c r="AZ415" s="26"/>
      <c r="BA415" s="26"/>
      <c r="BB415" s="26"/>
      <c r="BC415" s="26"/>
      <c r="BD415" s="26"/>
      <c r="BE415" s="26"/>
      <c r="BF415" s="26"/>
      <c r="BG415" s="26"/>
      <c r="BH415" s="26"/>
      <c r="BI415" s="26"/>
      <c r="BJ415" s="26"/>
      <c r="BK415" s="26"/>
    </row>
    <row r="416" ht="14.25" customHeight="1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  <c r="AE416" s="26"/>
      <c r="AF416" s="26"/>
      <c r="AG416" s="26"/>
      <c r="AH416" s="26"/>
      <c r="AI416" s="26"/>
      <c r="AJ416" s="26"/>
      <c r="AK416" s="26"/>
      <c r="AL416" s="26"/>
      <c r="AM416" s="26"/>
      <c r="AN416" s="26"/>
      <c r="AO416" s="26"/>
      <c r="AP416" s="26"/>
      <c r="AQ416" s="26"/>
      <c r="AR416" s="26"/>
      <c r="AS416" s="26"/>
      <c r="AT416" s="26"/>
      <c r="AU416" s="26"/>
      <c r="AV416" s="26"/>
      <c r="AW416" s="26"/>
      <c r="AX416" s="26"/>
      <c r="AY416" s="26"/>
      <c r="AZ416" s="26"/>
      <c r="BA416" s="26"/>
      <c r="BB416" s="26"/>
      <c r="BC416" s="26"/>
      <c r="BD416" s="26"/>
      <c r="BE416" s="26"/>
      <c r="BF416" s="26"/>
      <c r="BG416" s="26"/>
      <c r="BH416" s="26"/>
      <c r="BI416" s="26"/>
      <c r="BJ416" s="26"/>
      <c r="BK416" s="26"/>
    </row>
    <row r="417" ht="14.25" customHeight="1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  <c r="AD417" s="26"/>
      <c r="AE417" s="26"/>
      <c r="AF417" s="26"/>
      <c r="AG417" s="26"/>
      <c r="AH417" s="26"/>
      <c r="AI417" s="26"/>
      <c r="AJ417" s="26"/>
      <c r="AK417" s="26"/>
      <c r="AL417" s="26"/>
      <c r="AM417" s="26"/>
      <c r="AN417" s="26"/>
      <c r="AO417" s="26"/>
      <c r="AP417" s="26"/>
      <c r="AQ417" s="26"/>
      <c r="AR417" s="26"/>
      <c r="AS417" s="26"/>
      <c r="AT417" s="26"/>
      <c r="AU417" s="26"/>
      <c r="AV417" s="26"/>
      <c r="AW417" s="26"/>
      <c r="AX417" s="26"/>
      <c r="AY417" s="26"/>
      <c r="AZ417" s="26"/>
      <c r="BA417" s="26"/>
      <c r="BB417" s="26"/>
      <c r="BC417" s="26"/>
      <c r="BD417" s="26"/>
      <c r="BE417" s="26"/>
      <c r="BF417" s="26"/>
      <c r="BG417" s="26"/>
      <c r="BH417" s="26"/>
      <c r="BI417" s="26"/>
      <c r="BJ417" s="26"/>
      <c r="BK417" s="26"/>
    </row>
    <row r="418" ht="14.25" customHeight="1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  <c r="AD418" s="26"/>
      <c r="AE418" s="26"/>
      <c r="AF418" s="26"/>
      <c r="AG418" s="26"/>
      <c r="AH418" s="26"/>
      <c r="AI418" s="26"/>
      <c r="AJ418" s="26"/>
      <c r="AK418" s="26"/>
      <c r="AL418" s="26"/>
      <c r="AM418" s="26"/>
      <c r="AN418" s="26"/>
      <c r="AO418" s="26"/>
      <c r="AP418" s="26"/>
      <c r="AQ418" s="26"/>
      <c r="AR418" s="26"/>
      <c r="AS418" s="26"/>
      <c r="AT418" s="26"/>
      <c r="AU418" s="26"/>
      <c r="AV418" s="26"/>
      <c r="AW418" s="26"/>
      <c r="AX418" s="26"/>
      <c r="AY418" s="26"/>
      <c r="AZ418" s="26"/>
      <c r="BA418" s="26"/>
      <c r="BB418" s="26"/>
      <c r="BC418" s="26"/>
      <c r="BD418" s="26"/>
      <c r="BE418" s="26"/>
      <c r="BF418" s="26"/>
      <c r="BG418" s="26"/>
      <c r="BH418" s="26"/>
      <c r="BI418" s="26"/>
      <c r="BJ418" s="26"/>
      <c r="BK418" s="26"/>
    </row>
    <row r="419" ht="14.25" customHeight="1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  <c r="AC419" s="26"/>
      <c r="AD419" s="26"/>
      <c r="AE419" s="26"/>
      <c r="AF419" s="26"/>
      <c r="AG419" s="26"/>
      <c r="AH419" s="26"/>
      <c r="AI419" s="26"/>
      <c r="AJ419" s="26"/>
      <c r="AK419" s="26"/>
      <c r="AL419" s="26"/>
      <c r="AM419" s="26"/>
      <c r="AN419" s="26"/>
      <c r="AO419" s="26"/>
      <c r="AP419" s="26"/>
      <c r="AQ419" s="26"/>
      <c r="AR419" s="26"/>
      <c r="AS419" s="26"/>
      <c r="AT419" s="26"/>
      <c r="AU419" s="26"/>
      <c r="AV419" s="26"/>
      <c r="AW419" s="26"/>
      <c r="AX419" s="26"/>
      <c r="AY419" s="26"/>
      <c r="AZ419" s="26"/>
      <c r="BA419" s="26"/>
      <c r="BB419" s="26"/>
      <c r="BC419" s="26"/>
      <c r="BD419" s="26"/>
      <c r="BE419" s="26"/>
      <c r="BF419" s="26"/>
      <c r="BG419" s="26"/>
      <c r="BH419" s="26"/>
      <c r="BI419" s="26"/>
      <c r="BJ419" s="26"/>
      <c r="BK419" s="26"/>
    </row>
    <row r="420" ht="14.25" customHeight="1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  <c r="AD420" s="26"/>
      <c r="AE420" s="26"/>
      <c r="AF420" s="26"/>
      <c r="AG420" s="26"/>
      <c r="AH420" s="26"/>
      <c r="AI420" s="26"/>
      <c r="AJ420" s="26"/>
      <c r="AK420" s="26"/>
      <c r="AL420" s="26"/>
      <c r="AM420" s="26"/>
      <c r="AN420" s="26"/>
      <c r="AO420" s="26"/>
      <c r="AP420" s="26"/>
      <c r="AQ420" s="26"/>
      <c r="AR420" s="26"/>
      <c r="AS420" s="26"/>
      <c r="AT420" s="26"/>
      <c r="AU420" s="26"/>
      <c r="AV420" s="26"/>
      <c r="AW420" s="26"/>
      <c r="AX420" s="26"/>
      <c r="AY420" s="26"/>
      <c r="AZ420" s="26"/>
      <c r="BA420" s="26"/>
      <c r="BB420" s="26"/>
      <c r="BC420" s="26"/>
      <c r="BD420" s="26"/>
      <c r="BE420" s="26"/>
      <c r="BF420" s="26"/>
      <c r="BG420" s="26"/>
      <c r="BH420" s="26"/>
      <c r="BI420" s="26"/>
      <c r="BJ420" s="26"/>
      <c r="BK420" s="26"/>
    </row>
    <row r="421" ht="14.25" customHeight="1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  <c r="AC421" s="26"/>
      <c r="AD421" s="26"/>
      <c r="AE421" s="26"/>
      <c r="AF421" s="26"/>
      <c r="AG421" s="26"/>
      <c r="AH421" s="26"/>
      <c r="AI421" s="26"/>
      <c r="AJ421" s="26"/>
      <c r="AK421" s="26"/>
      <c r="AL421" s="26"/>
      <c r="AM421" s="26"/>
      <c r="AN421" s="26"/>
      <c r="AO421" s="26"/>
      <c r="AP421" s="26"/>
      <c r="AQ421" s="26"/>
      <c r="AR421" s="26"/>
      <c r="AS421" s="26"/>
      <c r="AT421" s="26"/>
      <c r="AU421" s="26"/>
      <c r="AV421" s="26"/>
      <c r="AW421" s="26"/>
      <c r="AX421" s="26"/>
      <c r="AY421" s="26"/>
      <c r="AZ421" s="26"/>
      <c r="BA421" s="26"/>
      <c r="BB421" s="26"/>
      <c r="BC421" s="26"/>
      <c r="BD421" s="26"/>
      <c r="BE421" s="26"/>
      <c r="BF421" s="26"/>
      <c r="BG421" s="26"/>
      <c r="BH421" s="26"/>
      <c r="BI421" s="26"/>
      <c r="BJ421" s="26"/>
      <c r="BK421" s="26"/>
    </row>
    <row r="422" ht="14.25" customHeight="1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6"/>
      <c r="AD422" s="26"/>
      <c r="AE422" s="26"/>
      <c r="AF422" s="26"/>
      <c r="AG422" s="26"/>
      <c r="AH422" s="26"/>
      <c r="AI422" s="26"/>
      <c r="AJ422" s="26"/>
      <c r="AK422" s="26"/>
      <c r="AL422" s="26"/>
      <c r="AM422" s="26"/>
      <c r="AN422" s="26"/>
      <c r="AO422" s="26"/>
      <c r="AP422" s="26"/>
      <c r="AQ422" s="26"/>
      <c r="AR422" s="26"/>
      <c r="AS422" s="26"/>
      <c r="AT422" s="26"/>
      <c r="AU422" s="26"/>
      <c r="AV422" s="26"/>
      <c r="AW422" s="26"/>
      <c r="AX422" s="26"/>
      <c r="AY422" s="26"/>
      <c r="AZ422" s="26"/>
      <c r="BA422" s="26"/>
      <c r="BB422" s="26"/>
      <c r="BC422" s="26"/>
      <c r="BD422" s="26"/>
      <c r="BE422" s="26"/>
      <c r="BF422" s="26"/>
      <c r="BG422" s="26"/>
      <c r="BH422" s="26"/>
      <c r="BI422" s="26"/>
      <c r="BJ422" s="26"/>
      <c r="BK422" s="26"/>
    </row>
    <row r="423" ht="14.25" customHeight="1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  <c r="AD423" s="26"/>
      <c r="AE423" s="26"/>
      <c r="AF423" s="26"/>
      <c r="AG423" s="26"/>
      <c r="AH423" s="26"/>
      <c r="AI423" s="26"/>
      <c r="AJ423" s="26"/>
      <c r="AK423" s="26"/>
      <c r="AL423" s="26"/>
      <c r="AM423" s="26"/>
      <c r="AN423" s="26"/>
      <c r="AO423" s="26"/>
      <c r="AP423" s="26"/>
      <c r="AQ423" s="26"/>
      <c r="AR423" s="26"/>
      <c r="AS423" s="26"/>
      <c r="AT423" s="26"/>
      <c r="AU423" s="26"/>
      <c r="AV423" s="26"/>
      <c r="AW423" s="26"/>
      <c r="AX423" s="26"/>
      <c r="AY423" s="26"/>
      <c r="AZ423" s="26"/>
      <c r="BA423" s="26"/>
      <c r="BB423" s="26"/>
      <c r="BC423" s="26"/>
      <c r="BD423" s="26"/>
      <c r="BE423" s="26"/>
      <c r="BF423" s="26"/>
      <c r="BG423" s="26"/>
      <c r="BH423" s="26"/>
      <c r="BI423" s="26"/>
      <c r="BJ423" s="26"/>
      <c r="BK423" s="26"/>
    </row>
    <row r="424" ht="14.25" customHeight="1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  <c r="AD424" s="26"/>
      <c r="AE424" s="26"/>
      <c r="AF424" s="26"/>
      <c r="AG424" s="26"/>
      <c r="AH424" s="26"/>
      <c r="AI424" s="26"/>
      <c r="AJ424" s="26"/>
      <c r="AK424" s="26"/>
      <c r="AL424" s="26"/>
      <c r="AM424" s="26"/>
      <c r="AN424" s="26"/>
      <c r="AO424" s="26"/>
      <c r="AP424" s="26"/>
      <c r="AQ424" s="26"/>
      <c r="AR424" s="26"/>
      <c r="AS424" s="26"/>
      <c r="AT424" s="26"/>
      <c r="AU424" s="26"/>
      <c r="AV424" s="26"/>
      <c r="AW424" s="26"/>
      <c r="AX424" s="26"/>
      <c r="AY424" s="26"/>
      <c r="AZ424" s="26"/>
      <c r="BA424" s="26"/>
      <c r="BB424" s="26"/>
      <c r="BC424" s="26"/>
      <c r="BD424" s="26"/>
      <c r="BE424" s="26"/>
      <c r="BF424" s="26"/>
      <c r="BG424" s="26"/>
      <c r="BH424" s="26"/>
      <c r="BI424" s="26"/>
      <c r="BJ424" s="26"/>
      <c r="BK424" s="26"/>
    </row>
    <row r="425" ht="14.25" customHeight="1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  <c r="AD425" s="26"/>
      <c r="AE425" s="26"/>
      <c r="AF425" s="26"/>
      <c r="AG425" s="26"/>
      <c r="AH425" s="26"/>
      <c r="AI425" s="26"/>
      <c r="AJ425" s="26"/>
      <c r="AK425" s="26"/>
      <c r="AL425" s="26"/>
      <c r="AM425" s="26"/>
      <c r="AN425" s="26"/>
      <c r="AO425" s="26"/>
      <c r="AP425" s="26"/>
      <c r="AQ425" s="26"/>
      <c r="AR425" s="26"/>
      <c r="AS425" s="26"/>
      <c r="AT425" s="26"/>
      <c r="AU425" s="26"/>
      <c r="AV425" s="26"/>
      <c r="AW425" s="26"/>
      <c r="AX425" s="26"/>
      <c r="AY425" s="26"/>
      <c r="AZ425" s="26"/>
      <c r="BA425" s="26"/>
      <c r="BB425" s="26"/>
      <c r="BC425" s="26"/>
      <c r="BD425" s="26"/>
      <c r="BE425" s="26"/>
      <c r="BF425" s="26"/>
      <c r="BG425" s="26"/>
      <c r="BH425" s="26"/>
      <c r="BI425" s="26"/>
      <c r="BJ425" s="26"/>
      <c r="BK425" s="26"/>
    </row>
    <row r="426" ht="14.25" customHeight="1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  <c r="AD426" s="26"/>
      <c r="AE426" s="26"/>
      <c r="AF426" s="26"/>
      <c r="AG426" s="26"/>
      <c r="AH426" s="26"/>
      <c r="AI426" s="26"/>
      <c r="AJ426" s="26"/>
      <c r="AK426" s="26"/>
      <c r="AL426" s="26"/>
      <c r="AM426" s="26"/>
      <c r="AN426" s="26"/>
      <c r="AO426" s="26"/>
      <c r="AP426" s="26"/>
      <c r="AQ426" s="26"/>
      <c r="AR426" s="26"/>
      <c r="AS426" s="26"/>
      <c r="AT426" s="26"/>
      <c r="AU426" s="26"/>
      <c r="AV426" s="26"/>
      <c r="AW426" s="26"/>
      <c r="AX426" s="26"/>
      <c r="AY426" s="26"/>
      <c r="AZ426" s="26"/>
      <c r="BA426" s="26"/>
      <c r="BB426" s="26"/>
      <c r="BC426" s="26"/>
      <c r="BD426" s="26"/>
      <c r="BE426" s="26"/>
      <c r="BF426" s="26"/>
      <c r="BG426" s="26"/>
      <c r="BH426" s="26"/>
      <c r="BI426" s="26"/>
      <c r="BJ426" s="26"/>
      <c r="BK426" s="26"/>
    </row>
    <row r="427" ht="14.25" customHeight="1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  <c r="AD427" s="26"/>
      <c r="AE427" s="26"/>
      <c r="AF427" s="26"/>
      <c r="AG427" s="26"/>
      <c r="AH427" s="26"/>
      <c r="AI427" s="26"/>
      <c r="AJ427" s="26"/>
      <c r="AK427" s="26"/>
      <c r="AL427" s="26"/>
      <c r="AM427" s="26"/>
      <c r="AN427" s="26"/>
      <c r="AO427" s="26"/>
      <c r="AP427" s="26"/>
      <c r="AQ427" s="26"/>
      <c r="AR427" s="26"/>
      <c r="AS427" s="26"/>
      <c r="AT427" s="26"/>
      <c r="AU427" s="26"/>
      <c r="AV427" s="26"/>
      <c r="AW427" s="26"/>
      <c r="AX427" s="26"/>
      <c r="AY427" s="26"/>
      <c r="AZ427" s="26"/>
      <c r="BA427" s="26"/>
      <c r="BB427" s="26"/>
      <c r="BC427" s="26"/>
      <c r="BD427" s="26"/>
      <c r="BE427" s="26"/>
      <c r="BF427" s="26"/>
      <c r="BG427" s="26"/>
      <c r="BH427" s="26"/>
      <c r="BI427" s="26"/>
      <c r="BJ427" s="26"/>
      <c r="BK427" s="26"/>
    </row>
    <row r="428" ht="14.25" customHeight="1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  <c r="AD428" s="26"/>
      <c r="AE428" s="26"/>
      <c r="AF428" s="26"/>
      <c r="AG428" s="26"/>
      <c r="AH428" s="26"/>
      <c r="AI428" s="26"/>
      <c r="AJ428" s="26"/>
      <c r="AK428" s="26"/>
      <c r="AL428" s="26"/>
      <c r="AM428" s="26"/>
      <c r="AN428" s="26"/>
      <c r="AO428" s="26"/>
      <c r="AP428" s="26"/>
      <c r="AQ428" s="26"/>
      <c r="AR428" s="26"/>
      <c r="AS428" s="26"/>
      <c r="AT428" s="26"/>
      <c r="AU428" s="26"/>
      <c r="AV428" s="26"/>
      <c r="AW428" s="26"/>
      <c r="AX428" s="26"/>
      <c r="AY428" s="26"/>
      <c r="AZ428" s="26"/>
      <c r="BA428" s="26"/>
      <c r="BB428" s="26"/>
      <c r="BC428" s="26"/>
      <c r="BD428" s="26"/>
      <c r="BE428" s="26"/>
      <c r="BF428" s="26"/>
      <c r="BG428" s="26"/>
      <c r="BH428" s="26"/>
      <c r="BI428" s="26"/>
      <c r="BJ428" s="26"/>
      <c r="BK428" s="26"/>
    </row>
    <row r="429" ht="14.25" customHeight="1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  <c r="AD429" s="26"/>
      <c r="AE429" s="26"/>
      <c r="AF429" s="26"/>
      <c r="AG429" s="26"/>
      <c r="AH429" s="26"/>
      <c r="AI429" s="26"/>
      <c r="AJ429" s="26"/>
      <c r="AK429" s="26"/>
      <c r="AL429" s="26"/>
      <c r="AM429" s="26"/>
      <c r="AN429" s="26"/>
      <c r="AO429" s="26"/>
      <c r="AP429" s="26"/>
      <c r="AQ429" s="26"/>
      <c r="AR429" s="26"/>
      <c r="AS429" s="26"/>
      <c r="AT429" s="26"/>
      <c r="AU429" s="26"/>
      <c r="AV429" s="26"/>
      <c r="AW429" s="26"/>
      <c r="AX429" s="26"/>
      <c r="AY429" s="26"/>
      <c r="AZ429" s="26"/>
      <c r="BA429" s="26"/>
      <c r="BB429" s="26"/>
      <c r="BC429" s="26"/>
      <c r="BD429" s="26"/>
      <c r="BE429" s="26"/>
      <c r="BF429" s="26"/>
      <c r="BG429" s="26"/>
      <c r="BH429" s="26"/>
      <c r="BI429" s="26"/>
      <c r="BJ429" s="26"/>
      <c r="BK429" s="26"/>
    </row>
    <row r="430" ht="14.25" customHeight="1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  <c r="AD430" s="26"/>
      <c r="AE430" s="26"/>
      <c r="AF430" s="26"/>
      <c r="AG430" s="26"/>
      <c r="AH430" s="26"/>
      <c r="AI430" s="26"/>
      <c r="AJ430" s="26"/>
      <c r="AK430" s="26"/>
      <c r="AL430" s="26"/>
      <c r="AM430" s="26"/>
      <c r="AN430" s="26"/>
      <c r="AO430" s="26"/>
      <c r="AP430" s="26"/>
      <c r="AQ430" s="26"/>
      <c r="AR430" s="26"/>
      <c r="AS430" s="26"/>
      <c r="AT430" s="26"/>
      <c r="AU430" s="26"/>
      <c r="AV430" s="26"/>
      <c r="AW430" s="26"/>
      <c r="AX430" s="26"/>
      <c r="AY430" s="26"/>
      <c r="AZ430" s="26"/>
      <c r="BA430" s="26"/>
      <c r="BB430" s="26"/>
      <c r="BC430" s="26"/>
      <c r="BD430" s="26"/>
      <c r="BE430" s="26"/>
      <c r="BF430" s="26"/>
      <c r="BG430" s="26"/>
      <c r="BH430" s="26"/>
      <c r="BI430" s="26"/>
      <c r="BJ430" s="26"/>
      <c r="BK430" s="26"/>
    </row>
    <row r="431" ht="14.25" customHeight="1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  <c r="AD431" s="26"/>
      <c r="AE431" s="26"/>
      <c r="AF431" s="26"/>
      <c r="AG431" s="26"/>
      <c r="AH431" s="26"/>
      <c r="AI431" s="26"/>
      <c r="AJ431" s="26"/>
      <c r="AK431" s="26"/>
      <c r="AL431" s="26"/>
      <c r="AM431" s="26"/>
      <c r="AN431" s="26"/>
      <c r="AO431" s="26"/>
      <c r="AP431" s="26"/>
      <c r="AQ431" s="26"/>
      <c r="AR431" s="26"/>
      <c r="AS431" s="26"/>
      <c r="AT431" s="26"/>
      <c r="AU431" s="26"/>
      <c r="AV431" s="26"/>
      <c r="AW431" s="26"/>
      <c r="AX431" s="26"/>
      <c r="AY431" s="26"/>
      <c r="AZ431" s="26"/>
      <c r="BA431" s="26"/>
      <c r="BB431" s="26"/>
      <c r="BC431" s="26"/>
      <c r="BD431" s="26"/>
      <c r="BE431" s="26"/>
      <c r="BF431" s="26"/>
      <c r="BG431" s="26"/>
      <c r="BH431" s="26"/>
      <c r="BI431" s="26"/>
      <c r="BJ431" s="26"/>
      <c r="BK431" s="26"/>
    </row>
    <row r="432" ht="14.25" customHeight="1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  <c r="AC432" s="26"/>
      <c r="AD432" s="26"/>
      <c r="AE432" s="26"/>
      <c r="AF432" s="26"/>
      <c r="AG432" s="26"/>
      <c r="AH432" s="26"/>
      <c r="AI432" s="26"/>
      <c r="AJ432" s="26"/>
      <c r="AK432" s="26"/>
      <c r="AL432" s="26"/>
      <c r="AM432" s="26"/>
      <c r="AN432" s="26"/>
      <c r="AO432" s="26"/>
      <c r="AP432" s="26"/>
      <c r="AQ432" s="26"/>
      <c r="AR432" s="26"/>
      <c r="AS432" s="26"/>
      <c r="AT432" s="26"/>
      <c r="AU432" s="26"/>
      <c r="AV432" s="26"/>
      <c r="AW432" s="26"/>
      <c r="AX432" s="26"/>
      <c r="AY432" s="26"/>
      <c r="AZ432" s="26"/>
      <c r="BA432" s="26"/>
      <c r="BB432" s="26"/>
      <c r="BC432" s="26"/>
      <c r="BD432" s="26"/>
      <c r="BE432" s="26"/>
      <c r="BF432" s="26"/>
      <c r="BG432" s="26"/>
      <c r="BH432" s="26"/>
      <c r="BI432" s="26"/>
      <c r="BJ432" s="26"/>
      <c r="BK432" s="26"/>
    </row>
    <row r="433" ht="14.25" customHeight="1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  <c r="AC433" s="26"/>
      <c r="AD433" s="26"/>
      <c r="AE433" s="26"/>
      <c r="AF433" s="26"/>
      <c r="AG433" s="26"/>
      <c r="AH433" s="26"/>
      <c r="AI433" s="26"/>
      <c r="AJ433" s="26"/>
      <c r="AK433" s="26"/>
      <c r="AL433" s="26"/>
      <c r="AM433" s="26"/>
      <c r="AN433" s="26"/>
      <c r="AO433" s="26"/>
      <c r="AP433" s="26"/>
      <c r="AQ433" s="26"/>
      <c r="AR433" s="26"/>
      <c r="AS433" s="26"/>
      <c r="AT433" s="26"/>
      <c r="AU433" s="26"/>
      <c r="AV433" s="26"/>
      <c r="AW433" s="26"/>
      <c r="AX433" s="26"/>
      <c r="AY433" s="26"/>
      <c r="AZ433" s="26"/>
      <c r="BA433" s="26"/>
      <c r="BB433" s="26"/>
      <c r="BC433" s="26"/>
      <c r="BD433" s="26"/>
      <c r="BE433" s="26"/>
      <c r="BF433" s="26"/>
      <c r="BG433" s="26"/>
      <c r="BH433" s="26"/>
      <c r="BI433" s="26"/>
      <c r="BJ433" s="26"/>
      <c r="BK433" s="26"/>
    </row>
    <row r="434" ht="14.25" customHeight="1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  <c r="AC434" s="26"/>
      <c r="AD434" s="26"/>
      <c r="AE434" s="26"/>
      <c r="AF434" s="26"/>
      <c r="AG434" s="26"/>
      <c r="AH434" s="26"/>
      <c r="AI434" s="26"/>
      <c r="AJ434" s="26"/>
      <c r="AK434" s="26"/>
      <c r="AL434" s="26"/>
      <c r="AM434" s="26"/>
      <c r="AN434" s="26"/>
      <c r="AO434" s="26"/>
      <c r="AP434" s="26"/>
      <c r="AQ434" s="26"/>
      <c r="AR434" s="26"/>
      <c r="AS434" s="26"/>
      <c r="AT434" s="26"/>
      <c r="AU434" s="26"/>
      <c r="AV434" s="26"/>
      <c r="AW434" s="26"/>
      <c r="AX434" s="26"/>
      <c r="AY434" s="26"/>
      <c r="AZ434" s="26"/>
      <c r="BA434" s="26"/>
      <c r="BB434" s="26"/>
      <c r="BC434" s="26"/>
      <c r="BD434" s="26"/>
      <c r="BE434" s="26"/>
      <c r="BF434" s="26"/>
      <c r="BG434" s="26"/>
      <c r="BH434" s="26"/>
      <c r="BI434" s="26"/>
      <c r="BJ434" s="26"/>
      <c r="BK434" s="26"/>
    </row>
    <row r="435" ht="14.25" customHeight="1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  <c r="AC435" s="26"/>
      <c r="AD435" s="26"/>
      <c r="AE435" s="26"/>
      <c r="AF435" s="26"/>
      <c r="AG435" s="26"/>
      <c r="AH435" s="26"/>
      <c r="AI435" s="26"/>
      <c r="AJ435" s="26"/>
      <c r="AK435" s="26"/>
      <c r="AL435" s="26"/>
      <c r="AM435" s="26"/>
      <c r="AN435" s="26"/>
      <c r="AO435" s="26"/>
      <c r="AP435" s="26"/>
      <c r="AQ435" s="26"/>
      <c r="AR435" s="26"/>
      <c r="AS435" s="26"/>
      <c r="AT435" s="26"/>
      <c r="AU435" s="26"/>
      <c r="AV435" s="26"/>
      <c r="AW435" s="26"/>
      <c r="AX435" s="26"/>
      <c r="AY435" s="26"/>
      <c r="AZ435" s="26"/>
      <c r="BA435" s="26"/>
      <c r="BB435" s="26"/>
      <c r="BC435" s="26"/>
      <c r="BD435" s="26"/>
      <c r="BE435" s="26"/>
      <c r="BF435" s="26"/>
      <c r="BG435" s="26"/>
      <c r="BH435" s="26"/>
      <c r="BI435" s="26"/>
      <c r="BJ435" s="26"/>
      <c r="BK435" s="26"/>
    </row>
    <row r="436" ht="14.25" customHeight="1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  <c r="AC436" s="26"/>
      <c r="AD436" s="26"/>
      <c r="AE436" s="26"/>
      <c r="AF436" s="26"/>
      <c r="AG436" s="26"/>
      <c r="AH436" s="26"/>
      <c r="AI436" s="26"/>
      <c r="AJ436" s="26"/>
      <c r="AK436" s="26"/>
      <c r="AL436" s="26"/>
      <c r="AM436" s="26"/>
      <c r="AN436" s="26"/>
      <c r="AO436" s="26"/>
      <c r="AP436" s="26"/>
      <c r="AQ436" s="26"/>
      <c r="AR436" s="26"/>
      <c r="AS436" s="26"/>
      <c r="AT436" s="26"/>
      <c r="AU436" s="26"/>
      <c r="AV436" s="26"/>
      <c r="AW436" s="26"/>
      <c r="AX436" s="26"/>
      <c r="AY436" s="26"/>
      <c r="AZ436" s="26"/>
      <c r="BA436" s="26"/>
      <c r="BB436" s="26"/>
      <c r="BC436" s="26"/>
      <c r="BD436" s="26"/>
      <c r="BE436" s="26"/>
      <c r="BF436" s="26"/>
      <c r="BG436" s="26"/>
      <c r="BH436" s="26"/>
      <c r="BI436" s="26"/>
      <c r="BJ436" s="26"/>
      <c r="BK436" s="26"/>
    </row>
    <row r="437" ht="14.25" customHeight="1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  <c r="AC437" s="26"/>
      <c r="AD437" s="26"/>
      <c r="AE437" s="26"/>
      <c r="AF437" s="26"/>
      <c r="AG437" s="26"/>
      <c r="AH437" s="26"/>
      <c r="AI437" s="26"/>
      <c r="AJ437" s="26"/>
      <c r="AK437" s="26"/>
      <c r="AL437" s="26"/>
      <c r="AM437" s="26"/>
      <c r="AN437" s="26"/>
      <c r="AO437" s="26"/>
      <c r="AP437" s="26"/>
      <c r="AQ437" s="26"/>
      <c r="AR437" s="26"/>
      <c r="AS437" s="26"/>
      <c r="AT437" s="26"/>
      <c r="AU437" s="26"/>
      <c r="AV437" s="26"/>
      <c r="AW437" s="26"/>
      <c r="AX437" s="26"/>
      <c r="AY437" s="26"/>
      <c r="AZ437" s="26"/>
      <c r="BA437" s="26"/>
      <c r="BB437" s="26"/>
      <c r="BC437" s="26"/>
      <c r="BD437" s="26"/>
      <c r="BE437" s="26"/>
      <c r="BF437" s="26"/>
      <c r="BG437" s="26"/>
      <c r="BH437" s="26"/>
      <c r="BI437" s="26"/>
      <c r="BJ437" s="26"/>
      <c r="BK437" s="26"/>
    </row>
    <row r="438" ht="14.25" customHeight="1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  <c r="AC438" s="26"/>
      <c r="AD438" s="26"/>
      <c r="AE438" s="26"/>
      <c r="AF438" s="26"/>
      <c r="AG438" s="26"/>
      <c r="AH438" s="26"/>
      <c r="AI438" s="26"/>
      <c r="AJ438" s="26"/>
      <c r="AK438" s="26"/>
      <c r="AL438" s="26"/>
      <c r="AM438" s="26"/>
      <c r="AN438" s="26"/>
      <c r="AO438" s="26"/>
      <c r="AP438" s="26"/>
      <c r="AQ438" s="26"/>
      <c r="AR438" s="26"/>
      <c r="AS438" s="26"/>
      <c r="AT438" s="26"/>
      <c r="AU438" s="26"/>
      <c r="AV438" s="26"/>
      <c r="AW438" s="26"/>
      <c r="AX438" s="26"/>
      <c r="AY438" s="26"/>
      <c r="AZ438" s="26"/>
      <c r="BA438" s="26"/>
      <c r="BB438" s="26"/>
      <c r="BC438" s="26"/>
      <c r="BD438" s="26"/>
      <c r="BE438" s="26"/>
      <c r="BF438" s="26"/>
      <c r="BG438" s="26"/>
      <c r="BH438" s="26"/>
      <c r="BI438" s="26"/>
      <c r="BJ438" s="26"/>
      <c r="BK438" s="26"/>
    </row>
    <row r="439" ht="14.25" customHeight="1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  <c r="AC439" s="26"/>
      <c r="AD439" s="26"/>
      <c r="AE439" s="26"/>
      <c r="AF439" s="26"/>
      <c r="AG439" s="26"/>
      <c r="AH439" s="26"/>
      <c r="AI439" s="26"/>
      <c r="AJ439" s="26"/>
      <c r="AK439" s="26"/>
      <c r="AL439" s="26"/>
      <c r="AM439" s="26"/>
      <c r="AN439" s="26"/>
      <c r="AO439" s="26"/>
      <c r="AP439" s="26"/>
      <c r="AQ439" s="26"/>
      <c r="AR439" s="26"/>
      <c r="AS439" s="26"/>
      <c r="AT439" s="26"/>
      <c r="AU439" s="26"/>
      <c r="AV439" s="26"/>
      <c r="AW439" s="26"/>
      <c r="AX439" s="26"/>
      <c r="AY439" s="26"/>
      <c r="AZ439" s="26"/>
      <c r="BA439" s="26"/>
      <c r="BB439" s="26"/>
      <c r="BC439" s="26"/>
      <c r="BD439" s="26"/>
      <c r="BE439" s="26"/>
      <c r="BF439" s="26"/>
      <c r="BG439" s="26"/>
      <c r="BH439" s="26"/>
      <c r="BI439" s="26"/>
      <c r="BJ439" s="26"/>
      <c r="BK439" s="26"/>
    </row>
    <row r="440" ht="14.25" customHeight="1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  <c r="AC440" s="26"/>
      <c r="AD440" s="26"/>
      <c r="AE440" s="26"/>
      <c r="AF440" s="26"/>
      <c r="AG440" s="26"/>
      <c r="AH440" s="26"/>
      <c r="AI440" s="26"/>
      <c r="AJ440" s="26"/>
      <c r="AK440" s="26"/>
      <c r="AL440" s="26"/>
      <c r="AM440" s="26"/>
      <c r="AN440" s="26"/>
      <c r="AO440" s="26"/>
      <c r="AP440" s="26"/>
      <c r="AQ440" s="26"/>
      <c r="AR440" s="26"/>
      <c r="AS440" s="26"/>
      <c r="AT440" s="26"/>
      <c r="AU440" s="26"/>
      <c r="AV440" s="26"/>
      <c r="AW440" s="26"/>
      <c r="AX440" s="26"/>
      <c r="AY440" s="26"/>
      <c r="AZ440" s="26"/>
      <c r="BA440" s="26"/>
      <c r="BB440" s="26"/>
      <c r="BC440" s="26"/>
      <c r="BD440" s="26"/>
      <c r="BE440" s="26"/>
      <c r="BF440" s="26"/>
      <c r="BG440" s="26"/>
      <c r="BH440" s="26"/>
      <c r="BI440" s="26"/>
      <c r="BJ440" s="26"/>
      <c r="BK440" s="26"/>
    </row>
    <row r="441" ht="14.25" customHeight="1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  <c r="AC441" s="26"/>
      <c r="AD441" s="26"/>
      <c r="AE441" s="26"/>
      <c r="AF441" s="26"/>
      <c r="AG441" s="26"/>
      <c r="AH441" s="26"/>
      <c r="AI441" s="26"/>
      <c r="AJ441" s="26"/>
      <c r="AK441" s="26"/>
      <c r="AL441" s="26"/>
      <c r="AM441" s="26"/>
      <c r="AN441" s="26"/>
      <c r="AO441" s="26"/>
      <c r="AP441" s="26"/>
      <c r="AQ441" s="26"/>
      <c r="AR441" s="26"/>
      <c r="AS441" s="26"/>
      <c r="AT441" s="26"/>
      <c r="AU441" s="26"/>
      <c r="AV441" s="26"/>
      <c r="AW441" s="26"/>
      <c r="AX441" s="26"/>
      <c r="AY441" s="26"/>
      <c r="AZ441" s="26"/>
      <c r="BA441" s="26"/>
      <c r="BB441" s="26"/>
      <c r="BC441" s="26"/>
      <c r="BD441" s="26"/>
      <c r="BE441" s="26"/>
      <c r="BF441" s="26"/>
      <c r="BG441" s="26"/>
      <c r="BH441" s="26"/>
      <c r="BI441" s="26"/>
      <c r="BJ441" s="26"/>
      <c r="BK441" s="26"/>
    </row>
    <row r="442" ht="14.25" customHeight="1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  <c r="AC442" s="26"/>
      <c r="AD442" s="26"/>
      <c r="AE442" s="26"/>
      <c r="AF442" s="26"/>
      <c r="AG442" s="26"/>
      <c r="AH442" s="26"/>
      <c r="AI442" s="26"/>
      <c r="AJ442" s="26"/>
      <c r="AK442" s="26"/>
      <c r="AL442" s="26"/>
      <c r="AM442" s="26"/>
      <c r="AN442" s="26"/>
      <c r="AO442" s="26"/>
      <c r="AP442" s="26"/>
      <c r="AQ442" s="26"/>
      <c r="AR442" s="26"/>
      <c r="AS442" s="26"/>
      <c r="AT442" s="26"/>
      <c r="AU442" s="26"/>
      <c r="AV442" s="26"/>
      <c r="AW442" s="26"/>
      <c r="AX442" s="26"/>
      <c r="AY442" s="26"/>
      <c r="AZ442" s="26"/>
      <c r="BA442" s="26"/>
      <c r="BB442" s="26"/>
      <c r="BC442" s="26"/>
      <c r="BD442" s="26"/>
      <c r="BE442" s="26"/>
      <c r="BF442" s="26"/>
      <c r="BG442" s="26"/>
      <c r="BH442" s="26"/>
      <c r="BI442" s="26"/>
      <c r="BJ442" s="26"/>
      <c r="BK442" s="26"/>
    </row>
    <row r="443" ht="14.25" customHeight="1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  <c r="AC443" s="26"/>
      <c r="AD443" s="26"/>
      <c r="AE443" s="26"/>
      <c r="AF443" s="26"/>
      <c r="AG443" s="26"/>
      <c r="AH443" s="26"/>
      <c r="AI443" s="26"/>
      <c r="AJ443" s="26"/>
      <c r="AK443" s="26"/>
      <c r="AL443" s="26"/>
      <c r="AM443" s="26"/>
      <c r="AN443" s="26"/>
      <c r="AO443" s="26"/>
      <c r="AP443" s="26"/>
      <c r="AQ443" s="26"/>
      <c r="AR443" s="26"/>
      <c r="AS443" s="26"/>
      <c r="AT443" s="26"/>
      <c r="AU443" s="26"/>
      <c r="AV443" s="26"/>
      <c r="AW443" s="26"/>
      <c r="AX443" s="26"/>
      <c r="AY443" s="26"/>
      <c r="AZ443" s="26"/>
      <c r="BA443" s="26"/>
      <c r="BB443" s="26"/>
      <c r="BC443" s="26"/>
      <c r="BD443" s="26"/>
      <c r="BE443" s="26"/>
      <c r="BF443" s="26"/>
      <c r="BG443" s="26"/>
      <c r="BH443" s="26"/>
      <c r="BI443" s="26"/>
      <c r="BJ443" s="26"/>
      <c r="BK443" s="26"/>
    </row>
    <row r="444" ht="14.25" customHeight="1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  <c r="AC444" s="26"/>
      <c r="AD444" s="26"/>
      <c r="AE444" s="26"/>
      <c r="AF444" s="26"/>
      <c r="AG444" s="26"/>
      <c r="AH444" s="26"/>
      <c r="AI444" s="26"/>
      <c r="AJ444" s="26"/>
      <c r="AK444" s="26"/>
      <c r="AL444" s="26"/>
      <c r="AM444" s="26"/>
      <c r="AN444" s="26"/>
      <c r="AO444" s="26"/>
      <c r="AP444" s="26"/>
      <c r="AQ444" s="26"/>
      <c r="AR444" s="26"/>
      <c r="AS444" s="26"/>
      <c r="AT444" s="26"/>
      <c r="AU444" s="26"/>
      <c r="AV444" s="26"/>
      <c r="AW444" s="26"/>
      <c r="AX444" s="26"/>
      <c r="AY444" s="26"/>
      <c r="AZ444" s="26"/>
      <c r="BA444" s="26"/>
      <c r="BB444" s="26"/>
      <c r="BC444" s="26"/>
      <c r="BD444" s="26"/>
      <c r="BE444" s="26"/>
      <c r="BF444" s="26"/>
      <c r="BG444" s="26"/>
      <c r="BH444" s="26"/>
      <c r="BI444" s="26"/>
      <c r="BJ444" s="26"/>
      <c r="BK444" s="26"/>
    </row>
    <row r="445" ht="14.25" customHeight="1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  <c r="AC445" s="26"/>
      <c r="AD445" s="26"/>
      <c r="AE445" s="26"/>
      <c r="AF445" s="26"/>
      <c r="AG445" s="26"/>
      <c r="AH445" s="26"/>
      <c r="AI445" s="26"/>
      <c r="AJ445" s="26"/>
      <c r="AK445" s="26"/>
      <c r="AL445" s="26"/>
      <c r="AM445" s="26"/>
      <c r="AN445" s="26"/>
      <c r="AO445" s="26"/>
      <c r="AP445" s="26"/>
      <c r="AQ445" s="26"/>
      <c r="AR445" s="26"/>
      <c r="AS445" s="26"/>
      <c r="AT445" s="26"/>
      <c r="AU445" s="26"/>
      <c r="AV445" s="26"/>
      <c r="AW445" s="26"/>
      <c r="AX445" s="26"/>
      <c r="AY445" s="26"/>
      <c r="AZ445" s="26"/>
      <c r="BA445" s="26"/>
      <c r="BB445" s="26"/>
      <c r="BC445" s="26"/>
      <c r="BD445" s="26"/>
      <c r="BE445" s="26"/>
      <c r="BF445" s="26"/>
      <c r="BG445" s="26"/>
      <c r="BH445" s="26"/>
      <c r="BI445" s="26"/>
      <c r="BJ445" s="26"/>
      <c r="BK445" s="26"/>
    </row>
    <row r="446" ht="14.25" customHeight="1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  <c r="AC446" s="26"/>
      <c r="AD446" s="26"/>
      <c r="AE446" s="26"/>
      <c r="AF446" s="26"/>
      <c r="AG446" s="26"/>
      <c r="AH446" s="26"/>
      <c r="AI446" s="26"/>
      <c r="AJ446" s="26"/>
      <c r="AK446" s="26"/>
      <c r="AL446" s="26"/>
      <c r="AM446" s="26"/>
      <c r="AN446" s="26"/>
      <c r="AO446" s="26"/>
      <c r="AP446" s="26"/>
      <c r="AQ446" s="26"/>
      <c r="AR446" s="26"/>
      <c r="AS446" s="26"/>
      <c r="AT446" s="26"/>
      <c r="AU446" s="26"/>
      <c r="AV446" s="26"/>
      <c r="AW446" s="26"/>
      <c r="AX446" s="26"/>
      <c r="AY446" s="26"/>
      <c r="AZ446" s="26"/>
      <c r="BA446" s="26"/>
      <c r="BB446" s="26"/>
      <c r="BC446" s="26"/>
      <c r="BD446" s="26"/>
      <c r="BE446" s="26"/>
      <c r="BF446" s="26"/>
      <c r="BG446" s="26"/>
      <c r="BH446" s="26"/>
      <c r="BI446" s="26"/>
      <c r="BJ446" s="26"/>
      <c r="BK446" s="26"/>
    </row>
    <row r="447" ht="14.25" customHeight="1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  <c r="AC447" s="26"/>
      <c r="AD447" s="26"/>
      <c r="AE447" s="26"/>
      <c r="AF447" s="26"/>
      <c r="AG447" s="26"/>
      <c r="AH447" s="26"/>
      <c r="AI447" s="26"/>
      <c r="AJ447" s="26"/>
      <c r="AK447" s="26"/>
      <c r="AL447" s="26"/>
      <c r="AM447" s="26"/>
      <c r="AN447" s="26"/>
      <c r="AO447" s="26"/>
      <c r="AP447" s="26"/>
      <c r="AQ447" s="26"/>
      <c r="AR447" s="26"/>
      <c r="AS447" s="26"/>
      <c r="AT447" s="26"/>
      <c r="AU447" s="26"/>
      <c r="AV447" s="26"/>
      <c r="AW447" s="26"/>
      <c r="AX447" s="26"/>
      <c r="AY447" s="26"/>
      <c r="AZ447" s="26"/>
      <c r="BA447" s="26"/>
      <c r="BB447" s="26"/>
      <c r="BC447" s="26"/>
      <c r="BD447" s="26"/>
      <c r="BE447" s="26"/>
      <c r="BF447" s="26"/>
      <c r="BG447" s="26"/>
      <c r="BH447" s="26"/>
      <c r="BI447" s="26"/>
      <c r="BJ447" s="26"/>
      <c r="BK447" s="26"/>
    </row>
    <row r="448" ht="14.25" customHeight="1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  <c r="AC448" s="26"/>
      <c r="AD448" s="26"/>
      <c r="AE448" s="26"/>
      <c r="AF448" s="26"/>
      <c r="AG448" s="26"/>
      <c r="AH448" s="26"/>
      <c r="AI448" s="26"/>
      <c r="AJ448" s="26"/>
      <c r="AK448" s="26"/>
      <c r="AL448" s="26"/>
      <c r="AM448" s="26"/>
      <c r="AN448" s="26"/>
      <c r="AO448" s="26"/>
      <c r="AP448" s="26"/>
      <c r="AQ448" s="26"/>
      <c r="AR448" s="26"/>
      <c r="AS448" s="26"/>
      <c r="AT448" s="26"/>
      <c r="AU448" s="26"/>
      <c r="AV448" s="26"/>
      <c r="AW448" s="26"/>
      <c r="AX448" s="26"/>
      <c r="AY448" s="26"/>
      <c r="AZ448" s="26"/>
      <c r="BA448" s="26"/>
      <c r="BB448" s="26"/>
      <c r="BC448" s="26"/>
      <c r="BD448" s="26"/>
      <c r="BE448" s="26"/>
      <c r="BF448" s="26"/>
      <c r="BG448" s="26"/>
      <c r="BH448" s="26"/>
      <c r="BI448" s="26"/>
      <c r="BJ448" s="26"/>
      <c r="BK448" s="26"/>
    </row>
    <row r="449" ht="14.25" customHeight="1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  <c r="AC449" s="26"/>
      <c r="AD449" s="26"/>
      <c r="AE449" s="26"/>
      <c r="AF449" s="26"/>
      <c r="AG449" s="26"/>
      <c r="AH449" s="26"/>
      <c r="AI449" s="26"/>
      <c r="AJ449" s="26"/>
      <c r="AK449" s="26"/>
      <c r="AL449" s="26"/>
      <c r="AM449" s="26"/>
      <c r="AN449" s="26"/>
      <c r="AO449" s="26"/>
      <c r="AP449" s="26"/>
      <c r="AQ449" s="26"/>
      <c r="AR449" s="26"/>
      <c r="AS449" s="26"/>
      <c r="AT449" s="26"/>
      <c r="AU449" s="26"/>
      <c r="AV449" s="26"/>
      <c r="AW449" s="26"/>
      <c r="AX449" s="26"/>
      <c r="AY449" s="26"/>
      <c r="AZ449" s="26"/>
      <c r="BA449" s="26"/>
      <c r="BB449" s="26"/>
      <c r="BC449" s="26"/>
      <c r="BD449" s="26"/>
      <c r="BE449" s="26"/>
      <c r="BF449" s="26"/>
      <c r="BG449" s="26"/>
      <c r="BH449" s="26"/>
      <c r="BI449" s="26"/>
      <c r="BJ449" s="26"/>
      <c r="BK449" s="26"/>
    </row>
    <row r="450" ht="14.25" customHeight="1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  <c r="AC450" s="26"/>
      <c r="AD450" s="26"/>
      <c r="AE450" s="26"/>
      <c r="AF450" s="26"/>
      <c r="AG450" s="26"/>
      <c r="AH450" s="26"/>
      <c r="AI450" s="26"/>
      <c r="AJ450" s="26"/>
      <c r="AK450" s="26"/>
      <c r="AL450" s="26"/>
      <c r="AM450" s="26"/>
      <c r="AN450" s="26"/>
      <c r="AO450" s="26"/>
      <c r="AP450" s="26"/>
      <c r="AQ450" s="26"/>
      <c r="AR450" s="26"/>
      <c r="AS450" s="26"/>
      <c r="AT450" s="26"/>
      <c r="AU450" s="26"/>
      <c r="AV450" s="26"/>
      <c r="AW450" s="26"/>
      <c r="AX450" s="26"/>
      <c r="AY450" s="26"/>
      <c r="AZ450" s="26"/>
      <c r="BA450" s="26"/>
      <c r="BB450" s="26"/>
      <c r="BC450" s="26"/>
      <c r="BD450" s="26"/>
      <c r="BE450" s="26"/>
      <c r="BF450" s="26"/>
      <c r="BG450" s="26"/>
      <c r="BH450" s="26"/>
      <c r="BI450" s="26"/>
      <c r="BJ450" s="26"/>
      <c r="BK450" s="26"/>
    </row>
    <row r="451" ht="14.25" customHeight="1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  <c r="AC451" s="26"/>
      <c r="AD451" s="26"/>
      <c r="AE451" s="26"/>
      <c r="AF451" s="26"/>
      <c r="AG451" s="26"/>
      <c r="AH451" s="26"/>
      <c r="AI451" s="26"/>
      <c r="AJ451" s="26"/>
      <c r="AK451" s="26"/>
      <c r="AL451" s="26"/>
      <c r="AM451" s="26"/>
      <c r="AN451" s="26"/>
      <c r="AO451" s="26"/>
      <c r="AP451" s="26"/>
      <c r="AQ451" s="26"/>
      <c r="AR451" s="26"/>
      <c r="AS451" s="26"/>
      <c r="AT451" s="26"/>
      <c r="AU451" s="26"/>
      <c r="AV451" s="26"/>
      <c r="AW451" s="26"/>
      <c r="AX451" s="26"/>
      <c r="AY451" s="26"/>
      <c r="AZ451" s="26"/>
      <c r="BA451" s="26"/>
      <c r="BB451" s="26"/>
      <c r="BC451" s="26"/>
      <c r="BD451" s="26"/>
      <c r="BE451" s="26"/>
      <c r="BF451" s="26"/>
      <c r="BG451" s="26"/>
      <c r="BH451" s="26"/>
      <c r="BI451" s="26"/>
      <c r="BJ451" s="26"/>
      <c r="BK451" s="26"/>
    </row>
    <row r="452" ht="14.25" customHeight="1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  <c r="AC452" s="26"/>
      <c r="AD452" s="26"/>
      <c r="AE452" s="26"/>
      <c r="AF452" s="26"/>
      <c r="AG452" s="26"/>
      <c r="AH452" s="26"/>
      <c r="AI452" s="26"/>
      <c r="AJ452" s="26"/>
      <c r="AK452" s="26"/>
      <c r="AL452" s="26"/>
      <c r="AM452" s="26"/>
      <c r="AN452" s="26"/>
      <c r="AO452" s="26"/>
      <c r="AP452" s="26"/>
      <c r="AQ452" s="26"/>
      <c r="AR452" s="26"/>
      <c r="AS452" s="26"/>
      <c r="AT452" s="26"/>
      <c r="AU452" s="26"/>
      <c r="AV452" s="26"/>
      <c r="AW452" s="26"/>
      <c r="AX452" s="26"/>
      <c r="AY452" s="26"/>
      <c r="AZ452" s="26"/>
      <c r="BA452" s="26"/>
      <c r="BB452" s="26"/>
      <c r="BC452" s="26"/>
      <c r="BD452" s="26"/>
      <c r="BE452" s="26"/>
      <c r="BF452" s="26"/>
      <c r="BG452" s="26"/>
      <c r="BH452" s="26"/>
      <c r="BI452" s="26"/>
      <c r="BJ452" s="26"/>
      <c r="BK452" s="26"/>
    </row>
    <row r="453" ht="14.25" customHeight="1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  <c r="AC453" s="26"/>
      <c r="AD453" s="26"/>
      <c r="AE453" s="26"/>
      <c r="AF453" s="26"/>
      <c r="AG453" s="26"/>
      <c r="AH453" s="26"/>
      <c r="AI453" s="26"/>
      <c r="AJ453" s="26"/>
      <c r="AK453" s="26"/>
      <c r="AL453" s="26"/>
      <c r="AM453" s="26"/>
      <c r="AN453" s="26"/>
      <c r="AO453" s="26"/>
      <c r="AP453" s="26"/>
      <c r="AQ453" s="26"/>
      <c r="AR453" s="26"/>
      <c r="AS453" s="26"/>
      <c r="AT453" s="26"/>
      <c r="AU453" s="26"/>
      <c r="AV453" s="26"/>
      <c r="AW453" s="26"/>
      <c r="AX453" s="26"/>
      <c r="AY453" s="26"/>
      <c r="AZ453" s="26"/>
      <c r="BA453" s="26"/>
      <c r="BB453" s="26"/>
      <c r="BC453" s="26"/>
      <c r="BD453" s="26"/>
      <c r="BE453" s="26"/>
      <c r="BF453" s="26"/>
      <c r="BG453" s="26"/>
      <c r="BH453" s="26"/>
      <c r="BI453" s="26"/>
      <c r="BJ453" s="26"/>
      <c r="BK453" s="26"/>
    </row>
    <row r="454" ht="14.25" customHeight="1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  <c r="AC454" s="26"/>
      <c r="AD454" s="26"/>
      <c r="AE454" s="26"/>
      <c r="AF454" s="26"/>
      <c r="AG454" s="26"/>
      <c r="AH454" s="26"/>
      <c r="AI454" s="26"/>
      <c r="AJ454" s="26"/>
      <c r="AK454" s="26"/>
      <c r="AL454" s="26"/>
      <c r="AM454" s="26"/>
      <c r="AN454" s="26"/>
      <c r="AO454" s="26"/>
      <c r="AP454" s="26"/>
      <c r="AQ454" s="26"/>
      <c r="AR454" s="26"/>
      <c r="AS454" s="26"/>
      <c r="AT454" s="26"/>
      <c r="AU454" s="26"/>
      <c r="AV454" s="26"/>
      <c r="AW454" s="26"/>
      <c r="AX454" s="26"/>
      <c r="AY454" s="26"/>
      <c r="AZ454" s="26"/>
      <c r="BA454" s="26"/>
      <c r="BB454" s="26"/>
      <c r="BC454" s="26"/>
      <c r="BD454" s="26"/>
      <c r="BE454" s="26"/>
      <c r="BF454" s="26"/>
      <c r="BG454" s="26"/>
      <c r="BH454" s="26"/>
      <c r="BI454" s="26"/>
      <c r="BJ454" s="26"/>
      <c r="BK454" s="26"/>
    </row>
    <row r="455" ht="14.25" customHeight="1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  <c r="AC455" s="26"/>
      <c r="AD455" s="26"/>
      <c r="AE455" s="26"/>
      <c r="AF455" s="26"/>
      <c r="AG455" s="26"/>
      <c r="AH455" s="26"/>
      <c r="AI455" s="26"/>
      <c r="AJ455" s="26"/>
      <c r="AK455" s="26"/>
      <c r="AL455" s="26"/>
      <c r="AM455" s="26"/>
      <c r="AN455" s="26"/>
      <c r="AO455" s="26"/>
      <c r="AP455" s="26"/>
      <c r="AQ455" s="26"/>
      <c r="AR455" s="26"/>
      <c r="AS455" s="26"/>
      <c r="AT455" s="26"/>
      <c r="AU455" s="26"/>
      <c r="AV455" s="26"/>
      <c r="AW455" s="26"/>
      <c r="AX455" s="26"/>
      <c r="AY455" s="26"/>
      <c r="AZ455" s="26"/>
      <c r="BA455" s="26"/>
      <c r="BB455" s="26"/>
      <c r="BC455" s="26"/>
      <c r="BD455" s="26"/>
      <c r="BE455" s="26"/>
      <c r="BF455" s="26"/>
      <c r="BG455" s="26"/>
      <c r="BH455" s="26"/>
      <c r="BI455" s="26"/>
      <c r="BJ455" s="26"/>
      <c r="BK455" s="26"/>
    </row>
    <row r="456" ht="14.25" customHeight="1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  <c r="AC456" s="26"/>
      <c r="AD456" s="26"/>
      <c r="AE456" s="26"/>
      <c r="AF456" s="26"/>
      <c r="AG456" s="26"/>
      <c r="AH456" s="26"/>
      <c r="AI456" s="26"/>
      <c r="AJ456" s="26"/>
      <c r="AK456" s="26"/>
      <c r="AL456" s="26"/>
      <c r="AM456" s="26"/>
      <c r="AN456" s="26"/>
      <c r="AO456" s="26"/>
      <c r="AP456" s="26"/>
      <c r="AQ456" s="26"/>
      <c r="AR456" s="26"/>
      <c r="AS456" s="26"/>
      <c r="AT456" s="26"/>
      <c r="AU456" s="26"/>
      <c r="AV456" s="26"/>
      <c r="AW456" s="26"/>
      <c r="AX456" s="26"/>
      <c r="AY456" s="26"/>
      <c r="AZ456" s="26"/>
      <c r="BA456" s="26"/>
      <c r="BB456" s="26"/>
      <c r="BC456" s="26"/>
      <c r="BD456" s="26"/>
      <c r="BE456" s="26"/>
      <c r="BF456" s="26"/>
      <c r="BG456" s="26"/>
      <c r="BH456" s="26"/>
      <c r="BI456" s="26"/>
      <c r="BJ456" s="26"/>
      <c r="BK456" s="26"/>
    </row>
    <row r="457" ht="14.25" customHeight="1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  <c r="AC457" s="26"/>
      <c r="AD457" s="26"/>
      <c r="AE457" s="26"/>
      <c r="AF457" s="26"/>
      <c r="AG457" s="26"/>
      <c r="AH457" s="26"/>
      <c r="AI457" s="26"/>
      <c r="AJ457" s="26"/>
      <c r="AK457" s="26"/>
      <c r="AL457" s="26"/>
      <c r="AM457" s="26"/>
      <c r="AN457" s="26"/>
      <c r="AO457" s="26"/>
      <c r="AP457" s="26"/>
      <c r="AQ457" s="26"/>
      <c r="AR457" s="26"/>
      <c r="AS457" s="26"/>
      <c r="AT457" s="26"/>
      <c r="AU457" s="26"/>
      <c r="AV457" s="26"/>
      <c r="AW457" s="26"/>
      <c r="AX457" s="26"/>
      <c r="AY457" s="26"/>
      <c r="AZ457" s="26"/>
      <c r="BA457" s="26"/>
      <c r="BB457" s="26"/>
      <c r="BC457" s="26"/>
      <c r="BD457" s="26"/>
      <c r="BE457" s="26"/>
      <c r="BF457" s="26"/>
      <c r="BG457" s="26"/>
      <c r="BH457" s="26"/>
      <c r="BI457" s="26"/>
      <c r="BJ457" s="26"/>
      <c r="BK457" s="26"/>
    </row>
    <row r="458" ht="14.25" customHeight="1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  <c r="AC458" s="26"/>
      <c r="AD458" s="26"/>
      <c r="AE458" s="26"/>
      <c r="AF458" s="26"/>
      <c r="AG458" s="26"/>
      <c r="AH458" s="26"/>
      <c r="AI458" s="26"/>
      <c r="AJ458" s="26"/>
      <c r="AK458" s="26"/>
      <c r="AL458" s="26"/>
      <c r="AM458" s="26"/>
      <c r="AN458" s="26"/>
      <c r="AO458" s="26"/>
      <c r="AP458" s="26"/>
      <c r="AQ458" s="26"/>
      <c r="AR458" s="26"/>
      <c r="AS458" s="26"/>
      <c r="AT458" s="26"/>
      <c r="AU458" s="26"/>
      <c r="AV458" s="26"/>
      <c r="AW458" s="26"/>
      <c r="AX458" s="26"/>
      <c r="AY458" s="26"/>
      <c r="AZ458" s="26"/>
      <c r="BA458" s="26"/>
      <c r="BB458" s="26"/>
      <c r="BC458" s="26"/>
      <c r="BD458" s="26"/>
      <c r="BE458" s="26"/>
      <c r="BF458" s="26"/>
      <c r="BG458" s="26"/>
      <c r="BH458" s="26"/>
      <c r="BI458" s="26"/>
      <c r="BJ458" s="26"/>
      <c r="BK458" s="26"/>
    </row>
    <row r="459" ht="14.25" customHeight="1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  <c r="AC459" s="26"/>
      <c r="AD459" s="26"/>
      <c r="AE459" s="26"/>
      <c r="AF459" s="26"/>
      <c r="AG459" s="26"/>
      <c r="AH459" s="26"/>
      <c r="AI459" s="26"/>
      <c r="AJ459" s="26"/>
      <c r="AK459" s="26"/>
      <c r="AL459" s="26"/>
      <c r="AM459" s="26"/>
      <c r="AN459" s="26"/>
      <c r="AO459" s="26"/>
      <c r="AP459" s="26"/>
      <c r="AQ459" s="26"/>
      <c r="AR459" s="26"/>
      <c r="AS459" s="26"/>
      <c r="AT459" s="26"/>
      <c r="AU459" s="26"/>
      <c r="AV459" s="26"/>
      <c r="AW459" s="26"/>
      <c r="AX459" s="26"/>
      <c r="AY459" s="26"/>
      <c r="AZ459" s="26"/>
      <c r="BA459" s="26"/>
      <c r="BB459" s="26"/>
      <c r="BC459" s="26"/>
      <c r="BD459" s="26"/>
      <c r="BE459" s="26"/>
      <c r="BF459" s="26"/>
      <c r="BG459" s="26"/>
      <c r="BH459" s="26"/>
      <c r="BI459" s="26"/>
      <c r="BJ459" s="26"/>
      <c r="BK459" s="26"/>
    </row>
    <row r="460" ht="14.25" customHeight="1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  <c r="AC460" s="26"/>
      <c r="AD460" s="26"/>
      <c r="AE460" s="26"/>
      <c r="AF460" s="26"/>
      <c r="AG460" s="26"/>
      <c r="AH460" s="26"/>
      <c r="AI460" s="26"/>
      <c r="AJ460" s="26"/>
      <c r="AK460" s="26"/>
      <c r="AL460" s="26"/>
      <c r="AM460" s="26"/>
      <c r="AN460" s="26"/>
      <c r="AO460" s="26"/>
      <c r="AP460" s="26"/>
      <c r="AQ460" s="26"/>
      <c r="AR460" s="26"/>
      <c r="AS460" s="26"/>
      <c r="AT460" s="26"/>
      <c r="AU460" s="26"/>
      <c r="AV460" s="26"/>
      <c r="AW460" s="26"/>
      <c r="AX460" s="26"/>
      <c r="AY460" s="26"/>
      <c r="AZ460" s="26"/>
      <c r="BA460" s="26"/>
      <c r="BB460" s="26"/>
      <c r="BC460" s="26"/>
      <c r="BD460" s="26"/>
      <c r="BE460" s="26"/>
      <c r="BF460" s="26"/>
      <c r="BG460" s="26"/>
      <c r="BH460" s="26"/>
      <c r="BI460" s="26"/>
      <c r="BJ460" s="26"/>
      <c r="BK460" s="26"/>
    </row>
    <row r="461" ht="14.25" customHeight="1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  <c r="AC461" s="26"/>
      <c r="AD461" s="26"/>
      <c r="AE461" s="26"/>
      <c r="AF461" s="26"/>
      <c r="AG461" s="26"/>
      <c r="AH461" s="26"/>
      <c r="AI461" s="26"/>
      <c r="AJ461" s="26"/>
      <c r="AK461" s="26"/>
      <c r="AL461" s="26"/>
      <c r="AM461" s="26"/>
      <c r="AN461" s="26"/>
      <c r="AO461" s="26"/>
      <c r="AP461" s="26"/>
      <c r="AQ461" s="26"/>
      <c r="AR461" s="26"/>
      <c r="AS461" s="26"/>
      <c r="AT461" s="26"/>
      <c r="AU461" s="26"/>
      <c r="AV461" s="26"/>
      <c r="AW461" s="26"/>
      <c r="AX461" s="26"/>
      <c r="AY461" s="26"/>
      <c r="AZ461" s="26"/>
      <c r="BA461" s="26"/>
      <c r="BB461" s="26"/>
      <c r="BC461" s="26"/>
      <c r="BD461" s="26"/>
      <c r="BE461" s="26"/>
      <c r="BF461" s="26"/>
      <c r="BG461" s="26"/>
      <c r="BH461" s="26"/>
      <c r="BI461" s="26"/>
      <c r="BJ461" s="26"/>
      <c r="BK461" s="26"/>
    </row>
    <row r="462" ht="14.25" customHeight="1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  <c r="AC462" s="26"/>
      <c r="AD462" s="26"/>
      <c r="AE462" s="26"/>
      <c r="AF462" s="26"/>
      <c r="AG462" s="26"/>
      <c r="AH462" s="26"/>
      <c r="AI462" s="26"/>
      <c r="AJ462" s="26"/>
      <c r="AK462" s="26"/>
      <c r="AL462" s="26"/>
      <c r="AM462" s="26"/>
      <c r="AN462" s="26"/>
      <c r="AO462" s="26"/>
      <c r="AP462" s="26"/>
      <c r="AQ462" s="26"/>
      <c r="AR462" s="26"/>
      <c r="AS462" s="26"/>
      <c r="AT462" s="26"/>
      <c r="AU462" s="26"/>
      <c r="AV462" s="26"/>
      <c r="AW462" s="26"/>
      <c r="AX462" s="26"/>
      <c r="AY462" s="26"/>
      <c r="AZ462" s="26"/>
      <c r="BA462" s="26"/>
      <c r="BB462" s="26"/>
      <c r="BC462" s="26"/>
      <c r="BD462" s="26"/>
      <c r="BE462" s="26"/>
      <c r="BF462" s="26"/>
      <c r="BG462" s="26"/>
      <c r="BH462" s="26"/>
      <c r="BI462" s="26"/>
      <c r="BJ462" s="26"/>
      <c r="BK462" s="26"/>
    </row>
    <row r="463" ht="14.25" customHeight="1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  <c r="AC463" s="26"/>
      <c r="AD463" s="26"/>
      <c r="AE463" s="26"/>
      <c r="AF463" s="26"/>
      <c r="AG463" s="26"/>
      <c r="AH463" s="26"/>
      <c r="AI463" s="26"/>
      <c r="AJ463" s="26"/>
      <c r="AK463" s="26"/>
      <c r="AL463" s="26"/>
      <c r="AM463" s="26"/>
      <c r="AN463" s="26"/>
      <c r="AO463" s="26"/>
      <c r="AP463" s="26"/>
      <c r="AQ463" s="26"/>
      <c r="AR463" s="26"/>
      <c r="AS463" s="26"/>
      <c r="AT463" s="26"/>
      <c r="AU463" s="26"/>
      <c r="AV463" s="26"/>
      <c r="AW463" s="26"/>
      <c r="AX463" s="26"/>
      <c r="AY463" s="26"/>
      <c r="AZ463" s="26"/>
      <c r="BA463" s="26"/>
      <c r="BB463" s="26"/>
      <c r="BC463" s="26"/>
      <c r="BD463" s="26"/>
      <c r="BE463" s="26"/>
      <c r="BF463" s="26"/>
      <c r="BG463" s="26"/>
      <c r="BH463" s="26"/>
      <c r="BI463" s="26"/>
      <c r="BJ463" s="26"/>
      <c r="BK463" s="26"/>
    </row>
    <row r="464" ht="14.25" customHeight="1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  <c r="AC464" s="26"/>
      <c r="AD464" s="26"/>
      <c r="AE464" s="26"/>
      <c r="AF464" s="26"/>
      <c r="AG464" s="26"/>
      <c r="AH464" s="26"/>
      <c r="AI464" s="26"/>
      <c r="AJ464" s="26"/>
      <c r="AK464" s="26"/>
      <c r="AL464" s="26"/>
      <c r="AM464" s="26"/>
      <c r="AN464" s="26"/>
      <c r="AO464" s="26"/>
      <c r="AP464" s="26"/>
      <c r="AQ464" s="26"/>
      <c r="AR464" s="26"/>
      <c r="AS464" s="26"/>
      <c r="AT464" s="26"/>
      <c r="AU464" s="26"/>
      <c r="AV464" s="26"/>
      <c r="AW464" s="26"/>
      <c r="AX464" s="26"/>
      <c r="AY464" s="26"/>
      <c r="AZ464" s="26"/>
      <c r="BA464" s="26"/>
      <c r="BB464" s="26"/>
      <c r="BC464" s="26"/>
      <c r="BD464" s="26"/>
      <c r="BE464" s="26"/>
      <c r="BF464" s="26"/>
      <c r="BG464" s="26"/>
      <c r="BH464" s="26"/>
      <c r="BI464" s="26"/>
      <c r="BJ464" s="26"/>
      <c r="BK464" s="26"/>
    </row>
    <row r="465" ht="14.25" customHeight="1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  <c r="AC465" s="26"/>
      <c r="AD465" s="26"/>
      <c r="AE465" s="26"/>
      <c r="AF465" s="26"/>
      <c r="AG465" s="26"/>
      <c r="AH465" s="26"/>
      <c r="AI465" s="26"/>
      <c r="AJ465" s="26"/>
      <c r="AK465" s="26"/>
      <c r="AL465" s="26"/>
      <c r="AM465" s="26"/>
      <c r="AN465" s="26"/>
      <c r="AO465" s="26"/>
      <c r="AP465" s="26"/>
      <c r="AQ465" s="26"/>
      <c r="AR465" s="26"/>
      <c r="AS465" s="26"/>
      <c r="AT465" s="26"/>
      <c r="AU465" s="26"/>
      <c r="AV465" s="26"/>
      <c r="AW465" s="26"/>
      <c r="AX465" s="26"/>
      <c r="AY465" s="26"/>
      <c r="AZ465" s="26"/>
      <c r="BA465" s="26"/>
      <c r="BB465" s="26"/>
      <c r="BC465" s="26"/>
      <c r="BD465" s="26"/>
      <c r="BE465" s="26"/>
      <c r="BF465" s="26"/>
      <c r="BG465" s="26"/>
      <c r="BH465" s="26"/>
      <c r="BI465" s="26"/>
      <c r="BJ465" s="26"/>
      <c r="BK465" s="26"/>
    </row>
    <row r="466" ht="14.25" customHeight="1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  <c r="AC466" s="26"/>
      <c r="AD466" s="26"/>
      <c r="AE466" s="26"/>
      <c r="AF466" s="26"/>
      <c r="AG466" s="26"/>
      <c r="AH466" s="26"/>
      <c r="AI466" s="26"/>
      <c r="AJ466" s="26"/>
      <c r="AK466" s="26"/>
      <c r="AL466" s="26"/>
      <c r="AM466" s="26"/>
      <c r="AN466" s="26"/>
      <c r="AO466" s="26"/>
      <c r="AP466" s="26"/>
      <c r="AQ466" s="26"/>
      <c r="AR466" s="26"/>
      <c r="AS466" s="26"/>
      <c r="AT466" s="26"/>
      <c r="AU466" s="26"/>
      <c r="AV466" s="26"/>
      <c r="AW466" s="26"/>
      <c r="AX466" s="26"/>
      <c r="AY466" s="26"/>
      <c r="AZ466" s="26"/>
      <c r="BA466" s="26"/>
      <c r="BB466" s="26"/>
      <c r="BC466" s="26"/>
      <c r="BD466" s="26"/>
      <c r="BE466" s="26"/>
      <c r="BF466" s="26"/>
      <c r="BG466" s="26"/>
      <c r="BH466" s="26"/>
      <c r="BI466" s="26"/>
      <c r="BJ466" s="26"/>
      <c r="BK466" s="26"/>
    </row>
    <row r="467" ht="14.25" customHeight="1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  <c r="AC467" s="26"/>
      <c r="AD467" s="26"/>
      <c r="AE467" s="26"/>
      <c r="AF467" s="26"/>
      <c r="AG467" s="26"/>
      <c r="AH467" s="26"/>
      <c r="AI467" s="26"/>
      <c r="AJ467" s="26"/>
      <c r="AK467" s="26"/>
      <c r="AL467" s="26"/>
      <c r="AM467" s="26"/>
      <c r="AN467" s="26"/>
      <c r="AO467" s="26"/>
      <c r="AP467" s="26"/>
      <c r="AQ467" s="26"/>
      <c r="AR467" s="26"/>
      <c r="AS467" s="26"/>
      <c r="AT467" s="26"/>
      <c r="AU467" s="26"/>
      <c r="AV467" s="26"/>
      <c r="AW467" s="26"/>
      <c r="AX467" s="26"/>
      <c r="AY467" s="26"/>
      <c r="AZ467" s="26"/>
      <c r="BA467" s="26"/>
      <c r="BB467" s="26"/>
      <c r="BC467" s="26"/>
      <c r="BD467" s="26"/>
      <c r="BE467" s="26"/>
      <c r="BF467" s="26"/>
      <c r="BG467" s="26"/>
      <c r="BH467" s="26"/>
      <c r="BI467" s="26"/>
      <c r="BJ467" s="26"/>
      <c r="BK467" s="26"/>
    </row>
    <row r="468" ht="14.25" customHeight="1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  <c r="AC468" s="26"/>
      <c r="AD468" s="26"/>
      <c r="AE468" s="26"/>
      <c r="AF468" s="26"/>
      <c r="AG468" s="26"/>
      <c r="AH468" s="26"/>
      <c r="AI468" s="26"/>
      <c r="AJ468" s="26"/>
      <c r="AK468" s="26"/>
      <c r="AL468" s="26"/>
      <c r="AM468" s="26"/>
      <c r="AN468" s="26"/>
      <c r="AO468" s="26"/>
      <c r="AP468" s="26"/>
      <c r="AQ468" s="26"/>
      <c r="AR468" s="26"/>
      <c r="AS468" s="26"/>
      <c r="AT468" s="26"/>
      <c r="AU468" s="26"/>
      <c r="AV468" s="26"/>
      <c r="AW468" s="26"/>
      <c r="AX468" s="26"/>
      <c r="AY468" s="26"/>
      <c r="AZ468" s="26"/>
      <c r="BA468" s="26"/>
      <c r="BB468" s="26"/>
      <c r="BC468" s="26"/>
      <c r="BD468" s="26"/>
      <c r="BE468" s="26"/>
      <c r="BF468" s="26"/>
      <c r="BG468" s="26"/>
      <c r="BH468" s="26"/>
      <c r="BI468" s="26"/>
      <c r="BJ468" s="26"/>
      <c r="BK468" s="26"/>
    </row>
    <row r="469" ht="14.25" customHeight="1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  <c r="AC469" s="26"/>
      <c r="AD469" s="26"/>
      <c r="AE469" s="26"/>
      <c r="AF469" s="26"/>
      <c r="AG469" s="26"/>
      <c r="AH469" s="26"/>
      <c r="AI469" s="26"/>
      <c r="AJ469" s="26"/>
      <c r="AK469" s="26"/>
      <c r="AL469" s="26"/>
      <c r="AM469" s="26"/>
      <c r="AN469" s="26"/>
      <c r="AO469" s="26"/>
      <c r="AP469" s="26"/>
      <c r="AQ469" s="26"/>
      <c r="AR469" s="26"/>
      <c r="AS469" s="26"/>
      <c r="AT469" s="26"/>
      <c r="AU469" s="26"/>
      <c r="AV469" s="26"/>
      <c r="AW469" s="26"/>
      <c r="AX469" s="26"/>
      <c r="AY469" s="26"/>
      <c r="AZ469" s="26"/>
      <c r="BA469" s="26"/>
      <c r="BB469" s="26"/>
      <c r="BC469" s="26"/>
      <c r="BD469" s="26"/>
      <c r="BE469" s="26"/>
      <c r="BF469" s="26"/>
      <c r="BG469" s="26"/>
      <c r="BH469" s="26"/>
      <c r="BI469" s="26"/>
      <c r="BJ469" s="26"/>
      <c r="BK469" s="26"/>
    </row>
    <row r="470" ht="14.25" customHeight="1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  <c r="AC470" s="26"/>
      <c r="AD470" s="26"/>
      <c r="AE470" s="26"/>
      <c r="AF470" s="26"/>
      <c r="AG470" s="26"/>
      <c r="AH470" s="26"/>
      <c r="AI470" s="26"/>
      <c r="AJ470" s="26"/>
      <c r="AK470" s="26"/>
      <c r="AL470" s="26"/>
      <c r="AM470" s="26"/>
      <c r="AN470" s="26"/>
      <c r="AO470" s="26"/>
      <c r="AP470" s="26"/>
      <c r="AQ470" s="26"/>
      <c r="AR470" s="26"/>
      <c r="AS470" s="26"/>
      <c r="AT470" s="26"/>
      <c r="AU470" s="26"/>
      <c r="AV470" s="26"/>
      <c r="AW470" s="26"/>
      <c r="AX470" s="26"/>
      <c r="AY470" s="26"/>
      <c r="AZ470" s="26"/>
      <c r="BA470" s="26"/>
      <c r="BB470" s="26"/>
      <c r="BC470" s="26"/>
      <c r="BD470" s="26"/>
      <c r="BE470" s="26"/>
      <c r="BF470" s="26"/>
      <c r="BG470" s="26"/>
      <c r="BH470" s="26"/>
      <c r="BI470" s="26"/>
      <c r="BJ470" s="26"/>
      <c r="BK470" s="26"/>
    </row>
    <row r="471" ht="14.25" customHeight="1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  <c r="AC471" s="26"/>
      <c r="AD471" s="26"/>
      <c r="AE471" s="26"/>
      <c r="AF471" s="26"/>
      <c r="AG471" s="26"/>
      <c r="AH471" s="26"/>
      <c r="AI471" s="26"/>
      <c r="AJ471" s="26"/>
      <c r="AK471" s="26"/>
      <c r="AL471" s="26"/>
      <c r="AM471" s="26"/>
      <c r="AN471" s="26"/>
      <c r="AO471" s="26"/>
      <c r="AP471" s="26"/>
      <c r="AQ471" s="26"/>
      <c r="AR471" s="26"/>
      <c r="AS471" s="26"/>
      <c r="AT471" s="26"/>
      <c r="AU471" s="26"/>
      <c r="AV471" s="26"/>
      <c r="AW471" s="26"/>
      <c r="AX471" s="26"/>
      <c r="AY471" s="26"/>
      <c r="AZ471" s="26"/>
      <c r="BA471" s="26"/>
      <c r="BB471" s="26"/>
      <c r="BC471" s="26"/>
      <c r="BD471" s="26"/>
      <c r="BE471" s="26"/>
      <c r="BF471" s="26"/>
      <c r="BG471" s="26"/>
      <c r="BH471" s="26"/>
      <c r="BI471" s="26"/>
      <c r="BJ471" s="26"/>
      <c r="BK471" s="26"/>
    </row>
    <row r="472" ht="14.25" customHeight="1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  <c r="AC472" s="26"/>
      <c r="AD472" s="26"/>
      <c r="AE472" s="26"/>
      <c r="AF472" s="26"/>
      <c r="AG472" s="26"/>
      <c r="AH472" s="26"/>
      <c r="AI472" s="26"/>
      <c r="AJ472" s="26"/>
      <c r="AK472" s="26"/>
      <c r="AL472" s="26"/>
      <c r="AM472" s="26"/>
      <c r="AN472" s="26"/>
      <c r="AO472" s="26"/>
      <c r="AP472" s="26"/>
      <c r="AQ472" s="26"/>
      <c r="AR472" s="26"/>
      <c r="AS472" s="26"/>
      <c r="AT472" s="26"/>
      <c r="AU472" s="26"/>
      <c r="AV472" s="26"/>
      <c r="AW472" s="26"/>
      <c r="AX472" s="26"/>
      <c r="AY472" s="26"/>
      <c r="AZ472" s="26"/>
      <c r="BA472" s="26"/>
      <c r="BB472" s="26"/>
      <c r="BC472" s="26"/>
      <c r="BD472" s="26"/>
      <c r="BE472" s="26"/>
      <c r="BF472" s="26"/>
      <c r="BG472" s="26"/>
      <c r="BH472" s="26"/>
      <c r="BI472" s="26"/>
      <c r="BJ472" s="26"/>
      <c r="BK472" s="26"/>
    </row>
    <row r="473" ht="14.25" customHeight="1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  <c r="AC473" s="26"/>
      <c r="AD473" s="26"/>
      <c r="AE473" s="26"/>
      <c r="AF473" s="26"/>
      <c r="AG473" s="26"/>
      <c r="AH473" s="26"/>
      <c r="AI473" s="26"/>
      <c r="AJ473" s="26"/>
      <c r="AK473" s="26"/>
      <c r="AL473" s="26"/>
      <c r="AM473" s="26"/>
      <c r="AN473" s="26"/>
      <c r="AO473" s="26"/>
      <c r="AP473" s="26"/>
      <c r="AQ473" s="26"/>
      <c r="AR473" s="26"/>
      <c r="AS473" s="26"/>
      <c r="AT473" s="26"/>
      <c r="AU473" s="26"/>
      <c r="AV473" s="26"/>
      <c r="AW473" s="26"/>
      <c r="AX473" s="26"/>
      <c r="AY473" s="26"/>
      <c r="AZ473" s="26"/>
      <c r="BA473" s="26"/>
      <c r="BB473" s="26"/>
      <c r="BC473" s="26"/>
      <c r="BD473" s="26"/>
      <c r="BE473" s="26"/>
      <c r="BF473" s="26"/>
      <c r="BG473" s="26"/>
      <c r="BH473" s="26"/>
      <c r="BI473" s="26"/>
      <c r="BJ473" s="26"/>
      <c r="BK473" s="26"/>
    </row>
    <row r="474" ht="14.25" customHeight="1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  <c r="AC474" s="26"/>
      <c r="AD474" s="26"/>
      <c r="AE474" s="26"/>
      <c r="AF474" s="26"/>
      <c r="AG474" s="26"/>
      <c r="AH474" s="26"/>
      <c r="AI474" s="26"/>
      <c r="AJ474" s="26"/>
      <c r="AK474" s="26"/>
      <c r="AL474" s="26"/>
      <c r="AM474" s="26"/>
      <c r="AN474" s="26"/>
      <c r="AO474" s="26"/>
      <c r="AP474" s="26"/>
      <c r="AQ474" s="26"/>
      <c r="AR474" s="26"/>
      <c r="AS474" s="26"/>
      <c r="AT474" s="26"/>
      <c r="AU474" s="26"/>
      <c r="AV474" s="26"/>
      <c r="AW474" s="26"/>
      <c r="AX474" s="26"/>
      <c r="AY474" s="26"/>
      <c r="AZ474" s="26"/>
      <c r="BA474" s="26"/>
      <c r="BB474" s="26"/>
      <c r="BC474" s="26"/>
      <c r="BD474" s="26"/>
      <c r="BE474" s="26"/>
      <c r="BF474" s="26"/>
      <c r="BG474" s="26"/>
      <c r="BH474" s="26"/>
      <c r="BI474" s="26"/>
      <c r="BJ474" s="26"/>
      <c r="BK474" s="26"/>
    </row>
    <row r="475" ht="14.25" customHeight="1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  <c r="AC475" s="26"/>
      <c r="AD475" s="26"/>
      <c r="AE475" s="26"/>
      <c r="AF475" s="26"/>
      <c r="AG475" s="26"/>
      <c r="AH475" s="26"/>
      <c r="AI475" s="26"/>
      <c r="AJ475" s="26"/>
      <c r="AK475" s="26"/>
      <c r="AL475" s="26"/>
      <c r="AM475" s="26"/>
      <c r="AN475" s="26"/>
      <c r="AO475" s="26"/>
      <c r="AP475" s="26"/>
      <c r="AQ475" s="26"/>
      <c r="AR475" s="26"/>
      <c r="AS475" s="26"/>
      <c r="AT475" s="26"/>
      <c r="AU475" s="26"/>
      <c r="AV475" s="26"/>
      <c r="AW475" s="26"/>
      <c r="AX475" s="26"/>
      <c r="AY475" s="26"/>
      <c r="AZ475" s="26"/>
      <c r="BA475" s="26"/>
      <c r="BB475" s="26"/>
      <c r="BC475" s="26"/>
      <c r="BD475" s="26"/>
      <c r="BE475" s="26"/>
      <c r="BF475" s="26"/>
      <c r="BG475" s="26"/>
      <c r="BH475" s="26"/>
      <c r="BI475" s="26"/>
      <c r="BJ475" s="26"/>
      <c r="BK475" s="26"/>
    </row>
    <row r="476" ht="14.25" customHeight="1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  <c r="AC476" s="26"/>
      <c r="AD476" s="26"/>
      <c r="AE476" s="26"/>
      <c r="AF476" s="26"/>
      <c r="AG476" s="26"/>
      <c r="AH476" s="26"/>
      <c r="AI476" s="26"/>
      <c r="AJ476" s="26"/>
      <c r="AK476" s="26"/>
      <c r="AL476" s="26"/>
      <c r="AM476" s="26"/>
      <c r="AN476" s="26"/>
      <c r="AO476" s="26"/>
      <c r="AP476" s="26"/>
      <c r="AQ476" s="26"/>
      <c r="AR476" s="26"/>
      <c r="AS476" s="26"/>
      <c r="AT476" s="26"/>
      <c r="AU476" s="26"/>
      <c r="AV476" s="26"/>
      <c r="AW476" s="26"/>
      <c r="AX476" s="26"/>
      <c r="AY476" s="26"/>
      <c r="AZ476" s="26"/>
      <c r="BA476" s="26"/>
      <c r="BB476" s="26"/>
      <c r="BC476" s="26"/>
      <c r="BD476" s="26"/>
      <c r="BE476" s="26"/>
      <c r="BF476" s="26"/>
      <c r="BG476" s="26"/>
      <c r="BH476" s="26"/>
      <c r="BI476" s="26"/>
      <c r="BJ476" s="26"/>
      <c r="BK476" s="26"/>
    </row>
    <row r="477" ht="14.25" customHeight="1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  <c r="AC477" s="26"/>
      <c r="AD477" s="26"/>
      <c r="AE477" s="26"/>
      <c r="AF477" s="26"/>
      <c r="AG477" s="26"/>
      <c r="AH477" s="26"/>
      <c r="AI477" s="26"/>
      <c r="AJ477" s="26"/>
      <c r="AK477" s="26"/>
      <c r="AL477" s="26"/>
      <c r="AM477" s="26"/>
      <c r="AN477" s="26"/>
      <c r="AO477" s="26"/>
      <c r="AP477" s="26"/>
      <c r="AQ477" s="26"/>
      <c r="AR477" s="26"/>
      <c r="AS477" s="26"/>
      <c r="AT477" s="26"/>
      <c r="AU477" s="26"/>
      <c r="AV477" s="26"/>
      <c r="AW477" s="26"/>
      <c r="AX477" s="26"/>
      <c r="AY477" s="26"/>
      <c r="AZ477" s="26"/>
      <c r="BA477" s="26"/>
      <c r="BB477" s="26"/>
      <c r="BC477" s="26"/>
      <c r="BD477" s="26"/>
      <c r="BE477" s="26"/>
      <c r="BF477" s="26"/>
      <c r="BG477" s="26"/>
      <c r="BH477" s="26"/>
      <c r="BI477" s="26"/>
      <c r="BJ477" s="26"/>
      <c r="BK477" s="26"/>
    </row>
    <row r="478" ht="14.25" customHeight="1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  <c r="AC478" s="26"/>
      <c r="AD478" s="26"/>
      <c r="AE478" s="26"/>
      <c r="AF478" s="26"/>
      <c r="AG478" s="26"/>
      <c r="AH478" s="26"/>
      <c r="AI478" s="26"/>
      <c r="AJ478" s="26"/>
      <c r="AK478" s="26"/>
      <c r="AL478" s="26"/>
      <c r="AM478" s="26"/>
      <c r="AN478" s="26"/>
      <c r="AO478" s="26"/>
      <c r="AP478" s="26"/>
      <c r="AQ478" s="26"/>
      <c r="AR478" s="26"/>
      <c r="AS478" s="26"/>
      <c r="AT478" s="26"/>
      <c r="AU478" s="26"/>
      <c r="AV478" s="26"/>
      <c r="AW478" s="26"/>
      <c r="AX478" s="26"/>
      <c r="AY478" s="26"/>
      <c r="AZ478" s="26"/>
      <c r="BA478" s="26"/>
      <c r="BB478" s="26"/>
      <c r="BC478" s="26"/>
      <c r="BD478" s="26"/>
      <c r="BE478" s="26"/>
      <c r="BF478" s="26"/>
      <c r="BG478" s="26"/>
      <c r="BH478" s="26"/>
      <c r="BI478" s="26"/>
      <c r="BJ478" s="26"/>
      <c r="BK478" s="26"/>
    </row>
    <row r="479" ht="14.25" customHeight="1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  <c r="AC479" s="26"/>
      <c r="AD479" s="26"/>
      <c r="AE479" s="26"/>
      <c r="AF479" s="26"/>
      <c r="AG479" s="26"/>
      <c r="AH479" s="26"/>
      <c r="AI479" s="26"/>
      <c r="AJ479" s="26"/>
      <c r="AK479" s="26"/>
      <c r="AL479" s="26"/>
      <c r="AM479" s="26"/>
      <c r="AN479" s="26"/>
      <c r="AO479" s="26"/>
      <c r="AP479" s="26"/>
      <c r="AQ479" s="26"/>
      <c r="AR479" s="26"/>
      <c r="AS479" s="26"/>
      <c r="AT479" s="26"/>
      <c r="AU479" s="26"/>
      <c r="AV479" s="26"/>
      <c r="AW479" s="26"/>
      <c r="AX479" s="26"/>
      <c r="AY479" s="26"/>
      <c r="AZ479" s="26"/>
      <c r="BA479" s="26"/>
      <c r="BB479" s="26"/>
      <c r="BC479" s="26"/>
      <c r="BD479" s="26"/>
      <c r="BE479" s="26"/>
      <c r="BF479" s="26"/>
      <c r="BG479" s="26"/>
      <c r="BH479" s="26"/>
      <c r="BI479" s="26"/>
      <c r="BJ479" s="26"/>
      <c r="BK479" s="26"/>
    </row>
    <row r="480" ht="14.25" customHeight="1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  <c r="AC480" s="26"/>
      <c r="AD480" s="26"/>
      <c r="AE480" s="26"/>
      <c r="AF480" s="26"/>
      <c r="AG480" s="26"/>
      <c r="AH480" s="26"/>
      <c r="AI480" s="26"/>
      <c r="AJ480" s="26"/>
      <c r="AK480" s="26"/>
      <c r="AL480" s="26"/>
      <c r="AM480" s="26"/>
      <c r="AN480" s="26"/>
      <c r="AO480" s="26"/>
      <c r="AP480" s="26"/>
      <c r="AQ480" s="26"/>
      <c r="AR480" s="26"/>
      <c r="AS480" s="26"/>
      <c r="AT480" s="26"/>
      <c r="AU480" s="26"/>
      <c r="AV480" s="26"/>
      <c r="AW480" s="26"/>
      <c r="AX480" s="26"/>
      <c r="AY480" s="26"/>
      <c r="AZ480" s="26"/>
      <c r="BA480" s="26"/>
      <c r="BB480" s="26"/>
      <c r="BC480" s="26"/>
      <c r="BD480" s="26"/>
      <c r="BE480" s="26"/>
      <c r="BF480" s="26"/>
      <c r="BG480" s="26"/>
      <c r="BH480" s="26"/>
      <c r="BI480" s="26"/>
      <c r="BJ480" s="26"/>
      <c r="BK480" s="26"/>
    </row>
    <row r="481" ht="14.25" customHeight="1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  <c r="AC481" s="26"/>
      <c r="AD481" s="26"/>
      <c r="AE481" s="26"/>
      <c r="AF481" s="26"/>
      <c r="AG481" s="26"/>
      <c r="AH481" s="26"/>
      <c r="AI481" s="26"/>
      <c r="AJ481" s="26"/>
      <c r="AK481" s="26"/>
      <c r="AL481" s="26"/>
      <c r="AM481" s="26"/>
      <c r="AN481" s="26"/>
      <c r="AO481" s="26"/>
      <c r="AP481" s="26"/>
      <c r="AQ481" s="26"/>
      <c r="AR481" s="26"/>
      <c r="AS481" s="26"/>
      <c r="AT481" s="26"/>
      <c r="AU481" s="26"/>
      <c r="AV481" s="26"/>
      <c r="AW481" s="26"/>
      <c r="AX481" s="26"/>
      <c r="AY481" s="26"/>
      <c r="AZ481" s="26"/>
      <c r="BA481" s="26"/>
      <c r="BB481" s="26"/>
      <c r="BC481" s="26"/>
      <c r="BD481" s="26"/>
      <c r="BE481" s="26"/>
      <c r="BF481" s="26"/>
      <c r="BG481" s="26"/>
      <c r="BH481" s="26"/>
      <c r="BI481" s="26"/>
      <c r="BJ481" s="26"/>
      <c r="BK481" s="26"/>
    </row>
    <row r="482" ht="14.25" customHeight="1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  <c r="AC482" s="26"/>
      <c r="AD482" s="26"/>
      <c r="AE482" s="26"/>
      <c r="AF482" s="26"/>
      <c r="AG482" s="26"/>
      <c r="AH482" s="26"/>
      <c r="AI482" s="26"/>
      <c r="AJ482" s="26"/>
      <c r="AK482" s="26"/>
      <c r="AL482" s="26"/>
      <c r="AM482" s="26"/>
      <c r="AN482" s="26"/>
      <c r="AO482" s="26"/>
      <c r="AP482" s="26"/>
      <c r="AQ482" s="26"/>
      <c r="AR482" s="26"/>
      <c r="AS482" s="26"/>
      <c r="AT482" s="26"/>
      <c r="AU482" s="26"/>
      <c r="AV482" s="26"/>
      <c r="AW482" s="26"/>
      <c r="AX482" s="26"/>
      <c r="AY482" s="26"/>
      <c r="AZ482" s="26"/>
      <c r="BA482" s="26"/>
      <c r="BB482" s="26"/>
      <c r="BC482" s="26"/>
      <c r="BD482" s="26"/>
      <c r="BE482" s="26"/>
      <c r="BF482" s="26"/>
      <c r="BG482" s="26"/>
      <c r="BH482" s="26"/>
      <c r="BI482" s="26"/>
      <c r="BJ482" s="26"/>
      <c r="BK482" s="26"/>
    </row>
    <row r="483" ht="14.25" customHeight="1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  <c r="AC483" s="26"/>
      <c r="AD483" s="26"/>
      <c r="AE483" s="26"/>
      <c r="AF483" s="26"/>
      <c r="AG483" s="26"/>
      <c r="AH483" s="26"/>
      <c r="AI483" s="26"/>
      <c r="AJ483" s="26"/>
      <c r="AK483" s="26"/>
      <c r="AL483" s="26"/>
      <c r="AM483" s="26"/>
      <c r="AN483" s="26"/>
      <c r="AO483" s="26"/>
      <c r="AP483" s="26"/>
      <c r="AQ483" s="26"/>
      <c r="AR483" s="26"/>
      <c r="AS483" s="26"/>
      <c r="AT483" s="26"/>
      <c r="AU483" s="26"/>
      <c r="AV483" s="26"/>
      <c r="AW483" s="26"/>
      <c r="AX483" s="26"/>
      <c r="AY483" s="26"/>
      <c r="AZ483" s="26"/>
      <c r="BA483" s="26"/>
      <c r="BB483" s="26"/>
      <c r="BC483" s="26"/>
      <c r="BD483" s="26"/>
      <c r="BE483" s="26"/>
      <c r="BF483" s="26"/>
      <c r="BG483" s="26"/>
      <c r="BH483" s="26"/>
      <c r="BI483" s="26"/>
      <c r="BJ483" s="26"/>
      <c r="BK483" s="26"/>
    </row>
    <row r="484" ht="14.25" customHeight="1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  <c r="AC484" s="26"/>
      <c r="AD484" s="26"/>
      <c r="AE484" s="26"/>
      <c r="AF484" s="26"/>
      <c r="AG484" s="26"/>
      <c r="AH484" s="26"/>
      <c r="AI484" s="26"/>
      <c r="AJ484" s="26"/>
      <c r="AK484" s="26"/>
      <c r="AL484" s="26"/>
      <c r="AM484" s="26"/>
      <c r="AN484" s="26"/>
      <c r="AO484" s="26"/>
      <c r="AP484" s="26"/>
      <c r="AQ484" s="26"/>
      <c r="AR484" s="26"/>
      <c r="AS484" s="26"/>
      <c r="AT484" s="26"/>
      <c r="AU484" s="26"/>
      <c r="AV484" s="26"/>
      <c r="AW484" s="26"/>
      <c r="AX484" s="26"/>
      <c r="AY484" s="26"/>
      <c r="AZ484" s="26"/>
      <c r="BA484" s="26"/>
      <c r="BB484" s="26"/>
      <c r="BC484" s="26"/>
      <c r="BD484" s="26"/>
      <c r="BE484" s="26"/>
      <c r="BF484" s="26"/>
      <c r="BG484" s="26"/>
      <c r="BH484" s="26"/>
      <c r="BI484" s="26"/>
      <c r="BJ484" s="26"/>
      <c r="BK484" s="26"/>
    </row>
    <row r="485" ht="14.25" customHeight="1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  <c r="AC485" s="26"/>
      <c r="AD485" s="26"/>
      <c r="AE485" s="26"/>
      <c r="AF485" s="26"/>
      <c r="AG485" s="26"/>
      <c r="AH485" s="26"/>
      <c r="AI485" s="26"/>
      <c r="AJ485" s="26"/>
      <c r="AK485" s="26"/>
      <c r="AL485" s="26"/>
      <c r="AM485" s="26"/>
      <c r="AN485" s="26"/>
      <c r="AO485" s="26"/>
      <c r="AP485" s="26"/>
      <c r="AQ485" s="26"/>
      <c r="AR485" s="26"/>
      <c r="AS485" s="26"/>
      <c r="AT485" s="26"/>
      <c r="AU485" s="26"/>
      <c r="AV485" s="26"/>
      <c r="AW485" s="26"/>
      <c r="AX485" s="26"/>
      <c r="AY485" s="26"/>
      <c r="AZ485" s="26"/>
      <c r="BA485" s="26"/>
      <c r="BB485" s="26"/>
      <c r="BC485" s="26"/>
      <c r="BD485" s="26"/>
      <c r="BE485" s="26"/>
      <c r="BF485" s="26"/>
      <c r="BG485" s="26"/>
      <c r="BH485" s="26"/>
      <c r="BI485" s="26"/>
      <c r="BJ485" s="26"/>
      <c r="BK485" s="26"/>
    </row>
    <row r="486" ht="14.25" customHeight="1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  <c r="AC486" s="26"/>
      <c r="AD486" s="26"/>
      <c r="AE486" s="26"/>
      <c r="AF486" s="26"/>
      <c r="AG486" s="26"/>
      <c r="AH486" s="26"/>
      <c r="AI486" s="26"/>
      <c r="AJ486" s="26"/>
      <c r="AK486" s="26"/>
      <c r="AL486" s="26"/>
      <c r="AM486" s="26"/>
      <c r="AN486" s="26"/>
      <c r="AO486" s="26"/>
      <c r="AP486" s="26"/>
      <c r="AQ486" s="26"/>
      <c r="AR486" s="26"/>
      <c r="AS486" s="26"/>
      <c r="AT486" s="26"/>
      <c r="AU486" s="26"/>
      <c r="AV486" s="26"/>
      <c r="AW486" s="26"/>
      <c r="AX486" s="26"/>
      <c r="AY486" s="26"/>
      <c r="AZ486" s="26"/>
      <c r="BA486" s="26"/>
      <c r="BB486" s="26"/>
      <c r="BC486" s="26"/>
      <c r="BD486" s="26"/>
      <c r="BE486" s="26"/>
      <c r="BF486" s="26"/>
      <c r="BG486" s="26"/>
      <c r="BH486" s="26"/>
      <c r="BI486" s="26"/>
      <c r="BJ486" s="26"/>
      <c r="BK486" s="26"/>
    </row>
    <row r="487" ht="14.25" customHeight="1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  <c r="AC487" s="26"/>
      <c r="AD487" s="26"/>
      <c r="AE487" s="26"/>
      <c r="AF487" s="26"/>
      <c r="AG487" s="26"/>
      <c r="AH487" s="26"/>
      <c r="AI487" s="26"/>
      <c r="AJ487" s="26"/>
      <c r="AK487" s="26"/>
      <c r="AL487" s="26"/>
      <c r="AM487" s="26"/>
      <c r="AN487" s="26"/>
      <c r="AO487" s="26"/>
      <c r="AP487" s="26"/>
      <c r="AQ487" s="26"/>
      <c r="AR487" s="26"/>
      <c r="AS487" s="26"/>
      <c r="AT487" s="26"/>
      <c r="AU487" s="26"/>
      <c r="AV487" s="26"/>
      <c r="AW487" s="26"/>
      <c r="AX487" s="26"/>
      <c r="AY487" s="26"/>
      <c r="AZ487" s="26"/>
      <c r="BA487" s="26"/>
      <c r="BB487" s="26"/>
      <c r="BC487" s="26"/>
      <c r="BD487" s="26"/>
      <c r="BE487" s="26"/>
      <c r="BF487" s="26"/>
      <c r="BG487" s="26"/>
      <c r="BH487" s="26"/>
      <c r="BI487" s="26"/>
      <c r="BJ487" s="26"/>
      <c r="BK487" s="26"/>
    </row>
    <row r="488" ht="14.25" customHeight="1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  <c r="AC488" s="26"/>
      <c r="AD488" s="26"/>
      <c r="AE488" s="26"/>
      <c r="AF488" s="26"/>
      <c r="AG488" s="26"/>
      <c r="AH488" s="26"/>
      <c r="AI488" s="26"/>
      <c r="AJ488" s="26"/>
      <c r="AK488" s="26"/>
      <c r="AL488" s="26"/>
      <c r="AM488" s="26"/>
      <c r="AN488" s="26"/>
      <c r="AO488" s="26"/>
      <c r="AP488" s="26"/>
      <c r="AQ488" s="26"/>
      <c r="AR488" s="26"/>
      <c r="AS488" s="26"/>
      <c r="AT488" s="26"/>
      <c r="AU488" s="26"/>
      <c r="AV488" s="26"/>
      <c r="AW488" s="26"/>
      <c r="AX488" s="26"/>
      <c r="AY488" s="26"/>
      <c r="AZ488" s="26"/>
      <c r="BA488" s="26"/>
      <c r="BB488" s="26"/>
      <c r="BC488" s="26"/>
      <c r="BD488" s="26"/>
      <c r="BE488" s="26"/>
      <c r="BF488" s="26"/>
      <c r="BG488" s="26"/>
      <c r="BH488" s="26"/>
      <c r="BI488" s="26"/>
      <c r="BJ488" s="26"/>
      <c r="BK488" s="26"/>
    </row>
    <row r="489" ht="14.25" customHeight="1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  <c r="AC489" s="26"/>
      <c r="AD489" s="26"/>
      <c r="AE489" s="26"/>
      <c r="AF489" s="26"/>
      <c r="AG489" s="26"/>
      <c r="AH489" s="26"/>
      <c r="AI489" s="26"/>
      <c r="AJ489" s="26"/>
      <c r="AK489" s="26"/>
      <c r="AL489" s="26"/>
      <c r="AM489" s="26"/>
      <c r="AN489" s="26"/>
      <c r="AO489" s="26"/>
      <c r="AP489" s="26"/>
      <c r="AQ489" s="26"/>
      <c r="AR489" s="26"/>
      <c r="AS489" s="26"/>
      <c r="AT489" s="26"/>
      <c r="AU489" s="26"/>
      <c r="AV489" s="26"/>
      <c r="AW489" s="26"/>
      <c r="AX489" s="26"/>
      <c r="AY489" s="26"/>
      <c r="AZ489" s="26"/>
      <c r="BA489" s="26"/>
      <c r="BB489" s="26"/>
      <c r="BC489" s="26"/>
      <c r="BD489" s="26"/>
      <c r="BE489" s="26"/>
      <c r="BF489" s="26"/>
      <c r="BG489" s="26"/>
      <c r="BH489" s="26"/>
      <c r="BI489" s="26"/>
      <c r="BJ489" s="26"/>
      <c r="BK489" s="26"/>
    </row>
    <row r="490" ht="14.25" customHeight="1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  <c r="AC490" s="26"/>
      <c r="AD490" s="26"/>
      <c r="AE490" s="26"/>
      <c r="AF490" s="26"/>
      <c r="AG490" s="26"/>
      <c r="AH490" s="26"/>
      <c r="AI490" s="26"/>
      <c r="AJ490" s="26"/>
      <c r="AK490" s="26"/>
      <c r="AL490" s="26"/>
      <c r="AM490" s="26"/>
      <c r="AN490" s="26"/>
      <c r="AO490" s="26"/>
      <c r="AP490" s="26"/>
      <c r="AQ490" s="26"/>
      <c r="AR490" s="26"/>
      <c r="AS490" s="26"/>
      <c r="AT490" s="26"/>
      <c r="AU490" s="26"/>
      <c r="AV490" s="26"/>
      <c r="AW490" s="26"/>
      <c r="AX490" s="26"/>
      <c r="AY490" s="26"/>
      <c r="AZ490" s="26"/>
      <c r="BA490" s="26"/>
      <c r="BB490" s="26"/>
      <c r="BC490" s="26"/>
      <c r="BD490" s="26"/>
      <c r="BE490" s="26"/>
      <c r="BF490" s="26"/>
      <c r="BG490" s="26"/>
      <c r="BH490" s="26"/>
      <c r="BI490" s="26"/>
      <c r="BJ490" s="26"/>
      <c r="BK490" s="26"/>
    </row>
    <row r="491" ht="14.25" customHeight="1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  <c r="AC491" s="26"/>
      <c r="AD491" s="26"/>
      <c r="AE491" s="26"/>
      <c r="AF491" s="26"/>
      <c r="AG491" s="26"/>
      <c r="AH491" s="26"/>
      <c r="AI491" s="26"/>
      <c r="AJ491" s="26"/>
      <c r="AK491" s="26"/>
      <c r="AL491" s="26"/>
      <c r="AM491" s="26"/>
      <c r="AN491" s="26"/>
      <c r="AO491" s="26"/>
      <c r="AP491" s="26"/>
      <c r="AQ491" s="26"/>
      <c r="AR491" s="26"/>
      <c r="AS491" s="26"/>
      <c r="AT491" s="26"/>
      <c r="AU491" s="26"/>
      <c r="AV491" s="26"/>
      <c r="AW491" s="26"/>
      <c r="AX491" s="26"/>
      <c r="AY491" s="26"/>
      <c r="AZ491" s="26"/>
      <c r="BA491" s="26"/>
      <c r="BB491" s="26"/>
      <c r="BC491" s="26"/>
      <c r="BD491" s="26"/>
      <c r="BE491" s="26"/>
      <c r="BF491" s="26"/>
      <c r="BG491" s="26"/>
      <c r="BH491" s="26"/>
      <c r="BI491" s="26"/>
      <c r="BJ491" s="26"/>
      <c r="BK491" s="26"/>
    </row>
    <row r="492" ht="14.25" customHeight="1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  <c r="AC492" s="26"/>
      <c r="AD492" s="26"/>
      <c r="AE492" s="26"/>
      <c r="AF492" s="26"/>
      <c r="AG492" s="26"/>
      <c r="AH492" s="26"/>
      <c r="AI492" s="26"/>
      <c r="AJ492" s="26"/>
      <c r="AK492" s="26"/>
      <c r="AL492" s="26"/>
      <c r="AM492" s="26"/>
      <c r="AN492" s="26"/>
      <c r="AO492" s="26"/>
      <c r="AP492" s="26"/>
      <c r="AQ492" s="26"/>
      <c r="AR492" s="26"/>
      <c r="AS492" s="26"/>
      <c r="AT492" s="26"/>
      <c r="AU492" s="26"/>
      <c r="AV492" s="26"/>
      <c r="AW492" s="26"/>
      <c r="AX492" s="26"/>
      <c r="AY492" s="26"/>
      <c r="AZ492" s="26"/>
      <c r="BA492" s="26"/>
      <c r="BB492" s="26"/>
      <c r="BC492" s="26"/>
      <c r="BD492" s="26"/>
      <c r="BE492" s="26"/>
      <c r="BF492" s="26"/>
      <c r="BG492" s="26"/>
      <c r="BH492" s="26"/>
      <c r="BI492" s="26"/>
      <c r="BJ492" s="26"/>
      <c r="BK492" s="26"/>
    </row>
    <row r="493" ht="14.25" customHeight="1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  <c r="AC493" s="26"/>
      <c r="AD493" s="26"/>
      <c r="AE493" s="26"/>
      <c r="AF493" s="26"/>
      <c r="AG493" s="26"/>
      <c r="AH493" s="26"/>
      <c r="AI493" s="26"/>
      <c r="AJ493" s="26"/>
      <c r="AK493" s="26"/>
      <c r="AL493" s="26"/>
      <c r="AM493" s="26"/>
      <c r="AN493" s="26"/>
      <c r="AO493" s="26"/>
      <c r="AP493" s="26"/>
      <c r="AQ493" s="26"/>
      <c r="AR493" s="26"/>
      <c r="AS493" s="26"/>
      <c r="AT493" s="26"/>
      <c r="AU493" s="26"/>
      <c r="AV493" s="26"/>
      <c r="AW493" s="26"/>
      <c r="AX493" s="26"/>
      <c r="AY493" s="26"/>
      <c r="AZ493" s="26"/>
      <c r="BA493" s="26"/>
      <c r="BB493" s="26"/>
      <c r="BC493" s="26"/>
      <c r="BD493" s="26"/>
      <c r="BE493" s="26"/>
      <c r="BF493" s="26"/>
      <c r="BG493" s="26"/>
      <c r="BH493" s="26"/>
      <c r="BI493" s="26"/>
      <c r="BJ493" s="26"/>
      <c r="BK493" s="26"/>
    </row>
    <row r="494" ht="14.25" customHeight="1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  <c r="AC494" s="26"/>
      <c r="AD494" s="26"/>
      <c r="AE494" s="26"/>
      <c r="AF494" s="26"/>
      <c r="AG494" s="26"/>
      <c r="AH494" s="26"/>
      <c r="AI494" s="26"/>
      <c r="AJ494" s="26"/>
      <c r="AK494" s="26"/>
      <c r="AL494" s="26"/>
      <c r="AM494" s="26"/>
      <c r="AN494" s="26"/>
      <c r="AO494" s="26"/>
      <c r="AP494" s="26"/>
      <c r="AQ494" s="26"/>
      <c r="AR494" s="26"/>
      <c r="AS494" s="26"/>
      <c r="AT494" s="26"/>
      <c r="AU494" s="26"/>
      <c r="AV494" s="26"/>
      <c r="AW494" s="26"/>
      <c r="AX494" s="26"/>
      <c r="AY494" s="26"/>
      <c r="AZ494" s="26"/>
      <c r="BA494" s="26"/>
      <c r="BB494" s="26"/>
      <c r="BC494" s="26"/>
      <c r="BD494" s="26"/>
      <c r="BE494" s="26"/>
      <c r="BF494" s="26"/>
      <c r="BG494" s="26"/>
      <c r="BH494" s="26"/>
      <c r="BI494" s="26"/>
      <c r="BJ494" s="26"/>
      <c r="BK494" s="26"/>
    </row>
    <row r="495" ht="14.25" customHeight="1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  <c r="AC495" s="26"/>
      <c r="AD495" s="26"/>
      <c r="AE495" s="26"/>
      <c r="AF495" s="26"/>
      <c r="AG495" s="26"/>
      <c r="AH495" s="26"/>
      <c r="AI495" s="26"/>
      <c r="AJ495" s="26"/>
      <c r="AK495" s="26"/>
      <c r="AL495" s="26"/>
      <c r="AM495" s="26"/>
      <c r="AN495" s="26"/>
      <c r="AO495" s="26"/>
      <c r="AP495" s="26"/>
      <c r="AQ495" s="26"/>
      <c r="AR495" s="26"/>
      <c r="AS495" s="26"/>
      <c r="AT495" s="26"/>
      <c r="AU495" s="26"/>
      <c r="AV495" s="26"/>
      <c r="AW495" s="26"/>
      <c r="AX495" s="26"/>
      <c r="AY495" s="26"/>
      <c r="AZ495" s="26"/>
      <c r="BA495" s="26"/>
      <c r="BB495" s="26"/>
      <c r="BC495" s="26"/>
      <c r="BD495" s="26"/>
      <c r="BE495" s="26"/>
      <c r="BF495" s="26"/>
      <c r="BG495" s="26"/>
      <c r="BH495" s="26"/>
      <c r="BI495" s="26"/>
      <c r="BJ495" s="26"/>
      <c r="BK495" s="26"/>
    </row>
    <row r="496" ht="14.25" customHeight="1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  <c r="AC496" s="26"/>
      <c r="AD496" s="26"/>
      <c r="AE496" s="26"/>
      <c r="AF496" s="26"/>
      <c r="AG496" s="26"/>
      <c r="AH496" s="26"/>
      <c r="AI496" s="26"/>
      <c r="AJ496" s="26"/>
      <c r="AK496" s="26"/>
      <c r="AL496" s="26"/>
      <c r="AM496" s="26"/>
      <c r="AN496" s="26"/>
      <c r="AO496" s="26"/>
      <c r="AP496" s="26"/>
      <c r="AQ496" s="26"/>
      <c r="AR496" s="26"/>
      <c r="AS496" s="26"/>
      <c r="AT496" s="26"/>
      <c r="AU496" s="26"/>
      <c r="AV496" s="26"/>
      <c r="AW496" s="26"/>
      <c r="AX496" s="26"/>
      <c r="AY496" s="26"/>
      <c r="AZ496" s="26"/>
      <c r="BA496" s="26"/>
      <c r="BB496" s="26"/>
      <c r="BC496" s="26"/>
      <c r="BD496" s="26"/>
      <c r="BE496" s="26"/>
      <c r="BF496" s="26"/>
      <c r="BG496" s="26"/>
      <c r="BH496" s="26"/>
      <c r="BI496" s="26"/>
      <c r="BJ496" s="26"/>
      <c r="BK496" s="26"/>
    </row>
    <row r="497" ht="14.25" customHeight="1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  <c r="AC497" s="26"/>
      <c r="AD497" s="26"/>
      <c r="AE497" s="26"/>
      <c r="AF497" s="26"/>
      <c r="AG497" s="26"/>
      <c r="AH497" s="26"/>
      <c r="AI497" s="26"/>
      <c r="AJ497" s="26"/>
      <c r="AK497" s="26"/>
      <c r="AL497" s="26"/>
      <c r="AM497" s="26"/>
      <c r="AN497" s="26"/>
      <c r="AO497" s="26"/>
      <c r="AP497" s="26"/>
      <c r="AQ497" s="26"/>
      <c r="AR497" s="26"/>
      <c r="AS497" s="26"/>
      <c r="AT497" s="26"/>
      <c r="AU497" s="26"/>
      <c r="AV497" s="26"/>
      <c r="AW497" s="26"/>
      <c r="AX497" s="26"/>
      <c r="AY497" s="26"/>
      <c r="AZ497" s="26"/>
      <c r="BA497" s="26"/>
      <c r="BB497" s="26"/>
      <c r="BC497" s="26"/>
      <c r="BD497" s="26"/>
      <c r="BE497" s="26"/>
      <c r="BF497" s="26"/>
      <c r="BG497" s="26"/>
      <c r="BH497" s="26"/>
      <c r="BI497" s="26"/>
      <c r="BJ497" s="26"/>
      <c r="BK497" s="26"/>
    </row>
    <row r="498" ht="14.25" customHeight="1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  <c r="AC498" s="26"/>
      <c r="AD498" s="26"/>
      <c r="AE498" s="26"/>
      <c r="AF498" s="26"/>
      <c r="AG498" s="26"/>
      <c r="AH498" s="26"/>
      <c r="AI498" s="26"/>
      <c r="AJ498" s="26"/>
      <c r="AK498" s="26"/>
      <c r="AL498" s="26"/>
      <c r="AM498" s="26"/>
      <c r="AN498" s="26"/>
      <c r="AO498" s="26"/>
      <c r="AP498" s="26"/>
      <c r="AQ498" s="26"/>
      <c r="AR498" s="26"/>
      <c r="AS498" s="26"/>
      <c r="AT498" s="26"/>
      <c r="AU498" s="26"/>
      <c r="AV498" s="26"/>
      <c r="AW498" s="26"/>
      <c r="AX498" s="26"/>
      <c r="AY498" s="26"/>
      <c r="AZ498" s="26"/>
      <c r="BA498" s="26"/>
      <c r="BB498" s="26"/>
      <c r="BC498" s="26"/>
      <c r="BD498" s="26"/>
      <c r="BE498" s="26"/>
      <c r="BF498" s="26"/>
      <c r="BG498" s="26"/>
      <c r="BH498" s="26"/>
      <c r="BI498" s="26"/>
      <c r="BJ498" s="26"/>
      <c r="BK498" s="26"/>
    </row>
    <row r="499" ht="14.25" customHeight="1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  <c r="AC499" s="26"/>
      <c r="AD499" s="26"/>
      <c r="AE499" s="26"/>
      <c r="AF499" s="26"/>
      <c r="AG499" s="26"/>
      <c r="AH499" s="26"/>
      <c r="AI499" s="26"/>
      <c r="AJ499" s="26"/>
      <c r="AK499" s="26"/>
      <c r="AL499" s="26"/>
      <c r="AM499" s="26"/>
      <c r="AN499" s="26"/>
      <c r="AO499" s="26"/>
      <c r="AP499" s="26"/>
      <c r="AQ499" s="26"/>
      <c r="AR499" s="26"/>
      <c r="AS499" s="26"/>
      <c r="AT499" s="26"/>
      <c r="AU499" s="26"/>
      <c r="AV499" s="26"/>
      <c r="AW499" s="26"/>
      <c r="AX499" s="26"/>
      <c r="AY499" s="26"/>
      <c r="AZ499" s="26"/>
      <c r="BA499" s="26"/>
      <c r="BB499" s="26"/>
      <c r="BC499" s="26"/>
      <c r="BD499" s="26"/>
      <c r="BE499" s="26"/>
      <c r="BF499" s="26"/>
      <c r="BG499" s="26"/>
      <c r="BH499" s="26"/>
      <c r="BI499" s="26"/>
      <c r="BJ499" s="26"/>
      <c r="BK499" s="26"/>
    </row>
    <row r="500" ht="14.25" customHeight="1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  <c r="AC500" s="26"/>
      <c r="AD500" s="26"/>
      <c r="AE500" s="26"/>
      <c r="AF500" s="26"/>
      <c r="AG500" s="26"/>
      <c r="AH500" s="26"/>
      <c r="AI500" s="26"/>
      <c r="AJ500" s="26"/>
      <c r="AK500" s="26"/>
      <c r="AL500" s="26"/>
      <c r="AM500" s="26"/>
      <c r="AN500" s="26"/>
      <c r="AO500" s="26"/>
      <c r="AP500" s="26"/>
      <c r="AQ500" s="26"/>
      <c r="AR500" s="26"/>
      <c r="AS500" s="26"/>
      <c r="AT500" s="26"/>
      <c r="AU500" s="26"/>
      <c r="AV500" s="26"/>
      <c r="AW500" s="26"/>
      <c r="AX500" s="26"/>
      <c r="AY500" s="26"/>
      <c r="AZ500" s="26"/>
      <c r="BA500" s="26"/>
      <c r="BB500" s="26"/>
      <c r="BC500" s="26"/>
      <c r="BD500" s="26"/>
      <c r="BE500" s="26"/>
      <c r="BF500" s="26"/>
      <c r="BG500" s="26"/>
      <c r="BH500" s="26"/>
      <c r="BI500" s="26"/>
      <c r="BJ500" s="26"/>
      <c r="BK500" s="26"/>
    </row>
    <row r="501" ht="14.25" customHeight="1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  <c r="AC501" s="26"/>
      <c r="AD501" s="26"/>
      <c r="AE501" s="26"/>
      <c r="AF501" s="26"/>
      <c r="AG501" s="26"/>
      <c r="AH501" s="26"/>
      <c r="AI501" s="26"/>
      <c r="AJ501" s="26"/>
      <c r="AK501" s="26"/>
      <c r="AL501" s="26"/>
      <c r="AM501" s="26"/>
      <c r="AN501" s="26"/>
      <c r="AO501" s="26"/>
      <c r="AP501" s="26"/>
      <c r="AQ501" s="26"/>
      <c r="AR501" s="26"/>
      <c r="AS501" s="26"/>
      <c r="AT501" s="26"/>
      <c r="AU501" s="26"/>
      <c r="AV501" s="26"/>
      <c r="AW501" s="26"/>
      <c r="AX501" s="26"/>
      <c r="AY501" s="26"/>
      <c r="AZ501" s="26"/>
      <c r="BA501" s="26"/>
      <c r="BB501" s="26"/>
      <c r="BC501" s="26"/>
      <c r="BD501" s="26"/>
      <c r="BE501" s="26"/>
      <c r="BF501" s="26"/>
      <c r="BG501" s="26"/>
      <c r="BH501" s="26"/>
      <c r="BI501" s="26"/>
      <c r="BJ501" s="26"/>
      <c r="BK501" s="26"/>
    </row>
    <row r="502" ht="14.25" customHeight="1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  <c r="AC502" s="26"/>
      <c r="AD502" s="26"/>
      <c r="AE502" s="26"/>
      <c r="AF502" s="26"/>
      <c r="AG502" s="26"/>
      <c r="AH502" s="26"/>
      <c r="AI502" s="26"/>
      <c r="AJ502" s="26"/>
      <c r="AK502" s="26"/>
      <c r="AL502" s="26"/>
      <c r="AM502" s="26"/>
      <c r="AN502" s="26"/>
      <c r="AO502" s="26"/>
      <c r="AP502" s="26"/>
      <c r="AQ502" s="26"/>
      <c r="AR502" s="26"/>
      <c r="AS502" s="26"/>
      <c r="AT502" s="26"/>
      <c r="AU502" s="26"/>
      <c r="AV502" s="26"/>
      <c r="AW502" s="26"/>
      <c r="AX502" s="26"/>
      <c r="AY502" s="26"/>
      <c r="AZ502" s="26"/>
      <c r="BA502" s="26"/>
      <c r="BB502" s="26"/>
      <c r="BC502" s="26"/>
      <c r="BD502" s="26"/>
      <c r="BE502" s="26"/>
      <c r="BF502" s="26"/>
      <c r="BG502" s="26"/>
      <c r="BH502" s="26"/>
      <c r="BI502" s="26"/>
      <c r="BJ502" s="26"/>
      <c r="BK502" s="26"/>
    </row>
    <row r="503" ht="14.25" customHeight="1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  <c r="AC503" s="26"/>
      <c r="AD503" s="26"/>
      <c r="AE503" s="26"/>
      <c r="AF503" s="26"/>
      <c r="AG503" s="26"/>
      <c r="AH503" s="26"/>
      <c r="AI503" s="26"/>
      <c r="AJ503" s="26"/>
      <c r="AK503" s="26"/>
      <c r="AL503" s="26"/>
      <c r="AM503" s="26"/>
      <c r="AN503" s="26"/>
      <c r="AO503" s="26"/>
      <c r="AP503" s="26"/>
      <c r="AQ503" s="26"/>
      <c r="AR503" s="26"/>
      <c r="AS503" s="26"/>
      <c r="AT503" s="26"/>
      <c r="AU503" s="26"/>
      <c r="AV503" s="26"/>
      <c r="AW503" s="26"/>
      <c r="AX503" s="26"/>
      <c r="AY503" s="26"/>
      <c r="AZ503" s="26"/>
      <c r="BA503" s="26"/>
      <c r="BB503" s="26"/>
      <c r="BC503" s="26"/>
      <c r="BD503" s="26"/>
      <c r="BE503" s="26"/>
      <c r="BF503" s="26"/>
      <c r="BG503" s="26"/>
      <c r="BH503" s="26"/>
      <c r="BI503" s="26"/>
      <c r="BJ503" s="26"/>
      <c r="BK503" s="26"/>
    </row>
    <row r="504" ht="14.25" customHeight="1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  <c r="AC504" s="26"/>
      <c r="AD504" s="26"/>
      <c r="AE504" s="26"/>
      <c r="AF504" s="26"/>
      <c r="AG504" s="26"/>
      <c r="AH504" s="26"/>
      <c r="AI504" s="26"/>
      <c r="AJ504" s="26"/>
      <c r="AK504" s="26"/>
      <c r="AL504" s="26"/>
      <c r="AM504" s="26"/>
      <c r="AN504" s="26"/>
      <c r="AO504" s="26"/>
      <c r="AP504" s="26"/>
      <c r="AQ504" s="26"/>
      <c r="AR504" s="26"/>
      <c r="AS504" s="26"/>
      <c r="AT504" s="26"/>
      <c r="AU504" s="26"/>
      <c r="AV504" s="26"/>
      <c r="AW504" s="26"/>
      <c r="AX504" s="26"/>
      <c r="AY504" s="26"/>
      <c r="AZ504" s="26"/>
      <c r="BA504" s="26"/>
      <c r="BB504" s="26"/>
      <c r="BC504" s="26"/>
      <c r="BD504" s="26"/>
      <c r="BE504" s="26"/>
      <c r="BF504" s="26"/>
      <c r="BG504" s="26"/>
      <c r="BH504" s="26"/>
      <c r="BI504" s="26"/>
      <c r="BJ504" s="26"/>
      <c r="BK504" s="26"/>
    </row>
    <row r="505" ht="14.25" customHeight="1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  <c r="AC505" s="26"/>
      <c r="AD505" s="26"/>
      <c r="AE505" s="26"/>
      <c r="AF505" s="26"/>
      <c r="AG505" s="26"/>
      <c r="AH505" s="26"/>
      <c r="AI505" s="26"/>
      <c r="AJ505" s="26"/>
      <c r="AK505" s="26"/>
      <c r="AL505" s="26"/>
      <c r="AM505" s="26"/>
      <c r="AN505" s="26"/>
      <c r="AO505" s="26"/>
      <c r="AP505" s="26"/>
      <c r="AQ505" s="26"/>
      <c r="AR505" s="26"/>
      <c r="AS505" s="26"/>
      <c r="AT505" s="26"/>
      <c r="AU505" s="26"/>
      <c r="AV505" s="26"/>
      <c r="AW505" s="26"/>
      <c r="AX505" s="26"/>
      <c r="AY505" s="26"/>
      <c r="AZ505" s="26"/>
      <c r="BA505" s="26"/>
      <c r="BB505" s="26"/>
      <c r="BC505" s="26"/>
      <c r="BD505" s="26"/>
      <c r="BE505" s="26"/>
      <c r="BF505" s="26"/>
      <c r="BG505" s="26"/>
      <c r="BH505" s="26"/>
      <c r="BI505" s="26"/>
      <c r="BJ505" s="26"/>
      <c r="BK505" s="26"/>
    </row>
    <row r="506" ht="14.25" customHeight="1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  <c r="AC506" s="26"/>
      <c r="AD506" s="26"/>
      <c r="AE506" s="26"/>
      <c r="AF506" s="26"/>
      <c r="AG506" s="26"/>
      <c r="AH506" s="26"/>
      <c r="AI506" s="26"/>
      <c r="AJ506" s="26"/>
      <c r="AK506" s="26"/>
      <c r="AL506" s="26"/>
      <c r="AM506" s="26"/>
      <c r="AN506" s="26"/>
      <c r="AO506" s="26"/>
      <c r="AP506" s="26"/>
      <c r="AQ506" s="26"/>
      <c r="AR506" s="26"/>
      <c r="AS506" s="26"/>
      <c r="AT506" s="26"/>
      <c r="AU506" s="26"/>
      <c r="AV506" s="26"/>
      <c r="AW506" s="26"/>
      <c r="AX506" s="26"/>
      <c r="AY506" s="26"/>
      <c r="AZ506" s="26"/>
      <c r="BA506" s="26"/>
      <c r="BB506" s="26"/>
      <c r="BC506" s="26"/>
      <c r="BD506" s="26"/>
      <c r="BE506" s="26"/>
      <c r="BF506" s="26"/>
      <c r="BG506" s="26"/>
      <c r="BH506" s="26"/>
      <c r="BI506" s="26"/>
      <c r="BJ506" s="26"/>
      <c r="BK506" s="26"/>
    </row>
    <row r="507" ht="14.25" customHeight="1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  <c r="AC507" s="26"/>
      <c r="AD507" s="26"/>
      <c r="AE507" s="26"/>
      <c r="AF507" s="26"/>
      <c r="AG507" s="26"/>
      <c r="AH507" s="26"/>
      <c r="AI507" s="26"/>
      <c r="AJ507" s="26"/>
      <c r="AK507" s="26"/>
      <c r="AL507" s="26"/>
      <c r="AM507" s="26"/>
      <c r="AN507" s="26"/>
      <c r="AO507" s="26"/>
      <c r="AP507" s="26"/>
      <c r="AQ507" s="26"/>
      <c r="AR507" s="26"/>
      <c r="AS507" s="26"/>
      <c r="AT507" s="26"/>
      <c r="AU507" s="26"/>
      <c r="AV507" s="26"/>
      <c r="AW507" s="26"/>
      <c r="AX507" s="26"/>
      <c r="AY507" s="26"/>
      <c r="AZ507" s="26"/>
      <c r="BA507" s="26"/>
      <c r="BB507" s="26"/>
      <c r="BC507" s="26"/>
      <c r="BD507" s="26"/>
      <c r="BE507" s="26"/>
      <c r="BF507" s="26"/>
      <c r="BG507" s="26"/>
      <c r="BH507" s="26"/>
      <c r="BI507" s="26"/>
      <c r="BJ507" s="26"/>
      <c r="BK507" s="26"/>
    </row>
    <row r="508" ht="14.25" customHeight="1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  <c r="AC508" s="26"/>
      <c r="AD508" s="26"/>
      <c r="AE508" s="26"/>
      <c r="AF508" s="26"/>
      <c r="AG508" s="26"/>
      <c r="AH508" s="26"/>
      <c r="AI508" s="26"/>
      <c r="AJ508" s="26"/>
      <c r="AK508" s="26"/>
      <c r="AL508" s="26"/>
      <c r="AM508" s="26"/>
      <c r="AN508" s="26"/>
      <c r="AO508" s="26"/>
      <c r="AP508" s="26"/>
      <c r="AQ508" s="26"/>
      <c r="AR508" s="26"/>
      <c r="AS508" s="26"/>
      <c r="AT508" s="26"/>
      <c r="AU508" s="26"/>
      <c r="AV508" s="26"/>
      <c r="AW508" s="26"/>
      <c r="AX508" s="26"/>
      <c r="AY508" s="26"/>
      <c r="AZ508" s="26"/>
      <c r="BA508" s="26"/>
      <c r="BB508" s="26"/>
      <c r="BC508" s="26"/>
      <c r="BD508" s="26"/>
      <c r="BE508" s="26"/>
      <c r="BF508" s="26"/>
      <c r="BG508" s="26"/>
      <c r="BH508" s="26"/>
      <c r="BI508" s="26"/>
      <c r="BJ508" s="26"/>
      <c r="BK508" s="26"/>
    </row>
    <row r="509" ht="14.25" customHeight="1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  <c r="AC509" s="26"/>
      <c r="AD509" s="26"/>
      <c r="AE509" s="26"/>
      <c r="AF509" s="26"/>
      <c r="AG509" s="26"/>
      <c r="AH509" s="26"/>
      <c r="AI509" s="26"/>
      <c r="AJ509" s="26"/>
      <c r="AK509" s="26"/>
      <c r="AL509" s="26"/>
      <c r="AM509" s="26"/>
      <c r="AN509" s="26"/>
      <c r="AO509" s="26"/>
      <c r="AP509" s="26"/>
      <c r="AQ509" s="26"/>
      <c r="AR509" s="26"/>
      <c r="AS509" s="26"/>
      <c r="AT509" s="26"/>
      <c r="AU509" s="26"/>
      <c r="AV509" s="26"/>
      <c r="AW509" s="26"/>
      <c r="AX509" s="26"/>
      <c r="AY509" s="26"/>
      <c r="AZ509" s="26"/>
      <c r="BA509" s="26"/>
      <c r="BB509" s="26"/>
      <c r="BC509" s="26"/>
      <c r="BD509" s="26"/>
      <c r="BE509" s="26"/>
      <c r="BF509" s="26"/>
      <c r="BG509" s="26"/>
      <c r="BH509" s="26"/>
      <c r="BI509" s="26"/>
      <c r="BJ509" s="26"/>
      <c r="BK509" s="26"/>
    </row>
    <row r="510" ht="14.25" customHeight="1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  <c r="AC510" s="26"/>
      <c r="AD510" s="26"/>
      <c r="AE510" s="26"/>
      <c r="AF510" s="26"/>
      <c r="AG510" s="26"/>
      <c r="AH510" s="26"/>
      <c r="AI510" s="26"/>
      <c r="AJ510" s="26"/>
      <c r="AK510" s="26"/>
      <c r="AL510" s="26"/>
      <c r="AM510" s="26"/>
      <c r="AN510" s="26"/>
      <c r="AO510" s="26"/>
      <c r="AP510" s="26"/>
      <c r="AQ510" s="26"/>
      <c r="AR510" s="26"/>
      <c r="AS510" s="26"/>
      <c r="AT510" s="26"/>
      <c r="AU510" s="26"/>
      <c r="AV510" s="26"/>
      <c r="AW510" s="26"/>
      <c r="AX510" s="26"/>
      <c r="AY510" s="26"/>
      <c r="AZ510" s="26"/>
      <c r="BA510" s="26"/>
      <c r="BB510" s="26"/>
      <c r="BC510" s="26"/>
      <c r="BD510" s="26"/>
      <c r="BE510" s="26"/>
      <c r="BF510" s="26"/>
      <c r="BG510" s="26"/>
      <c r="BH510" s="26"/>
      <c r="BI510" s="26"/>
      <c r="BJ510" s="26"/>
      <c r="BK510" s="26"/>
    </row>
    <row r="511" ht="14.25" customHeight="1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  <c r="AC511" s="26"/>
      <c r="AD511" s="26"/>
      <c r="AE511" s="26"/>
      <c r="AF511" s="26"/>
      <c r="AG511" s="26"/>
      <c r="AH511" s="26"/>
      <c r="AI511" s="26"/>
      <c r="AJ511" s="26"/>
      <c r="AK511" s="26"/>
      <c r="AL511" s="26"/>
      <c r="AM511" s="26"/>
      <c r="AN511" s="26"/>
      <c r="AO511" s="26"/>
      <c r="AP511" s="26"/>
      <c r="AQ511" s="26"/>
      <c r="AR511" s="26"/>
      <c r="AS511" s="26"/>
      <c r="AT511" s="26"/>
      <c r="AU511" s="26"/>
      <c r="AV511" s="26"/>
      <c r="AW511" s="26"/>
      <c r="AX511" s="26"/>
      <c r="AY511" s="26"/>
      <c r="AZ511" s="26"/>
      <c r="BA511" s="26"/>
      <c r="BB511" s="26"/>
      <c r="BC511" s="26"/>
      <c r="BD511" s="26"/>
      <c r="BE511" s="26"/>
      <c r="BF511" s="26"/>
      <c r="BG511" s="26"/>
      <c r="BH511" s="26"/>
      <c r="BI511" s="26"/>
      <c r="BJ511" s="26"/>
      <c r="BK511" s="26"/>
    </row>
    <row r="512" ht="14.25" customHeight="1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  <c r="AC512" s="26"/>
      <c r="AD512" s="26"/>
      <c r="AE512" s="26"/>
      <c r="AF512" s="26"/>
      <c r="AG512" s="26"/>
      <c r="AH512" s="26"/>
      <c r="AI512" s="26"/>
      <c r="AJ512" s="26"/>
      <c r="AK512" s="26"/>
      <c r="AL512" s="26"/>
      <c r="AM512" s="26"/>
      <c r="AN512" s="26"/>
      <c r="AO512" s="26"/>
      <c r="AP512" s="26"/>
      <c r="AQ512" s="26"/>
      <c r="AR512" s="26"/>
      <c r="AS512" s="26"/>
      <c r="AT512" s="26"/>
      <c r="AU512" s="26"/>
      <c r="AV512" s="26"/>
      <c r="AW512" s="26"/>
      <c r="AX512" s="26"/>
      <c r="AY512" s="26"/>
      <c r="AZ512" s="26"/>
      <c r="BA512" s="26"/>
      <c r="BB512" s="26"/>
      <c r="BC512" s="26"/>
      <c r="BD512" s="26"/>
      <c r="BE512" s="26"/>
      <c r="BF512" s="26"/>
      <c r="BG512" s="26"/>
      <c r="BH512" s="26"/>
      <c r="BI512" s="26"/>
      <c r="BJ512" s="26"/>
      <c r="BK512" s="26"/>
    </row>
    <row r="513" ht="14.25" customHeight="1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  <c r="AC513" s="26"/>
      <c r="AD513" s="26"/>
      <c r="AE513" s="26"/>
      <c r="AF513" s="26"/>
      <c r="AG513" s="26"/>
      <c r="AH513" s="26"/>
      <c r="AI513" s="26"/>
      <c r="AJ513" s="26"/>
      <c r="AK513" s="26"/>
      <c r="AL513" s="26"/>
      <c r="AM513" s="26"/>
      <c r="AN513" s="26"/>
      <c r="AO513" s="26"/>
      <c r="AP513" s="26"/>
      <c r="AQ513" s="26"/>
      <c r="AR513" s="26"/>
      <c r="AS513" s="26"/>
      <c r="AT513" s="26"/>
      <c r="AU513" s="26"/>
      <c r="AV513" s="26"/>
      <c r="AW513" s="26"/>
      <c r="AX513" s="26"/>
      <c r="AY513" s="26"/>
      <c r="AZ513" s="26"/>
      <c r="BA513" s="26"/>
      <c r="BB513" s="26"/>
      <c r="BC513" s="26"/>
      <c r="BD513" s="26"/>
      <c r="BE513" s="26"/>
      <c r="BF513" s="26"/>
      <c r="BG513" s="26"/>
      <c r="BH513" s="26"/>
      <c r="BI513" s="26"/>
      <c r="BJ513" s="26"/>
      <c r="BK513" s="26"/>
    </row>
    <row r="514" ht="14.25" customHeight="1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  <c r="AC514" s="26"/>
      <c r="AD514" s="26"/>
      <c r="AE514" s="26"/>
      <c r="AF514" s="26"/>
      <c r="AG514" s="26"/>
      <c r="AH514" s="26"/>
      <c r="AI514" s="26"/>
      <c r="AJ514" s="26"/>
      <c r="AK514" s="26"/>
      <c r="AL514" s="26"/>
      <c r="AM514" s="26"/>
      <c r="AN514" s="26"/>
      <c r="AO514" s="26"/>
      <c r="AP514" s="26"/>
      <c r="AQ514" s="26"/>
      <c r="AR514" s="26"/>
      <c r="AS514" s="26"/>
      <c r="AT514" s="26"/>
      <c r="AU514" s="26"/>
      <c r="AV514" s="26"/>
      <c r="AW514" s="26"/>
      <c r="AX514" s="26"/>
      <c r="AY514" s="26"/>
      <c r="AZ514" s="26"/>
      <c r="BA514" s="26"/>
      <c r="BB514" s="26"/>
      <c r="BC514" s="26"/>
      <c r="BD514" s="26"/>
      <c r="BE514" s="26"/>
      <c r="BF514" s="26"/>
      <c r="BG514" s="26"/>
      <c r="BH514" s="26"/>
      <c r="BI514" s="26"/>
      <c r="BJ514" s="26"/>
      <c r="BK514" s="26"/>
    </row>
    <row r="515" ht="14.25" customHeight="1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  <c r="AC515" s="26"/>
      <c r="AD515" s="26"/>
      <c r="AE515" s="26"/>
      <c r="AF515" s="26"/>
      <c r="AG515" s="26"/>
      <c r="AH515" s="26"/>
      <c r="AI515" s="26"/>
      <c r="AJ515" s="26"/>
      <c r="AK515" s="26"/>
      <c r="AL515" s="26"/>
      <c r="AM515" s="26"/>
      <c r="AN515" s="26"/>
      <c r="AO515" s="26"/>
      <c r="AP515" s="26"/>
      <c r="AQ515" s="26"/>
      <c r="AR515" s="26"/>
      <c r="AS515" s="26"/>
      <c r="AT515" s="26"/>
      <c r="AU515" s="26"/>
      <c r="AV515" s="26"/>
      <c r="AW515" s="26"/>
      <c r="AX515" s="26"/>
      <c r="AY515" s="26"/>
      <c r="AZ515" s="26"/>
      <c r="BA515" s="26"/>
      <c r="BB515" s="26"/>
      <c r="BC515" s="26"/>
      <c r="BD515" s="26"/>
      <c r="BE515" s="26"/>
      <c r="BF515" s="26"/>
      <c r="BG515" s="26"/>
      <c r="BH515" s="26"/>
      <c r="BI515" s="26"/>
      <c r="BJ515" s="26"/>
      <c r="BK515" s="26"/>
    </row>
    <row r="516" ht="14.25" customHeight="1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  <c r="AC516" s="26"/>
      <c r="AD516" s="26"/>
      <c r="AE516" s="26"/>
      <c r="AF516" s="26"/>
      <c r="AG516" s="26"/>
      <c r="AH516" s="26"/>
      <c r="AI516" s="26"/>
      <c r="AJ516" s="26"/>
      <c r="AK516" s="26"/>
      <c r="AL516" s="26"/>
      <c r="AM516" s="26"/>
      <c r="AN516" s="26"/>
      <c r="AO516" s="26"/>
      <c r="AP516" s="26"/>
      <c r="AQ516" s="26"/>
      <c r="AR516" s="26"/>
      <c r="AS516" s="26"/>
      <c r="AT516" s="26"/>
      <c r="AU516" s="26"/>
      <c r="AV516" s="26"/>
      <c r="AW516" s="26"/>
      <c r="AX516" s="26"/>
      <c r="AY516" s="26"/>
      <c r="AZ516" s="26"/>
      <c r="BA516" s="26"/>
      <c r="BB516" s="26"/>
      <c r="BC516" s="26"/>
      <c r="BD516" s="26"/>
      <c r="BE516" s="26"/>
      <c r="BF516" s="26"/>
      <c r="BG516" s="26"/>
      <c r="BH516" s="26"/>
      <c r="BI516" s="26"/>
      <c r="BJ516" s="26"/>
      <c r="BK516" s="26"/>
    </row>
    <row r="517" ht="14.25" customHeight="1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  <c r="AC517" s="26"/>
      <c r="AD517" s="26"/>
      <c r="AE517" s="26"/>
      <c r="AF517" s="26"/>
      <c r="AG517" s="26"/>
      <c r="AH517" s="26"/>
      <c r="AI517" s="26"/>
      <c r="AJ517" s="26"/>
      <c r="AK517" s="26"/>
      <c r="AL517" s="26"/>
      <c r="AM517" s="26"/>
      <c r="AN517" s="26"/>
      <c r="AO517" s="26"/>
      <c r="AP517" s="26"/>
      <c r="AQ517" s="26"/>
      <c r="AR517" s="26"/>
      <c r="AS517" s="26"/>
      <c r="AT517" s="26"/>
      <c r="AU517" s="26"/>
      <c r="AV517" s="26"/>
      <c r="AW517" s="26"/>
      <c r="AX517" s="26"/>
      <c r="AY517" s="26"/>
      <c r="AZ517" s="26"/>
      <c r="BA517" s="26"/>
      <c r="BB517" s="26"/>
      <c r="BC517" s="26"/>
      <c r="BD517" s="26"/>
      <c r="BE517" s="26"/>
      <c r="BF517" s="26"/>
      <c r="BG517" s="26"/>
      <c r="BH517" s="26"/>
      <c r="BI517" s="26"/>
      <c r="BJ517" s="26"/>
      <c r="BK517" s="26"/>
    </row>
    <row r="518" ht="14.25" customHeight="1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  <c r="AC518" s="26"/>
      <c r="AD518" s="26"/>
      <c r="AE518" s="26"/>
      <c r="AF518" s="26"/>
      <c r="AG518" s="26"/>
      <c r="AH518" s="26"/>
      <c r="AI518" s="26"/>
      <c r="AJ518" s="26"/>
      <c r="AK518" s="26"/>
      <c r="AL518" s="26"/>
      <c r="AM518" s="26"/>
      <c r="AN518" s="26"/>
      <c r="AO518" s="26"/>
      <c r="AP518" s="26"/>
      <c r="AQ518" s="26"/>
      <c r="AR518" s="26"/>
      <c r="AS518" s="26"/>
      <c r="AT518" s="26"/>
      <c r="AU518" s="26"/>
      <c r="AV518" s="26"/>
      <c r="AW518" s="26"/>
      <c r="AX518" s="26"/>
      <c r="AY518" s="26"/>
      <c r="AZ518" s="26"/>
      <c r="BA518" s="26"/>
      <c r="BB518" s="26"/>
      <c r="BC518" s="26"/>
      <c r="BD518" s="26"/>
      <c r="BE518" s="26"/>
      <c r="BF518" s="26"/>
      <c r="BG518" s="26"/>
      <c r="BH518" s="26"/>
      <c r="BI518" s="26"/>
      <c r="BJ518" s="26"/>
      <c r="BK518" s="26"/>
    </row>
    <row r="519" ht="14.25" customHeight="1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  <c r="AC519" s="26"/>
      <c r="AD519" s="26"/>
      <c r="AE519" s="26"/>
      <c r="AF519" s="26"/>
      <c r="AG519" s="26"/>
      <c r="AH519" s="26"/>
      <c r="AI519" s="26"/>
      <c r="AJ519" s="26"/>
      <c r="AK519" s="26"/>
      <c r="AL519" s="26"/>
      <c r="AM519" s="26"/>
      <c r="AN519" s="26"/>
      <c r="AO519" s="26"/>
      <c r="AP519" s="26"/>
      <c r="AQ519" s="26"/>
      <c r="AR519" s="26"/>
      <c r="AS519" s="26"/>
      <c r="AT519" s="26"/>
      <c r="AU519" s="26"/>
      <c r="AV519" s="26"/>
      <c r="AW519" s="26"/>
      <c r="AX519" s="26"/>
      <c r="AY519" s="26"/>
      <c r="AZ519" s="26"/>
      <c r="BA519" s="26"/>
      <c r="BB519" s="26"/>
      <c r="BC519" s="26"/>
      <c r="BD519" s="26"/>
      <c r="BE519" s="26"/>
      <c r="BF519" s="26"/>
      <c r="BG519" s="26"/>
      <c r="BH519" s="26"/>
      <c r="BI519" s="26"/>
      <c r="BJ519" s="26"/>
      <c r="BK519" s="26"/>
    </row>
    <row r="520" ht="14.25" customHeight="1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  <c r="AC520" s="26"/>
      <c r="AD520" s="26"/>
      <c r="AE520" s="26"/>
      <c r="AF520" s="26"/>
      <c r="AG520" s="26"/>
      <c r="AH520" s="26"/>
      <c r="AI520" s="26"/>
      <c r="AJ520" s="26"/>
      <c r="AK520" s="26"/>
      <c r="AL520" s="26"/>
      <c r="AM520" s="26"/>
      <c r="AN520" s="26"/>
      <c r="AO520" s="26"/>
      <c r="AP520" s="26"/>
      <c r="AQ520" s="26"/>
      <c r="AR520" s="26"/>
      <c r="AS520" s="26"/>
      <c r="AT520" s="26"/>
      <c r="AU520" s="26"/>
      <c r="AV520" s="26"/>
      <c r="AW520" s="26"/>
      <c r="AX520" s="26"/>
      <c r="AY520" s="26"/>
      <c r="AZ520" s="26"/>
      <c r="BA520" s="26"/>
      <c r="BB520" s="26"/>
      <c r="BC520" s="26"/>
      <c r="BD520" s="26"/>
      <c r="BE520" s="26"/>
      <c r="BF520" s="26"/>
      <c r="BG520" s="26"/>
      <c r="BH520" s="26"/>
      <c r="BI520" s="26"/>
      <c r="BJ520" s="26"/>
      <c r="BK520" s="26"/>
    </row>
    <row r="521" ht="14.25" customHeight="1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  <c r="AC521" s="26"/>
      <c r="AD521" s="26"/>
      <c r="AE521" s="26"/>
      <c r="AF521" s="26"/>
      <c r="AG521" s="26"/>
      <c r="AH521" s="26"/>
      <c r="AI521" s="26"/>
      <c r="AJ521" s="26"/>
      <c r="AK521" s="26"/>
      <c r="AL521" s="26"/>
      <c r="AM521" s="26"/>
      <c r="AN521" s="26"/>
      <c r="AO521" s="26"/>
      <c r="AP521" s="26"/>
      <c r="AQ521" s="26"/>
      <c r="AR521" s="26"/>
      <c r="AS521" s="26"/>
      <c r="AT521" s="26"/>
      <c r="AU521" s="26"/>
      <c r="AV521" s="26"/>
      <c r="AW521" s="26"/>
      <c r="AX521" s="26"/>
      <c r="AY521" s="26"/>
      <c r="AZ521" s="26"/>
      <c r="BA521" s="26"/>
      <c r="BB521" s="26"/>
      <c r="BC521" s="26"/>
      <c r="BD521" s="26"/>
      <c r="BE521" s="26"/>
      <c r="BF521" s="26"/>
      <c r="BG521" s="26"/>
      <c r="BH521" s="26"/>
      <c r="BI521" s="26"/>
      <c r="BJ521" s="26"/>
      <c r="BK521" s="26"/>
    </row>
    <row r="522" ht="14.25" customHeight="1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  <c r="AC522" s="26"/>
      <c r="AD522" s="26"/>
      <c r="AE522" s="26"/>
      <c r="AF522" s="26"/>
      <c r="AG522" s="26"/>
      <c r="AH522" s="26"/>
      <c r="AI522" s="26"/>
      <c r="AJ522" s="26"/>
      <c r="AK522" s="26"/>
      <c r="AL522" s="26"/>
      <c r="AM522" s="26"/>
      <c r="AN522" s="26"/>
      <c r="AO522" s="26"/>
      <c r="AP522" s="26"/>
      <c r="AQ522" s="26"/>
      <c r="AR522" s="26"/>
      <c r="AS522" s="26"/>
      <c r="AT522" s="26"/>
      <c r="AU522" s="26"/>
      <c r="AV522" s="26"/>
      <c r="AW522" s="26"/>
      <c r="AX522" s="26"/>
      <c r="AY522" s="26"/>
      <c r="AZ522" s="26"/>
      <c r="BA522" s="26"/>
      <c r="BB522" s="26"/>
      <c r="BC522" s="26"/>
      <c r="BD522" s="26"/>
      <c r="BE522" s="26"/>
      <c r="BF522" s="26"/>
      <c r="BG522" s="26"/>
      <c r="BH522" s="26"/>
      <c r="BI522" s="26"/>
      <c r="BJ522" s="26"/>
      <c r="BK522" s="26"/>
    </row>
    <row r="523" ht="14.25" customHeight="1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  <c r="AC523" s="26"/>
      <c r="AD523" s="26"/>
      <c r="AE523" s="26"/>
      <c r="AF523" s="26"/>
      <c r="AG523" s="26"/>
      <c r="AH523" s="26"/>
      <c r="AI523" s="26"/>
      <c r="AJ523" s="26"/>
      <c r="AK523" s="26"/>
      <c r="AL523" s="26"/>
      <c r="AM523" s="26"/>
      <c r="AN523" s="26"/>
      <c r="AO523" s="26"/>
      <c r="AP523" s="26"/>
      <c r="AQ523" s="26"/>
      <c r="AR523" s="26"/>
      <c r="AS523" s="26"/>
      <c r="AT523" s="26"/>
      <c r="AU523" s="26"/>
      <c r="AV523" s="26"/>
      <c r="AW523" s="26"/>
      <c r="AX523" s="26"/>
      <c r="AY523" s="26"/>
      <c r="AZ523" s="26"/>
      <c r="BA523" s="26"/>
      <c r="BB523" s="26"/>
      <c r="BC523" s="26"/>
      <c r="BD523" s="26"/>
      <c r="BE523" s="26"/>
      <c r="BF523" s="26"/>
      <c r="BG523" s="26"/>
      <c r="BH523" s="26"/>
      <c r="BI523" s="26"/>
      <c r="BJ523" s="26"/>
      <c r="BK523" s="26"/>
    </row>
    <row r="524" ht="14.25" customHeight="1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  <c r="AC524" s="26"/>
      <c r="AD524" s="26"/>
      <c r="AE524" s="26"/>
      <c r="AF524" s="26"/>
      <c r="AG524" s="26"/>
      <c r="AH524" s="26"/>
      <c r="AI524" s="26"/>
      <c r="AJ524" s="26"/>
      <c r="AK524" s="26"/>
      <c r="AL524" s="26"/>
      <c r="AM524" s="26"/>
      <c r="AN524" s="26"/>
      <c r="AO524" s="26"/>
      <c r="AP524" s="26"/>
      <c r="AQ524" s="26"/>
      <c r="AR524" s="26"/>
      <c r="AS524" s="26"/>
      <c r="AT524" s="26"/>
      <c r="AU524" s="26"/>
      <c r="AV524" s="26"/>
      <c r="AW524" s="26"/>
      <c r="AX524" s="26"/>
      <c r="AY524" s="26"/>
      <c r="AZ524" s="26"/>
      <c r="BA524" s="26"/>
      <c r="BB524" s="26"/>
      <c r="BC524" s="26"/>
      <c r="BD524" s="26"/>
      <c r="BE524" s="26"/>
      <c r="BF524" s="26"/>
      <c r="BG524" s="26"/>
      <c r="BH524" s="26"/>
      <c r="BI524" s="26"/>
      <c r="BJ524" s="26"/>
      <c r="BK524" s="26"/>
    </row>
    <row r="525" ht="14.25" customHeight="1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  <c r="AC525" s="26"/>
      <c r="AD525" s="26"/>
      <c r="AE525" s="26"/>
      <c r="AF525" s="26"/>
      <c r="AG525" s="26"/>
      <c r="AH525" s="26"/>
      <c r="AI525" s="26"/>
      <c r="AJ525" s="26"/>
      <c r="AK525" s="26"/>
      <c r="AL525" s="26"/>
      <c r="AM525" s="26"/>
      <c r="AN525" s="26"/>
      <c r="AO525" s="26"/>
      <c r="AP525" s="26"/>
      <c r="AQ525" s="26"/>
      <c r="AR525" s="26"/>
      <c r="AS525" s="26"/>
      <c r="AT525" s="26"/>
      <c r="AU525" s="26"/>
      <c r="AV525" s="26"/>
      <c r="AW525" s="26"/>
      <c r="AX525" s="26"/>
      <c r="AY525" s="26"/>
      <c r="AZ525" s="26"/>
      <c r="BA525" s="26"/>
      <c r="BB525" s="26"/>
      <c r="BC525" s="26"/>
      <c r="BD525" s="26"/>
      <c r="BE525" s="26"/>
      <c r="BF525" s="26"/>
      <c r="BG525" s="26"/>
      <c r="BH525" s="26"/>
      <c r="BI525" s="26"/>
      <c r="BJ525" s="26"/>
      <c r="BK525" s="26"/>
    </row>
    <row r="526" ht="14.25" customHeight="1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  <c r="AC526" s="26"/>
      <c r="AD526" s="26"/>
      <c r="AE526" s="26"/>
      <c r="AF526" s="26"/>
      <c r="AG526" s="26"/>
      <c r="AH526" s="26"/>
      <c r="AI526" s="26"/>
      <c r="AJ526" s="26"/>
      <c r="AK526" s="26"/>
      <c r="AL526" s="26"/>
      <c r="AM526" s="26"/>
      <c r="AN526" s="26"/>
      <c r="AO526" s="26"/>
      <c r="AP526" s="26"/>
      <c r="AQ526" s="26"/>
      <c r="AR526" s="26"/>
      <c r="AS526" s="26"/>
      <c r="AT526" s="26"/>
      <c r="AU526" s="26"/>
      <c r="AV526" s="26"/>
      <c r="AW526" s="26"/>
      <c r="AX526" s="26"/>
      <c r="AY526" s="26"/>
      <c r="AZ526" s="26"/>
      <c r="BA526" s="26"/>
      <c r="BB526" s="26"/>
      <c r="BC526" s="26"/>
      <c r="BD526" s="26"/>
      <c r="BE526" s="26"/>
      <c r="BF526" s="26"/>
      <c r="BG526" s="26"/>
      <c r="BH526" s="26"/>
      <c r="BI526" s="26"/>
      <c r="BJ526" s="26"/>
      <c r="BK526" s="26"/>
    </row>
    <row r="527" ht="14.25" customHeight="1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  <c r="AC527" s="26"/>
      <c r="AD527" s="26"/>
      <c r="AE527" s="26"/>
      <c r="AF527" s="26"/>
      <c r="AG527" s="26"/>
      <c r="AH527" s="26"/>
      <c r="AI527" s="26"/>
      <c r="AJ527" s="26"/>
      <c r="AK527" s="26"/>
      <c r="AL527" s="26"/>
      <c r="AM527" s="26"/>
      <c r="AN527" s="26"/>
      <c r="AO527" s="26"/>
      <c r="AP527" s="26"/>
      <c r="AQ527" s="26"/>
      <c r="AR527" s="26"/>
      <c r="AS527" s="26"/>
      <c r="AT527" s="26"/>
      <c r="AU527" s="26"/>
      <c r="AV527" s="26"/>
      <c r="AW527" s="26"/>
      <c r="AX527" s="26"/>
      <c r="AY527" s="26"/>
      <c r="AZ527" s="26"/>
      <c r="BA527" s="26"/>
      <c r="BB527" s="26"/>
      <c r="BC527" s="26"/>
      <c r="BD527" s="26"/>
      <c r="BE527" s="26"/>
      <c r="BF527" s="26"/>
      <c r="BG527" s="26"/>
      <c r="BH527" s="26"/>
      <c r="BI527" s="26"/>
      <c r="BJ527" s="26"/>
      <c r="BK527" s="26"/>
    </row>
    <row r="528" ht="14.25" customHeight="1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  <c r="AC528" s="26"/>
      <c r="AD528" s="26"/>
      <c r="AE528" s="26"/>
      <c r="AF528" s="26"/>
      <c r="AG528" s="26"/>
      <c r="AH528" s="26"/>
      <c r="AI528" s="26"/>
      <c r="AJ528" s="26"/>
      <c r="AK528" s="26"/>
      <c r="AL528" s="26"/>
      <c r="AM528" s="26"/>
      <c r="AN528" s="26"/>
      <c r="AO528" s="26"/>
      <c r="AP528" s="26"/>
      <c r="AQ528" s="26"/>
      <c r="AR528" s="26"/>
      <c r="AS528" s="26"/>
      <c r="AT528" s="26"/>
      <c r="AU528" s="26"/>
      <c r="AV528" s="26"/>
      <c r="AW528" s="26"/>
      <c r="AX528" s="26"/>
      <c r="AY528" s="26"/>
      <c r="AZ528" s="26"/>
      <c r="BA528" s="26"/>
      <c r="BB528" s="26"/>
      <c r="BC528" s="26"/>
      <c r="BD528" s="26"/>
      <c r="BE528" s="26"/>
      <c r="BF528" s="26"/>
      <c r="BG528" s="26"/>
      <c r="BH528" s="26"/>
      <c r="BI528" s="26"/>
      <c r="BJ528" s="26"/>
      <c r="BK528" s="26"/>
    </row>
    <row r="529" ht="14.25" customHeight="1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  <c r="AC529" s="26"/>
      <c r="AD529" s="26"/>
      <c r="AE529" s="26"/>
      <c r="AF529" s="26"/>
      <c r="AG529" s="26"/>
      <c r="AH529" s="26"/>
      <c r="AI529" s="26"/>
      <c r="AJ529" s="26"/>
      <c r="AK529" s="26"/>
      <c r="AL529" s="26"/>
      <c r="AM529" s="26"/>
      <c r="AN529" s="26"/>
      <c r="AO529" s="26"/>
      <c r="AP529" s="26"/>
      <c r="AQ529" s="26"/>
      <c r="AR529" s="26"/>
      <c r="AS529" s="26"/>
      <c r="AT529" s="26"/>
      <c r="AU529" s="26"/>
      <c r="AV529" s="26"/>
      <c r="AW529" s="26"/>
      <c r="AX529" s="26"/>
      <c r="AY529" s="26"/>
      <c r="AZ529" s="26"/>
      <c r="BA529" s="26"/>
      <c r="BB529" s="26"/>
      <c r="BC529" s="26"/>
      <c r="BD529" s="26"/>
      <c r="BE529" s="26"/>
      <c r="BF529" s="26"/>
      <c r="BG529" s="26"/>
      <c r="BH529" s="26"/>
      <c r="BI529" s="26"/>
      <c r="BJ529" s="26"/>
      <c r="BK529" s="26"/>
    </row>
    <row r="530" ht="14.25" customHeight="1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  <c r="AC530" s="26"/>
      <c r="AD530" s="26"/>
      <c r="AE530" s="26"/>
      <c r="AF530" s="26"/>
      <c r="AG530" s="26"/>
      <c r="AH530" s="26"/>
      <c r="AI530" s="26"/>
      <c r="AJ530" s="26"/>
      <c r="AK530" s="26"/>
      <c r="AL530" s="26"/>
      <c r="AM530" s="26"/>
      <c r="AN530" s="26"/>
      <c r="AO530" s="26"/>
      <c r="AP530" s="26"/>
      <c r="AQ530" s="26"/>
      <c r="AR530" s="26"/>
      <c r="AS530" s="26"/>
      <c r="AT530" s="26"/>
      <c r="AU530" s="26"/>
      <c r="AV530" s="26"/>
      <c r="AW530" s="26"/>
      <c r="AX530" s="26"/>
      <c r="AY530" s="26"/>
      <c r="AZ530" s="26"/>
      <c r="BA530" s="26"/>
      <c r="BB530" s="26"/>
      <c r="BC530" s="26"/>
      <c r="BD530" s="26"/>
      <c r="BE530" s="26"/>
      <c r="BF530" s="26"/>
      <c r="BG530" s="26"/>
      <c r="BH530" s="26"/>
      <c r="BI530" s="26"/>
      <c r="BJ530" s="26"/>
      <c r="BK530" s="26"/>
    </row>
    <row r="531" ht="14.25" customHeight="1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  <c r="AC531" s="26"/>
      <c r="AD531" s="26"/>
      <c r="AE531" s="26"/>
      <c r="AF531" s="26"/>
      <c r="AG531" s="26"/>
      <c r="AH531" s="26"/>
      <c r="AI531" s="26"/>
      <c r="AJ531" s="26"/>
      <c r="AK531" s="26"/>
      <c r="AL531" s="26"/>
      <c r="AM531" s="26"/>
      <c r="AN531" s="26"/>
      <c r="AO531" s="26"/>
      <c r="AP531" s="26"/>
      <c r="AQ531" s="26"/>
      <c r="AR531" s="26"/>
      <c r="AS531" s="26"/>
      <c r="AT531" s="26"/>
      <c r="AU531" s="26"/>
      <c r="AV531" s="26"/>
      <c r="AW531" s="26"/>
      <c r="AX531" s="26"/>
      <c r="AY531" s="26"/>
      <c r="AZ531" s="26"/>
      <c r="BA531" s="26"/>
      <c r="BB531" s="26"/>
      <c r="BC531" s="26"/>
      <c r="BD531" s="26"/>
      <c r="BE531" s="26"/>
      <c r="BF531" s="26"/>
      <c r="BG531" s="26"/>
      <c r="BH531" s="26"/>
      <c r="BI531" s="26"/>
      <c r="BJ531" s="26"/>
      <c r="BK531" s="26"/>
    </row>
    <row r="532" ht="14.25" customHeight="1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  <c r="AC532" s="26"/>
      <c r="AD532" s="26"/>
      <c r="AE532" s="26"/>
      <c r="AF532" s="26"/>
      <c r="AG532" s="26"/>
      <c r="AH532" s="26"/>
      <c r="AI532" s="26"/>
      <c r="AJ532" s="26"/>
      <c r="AK532" s="26"/>
      <c r="AL532" s="26"/>
      <c r="AM532" s="26"/>
      <c r="AN532" s="26"/>
      <c r="AO532" s="26"/>
      <c r="AP532" s="26"/>
      <c r="AQ532" s="26"/>
      <c r="AR532" s="26"/>
      <c r="AS532" s="26"/>
      <c r="AT532" s="26"/>
      <c r="AU532" s="26"/>
      <c r="AV532" s="26"/>
      <c r="AW532" s="26"/>
      <c r="AX532" s="26"/>
      <c r="AY532" s="26"/>
      <c r="AZ532" s="26"/>
      <c r="BA532" s="26"/>
      <c r="BB532" s="26"/>
      <c r="BC532" s="26"/>
      <c r="BD532" s="26"/>
      <c r="BE532" s="26"/>
      <c r="BF532" s="26"/>
      <c r="BG532" s="26"/>
      <c r="BH532" s="26"/>
      <c r="BI532" s="26"/>
      <c r="BJ532" s="26"/>
      <c r="BK532" s="26"/>
    </row>
    <row r="533" ht="14.25" customHeight="1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  <c r="AC533" s="26"/>
      <c r="AD533" s="26"/>
      <c r="AE533" s="26"/>
      <c r="AF533" s="26"/>
      <c r="AG533" s="26"/>
      <c r="AH533" s="26"/>
      <c r="AI533" s="26"/>
      <c r="AJ533" s="26"/>
      <c r="AK533" s="26"/>
      <c r="AL533" s="26"/>
      <c r="AM533" s="26"/>
      <c r="AN533" s="26"/>
      <c r="AO533" s="26"/>
      <c r="AP533" s="26"/>
      <c r="AQ533" s="26"/>
      <c r="AR533" s="26"/>
      <c r="AS533" s="26"/>
      <c r="AT533" s="26"/>
      <c r="AU533" s="26"/>
      <c r="AV533" s="26"/>
      <c r="AW533" s="26"/>
      <c r="AX533" s="26"/>
      <c r="AY533" s="26"/>
      <c r="AZ533" s="26"/>
      <c r="BA533" s="26"/>
      <c r="BB533" s="26"/>
      <c r="BC533" s="26"/>
      <c r="BD533" s="26"/>
      <c r="BE533" s="26"/>
      <c r="BF533" s="26"/>
      <c r="BG533" s="26"/>
      <c r="BH533" s="26"/>
      <c r="BI533" s="26"/>
      <c r="BJ533" s="26"/>
      <c r="BK533" s="26"/>
    </row>
    <row r="534" ht="14.25" customHeight="1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  <c r="AC534" s="26"/>
      <c r="AD534" s="26"/>
      <c r="AE534" s="26"/>
      <c r="AF534" s="26"/>
      <c r="AG534" s="26"/>
      <c r="AH534" s="26"/>
      <c r="AI534" s="26"/>
      <c r="AJ534" s="26"/>
      <c r="AK534" s="26"/>
      <c r="AL534" s="26"/>
      <c r="AM534" s="26"/>
      <c r="AN534" s="26"/>
      <c r="AO534" s="26"/>
      <c r="AP534" s="26"/>
      <c r="AQ534" s="26"/>
      <c r="AR534" s="26"/>
      <c r="AS534" s="26"/>
      <c r="AT534" s="26"/>
      <c r="AU534" s="26"/>
      <c r="AV534" s="26"/>
      <c r="AW534" s="26"/>
      <c r="AX534" s="26"/>
      <c r="AY534" s="26"/>
      <c r="AZ534" s="26"/>
      <c r="BA534" s="26"/>
      <c r="BB534" s="26"/>
      <c r="BC534" s="26"/>
      <c r="BD534" s="26"/>
      <c r="BE534" s="26"/>
      <c r="BF534" s="26"/>
      <c r="BG534" s="26"/>
      <c r="BH534" s="26"/>
      <c r="BI534" s="26"/>
      <c r="BJ534" s="26"/>
      <c r="BK534" s="26"/>
    </row>
    <row r="535" ht="14.25" customHeight="1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  <c r="AC535" s="26"/>
      <c r="AD535" s="26"/>
      <c r="AE535" s="26"/>
      <c r="AF535" s="26"/>
      <c r="AG535" s="26"/>
      <c r="AH535" s="26"/>
      <c r="AI535" s="26"/>
      <c r="AJ535" s="26"/>
      <c r="AK535" s="26"/>
      <c r="AL535" s="26"/>
      <c r="AM535" s="26"/>
      <c r="AN535" s="26"/>
      <c r="AO535" s="26"/>
      <c r="AP535" s="26"/>
      <c r="AQ535" s="26"/>
      <c r="AR535" s="26"/>
      <c r="AS535" s="26"/>
      <c r="AT535" s="26"/>
      <c r="AU535" s="26"/>
      <c r="AV535" s="26"/>
      <c r="AW535" s="26"/>
      <c r="AX535" s="26"/>
      <c r="AY535" s="26"/>
      <c r="AZ535" s="26"/>
      <c r="BA535" s="26"/>
      <c r="BB535" s="26"/>
      <c r="BC535" s="26"/>
      <c r="BD535" s="26"/>
      <c r="BE535" s="26"/>
      <c r="BF535" s="26"/>
      <c r="BG535" s="26"/>
      <c r="BH535" s="26"/>
      <c r="BI535" s="26"/>
      <c r="BJ535" s="26"/>
      <c r="BK535" s="26"/>
    </row>
    <row r="536" ht="14.25" customHeight="1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  <c r="AC536" s="26"/>
      <c r="AD536" s="26"/>
      <c r="AE536" s="26"/>
      <c r="AF536" s="26"/>
      <c r="AG536" s="26"/>
      <c r="AH536" s="26"/>
      <c r="AI536" s="26"/>
      <c r="AJ536" s="26"/>
      <c r="AK536" s="26"/>
      <c r="AL536" s="26"/>
      <c r="AM536" s="26"/>
      <c r="AN536" s="26"/>
      <c r="AO536" s="26"/>
      <c r="AP536" s="26"/>
      <c r="AQ536" s="26"/>
      <c r="AR536" s="26"/>
      <c r="AS536" s="26"/>
      <c r="AT536" s="26"/>
      <c r="AU536" s="26"/>
      <c r="AV536" s="26"/>
      <c r="AW536" s="26"/>
      <c r="AX536" s="26"/>
      <c r="AY536" s="26"/>
      <c r="AZ536" s="26"/>
      <c r="BA536" s="26"/>
      <c r="BB536" s="26"/>
      <c r="BC536" s="26"/>
      <c r="BD536" s="26"/>
      <c r="BE536" s="26"/>
      <c r="BF536" s="26"/>
      <c r="BG536" s="26"/>
      <c r="BH536" s="26"/>
      <c r="BI536" s="26"/>
      <c r="BJ536" s="26"/>
      <c r="BK536" s="26"/>
    </row>
    <row r="537" ht="14.25" customHeight="1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  <c r="AC537" s="26"/>
      <c r="AD537" s="26"/>
      <c r="AE537" s="26"/>
      <c r="AF537" s="26"/>
      <c r="AG537" s="26"/>
      <c r="AH537" s="26"/>
      <c r="AI537" s="26"/>
      <c r="AJ537" s="26"/>
      <c r="AK537" s="26"/>
      <c r="AL537" s="26"/>
      <c r="AM537" s="26"/>
      <c r="AN537" s="26"/>
      <c r="AO537" s="26"/>
      <c r="AP537" s="26"/>
      <c r="AQ537" s="26"/>
      <c r="AR537" s="26"/>
      <c r="AS537" s="26"/>
      <c r="AT537" s="26"/>
      <c r="AU537" s="26"/>
      <c r="AV537" s="26"/>
      <c r="AW537" s="26"/>
      <c r="AX537" s="26"/>
      <c r="AY537" s="26"/>
      <c r="AZ537" s="26"/>
      <c r="BA537" s="26"/>
      <c r="BB537" s="26"/>
      <c r="BC537" s="26"/>
      <c r="BD537" s="26"/>
      <c r="BE537" s="26"/>
      <c r="BF537" s="26"/>
      <c r="BG537" s="26"/>
      <c r="BH537" s="26"/>
      <c r="BI537" s="26"/>
      <c r="BJ537" s="26"/>
      <c r="BK537" s="26"/>
    </row>
    <row r="538" ht="14.25" customHeight="1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  <c r="AC538" s="26"/>
      <c r="AD538" s="26"/>
      <c r="AE538" s="26"/>
      <c r="AF538" s="26"/>
      <c r="AG538" s="26"/>
      <c r="AH538" s="26"/>
      <c r="AI538" s="26"/>
      <c r="AJ538" s="26"/>
      <c r="AK538" s="26"/>
      <c r="AL538" s="26"/>
      <c r="AM538" s="26"/>
      <c r="AN538" s="26"/>
      <c r="AO538" s="26"/>
      <c r="AP538" s="26"/>
      <c r="AQ538" s="26"/>
      <c r="AR538" s="26"/>
      <c r="AS538" s="26"/>
      <c r="AT538" s="26"/>
      <c r="AU538" s="26"/>
      <c r="AV538" s="26"/>
      <c r="AW538" s="26"/>
      <c r="AX538" s="26"/>
      <c r="AY538" s="26"/>
      <c r="AZ538" s="26"/>
      <c r="BA538" s="26"/>
      <c r="BB538" s="26"/>
      <c r="BC538" s="26"/>
      <c r="BD538" s="26"/>
      <c r="BE538" s="26"/>
      <c r="BF538" s="26"/>
      <c r="BG538" s="26"/>
      <c r="BH538" s="26"/>
      <c r="BI538" s="26"/>
      <c r="BJ538" s="26"/>
      <c r="BK538" s="26"/>
    </row>
    <row r="539" ht="14.25" customHeight="1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  <c r="AC539" s="26"/>
      <c r="AD539" s="26"/>
      <c r="AE539" s="26"/>
      <c r="AF539" s="26"/>
      <c r="AG539" s="26"/>
      <c r="AH539" s="26"/>
      <c r="AI539" s="26"/>
      <c r="AJ539" s="26"/>
      <c r="AK539" s="26"/>
      <c r="AL539" s="26"/>
      <c r="AM539" s="26"/>
      <c r="AN539" s="26"/>
      <c r="AO539" s="26"/>
      <c r="AP539" s="26"/>
      <c r="AQ539" s="26"/>
      <c r="AR539" s="26"/>
      <c r="AS539" s="26"/>
      <c r="AT539" s="26"/>
      <c r="AU539" s="26"/>
      <c r="AV539" s="26"/>
      <c r="AW539" s="26"/>
      <c r="AX539" s="26"/>
      <c r="AY539" s="26"/>
      <c r="AZ539" s="26"/>
      <c r="BA539" s="26"/>
      <c r="BB539" s="26"/>
      <c r="BC539" s="26"/>
      <c r="BD539" s="26"/>
      <c r="BE539" s="26"/>
      <c r="BF539" s="26"/>
      <c r="BG539" s="26"/>
      <c r="BH539" s="26"/>
      <c r="BI539" s="26"/>
      <c r="BJ539" s="26"/>
      <c r="BK539" s="26"/>
    </row>
    <row r="540" ht="14.25" customHeight="1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  <c r="AC540" s="26"/>
      <c r="AD540" s="26"/>
      <c r="AE540" s="26"/>
      <c r="AF540" s="26"/>
      <c r="AG540" s="26"/>
      <c r="AH540" s="26"/>
      <c r="AI540" s="26"/>
      <c r="AJ540" s="26"/>
      <c r="AK540" s="26"/>
      <c r="AL540" s="26"/>
      <c r="AM540" s="26"/>
      <c r="AN540" s="26"/>
      <c r="AO540" s="26"/>
      <c r="AP540" s="26"/>
      <c r="AQ540" s="26"/>
      <c r="AR540" s="26"/>
      <c r="AS540" s="26"/>
      <c r="AT540" s="26"/>
      <c r="AU540" s="26"/>
      <c r="AV540" s="26"/>
      <c r="AW540" s="26"/>
      <c r="AX540" s="26"/>
      <c r="AY540" s="26"/>
      <c r="AZ540" s="26"/>
      <c r="BA540" s="26"/>
      <c r="BB540" s="26"/>
      <c r="BC540" s="26"/>
      <c r="BD540" s="26"/>
      <c r="BE540" s="26"/>
      <c r="BF540" s="26"/>
      <c r="BG540" s="26"/>
      <c r="BH540" s="26"/>
      <c r="BI540" s="26"/>
      <c r="BJ540" s="26"/>
      <c r="BK540" s="26"/>
    </row>
    <row r="541" ht="14.25" customHeight="1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  <c r="AC541" s="26"/>
      <c r="AD541" s="26"/>
      <c r="AE541" s="26"/>
      <c r="AF541" s="26"/>
      <c r="AG541" s="26"/>
      <c r="AH541" s="26"/>
      <c r="AI541" s="26"/>
      <c r="AJ541" s="26"/>
      <c r="AK541" s="26"/>
      <c r="AL541" s="26"/>
      <c r="AM541" s="26"/>
      <c r="AN541" s="26"/>
      <c r="AO541" s="26"/>
      <c r="AP541" s="26"/>
      <c r="AQ541" s="26"/>
      <c r="AR541" s="26"/>
      <c r="AS541" s="26"/>
      <c r="AT541" s="26"/>
      <c r="AU541" s="26"/>
      <c r="AV541" s="26"/>
      <c r="AW541" s="26"/>
      <c r="AX541" s="26"/>
      <c r="AY541" s="26"/>
      <c r="AZ541" s="26"/>
      <c r="BA541" s="26"/>
      <c r="BB541" s="26"/>
      <c r="BC541" s="26"/>
      <c r="BD541" s="26"/>
      <c r="BE541" s="26"/>
      <c r="BF541" s="26"/>
      <c r="BG541" s="26"/>
      <c r="BH541" s="26"/>
      <c r="BI541" s="26"/>
      <c r="BJ541" s="26"/>
      <c r="BK541" s="26"/>
    </row>
    <row r="542" ht="14.25" customHeight="1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  <c r="AC542" s="26"/>
      <c r="AD542" s="26"/>
      <c r="AE542" s="26"/>
      <c r="AF542" s="26"/>
      <c r="AG542" s="26"/>
      <c r="AH542" s="26"/>
      <c r="AI542" s="26"/>
      <c r="AJ542" s="26"/>
      <c r="AK542" s="26"/>
      <c r="AL542" s="26"/>
      <c r="AM542" s="26"/>
      <c r="AN542" s="26"/>
      <c r="AO542" s="26"/>
      <c r="AP542" s="26"/>
      <c r="AQ542" s="26"/>
      <c r="AR542" s="26"/>
      <c r="AS542" s="26"/>
      <c r="AT542" s="26"/>
      <c r="AU542" s="26"/>
      <c r="AV542" s="26"/>
      <c r="AW542" s="26"/>
      <c r="AX542" s="26"/>
      <c r="AY542" s="26"/>
      <c r="AZ542" s="26"/>
      <c r="BA542" s="26"/>
      <c r="BB542" s="26"/>
      <c r="BC542" s="26"/>
      <c r="BD542" s="26"/>
      <c r="BE542" s="26"/>
      <c r="BF542" s="26"/>
      <c r="BG542" s="26"/>
      <c r="BH542" s="26"/>
      <c r="BI542" s="26"/>
      <c r="BJ542" s="26"/>
      <c r="BK542" s="26"/>
    </row>
    <row r="543" ht="14.25" customHeight="1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  <c r="AC543" s="26"/>
      <c r="AD543" s="26"/>
      <c r="AE543" s="26"/>
      <c r="AF543" s="26"/>
      <c r="AG543" s="26"/>
      <c r="AH543" s="26"/>
      <c r="AI543" s="26"/>
      <c r="AJ543" s="26"/>
      <c r="AK543" s="26"/>
      <c r="AL543" s="26"/>
      <c r="AM543" s="26"/>
      <c r="AN543" s="26"/>
      <c r="AO543" s="26"/>
      <c r="AP543" s="26"/>
      <c r="AQ543" s="26"/>
      <c r="AR543" s="26"/>
      <c r="AS543" s="26"/>
      <c r="AT543" s="26"/>
      <c r="AU543" s="26"/>
      <c r="AV543" s="26"/>
      <c r="AW543" s="26"/>
      <c r="AX543" s="26"/>
      <c r="AY543" s="26"/>
      <c r="AZ543" s="26"/>
      <c r="BA543" s="26"/>
      <c r="BB543" s="26"/>
      <c r="BC543" s="26"/>
      <c r="BD543" s="26"/>
      <c r="BE543" s="26"/>
      <c r="BF543" s="26"/>
      <c r="BG543" s="26"/>
      <c r="BH543" s="26"/>
      <c r="BI543" s="26"/>
      <c r="BJ543" s="26"/>
      <c r="BK543" s="26"/>
    </row>
    <row r="544" ht="14.25" customHeight="1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  <c r="AC544" s="26"/>
      <c r="AD544" s="26"/>
      <c r="AE544" s="26"/>
      <c r="AF544" s="26"/>
      <c r="AG544" s="26"/>
      <c r="AH544" s="26"/>
      <c r="AI544" s="26"/>
      <c r="AJ544" s="26"/>
      <c r="AK544" s="26"/>
      <c r="AL544" s="26"/>
      <c r="AM544" s="26"/>
      <c r="AN544" s="26"/>
      <c r="AO544" s="26"/>
      <c r="AP544" s="26"/>
      <c r="AQ544" s="26"/>
      <c r="AR544" s="26"/>
      <c r="AS544" s="26"/>
      <c r="AT544" s="26"/>
      <c r="AU544" s="26"/>
      <c r="AV544" s="26"/>
      <c r="AW544" s="26"/>
      <c r="AX544" s="26"/>
      <c r="AY544" s="26"/>
      <c r="AZ544" s="26"/>
      <c r="BA544" s="26"/>
      <c r="BB544" s="26"/>
      <c r="BC544" s="26"/>
      <c r="BD544" s="26"/>
      <c r="BE544" s="26"/>
      <c r="BF544" s="26"/>
      <c r="BG544" s="26"/>
      <c r="BH544" s="26"/>
      <c r="BI544" s="26"/>
      <c r="BJ544" s="26"/>
      <c r="BK544" s="26"/>
    </row>
    <row r="545" ht="14.25" customHeight="1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  <c r="AC545" s="26"/>
      <c r="AD545" s="26"/>
      <c r="AE545" s="26"/>
      <c r="AF545" s="26"/>
      <c r="AG545" s="26"/>
      <c r="AH545" s="26"/>
      <c r="AI545" s="26"/>
      <c r="AJ545" s="26"/>
      <c r="AK545" s="26"/>
      <c r="AL545" s="26"/>
      <c r="AM545" s="26"/>
      <c r="AN545" s="26"/>
      <c r="AO545" s="26"/>
      <c r="AP545" s="26"/>
      <c r="AQ545" s="26"/>
      <c r="AR545" s="26"/>
      <c r="AS545" s="26"/>
      <c r="AT545" s="26"/>
      <c r="AU545" s="26"/>
      <c r="AV545" s="26"/>
      <c r="AW545" s="26"/>
      <c r="AX545" s="26"/>
      <c r="AY545" s="26"/>
      <c r="AZ545" s="26"/>
      <c r="BA545" s="26"/>
      <c r="BB545" s="26"/>
      <c r="BC545" s="26"/>
      <c r="BD545" s="26"/>
      <c r="BE545" s="26"/>
      <c r="BF545" s="26"/>
      <c r="BG545" s="26"/>
      <c r="BH545" s="26"/>
      <c r="BI545" s="26"/>
      <c r="BJ545" s="26"/>
      <c r="BK545" s="26"/>
    </row>
    <row r="546" ht="14.25" customHeight="1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  <c r="AC546" s="26"/>
      <c r="AD546" s="26"/>
      <c r="AE546" s="26"/>
      <c r="AF546" s="26"/>
      <c r="AG546" s="26"/>
      <c r="AH546" s="26"/>
      <c r="AI546" s="26"/>
      <c r="AJ546" s="26"/>
      <c r="AK546" s="26"/>
      <c r="AL546" s="26"/>
      <c r="AM546" s="26"/>
      <c r="AN546" s="26"/>
      <c r="AO546" s="26"/>
      <c r="AP546" s="26"/>
      <c r="AQ546" s="26"/>
      <c r="AR546" s="26"/>
      <c r="AS546" s="26"/>
      <c r="AT546" s="26"/>
      <c r="AU546" s="26"/>
      <c r="AV546" s="26"/>
      <c r="AW546" s="26"/>
      <c r="AX546" s="26"/>
      <c r="AY546" s="26"/>
      <c r="AZ546" s="26"/>
      <c r="BA546" s="26"/>
      <c r="BB546" s="26"/>
      <c r="BC546" s="26"/>
      <c r="BD546" s="26"/>
      <c r="BE546" s="26"/>
      <c r="BF546" s="26"/>
      <c r="BG546" s="26"/>
      <c r="BH546" s="26"/>
      <c r="BI546" s="26"/>
      <c r="BJ546" s="26"/>
      <c r="BK546" s="26"/>
    </row>
    <row r="547" ht="14.25" customHeight="1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  <c r="AC547" s="26"/>
      <c r="AD547" s="26"/>
      <c r="AE547" s="26"/>
      <c r="AF547" s="26"/>
      <c r="AG547" s="26"/>
      <c r="AH547" s="26"/>
      <c r="AI547" s="26"/>
      <c r="AJ547" s="26"/>
      <c r="AK547" s="26"/>
      <c r="AL547" s="26"/>
      <c r="AM547" s="26"/>
      <c r="AN547" s="26"/>
      <c r="AO547" s="26"/>
      <c r="AP547" s="26"/>
      <c r="AQ547" s="26"/>
      <c r="AR547" s="26"/>
      <c r="AS547" s="26"/>
      <c r="AT547" s="26"/>
      <c r="AU547" s="26"/>
      <c r="AV547" s="26"/>
      <c r="AW547" s="26"/>
      <c r="AX547" s="26"/>
      <c r="AY547" s="26"/>
      <c r="AZ547" s="26"/>
      <c r="BA547" s="26"/>
      <c r="BB547" s="26"/>
      <c r="BC547" s="26"/>
      <c r="BD547" s="26"/>
      <c r="BE547" s="26"/>
      <c r="BF547" s="26"/>
      <c r="BG547" s="26"/>
      <c r="BH547" s="26"/>
      <c r="BI547" s="26"/>
      <c r="BJ547" s="26"/>
      <c r="BK547" s="26"/>
    </row>
    <row r="548" ht="14.25" customHeight="1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  <c r="AC548" s="26"/>
      <c r="AD548" s="26"/>
      <c r="AE548" s="26"/>
      <c r="AF548" s="26"/>
      <c r="AG548" s="26"/>
      <c r="AH548" s="26"/>
      <c r="AI548" s="26"/>
      <c r="AJ548" s="26"/>
      <c r="AK548" s="26"/>
      <c r="AL548" s="26"/>
      <c r="AM548" s="26"/>
      <c r="AN548" s="26"/>
      <c r="AO548" s="26"/>
      <c r="AP548" s="26"/>
      <c r="AQ548" s="26"/>
      <c r="AR548" s="26"/>
      <c r="AS548" s="26"/>
      <c r="AT548" s="26"/>
      <c r="AU548" s="26"/>
      <c r="AV548" s="26"/>
      <c r="AW548" s="26"/>
      <c r="AX548" s="26"/>
      <c r="AY548" s="26"/>
      <c r="AZ548" s="26"/>
      <c r="BA548" s="26"/>
      <c r="BB548" s="26"/>
      <c r="BC548" s="26"/>
      <c r="BD548" s="26"/>
      <c r="BE548" s="26"/>
      <c r="BF548" s="26"/>
      <c r="BG548" s="26"/>
      <c r="BH548" s="26"/>
      <c r="BI548" s="26"/>
      <c r="BJ548" s="26"/>
      <c r="BK548" s="26"/>
    </row>
    <row r="549" ht="14.25" customHeight="1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  <c r="AC549" s="26"/>
      <c r="AD549" s="26"/>
      <c r="AE549" s="26"/>
      <c r="AF549" s="26"/>
      <c r="AG549" s="26"/>
      <c r="AH549" s="26"/>
      <c r="AI549" s="26"/>
      <c r="AJ549" s="26"/>
      <c r="AK549" s="26"/>
      <c r="AL549" s="26"/>
      <c r="AM549" s="26"/>
      <c r="AN549" s="26"/>
      <c r="AO549" s="26"/>
      <c r="AP549" s="26"/>
      <c r="AQ549" s="26"/>
      <c r="AR549" s="26"/>
      <c r="AS549" s="26"/>
      <c r="AT549" s="26"/>
      <c r="AU549" s="26"/>
      <c r="AV549" s="26"/>
      <c r="AW549" s="26"/>
      <c r="AX549" s="26"/>
      <c r="AY549" s="26"/>
      <c r="AZ549" s="26"/>
      <c r="BA549" s="26"/>
      <c r="BB549" s="26"/>
      <c r="BC549" s="26"/>
      <c r="BD549" s="26"/>
      <c r="BE549" s="26"/>
      <c r="BF549" s="26"/>
      <c r="BG549" s="26"/>
      <c r="BH549" s="26"/>
      <c r="BI549" s="26"/>
      <c r="BJ549" s="26"/>
      <c r="BK549" s="26"/>
    </row>
    <row r="550" ht="14.25" customHeight="1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  <c r="AC550" s="26"/>
      <c r="AD550" s="26"/>
      <c r="AE550" s="26"/>
      <c r="AF550" s="26"/>
      <c r="AG550" s="26"/>
      <c r="AH550" s="26"/>
      <c r="AI550" s="26"/>
      <c r="AJ550" s="26"/>
      <c r="AK550" s="26"/>
      <c r="AL550" s="26"/>
      <c r="AM550" s="26"/>
      <c r="AN550" s="26"/>
      <c r="AO550" s="26"/>
      <c r="AP550" s="26"/>
      <c r="AQ550" s="26"/>
      <c r="AR550" s="26"/>
      <c r="AS550" s="26"/>
      <c r="AT550" s="26"/>
      <c r="AU550" s="26"/>
      <c r="AV550" s="26"/>
      <c r="AW550" s="26"/>
      <c r="AX550" s="26"/>
      <c r="AY550" s="26"/>
      <c r="AZ550" s="26"/>
      <c r="BA550" s="26"/>
      <c r="BB550" s="26"/>
      <c r="BC550" s="26"/>
      <c r="BD550" s="26"/>
      <c r="BE550" s="26"/>
      <c r="BF550" s="26"/>
      <c r="BG550" s="26"/>
      <c r="BH550" s="26"/>
      <c r="BI550" s="26"/>
      <c r="BJ550" s="26"/>
      <c r="BK550" s="26"/>
    </row>
    <row r="551" ht="14.25" customHeight="1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  <c r="AC551" s="26"/>
      <c r="AD551" s="26"/>
      <c r="AE551" s="26"/>
      <c r="AF551" s="26"/>
      <c r="AG551" s="26"/>
      <c r="AH551" s="26"/>
      <c r="AI551" s="26"/>
      <c r="AJ551" s="26"/>
      <c r="AK551" s="26"/>
      <c r="AL551" s="26"/>
      <c r="AM551" s="26"/>
      <c r="AN551" s="26"/>
      <c r="AO551" s="26"/>
      <c r="AP551" s="26"/>
      <c r="AQ551" s="26"/>
      <c r="AR551" s="26"/>
      <c r="AS551" s="26"/>
      <c r="AT551" s="26"/>
      <c r="AU551" s="26"/>
      <c r="AV551" s="26"/>
      <c r="AW551" s="26"/>
      <c r="AX551" s="26"/>
      <c r="AY551" s="26"/>
      <c r="AZ551" s="26"/>
      <c r="BA551" s="26"/>
      <c r="BB551" s="26"/>
      <c r="BC551" s="26"/>
      <c r="BD551" s="26"/>
      <c r="BE551" s="26"/>
      <c r="BF551" s="26"/>
      <c r="BG551" s="26"/>
      <c r="BH551" s="26"/>
      <c r="BI551" s="26"/>
      <c r="BJ551" s="26"/>
      <c r="BK551" s="26"/>
    </row>
    <row r="552" ht="14.25" customHeight="1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  <c r="AC552" s="26"/>
      <c r="AD552" s="26"/>
      <c r="AE552" s="26"/>
      <c r="AF552" s="26"/>
      <c r="AG552" s="26"/>
      <c r="AH552" s="26"/>
      <c r="AI552" s="26"/>
      <c r="AJ552" s="26"/>
      <c r="AK552" s="26"/>
      <c r="AL552" s="26"/>
      <c r="AM552" s="26"/>
      <c r="AN552" s="26"/>
      <c r="AO552" s="26"/>
      <c r="AP552" s="26"/>
      <c r="AQ552" s="26"/>
      <c r="AR552" s="26"/>
      <c r="AS552" s="26"/>
      <c r="AT552" s="26"/>
      <c r="AU552" s="26"/>
      <c r="AV552" s="26"/>
      <c r="AW552" s="26"/>
      <c r="AX552" s="26"/>
      <c r="AY552" s="26"/>
      <c r="AZ552" s="26"/>
      <c r="BA552" s="26"/>
      <c r="BB552" s="26"/>
      <c r="BC552" s="26"/>
      <c r="BD552" s="26"/>
      <c r="BE552" s="26"/>
      <c r="BF552" s="26"/>
      <c r="BG552" s="26"/>
      <c r="BH552" s="26"/>
      <c r="BI552" s="26"/>
      <c r="BJ552" s="26"/>
      <c r="BK552" s="26"/>
    </row>
    <row r="553" ht="14.25" customHeight="1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  <c r="AC553" s="26"/>
      <c r="AD553" s="26"/>
      <c r="AE553" s="26"/>
      <c r="AF553" s="26"/>
      <c r="AG553" s="26"/>
      <c r="AH553" s="26"/>
      <c r="AI553" s="26"/>
      <c r="AJ553" s="26"/>
      <c r="AK553" s="26"/>
      <c r="AL553" s="26"/>
      <c r="AM553" s="26"/>
      <c r="AN553" s="26"/>
      <c r="AO553" s="26"/>
      <c r="AP553" s="26"/>
      <c r="AQ553" s="26"/>
      <c r="AR553" s="26"/>
      <c r="AS553" s="26"/>
      <c r="AT553" s="26"/>
      <c r="AU553" s="26"/>
      <c r="AV553" s="26"/>
      <c r="AW553" s="26"/>
      <c r="AX553" s="26"/>
      <c r="AY553" s="26"/>
      <c r="AZ553" s="26"/>
      <c r="BA553" s="26"/>
      <c r="BB553" s="26"/>
      <c r="BC553" s="26"/>
      <c r="BD553" s="26"/>
      <c r="BE553" s="26"/>
      <c r="BF553" s="26"/>
      <c r="BG553" s="26"/>
      <c r="BH553" s="26"/>
      <c r="BI553" s="26"/>
      <c r="BJ553" s="26"/>
      <c r="BK553" s="26"/>
    </row>
    <row r="554" ht="14.25" customHeight="1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  <c r="AC554" s="26"/>
      <c r="AD554" s="26"/>
      <c r="AE554" s="26"/>
      <c r="AF554" s="26"/>
      <c r="AG554" s="26"/>
      <c r="AH554" s="26"/>
      <c r="AI554" s="26"/>
      <c r="AJ554" s="26"/>
      <c r="AK554" s="26"/>
      <c r="AL554" s="26"/>
      <c r="AM554" s="26"/>
      <c r="AN554" s="26"/>
      <c r="AO554" s="26"/>
      <c r="AP554" s="26"/>
      <c r="AQ554" s="26"/>
      <c r="AR554" s="26"/>
      <c r="AS554" s="26"/>
      <c r="AT554" s="26"/>
      <c r="AU554" s="26"/>
      <c r="AV554" s="26"/>
      <c r="AW554" s="26"/>
      <c r="AX554" s="26"/>
      <c r="AY554" s="26"/>
      <c r="AZ554" s="26"/>
      <c r="BA554" s="26"/>
      <c r="BB554" s="26"/>
      <c r="BC554" s="26"/>
      <c r="BD554" s="26"/>
      <c r="BE554" s="26"/>
      <c r="BF554" s="26"/>
      <c r="BG554" s="26"/>
      <c r="BH554" s="26"/>
      <c r="BI554" s="26"/>
      <c r="BJ554" s="26"/>
      <c r="BK554" s="26"/>
    </row>
    <row r="555" ht="14.25" customHeight="1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  <c r="AC555" s="26"/>
      <c r="AD555" s="26"/>
      <c r="AE555" s="26"/>
      <c r="AF555" s="26"/>
      <c r="AG555" s="26"/>
      <c r="AH555" s="26"/>
      <c r="AI555" s="26"/>
      <c r="AJ555" s="26"/>
      <c r="AK555" s="26"/>
      <c r="AL555" s="26"/>
      <c r="AM555" s="26"/>
      <c r="AN555" s="26"/>
      <c r="AO555" s="26"/>
      <c r="AP555" s="26"/>
      <c r="AQ555" s="26"/>
      <c r="AR555" s="26"/>
      <c r="AS555" s="26"/>
      <c r="AT555" s="26"/>
      <c r="AU555" s="26"/>
      <c r="AV555" s="26"/>
      <c r="AW555" s="26"/>
      <c r="AX555" s="26"/>
      <c r="AY555" s="26"/>
      <c r="AZ555" s="26"/>
      <c r="BA555" s="26"/>
      <c r="BB555" s="26"/>
      <c r="BC555" s="26"/>
      <c r="BD555" s="26"/>
      <c r="BE555" s="26"/>
      <c r="BF555" s="26"/>
      <c r="BG555" s="26"/>
      <c r="BH555" s="26"/>
      <c r="BI555" s="26"/>
      <c r="BJ555" s="26"/>
      <c r="BK555" s="26"/>
    </row>
    <row r="556" ht="14.25" customHeight="1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  <c r="AC556" s="26"/>
      <c r="AD556" s="26"/>
      <c r="AE556" s="26"/>
      <c r="AF556" s="26"/>
      <c r="AG556" s="26"/>
      <c r="AH556" s="26"/>
      <c r="AI556" s="26"/>
      <c r="AJ556" s="26"/>
      <c r="AK556" s="26"/>
      <c r="AL556" s="26"/>
      <c r="AM556" s="26"/>
      <c r="AN556" s="26"/>
      <c r="AO556" s="26"/>
      <c r="AP556" s="26"/>
      <c r="AQ556" s="26"/>
      <c r="AR556" s="26"/>
      <c r="AS556" s="26"/>
      <c r="AT556" s="26"/>
      <c r="AU556" s="26"/>
      <c r="AV556" s="26"/>
      <c r="AW556" s="26"/>
      <c r="AX556" s="26"/>
      <c r="AY556" s="26"/>
      <c r="AZ556" s="26"/>
      <c r="BA556" s="26"/>
      <c r="BB556" s="26"/>
      <c r="BC556" s="26"/>
      <c r="BD556" s="26"/>
      <c r="BE556" s="26"/>
      <c r="BF556" s="26"/>
      <c r="BG556" s="26"/>
      <c r="BH556" s="26"/>
      <c r="BI556" s="26"/>
      <c r="BJ556" s="26"/>
      <c r="BK556" s="26"/>
    </row>
    <row r="557" ht="14.25" customHeight="1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  <c r="AC557" s="26"/>
      <c r="AD557" s="26"/>
      <c r="AE557" s="26"/>
      <c r="AF557" s="26"/>
      <c r="AG557" s="26"/>
      <c r="AH557" s="26"/>
      <c r="AI557" s="26"/>
      <c r="AJ557" s="26"/>
      <c r="AK557" s="26"/>
      <c r="AL557" s="26"/>
      <c r="AM557" s="26"/>
      <c r="AN557" s="26"/>
      <c r="AO557" s="26"/>
      <c r="AP557" s="26"/>
      <c r="AQ557" s="26"/>
      <c r="AR557" s="26"/>
      <c r="AS557" s="26"/>
      <c r="AT557" s="26"/>
      <c r="AU557" s="26"/>
      <c r="AV557" s="26"/>
      <c r="AW557" s="26"/>
      <c r="AX557" s="26"/>
      <c r="AY557" s="26"/>
      <c r="AZ557" s="26"/>
      <c r="BA557" s="26"/>
      <c r="BB557" s="26"/>
      <c r="BC557" s="26"/>
      <c r="BD557" s="26"/>
      <c r="BE557" s="26"/>
      <c r="BF557" s="26"/>
      <c r="BG557" s="26"/>
      <c r="BH557" s="26"/>
      <c r="BI557" s="26"/>
      <c r="BJ557" s="26"/>
      <c r="BK557" s="26"/>
    </row>
    <row r="558" ht="14.25" customHeight="1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  <c r="AC558" s="26"/>
      <c r="AD558" s="26"/>
      <c r="AE558" s="26"/>
      <c r="AF558" s="26"/>
      <c r="AG558" s="26"/>
      <c r="AH558" s="26"/>
      <c r="AI558" s="26"/>
      <c r="AJ558" s="26"/>
      <c r="AK558" s="26"/>
      <c r="AL558" s="26"/>
      <c r="AM558" s="26"/>
      <c r="AN558" s="26"/>
      <c r="AO558" s="26"/>
      <c r="AP558" s="26"/>
      <c r="AQ558" s="26"/>
      <c r="AR558" s="26"/>
      <c r="AS558" s="26"/>
      <c r="AT558" s="26"/>
      <c r="AU558" s="26"/>
      <c r="AV558" s="26"/>
      <c r="AW558" s="26"/>
      <c r="AX558" s="26"/>
      <c r="AY558" s="26"/>
      <c r="AZ558" s="26"/>
      <c r="BA558" s="26"/>
      <c r="BB558" s="26"/>
      <c r="BC558" s="26"/>
      <c r="BD558" s="26"/>
      <c r="BE558" s="26"/>
      <c r="BF558" s="26"/>
      <c r="BG558" s="26"/>
      <c r="BH558" s="26"/>
      <c r="BI558" s="26"/>
      <c r="BJ558" s="26"/>
      <c r="BK558" s="26"/>
    </row>
    <row r="559" ht="14.25" customHeight="1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  <c r="AB559" s="26"/>
      <c r="AC559" s="26"/>
      <c r="AD559" s="26"/>
      <c r="AE559" s="26"/>
      <c r="AF559" s="26"/>
      <c r="AG559" s="26"/>
      <c r="AH559" s="26"/>
      <c r="AI559" s="26"/>
      <c r="AJ559" s="26"/>
      <c r="AK559" s="26"/>
      <c r="AL559" s="26"/>
      <c r="AM559" s="26"/>
      <c r="AN559" s="26"/>
      <c r="AO559" s="26"/>
      <c r="AP559" s="26"/>
      <c r="AQ559" s="26"/>
      <c r="AR559" s="26"/>
      <c r="AS559" s="26"/>
      <c r="AT559" s="26"/>
      <c r="AU559" s="26"/>
      <c r="AV559" s="26"/>
      <c r="AW559" s="26"/>
      <c r="AX559" s="26"/>
      <c r="AY559" s="26"/>
      <c r="AZ559" s="26"/>
      <c r="BA559" s="26"/>
      <c r="BB559" s="26"/>
      <c r="BC559" s="26"/>
      <c r="BD559" s="26"/>
      <c r="BE559" s="26"/>
      <c r="BF559" s="26"/>
      <c r="BG559" s="26"/>
      <c r="BH559" s="26"/>
      <c r="BI559" s="26"/>
      <c r="BJ559" s="26"/>
      <c r="BK559" s="26"/>
    </row>
    <row r="560" ht="14.25" customHeight="1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  <c r="AC560" s="26"/>
      <c r="AD560" s="26"/>
      <c r="AE560" s="26"/>
      <c r="AF560" s="26"/>
      <c r="AG560" s="26"/>
      <c r="AH560" s="26"/>
      <c r="AI560" s="26"/>
      <c r="AJ560" s="26"/>
      <c r="AK560" s="26"/>
      <c r="AL560" s="26"/>
      <c r="AM560" s="26"/>
      <c r="AN560" s="26"/>
      <c r="AO560" s="26"/>
      <c r="AP560" s="26"/>
      <c r="AQ560" s="26"/>
      <c r="AR560" s="26"/>
      <c r="AS560" s="26"/>
      <c r="AT560" s="26"/>
      <c r="AU560" s="26"/>
      <c r="AV560" s="26"/>
      <c r="AW560" s="26"/>
      <c r="AX560" s="26"/>
      <c r="AY560" s="26"/>
      <c r="AZ560" s="26"/>
      <c r="BA560" s="26"/>
      <c r="BB560" s="26"/>
      <c r="BC560" s="26"/>
      <c r="BD560" s="26"/>
      <c r="BE560" s="26"/>
      <c r="BF560" s="26"/>
      <c r="BG560" s="26"/>
      <c r="BH560" s="26"/>
      <c r="BI560" s="26"/>
      <c r="BJ560" s="26"/>
      <c r="BK560" s="26"/>
    </row>
    <row r="561" ht="14.25" customHeight="1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  <c r="AC561" s="26"/>
      <c r="AD561" s="26"/>
      <c r="AE561" s="26"/>
      <c r="AF561" s="26"/>
      <c r="AG561" s="26"/>
      <c r="AH561" s="26"/>
      <c r="AI561" s="26"/>
      <c r="AJ561" s="26"/>
      <c r="AK561" s="26"/>
      <c r="AL561" s="26"/>
      <c r="AM561" s="26"/>
      <c r="AN561" s="26"/>
      <c r="AO561" s="26"/>
      <c r="AP561" s="26"/>
      <c r="AQ561" s="26"/>
      <c r="AR561" s="26"/>
      <c r="AS561" s="26"/>
      <c r="AT561" s="26"/>
      <c r="AU561" s="26"/>
      <c r="AV561" s="26"/>
      <c r="AW561" s="26"/>
      <c r="AX561" s="26"/>
      <c r="AY561" s="26"/>
      <c r="AZ561" s="26"/>
      <c r="BA561" s="26"/>
      <c r="BB561" s="26"/>
      <c r="BC561" s="26"/>
      <c r="BD561" s="26"/>
      <c r="BE561" s="26"/>
      <c r="BF561" s="26"/>
      <c r="BG561" s="26"/>
      <c r="BH561" s="26"/>
      <c r="BI561" s="26"/>
      <c r="BJ561" s="26"/>
      <c r="BK561" s="26"/>
    </row>
    <row r="562" ht="14.25" customHeight="1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  <c r="AC562" s="26"/>
      <c r="AD562" s="26"/>
      <c r="AE562" s="26"/>
      <c r="AF562" s="26"/>
      <c r="AG562" s="26"/>
      <c r="AH562" s="26"/>
      <c r="AI562" s="26"/>
      <c r="AJ562" s="26"/>
      <c r="AK562" s="26"/>
      <c r="AL562" s="26"/>
      <c r="AM562" s="26"/>
      <c r="AN562" s="26"/>
      <c r="AO562" s="26"/>
      <c r="AP562" s="26"/>
      <c r="AQ562" s="26"/>
      <c r="AR562" s="26"/>
      <c r="AS562" s="26"/>
      <c r="AT562" s="26"/>
      <c r="AU562" s="26"/>
      <c r="AV562" s="26"/>
      <c r="AW562" s="26"/>
      <c r="AX562" s="26"/>
      <c r="AY562" s="26"/>
      <c r="AZ562" s="26"/>
      <c r="BA562" s="26"/>
      <c r="BB562" s="26"/>
      <c r="BC562" s="26"/>
      <c r="BD562" s="26"/>
      <c r="BE562" s="26"/>
      <c r="BF562" s="26"/>
      <c r="BG562" s="26"/>
      <c r="BH562" s="26"/>
      <c r="BI562" s="26"/>
      <c r="BJ562" s="26"/>
      <c r="BK562" s="26"/>
    </row>
    <row r="563" ht="14.25" customHeight="1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  <c r="AC563" s="26"/>
      <c r="AD563" s="26"/>
      <c r="AE563" s="26"/>
      <c r="AF563" s="26"/>
      <c r="AG563" s="26"/>
      <c r="AH563" s="26"/>
      <c r="AI563" s="26"/>
      <c r="AJ563" s="26"/>
      <c r="AK563" s="26"/>
      <c r="AL563" s="26"/>
      <c r="AM563" s="26"/>
      <c r="AN563" s="26"/>
      <c r="AO563" s="26"/>
      <c r="AP563" s="26"/>
      <c r="AQ563" s="26"/>
      <c r="AR563" s="26"/>
      <c r="AS563" s="26"/>
      <c r="AT563" s="26"/>
      <c r="AU563" s="26"/>
      <c r="AV563" s="26"/>
      <c r="AW563" s="26"/>
      <c r="AX563" s="26"/>
      <c r="AY563" s="26"/>
      <c r="AZ563" s="26"/>
      <c r="BA563" s="26"/>
      <c r="BB563" s="26"/>
      <c r="BC563" s="26"/>
      <c r="BD563" s="26"/>
      <c r="BE563" s="26"/>
      <c r="BF563" s="26"/>
      <c r="BG563" s="26"/>
      <c r="BH563" s="26"/>
      <c r="BI563" s="26"/>
      <c r="BJ563" s="26"/>
      <c r="BK563" s="26"/>
    </row>
    <row r="564" ht="14.25" customHeight="1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  <c r="AC564" s="26"/>
      <c r="AD564" s="26"/>
      <c r="AE564" s="26"/>
      <c r="AF564" s="26"/>
      <c r="AG564" s="26"/>
      <c r="AH564" s="26"/>
      <c r="AI564" s="26"/>
      <c r="AJ564" s="26"/>
      <c r="AK564" s="26"/>
      <c r="AL564" s="26"/>
      <c r="AM564" s="26"/>
      <c r="AN564" s="26"/>
      <c r="AO564" s="26"/>
      <c r="AP564" s="26"/>
      <c r="AQ564" s="26"/>
      <c r="AR564" s="26"/>
      <c r="AS564" s="26"/>
      <c r="AT564" s="26"/>
      <c r="AU564" s="26"/>
      <c r="AV564" s="26"/>
      <c r="AW564" s="26"/>
      <c r="AX564" s="26"/>
      <c r="AY564" s="26"/>
      <c r="AZ564" s="26"/>
      <c r="BA564" s="26"/>
      <c r="BB564" s="26"/>
      <c r="BC564" s="26"/>
      <c r="BD564" s="26"/>
      <c r="BE564" s="26"/>
      <c r="BF564" s="26"/>
      <c r="BG564" s="26"/>
      <c r="BH564" s="26"/>
      <c r="BI564" s="26"/>
      <c r="BJ564" s="26"/>
      <c r="BK564" s="26"/>
    </row>
    <row r="565" ht="14.25" customHeight="1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  <c r="AC565" s="26"/>
      <c r="AD565" s="26"/>
      <c r="AE565" s="26"/>
      <c r="AF565" s="26"/>
      <c r="AG565" s="26"/>
      <c r="AH565" s="26"/>
      <c r="AI565" s="26"/>
      <c r="AJ565" s="26"/>
      <c r="AK565" s="26"/>
      <c r="AL565" s="26"/>
      <c r="AM565" s="26"/>
      <c r="AN565" s="26"/>
      <c r="AO565" s="26"/>
      <c r="AP565" s="26"/>
      <c r="AQ565" s="26"/>
      <c r="AR565" s="26"/>
      <c r="AS565" s="26"/>
      <c r="AT565" s="26"/>
      <c r="AU565" s="26"/>
      <c r="AV565" s="26"/>
      <c r="AW565" s="26"/>
      <c r="AX565" s="26"/>
      <c r="AY565" s="26"/>
      <c r="AZ565" s="26"/>
      <c r="BA565" s="26"/>
      <c r="BB565" s="26"/>
      <c r="BC565" s="26"/>
      <c r="BD565" s="26"/>
      <c r="BE565" s="26"/>
      <c r="BF565" s="26"/>
      <c r="BG565" s="26"/>
      <c r="BH565" s="26"/>
      <c r="BI565" s="26"/>
      <c r="BJ565" s="26"/>
      <c r="BK565" s="26"/>
    </row>
    <row r="566" ht="14.25" customHeight="1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  <c r="AC566" s="26"/>
      <c r="AD566" s="26"/>
      <c r="AE566" s="26"/>
      <c r="AF566" s="26"/>
      <c r="AG566" s="26"/>
      <c r="AH566" s="26"/>
      <c r="AI566" s="26"/>
      <c r="AJ566" s="26"/>
      <c r="AK566" s="26"/>
      <c r="AL566" s="26"/>
      <c r="AM566" s="26"/>
      <c r="AN566" s="26"/>
      <c r="AO566" s="26"/>
      <c r="AP566" s="26"/>
      <c r="AQ566" s="26"/>
      <c r="AR566" s="26"/>
      <c r="AS566" s="26"/>
      <c r="AT566" s="26"/>
      <c r="AU566" s="26"/>
      <c r="AV566" s="26"/>
      <c r="AW566" s="26"/>
      <c r="AX566" s="26"/>
      <c r="AY566" s="26"/>
      <c r="AZ566" s="26"/>
      <c r="BA566" s="26"/>
      <c r="BB566" s="26"/>
      <c r="BC566" s="26"/>
      <c r="BD566" s="26"/>
      <c r="BE566" s="26"/>
      <c r="BF566" s="26"/>
      <c r="BG566" s="26"/>
      <c r="BH566" s="26"/>
      <c r="BI566" s="26"/>
      <c r="BJ566" s="26"/>
      <c r="BK566" s="26"/>
    </row>
    <row r="567" ht="14.25" customHeight="1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26"/>
      <c r="AB567" s="26"/>
      <c r="AC567" s="26"/>
      <c r="AD567" s="26"/>
      <c r="AE567" s="26"/>
      <c r="AF567" s="26"/>
      <c r="AG567" s="26"/>
      <c r="AH567" s="26"/>
      <c r="AI567" s="26"/>
      <c r="AJ567" s="26"/>
      <c r="AK567" s="26"/>
      <c r="AL567" s="26"/>
      <c r="AM567" s="26"/>
      <c r="AN567" s="26"/>
      <c r="AO567" s="26"/>
      <c r="AP567" s="26"/>
      <c r="AQ567" s="26"/>
      <c r="AR567" s="26"/>
      <c r="AS567" s="26"/>
      <c r="AT567" s="26"/>
      <c r="AU567" s="26"/>
      <c r="AV567" s="26"/>
      <c r="AW567" s="26"/>
      <c r="AX567" s="26"/>
      <c r="AY567" s="26"/>
      <c r="AZ567" s="26"/>
      <c r="BA567" s="26"/>
      <c r="BB567" s="26"/>
      <c r="BC567" s="26"/>
      <c r="BD567" s="26"/>
      <c r="BE567" s="26"/>
      <c r="BF567" s="26"/>
      <c r="BG567" s="26"/>
      <c r="BH567" s="26"/>
      <c r="BI567" s="26"/>
      <c r="BJ567" s="26"/>
      <c r="BK567" s="26"/>
    </row>
    <row r="568" ht="14.25" customHeight="1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  <c r="AC568" s="26"/>
      <c r="AD568" s="26"/>
      <c r="AE568" s="26"/>
      <c r="AF568" s="26"/>
      <c r="AG568" s="26"/>
      <c r="AH568" s="26"/>
      <c r="AI568" s="26"/>
      <c r="AJ568" s="26"/>
      <c r="AK568" s="26"/>
      <c r="AL568" s="26"/>
      <c r="AM568" s="26"/>
      <c r="AN568" s="26"/>
      <c r="AO568" s="26"/>
      <c r="AP568" s="26"/>
      <c r="AQ568" s="26"/>
      <c r="AR568" s="26"/>
      <c r="AS568" s="26"/>
      <c r="AT568" s="26"/>
      <c r="AU568" s="26"/>
      <c r="AV568" s="26"/>
      <c r="AW568" s="26"/>
      <c r="AX568" s="26"/>
      <c r="AY568" s="26"/>
      <c r="AZ568" s="26"/>
      <c r="BA568" s="26"/>
      <c r="BB568" s="26"/>
      <c r="BC568" s="26"/>
      <c r="BD568" s="26"/>
      <c r="BE568" s="26"/>
      <c r="BF568" s="26"/>
      <c r="BG568" s="26"/>
      <c r="BH568" s="26"/>
      <c r="BI568" s="26"/>
      <c r="BJ568" s="26"/>
      <c r="BK568" s="26"/>
    </row>
    <row r="569" ht="14.25" customHeight="1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A569" s="26"/>
      <c r="AB569" s="26"/>
      <c r="AC569" s="26"/>
      <c r="AD569" s="26"/>
      <c r="AE569" s="26"/>
      <c r="AF569" s="26"/>
      <c r="AG569" s="26"/>
      <c r="AH569" s="26"/>
      <c r="AI569" s="26"/>
      <c r="AJ569" s="26"/>
      <c r="AK569" s="26"/>
      <c r="AL569" s="26"/>
      <c r="AM569" s="26"/>
      <c r="AN569" s="26"/>
      <c r="AO569" s="26"/>
      <c r="AP569" s="26"/>
      <c r="AQ569" s="26"/>
      <c r="AR569" s="26"/>
      <c r="AS569" s="26"/>
      <c r="AT569" s="26"/>
      <c r="AU569" s="26"/>
      <c r="AV569" s="26"/>
      <c r="AW569" s="26"/>
      <c r="AX569" s="26"/>
      <c r="AY569" s="26"/>
      <c r="AZ569" s="26"/>
      <c r="BA569" s="26"/>
      <c r="BB569" s="26"/>
      <c r="BC569" s="26"/>
      <c r="BD569" s="26"/>
      <c r="BE569" s="26"/>
      <c r="BF569" s="26"/>
      <c r="BG569" s="26"/>
      <c r="BH569" s="26"/>
      <c r="BI569" s="26"/>
      <c r="BJ569" s="26"/>
      <c r="BK569" s="26"/>
    </row>
    <row r="570" ht="14.25" customHeight="1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  <c r="AC570" s="26"/>
      <c r="AD570" s="26"/>
      <c r="AE570" s="26"/>
      <c r="AF570" s="26"/>
      <c r="AG570" s="26"/>
      <c r="AH570" s="26"/>
      <c r="AI570" s="26"/>
      <c r="AJ570" s="26"/>
      <c r="AK570" s="26"/>
      <c r="AL570" s="26"/>
      <c r="AM570" s="26"/>
      <c r="AN570" s="26"/>
      <c r="AO570" s="26"/>
      <c r="AP570" s="26"/>
      <c r="AQ570" s="26"/>
      <c r="AR570" s="26"/>
      <c r="AS570" s="26"/>
      <c r="AT570" s="26"/>
      <c r="AU570" s="26"/>
      <c r="AV570" s="26"/>
      <c r="AW570" s="26"/>
      <c r="AX570" s="26"/>
      <c r="AY570" s="26"/>
      <c r="AZ570" s="26"/>
      <c r="BA570" s="26"/>
      <c r="BB570" s="26"/>
      <c r="BC570" s="26"/>
      <c r="BD570" s="26"/>
      <c r="BE570" s="26"/>
      <c r="BF570" s="26"/>
      <c r="BG570" s="26"/>
      <c r="BH570" s="26"/>
      <c r="BI570" s="26"/>
      <c r="BJ570" s="26"/>
      <c r="BK570" s="26"/>
    </row>
    <row r="571" ht="14.25" customHeight="1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  <c r="AC571" s="26"/>
      <c r="AD571" s="26"/>
      <c r="AE571" s="26"/>
      <c r="AF571" s="26"/>
      <c r="AG571" s="26"/>
      <c r="AH571" s="26"/>
      <c r="AI571" s="26"/>
      <c r="AJ571" s="26"/>
      <c r="AK571" s="26"/>
      <c r="AL571" s="26"/>
      <c r="AM571" s="26"/>
      <c r="AN571" s="26"/>
      <c r="AO571" s="26"/>
      <c r="AP571" s="26"/>
      <c r="AQ571" s="26"/>
      <c r="AR571" s="26"/>
      <c r="AS571" s="26"/>
      <c r="AT571" s="26"/>
      <c r="AU571" s="26"/>
      <c r="AV571" s="26"/>
      <c r="AW571" s="26"/>
      <c r="AX571" s="26"/>
      <c r="AY571" s="26"/>
      <c r="AZ571" s="26"/>
      <c r="BA571" s="26"/>
      <c r="BB571" s="26"/>
      <c r="BC571" s="26"/>
      <c r="BD571" s="26"/>
      <c r="BE571" s="26"/>
      <c r="BF571" s="26"/>
      <c r="BG571" s="26"/>
      <c r="BH571" s="26"/>
      <c r="BI571" s="26"/>
      <c r="BJ571" s="26"/>
      <c r="BK571" s="26"/>
    </row>
    <row r="572" ht="14.25" customHeight="1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  <c r="AC572" s="26"/>
      <c r="AD572" s="26"/>
      <c r="AE572" s="26"/>
      <c r="AF572" s="26"/>
      <c r="AG572" s="26"/>
      <c r="AH572" s="26"/>
      <c r="AI572" s="26"/>
      <c r="AJ572" s="26"/>
      <c r="AK572" s="26"/>
      <c r="AL572" s="26"/>
      <c r="AM572" s="26"/>
      <c r="AN572" s="26"/>
      <c r="AO572" s="26"/>
      <c r="AP572" s="26"/>
      <c r="AQ572" s="26"/>
      <c r="AR572" s="26"/>
      <c r="AS572" s="26"/>
      <c r="AT572" s="26"/>
      <c r="AU572" s="26"/>
      <c r="AV572" s="26"/>
      <c r="AW572" s="26"/>
      <c r="AX572" s="26"/>
      <c r="AY572" s="26"/>
      <c r="AZ572" s="26"/>
      <c r="BA572" s="26"/>
      <c r="BB572" s="26"/>
      <c r="BC572" s="26"/>
      <c r="BD572" s="26"/>
      <c r="BE572" s="26"/>
      <c r="BF572" s="26"/>
      <c r="BG572" s="26"/>
      <c r="BH572" s="26"/>
      <c r="BI572" s="26"/>
      <c r="BJ572" s="26"/>
      <c r="BK572" s="26"/>
    </row>
    <row r="573" ht="14.25" customHeight="1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26"/>
      <c r="AB573" s="26"/>
      <c r="AC573" s="26"/>
      <c r="AD573" s="26"/>
      <c r="AE573" s="26"/>
      <c r="AF573" s="26"/>
      <c r="AG573" s="26"/>
      <c r="AH573" s="26"/>
      <c r="AI573" s="26"/>
      <c r="AJ573" s="26"/>
      <c r="AK573" s="26"/>
      <c r="AL573" s="26"/>
      <c r="AM573" s="26"/>
      <c r="AN573" s="26"/>
      <c r="AO573" s="26"/>
      <c r="AP573" s="26"/>
      <c r="AQ573" s="26"/>
      <c r="AR573" s="26"/>
      <c r="AS573" s="26"/>
      <c r="AT573" s="26"/>
      <c r="AU573" s="26"/>
      <c r="AV573" s="26"/>
      <c r="AW573" s="26"/>
      <c r="AX573" s="26"/>
      <c r="AY573" s="26"/>
      <c r="AZ573" s="26"/>
      <c r="BA573" s="26"/>
      <c r="BB573" s="26"/>
      <c r="BC573" s="26"/>
      <c r="BD573" s="26"/>
      <c r="BE573" s="26"/>
      <c r="BF573" s="26"/>
      <c r="BG573" s="26"/>
      <c r="BH573" s="26"/>
      <c r="BI573" s="26"/>
      <c r="BJ573" s="26"/>
      <c r="BK573" s="26"/>
    </row>
    <row r="574" ht="14.25" customHeight="1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  <c r="AC574" s="26"/>
      <c r="AD574" s="26"/>
      <c r="AE574" s="26"/>
      <c r="AF574" s="26"/>
      <c r="AG574" s="26"/>
      <c r="AH574" s="26"/>
      <c r="AI574" s="26"/>
      <c r="AJ574" s="26"/>
      <c r="AK574" s="26"/>
      <c r="AL574" s="26"/>
      <c r="AM574" s="26"/>
      <c r="AN574" s="26"/>
      <c r="AO574" s="26"/>
      <c r="AP574" s="26"/>
      <c r="AQ574" s="26"/>
      <c r="AR574" s="26"/>
      <c r="AS574" s="26"/>
      <c r="AT574" s="26"/>
      <c r="AU574" s="26"/>
      <c r="AV574" s="26"/>
      <c r="AW574" s="26"/>
      <c r="AX574" s="26"/>
      <c r="AY574" s="26"/>
      <c r="AZ574" s="26"/>
      <c r="BA574" s="26"/>
      <c r="BB574" s="26"/>
      <c r="BC574" s="26"/>
      <c r="BD574" s="26"/>
      <c r="BE574" s="26"/>
      <c r="BF574" s="26"/>
      <c r="BG574" s="26"/>
      <c r="BH574" s="26"/>
      <c r="BI574" s="26"/>
      <c r="BJ574" s="26"/>
      <c r="BK574" s="26"/>
    </row>
    <row r="575" ht="14.25" customHeight="1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26"/>
      <c r="AB575" s="26"/>
      <c r="AC575" s="26"/>
      <c r="AD575" s="26"/>
      <c r="AE575" s="26"/>
      <c r="AF575" s="26"/>
      <c r="AG575" s="26"/>
      <c r="AH575" s="26"/>
      <c r="AI575" s="26"/>
      <c r="AJ575" s="26"/>
      <c r="AK575" s="26"/>
      <c r="AL575" s="26"/>
      <c r="AM575" s="26"/>
      <c r="AN575" s="26"/>
      <c r="AO575" s="26"/>
      <c r="AP575" s="26"/>
      <c r="AQ575" s="26"/>
      <c r="AR575" s="26"/>
      <c r="AS575" s="26"/>
      <c r="AT575" s="26"/>
      <c r="AU575" s="26"/>
      <c r="AV575" s="26"/>
      <c r="AW575" s="26"/>
      <c r="AX575" s="26"/>
      <c r="AY575" s="26"/>
      <c r="AZ575" s="26"/>
      <c r="BA575" s="26"/>
      <c r="BB575" s="26"/>
      <c r="BC575" s="26"/>
      <c r="BD575" s="26"/>
      <c r="BE575" s="26"/>
      <c r="BF575" s="26"/>
      <c r="BG575" s="26"/>
      <c r="BH575" s="26"/>
      <c r="BI575" s="26"/>
      <c r="BJ575" s="26"/>
      <c r="BK575" s="26"/>
    </row>
    <row r="576" ht="14.25" customHeight="1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  <c r="AC576" s="26"/>
      <c r="AD576" s="26"/>
      <c r="AE576" s="26"/>
      <c r="AF576" s="26"/>
      <c r="AG576" s="26"/>
      <c r="AH576" s="26"/>
      <c r="AI576" s="26"/>
      <c r="AJ576" s="26"/>
      <c r="AK576" s="26"/>
      <c r="AL576" s="26"/>
      <c r="AM576" s="26"/>
      <c r="AN576" s="26"/>
      <c r="AO576" s="26"/>
      <c r="AP576" s="26"/>
      <c r="AQ576" s="26"/>
      <c r="AR576" s="26"/>
      <c r="AS576" s="26"/>
      <c r="AT576" s="26"/>
      <c r="AU576" s="26"/>
      <c r="AV576" s="26"/>
      <c r="AW576" s="26"/>
      <c r="AX576" s="26"/>
      <c r="AY576" s="26"/>
      <c r="AZ576" s="26"/>
      <c r="BA576" s="26"/>
      <c r="BB576" s="26"/>
      <c r="BC576" s="26"/>
      <c r="BD576" s="26"/>
      <c r="BE576" s="26"/>
      <c r="BF576" s="26"/>
      <c r="BG576" s="26"/>
      <c r="BH576" s="26"/>
      <c r="BI576" s="26"/>
      <c r="BJ576" s="26"/>
      <c r="BK576" s="26"/>
    </row>
    <row r="577" ht="14.25" customHeight="1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  <c r="AA577" s="26"/>
      <c r="AB577" s="26"/>
      <c r="AC577" s="26"/>
      <c r="AD577" s="26"/>
      <c r="AE577" s="26"/>
      <c r="AF577" s="26"/>
      <c r="AG577" s="26"/>
      <c r="AH577" s="26"/>
      <c r="AI577" s="26"/>
      <c r="AJ577" s="26"/>
      <c r="AK577" s="26"/>
      <c r="AL577" s="26"/>
      <c r="AM577" s="26"/>
      <c r="AN577" s="26"/>
      <c r="AO577" s="26"/>
      <c r="AP577" s="26"/>
      <c r="AQ577" s="26"/>
      <c r="AR577" s="26"/>
      <c r="AS577" s="26"/>
      <c r="AT577" s="26"/>
      <c r="AU577" s="26"/>
      <c r="AV577" s="26"/>
      <c r="AW577" s="26"/>
      <c r="AX577" s="26"/>
      <c r="AY577" s="26"/>
      <c r="AZ577" s="26"/>
      <c r="BA577" s="26"/>
      <c r="BB577" s="26"/>
      <c r="BC577" s="26"/>
      <c r="BD577" s="26"/>
      <c r="BE577" s="26"/>
      <c r="BF577" s="26"/>
      <c r="BG577" s="26"/>
      <c r="BH577" s="26"/>
      <c r="BI577" s="26"/>
      <c r="BJ577" s="26"/>
      <c r="BK577" s="26"/>
    </row>
    <row r="578" ht="14.25" customHeight="1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  <c r="AC578" s="26"/>
      <c r="AD578" s="26"/>
      <c r="AE578" s="26"/>
      <c r="AF578" s="26"/>
      <c r="AG578" s="26"/>
      <c r="AH578" s="26"/>
      <c r="AI578" s="26"/>
      <c r="AJ578" s="26"/>
      <c r="AK578" s="26"/>
      <c r="AL578" s="26"/>
      <c r="AM578" s="26"/>
      <c r="AN578" s="26"/>
      <c r="AO578" s="26"/>
      <c r="AP578" s="26"/>
      <c r="AQ578" s="26"/>
      <c r="AR578" s="26"/>
      <c r="AS578" s="26"/>
      <c r="AT578" s="26"/>
      <c r="AU578" s="26"/>
      <c r="AV578" s="26"/>
      <c r="AW578" s="26"/>
      <c r="AX578" s="26"/>
      <c r="AY578" s="26"/>
      <c r="AZ578" s="26"/>
      <c r="BA578" s="26"/>
      <c r="BB578" s="26"/>
      <c r="BC578" s="26"/>
      <c r="BD578" s="26"/>
      <c r="BE578" s="26"/>
      <c r="BF578" s="26"/>
      <c r="BG578" s="26"/>
      <c r="BH578" s="26"/>
      <c r="BI578" s="26"/>
      <c r="BJ578" s="26"/>
      <c r="BK578" s="26"/>
    </row>
    <row r="579" ht="14.25" customHeight="1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  <c r="AC579" s="26"/>
      <c r="AD579" s="26"/>
      <c r="AE579" s="26"/>
      <c r="AF579" s="26"/>
      <c r="AG579" s="26"/>
      <c r="AH579" s="26"/>
      <c r="AI579" s="26"/>
      <c r="AJ579" s="26"/>
      <c r="AK579" s="26"/>
      <c r="AL579" s="26"/>
      <c r="AM579" s="26"/>
      <c r="AN579" s="26"/>
      <c r="AO579" s="26"/>
      <c r="AP579" s="26"/>
      <c r="AQ579" s="26"/>
      <c r="AR579" s="26"/>
      <c r="AS579" s="26"/>
      <c r="AT579" s="26"/>
      <c r="AU579" s="26"/>
      <c r="AV579" s="26"/>
      <c r="AW579" s="26"/>
      <c r="AX579" s="26"/>
      <c r="AY579" s="26"/>
      <c r="AZ579" s="26"/>
      <c r="BA579" s="26"/>
      <c r="BB579" s="26"/>
      <c r="BC579" s="26"/>
      <c r="BD579" s="26"/>
      <c r="BE579" s="26"/>
      <c r="BF579" s="26"/>
      <c r="BG579" s="26"/>
      <c r="BH579" s="26"/>
      <c r="BI579" s="26"/>
      <c r="BJ579" s="26"/>
      <c r="BK579" s="26"/>
    </row>
    <row r="580" ht="14.25" customHeight="1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  <c r="AC580" s="26"/>
      <c r="AD580" s="26"/>
      <c r="AE580" s="26"/>
      <c r="AF580" s="26"/>
      <c r="AG580" s="26"/>
      <c r="AH580" s="26"/>
      <c r="AI580" s="26"/>
      <c r="AJ580" s="26"/>
      <c r="AK580" s="26"/>
      <c r="AL580" s="26"/>
      <c r="AM580" s="26"/>
      <c r="AN580" s="26"/>
      <c r="AO580" s="26"/>
      <c r="AP580" s="26"/>
      <c r="AQ580" s="26"/>
      <c r="AR580" s="26"/>
      <c r="AS580" s="26"/>
      <c r="AT580" s="26"/>
      <c r="AU580" s="26"/>
      <c r="AV580" s="26"/>
      <c r="AW580" s="26"/>
      <c r="AX580" s="26"/>
      <c r="AY580" s="26"/>
      <c r="AZ580" s="26"/>
      <c r="BA580" s="26"/>
      <c r="BB580" s="26"/>
      <c r="BC580" s="26"/>
      <c r="BD580" s="26"/>
      <c r="BE580" s="26"/>
      <c r="BF580" s="26"/>
      <c r="BG580" s="26"/>
      <c r="BH580" s="26"/>
      <c r="BI580" s="26"/>
      <c r="BJ580" s="26"/>
      <c r="BK580" s="26"/>
    </row>
    <row r="581" ht="14.25" customHeight="1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  <c r="AC581" s="26"/>
      <c r="AD581" s="26"/>
      <c r="AE581" s="26"/>
      <c r="AF581" s="26"/>
      <c r="AG581" s="26"/>
      <c r="AH581" s="26"/>
      <c r="AI581" s="26"/>
      <c r="AJ581" s="26"/>
      <c r="AK581" s="26"/>
      <c r="AL581" s="26"/>
      <c r="AM581" s="26"/>
      <c r="AN581" s="26"/>
      <c r="AO581" s="26"/>
      <c r="AP581" s="26"/>
      <c r="AQ581" s="26"/>
      <c r="AR581" s="26"/>
      <c r="AS581" s="26"/>
      <c r="AT581" s="26"/>
      <c r="AU581" s="26"/>
      <c r="AV581" s="26"/>
      <c r="AW581" s="26"/>
      <c r="AX581" s="26"/>
      <c r="AY581" s="26"/>
      <c r="AZ581" s="26"/>
      <c r="BA581" s="26"/>
      <c r="BB581" s="26"/>
      <c r="BC581" s="26"/>
      <c r="BD581" s="26"/>
      <c r="BE581" s="26"/>
      <c r="BF581" s="26"/>
      <c r="BG581" s="26"/>
      <c r="BH581" s="26"/>
      <c r="BI581" s="26"/>
      <c r="BJ581" s="26"/>
      <c r="BK581" s="26"/>
    </row>
    <row r="582" ht="14.25" customHeight="1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  <c r="AC582" s="26"/>
      <c r="AD582" s="26"/>
      <c r="AE582" s="26"/>
      <c r="AF582" s="26"/>
      <c r="AG582" s="26"/>
      <c r="AH582" s="26"/>
      <c r="AI582" s="26"/>
      <c r="AJ582" s="26"/>
      <c r="AK582" s="26"/>
      <c r="AL582" s="26"/>
      <c r="AM582" s="26"/>
      <c r="AN582" s="26"/>
      <c r="AO582" s="26"/>
      <c r="AP582" s="26"/>
      <c r="AQ582" s="26"/>
      <c r="AR582" s="26"/>
      <c r="AS582" s="26"/>
      <c r="AT582" s="26"/>
      <c r="AU582" s="26"/>
      <c r="AV582" s="26"/>
      <c r="AW582" s="26"/>
      <c r="AX582" s="26"/>
      <c r="AY582" s="26"/>
      <c r="AZ582" s="26"/>
      <c r="BA582" s="26"/>
      <c r="BB582" s="26"/>
      <c r="BC582" s="26"/>
      <c r="BD582" s="26"/>
      <c r="BE582" s="26"/>
      <c r="BF582" s="26"/>
      <c r="BG582" s="26"/>
      <c r="BH582" s="26"/>
      <c r="BI582" s="26"/>
      <c r="BJ582" s="26"/>
      <c r="BK582" s="26"/>
    </row>
    <row r="583" ht="14.25" customHeight="1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  <c r="AB583" s="26"/>
      <c r="AC583" s="26"/>
      <c r="AD583" s="26"/>
      <c r="AE583" s="26"/>
      <c r="AF583" s="26"/>
      <c r="AG583" s="26"/>
      <c r="AH583" s="26"/>
      <c r="AI583" s="26"/>
      <c r="AJ583" s="26"/>
      <c r="AK583" s="26"/>
      <c r="AL583" s="26"/>
      <c r="AM583" s="26"/>
      <c r="AN583" s="26"/>
      <c r="AO583" s="26"/>
      <c r="AP583" s="26"/>
      <c r="AQ583" s="26"/>
      <c r="AR583" s="26"/>
      <c r="AS583" s="26"/>
      <c r="AT583" s="26"/>
      <c r="AU583" s="26"/>
      <c r="AV583" s="26"/>
      <c r="AW583" s="26"/>
      <c r="AX583" s="26"/>
      <c r="AY583" s="26"/>
      <c r="AZ583" s="26"/>
      <c r="BA583" s="26"/>
      <c r="BB583" s="26"/>
      <c r="BC583" s="26"/>
      <c r="BD583" s="26"/>
      <c r="BE583" s="26"/>
      <c r="BF583" s="26"/>
      <c r="BG583" s="26"/>
      <c r="BH583" s="26"/>
      <c r="BI583" s="26"/>
      <c r="BJ583" s="26"/>
      <c r="BK583" s="26"/>
    </row>
    <row r="584" ht="14.25" customHeight="1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  <c r="AC584" s="26"/>
      <c r="AD584" s="26"/>
      <c r="AE584" s="26"/>
      <c r="AF584" s="26"/>
      <c r="AG584" s="26"/>
      <c r="AH584" s="26"/>
      <c r="AI584" s="26"/>
      <c r="AJ584" s="26"/>
      <c r="AK584" s="26"/>
      <c r="AL584" s="26"/>
      <c r="AM584" s="26"/>
      <c r="AN584" s="26"/>
      <c r="AO584" s="26"/>
      <c r="AP584" s="26"/>
      <c r="AQ584" s="26"/>
      <c r="AR584" s="26"/>
      <c r="AS584" s="26"/>
      <c r="AT584" s="26"/>
      <c r="AU584" s="26"/>
      <c r="AV584" s="26"/>
      <c r="AW584" s="26"/>
      <c r="AX584" s="26"/>
      <c r="AY584" s="26"/>
      <c r="AZ584" s="26"/>
      <c r="BA584" s="26"/>
      <c r="BB584" s="26"/>
      <c r="BC584" s="26"/>
      <c r="BD584" s="26"/>
      <c r="BE584" s="26"/>
      <c r="BF584" s="26"/>
      <c r="BG584" s="26"/>
      <c r="BH584" s="26"/>
      <c r="BI584" s="26"/>
      <c r="BJ584" s="26"/>
      <c r="BK584" s="26"/>
    </row>
    <row r="585" ht="14.25" customHeight="1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/>
      <c r="AB585" s="26"/>
      <c r="AC585" s="26"/>
      <c r="AD585" s="26"/>
      <c r="AE585" s="26"/>
      <c r="AF585" s="26"/>
      <c r="AG585" s="26"/>
      <c r="AH585" s="26"/>
      <c r="AI585" s="26"/>
      <c r="AJ585" s="26"/>
      <c r="AK585" s="26"/>
      <c r="AL585" s="26"/>
      <c r="AM585" s="26"/>
      <c r="AN585" s="26"/>
      <c r="AO585" s="26"/>
      <c r="AP585" s="26"/>
      <c r="AQ585" s="26"/>
      <c r="AR585" s="26"/>
      <c r="AS585" s="26"/>
      <c r="AT585" s="26"/>
      <c r="AU585" s="26"/>
      <c r="AV585" s="26"/>
      <c r="AW585" s="26"/>
      <c r="AX585" s="26"/>
      <c r="AY585" s="26"/>
      <c r="AZ585" s="26"/>
      <c r="BA585" s="26"/>
      <c r="BB585" s="26"/>
      <c r="BC585" s="26"/>
      <c r="BD585" s="26"/>
      <c r="BE585" s="26"/>
      <c r="BF585" s="26"/>
      <c r="BG585" s="26"/>
      <c r="BH585" s="26"/>
      <c r="BI585" s="26"/>
      <c r="BJ585" s="26"/>
      <c r="BK585" s="26"/>
    </row>
    <row r="586" ht="14.25" customHeight="1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  <c r="AC586" s="26"/>
      <c r="AD586" s="26"/>
      <c r="AE586" s="26"/>
      <c r="AF586" s="26"/>
      <c r="AG586" s="26"/>
      <c r="AH586" s="26"/>
      <c r="AI586" s="26"/>
      <c r="AJ586" s="26"/>
      <c r="AK586" s="26"/>
      <c r="AL586" s="26"/>
      <c r="AM586" s="26"/>
      <c r="AN586" s="26"/>
      <c r="AO586" s="26"/>
      <c r="AP586" s="26"/>
      <c r="AQ586" s="26"/>
      <c r="AR586" s="26"/>
      <c r="AS586" s="26"/>
      <c r="AT586" s="26"/>
      <c r="AU586" s="26"/>
      <c r="AV586" s="26"/>
      <c r="AW586" s="26"/>
      <c r="AX586" s="26"/>
      <c r="AY586" s="26"/>
      <c r="AZ586" s="26"/>
      <c r="BA586" s="26"/>
      <c r="BB586" s="26"/>
      <c r="BC586" s="26"/>
      <c r="BD586" s="26"/>
      <c r="BE586" s="26"/>
      <c r="BF586" s="26"/>
      <c r="BG586" s="26"/>
      <c r="BH586" s="26"/>
      <c r="BI586" s="26"/>
      <c r="BJ586" s="26"/>
      <c r="BK586" s="26"/>
    </row>
    <row r="587" ht="14.25" customHeight="1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  <c r="AC587" s="26"/>
      <c r="AD587" s="26"/>
      <c r="AE587" s="26"/>
      <c r="AF587" s="26"/>
      <c r="AG587" s="26"/>
      <c r="AH587" s="26"/>
      <c r="AI587" s="26"/>
      <c r="AJ587" s="26"/>
      <c r="AK587" s="26"/>
      <c r="AL587" s="26"/>
      <c r="AM587" s="26"/>
      <c r="AN587" s="26"/>
      <c r="AO587" s="26"/>
      <c r="AP587" s="26"/>
      <c r="AQ587" s="26"/>
      <c r="AR587" s="26"/>
      <c r="AS587" s="26"/>
      <c r="AT587" s="26"/>
      <c r="AU587" s="26"/>
      <c r="AV587" s="26"/>
      <c r="AW587" s="26"/>
      <c r="AX587" s="26"/>
      <c r="AY587" s="26"/>
      <c r="AZ587" s="26"/>
      <c r="BA587" s="26"/>
      <c r="BB587" s="26"/>
      <c r="BC587" s="26"/>
      <c r="BD587" s="26"/>
      <c r="BE587" s="26"/>
      <c r="BF587" s="26"/>
      <c r="BG587" s="26"/>
      <c r="BH587" s="26"/>
      <c r="BI587" s="26"/>
      <c r="BJ587" s="26"/>
      <c r="BK587" s="26"/>
    </row>
    <row r="588" ht="14.25" customHeight="1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  <c r="AC588" s="26"/>
      <c r="AD588" s="26"/>
      <c r="AE588" s="26"/>
      <c r="AF588" s="26"/>
      <c r="AG588" s="26"/>
      <c r="AH588" s="26"/>
      <c r="AI588" s="26"/>
      <c r="AJ588" s="26"/>
      <c r="AK588" s="26"/>
      <c r="AL588" s="26"/>
      <c r="AM588" s="26"/>
      <c r="AN588" s="26"/>
      <c r="AO588" s="26"/>
      <c r="AP588" s="26"/>
      <c r="AQ588" s="26"/>
      <c r="AR588" s="26"/>
      <c r="AS588" s="26"/>
      <c r="AT588" s="26"/>
      <c r="AU588" s="26"/>
      <c r="AV588" s="26"/>
      <c r="AW588" s="26"/>
      <c r="AX588" s="26"/>
      <c r="AY588" s="26"/>
      <c r="AZ588" s="26"/>
      <c r="BA588" s="26"/>
      <c r="BB588" s="26"/>
      <c r="BC588" s="26"/>
      <c r="BD588" s="26"/>
      <c r="BE588" s="26"/>
      <c r="BF588" s="26"/>
      <c r="BG588" s="26"/>
      <c r="BH588" s="26"/>
      <c r="BI588" s="26"/>
      <c r="BJ588" s="26"/>
      <c r="BK588" s="26"/>
    </row>
    <row r="589" ht="14.25" customHeight="1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/>
      <c r="AB589" s="26"/>
      <c r="AC589" s="26"/>
      <c r="AD589" s="26"/>
      <c r="AE589" s="26"/>
      <c r="AF589" s="26"/>
      <c r="AG589" s="26"/>
      <c r="AH589" s="26"/>
      <c r="AI589" s="26"/>
      <c r="AJ589" s="26"/>
      <c r="AK589" s="26"/>
      <c r="AL589" s="26"/>
      <c r="AM589" s="26"/>
      <c r="AN589" s="26"/>
      <c r="AO589" s="26"/>
      <c r="AP589" s="26"/>
      <c r="AQ589" s="26"/>
      <c r="AR589" s="26"/>
      <c r="AS589" s="26"/>
      <c r="AT589" s="26"/>
      <c r="AU589" s="26"/>
      <c r="AV589" s="26"/>
      <c r="AW589" s="26"/>
      <c r="AX589" s="26"/>
      <c r="AY589" s="26"/>
      <c r="AZ589" s="26"/>
      <c r="BA589" s="26"/>
      <c r="BB589" s="26"/>
      <c r="BC589" s="26"/>
      <c r="BD589" s="26"/>
      <c r="BE589" s="26"/>
      <c r="BF589" s="26"/>
      <c r="BG589" s="26"/>
      <c r="BH589" s="26"/>
      <c r="BI589" s="26"/>
      <c r="BJ589" s="26"/>
      <c r="BK589" s="26"/>
    </row>
    <row r="590" ht="14.25" customHeight="1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  <c r="AC590" s="26"/>
      <c r="AD590" s="26"/>
      <c r="AE590" s="26"/>
      <c r="AF590" s="26"/>
      <c r="AG590" s="26"/>
      <c r="AH590" s="26"/>
      <c r="AI590" s="26"/>
      <c r="AJ590" s="26"/>
      <c r="AK590" s="26"/>
      <c r="AL590" s="26"/>
      <c r="AM590" s="26"/>
      <c r="AN590" s="26"/>
      <c r="AO590" s="26"/>
      <c r="AP590" s="26"/>
      <c r="AQ590" s="26"/>
      <c r="AR590" s="26"/>
      <c r="AS590" s="26"/>
      <c r="AT590" s="26"/>
      <c r="AU590" s="26"/>
      <c r="AV590" s="26"/>
      <c r="AW590" s="26"/>
      <c r="AX590" s="26"/>
      <c r="AY590" s="26"/>
      <c r="AZ590" s="26"/>
      <c r="BA590" s="26"/>
      <c r="BB590" s="26"/>
      <c r="BC590" s="26"/>
      <c r="BD590" s="26"/>
      <c r="BE590" s="26"/>
      <c r="BF590" s="26"/>
      <c r="BG590" s="26"/>
      <c r="BH590" s="26"/>
      <c r="BI590" s="26"/>
      <c r="BJ590" s="26"/>
      <c r="BK590" s="26"/>
    </row>
    <row r="591" ht="14.25" customHeight="1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  <c r="AB591" s="26"/>
      <c r="AC591" s="26"/>
      <c r="AD591" s="26"/>
      <c r="AE591" s="26"/>
      <c r="AF591" s="26"/>
      <c r="AG591" s="26"/>
      <c r="AH591" s="26"/>
      <c r="AI591" s="26"/>
      <c r="AJ591" s="26"/>
      <c r="AK591" s="26"/>
      <c r="AL591" s="26"/>
      <c r="AM591" s="26"/>
      <c r="AN591" s="26"/>
      <c r="AO591" s="26"/>
      <c r="AP591" s="26"/>
      <c r="AQ591" s="26"/>
      <c r="AR591" s="26"/>
      <c r="AS591" s="26"/>
      <c r="AT591" s="26"/>
      <c r="AU591" s="26"/>
      <c r="AV591" s="26"/>
      <c r="AW591" s="26"/>
      <c r="AX591" s="26"/>
      <c r="AY591" s="26"/>
      <c r="AZ591" s="26"/>
      <c r="BA591" s="26"/>
      <c r="BB591" s="26"/>
      <c r="BC591" s="26"/>
      <c r="BD591" s="26"/>
      <c r="BE591" s="26"/>
      <c r="BF591" s="26"/>
      <c r="BG591" s="26"/>
      <c r="BH591" s="26"/>
      <c r="BI591" s="26"/>
      <c r="BJ591" s="26"/>
      <c r="BK591" s="26"/>
    </row>
    <row r="592" ht="14.25" customHeight="1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  <c r="AC592" s="26"/>
      <c r="AD592" s="26"/>
      <c r="AE592" s="26"/>
      <c r="AF592" s="26"/>
      <c r="AG592" s="26"/>
      <c r="AH592" s="26"/>
      <c r="AI592" s="26"/>
      <c r="AJ592" s="26"/>
      <c r="AK592" s="26"/>
      <c r="AL592" s="26"/>
      <c r="AM592" s="26"/>
      <c r="AN592" s="26"/>
      <c r="AO592" s="26"/>
      <c r="AP592" s="26"/>
      <c r="AQ592" s="26"/>
      <c r="AR592" s="26"/>
      <c r="AS592" s="26"/>
      <c r="AT592" s="26"/>
      <c r="AU592" s="26"/>
      <c r="AV592" s="26"/>
      <c r="AW592" s="26"/>
      <c r="AX592" s="26"/>
      <c r="AY592" s="26"/>
      <c r="AZ592" s="26"/>
      <c r="BA592" s="26"/>
      <c r="BB592" s="26"/>
      <c r="BC592" s="26"/>
      <c r="BD592" s="26"/>
      <c r="BE592" s="26"/>
      <c r="BF592" s="26"/>
      <c r="BG592" s="26"/>
      <c r="BH592" s="26"/>
      <c r="BI592" s="26"/>
      <c r="BJ592" s="26"/>
      <c r="BK592" s="26"/>
    </row>
    <row r="593" ht="14.25" customHeight="1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26"/>
      <c r="AB593" s="26"/>
      <c r="AC593" s="26"/>
      <c r="AD593" s="26"/>
      <c r="AE593" s="26"/>
      <c r="AF593" s="26"/>
      <c r="AG593" s="26"/>
      <c r="AH593" s="26"/>
      <c r="AI593" s="26"/>
      <c r="AJ593" s="26"/>
      <c r="AK593" s="26"/>
      <c r="AL593" s="26"/>
      <c r="AM593" s="26"/>
      <c r="AN593" s="26"/>
      <c r="AO593" s="26"/>
      <c r="AP593" s="26"/>
      <c r="AQ593" s="26"/>
      <c r="AR593" s="26"/>
      <c r="AS593" s="26"/>
      <c r="AT593" s="26"/>
      <c r="AU593" s="26"/>
      <c r="AV593" s="26"/>
      <c r="AW593" s="26"/>
      <c r="AX593" s="26"/>
      <c r="AY593" s="26"/>
      <c r="AZ593" s="26"/>
      <c r="BA593" s="26"/>
      <c r="BB593" s="26"/>
      <c r="BC593" s="26"/>
      <c r="BD593" s="26"/>
      <c r="BE593" s="26"/>
      <c r="BF593" s="26"/>
      <c r="BG593" s="26"/>
      <c r="BH593" s="26"/>
      <c r="BI593" s="26"/>
      <c r="BJ593" s="26"/>
      <c r="BK593" s="26"/>
    </row>
    <row r="594" ht="14.25" customHeight="1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  <c r="AC594" s="26"/>
      <c r="AD594" s="26"/>
      <c r="AE594" s="26"/>
      <c r="AF594" s="26"/>
      <c r="AG594" s="26"/>
      <c r="AH594" s="26"/>
      <c r="AI594" s="26"/>
      <c r="AJ594" s="26"/>
      <c r="AK594" s="26"/>
      <c r="AL594" s="26"/>
      <c r="AM594" s="26"/>
      <c r="AN594" s="26"/>
      <c r="AO594" s="26"/>
      <c r="AP594" s="26"/>
      <c r="AQ594" s="26"/>
      <c r="AR594" s="26"/>
      <c r="AS594" s="26"/>
      <c r="AT594" s="26"/>
      <c r="AU594" s="26"/>
      <c r="AV594" s="26"/>
      <c r="AW594" s="26"/>
      <c r="AX594" s="26"/>
      <c r="AY594" s="26"/>
      <c r="AZ594" s="26"/>
      <c r="BA594" s="26"/>
      <c r="BB594" s="26"/>
      <c r="BC594" s="26"/>
      <c r="BD594" s="26"/>
      <c r="BE594" s="26"/>
      <c r="BF594" s="26"/>
      <c r="BG594" s="26"/>
      <c r="BH594" s="26"/>
      <c r="BI594" s="26"/>
      <c r="BJ594" s="26"/>
      <c r="BK594" s="26"/>
    </row>
    <row r="595" ht="14.25" customHeight="1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26"/>
      <c r="AB595" s="26"/>
      <c r="AC595" s="26"/>
      <c r="AD595" s="26"/>
      <c r="AE595" s="26"/>
      <c r="AF595" s="26"/>
      <c r="AG595" s="26"/>
      <c r="AH595" s="26"/>
      <c r="AI595" s="26"/>
      <c r="AJ595" s="26"/>
      <c r="AK595" s="26"/>
      <c r="AL595" s="26"/>
      <c r="AM595" s="26"/>
      <c r="AN595" s="26"/>
      <c r="AO595" s="26"/>
      <c r="AP595" s="26"/>
      <c r="AQ595" s="26"/>
      <c r="AR595" s="26"/>
      <c r="AS595" s="26"/>
      <c r="AT595" s="26"/>
      <c r="AU595" s="26"/>
      <c r="AV595" s="26"/>
      <c r="AW595" s="26"/>
      <c r="AX595" s="26"/>
      <c r="AY595" s="26"/>
      <c r="AZ595" s="26"/>
      <c r="BA595" s="26"/>
      <c r="BB595" s="26"/>
      <c r="BC595" s="26"/>
      <c r="BD595" s="26"/>
      <c r="BE595" s="26"/>
      <c r="BF595" s="26"/>
      <c r="BG595" s="26"/>
      <c r="BH595" s="26"/>
      <c r="BI595" s="26"/>
      <c r="BJ595" s="26"/>
      <c r="BK595" s="26"/>
    </row>
    <row r="596" ht="14.25" customHeight="1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  <c r="AC596" s="26"/>
      <c r="AD596" s="26"/>
      <c r="AE596" s="26"/>
      <c r="AF596" s="26"/>
      <c r="AG596" s="26"/>
      <c r="AH596" s="26"/>
      <c r="AI596" s="26"/>
      <c r="AJ596" s="26"/>
      <c r="AK596" s="26"/>
      <c r="AL596" s="26"/>
      <c r="AM596" s="26"/>
      <c r="AN596" s="26"/>
      <c r="AO596" s="26"/>
      <c r="AP596" s="26"/>
      <c r="AQ596" s="26"/>
      <c r="AR596" s="26"/>
      <c r="AS596" s="26"/>
      <c r="AT596" s="26"/>
      <c r="AU596" s="26"/>
      <c r="AV596" s="26"/>
      <c r="AW596" s="26"/>
      <c r="AX596" s="26"/>
      <c r="AY596" s="26"/>
      <c r="AZ596" s="26"/>
      <c r="BA596" s="26"/>
      <c r="BB596" s="26"/>
      <c r="BC596" s="26"/>
      <c r="BD596" s="26"/>
      <c r="BE596" s="26"/>
      <c r="BF596" s="26"/>
      <c r="BG596" s="26"/>
      <c r="BH596" s="26"/>
      <c r="BI596" s="26"/>
      <c r="BJ596" s="26"/>
      <c r="BK596" s="26"/>
    </row>
    <row r="597" ht="14.25" customHeight="1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  <c r="AC597" s="26"/>
      <c r="AD597" s="26"/>
      <c r="AE597" s="26"/>
      <c r="AF597" s="26"/>
      <c r="AG597" s="26"/>
      <c r="AH597" s="26"/>
      <c r="AI597" s="26"/>
      <c r="AJ597" s="26"/>
      <c r="AK597" s="26"/>
      <c r="AL597" s="26"/>
      <c r="AM597" s="26"/>
      <c r="AN597" s="26"/>
      <c r="AO597" s="26"/>
      <c r="AP597" s="26"/>
      <c r="AQ597" s="26"/>
      <c r="AR597" s="26"/>
      <c r="AS597" s="26"/>
      <c r="AT597" s="26"/>
      <c r="AU597" s="26"/>
      <c r="AV597" s="26"/>
      <c r="AW597" s="26"/>
      <c r="AX597" s="26"/>
      <c r="AY597" s="26"/>
      <c r="AZ597" s="26"/>
      <c r="BA597" s="26"/>
      <c r="BB597" s="26"/>
      <c r="BC597" s="26"/>
      <c r="BD597" s="26"/>
      <c r="BE597" s="26"/>
      <c r="BF597" s="26"/>
      <c r="BG597" s="26"/>
      <c r="BH597" s="26"/>
      <c r="BI597" s="26"/>
      <c r="BJ597" s="26"/>
      <c r="BK597" s="26"/>
    </row>
    <row r="598" ht="14.25" customHeight="1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  <c r="AC598" s="26"/>
      <c r="AD598" s="26"/>
      <c r="AE598" s="26"/>
      <c r="AF598" s="26"/>
      <c r="AG598" s="26"/>
      <c r="AH598" s="26"/>
      <c r="AI598" s="26"/>
      <c r="AJ598" s="26"/>
      <c r="AK598" s="26"/>
      <c r="AL598" s="26"/>
      <c r="AM598" s="26"/>
      <c r="AN598" s="26"/>
      <c r="AO598" s="26"/>
      <c r="AP598" s="26"/>
      <c r="AQ598" s="26"/>
      <c r="AR598" s="26"/>
      <c r="AS598" s="26"/>
      <c r="AT598" s="26"/>
      <c r="AU598" s="26"/>
      <c r="AV598" s="26"/>
      <c r="AW598" s="26"/>
      <c r="AX598" s="26"/>
      <c r="AY598" s="26"/>
      <c r="AZ598" s="26"/>
      <c r="BA598" s="26"/>
      <c r="BB598" s="26"/>
      <c r="BC598" s="26"/>
      <c r="BD598" s="26"/>
      <c r="BE598" s="26"/>
      <c r="BF598" s="26"/>
      <c r="BG598" s="26"/>
      <c r="BH598" s="26"/>
      <c r="BI598" s="26"/>
      <c r="BJ598" s="26"/>
      <c r="BK598" s="26"/>
    </row>
    <row r="599" ht="14.25" customHeight="1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  <c r="AB599" s="26"/>
      <c r="AC599" s="26"/>
      <c r="AD599" s="26"/>
      <c r="AE599" s="26"/>
      <c r="AF599" s="26"/>
      <c r="AG599" s="26"/>
      <c r="AH599" s="26"/>
      <c r="AI599" s="26"/>
      <c r="AJ599" s="26"/>
      <c r="AK599" s="26"/>
      <c r="AL599" s="26"/>
      <c r="AM599" s="26"/>
      <c r="AN599" s="26"/>
      <c r="AO599" s="26"/>
      <c r="AP599" s="26"/>
      <c r="AQ599" s="26"/>
      <c r="AR599" s="26"/>
      <c r="AS599" s="26"/>
      <c r="AT599" s="26"/>
      <c r="AU599" s="26"/>
      <c r="AV599" s="26"/>
      <c r="AW599" s="26"/>
      <c r="AX599" s="26"/>
      <c r="AY599" s="26"/>
      <c r="AZ599" s="26"/>
      <c r="BA599" s="26"/>
      <c r="BB599" s="26"/>
      <c r="BC599" s="26"/>
      <c r="BD599" s="26"/>
      <c r="BE599" s="26"/>
      <c r="BF599" s="26"/>
      <c r="BG599" s="26"/>
      <c r="BH599" s="26"/>
      <c r="BI599" s="26"/>
      <c r="BJ599" s="26"/>
      <c r="BK599" s="26"/>
    </row>
    <row r="600" ht="14.25" customHeight="1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  <c r="AC600" s="26"/>
      <c r="AD600" s="26"/>
      <c r="AE600" s="26"/>
      <c r="AF600" s="26"/>
      <c r="AG600" s="26"/>
      <c r="AH600" s="26"/>
      <c r="AI600" s="26"/>
      <c r="AJ600" s="26"/>
      <c r="AK600" s="26"/>
      <c r="AL600" s="26"/>
      <c r="AM600" s="26"/>
      <c r="AN600" s="26"/>
      <c r="AO600" s="26"/>
      <c r="AP600" s="26"/>
      <c r="AQ600" s="26"/>
      <c r="AR600" s="26"/>
      <c r="AS600" s="26"/>
      <c r="AT600" s="26"/>
      <c r="AU600" s="26"/>
      <c r="AV600" s="26"/>
      <c r="AW600" s="26"/>
      <c r="AX600" s="26"/>
      <c r="AY600" s="26"/>
      <c r="AZ600" s="26"/>
      <c r="BA600" s="26"/>
      <c r="BB600" s="26"/>
      <c r="BC600" s="26"/>
      <c r="BD600" s="26"/>
      <c r="BE600" s="26"/>
      <c r="BF600" s="26"/>
      <c r="BG600" s="26"/>
      <c r="BH600" s="26"/>
      <c r="BI600" s="26"/>
      <c r="BJ600" s="26"/>
      <c r="BK600" s="26"/>
    </row>
    <row r="601" ht="14.25" customHeight="1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26"/>
      <c r="AB601" s="26"/>
      <c r="AC601" s="26"/>
      <c r="AD601" s="26"/>
      <c r="AE601" s="26"/>
      <c r="AF601" s="26"/>
      <c r="AG601" s="26"/>
      <c r="AH601" s="26"/>
      <c r="AI601" s="26"/>
      <c r="AJ601" s="26"/>
      <c r="AK601" s="26"/>
      <c r="AL601" s="26"/>
      <c r="AM601" s="26"/>
      <c r="AN601" s="26"/>
      <c r="AO601" s="26"/>
      <c r="AP601" s="26"/>
      <c r="AQ601" s="26"/>
      <c r="AR601" s="26"/>
      <c r="AS601" s="26"/>
      <c r="AT601" s="26"/>
      <c r="AU601" s="26"/>
      <c r="AV601" s="26"/>
      <c r="AW601" s="26"/>
      <c r="AX601" s="26"/>
      <c r="AY601" s="26"/>
      <c r="AZ601" s="26"/>
      <c r="BA601" s="26"/>
      <c r="BB601" s="26"/>
      <c r="BC601" s="26"/>
      <c r="BD601" s="26"/>
      <c r="BE601" s="26"/>
      <c r="BF601" s="26"/>
      <c r="BG601" s="26"/>
      <c r="BH601" s="26"/>
      <c r="BI601" s="26"/>
      <c r="BJ601" s="26"/>
      <c r="BK601" s="26"/>
    </row>
    <row r="602" ht="14.25" customHeight="1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  <c r="AB602" s="26"/>
      <c r="AC602" s="26"/>
      <c r="AD602" s="26"/>
      <c r="AE602" s="26"/>
      <c r="AF602" s="26"/>
      <c r="AG602" s="26"/>
      <c r="AH602" s="26"/>
      <c r="AI602" s="26"/>
      <c r="AJ602" s="26"/>
      <c r="AK602" s="26"/>
      <c r="AL602" s="26"/>
      <c r="AM602" s="26"/>
      <c r="AN602" s="26"/>
      <c r="AO602" s="26"/>
      <c r="AP602" s="26"/>
      <c r="AQ602" s="26"/>
      <c r="AR602" s="26"/>
      <c r="AS602" s="26"/>
      <c r="AT602" s="26"/>
      <c r="AU602" s="26"/>
      <c r="AV602" s="26"/>
      <c r="AW602" s="26"/>
      <c r="AX602" s="26"/>
      <c r="AY602" s="26"/>
      <c r="AZ602" s="26"/>
      <c r="BA602" s="26"/>
      <c r="BB602" s="26"/>
      <c r="BC602" s="26"/>
      <c r="BD602" s="26"/>
      <c r="BE602" s="26"/>
      <c r="BF602" s="26"/>
      <c r="BG602" s="26"/>
      <c r="BH602" s="26"/>
      <c r="BI602" s="26"/>
      <c r="BJ602" s="26"/>
      <c r="BK602" s="26"/>
    </row>
    <row r="603" ht="14.25" customHeight="1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  <c r="AB603" s="26"/>
      <c r="AC603" s="26"/>
      <c r="AD603" s="26"/>
      <c r="AE603" s="26"/>
      <c r="AF603" s="26"/>
      <c r="AG603" s="26"/>
      <c r="AH603" s="26"/>
      <c r="AI603" s="26"/>
      <c r="AJ603" s="26"/>
      <c r="AK603" s="26"/>
      <c r="AL603" s="26"/>
      <c r="AM603" s="26"/>
      <c r="AN603" s="26"/>
      <c r="AO603" s="26"/>
      <c r="AP603" s="26"/>
      <c r="AQ603" s="26"/>
      <c r="AR603" s="26"/>
      <c r="AS603" s="26"/>
      <c r="AT603" s="26"/>
      <c r="AU603" s="26"/>
      <c r="AV603" s="26"/>
      <c r="AW603" s="26"/>
      <c r="AX603" s="26"/>
      <c r="AY603" s="26"/>
      <c r="AZ603" s="26"/>
      <c r="BA603" s="26"/>
      <c r="BB603" s="26"/>
      <c r="BC603" s="26"/>
      <c r="BD603" s="26"/>
      <c r="BE603" s="26"/>
      <c r="BF603" s="26"/>
      <c r="BG603" s="26"/>
      <c r="BH603" s="26"/>
      <c r="BI603" s="26"/>
      <c r="BJ603" s="26"/>
      <c r="BK603" s="26"/>
    </row>
    <row r="604" ht="14.25" customHeight="1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  <c r="AC604" s="26"/>
      <c r="AD604" s="26"/>
      <c r="AE604" s="26"/>
      <c r="AF604" s="26"/>
      <c r="AG604" s="26"/>
      <c r="AH604" s="26"/>
      <c r="AI604" s="26"/>
      <c r="AJ604" s="26"/>
      <c r="AK604" s="26"/>
      <c r="AL604" s="26"/>
      <c r="AM604" s="26"/>
      <c r="AN604" s="26"/>
      <c r="AO604" s="26"/>
      <c r="AP604" s="26"/>
      <c r="AQ604" s="26"/>
      <c r="AR604" s="26"/>
      <c r="AS604" s="26"/>
      <c r="AT604" s="26"/>
      <c r="AU604" s="26"/>
      <c r="AV604" s="26"/>
      <c r="AW604" s="26"/>
      <c r="AX604" s="26"/>
      <c r="AY604" s="26"/>
      <c r="AZ604" s="26"/>
      <c r="BA604" s="26"/>
      <c r="BB604" s="26"/>
      <c r="BC604" s="26"/>
      <c r="BD604" s="26"/>
      <c r="BE604" s="26"/>
      <c r="BF604" s="26"/>
      <c r="BG604" s="26"/>
      <c r="BH604" s="26"/>
      <c r="BI604" s="26"/>
      <c r="BJ604" s="26"/>
      <c r="BK604" s="26"/>
    </row>
    <row r="605" ht="14.25" customHeight="1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  <c r="AB605" s="26"/>
      <c r="AC605" s="26"/>
      <c r="AD605" s="26"/>
      <c r="AE605" s="26"/>
      <c r="AF605" s="26"/>
      <c r="AG605" s="26"/>
      <c r="AH605" s="26"/>
      <c r="AI605" s="26"/>
      <c r="AJ605" s="26"/>
      <c r="AK605" s="26"/>
      <c r="AL605" s="26"/>
      <c r="AM605" s="26"/>
      <c r="AN605" s="26"/>
      <c r="AO605" s="26"/>
      <c r="AP605" s="26"/>
      <c r="AQ605" s="26"/>
      <c r="AR605" s="26"/>
      <c r="AS605" s="26"/>
      <c r="AT605" s="26"/>
      <c r="AU605" s="26"/>
      <c r="AV605" s="26"/>
      <c r="AW605" s="26"/>
      <c r="AX605" s="26"/>
      <c r="AY605" s="26"/>
      <c r="AZ605" s="26"/>
      <c r="BA605" s="26"/>
      <c r="BB605" s="26"/>
      <c r="BC605" s="26"/>
      <c r="BD605" s="26"/>
      <c r="BE605" s="26"/>
      <c r="BF605" s="26"/>
      <c r="BG605" s="26"/>
      <c r="BH605" s="26"/>
      <c r="BI605" s="26"/>
      <c r="BJ605" s="26"/>
      <c r="BK605" s="26"/>
    </row>
    <row r="606" ht="14.25" customHeight="1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  <c r="AC606" s="26"/>
      <c r="AD606" s="26"/>
      <c r="AE606" s="26"/>
      <c r="AF606" s="26"/>
      <c r="AG606" s="26"/>
      <c r="AH606" s="26"/>
      <c r="AI606" s="26"/>
      <c r="AJ606" s="26"/>
      <c r="AK606" s="26"/>
      <c r="AL606" s="26"/>
      <c r="AM606" s="26"/>
      <c r="AN606" s="26"/>
      <c r="AO606" s="26"/>
      <c r="AP606" s="26"/>
      <c r="AQ606" s="26"/>
      <c r="AR606" s="26"/>
      <c r="AS606" s="26"/>
      <c r="AT606" s="26"/>
      <c r="AU606" s="26"/>
      <c r="AV606" s="26"/>
      <c r="AW606" s="26"/>
      <c r="AX606" s="26"/>
      <c r="AY606" s="26"/>
      <c r="AZ606" s="26"/>
      <c r="BA606" s="26"/>
      <c r="BB606" s="26"/>
      <c r="BC606" s="26"/>
      <c r="BD606" s="26"/>
      <c r="BE606" s="26"/>
      <c r="BF606" s="26"/>
      <c r="BG606" s="26"/>
      <c r="BH606" s="26"/>
      <c r="BI606" s="26"/>
      <c r="BJ606" s="26"/>
      <c r="BK606" s="26"/>
    </row>
    <row r="607" ht="14.25" customHeight="1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/>
      <c r="AB607" s="26"/>
      <c r="AC607" s="26"/>
      <c r="AD607" s="26"/>
      <c r="AE607" s="26"/>
      <c r="AF607" s="26"/>
      <c r="AG607" s="26"/>
      <c r="AH607" s="26"/>
      <c r="AI607" s="26"/>
      <c r="AJ607" s="26"/>
      <c r="AK607" s="26"/>
      <c r="AL607" s="26"/>
      <c r="AM607" s="26"/>
      <c r="AN607" s="26"/>
      <c r="AO607" s="26"/>
      <c r="AP607" s="26"/>
      <c r="AQ607" s="26"/>
      <c r="AR607" s="26"/>
      <c r="AS607" s="26"/>
      <c r="AT607" s="26"/>
      <c r="AU607" s="26"/>
      <c r="AV607" s="26"/>
      <c r="AW607" s="26"/>
      <c r="AX607" s="26"/>
      <c r="AY607" s="26"/>
      <c r="AZ607" s="26"/>
      <c r="BA607" s="26"/>
      <c r="BB607" s="26"/>
      <c r="BC607" s="26"/>
      <c r="BD607" s="26"/>
      <c r="BE607" s="26"/>
      <c r="BF607" s="26"/>
      <c r="BG607" s="26"/>
      <c r="BH607" s="26"/>
      <c r="BI607" s="26"/>
      <c r="BJ607" s="26"/>
      <c r="BK607" s="26"/>
    </row>
    <row r="608" ht="14.25" customHeight="1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  <c r="AC608" s="26"/>
      <c r="AD608" s="26"/>
      <c r="AE608" s="26"/>
      <c r="AF608" s="26"/>
      <c r="AG608" s="26"/>
      <c r="AH608" s="26"/>
      <c r="AI608" s="26"/>
      <c r="AJ608" s="26"/>
      <c r="AK608" s="26"/>
      <c r="AL608" s="26"/>
      <c r="AM608" s="26"/>
      <c r="AN608" s="26"/>
      <c r="AO608" s="26"/>
      <c r="AP608" s="26"/>
      <c r="AQ608" s="26"/>
      <c r="AR608" s="26"/>
      <c r="AS608" s="26"/>
      <c r="AT608" s="26"/>
      <c r="AU608" s="26"/>
      <c r="AV608" s="26"/>
      <c r="AW608" s="26"/>
      <c r="AX608" s="26"/>
      <c r="AY608" s="26"/>
      <c r="AZ608" s="26"/>
      <c r="BA608" s="26"/>
      <c r="BB608" s="26"/>
      <c r="BC608" s="26"/>
      <c r="BD608" s="26"/>
      <c r="BE608" s="26"/>
      <c r="BF608" s="26"/>
      <c r="BG608" s="26"/>
      <c r="BH608" s="26"/>
      <c r="BI608" s="26"/>
      <c r="BJ608" s="26"/>
      <c r="BK608" s="26"/>
    </row>
    <row r="609" ht="14.25" customHeight="1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  <c r="AA609" s="26"/>
      <c r="AB609" s="26"/>
      <c r="AC609" s="26"/>
      <c r="AD609" s="26"/>
      <c r="AE609" s="26"/>
      <c r="AF609" s="26"/>
      <c r="AG609" s="26"/>
      <c r="AH609" s="26"/>
      <c r="AI609" s="26"/>
      <c r="AJ609" s="26"/>
      <c r="AK609" s="26"/>
      <c r="AL609" s="26"/>
      <c r="AM609" s="26"/>
      <c r="AN609" s="26"/>
      <c r="AO609" s="26"/>
      <c r="AP609" s="26"/>
      <c r="AQ609" s="26"/>
      <c r="AR609" s="26"/>
      <c r="AS609" s="26"/>
      <c r="AT609" s="26"/>
      <c r="AU609" s="26"/>
      <c r="AV609" s="26"/>
      <c r="AW609" s="26"/>
      <c r="AX609" s="26"/>
      <c r="AY609" s="26"/>
      <c r="AZ609" s="26"/>
      <c r="BA609" s="26"/>
      <c r="BB609" s="26"/>
      <c r="BC609" s="26"/>
      <c r="BD609" s="26"/>
      <c r="BE609" s="26"/>
      <c r="BF609" s="26"/>
      <c r="BG609" s="26"/>
      <c r="BH609" s="26"/>
      <c r="BI609" s="26"/>
      <c r="BJ609" s="26"/>
      <c r="BK609" s="26"/>
    </row>
    <row r="610" ht="14.25" customHeight="1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  <c r="AC610" s="26"/>
      <c r="AD610" s="26"/>
      <c r="AE610" s="26"/>
      <c r="AF610" s="26"/>
      <c r="AG610" s="26"/>
      <c r="AH610" s="26"/>
      <c r="AI610" s="26"/>
      <c r="AJ610" s="26"/>
      <c r="AK610" s="26"/>
      <c r="AL610" s="26"/>
      <c r="AM610" s="26"/>
      <c r="AN610" s="26"/>
      <c r="AO610" s="26"/>
      <c r="AP610" s="26"/>
      <c r="AQ610" s="26"/>
      <c r="AR610" s="26"/>
      <c r="AS610" s="26"/>
      <c r="AT610" s="26"/>
      <c r="AU610" s="26"/>
      <c r="AV610" s="26"/>
      <c r="AW610" s="26"/>
      <c r="AX610" s="26"/>
      <c r="AY610" s="26"/>
      <c r="AZ610" s="26"/>
      <c r="BA610" s="26"/>
      <c r="BB610" s="26"/>
      <c r="BC610" s="26"/>
      <c r="BD610" s="26"/>
      <c r="BE610" s="26"/>
      <c r="BF610" s="26"/>
      <c r="BG610" s="26"/>
      <c r="BH610" s="26"/>
      <c r="BI610" s="26"/>
      <c r="BJ610" s="26"/>
      <c r="BK610" s="26"/>
    </row>
    <row r="611" ht="14.25" customHeight="1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A611" s="26"/>
      <c r="AB611" s="26"/>
      <c r="AC611" s="26"/>
      <c r="AD611" s="26"/>
      <c r="AE611" s="26"/>
      <c r="AF611" s="26"/>
      <c r="AG611" s="26"/>
      <c r="AH611" s="26"/>
      <c r="AI611" s="26"/>
      <c r="AJ611" s="26"/>
      <c r="AK611" s="26"/>
      <c r="AL611" s="26"/>
      <c r="AM611" s="26"/>
      <c r="AN611" s="26"/>
      <c r="AO611" s="26"/>
      <c r="AP611" s="26"/>
      <c r="AQ611" s="26"/>
      <c r="AR611" s="26"/>
      <c r="AS611" s="26"/>
      <c r="AT611" s="26"/>
      <c r="AU611" s="26"/>
      <c r="AV611" s="26"/>
      <c r="AW611" s="26"/>
      <c r="AX611" s="26"/>
      <c r="AY611" s="26"/>
      <c r="AZ611" s="26"/>
      <c r="BA611" s="26"/>
      <c r="BB611" s="26"/>
      <c r="BC611" s="26"/>
      <c r="BD611" s="26"/>
      <c r="BE611" s="26"/>
      <c r="BF611" s="26"/>
      <c r="BG611" s="26"/>
      <c r="BH611" s="26"/>
      <c r="BI611" s="26"/>
      <c r="BJ611" s="26"/>
      <c r="BK611" s="26"/>
    </row>
    <row r="612" ht="14.25" customHeight="1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  <c r="AC612" s="26"/>
      <c r="AD612" s="26"/>
      <c r="AE612" s="26"/>
      <c r="AF612" s="26"/>
      <c r="AG612" s="26"/>
      <c r="AH612" s="26"/>
      <c r="AI612" s="26"/>
      <c r="AJ612" s="26"/>
      <c r="AK612" s="26"/>
      <c r="AL612" s="26"/>
      <c r="AM612" s="26"/>
      <c r="AN612" s="26"/>
      <c r="AO612" s="26"/>
      <c r="AP612" s="26"/>
      <c r="AQ612" s="26"/>
      <c r="AR612" s="26"/>
      <c r="AS612" s="26"/>
      <c r="AT612" s="26"/>
      <c r="AU612" s="26"/>
      <c r="AV612" s="26"/>
      <c r="AW612" s="26"/>
      <c r="AX612" s="26"/>
      <c r="AY612" s="26"/>
      <c r="AZ612" s="26"/>
      <c r="BA612" s="26"/>
      <c r="BB612" s="26"/>
      <c r="BC612" s="26"/>
      <c r="BD612" s="26"/>
      <c r="BE612" s="26"/>
      <c r="BF612" s="26"/>
      <c r="BG612" s="26"/>
      <c r="BH612" s="26"/>
      <c r="BI612" s="26"/>
      <c r="BJ612" s="26"/>
      <c r="BK612" s="26"/>
    </row>
    <row r="613" ht="14.25" customHeight="1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26"/>
      <c r="AB613" s="26"/>
      <c r="AC613" s="26"/>
      <c r="AD613" s="26"/>
      <c r="AE613" s="26"/>
      <c r="AF613" s="26"/>
      <c r="AG613" s="26"/>
      <c r="AH613" s="26"/>
      <c r="AI613" s="26"/>
      <c r="AJ613" s="26"/>
      <c r="AK613" s="26"/>
      <c r="AL613" s="26"/>
      <c r="AM613" s="26"/>
      <c r="AN613" s="26"/>
      <c r="AO613" s="26"/>
      <c r="AP613" s="26"/>
      <c r="AQ613" s="26"/>
      <c r="AR613" s="26"/>
      <c r="AS613" s="26"/>
      <c r="AT613" s="26"/>
      <c r="AU613" s="26"/>
      <c r="AV613" s="26"/>
      <c r="AW613" s="26"/>
      <c r="AX613" s="26"/>
      <c r="AY613" s="26"/>
      <c r="AZ613" s="26"/>
      <c r="BA613" s="26"/>
      <c r="BB613" s="26"/>
      <c r="BC613" s="26"/>
      <c r="BD613" s="26"/>
      <c r="BE613" s="26"/>
      <c r="BF613" s="26"/>
      <c r="BG613" s="26"/>
      <c r="BH613" s="26"/>
      <c r="BI613" s="26"/>
      <c r="BJ613" s="26"/>
      <c r="BK613" s="26"/>
    </row>
    <row r="614" ht="14.25" customHeight="1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  <c r="AC614" s="26"/>
      <c r="AD614" s="26"/>
      <c r="AE614" s="26"/>
      <c r="AF614" s="26"/>
      <c r="AG614" s="26"/>
      <c r="AH614" s="26"/>
      <c r="AI614" s="26"/>
      <c r="AJ614" s="26"/>
      <c r="AK614" s="26"/>
      <c r="AL614" s="26"/>
      <c r="AM614" s="26"/>
      <c r="AN614" s="26"/>
      <c r="AO614" s="26"/>
      <c r="AP614" s="26"/>
      <c r="AQ614" s="26"/>
      <c r="AR614" s="26"/>
      <c r="AS614" s="26"/>
      <c r="AT614" s="26"/>
      <c r="AU614" s="26"/>
      <c r="AV614" s="26"/>
      <c r="AW614" s="26"/>
      <c r="AX614" s="26"/>
      <c r="AY614" s="26"/>
      <c r="AZ614" s="26"/>
      <c r="BA614" s="26"/>
      <c r="BB614" s="26"/>
      <c r="BC614" s="26"/>
      <c r="BD614" s="26"/>
      <c r="BE614" s="26"/>
      <c r="BF614" s="26"/>
      <c r="BG614" s="26"/>
      <c r="BH614" s="26"/>
      <c r="BI614" s="26"/>
      <c r="BJ614" s="26"/>
      <c r="BK614" s="26"/>
    </row>
    <row r="615" ht="14.25" customHeight="1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A615" s="26"/>
      <c r="AB615" s="26"/>
      <c r="AC615" s="26"/>
      <c r="AD615" s="26"/>
      <c r="AE615" s="26"/>
      <c r="AF615" s="26"/>
      <c r="AG615" s="26"/>
      <c r="AH615" s="26"/>
      <c r="AI615" s="26"/>
      <c r="AJ615" s="26"/>
      <c r="AK615" s="26"/>
      <c r="AL615" s="26"/>
      <c r="AM615" s="26"/>
      <c r="AN615" s="26"/>
      <c r="AO615" s="26"/>
      <c r="AP615" s="26"/>
      <c r="AQ615" s="26"/>
      <c r="AR615" s="26"/>
      <c r="AS615" s="26"/>
      <c r="AT615" s="26"/>
      <c r="AU615" s="26"/>
      <c r="AV615" s="26"/>
      <c r="AW615" s="26"/>
      <c r="AX615" s="26"/>
      <c r="AY615" s="26"/>
      <c r="AZ615" s="26"/>
      <c r="BA615" s="26"/>
      <c r="BB615" s="26"/>
      <c r="BC615" s="26"/>
      <c r="BD615" s="26"/>
      <c r="BE615" s="26"/>
      <c r="BF615" s="26"/>
      <c r="BG615" s="26"/>
      <c r="BH615" s="26"/>
      <c r="BI615" s="26"/>
      <c r="BJ615" s="26"/>
      <c r="BK615" s="26"/>
    </row>
    <row r="616" ht="14.25" customHeight="1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  <c r="AC616" s="26"/>
      <c r="AD616" s="26"/>
      <c r="AE616" s="26"/>
      <c r="AF616" s="26"/>
      <c r="AG616" s="26"/>
      <c r="AH616" s="26"/>
      <c r="AI616" s="26"/>
      <c r="AJ616" s="26"/>
      <c r="AK616" s="26"/>
      <c r="AL616" s="26"/>
      <c r="AM616" s="26"/>
      <c r="AN616" s="26"/>
      <c r="AO616" s="26"/>
      <c r="AP616" s="26"/>
      <c r="AQ616" s="26"/>
      <c r="AR616" s="26"/>
      <c r="AS616" s="26"/>
      <c r="AT616" s="26"/>
      <c r="AU616" s="26"/>
      <c r="AV616" s="26"/>
      <c r="AW616" s="26"/>
      <c r="AX616" s="26"/>
      <c r="AY616" s="26"/>
      <c r="AZ616" s="26"/>
      <c r="BA616" s="26"/>
      <c r="BB616" s="26"/>
      <c r="BC616" s="26"/>
      <c r="BD616" s="26"/>
      <c r="BE616" s="26"/>
      <c r="BF616" s="26"/>
      <c r="BG616" s="26"/>
      <c r="BH616" s="26"/>
      <c r="BI616" s="26"/>
      <c r="BJ616" s="26"/>
      <c r="BK616" s="26"/>
    </row>
    <row r="617" ht="14.25" customHeight="1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  <c r="AB617" s="26"/>
      <c r="AC617" s="26"/>
      <c r="AD617" s="26"/>
      <c r="AE617" s="26"/>
      <c r="AF617" s="26"/>
      <c r="AG617" s="26"/>
      <c r="AH617" s="26"/>
      <c r="AI617" s="26"/>
      <c r="AJ617" s="26"/>
      <c r="AK617" s="26"/>
      <c r="AL617" s="26"/>
      <c r="AM617" s="26"/>
      <c r="AN617" s="26"/>
      <c r="AO617" s="26"/>
      <c r="AP617" s="26"/>
      <c r="AQ617" s="26"/>
      <c r="AR617" s="26"/>
      <c r="AS617" s="26"/>
      <c r="AT617" s="26"/>
      <c r="AU617" s="26"/>
      <c r="AV617" s="26"/>
      <c r="AW617" s="26"/>
      <c r="AX617" s="26"/>
      <c r="AY617" s="26"/>
      <c r="AZ617" s="26"/>
      <c r="BA617" s="26"/>
      <c r="BB617" s="26"/>
      <c r="BC617" s="26"/>
      <c r="BD617" s="26"/>
      <c r="BE617" s="26"/>
      <c r="BF617" s="26"/>
      <c r="BG617" s="26"/>
      <c r="BH617" s="26"/>
      <c r="BI617" s="26"/>
      <c r="BJ617" s="26"/>
      <c r="BK617" s="26"/>
    </row>
    <row r="618" ht="14.25" customHeight="1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  <c r="AC618" s="26"/>
      <c r="AD618" s="26"/>
      <c r="AE618" s="26"/>
      <c r="AF618" s="26"/>
      <c r="AG618" s="26"/>
      <c r="AH618" s="26"/>
      <c r="AI618" s="26"/>
      <c r="AJ618" s="26"/>
      <c r="AK618" s="26"/>
      <c r="AL618" s="26"/>
      <c r="AM618" s="26"/>
      <c r="AN618" s="26"/>
      <c r="AO618" s="26"/>
      <c r="AP618" s="26"/>
      <c r="AQ618" s="26"/>
      <c r="AR618" s="26"/>
      <c r="AS618" s="26"/>
      <c r="AT618" s="26"/>
      <c r="AU618" s="26"/>
      <c r="AV618" s="26"/>
      <c r="AW618" s="26"/>
      <c r="AX618" s="26"/>
      <c r="AY618" s="26"/>
      <c r="AZ618" s="26"/>
      <c r="BA618" s="26"/>
      <c r="BB618" s="26"/>
      <c r="BC618" s="26"/>
      <c r="BD618" s="26"/>
      <c r="BE618" s="26"/>
      <c r="BF618" s="26"/>
      <c r="BG618" s="26"/>
      <c r="BH618" s="26"/>
      <c r="BI618" s="26"/>
      <c r="BJ618" s="26"/>
      <c r="BK618" s="26"/>
    </row>
    <row r="619" ht="14.25" customHeight="1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  <c r="AB619" s="26"/>
      <c r="AC619" s="26"/>
      <c r="AD619" s="26"/>
      <c r="AE619" s="26"/>
      <c r="AF619" s="26"/>
      <c r="AG619" s="26"/>
      <c r="AH619" s="26"/>
      <c r="AI619" s="26"/>
      <c r="AJ619" s="26"/>
      <c r="AK619" s="26"/>
      <c r="AL619" s="26"/>
      <c r="AM619" s="26"/>
      <c r="AN619" s="26"/>
      <c r="AO619" s="26"/>
      <c r="AP619" s="26"/>
      <c r="AQ619" s="26"/>
      <c r="AR619" s="26"/>
      <c r="AS619" s="26"/>
      <c r="AT619" s="26"/>
      <c r="AU619" s="26"/>
      <c r="AV619" s="26"/>
      <c r="AW619" s="26"/>
      <c r="AX619" s="26"/>
      <c r="AY619" s="26"/>
      <c r="AZ619" s="26"/>
      <c r="BA619" s="26"/>
      <c r="BB619" s="26"/>
      <c r="BC619" s="26"/>
      <c r="BD619" s="26"/>
      <c r="BE619" s="26"/>
      <c r="BF619" s="26"/>
      <c r="BG619" s="26"/>
      <c r="BH619" s="26"/>
      <c r="BI619" s="26"/>
      <c r="BJ619" s="26"/>
      <c r="BK619" s="26"/>
    </row>
    <row r="620" ht="14.25" customHeight="1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  <c r="AC620" s="26"/>
      <c r="AD620" s="26"/>
      <c r="AE620" s="26"/>
      <c r="AF620" s="26"/>
      <c r="AG620" s="26"/>
      <c r="AH620" s="26"/>
      <c r="AI620" s="26"/>
      <c r="AJ620" s="26"/>
      <c r="AK620" s="26"/>
      <c r="AL620" s="26"/>
      <c r="AM620" s="26"/>
      <c r="AN620" s="26"/>
      <c r="AO620" s="26"/>
      <c r="AP620" s="26"/>
      <c r="AQ620" s="26"/>
      <c r="AR620" s="26"/>
      <c r="AS620" s="26"/>
      <c r="AT620" s="26"/>
      <c r="AU620" s="26"/>
      <c r="AV620" s="26"/>
      <c r="AW620" s="26"/>
      <c r="AX620" s="26"/>
      <c r="AY620" s="26"/>
      <c r="AZ620" s="26"/>
      <c r="BA620" s="26"/>
      <c r="BB620" s="26"/>
      <c r="BC620" s="26"/>
      <c r="BD620" s="26"/>
      <c r="BE620" s="26"/>
      <c r="BF620" s="26"/>
      <c r="BG620" s="26"/>
      <c r="BH620" s="26"/>
      <c r="BI620" s="26"/>
      <c r="BJ620" s="26"/>
      <c r="BK620" s="26"/>
    </row>
    <row r="621" ht="14.25" customHeight="1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  <c r="AB621" s="26"/>
      <c r="AC621" s="26"/>
      <c r="AD621" s="26"/>
      <c r="AE621" s="26"/>
      <c r="AF621" s="26"/>
      <c r="AG621" s="26"/>
      <c r="AH621" s="26"/>
      <c r="AI621" s="26"/>
      <c r="AJ621" s="26"/>
      <c r="AK621" s="26"/>
      <c r="AL621" s="26"/>
      <c r="AM621" s="26"/>
      <c r="AN621" s="26"/>
      <c r="AO621" s="26"/>
      <c r="AP621" s="26"/>
      <c r="AQ621" s="26"/>
      <c r="AR621" s="26"/>
      <c r="AS621" s="26"/>
      <c r="AT621" s="26"/>
      <c r="AU621" s="26"/>
      <c r="AV621" s="26"/>
      <c r="AW621" s="26"/>
      <c r="AX621" s="26"/>
      <c r="AY621" s="26"/>
      <c r="AZ621" s="26"/>
      <c r="BA621" s="26"/>
      <c r="BB621" s="26"/>
      <c r="BC621" s="26"/>
      <c r="BD621" s="26"/>
      <c r="BE621" s="26"/>
      <c r="BF621" s="26"/>
      <c r="BG621" s="26"/>
      <c r="BH621" s="26"/>
      <c r="BI621" s="26"/>
      <c r="BJ621" s="26"/>
      <c r="BK621" s="26"/>
    </row>
    <row r="622" ht="14.25" customHeight="1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  <c r="AC622" s="26"/>
      <c r="AD622" s="26"/>
      <c r="AE622" s="26"/>
      <c r="AF622" s="26"/>
      <c r="AG622" s="26"/>
      <c r="AH622" s="26"/>
      <c r="AI622" s="26"/>
      <c r="AJ622" s="26"/>
      <c r="AK622" s="26"/>
      <c r="AL622" s="26"/>
      <c r="AM622" s="26"/>
      <c r="AN622" s="26"/>
      <c r="AO622" s="26"/>
      <c r="AP622" s="26"/>
      <c r="AQ622" s="26"/>
      <c r="AR622" s="26"/>
      <c r="AS622" s="26"/>
      <c r="AT622" s="26"/>
      <c r="AU622" s="26"/>
      <c r="AV622" s="26"/>
      <c r="AW622" s="26"/>
      <c r="AX622" s="26"/>
      <c r="AY622" s="26"/>
      <c r="AZ622" s="26"/>
      <c r="BA622" s="26"/>
      <c r="BB622" s="26"/>
      <c r="BC622" s="26"/>
      <c r="BD622" s="26"/>
      <c r="BE622" s="26"/>
      <c r="BF622" s="26"/>
      <c r="BG622" s="26"/>
      <c r="BH622" s="26"/>
      <c r="BI622" s="26"/>
      <c r="BJ622" s="26"/>
      <c r="BK622" s="26"/>
    </row>
    <row r="623" ht="14.25" customHeight="1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26"/>
      <c r="AB623" s="26"/>
      <c r="AC623" s="26"/>
      <c r="AD623" s="26"/>
      <c r="AE623" s="26"/>
      <c r="AF623" s="26"/>
      <c r="AG623" s="26"/>
      <c r="AH623" s="26"/>
      <c r="AI623" s="26"/>
      <c r="AJ623" s="26"/>
      <c r="AK623" s="26"/>
      <c r="AL623" s="26"/>
      <c r="AM623" s="26"/>
      <c r="AN623" s="26"/>
      <c r="AO623" s="26"/>
      <c r="AP623" s="26"/>
      <c r="AQ623" s="26"/>
      <c r="AR623" s="26"/>
      <c r="AS623" s="26"/>
      <c r="AT623" s="26"/>
      <c r="AU623" s="26"/>
      <c r="AV623" s="26"/>
      <c r="AW623" s="26"/>
      <c r="AX623" s="26"/>
      <c r="AY623" s="26"/>
      <c r="AZ623" s="26"/>
      <c r="BA623" s="26"/>
      <c r="BB623" s="26"/>
      <c r="BC623" s="26"/>
      <c r="BD623" s="26"/>
      <c r="BE623" s="26"/>
      <c r="BF623" s="26"/>
      <c r="BG623" s="26"/>
      <c r="BH623" s="26"/>
      <c r="BI623" s="26"/>
      <c r="BJ623" s="26"/>
      <c r="BK623" s="26"/>
    </row>
    <row r="624" ht="14.25" customHeight="1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  <c r="AC624" s="26"/>
      <c r="AD624" s="26"/>
      <c r="AE624" s="26"/>
      <c r="AF624" s="26"/>
      <c r="AG624" s="26"/>
      <c r="AH624" s="26"/>
      <c r="AI624" s="26"/>
      <c r="AJ624" s="26"/>
      <c r="AK624" s="26"/>
      <c r="AL624" s="26"/>
      <c r="AM624" s="26"/>
      <c r="AN624" s="26"/>
      <c r="AO624" s="26"/>
      <c r="AP624" s="26"/>
      <c r="AQ624" s="26"/>
      <c r="AR624" s="26"/>
      <c r="AS624" s="26"/>
      <c r="AT624" s="26"/>
      <c r="AU624" s="26"/>
      <c r="AV624" s="26"/>
      <c r="AW624" s="26"/>
      <c r="AX624" s="26"/>
      <c r="AY624" s="26"/>
      <c r="AZ624" s="26"/>
      <c r="BA624" s="26"/>
      <c r="BB624" s="26"/>
      <c r="BC624" s="26"/>
      <c r="BD624" s="26"/>
      <c r="BE624" s="26"/>
      <c r="BF624" s="26"/>
      <c r="BG624" s="26"/>
      <c r="BH624" s="26"/>
      <c r="BI624" s="26"/>
      <c r="BJ624" s="26"/>
      <c r="BK624" s="26"/>
    </row>
    <row r="625" ht="14.25" customHeight="1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  <c r="AC625" s="26"/>
      <c r="AD625" s="26"/>
      <c r="AE625" s="26"/>
      <c r="AF625" s="26"/>
      <c r="AG625" s="26"/>
      <c r="AH625" s="26"/>
      <c r="AI625" s="26"/>
      <c r="AJ625" s="26"/>
      <c r="AK625" s="26"/>
      <c r="AL625" s="26"/>
      <c r="AM625" s="26"/>
      <c r="AN625" s="26"/>
      <c r="AO625" s="26"/>
      <c r="AP625" s="26"/>
      <c r="AQ625" s="26"/>
      <c r="AR625" s="26"/>
      <c r="AS625" s="26"/>
      <c r="AT625" s="26"/>
      <c r="AU625" s="26"/>
      <c r="AV625" s="26"/>
      <c r="AW625" s="26"/>
      <c r="AX625" s="26"/>
      <c r="AY625" s="26"/>
      <c r="AZ625" s="26"/>
      <c r="BA625" s="26"/>
      <c r="BB625" s="26"/>
      <c r="BC625" s="26"/>
      <c r="BD625" s="26"/>
      <c r="BE625" s="26"/>
      <c r="BF625" s="26"/>
      <c r="BG625" s="26"/>
      <c r="BH625" s="26"/>
      <c r="BI625" s="26"/>
      <c r="BJ625" s="26"/>
      <c r="BK625" s="26"/>
    </row>
    <row r="626" ht="14.25" customHeight="1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  <c r="AC626" s="26"/>
      <c r="AD626" s="26"/>
      <c r="AE626" s="26"/>
      <c r="AF626" s="26"/>
      <c r="AG626" s="26"/>
      <c r="AH626" s="26"/>
      <c r="AI626" s="26"/>
      <c r="AJ626" s="26"/>
      <c r="AK626" s="26"/>
      <c r="AL626" s="26"/>
      <c r="AM626" s="26"/>
      <c r="AN626" s="26"/>
      <c r="AO626" s="26"/>
      <c r="AP626" s="26"/>
      <c r="AQ626" s="26"/>
      <c r="AR626" s="26"/>
      <c r="AS626" s="26"/>
      <c r="AT626" s="26"/>
      <c r="AU626" s="26"/>
      <c r="AV626" s="26"/>
      <c r="AW626" s="26"/>
      <c r="AX626" s="26"/>
      <c r="AY626" s="26"/>
      <c r="AZ626" s="26"/>
      <c r="BA626" s="26"/>
      <c r="BB626" s="26"/>
      <c r="BC626" s="26"/>
      <c r="BD626" s="26"/>
      <c r="BE626" s="26"/>
      <c r="BF626" s="26"/>
      <c r="BG626" s="26"/>
      <c r="BH626" s="26"/>
      <c r="BI626" s="26"/>
      <c r="BJ626" s="26"/>
      <c r="BK626" s="26"/>
    </row>
    <row r="627" ht="14.25" customHeight="1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  <c r="AC627" s="26"/>
      <c r="AD627" s="26"/>
      <c r="AE627" s="26"/>
      <c r="AF627" s="26"/>
      <c r="AG627" s="26"/>
      <c r="AH627" s="26"/>
      <c r="AI627" s="26"/>
      <c r="AJ627" s="26"/>
      <c r="AK627" s="26"/>
      <c r="AL627" s="26"/>
      <c r="AM627" s="26"/>
      <c r="AN627" s="26"/>
      <c r="AO627" s="26"/>
      <c r="AP627" s="26"/>
      <c r="AQ627" s="26"/>
      <c r="AR627" s="26"/>
      <c r="AS627" s="26"/>
      <c r="AT627" s="26"/>
      <c r="AU627" s="26"/>
      <c r="AV627" s="26"/>
      <c r="AW627" s="26"/>
      <c r="AX627" s="26"/>
      <c r="AY627" s="26"/>
      <c r="AZ627" s="26"/>
      <c r="BA627" s="26"/>
      <c r="BB627" s="26"/>
      <c r="BC627" s="26"/>
      <c r="BD627" s="26"/>
      <c r="BE627" s="26"/>
      <c r="BF627" s="26"/>
      <c r="BG627" s="26"/>
      <c r="BH627" s="26"/>
      <c r="BI627" s="26"/>
      <c r="BJ627" s="26"/>
      <c r="BK627" s="26"/>
    </row>
    <row r="628" ht="14.25" customHeight="1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  <c r="AC628" s="26"/>
      <c r="AD628" s="26"/>
      <c r="AE628" s="26"/>
      <c r="AF628" s="26"/>
      <c r="AG628" s="26"/>
      <c r="AH628" s="26"/>
      <c r="AI628" s="26"/>
      <c r="AJ628" s="26"/>
      <c r="AK628" s="26"/>
      <c r="AL628" s="26"/>
      <c r="AM628" s="26"/>
      <c r="AN628" s="26"/>
      <c r="AO628" s="26"/>
      <c r="AP628" s="26"/>
      <c r="AQ628" s="26"/>
      <c r="AR628" s="26"/>
      <c r="AS628" s="26"/>
      <c r="AT628" s="26"/>
      <c r="AU628" s="26"/>
      <c r="AV628" s="26"/>
      <c r="AW628" s="26"/>
      <c r="AX628" s="26"/>
      <c r="AY628" s="26"/>
      <c r="AZ628" s="26"/>
      <c r="BA628" s="26"/>
      <c r="BB628" s="26"/>
      <c r="BC628" s="26"/>
      <c r="BD628" s="26"/>
      <c r="BE628" s="26"/>
      <c r="BF628" s="26"/>
      <c r="BG628" s="26"/>
      <c r="BH628" s="26"/>
      <c r="BI628" s="26"/>
      <c r="BJ628" s="26"/>
      <c r="BK628" s="26"/>
    </row>
    <row r="629" ht="14.25" customHeight="1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  <c r="AB629" s="26"/>
      <c r="AC629" s="26"/>
      <c r="AD629" s="26"/>
      <c r="AE629" s="26"/>
      <c r="AF629" s="26"/>
      <c r="AG629" s="26"/>
      <c r="AH629" s="26"/>
      <c r="AI629" s="26"/>
      <c r="AJ629" s="26"/>
      <c r="AK629" s="26"/>
      <c r="AL629" s="26"/>
      <c r="AM629" s="26"/>
      <c r="AN629" s="26"/>
      <c r="AO629" s="26"/>
      <c r="AP629" s="26"/>
      <c r="AQ629" s="26"/>
      <c r="AR629" s="26"/>
      <c r="AS629" s="26"/>
      <c r="AT629" s="26"/>
      <c r="AU629" s="26"/>
      <c r="AV629" s="26"/>
      <c r="AW629" s="26"/>
      <c r="AX629" s="26"/>
      <c r="AY629" s="26"/>
      <c r="AZ629" s="26"/>
      <c r="BA629" s="26"/>
      <c r="BB629" s="26"/>
      <c r="BC629" s="26"/>
      <c r="BD629" s="26"/>
      <c r="BE629" s="26"/>
      <c r="BF629" s="26"/>
      <c r="BG629" s="26"/>
      <c r="BH629" s="26"/>
      <c r="BI629" s="26"/>
      <c r="BJ629" s="26"/>
      <c r="BK629" s="26"/>
    </row>
    <row r="630" ht="14.25" customHeight="1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  <c r="AC630" s="26"/>
      <c r="AD630" s="26"/>
      <c r="AE630" s="26"/>
      <c r="AF630" s="26"/>
      <c r="AG630" s="26"/>
      <c r="AH630" s="26"/>
      <c r="AI630" s="26"/>
      <c r="AJ630" s="26"/>
      <c r="AK630" s="26"/>
      <c r="AL630" s="26"/>
      <c r="AM630" s="26"/>
      <c r="AN630" s="26"/>
      <c r="AO630" s="26"/>
      <c r="AP630" s="26"/>
      <c r="AQ630" s="26"/>
      <c r="AR630" s="26"/>
      <c r="AS630" s="26"/>
      <c r="AT630" s="26"/>
      <c r="AU630" s="26"/>
      <c r="AV630" s="26"/>
      <c r="AW630" s="26"/>
      <c r="AX630" s="26"/>
      <c r="AY630" s="26"/>
      <c r="AZ630" s="26"/>
      <c r="BA630" s="26"/>
      <c r="BB630" s="26"/>
      <c r="BC630" s="26"/>
      <c r="BD630" s="26"/>
      <c r="BE630" s="26"/>
      <c r="BF630" s="26"/>
      <c r="BG630" s="26"/>
      <c r="BH630" s="26"/>
      <c r="BI630" s="26"/>
      <c r="BJ630" s="26"/>
      <c r="BK630" s="26"/>
    </row>
    <row r="631" ht="14.25" customHeight="1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A631" s="26"/>
      <c r="AB631" s="26"/>
      <c r="AC631" s="26"/>
      <c r="AD631" s="26"/>
      <c r="AE631" s="26"/>
      <c r="AF631" s="26"/>
      <c r="AG631" s="26"/>
      <c r="AH631" s="26"/>
      <c r="AI631" s="26"/>
      <c r="AJ631" s="26"/>
      <c r="AK631" s="26"/>
      <c r="AL631" s="26"/>
      <c r="AM631" s="26"/>
      <c r="AN631" s="26"/>
      <c r="AO631" s="26"/>
      <c r="AP631" s="26"/>
      <c r="AQ631" s="26"/>
      <c r="AR631" s="26"/>
      <c r="AS631" s="26"/>
      <c r="AT631" s="26"/>
      <c r="AU631" s="26"/>
      <c r="AV631" s="26"/>
      <c r="AW631" s="26"/>
      <c r="AX631" s="26"/>
      <c r="AY631" s="26"/>
      <c r="AZ631" s="26"/>
      <c r="BA631" s="26"/>
      <c r="BB631" s="26"/>
      <c r="BC631" s="26"/>
      <c r="BD631" s="26"/>
      <c r="BE631" s="26"/>
      <c r="BF631" s="26"/>
      <c r="BG631" s="26"/>
      <c r="BH631" s="26"/>
      <c r="BI631" s="26"/>
      <c r="BJ631" s="26"/>
      <c r="BK631" s="26"/>
    </row>
    <row r="632" ht="14.25" customHeight="1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  <c r="AC632" s="26"/>
      <c r="AD632" s="26"/>
      <c r="AE632" s="26"/>
      <c r="AF632" s="26"/>
      <c r="AG632" s="26"/>
      <c r="AH632" s="26"/>
      <c r="AI632" s="26"/>
      <c r="AJ632" s="26"/>
      <c r="AK632" s="26"/>
      <c r="AL632" s="26"/>
      <c r="AM632" s="26"/>
      <c r="AN632" s="26"/>
      <c r="AO632" s="26"/>
      <c r="AP632" s="26"/>
      <c r="AQ632" s="26"/>
      <c r="AR632" s="26"/>
      <c r="AS632" s="26"/>
      <c r="AT632" s="26"/>
      <c r="AU632" s="26"/>
      <c r="AV632" s="26"/>
      <c r="AW632" s="26"/>
      <c r="AX632" s="26"/>
      <c r="AY632" s="26"/>
      <c r="AZ632" s="26"/>
      <c r="BA632" s="26"/>
      <c r="BB632" s="26"/>
      <c r="BC632" s="26"/>
      <c r="BD632" s="26"/>
      <c r="BE632" s="26"/>
      <c r="BF632" s="26"/>
      <c r="BG632" s="26"/>
      <c r="BH632" s="26"/>
      <c r="BI632" s="26"/>
      <c r="BJ632" s="26"/>
      <c r="BK632" s="26"/>
    </row>
    <row r="633" ht="14.25" customHeight="1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26"/>
      <c r="AB633" s="26"/>
      <c r="AC633" s="26"/>
      <c r="AD633" s="26"/>
      <c r="AE633" s="26"/>
      <c r="AF633" s="26"/>
      <c r="AG633" s="26"/>
      <c r="AH633" s="26"/>
      <c r="AI633" s="26"/>
      <c r="AJ633" s="26"/>
      <c r="AK633" s="26"/>
      <c r="AL633" s="26"/>
      <c r="AM633" s="26"/>
      <c r="AN633" s="26"/>
      <c r="AO633" s="26"/>
      <c r="AP633" s="26"/>
      <c r="AQ633" s="26"/>
      <c r="AR633" s="26"/>
      <c r="AS633" s="26"/>
      <c r="AT633" s="26"/>
      <c r="AU633" s="26"/>
      <c r="AV633" s="26"/>
      <c r="AW633" s="26"/>
      <c r="AX633" s="26"/>
      <c r="AY633" s="26"/>
      <c r="AZ633" s="26"/>
      <c r="BA633" s="26"/>
      <c r="BB633" s="26"/>
      <c r="BC633" s="26"/>
      <c r="BD633" s="26"/>
      <c r="BE633" s="26"/>
      <c r="BF633" s="26"/>
      <c r="BG633" s="26"/>
      <c r="BH633" s="26"/>
      <c r="BI633" s="26"/>
      <c r="BJ633" s="26"/>
      <c r="BK633" s="26"/>
    </row>
    <row r="634" ht="14.25" customHeight="1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  <c r="AC634" s="26"/>
      <c r="AD634" s="26"/>
      <c r="AE634" s="26"/>
      <c r="AF634" s="26"/>
      <c r="AG634" s="26"/>
      <c r="AH634" s="26"/>
      <c r="AI634" s="26"/>
      <c r="AJ634" s="26"/>
      <c r="AK634" s="26"/>
      <c r="AL634" s="26"/>
      <c r="AM634" s="26"/>
      <c r="AN634" s="26"/>
      <c r="AO634" s="26"/>
      <c r="AP634" s="26"/>
      <c r="AQ634" s="26"/>
      <c r="AR634" s="26"/>
      <c r="AS634" s="26"/>
      <c r="AT634" s="26"/>
      <c r="AU634" s="26"/>
      <c r="AV634" s="26"/>
      <c r="AW634" s="26"/>
      <c r="AX634" s="26"/>
      <c r="AY634" s="26"/>
      <c r="AZ634" s="26"/>
      <c r="BA634" s="26"/>
      <c r="BB634" s="26"/>
      <c r="BC634" s="26"/>
      <c r="BD634" s="26"/>
      <c r="BE634" s="26"/>
      <c r="BF634" s="26"/>
      <c r="BG634" s="26"/>
      <c r="BH634" s="26"/>
      <c r="BI634" s="26"/>
      <c r="BJ634" s="26"/>
      <c r="BK634" s="26"/>
    </row>
    <row r="635" ht="14.25" customHeight="1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  <c r="AC635" s="26"/>
      <c r="AD635" s="26"/>
      <c r="AE635" s="26"/>
      <c r="AF635" s="26"/>
      <c r="AG635" s="26"/>
      <c r="AH635" s="26"/>
      <c r="AI635" s="26"/>
      <c r="AJ635" s="26"/>
      <c r="AK635" s="26"/>
      <c r="AL635" s="26"/>
      <c r="AM635" s="26"/>
      <c r="AN635" s="26"/>
      <c r="AO635" s="26"/>
      <c r="AP635" s="26"/>
      <c r="AQ635" s="26"/>
      <c r="AR635" s="26"/>
      <c r="AS635" s="26"/>
      <c r="AT635" s="26"/>
      <c r="AU635" s="26"/>
      <c r="AV635" s="26"/>
      <c r="AW635" s="26"/>
      <c r="AX635" s="26"/>
      <c r="AY635" s="26"/>
      <c r="AZ635" s="26"/>
      <c r="BA635" s="26"/>
      <c r="BB635" s="26"/>
      <c r="BC635" s="26"/>
      <c r="BD635" s="26"/>
      <c r="BE635" s="26"/>
      <c r="BF635" s="26"/>
      <c r="BG635" s="26"/>
      <c r="BH635" s="26"/>
      <c r="BI635" s="26"/>
      <c r="BJ635" s="26"/>
      <c r="BK635" s="26"/>
    </row>
    <row r="636" ht="14.25" customHeight="1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  <c r="AC636" s="26"/>
      <c r="AD636" s="26"/>
      <c r="AE636" s="26"/>
      <c r="AF636" s="26"/>
      <c r="AG636" s="26"/>
      <c r="AH636" s="26"/>
      <c r="AI636" s="26"/>
      <c r="AJ636" s="26"/>
      <c r="AK636" s="26"/>
      <c r="AL636" s="26"/>
      <c r="AM636" s="26"/>
      <c r="AN636" s="26"/>
      <c r="AO636" s="26"/>
      <c r="AP636" s="26"/>
      <c r="AQ636" s="26"/>
      <c r="AR636" s="26"/>
      <c r="AS636" s="26"/>
      <c r="AT636" s="26"/>
      <c r="AU636" s="26"/>
      <c r="AV636" s="26"/>
      <c r="AW636" s="26"/>
      <c r="AX636" s="26"/>
      <c r="AY636" s="26"/>
      <c r="AZ636" s="26"/>
      <c r="BA636" s="26"/>
      <c r="BB636" s="26"/>
      <c r="BC636" s="26"/>
      <c r="BD636" s="26"/>
      <c r="BE636" s="26"/>
      <c r="BF636" s="26"/>
      <c r="BG636" s="26"/>
      <c r="BH636" s="26"/>
      <c r="BI636" s="26"/>
      <c r="BJ636" s="26"/>
      <c r="BK636" s="26"/>
    </row>
    <row r="637" ht="14.25" customHeight="1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  <c r="AC637" s="26"/>
      <c r="AD637" s="26"/>
      <c r="AE637" s="26"/>
      <c r="AF637" s="26"/>
      <c r="AG637" s="26"/>
      <c r="AH637" s="26"/>
      <c r="AI637" s="26"/>
      <c r="AJ637" s="26"/>
      <c r="AK637" s="26"/>
      <c r="AL637" s="26"/>
      <c r="AM637" s="26"/>
      <c r="AN637" s="26"/>
      <c r="AO637" s="26"/>
      <c r="AP637" s="26"/>
      <c r="AQ637" s="26"/>
      <c r="AR637" s="26"/>
      <c r="AS637" s="26"/>
      <c r="AT637" s="26"/>
      <c r="AU637" s="26"/>
      <c r="AV637" s="26"/>
      <c r="AW637" s="26"/>
      <c r="AX637" s="26"/>
      <c r="AY637" s="26"/>
      <c r="AZ637" s="26"/>
      <c r="BA637" s="26"/>
      <c r="BB637" s="26"/>
      <c r="BC637" s="26"/>
      <c r="BD637" s="26"/>
      <c r="BE637" s="26"/>
      <c r="BF637" s="26"/>
      <c r="BG637" s="26"/>
      <c r="BH637" s="26"/>
      <c r="BI637" s="26"/>
      <c r="BJ637" s="26"/>
      <c r="BK637" s="26"/>
    </row>
    <row r="638" ht="14.25" customHeight="1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  <c r="AC638" s="26"/>
      <c r="AD638" s="26"/>
      <c r="AE638" s="26"/>
      <c r="AF638" s="26"/>
      <c r="AG638" s="26"/>
      <c r="AH638" s="26"/>
      <c r="AI638" s="26"/>
      <c r="AJ638" s="26"/>
      <c r="AK638" s="26"/>
      <c r="AL638" s="26"/>
      <c r="AM638" s="26"/>
      <c r="AN638" s="26"/>
      <c r="AO638" s="26"/>
      <c r="AP638" s="26"/>
      <c r="AQ638" s="26"/>
      <c r="AR638" s="26"/>
      <c r="AS638" s="26"/>
      <c r="AT638" s="26"/>
      <c r="AU638" s="26"/>
      <c r="AV638" s="26"/>
      <c r="AW638" s="26"/>
      <c r="AX638" s="26"/>
      <c r="AY638" s="26"/>
      <c r="AZ638" s="26"/>
      <c r="BA638" s="26"/>
      <c r="BB638" s="26"/>
      <c r="BC638" s="26"/>
      <c r="BD638" s="26"/>
      <c r="BE638" s="26"/>
      <c r="BF638" s="26"/>
      <c r="BG638" s="26"/>
      <c r="BH638" s="26"/>
      <c r="BI638" s="26"/>
      <c r="BJ638" s="26"/>
      <c r="BK638" s="26"/>
    </row>
    <row r="639" ht="14.25" customHeight="1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  <c r="AC639" s="26"/>
      <c r="AD639" s="26"/>
      <c r="AE639" s="26"/>
      <c r="AF639" s="26"/>
      <c r="AG639" s="26"/>
      <c r="AH639" s="26"/>
      <c r="AI639" s="26"/>
      <c r="AJ639" s="26"/>
      <c r="AK639" s="26"/>
      <c r="AL639" s="26"/>
      <c r="AM639" s="26"/>
      <c r="AN639" s="26"/>
      <c r="AO639" s="26"/>
      <c r="AP639" s="26"/>
      <c r="AQ639" s="26"/>
      <c r="AR639" s="26"/>
      <c r="AS639" s="26"/>
      <c r="AT639" s="26"/>
      <c r="AU639" s="26"/>
      <c r="AV639" s="26"/>
      <c r="AW639" s="26"/>
      <c r="AX639" s="26"/>
      <c r="AY639" s="26"/>
      <c r="AZ639" s="26"/>
      <c r="BA639" s="26"/>
      <c r="BB639" s="26"/>
      <c r="BC639" s="26"/>
      <c r="BD639" s="26"/>
      <c r="BE639" s="26"/>
      <c r="BF639" s="26"/>
      <c r="BG639" s="26"/>
      <c r="BH639" s="26"/>
      <c r="BI639" s="26"/>
      <c r="BJ639" s="26"/>
      <c r="BK639" s="26"/>
    </row>
    <row r="640" ht="14.25" customHeight="1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  <c r="AC640" s="26"/>
      <c r="AD640" s="26"/>
      <c r="AE640" s="26"/>
      <c r="AF640" s="26"/>
      <c r="AG640" s="26"/>
      <c r="AH640" s="26"/>
      <c r="AI640" s="26"/>
      <c r="AJ640" s="26"/>
      <c r="AK640" s="26"/>
      <c r="AL640" s="26"/>
      <c r="AM640" s="26"/>
      <c r="AN640" s="26"/>
      <c r="AO640" s="26"/>
      <c r="AP640" s="26"/>
      <c r="AQ640" s="26"/>
      <c r="AR640" s="26"/>
      <c r="AS640" s="26"/>
      <c r="AT640" s="26"/>
      <c r="AU640" s="26"/>
      <c r="AV640" s="26"/>
      <c r="AW640" s="26"/>
      <c r="AX640" s="26"/>
      <c r="AY640" s="26"/>
      <c r="AZ640" s="26"/>
      <c r="BA640" s="26"/>
      <c r="BB640" s="26"/>
      <c r="BC640" s="26"/>
      <c r="BD640" s="26"/>
      <c r="BE640" s="26"/>
      <c r="BF640" s="26"/>
      <c r="BG640" s="26"/>
      <c r="BH640" s="26"/>
      <c r="BI640" s="26"/>
      <c r="BJ640" s="26"/>
      <c r="BK640" s="26"/>
    </row>
    <row r="641" ht="14.25" customHeight="1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  <c r="AC641" s="26"/>
      <c r="AD641" s="26"/>
      <c r="AE641" s="26"/>
      <c r="AF641" s="26"/>
      <c r="AG641" s="26"/>
      <c r="AH641" s="26"/>
      <c r="AI641" s="26"/>
      <c r="AJ641" s="26"/>
      <c r="AK641" s="26"/>
      <c r="AL641" s="26"/>
      <c r="AM641" s="26"/>
      <c r="AN641" s="26"/>
      <c r="AO641" s="26"/>
      <c r="AP641" s="26"/>
      <c r="AQ641" s="26"/>
      <c r="AR641" s="26"/>
      <c r="AS641" s="26"/>
      <c r="AT641" s="26"/>
      <c r="AU641" s="26"/>
      <c r="AV641" s="26"/>
      <c r="AW641" s="26"/>
      <c r="AX641" s="26"/>
      <c r="AY641" s="26"/>
      <c r="AZ641" s="26"/>
      <c r="BA641" s="26"/>
      <c r="BB641" s="26"/>
      <c r="BC641" s="26"/>
      <c r="BD641" s="26"/>
      <c r="BE641" s="26"/>
      <c r="BF641" s="26"/>
      <c r="BG641" s="26"/>
      <c r="BH641" s="26"/>
      <c r="BI641" s="26"/>
      <c r="BJ641" s="26"/>
      <c r="BK641" s="26"/>
    </row>
    <row r="642" ht="14.25" customHeight="1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  <c r="AC642" s="26"/>
      <c r="AD642" s="26"/>
      <c r="AE642" s="26"/>
      <c r="AF642" s="26"/>
      <c r="AG642" s="26"/>
      <c r="AH642" s="26"/>
      <c r="AI642" s="26"/>
      <c r="AJ642" s="26"/>
      <c r="AK642" s="26"/>
      <c r="AL642" s="26"/>
      <c r="AM642" s="26"/>
      <c r="AN642" s="26"/>
      <c r="AO642" s="26"/>
      <c r="AP642" s="26"/>
      <c r="AQ642" s="26"/>
      <c r="AR642" s="26"/>
      <c r="AS642" s="26"/>
      <c r="AT642" s="26"/>
      <c r="AU642" s="26"/>
      <c r="AV642" s="26"/>
      <c r="AW642" s="26"/>
      <c r="AX642" s="26"/>
      <c r="AY642" s="26"/>
      <c r="AZ642" s="26"/>
      <c r="BA642" s="26"/>
      <c r="BB642" s="26"/>
      <c r="BC642" s="26"/>
      <c r="BD642" s="26"/>
      <c r="BE642" s="26"/>
      <c r="BF642" s="26"/>
      <c r="BG642" s="26"/>
      <c r="BH642" s="26"/>
      <c r="BI642" s="26"/>
      <c r="BJ642" s="26"/>
      <c r="BK642" s="26"/>
    </row>
    <row r="643" ht="14.25" customHeight="1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  <c r="AB643" s="26"/>
      <c r="AC643" s="26"/>
      <c r="AD643" s="26"/>
      <c r="AE643" s="26"/>
      <c r="AF643" s="26"/>
      <c r="AG643" s="26"/>
      <c r="AH643" s="26"/>
      <c r="AI643" s="26"/>
      <c r="AJ643" s="26"/>
      <c r="AK643" s="26"/>
      <c r="AL643" s="26"/>
      <c r="AM643" s="26"/>
      <c r="AN643" s="26"/>
      <c r="AO643" s="26"/>
      <c r="AP643" s="26"/>
      <c r="AQ643" s="26"/>
      <c r="AR643" s="26"/>
      <c r="AS643" s="26"/>
      <c r="AT643" s="26"/>
      <c r="AU643" s="26"/>
      <c r="AV643" s="26"/>
      <c r="AW643" s="26"/>
      <c r="AX643" s="26"/>
      <c r="AY643" s="26"/>
      <c r="AZ643" s="26"/>
      <c r="BA643" s="26"/>
      <c r="BB643" s="26"/>
      <c r="BC643" s="26"/>
      <c r="BD643" s="26"/>
      <c r="BE643" s="26"/>
      <c r="BF643" s="26"/>
      <c r="BG643" s="26"/>
      <c r="BH643" s="26"/>
      <c r="BI643" s="26"/>
      <c r="BJ643" s="26"/>
      <c r="BK643" s="26"/>
    </row>
    <row r="644" ht="14.25" customHeight="1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  <c r="AC644" s="26"/>
      <c r="AD644" s="26"/>
      <c r="AE644" s="26"/>
      <c r="AF644" s="26"/>
      <c r="AG644" s="26"/>
      <c r="AH644" s="26"/>
      <c r="AI644" s="26"/>
      <c r="AJ644" s="26"/>
      <c r="AK644" s="26"/>
      <c r="AL644" s="26"/>
      <c r="AM644" s="26"/>
      <c r="AN644" s="26"/>
      <c r="AO644" s="26"/>
      <c r="AP644" s="26"/>
      <c r="AQ644" s="26"/>
      <c r="AR644" s="26"/>
      <c r="AS644" s="26"/>
      <c r="AT644" s="26"/>
      <c r="AU644" s="26"/>
      <c r="AV644" s="26"/>
      <c r="AW644" s="26"/>
      <c r="AX644" s="26"/>
      <c r="AY644" s="26"/>
      <c r="AZ644" s="26"/>
      <c r="BA644" s="26"/>
      <c r="BB644" s="26"/>
      <c r="BC644" s="26"/>
      <c r="BD644" s="26"/>
      <c r="BE644" s="26"/>
      <c r="BF644" s="26"/>
      <c r="BG644" s="26"/>
      <c r="BH644" s="26"/>
      <c r="BI644" s="26"/>
      <c r="BJ644" s="26"/>
      <c r="BK644" s="26"/>
    </row>
    <row r="645" ht="14.25" customHeight="1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  <c r="AB645" s="26"/>
      <c r="AC645" s="26"/>
      <c r="AD645" s="26"/>
      <c r="AE645" s="26"/>
      <c r="AF645" s="26"/>
      <c r="AG645" s="26"/>
      <c r="AH645" s="26"/>
      <c r="AI645" s="26"/>
      <c r="AJ645" s="26"/>
      <c r="AK645" s="26"/>
      <c r="AL645" s="26"/>
      <c r="AM645" s="26"/>
      <c r="AN645" s="26"/>
      <c r="AO645" s="26"/>
      <c r="AP645" s="26"/>
      <c r="AQ645" s="26"/>
      <c r="AR645" s="26"/>
      <c r="AS645" s="26"/>
      <c r="AT645" s="26"/>
      <c r="AU645" s="26"/>
      <c r="AV645" s="26"/>
      <c r="AW645" s="26"/>
      <c r="AX645" s="26"/>
      <c r="AY645" s="26"/>
      <c r="AZ645" s="26"/>
      <c r="BA645" s="26"/>
      <c r="BB645" s="26"/>
      <c r="BC645" s="26"/>
      <c r="BD645" s="26"/>
      <c r="BE645" s="26"/>
      <c r="BF645" s="26"/>
      <c r="BG645" s="26"/>
      <c r="BH645" s="26"/>
      <c r="BI645" s="26"/>
      <c r="BJ645" s="26"/>
      <c r="BK645" s="26"/>
    </row>
    <row r="646" ht="14.25" customHeight="1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  <c r="AC646" s="26"/>
      <c r="AD646" s="26"/>
      <c r="AE646" s="26"/>
      <c r="AF646" s="26"/>
      <c r="AG646" s="26"/>
      <c r="AH646" s="26"/>
      <c r="AI646" s="26"/>
      <c r="AJ646" s="26"/>
      <c r="AK646" s="26"/>
      <c r="AL646" s="26"/>
      <c r="AM646" s="26"/>
      <c r="AN646" s="26"/>
      <c r="AO646" s="26"/>
      <c r="AP646" s="26"/>
      <c r="AQ646" s="26"/>
      <c r="AR646" s="26"/>
      <c r="AS646" s="26"/>
      <c r="AT646" s="26"/>
      <c r="AU646" s="26"/>
      <c r="AV646" s="26"/>
      <c r="AW646" s="26"/>
      <c r="AX646" s="26"/>
      <c r="AY646" s="26"/>
      <c r="AZ646" s="26"/>
      <c r="BA646" s="26"/>
      <c r="BB646" s="26"/>
      <c r="BC646" s="26"/>
      <c r="BD646" s="26"/>
      <c r="BE646" s="26"/>
      <c r="BF646" s="26"/>
      <c r="BG646" s="26"/>
      <c r="BH646" s="26"/>
      <c r="BI646" s="26"/>
      <c r="BJ646" s="26"/>
      <c r="BK646" s="26"/>
    </row>
    <row r="647" ht="14.25" customHeight="1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  <c r="AB647" s="26"/>
      <c r="AC647" s="26"/>
      <c r="AD647" s="26"/>
      <c r="AE647" s="26"/>
      <c r="AF647" s="26"/>
      <c r="AG647" s="26"/>
      <c r="AH647" s="26"/>
      <c r="AI647" s="26"/>
      <c r="AJ647" s="26"/>
      <c r="AK647" s="26"/>
      <c r="AL647" s="26"/>
      <c r="AM647" s="26"/>
      <c r="AN647" s="26"/>
      <c r="AO647" s="26"/>
      <c r="AP647" s="26"/>
      <c r="AQ647" s="26"/>
      <c r="AR647" s="26"/>
      <c r="AS647" s="26"/>
      <c r="AT647" s="26"/>
      <c r="AU647" s="26"/>
      <c r="AV647" s="26"/>
      <c r="AW647" s="26"/>
      <c r="AX647" s="26"/>
      <c r="AY647" s="26"/>
      <c r="AZ647" s="26"/>
      <c r="BA647" s="26"/>
      <c r="BB647" s="26"/>
      <c r="BC647" s="26"/>
      <c r="BD647" s="26"/>
      <c r="BE647" s="26"/>
      <c r="BF647" s="26"/>
      <c r="BG647" s="26"/>
      <c r="BH647" s="26"/>
      <c r="BI647" s="26"/>
      <c r="BJ647" s="26"/>
      <c r="BK647" s="26"/>
    </row>
    <row r="648" ht="14.25" customHeight="1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  <c r="AC648" s="26"/>
      <c r="AD648" s="26"/>
      <c r="AE648" s="26"/>
      <c r="AF648" s="26"/>
      <c r="AG648" s="26"/>
      <c r="AH648" s="26"/>
      <c r="AI648" s="26"/>
      <c r="AJ648" s="26"/>
      <c r="AK648" s="26"/>
      <c r="AL648" s="26"/>
      <c r="AM648" s="26"/>
      <c r="AN648" s="26"/>
      <c r="AO648" s="26"/>
      <c r="AP648" s="26"/>
      <c r="AQ648" s="26"/>
      <c r="AR648" s="26"/>
      <c r="AS648" s="26"/>
      <c r="AT648" s="26"/>
      <c r="AU648" s="26"/>
      <c r="AV648" s="26"/>
      <c r="AW648" s="26"/>
      <c r="AX648" s="26"/>
      <c r="AY648" s="26"/>
      <c r="AZ648" s="26"/>
      <c r="BA648" s="26"/>
      <c r="BB648" s="26"/>
      <c r="BC648" s="26"/>
      <c r="BD648" s="26"/>
      <c r="BE648" s="26"/>
      <c r="BF648" s="26"/>
      <c r="BG648" s="26"/>
      <c r="BH648" s="26"/>
      <c r="BI648" s="26"/>
      <c r="BJ648" s="26"/>
      <c r="BK648" s="26"/>
    </row>
    <row r="649" ht="14.25" customHeight="1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  <c r="AB649" s="26"/>
      <c r="AC649" s="26"/>
      <c r="AD649" s="26"/>
      <c r="AE649" s="26"/>
      <c r="AF649" s="26"/>
      <c r="AG649" s="26"/>
      <c r="AH649" s="26"/>
      <c r="AI649" s="26"/>
      <c r="AJ649" s="26"/>
      <c r="AK649" s="26"/>
      <c r="AL649" s="26"/>
      <c r="AM649" s="26"/>
      <c r="AN649" s="26"/>
      <c r="AO649" s="26"/>
      <c r="AP649" s="26"/>
      <c r="AQ649" s="26"/>
      <c r="AR649" s="26"/>
      <c r="AS649" s="26"/>
      <c r="AT649" s="26"/>
      <c r="AU649" s="26"/>
      <c r="AV649" s="26"/>
      <c r="AW649" s="26"/>
      <c r="AX649" s="26"/>
      <c r="AY649" s="26"/>
      <c r="AZ649" s="26"/>
      <c r="BA649" s="26"/>
      <c r="BB649" s="26"/>
      <c r="BC649" s="26"/>
      <c r="BD649" s="26"/>
      <c r="BE649" s="26"/>
      <c r="BF649" s="26"/>
      <c r="BG649" s="26"/>
      <c r="BH649" s="26"/>
      <c r="BI649" s="26"/>
      <c r="BJ649" s="26"/>
      <c r="BK649" s="26"/>
    </row>
    <row r="650" ht="14.25" customHeight="1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  <c r="AC650" s="26"/>
      <c r="AD650" s="26"/>
      <c r="AE650" s="26"/>
      <c r="AF650" s="26"/>
      <c r="AG650" s="26"/>
      <c r="AH650" s="26"/>
      <c r="AI650" s="26"/>
      <c r="AJ650" s="26"/>
      <c r="AK650" s="26"/>
      <c r="AL650" s="26"/>
      <c r="AM650" s="26"/>
      <c r="AN650" s="26"/>
      <c r="AO650" s="26"/>
      <c r="AP650" s="26"/>
      <c r="AQ650" s="26"/>
      <c r="AR650" s="26"/>
      <c r="AS650" s="26"/>
      <c r="AT650" s="26"/>
      <c r="AU650" s="26"/>
      <c r="AV650" s="26"/>
      <c r="AW650" s="26"/>
      <c r="AX650" s="26"/>
      <c r="AY650" s="26"/>
      <c r="AZ650" s="26"/>
      <c r="BA650" s="26"/>
      <c r="BB650" s="26"/>
      <c r="BC650" s="26"/>
      <c r="BD650" s="26"/>
      <c r="BE650" s="26"/>
      <c r="BF650" s="26"/>
      <c r="BG650" s="26"/>
      <c r="BH650" s="26"/>
      <c r="BI650" s="26"/>
      <c r="BJ650" s="26"/>
      <c r="BK650" s="26"/>
    </row>
    <row r="651" ht="14.25" customHeight="1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A651" s="26"/>
      <c r="AB651" s="26"/>
      <c r="AC651" s="26"/>
      <c r="AD651" s="26"/>
      <c r="AE651" s="26"/>
      <c r="AF651" s="26"/>
      <c r="AG651" s="26"/>
      <c r="AH651" s="26"/>
      <c r="AI651" s="26"/>
      <c r="AJ651" s="26"/>
      <c r="AK651" s="26"/>
      <c r="AL651" s="26"/>
      <c r="AM651" s="26"/>
      <c r="AN651" s="26"/>
      <c r="AO651" s="26"/>
      <c r="AP651" s="26"/>
      <c r="AQ651" s="26"/>
      <c r="AR651" s="26"/>
      <c r="AS651" s="26"/>
      <c r="AT651" s="26"/>
      <c r="AU651" s="26"/>
      <c r="AV651" s="26"/>
      <c r="AW651" s="26"/>
      <c r="AX651" s="26"/>
      <c r="AY651" s="26"/>
      <c r="AZ651" s="26"/>
      <c r="BA651" s="26"/>
      <c r="BB651" s="26"/>
      <c r="BC651" s="26"/>
      <c r="BD651" s="26"/>
      <c r="BE651" s="26"/>
      <c r="BF651" s="26"/>
      <c r="BG651" s="26"/>
      <c r="BH651" s="26"/>
      <c r="BI651" s="26"/>
      <c r="BJ651" s="26"/>
      <c r="BK651" s="26"/>
    </row>
    <row r="652" ht="14.25" customHeight="1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  <c r="AC652" s="26"/>
      <c r="AD652" s="26"/>
      <c r="AE652" s="26"/>
      <c r="AF652" s="26"/>
      <c r="AG652" s="26"/>
      <c r="AH652" s="26"/>
      <c r="AI652" s="26"/>
      <c r="AJ652" s="26"/>
      <c r="AK652" s="26"/>
      <c r="AL652" s="26"/>
      <c r="AM652" s="26"/>
      <c r="AN652" s="26"/>
      <c r="AO652" s="26"/>
      <c r="AP652" s="26"/>
      <c r="AQ652" s="26"/>
      <c r="AR652" s="26"/>
      <c r="AS652" s="26"/>
      <c r="AT652" s="26"/>
      <c r="AU652" s="26"/>
      <c r="AV652" s="26"/>
      <c r="AW652" s="26"/>
      <c r="AX652" s="26"/>
      <c r="AY652" s="26"/>
      <c r="AZ652" s="26"/>
      <c r="BA652" s="26"/>
      <c r="BB652" s="26"/>
      <c r="BC652" s="26"/>
      <c r="BD652" s="26"/>
      <c r="BE652" s="26"/>
      <c r="BF652" s="26"/>
      <c r="BG652" s="26"/>
      <c r="BH652" s="26"/>
      <c r="BI652" s="26"/>
      <c r="BJ652" s="26"/>
      <c r="BK652" s="26"/>
    </row>
    <row r="653" ht="14.25" customHeight="1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  <c r="AB653" s="26"/>
      <c r="AC653" s="26"/>
      <c r="AD653" s="26"/>
      <c r="AE653" s="26"/>
      <c r="AF653" s="26"/>
      <c r="AG653" s="26"/>
      <c r="AH653" s="26"/>
      <c r="AI653" s="26"/>
      <c r="AJ653" s="26"/>
      <c r="AK653" s="26"/>
      <c r="AL653" s="26"/>
      <c r="AM653" s="26"/>
      <c r="AN653" s="26"/>
      <c r="AO653" s="26"/>
      <c r="AP653" s="26"/>
      <c r="AQ653" s="26"/>
      <c r="AR653" s="26"/>
      <c r="AS653" s="26"/>
      <c r="AT653" s="26"/>
      <c r="AU653" s="26"/>
      <c r="AV653" s="26"/>
      <c r="AW653" s="26"/>
      <c r="AX653" s="26"/>
      <c r="AY653" s="26"/>
      <c r="AZ653" s="26"/>
      <c r="BA653" s="26"/>
      <c r="BB653" s="26"/>
      <c r="BC653" s="26"/>
      <c r="BD653" s="26"/>
      <c r="BE653" s="26"/>
      <c r="BF653" s="26"/>
      <c r="BG653" s="26"/>
      <c r="BH653" s="26"/>
      <c r="BI653" s="26"/>
      <c r="BJ653" s="26"/>
      <c r="BK653" s="26"/>
    </row>
    <row r="654" ht="14.25" customHeight="1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  <c r="AC654" s="26"/>
      <c r="AD654" s="26"/>
      <c r="AE654" s="26"/>
      <c r="AF654" s="26"/>
      <c r="AG654" s="26"/>
      <c r="AH654" s="26"/>
      <c r="AI654" s="26"/>
      <c r="AJ654" s="26"/>
      <c r="AK654" s="26"/>
      <c r="AL654" s="26"/>
      <c r="AM654" s="26"/>
      <c r="AN654" s="26"/>
      <c r="AO654" s="26"/>
      <c r="AP654" s="26"/>
      <c r="AQ654" s="26"/>
      <c r="AR654" s="26"/>
      <c r="AS654" s="26"/>
      <c r="AT654" s="26"/>
      <c r="AU654" s="26"/>
      <c r="AV654" s="26"/>
      <c r="AW654" s="26"/>
      <c r="AX654" s="26"/>
      <c r="AY654" s="26"/>
      <c r="AZ654" s="26"/>
      <c r="BA654" s="26"/>
      <c r="BB654" s="26"/>
      <c r="BC654" s="26"/>
      <c r="BD654" s="26"/>
      <c r="BE654" s="26"/>
      <c r="BF654" s="26"/>
      <c r="BG654" s="26"/>
      <c r="BH654" s="26"/>
      <c r="BI654" s="26"/>
      <c r="BJ654" s="26"/>
      <c r="BK654" s="26"/>
    </row>
    <row r="655" ht="14.25" customHeight="1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  <c r="AB655" s="26"/>
      <c r="AC655" s="26"/>
      <c r="AD655" s="26"/>
      <c r="AE655" s="26"/>
      <c r="AF655" s="26"/>
      <c r="AG655" s="26"/>
      <c r="AH655" s="26"/>
      <c r="AI655" s="26"/>
      <c r="AJ655" s="26"/>
      <c r="AK655" s="26"/>
      <c r="AL655" s="26"/>
      <c r="AM655" s="26"/>
      <c r="AN655" s="26"/>
      <c r="AO655" s="26"/>
      <c r="AP655" s="26"/>
      <c r="AQ655" s="26"/>
      <c r="AR655" s="26"/>
      <c r="AS655" s="26"/>
      <c r="AT655" s="26"/>
      <c r="AU655" s="26"/>
      <c r="AV655" s="26"/>
      <c r="AW655" s="26"/>
      <c r="AX655" s="26"/>
      <c r="AY655" s="26"/>
      <c r="AZ655" s="26"/>
      <c r="BA655" s="26"/>
      <c r="BB655" s="26"/>
      <c r="BC655" s="26"/>
      <c r="BD655" s="26"/>
      <c r="BE655" s="26"/>
      <c r="BF655" s="26"/>
      <c r="BG655" s="26"/>
      <c r="BH655" s="26"/>
      <c r="BI655" s="26"/>
      <c r="BJ655" s="26"/>
      <c r="BK655" s="26"/>
    </row>
    <row r="656" ht="14.25" customHeight="1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  <c r="AC656" s="26"/>
      <c r="AD656" s="26"/>
      <c r="AE656" s="26"/>
      <c r="AF656" s="26"/>
      <c r="AG656" s="26"/>
      <c r="AH656" s="26"/>
      <c r="AI656" s="26"/>
      <c r="AJ656" s="26"/>
      <c r="AK656" s="26"/>
      <c r="AL656" s="26"/>
      <c r="AM656" s="26"/>
      <c r="AN656" s="26"/>
      <c r="AO656" s="26"/>
      <c r="AP656" s="26"/>
      <c r="AQ656" s="26"/>
      <c r="AR656" s="26"/>
      <c r="AS656" s="26"/>
      <c r="AT656" s="26"/>
      <c r="AU656" s="26"/>
      <c r="AV656" s="26"/>
      <c r="AW656" s="26"/>
      <c r="AX656" s="26"/>
      <c r="AY656" s="26"/>
      <c r="AZ656" s="26"/>
      <c r="BA656" s="26"/>
      <c r="BB656" s="26"/>
      <c r="BC656" s="26"/>
      <c r="BD656" s="26"/>
      <c r="BE656" s="26"/>
      <c r="BF656" s="26"/>
      <c r="BG656" s="26"/>
      <c r="BH656" s="26"/>
      <c r="BI656" s="26"/>
      <c r="BJ656" s="26"/>
      <c r="BK656" s="26"/>
    </row>
    <row r="657" ht="14.25" customHeight="1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  <c r="AB657" s="26"/>
      <c r="AC657" s="26"/>
      <c r="AD657" s="26"/>
      <c r="AE657" s="26"/>
      <c r="AF657" s="26"/>
      <c r="AG657" s="26"/>
      <c r="AH657" s="26"/>
      <c r="AI657" s="26"/>
      <c r="AJ657" s="26"/>
      <c r="AK657" s="26"/>
      <c r="AL657" s="26"/>
      <c r="AM657" s="26"/>
      <c r="AN657" s="26"/>
      <c r="AO657" s="26"/>
      <c r="AP657" s="26"/>
      <c r="AQ657" s="26"/>
      <c r="AR657" s="26"/>
      <c r="AS657" s="26"/>
      <c r="AT657" s="26"/>
      <c r="AU657" s="26"/>
      <c r="AV657" s="26"/>
      <c r="AW657" s="26"/>
      <c r="AX657" s="26"/>
      <c r="AY657" s="26"/>
      <c r="AZ657" s="26"/>
      <c r="BA657" s="26"/>
      <c r="BB657" s="26"/>
      <c r="BC657" s="26"/>
      <c r="BD657" s="26"/>
      <c r="BE657" s="26"/>
      <c r="BF657" s="26"/>
      <c r="BG657" s="26"/>
      <c r="BH657" s="26"/>
      <c r="BI657" s="26"/>
      <c r="BJ657" s="26"/>
      <c r="BK657" s="26"/>
    </row>
    <row r="658" ht="14.25" customHeight="1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  <c r="AC658" s="26"/>
      <c r="AD658" s="26"/>
      <c r="AE658" s="26"/>
      <c r="AF658" s="26"/>
      <c r="AG658" s="26"/>
      <c r="AH658" s="26"/>
      <c r="AI658" s="26"/>
      <c r="AJ658" s="26"/>
      <c r="AK658" s="26"/>
      <c r="AL658" s="26"/>
      <c r="AM658" s="26"/>
      <c r="AN658" s="26"/>
      <c r="AO658" s="26"/>
      <c r="AP658" s="26"/>
      <c r="AQ658" s="26"/>
      <c r="AR658" s="26"/>
      <c r="AS658" s="26"/>
      <c r="AT658" s="26"/>
      <c r="AU658" s="26"/>
      <c r="AV658" s="26"/>
      <c r="AW658" s="26"/>
      <c r="AX658" s="26"/>
      <c r="AY658" s="26"/>
      <c r="AZ658" s="26"/>
      <c r="BA658" s="26"/>
      <c r="BB658" s="26"/>
      <c r="BC658" s="26"/>
      <c r="BD658" s="26"/>
      <c r="BE658" s="26"/>
      <c r="BF658" s="26"/>
      <c r="BG658" s="26"/>
      <c r="BH658" s="26"/>
      <c r="BI658" s="26"/>
      <c r="BJ658" s="26"/>
      <c r="BK658" s="26"/>
    </row>
    <row r="659" ht="14.25" customHeight="1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26"/>
      <c r="AB659" s="26"/>
      <c r="AC659" s="26"/>
      <c r="AD659" s="26"/>
      <c r="AE659" s="26"/>
      <c r="AF659" s="26"/>
      <c r="AG659" s="26"/>
      <c r="AH659" s="26"/>
      <c r="AI659" s="26"/>
      <c r="AJ659" s="26"/>
      <c r="AK659" s="26"/>
      <c r="AL659" s="26"/>
      <c r="AM659" s="26"/>
      <c r="AN659" s="26"/>
      <c r="AO659" s="26"/>
      <c r="AP659" s="26"/>
      <c r="AQ659" s="26"/>
      <c r="AR659" s="26"/>
      <c r="AS659" s="26"/>
      <c r="AT659" s="26"/>
      <c r="AU659" s="26"/>
      <c r="AV659" s="26"/>
      <c r="AW659" s="26"/>
      <c r="AX659" s="26"/>
      <c r="AY659" s="26"/>
      <c r="AZ659" s="26"/>
      <c r="BA659" s="26"/>
      <c r="BB659" s="26"/>
      <c r="BC659" s="26"/>
      <c r="BD659" s="26"/>
      <c r="BE659" s="26"/>
      <c r="BF659" s="26"/>
      <c r="BG659" s="26"/>
      <c r="BH659" s="26"/>
      <c r="BI659" s="26"/>
      <c r="BJ659" s="26"/>
      <c r="BK659" s="26"/>
    </row>
    <row r="660" ht="14.25" customHeight="1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  <c r="AC660" s="26"/>
      <c r="AD660" s="26"/>
      <c r="AE660" s="26"/>
      <c r="AF660" s="26"/>
      <c r="AG660" s="26"/>
      <c r="AH660" s="26"/>
      <c r="AI660" s="26"/>
      <c r="AJ660" s="26"/>
      <c r="AK660" s="26"/>
      <c r="AL660" s="26"/>
      <c r="AM660" s="26"/>
      <c r="AN660" s="26"/>
      <c r="AO660" s="26"/>
      <c r="AP660" s="26"/>
      <c r="AQ660" s="26"/>
      <c r="AR660" s="26"/>
      <c r="AS660" s="26"/>
      <c r="AT660" s="26"/>
      <c r="AU660" s="26"/>
      <c r="AV660" s="26"/>
      <c r="AW660" s="26"/>
      <c r="AX660" s="26"/>
      <c r="AY660" s="26"/>
      <c r="AZ660" s="26"/>
      <c r="BA660" s="26"/>
      <c r="BB660" s="26"/>
      <c r="BC660" s="26"/>
      <c r="BD660" s="26"/>
      <c r="BE660" s="26"/>
      <c r="BF660" s="26"/>
      <c r="BG660" s="26"/>
      <c r="BH660" s="26"/>
      <c r="BI660" s="26"/>
      <c r="BJ660" s="26"/>
      <c r="BK660" s="26"/>
    </row>
    <row r="661" ht="14.25" customHeight="1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  <c r="AB661" s="26"/>
      <c r="AC661" s="26"/>
      <c r="AD661" s="26"/>
      <c r="AE661" s="26"/>
      <c r="AF661" s="26"/>
      <c r="AG661" s="26"/>
      <c r="AH661" s="26"/>
      <c r="AI661" s="26"/>
      <c r="AJ661" s="26"/>
      <c r="AK661" s="26"/>
      <c r="AL661" s="26"/>
      <c r="AM661" s="26"/>
      <c r="AN661" s="26"/>
      <c r="AO661" s="26"/>
      <c r="AP661" s="26"/>
      <c r="AQ661" s="26"/>
      <c r="AR661" s="26"/>
      <c r="AS661" s="26"/>
      <c r="AT661" s="26"/>
      <c r="AU661" s="26"/>
      <c r="AV661" s="26"/>
      <c r="AW661" s="26"/>
      <c r="AX661" s="26"/>
      <c r="AY661" s="26"/>
      <c r="AZ661" s="26"/>
      <c r="BA661" s="26"/>
      <c r="BB661" s="26"/>
      <c r="BC661" s="26"/>
      <c r="BD661" s="26"/>
      <c r="BE661" s="26"/>
      <c r="BF661" s="26"/>
      <c r="BG661" s="26"/>
      <c r="BH661" s="26"/>
      <c r="BI661" s="26"/>
      <c r="BJ661" s="26"/>
      <c r="BK661" s="26"/>
    </row>
    <row r="662" ht="14.25" customHeight="1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  <c r="AC662" s="26"/>
      <c r="AD662" s="26"/>
      <c r="AE662" s="26"/>
      <c r="AF662" s="26"/>
      <c r="AG662" s="26"/>
      <c r="AH662" s="26"/>
      <c r="AI662" s="26"/>
      <c r="AJ662" s="26"/>
      <c r="AK662" s="26"/>
      <c r="AL662" s="26"/>
      <c r="AM662" s="26"/>
      <c r="AN662" s="26"/>
      <c r="AO662" s="26"/>
      <c r="AP662" s="26"/>
      <c r="AQ662" s="26"/>
      <c r="AR662" s="26"/>
      <c r="AS662" s="26"/>
      <c r="AT662" s="26"/>
      <c r="AU662" s="26"/>
      <c r="AV662" s="26"/>
      <c r="AW662" s="26"/>
      <c r="AX662" s="26"/>
      <c r="AY662" s="26"/>
      <c r="AZ662" s="26"/>
      <c r="BA662" s="26"/>
      <c r="BB662" s="26"/>
      <c r="BC662" s="26"/>
      <c r="BD662" s="26"/>
      <c r="BE662" s="26"/>
      <c r="BF662" s="26"/>
      <c r="BG662" s="26"/>
      <c r="BH662" s="26"/>
      <c r="BI662" s="26"/>
      <c r="BJ662" s="26"/>
      <c r="BK662" s="26"/>
    </row>
    <row r="663" ht="14.25" customHeight="1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26"/>
      <c r="AB663" s="26"/>
      <c r="AC663" s="26"/>
      <c r="AD663" s="26"/>
      <c r="AE663" s="26"/>
      <c r="AF663" s="26"/>
      <c r="AG663" s="26"/>
      <c r="AH663" s="26"/>
      <c r="AI663" s="26"/>
      <c r="AJ663" s="26"/>
      <c r="AK663" s="26"/>
      <c r="AL663" s="26"/>
      <c r="AM663" s="26"/>
      <c r="AN663" s="26"/>
      <c r="AO663" s="26"/>
      <c r="AP663" s="26"/>
      <c r="AQ663" s="26"/>
      <c r="AR663" s="26"/>
      <c r="AS663" s="26"/>
      <c r="AT663" s="26"/>
      <c r="AU663" s="26"/>
      <c r="AV663" s="26"/>
      <c r="AW663" s="26"/>
      <c r="AX663" s="26"/>
      <c r="AY663" s="26"/>
      <c r="AZ663" s="26"/>
      <c r="BA663" s="26"/>
      <c r="BB663" s="26"/>
      <c r="BC663" s="26"/>
      <c r="BD663" s="26"/>
      <c r="BE663" s="26"/>
      <c r="BF663" s="26"/>
      <c r="BG663" s="26"/>
      <c r="BH663" s="26"/>
      <c r="BI663" s="26"/>
      <c r="BJ663" s="26"/>
      <c r="BK663" s="26"/>
    </row>
    <row r="664" ht="14.25" customHeight="1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  <c r="AC664" s="26"/>
      <c r="AD664" s="26"/>
      <c r="AE664" s="26"/>
      <c r="AF664" s="26"/>
      <c r="AG664" s="26"/>
      <c r="AH664" s="26"/>
      <c r="AI664" s="26"/>
      <c r="AJ664" s="26"/>
      <c r="AK664" s="26"/>
      <c r="AL664" s="26"/>
      <c r="AM664" s="26"/>
      <c r="AN664" s="26"/>
      <c r="AO664" s="26"/>
      <c r="AP664" s="26"/>
      <c r="AQ664" s="26"/>
      <c r="AR664" s="26"/>
      <c r="AS664" s="26"/>
      <c r="AT664" s="26"/>
      <c r="AU664" s="26"/>
      <c r="AV664" s="26"/>
      <c r="AW664" s="26"/>
      <c r="AX664" s="26"/>
      <c r="AY664" s="26"/>
      <c r="AZ664" s="26"/>
      <c r="BA664" s="26"/>
      <c r="BB664" s="26"/>
      <c r="BC664" s="26"/>
      <c r="BD664" s="26"/>
      <c r="BE664" s="26"/>
      <c r="BF664" s="26"/>
      <c r="BG664" s="26"/>
      <c r="BH664" s="26"/>
      <c r="BI664" s="26"/>
      <c r="BJ664" s="26"/>
      <c r="BK664" s="26"/>
    </row>
    <row r="665" ht="14.25" customHeight="1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/>
      <c r="AB665" s="26"/>
      <c r="AC665" s="26"/>
      <c r="AD665" s="26"/>
      <c r="AE665" s="26"/>
      <c r="AF665" s="26"/>
      <c r="AG665" s="26"/>
      <c r="AH665" s="26"/>
      <c r="AI665" s="26"/>
      <c r="AJ665" s="26"/>
      <c r="AK665" s="26"/>
      <c r="AL665" s="26"/>
      <c r="AM665" s="26"/>
      <c r="AN665" s="26"/>
      <c r="AO665" s="26"/>
      <c r="AP665" s="26"/>
      <c r="AQ665" s="26"/>
      <c r="AR665" s="26"/>
      <c r="AS665" s="26"/>
      <c r="AT665" s="26"/>
      <c r="AU665" s="26"/>
      <c r="AV665" s="26"/>
      <c r="AW665" s="26"/>
      <c r="AX665" s="26"/>
      <c r="AY665" s="26"/>
      <c r="AZ665" s="26"/>
      <c r="BA665" s="26"/>
      <c r="BB665" s="26"/>
      <c r="BC665" s="26"/>
      <c r="BD665" s="26"/>
      <c r="BE665" s="26"/>
      <c r="BF665" s="26"/>
      <c r="BG665" s="26"/>
      <c r="BH665" s="26"/>
      <c r="BI665" s="26"/>
      <c r="BJ665" s="26"/>
      <c r="BK665" s="26"/>
    </row>
    <row r="666" ht="14.25" customHeight="1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  <c r="AC666" s="26"/>
      <c r="AD666" s="26"/>
      <c r="AE666" s="26"/>
      <c r="AF666" s="26"/>
      <c r="AG666" s="26"/>
      <c r="AH666" s="26"/>
      <c r="AI666" s="26"/>
      <c r="AJ666" s="26"/>
      <c r="AK666" s="26"/>
      <c r="AL666" s="26"/>
      <c r="AM666" s="26"/>
      <c r="AN666" s="26"/>
      <c r="AO666" s="26"/>
      <c r="AP666" s="26"/>
      <c r="AQ666" s="26"/>
      <c r="AR666" s="26"/>
      <c r="AS666" s="26"/>
      <c r="AT666" s="26"/>
      <c r="AU666" s="26"/>
      <c r="AV666" s="26"/>
      <c r="AW666" s="26"/>
      <c r="AX666" s="26"/>
      <c r="AY666" s="26"/>
      <c r="AZ666" s="26"/>
      <c r="BA666" s="26"/>
      <c r="BB666" s="26"/>
      <c r="BC666" s="26"/>
      <c r="BD666" s="26"/>
      <c r="BE666" s="26"/>
      <c r="BF666" s="26"/>
      <c r="BG666" s="26"/>
      <c r="BH666" s="26"/>
      <c r="BI666" s="26"/>
      <c r="BJ666" s="26"/>
      <c r="BK666" s="26"/>
    </row>
    <row r="667" ht="14.25" customHeight="1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/>
      <c r="AB667" s="26"/>
      <c r="AC667" s="26"/>
      <c r="AD667" s="26"/>
      <c r="AE667" s="26"/>
      <c r="AF667" s="26"/>
      <c r="AG667" s="26"/>
      <c r="AH667" s="26"/>
      <c r="AI667" s="26"/>
      <c r="AJ667" s="26"/>
      <c r="AK667" s="26"/>
      <c r="AL667" s="26"/>
      <c r="AM667" s="26"/>
      <c r="AN667" s="26"/>
      <c r="AO667" s="26"/>
      <c r="AP667" s="26"/>
      <c r="AQ667" s="26"/>
      <c r="AR667" s="26"/>
      <c r="AS667" s="26"/>
      <c r="AT667" s="26"/>
      <c r="AU667" s="26"/>
      <c r="AV667" s="26"/>
      <c r="AW667" s="26"/>
      <c r="AX667" s="26"/>
      <c r="AY667" s="26"/>
      <c r="AZ667" s="26"/>
      <c r="BA667" s="26"/>
      <c r="BB667" s="26"/>
      <c r="BC667" s="26"/>
      <c r="BD667" s="26"/>
      <c r="BE667" s="26"/>
      <c r="BF667" s="26"/>
      <c r="BG667" s="26"/>
      <c r="BH667" s="26"/>
      <c r="BI667" s="26"/>
      <c r="BJ667" s="26"/>
      <c r="BK667" s="26"/>
    </row>
    <row r="668" ht="14.25" customHeight="1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  <c r="AC668" s="26"/>
      <c r="AD668" s="26"/>
      <c r="AE668" s="26"/>
      <c r="AF668" s="26"/>
      <c r="AG668" s="26"/>
      <c r="AH668" s="26"/>
      <c r="AI668" s="26"/>
      <c r="AJ668" s="26"/>
      <c r="AK668" s="26"/>
      <c r="AL668" s="26"/>
      <c r="AM668" s="26"/>
      <c r="AN668" s="26"/>
      <c r="AO668" s="26"/>
      <c r="AP668" s="26"/>
      <c r="AQ668" s="26"/>
      <c r="AR668" s="26"/>
      <c r="AS668" s="26"/>
      <c r="AT668" s="26"/>
      <c r="AU668" s="26"/>
      <c r="AV668" s="26"/>
      <c r="AW668" s="26"/>
      <c r="AX668" s="26"/>
      <c r="AY668" s="26"/>
      <c r="AZ668" s="26"/>
      <c r="BA668" s="26"/>
      <c r="BB668" s="26"/>
      <c r="BC668" s="26"/>
      <c r="BD668" s="26"/>
      <c r="BE668" s="26"/>
      <c r="BF668" s="26"/>
      <c r="BG668" s="26"/>
      <c r="BH668" s="26"/>
      <c r="BI668" s="26"/>
      <c r="BJ668" s="26"/>
      <c r="BK668" s="26"/>
    </row>
    <row r="669" ht="14.25" customHeight="1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/>
      <c r="AB669" s="26"/>
      <c r="AC669" s="26"/>
      <c r="AD669" s="26"/>
      <c r="AE669" s="26"/>
      <c r="AF669" s="26"/>
      <c r="AG669" s="26"/>
      <c r="AH669" s="26"/>
      <c r="AI669" s="26"/>
      <c r="AJ669" s="26"/>
      <c r="AK669" s="26"/>
      <c r="AL669" s="26"/>
      <c r="AM669" s="26"/>
      <c r="AN669" s="26"/>
      <c r="AO669" s="26"/>
      <c r="AP669" s="26"/>
      <c r="AQ669" s="26"/>
      <c r="AR669" s="26"/>
      <c r="AS669" s="26"/>
      <c r="AT669" s="26"/>
      <c r="AU669" s="26"/>
      <c r="AV669" s="26"/>
      <c r="AW669" s="26"/>
      <c r="AX669" s="26"/>
      <c r="AY669" s="26"/>
      <c r="AZ669" s="26"/>
      <c r="BA669" s="26"/>
      <c r="BB669" s="26"/>
      <c r="BC669" s="26"/>
      <c r="BD669" s="26"/>
      <c r="BE669" s="26"/>
      <c r="BF669" s="26"/>
      <c r="BG669" s="26"/>
      <c r="BH669" s="26"/>
      <c r="BI669" s="26"/>
      <c r="BJ669" s="26"/>
      <c r="BK669" s="26"/>
    </row>
    <row r="670" ht="14.25" customHeight="1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  <c r="AC670" s="26"/>
      <c r="AD670" s="26"/>
      <c r="AE670" s="26"/>
      <c r="AF670" s="26"/>
      <c r="AG670" s="26"/>
      <c r="AH670" s="26"/>
      <c r="AI670" s="26"/>
      <c r="AJ670" s="26"/>
      <c r="AK670" s="26"/>
      <c r="AL670" s="26"/>
      <c r="AM670" s="26"/>
      <c r="AN670" s="26"/>
      <c r="AO670" s="26"/>
      <c r="AP670" s="26"/>
      <c r="AQ670" s="26"/>
      <c r="AR670" s="26"/>
      <c r="AS670" s="26"/>
      <c r="AT670" s="26"/>
      <c r="AU670" s="26"/>
      <c r="AV670" s="26"/>
      <c r="AW670" s="26"/>
      <c r="AX670" s="26"/>
      <c r="AY670" s="26"/>
      <c r="AZ670" s="26"/>
      <c r="BA670" s="26"/>
      <c r="BB670" s="26"/>
      <c r="BC670" s="26"/>
      <c r="BD670" s="26"/>
      <c r="BE670" s="26"/>
      <c r="BF670" s="26"/>
      <c r="BG670" s="26"/>
      <c r="BH670" s="26"/>
      <c r="BI670" s="26"/>
      <c r="BJ670" s="26"/>
      <c r="BK670" s="26"/>
    </row>
    <row r="671" ht="14.25" customHeight="1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A671" s="26"/>
      <c r="AB671" s="26"/>
      <c r="AC671" s="26"/>
      <c r="AD671" s="26"/>
      <c r="AE671" s="26"/>
      <c r="AF671" s="26"/>
      <c r="AG671" s="26"/>
      <c r="AH671" s="26"/>
      <c r="AI671" s="26"/>
      <c r="AJ671" s="26"/>
      <c r="AK671" s="26"/>
      <c r="AL671" s="26"/>
      <c r="AM671" s="26"/>
      <c r="AN671" s="26"/>
      <c r="AO671" s="26"/>
      <c r="AP671" s="26"/>
      <c r="AQ671" s="26"/>
      <c r="AR671" s="26"/>
      <c r="AS671" s="26"/>
      <c r="AT671" s="26"/>
      <c r="AU671" s="26"/>
      <c r="AV671" s="26"/>
      <c r="AW671" s="26"/>
      <c r="AX671" s="26"/>
      <c r="AY671" s="26"/>
      <c r="AZ671" s="26"/>
      <c r="BA671" s="26"/>
      <c r="BB671" s="26"/>
      <c r="BC671" s="26"/>
      <c r="BD671" s="26"/>
      <c r="BE671" s="26"/>
      <c r="BF671" s="26"/>
      <c r="BG671" s="26"/>
      <c r="BH671" s="26"/>
      <c r="BI671" s="26"/>
      <c r="BJ671" s="26"/>
      <c r="BK671" s="26"/>
    </row>
    <row r="672" ht="14.25" customHeight="1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  <c r="AC672" s="26"/>
      <c r="AD672" s="26"/>
      <c r="AE672" s="26"/>
      <c r="AF672" s="26"/>
      <c r="AG672" s="26"/>
      <c r="AH672" s="26"/>
      <c r="AI672" s="26"/>
      <c r="AJ672" s="26"/>
      <c r="AK672" s="26"/>
      <c r="AL672" s="26"/>
      <c r="AM672" s="26"/>
      <c r="AN672" s="26"/>
      <c r="AO672" s="26"/>
      <c r="AP672" s="26"/>
      <c r="AQ672" s="26"/>
      <c r="AR672" s="26"/>
      <c r="AS672" s="26"/>
      <c r="AT672" s="26"/>
      <c r="AU672" s="26"/>
      <c r="AV672" s="26"/>
      <c r="AW672" s="26"/>
      <c r="AX672" s="26"/>
      <c r="AY672" s="26"/>
      <c r="AZ672" s="26"/>
      <c r="BA672" s="26"/>
      <c r="BB672" s="26"/>
      <c r="BC672" s="26"/>
      <c r="BD672" s="26"/>
      <c r="BE672" s="26"/>
      <c r="BF672" s="26"/>
      <c r="BG672" s="26"/>
      <c r="BH672" s="26"/>
      <c r="BI672" s="26"/>
      <c r="BJ672" s="26"/>
      <c r="BK672" s="26"/>
    </row>
    <row r="673" ht="14.25" customHeight="1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  <c r="AB673" s="26"/>
      <c r="AC673" s="26"/>
      <c r="AD673" s="26"/>
      <c r="AE673" s="26"/>
      <c r="AF673" s="26"/>
      <c r="AG673" s="26"/>
      <c r="AH673" s="26"/>
      <c r="AI673" s="26"/>
      <c r="AJ673" s="26"/>
      <c r="AK673" s="26"/>
      <c r="AL673" s="26"/>
      <c r="AM673" s="26"/>
      <c r="AN673" s="26"/>
      <c r="AO673" s="26"/>
      <c r="AP673" s="26"/>
      <c r="AQ673" s="26"/>
      <c r="AR673" s="26"/>
      <c r="AS673" s="26"/>
      <c r="AT673" s="26"/>
      <c r="AU673" s="26"/>
      <c r="AV673" s="26"/>
      <c r="AW673" s="26"/>
      <c r="AX673" s="26"/>
      <c r="AY673" s="26"/>
      <c r="AZ673" s="26"/>
      <c r="BA673" s="26"/>
      <c r="BB673" s="26"/>
      <c r="BC673" s="26"/>
      <c r="BD673" s="26"/>
      <c r="BE673" s="26"/>
      <c r="BF673" s="26"/>
      <c r="BG673" s="26"/>
      <c r="BH673" s="26"/>
      <c r="BI673" s="26"/>
      <c r="BJ673" s="26"/>
      <c r="BK673" s="26"/>
    </row>
    <row r="674" ht="14.25" customHeight="1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  <c r="AC674" s="26"/>
      <c r="AD674" s="26"/>
      <c r="AE674" s="26"/>
      <c r="AF674" s="26"/>
      <c r="AG674" s="26"/>
      <c r="AH674" s="26"/>
      <c r="AI674" s="26"/>
      <c r="AJ674" s="26"/>
      <c r="AK674" s="26"/>
      <c r="AL674" s="26"/>
      <c r="AM674" s="26"/>
      <c r="AN674" s="26"/>
      <c r="AO674" s="26"/>
      <c r="AP674" s="26"/>
      <c r="AQ674" s="26"/>
      <c r="AR674" s="26"/>
      <c r="AS674" s="26"/>
      <c r="AT674" s="26"/>
      <c r="AU674" s="26"/>
      <c r="AV674" s="26"/>
      <c r="AW674" s="26"/>
      <c r="AX674" s="26"/>
      <c r="AY674" s="26"/>
      <c r="AZ674" s="26"/>
      <c r="BA674" s="26"/>
      <c r="BB674" s="26"/>
      <c r="BC674" s="26"/>
      <c r="BD674" s="26"/>
      <c r="BE674" s="26"/>
      <c r="BF674" s="26"/>
      <c r="BG674" s="26"/>
      <c r="BH674" s="26"/>
      <c r="BI674" s="26"/>
      <c r="BJ674" s="26"/>
      <c r="BK674" s="26"/>
    </row>
    <row r="675" ht="14.25" customHeight="1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/>
      <c r="AB675" s="26"/>
      <c r="AC675" s="26"/>
      <c r="AD675" s="26"/>
      <c r="AE675" s="26"/>
      <c r="AF675" s="26"/>
      <c r="AG675" s="26"/>
      <c r="AH675" s="26"/>
      <c r="AI675" s="26"/>
      <c r="AJ675" s="26"/>
      <c r="AK675" s="26"/>
      <c r="AL675" s="26"/>
      <c r="AM675" s="26"/>
      <c r="AN675" s="26"/>
      <c r="AO675" s="26"/>
      <c r="AP675" s="26"/>
      <c r="AQ675" s="26"/>
      <c r="AR675" s="26"/>
      <c r="AS675" s="26"/>
      <c r="AT675" s="26"/>
      <c r="AU675" s="26"/>
      <c r="AV675" s="26"/>
      <c r="AW675" s="26"/>
      <c r="AX675" s="26"/>
      <c r="AY675" s="26"/>
      <c r="AZ675" s="26"/>
      <c r="BA675" s="26"/>
      <c r="BB675" s="26"/>
      <c r="BC675" s="26"/>
      <c r="BD675" s="26"/>
      <c r="BE675" s="26"/>
      <c r="BF675" s="26"/>
      <c r="BG675" s="26"/>
      <c r="BH675" s="26"/>
      <c r="BI675" s="26"/>
      <c r="BJ675" s="26"/>
      <c r="BK675" s="26"/>
    </row>
    <row r="676" ht="14.25" customHeight="1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  <c r="AC676" s="26"/>
      <c r="AD676" s="26"/>
      <c r="AE676" s="26"/>
      <c r="AF676" s="26"/>
      <c r="AG676" s="26"/>
      <c r="AH676" s="26"/>
      <c r="AI676" s="26"/>
      <c r="AJ676" s="26"/>
      <c r="AK676" s="26"/>
      <c r="AL676" s="26"/>
      <c r="AM676" s="26"/>
      <c r="AN676" s="26"/>
      <c r="AO676" s="26"/>
      <c r="AP676" s="26"/>
      <c r="AQ676" s="26"/>
      <c r="AR676" s="26"/>
      <c r="AS676" s="26"/>
      <c r="AT676" s="26"/>
      <c r="AU676" s="26"/>
      <c r="AV676" s="26"/>
      <c r="AW676" s="26"/>
      <c r="AX676" s="26"/>
      <c r="AY676" s="26"/>
      <c r="AZ676" s="26"/>
      <c r="BA676" s="26"/>
      <c r="BB676" s="26"/>
      <c r="BC676" s="26"/>
      <c r="BD676" s="26"/>
      <c r="BE676" s="26"/>
      <c r="BF676" s="26"/>
      <c r="BG676" s="26"/>
      <c r="BH676" s="26"/>
      <c r="BI676" s="26"/>
      <c r="BJ676" s="26"/>
      <c r="BK676" s="26"/>
    </row>
    <row r="677" ht="14.25" customHeight="1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A677" s="26"/>
      <c r="AB677" s="26"/>
      <c r="AC677" s="26"/>
      <c r="AD677" s="26"/>
      <c r="AE677" s="26"/>
      <c r="AF677" s="26"/>
      <c r="AG677" s="26"/>
      <c r="AH677" s="26"/>
      <c r="AI677" s="26"/>
      <c r="AJ677" s="26"/>
      <c r="AK677" s="26"/>
      <c r="AL677" s="26"/>
      <c r="AM677" s="26"/>
      <c r="AN677" s="26"/>
      <c r="AO677" s="26"/>
      <c r="AP677" s="26"/>
      <c r="AQ677" s="26"/>
      <c r="AR677" s="26"/>
      <c r="AS677" s="26"/>
      <c r="AT677" s="26"/>
      <c r="AU677" s="26"/>
      <c r="AV677" s="26"/>
      <c r="AW677" s="26"/>
      <c r="AX677" s="26"/>
      <c r="AY677" s="26"/>
      <c r="AZ677" s="26"/>
      <c r="BA677" s="26"/>
      <c r="BB677" s="26"/>
      <c r="BC677" s="26"/>
      <c r="BD677" s="26"/>
      <c r="BE677" s="26"/>
      <c r="BF677" s="26"/>
      <c r="BG677" s="26"/>
      <c r="BH677" s="26"/>
      <c r="BI677" s="26"/>
      <c r="BJ677" s="26"/>
      <c r="BK677" s="26"/>
    </row>
    <row r="678" ht="14.25" customHeight="1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  <c r="AC678" s="26"/>
      <c r="AD678" s="26"/>
      <c r="AE678" s="26"/>
      <c r="AF678" s="26"/>
      <c r="AG678" s="26"/>
      <c r="AH678" s="26"/>
      <c r="AI678" s="26"/>
      <c r="AJ678" s="26"/>
      <c r="AK678" s="26"/>
      <c r="AL678" s="26"/>
      <c r="AM678" s="26"/>
      <c r="AN678" s="26"/>
      <c r="AO678" s="26"/>
      <c r="AP678" s="26"/>
      <c r="AQ678" s="26"/>
      <c r="AR678" s="26"/>
      <c r="AS678" s="26"/>
      <c r="AT678" s="26"/>
      <c r="AU678" s="26"/>
      <c r="AV678" s="26"/>
      <c r="AW678" s="26"/>
      <c r="AX678" s="26"/>
      <c r="AY678" s="26"/>
      <c r="AZ678" s="26"/>
      <c r="BA678" s="26"/>
      <c r="BB678" s="26"/>
      <c r="BC678" s="26"/>
      <c r="BD678" s="26"/>
      <c r="BE678" s="26"/>
      <c r="BF678" s="26"/>
      <c r="BG678" s="26"/>
      <c r="BH678" s="26"/>
      <c r="BI678" s="26"/>
      <c r="BJ678" s="26"/>
      <c r="BK678" s="26"/>
    </row>
    <row r="679" ht="14.25" customHeight="1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  <c r="AA679" s="26"/>
      <c r="AB679" s="26"/>
      <c r="AC679" s="26"/>
      <c r="AD679" s="26"/>
      <c r="AE679" s="26"/>
      <c r="AF679" s="26"/>
      <c r="AG679" s="26"/>
      <c r="AH679" s="26"/>
      <c r="AI679" s="26"/>
      <c r="AJ679" s="26"/>
      <c r="AK679" s="26"/>
      <c r="AL679" s="26"/>
      <c r="AM679" s="26"/>
      <c r="AN679" s="26"/>
      <c r="AO679" s="26"/>
      <c r="AP679" s="26"/>
      <c r="AQ679" s="26"/>
      <c r="AR679" s="26"/>
      <c r="AS679" s="26"/>
      <c r="AT679" s="26"/>
      <c r="AU679" s="26"/>
      <c r="AV679" s="26"/>
      <c r="AW679" s="26"/>
      <c r="AX679" s="26"/>
      <c r="AY679" s="26"/>
      <c r="AZ679" s="26"/>
      <c r="BA679" s="26"/>
      <c r="BB679" s="26"/>
      <c r="BC679" s="26"/>
      <c r="BD679" s="26"/>
      <c r="BE679" s="26"/>
      <c r="BF679" s="26"/>
      <c r="BG679" s="26"/>
      <c r="BH679" s="26"/>
      <c r="BI679" s="26"/>
      <c r="BJ679" s="26"/>
      <c r="BK679" s="26"/>
    </row>
    <row r="680" ht="14.25" customHeight="1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  <c r="AC680" s="26"/>
      <c r="AD680" s="26"/>
      <c r="AE680" s="26"/>
      <c r="AF680" s="26"/>
      <c r="AG680" s="26"/>
      <c r="AH680" s="26"/>
      <c r="AI680" s="26"/>
      <c r="AJ680" s="26"/>
      <c r="AK680" s="26"/>
      <c r="AL680" s="26"/>
      <c r="AM680" s="26"/>
      <c r="AN680" s="26"/>
      <c r="AO680" s="26"/>
      <c r="AP680" s="26"/>
      <c r="AQ680" s="26"/>
      <c r="AR680" s="26"/>
      <c r="AS680" s="26"/>
      <c r="AT680" s="26"/>
      <c r="AU680" s="26"/>
      <c r="AV680" s="26"/>
      <c r="AW680" s="26"/>
      <c r="AX680" s="26"/>
      <c r="AY680" s="26"/>
      <c r="AZ680" s="26"/>
      <c r="BA680" s="26"/>
      <c r="BB680" s="26"/>
      <c r="BC680" s="26"/>
      <c r="BD680" s="26"/>
      <c r="BE680" s="26"/>
      <c r="BF680" s="26"/>
      <c r="BG680" s="26"/>
      <c r="BH680" s="26"/>
      <c r="BI680" s="26"/>
      <c r="BJ680" s="26"/>
      <c r="BK680" s="26"/>
    </row>
    <row r="681" ht="14.25" customHeight="1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  <c r="AA681" s="26"/>
      <c r="AB681" s="26"/>
      <c r="AC681" s="26"/>
      <c r="AD681" s="26"/>
      <c r="AE681" s="26"/>
      <c r="AF681" s="26"/>
      <c r="AG681" s="26"/>
      <c r="AH681" s="26"/>
      <c r="AI681" s="26"/>
      <c r="AJ681" s="26"/>
      <c r="AK681" s="26"/>
      <c r="AL681" s="26"/>
      <c r="AM681" s="26"/>
      <c r="AN681" s="26"/>
      <c r="AO681" s="26"/>
      <c r="AP681" s="26"/>
      <c r="AQ681" s="26"/>
      <c r="AR681" s="26"/>
      <c r="AS681" s="26"/>
      <c r="AT681" s="26"/>
      <c r="AU681" s="26"/>
      <c r="AV681" s="26"/>
      <c r="AW681" s="26"/>
      <c r="AX681" s="26"/>
      <c r="AY681" s="26"/>
      <c r="AZ681" s="26"/>
      <c r="BA681" s="26"/>
      <c r="BB681" s="26"/>
      <c r="BC681" s="26"/>
      <c r="BD681" s="26"/>
      <c r="BE681" s="26"/>
      <c r="BF681" s="26"/>
      <c r="BG681" s="26"/>
      <c r="BH681" s="26"/>
      <c r="BI681" s="26"/>
      <c r="BJ681" s="26"/>
      <c r="BK681" s="26"/>
    </row>
    <row r="682" ht="14.25" customHeight="1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  <c r="AC682" s="26"/>
      <c r="AD682" s="26"/>
      <c r="AE682" s="26"/>
      <c r="AF682" s="26"/>
      <c r="AG682" s="26"/>
      <c r="AH682" s="26"/>
      <c r="AI682" s="26"/>
      <c r="AJ682" s="26"/>
      <c r="AK682" s="26"/>
      <c r="AL682" s="26"/>
      <c r="AM682" s="26"/>
      <c r="AN682" s="26"/>
      <c r="AO682" s="26"/>
      <c r="AP682" s="26"/>
      <c r="AQ682" s="26"/>
      <c r="AR682" s="26"/>
      <c r="AS682" s="26"/>
      <c r="AT682" s="26"/>
      <c r="AU682" s="26"/>
      <c r="AV682" s="26"/>
      <c r="AW682" s="26"/>
      <c r="AX682" s="26"/>
      <c r="AY682" s="26"/>
      <c r="AZ682" s="26"/>
      <c r="BA682" s="26"/>
      <c r="BB682" s="26"/>
      <c r="BC682" s="26"/>
      <c r="BD682" s="26"/>
      <c r="BE682" s="26"/>
      <c r="BF682" s="26"/>
      <c r="BG682" s="26"/>
      <c r="BH682" s="26"/>
      <c r="BI682" s="26"/>
      <c r="BJ682" s="26"/>
      <c r="BK682" s="26"/>
    </row>
    <row r="683" ht="14.25" customHeight="1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  <c r="AB683" s="26"/>
      <c r="AC683" s="26"/>
      <c r="AD683" s="26"/>
      <c r="AE683" s="26"/>
      <c r="AF683" s="26"/>
      <c r="AG683" s="26"/>
      <c r="AH683" s="26"/>
      <c r="AI683" s="26"/>
      <c r="AJ683" s="26"/>
      <c r="AK683" s="26"/>
      <c r="AL683" s="26"/>
      <c r="AM683" s="26"/>
      <c r="AN683" s="26"/>
      <c r="AO683" s="26"/>
      <c r="AP683" s="26"/>
      <c r="AQ683" s="26"/>
      <c r="AR683" s="26"/>
      <c r="AS683" s="26"/>
      <c r="AT683" s="26"/>
      <c r="AU683" s="26"/>
      <c r="AV683" s="26"/>
      <c r="AW683" s="26"/>
      <c r="AX683" s="26"/>
      <c r="AY683" s="26"/>
      <c r="AZ683" s="26"/>
      <c r="BA683" s="26"/>
      <c r="BB683" s="26"/>
      <c r="BC683" s="26"/>
      <c r="BD683" s="26"/>
      <c r="BE683" s="26"/>
      <c r="BF683" s="26"/>
      <c r="BG683" s="26"/>
      <c r="BH683" s="26"/>
      <c r="BI683" s="26"/>
      <c r="BJ683" s="26"/>
      <c r="BK683" s="26"/>
    </row>
    <row r="684" ht="14.25" customHeight="1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  <c r="AC684" s="26"/>
      <c r="AD684" s="26"/>
      <c r="AE684" s="26"/>
      <c r="AF684" s="26"/>
      <c r="AG684" s="26"/>
      <c r="AH684" s="26"/>
      <c r="AI684" s="26"/>
      <c r="AJ684" s="26"/>
      <c r="AK684" s="26"/>
      <c r="AL684" s="26"/>
      <c r="AM684" s="26"/>
      <c r="AN684" s="26"/>
      <c r="AO684" s="26"/>
      <c r="AP684" s="26"/>
      <c r="AQ684" s="26"/>
      <c r="AR684" s="26"/>
      <c r="AS684" s="26"/>
      <c r="AT684" s="26"/>
      <c r="AU684" s="26"/>
      <c r="AV684" s="26"/>
      <c r="AW684" s="26"/>
      <c r="AX684" s="26"/>
      <c r="AY684" s="26"/>
      <c r="AZ684" s="26"/>
      <c r="BA684" s="26"/>
      <c r="BB684" s="26"/>
      <c r="BC684" s="26"/>
      <c r="BD684" s="26"/>
      <c r="BE684" s="26"/>
      <c r="BF684" s="26"/>
      <c r="BG684" s="26"/>
      <c r="BH684" s="26"/>
      <c r="BI684" s="26"/>
      <c r="BJ684" s="26"/>
      <c r="BK684" s="26"/>
    </row>
    <row r="685" ht="14.25" customHeight="1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A685" s="26"/>
      <c r="AB685" s="26"/>
      <c r="AC685" s="26"/>
      <c r="AD685" s="26"/>
      <c r="AE685" s="26"/>
      <c r="AF685" s="26"/>
      <c r="AG685" s="26"/>
      <c r="AH685" s="26"/>
      <c r="AI685" s="26"/>
      <c r="AJ685" s="26"/>
      <c r="AK685" s="26"/>
      <c r="AL685" s="26"/>
      <c r="AM685" s="26"/>
      <c r="AN685" s="26"/>
      <c r="AO685" s="26"/>
      <c r="AP685" s="26"/>
      <c r="AQ685" s="26"/>
      <c r="AR685" s="26"/>
      <c r="AS685" s="26"/>
      <c r="AT685" s="26"/>
      <c r="AU685" s="26"/>
      <c r="AV685" s="26"/>
      <c r="AW685" s="26"/>
      <c r="AX685" s="26"/>
      <c r="AY685" s="26"/>
      <c r="AZ685" s="26"/>
      <c r="BA685" s="26"/>
      <c r="BB685" s="26"/>
      <c r="BC685" s="26"/>
      <c r="BD685" s="26"/>
      <c r="BE685" s="26"/>
      <c r="BF685" s="26"/>
      <c r="BG685" s="26"/>
      <c r="BH685" s="26"/>
      <c r="BI685" s="26"/>
      <c r="BJ685" s="26"/>
      <c r="BK685" s="26"/>
    </row>
    <row r="686" ht="14.25" customHeight="1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  <c r="AC686" s="26"/>
      <c r="AD686" s="26"/>
      <c r="AE686" s="26"/>
      <c r="AF686" s="26"/>
      <c r="AG686" s="26"/>
      <c r="AH686" s="26"/>
      <c r="AI686" s="26"/>
      <c r="AJ686" s="26"/>
      <c r="AK686" s="26"/>
      <c r="AL686" s="26"/>
      <c r="AM686" s="26"/>
      <c r="AN686" s="26"/>
      <c r="AO686" s="26"/>
      <c r="AP686" s="26"/>
      <c r="AQ686" s="26"/>
      <c r="AR686" s="26"/>
      <c r="AS686" s="26"/>
      <c r="AT686" s="26"/>
      <c r="AU686" s="26"/>
      <c r="AV686" s="26"/>
      <c r="AW686" s="26"/>
      <c r="AX686" s="26"/>
      <c r="AY686" s="26"/>
      <c r="AZ686" s="26"/>
      <c r="BA686" s="26"/>
      <c r="BB686" s="26"/>
      <c r="BC686" s="26"/>
      <c r="BD686" s="26"/>
      <c r="BE686" s="26"/>
      <c r="BF686" s="26"/>
      <c r="BG686" s="26"/>
      <c r="BH686" s="26"/>
      <c r="BI686" s="26"/>
      <c r="BJ686" s="26"/>
      <c r="BK686" s="26"/>
    </row>
    <row r="687" ht="14.25" customHeight="1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  <c r="AA687" s="26"/>
      <c r="AB687" s="26"/>
      <c r="AC687" s="26"/>
      <c r="AD687" s="26"/>
      <c r="AE687" s="26"/>
      <c r="AF687" s="26"/>
      <c r="AG687" s="26"/>
      <c r="AH687" s="26"/>
      <c r="AI687" s="26"/>
      <c r="AJ687" s="26"/>
      <c r="AK687" s="26"/>
      <c r="AL687" s="26"/>
      <c r="AM687" s="26"/>
      <c r="AN687" s="26"/>
      <c r="AO687" s="26"/>
      <c r="AP687" s="26"/>
      <c r="AQ687" s="26"/>
      <c r="AR687" s="26"/>
      <c r="AS687" s="26"/>
      <c r="AT687" s="26"/>
      <c r="AU687" s="26"/>
      <c r="AV687" s="26"/>
      <c r="AW687" s="26"/>
      <c r="AX687" s="26"/>
      <c r="AY687" s="26"/>
      <c r="AZ687" s="26"/>
      <c r="BA687" s="26"/>
      <c r="BB687" s="26"/>
      <c r="BC687" s="26"/>
      <c r="BD687" s="26"/>
      <c r="BE687" s="26"/>
      <c r="BF687" s="26"/>
      <c r="BG687" s="26"/>
      <c r="BH687" s="26"/>
      <c r="BI687" s="26"/>
      <c r="BJ687" s="26"/>
      <c r="BK687" s="26"/>
    </row>
    <row r="688" ht="14.25" customHeight="1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  <c r="AB688" s="26"/>
      <c r="AC688" s="26"/>
      <c r="AD688" s="26"/>
      <c r="AE688" s="26"/>
      <c r="AF688" s="26"/>
      <c r="AG688" s="26"/>
      <c r="AH688" s="26"/>
      <c r="AI688" s="26"/>
      <c r="AJ688" s="26"/>
      <c r="AK688" s="26"/>
      <c r="AL688" s="26"/>
      <c r="AM688" s="26"/>
      <c r="AN688" s="26"/>
      <c r="AO688" s="26"/>
      <c r="AP688" s="26"/>
      <c r="AQ688" s="26"/>
      <c r="AR688" s="26"/>
      <c r="AS688" s="26"/>
      <c r="AT688" s="26"/>
      <c r="AU688" s="26"/>
      <c r="AV688" s="26"/>
      <c r="AW688" s="26"/>
      <c r="AX688" s="26"/>
      <c r="AY688" s="26"/>
      <c r="AZ688" s="26"/>
      <c r="BA688" s="26"/>
      <c r="BB688" s="26"/>
      <c r="BC688" s="26"/>
      <c r="BD688" s="26"/>
      <c r="BE688" s="26"/>
      <c r="BF688" s="26"/>
      <c r="BG688" s="26"/>
      <c r="BH688" s="26"/>
      <c r="BI688" s="26"/>
      <c r="BJ688" s="26"/>
      <c r="BK688" s="26"/>
    </row>
    <row r="689" ht="14.25" customHeight="1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A689" s="26"/>
      <c r="AB689" s="26"/>
      <c r="AC689" s="26"/>
      <c r="AD689" s="26"/>
      <c r="AE689" s="26"/>
      <c r="AF689" s="26"/>
      <c r="AG689" s="26"/>
      <c r="AH689" s="26"/>
      <c r="AI689" s="26"/>
      <c r="AJ689" s="26"/>
      <c r="AK689" s="26"/>
      <c r="AL689" s="26"/>
      <c r="AM689" s="26"/>
      <c r="AN689" s="26"/>
      <c r="AO689" s="26"/>
      <c r="AP689" s="26"/>
      <c r="AQ689" s="26"/>
      <c r="AR689" s="26"/>
      <c r="AS689" s="26"/>
      <c r="AT689" s="26"/>
      <c r="AU689" s="26"/>
      <c r="AV689" s="26"/>
      <c r="AW689" s="26"/>
      <c r="AX689" s="26"/>
      <c r="AY689" s="26"/>
      <c r="AZ689" s="26"/>
      <c r="BA689" s="26"/>
      <c r="BB689" s="26"/>
      <c r="BC689" s="26"/>
      <c r="BD689" s="26"/>
      <c r="BE689" s="26"/>
      <c r="BF689" s="26"/>
      <c r="BG689" s="26"/>
      <c r="BH689" s="26"/>
      <c r="BI689" s="26"/>
      <c r="BJ689" s="26"/>
      <c r="BK689" s="26"/>
    </row>
    <row r="690" ht="14.25" customHeight="1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  <c r="AC690" s="26"/>
      <c r="AD690" s="26"/>
      <c r="AE690" s="26"/>
      <c r="AF690" s="26"/>
      <c r="AG690" s="26"/>
      <c r="AH690" s="26"/>
      <c r="AI690" s="26"/>
      <c r="AJ690" s="26"/>
      <c r="AK690" s="26"/>
      <c r="AL690" s="26"/>
      <c r="AM690" s="26"/>
      <c r="AN690" s="26"/>
      <c r="AO690" s="26"/>
      <c r="AP690" s="26"/>
      <c r="AQ690" s="26"/>
      <c r="AR690" s="26"/>
      <c r="AS690" s="26"/>
      <c r="AT690" s="26"/>
      <c r="AU690" s="26"/>
      <c r="AV690" s="26"/>
      <c r="AW690" s="26"/>
      <c r="AX690" s="26"/>
      <c r="AY690" s="26"/>
      <c r="AZ690" s="26"/>
      <c r="BA690" s="26"/>
      <c r="BB690" s="26"/>
      <c r="BC690" s="26"/>
      <c r="BD690" s="26"/>
      <c r="BE690" s="26"/>
      <c r="BF690" s="26"/>
      <c r="BG690" s="26"/>
      <c r="BH690" s="26"/>
      <c r="BI690" s="26"/>
      <c r="BJ690" s="26"/>
      <c r="BK690" s="26"/>
    </row>
    <row r="691" ht="14.25" customHeight="1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  <c r="AA691" s="26"/>
      <c r="AB691" s="26"/>
      <c r="AC691" s="26"/>
      <c r="AD691" s="26"/>
      <c r="AE691" s="26"/>
      <c r="AF691" s="26"/>
      <c r="AG691" s="26"/>
      <c r="AH691" s="26"/>
      <c r="AI691" s="26"/>
      <c r="AJ691" s="26"/>
      <c r="AK691" s="26"/>
      <c r="AL691" s="26"/>
      <c r="AM691" s="26"/>
      <c r="AN691" s="26"/>
      <c r="AO691" s="26"/>
      <c r="AP691" s="26"/>
      <c r="AQ691" s="26"/>
      <c r="AR691" s="26"/>
      <c r="AS691" s="26"/>
      <c r="AT691" s="26"/>
      <c r="AU691" s="26"/>
      <c r="AV691" s="26"/>
      <c r="AW691" s="26"/>
      <c r="AX691" s="26"/>
      <c r="AY691" s="26"/>
      <c r="AZ691" s="26"/>
      <c r="BA691" s="26"/>
      <c r="BB691" s="26"/>
      <c r="BC691" s="26"/>
      <c r="BD691" s="26"/>
      <c r="BE691" s="26"/>
      <c r="BF691" s="26"/>
      <c r="BG691" s="26"/>
      <c r="BH691" s="26"/>
      <c r="BI691" s="26"/>
      <c r="BJ691" s="26"/>
      <c r="BK691" s="26"/>
    </row>
    <row r="692" ht="14.25" customHeight="1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  <c r="AB692" s="26"/>
      <c r="AC692" s="26"/>
      <c r="AD692" s="26"/>
      <c r="AE692" s="26"/>
      <c r="AF692" s="26"/>
      <c r="AG692" s="26"/>
      <c r="AH692" s="26"/>
      <c r="AI692" s="26"/>
      <c r="AJ692" s="26"/>
      <c r="AK692" s="26"/>
      <c r="AL692" s="26"/>
      <c r="AM692" s="26"/>
      <c r="AN692" s="26"/>
      <c r="AO692" s="26"/>
      <c r="AP692" s="26"/>
      <c r="AQ692" s="26"/>
      <c r="AR692" s="26"/>
      <c r="AS692" s="26"/>
      <c r="AT692" s="26"/>
      <c r="AU692" s="26"/>
      <c r="AV692" s="26"/>
      <c r="AW692" s="26"/>
      <c r="AX692" s="26"/>
      <c r="AY692" s="26"/>
      <c r="AZ692" s="26"/>
      <c r="BA692" s="26"/>
      <c r="BB692" s="26"/>
      <c r="BC692" s="26"/>
      <c r="BD692" s="26"/>
      <c r="BE692" s="26"/>
      <c r="BF692" s="26"/>
      <c r="BG692" s="26"/>
      <c r="BH692" s="26"/>
      <c r="BI692" s="26"/>
      <c r="BJ692" s="26"/>
      <c r="BK692" s="26"/>
    </row>
    <row r="693" ht="14.25" customHeight="1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  <c r="AA693" s="26"/>
      <c r="AB693" s="26"/>
      <c r="AC693" s="26"/>
      <c r="AD693" s="26"/>
      <c r="AE693" s="26"/>
      <c r="AF693" s="26"/>
      <c r="AG693" s="26"/>
      <c r="AH693" s="26"/>
      <c r="AI693" s="26"/>
      <c r="AJ693" s="26"/>
      <c r="AK693" s="26"/>
      <c r="AL693" s="26"/>
      <c r="AM693" s="26"/>
      <c r="AN693" s="26"/>
      <c r="AO693" s="26"/>
      <c r="AP693" s="26"/>
      <c r="AQ693" s="26"/>
      <c r="AR693" s="26"/>
      <c r="AS693" s="26"/>
      <c r="AT693" s="26"/>
      <c r="AU693" s="26"/>
      <c r="AV693" s="26"/>
      <c r="AW693" s="26"/>
      <c r="AX693" s="26"/>
      <c r="AY693" s="26"/>
      <c r="AZ693" s="26"/>
      <c r="BA693" s="26"/>
      <c r="BB693" s="26"/>
      <c r="BC693" s="26"/>
      <c r="BD693" s="26"/>
      <c r="BE693" s="26"/>
      <c r="BF693" s="26"/>
      <c r="BG693" s="26"/>
      <c r="BH693" s="26"/>
      <c r="BI693" s="26"/>
      <c r="BJ693" s="26"/>
      <c r="BK693" s="26"/>
    </row>
    <row r="694" ht="14.25" customHeight="1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  <c r="AB694" s="26"/>
      <c r="AC694" s="26"/>
      <c r="AD694" s="26"/>
      <c r="AE694" s="26"/>
      <c r="AF694" s="26"/>
      <c r="AG694" s="26"/>
      <c r="AH694" s="26"/>
      <c r="AI694" s="26"/>
      <c r="AJ694" s="26"/>
      <c r="AK694" s="26"/>
      <c r="AL694" s="26"/>
      <c r="AM694" s="26"/>
      <c r="AN694" s="26"/>
      <c r="AO694" s="26"/>
      <c r="AP694" s="26"/>
      <c r="AQ694" s="26"/>
      <c r="AR694" s="26"/>
      <c r="AS694" s="26"/>
      <c r="AT694" s="26"/>
      <c r="AU694" s="26"/>
      <c r="AV694" s="26"/>
      <c r="AW694" s="26"/>
      <c r="AX694" s="26"/>
      <c r="AY694" s="26"/>
      <c r="AZ694" s="26"/>
      <c r="BA694" s="26"/>
      <c r="BB694" s="26"/>
      <c r="BC694" s="26"/>
      <c r="BD694" s="26"/>
      <c r="BE694" s="26"/>
      <c r="BF694" s="26"/>
      <c r="BG694" s="26"/>
      <c r="BH694" s="26"/>
      <c r="BI694" s="26"/>
      <c r="BJ694" s="26"/>
      <c r="BK694" s="26"/>
    </row>
    <row r="695" ht="14.25" customHeight="1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A695" s="26"/>
      <c r="AB695" s="26"/>
      <c r="AC695" s="26"/>
      <c r="AD695" s="26"/>
      <c r="AE695" s="26"/>
      <c r="AF695" s="26"/>
      <c r="AG695" s="26"/>
      <c r="AH695" s="26"/>
      <c r="AI695" s="26"/>
      <c r="AJ695" s="26"/>
      <c r="AK695" s="26"/>
      <c r="AL695" s="26"/>
      <c r="AM695" s="26"/>
      <c r="AN695" s="26"/>
      <c r="AO695" s="26"/>
      <c r="AP695" s="26"/>
      <c r="AQ695" s="26"/>
      <c r="AR695" s="26"/>
      <c r="AS695" s="26"/>
      <c r="AT695" s="26"/>
      <c r="AU695" s="26"/>
      <c r="AV695" s="26"/>
      <c r="AW695" s="26"/>
      <c r="AX695" s="26"/>
      <c r="AY695" s="26"/>
      <c r="AZ695" s="26"/>
      <c r="BA695" s="26"/>
      <c r="BB695" s="26"/>
      <c r="BC695" s="26"/>
      <c r="BD695" s="26"/>
      <c r="BE695" s="26"/>
      <c r="BF695" s="26"/>
      <c r="BG695" s="26"/>
      <c r="BH695" s="26"/>
      <c r="BI695" s="26"/>
      <c r="BJ695" s="26"/>
      <c r="BK695" s="26"/>
    </row>
    <row r="696" ht="14.25" customHeight="1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  <c r="AC696" s="26"/>
      <c r="AD696" s="26"/>
      <c r="AE696" s="26"/>
      <c r="AF696" s="26"/>
      <c r="AG696" s="26"/>
      <c r="AH696" s="26"/>
      <c r="AI696" s="26"/>
      <c r="AJ696" s="26"/>
      <c r="AK696" s="26"/>
      <c r="AL696" s="26"/>
      <c r="AM696" s="26"/>
      <c r="AN696" s="26"/>
      <c r="AO696" s="26"/>
      <c r="AP696" s="26"/>
      <c r="AQ696" s="26"/>
      <c r="AR696" s="26"/>
      <c r="AS696" s="26"/>
      <c r="AT696" s="26"/>
      <c r="AU696" s="26"/>
      <c r="AV696" s="26"/>
      <c r="AW696" s="26"/>
      <c r="AX696" s="26"/>
      <c r="AY696" s="26"/>
      <c r="AZ696" s="26"/>
      <c r="BA696" s="26"/>
      <c r="BB696" s="26"/>
      <c r="BC696" s="26"/>
      <c r="BD696" s="26"/>
      <c r="BE696" s="26"/>
      <c r="BF696" s="26"/>
      <c r="BG696" s="26"/>
      <c r="BH696" s="26"/>
      <c r="BI696" s="26"/>
      <c r="BJ696" s="26"/>
      <c r="BK696" s="26"/>
    </row>
    <row r="697" ht="14.25" customHeight="1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A697" s="26"/>
      <c r="AB697" s="26"/>
      <c r="AC697" s="26"/>
      <c r="AD697" s="26"/>
      <c r="AE697" s="26"/>
      <c r="AF697" s="26"/>
      <c r="AG697" s="26"/>
      <c r="AH697" s="26"/>
      <c r="AI697" s="26"/>
      <c r="AJ697" s="26"/>
      <c r="AK697" s="26"/>
      <c r="AL697" s="26"/>
      <c r="AM697" s="26"/>
      <c r="AN697" s="26"/>
      <c r="AO697" s="26"/>
      <c r="AP697" s="26"/>
      <c r="AQ697" s="26"/>
      <c r="AR697" s="26"/>
      <c r="AS697" s="26"/>
      <c r="AT697" s="26"/>
      <c r="AU697" s="26"/>
      <c r="AV697" s="26"/>
      <c r="AW697" s="26"/>
      <c r="AX697" s="26"/>
      <c r="AY697" s="26"/>
      <c r="AZ697" s="26"/>
      <c r="BA697" s="26"/>
      <c r="BB697" s="26"/>
      <c r="BC697" s="26"/>
      <c r="BD697" s="26"/>
      <c r="BE697" s="26"/>
      <c r="BF697" s="26"/>
      <c r="BG697" s="26"/>
      <c r="BH697" s="26"/>
      <c r="BI697" s="26"/>
      <c r="BJ697" s="26"/>
      <c r="BK697" s="26"/>
    </row>
    <row r="698" ht="14.25" customHeight="1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  <c r="AC698" s="26"/>
      <c r="AD698" s="26"/>
      <c r="AE698" s="26"/>
      <c r="AF698" s="26"/>
      <c r="AG698" s="26"/>
      <c r="AH698" s="26"/>
      <c r="AI698" s="26"/>
      <c r="AJ698" s="26"/>
      <c r="AK698" s="26"/>
      <c r="AL698" s="26"/>
      <c r="AM698" s="26"/>
      <c r="AN698" s="26"/>
      <c r="AO698" s="26"/>
      <c r="AP698" s="26"/>
      <c r="AQ698" s="26"/>
      <c r="AR698" s="26"/>
      <c r="AS698" s="26"/>
      <c r="AT698" s="26"/>
      <c r="AU698" s="26"/>
      <c r="AV698" s="26"/>
      <c r="AW698" s="26"/>
      <c r="AX698" s="26"/>
      <c r="AY698" s="26"/>
      <c r="AZ698" s="26"/>
      <c r="BA698" s="26"/>
      <c r="BB698" s="26"/>
      <c r="BC698" s="26"/>
      <c r="BD698" s="26"/>
      <c r="BE698" s="26"/>
      <c r="BF698" s="26"/>
      <c r="BG698" s="26"/>
      <c r="BH698" s="26"/>
      <c r="BI698" s="26"/>
      <c r="BJ698" s="26"/>
      <c r="BK698" s="26"/>
    </row>
    <row r="699" ht="14.25" customHeight="1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  <c r="AB699" s="26"/>
      <c r="AC699" s="26"/>
      <c r="AD699" s="26"/>
      <c r="AE699" s="26"/>
      <c r="AF699" s="26"/>
      <c r="AG699" s="26"/>
      <c r="AH699" s="26"/>
      <c r="AI699" s="26"/>
      <c r="AJ699" s="26"/>
      <c r="AK699" s="26"/>
      <c r="AL699" s="26"/>
      <c r="AM699" s="26"/>
      <c r="AN699" s="26"/>
      <c r="AO699" s="26"/>
      <c r="AP699" s="26"/>
      <c r="AQ699" s="26"/>
      <c r="AR699" s="26"/>
      <c r="AS699" s="26"/>
      <c r="AT699" s="26"/>
      <c r="AU699" s="26"/>
      <c r="AV699" s="26"/>
      <c r="AW699" s="26"/>
      <c r="AX699" s="26"/>
      <c r="AY699" s="26"/>
      <c r="AZ699" s="26"/>
      <c r="BA699" s="26"/>
      <c r="BB699" s="26"/>
      <c r="BC699" s="26"/>
      <c r="BD699" s="26"/>
      <c r="BE699" s="26"/>
      <c r="BF699" s="26"/>
      <c r="BG699" s="26"/>
      <c r="BH699" s="26"/>
      <c r="BI699" s="26"/>
      <c r="BJ699" s="26"/>
      <c r="BK699" s="26"/>
    </row>
    <row r="700" ht="14.25" customHeight="1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  <c r="AC700" s="26"/>
      <c r="AD700" s="26"/>
      <c r="AE700" s="26"/>
      <c r="AF700" s="26"/>
      <c r="AG700" s="26"/>
      <c r="AH700" s="26"/>
      <c r="AI700" s="26"/>
      <c r="AJ700" s="26"/>
      <c r="AK700" s="26"/>
      <c r="AL700" s="26"/>
      <c r="AM700" s="26"/>
      <c r="AN700" s="26"/>
      <c r="AO700" s="26"/>
      <c r="AP700" s="26"/>
      <c r="AQ700" s="26"/>
      <c r="AR700" s="26"/>
      <c r="AS700" s="26"/>
      <c r="AT700" s="26"/>
      <c r="AU700" s="26"/>
      <c r="AV700" s="26"/>
      <c r="AW700" s="26"/>
      <c r="AX700" s="26"/>
      <c r="AY700" s="26"/>
      <c r="AZ700" s="26"/>
      <c r="BA700" s="26"/>
      <c r="BB700" s="26"/>
      <c r="BC700" s="26"/>
      <c r="BD700" s="26"/>
      <c r="BE700" s="26"/>
      <c r="BF700" s="26"/>
      <c r="BG700" s="26"/>
      <c r="BH700" s="26"/>
      <c r="BI700" s="26"/>
      <c r="BJ700" s="26"/>
      <c r="BK700" s="26"/>
    </row>
    <row r="701" ht="14.25" customHeight="1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  <c r="AA701" s="26"/>
      <c r="AB701" s="26"/>
      <c r="AC701" s="26"/>
      <c r="AD701" s="26"/>
      <c r="AE701" s="26"/>
      <c r="AF701" s="26"/>
      <c r="AG701" s="26"/>
      <c r="AH701" s="26"/>
      <c r="AI701" s="26"/>
      <c r="AJ701" s="26"/>
      <c r="AK701" s="26"/>
      <c r="AL701" s="26"/>
      <c r="AM701" s="26"/>
      <c r="AN701" s="26"/>
      <c r="AO701" s="26"/>
      <c r="AP701" s="26"/>
      <c r="AQ701" s="26"/>
      <c r="AR701" s="26"/>
      <c r="AS701" s="26"/>
      <c r="AT701" s="26"/>
      <c r="AU701" s="26"/>
      <c r="AV701" s="26"/>
      <c r="AW701" s="26"/>
      <c r="AX701" s="26"/>
      <c r="AY701" s="26"/>
      <c r="AZ701" s="26"/>
      <c r="BA701" s="26"/>
      <c r="BB701" s="26"/>
      <c r="BC701" s="26"/>
      <c r="BD701" s="26"/>
      <c r="BE701" s="26"/>
      <c r="BF701" s="26"/>
      <c r="BG701" s="26"/>
      <c r="BH701" s="26"/>
      <c r="BI701" s="26"/>
      <c r="BJ701" s="26"/>
      <c r="BK701" s="26"/>
    </row>
    <row r="702" ht="14.25" customHeight="1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  <c r="AC702" s="26"/>
      <c r="AD702" s="26"/>
      <c r="AE702" s="26"/>
      <c r="AF702" s="26"/>
      <c r="AG702" s="26"/>
      <c r="AH702" s="26"/>
      <c r="AI702" s="26"/>
      <c r="AJ702" s="26"/>
      <c r="AK702" s="26"/>
      <c r="AL702" s="26"/>
      <c r="AM702" s="26"/>
      <c r="AN702" s="26"/>
      <c r="AO702" s="26"/>
      <c r="AP702" s="26"/>
      <c r="AQ702" s="26"/>
      <c r="AR702" s="26"/>
      <c r="AS702" s="26"/>
      <c r="AT702" s="26"/>
      <c r="AU702" s="26"/>
      <c r="AV702" s="26"/>
      <c r="AW702" s="26"/>
      <c r="AX702" s="26"/>
      <c r="AY702" s="26"/>
      <c r="AZ702" s="26"/>
      <c r="BA702" s="26"/>
      <c r="BB702" s="26"/>
      <c r="BC702" s="26"/>
      <c r="BD702" s="26"/>
      <c r="BE702" s="26"/>
      <c r="BF702" s="26"/>
      <c r="BG702" s="26"/>
      <c r="BH702" s="26"/>
      <c r="BI702" s="26"/>
      <c r="BJ702" s="26"/>
      <c r="BK702" s="26"/>
    </row>
    <row r="703" ht="14.25" customHeight="1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  <c r="AA703" s="26"/>
      <c r="AB703" s="26"/>
      <c r="AC703" s="26"/>
      <c r="AD703" s="26"/>
      <c r="AE703" s="26"/>
      <c r="AF703" s="26"/>
      <c r="AG703" s="26"/>
      <c r="AH703" s="26"/>
      <c r="AI703" s="26"/>
      <c r="AJ703" s="26"/>
      <c r="AK703" s="26"/>
      <c r="AL703" s="26"/>
      <c r="AM703" s="26"/>
      <c r="AN703" s="26"/>
      <c r="AO703" s="26"/>
      <c r="AP703" s="26"/>
      <c r="AQ703" s="26"/>
      <c r="AR703" s="26"/>
      <c r="AS703" s="26"/>
      <c r="AT703" s="26"/>
      <c r="AU703" s="26"/>
      <c r="AV703" s="26"/>
      <c r="AW703" s="26"/>
      <c r="AX703" s="26"/>
      <c r="AY703" s="26"/>
      <c r="AZ703" s="26"/>
      <c r="BA703" s="26"/>
      <c r="BB703" s="26"/>
      <c r="BC703" s="26"/>
      <c r="BD703" s="26"/>
      <c r="BE703" s="26"/>
      <c r="BF703" s="26"/>
      <c r="BG703" s="26"/>
      <c r="BH703" s="26"/>
      <c r="BI703" s="26"/>
      <c r="BJ703" s="26"/>
      <c r="BK703" s="26"/>
    </row>
    <row r="704" ht="14.25" customHeight="1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  <c r="AB704" s="26"/>
      <c r="AC704" s="26"/>
      <c r="AD704" s="26"/>
      <c r="AE704" s="26"/>
      <c r="AF704" s="26"/>
      <c r="AG704" s="26"/>
      <c r="AH704" s="26"/>
      <c r="AI704" s="26"/>
      <c r="AJ704" s="26"/>
      <c r="AK704" s="26"/>
      <c r="AL704" s="26"/>
      <c r="AM704" s="26"/>
      <c r="AN704" s="26"/>
      <c r="AO704" s="26"/>
      <c r="AP704" s="26"/>
      <c r="AQ704" s="26"/>
      <c r="AR704" s="26"/>
      <c r="AS704" s="26"/>
      <c r="AT704" s="26"/>
      <c r="AU704" s="26"/>
      <c r="AV704" s="26"/>
      <c r="AW704" s="26"/>
      <c r="AX704" s="26"/>
      <c r="AY704" s="26"/>
      <c r="AZ704" s="26"/>
      <c r="BA704" s="26"/>
      <c r="BB704" s="26"/>
      <c r="BC704" s="26"/>
      <c r="BD704" s="26"/>
      <c r="BE704" s="26"/>
      <c r="BF704" s="26"/>
      <c r="BG704" s="26"/>
      <c r="BH704" s="26"/>
      <c r="BI704" s="26"/>
      <c r="BJ704" s="26"/>
      <c r="BK704" s="26"/>
    </row>
    <row r="705" ht="14.25" customHeight="1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  <c r="AA705" s="26"/>
      <c r="AB705" s="26"/>
      <c r="AC705" s="26"/>
      <c r="AD705" s="26"/>
      <c r="AE705" s="26"/>
      <c r="AF705" s="26"/>
      <c r="AG705" s="26"/>
      <c r="AH705" s="26"/>
      <c r="AI705" s="26"/>
      <c r="AJ705" s="26"/>
      <c r="AK705" s="26"/>
      <c r="AL705" s="26"/>
      <c r="AM705" s="26"/>
      <c r="AN705" s="26"/>
      <c r="AO705" s="26"/>
      <c r="AP705" s="26"/>
      <c r="AQ705" s="26"/>
      <c r="AR705" s="26"/>
      <c r="AS705" s="26"/>
      <c r="AT705" s="26"/>
      <c r="AU705" s="26"/>
      <c r="AV705" s="26"/>
      <c r="AW705" s="26"/>
      <c r="AX705" s="26"/>
      <c r="AY705" s="26"/>
      <c r="AZ705" s="26"/>
      <c r="BA705" s="26"/>
      <c r="BB705" s="26"/>
      <c r="BC705" s="26"/>
      <c r="BD705" s="26"/>
      <c r="BE705" s="26"/>
      <c r="BF705" s="26"/>
      <c r="BG705" s="26"/>
      <c r="BH705" s="26"/>
      <c r="BI705" s="26"/>
      <c r="BJ705" s="26"/>
      <c r="BK705" s="26"/>
    </row>
    <row r="706" ht="14.25" customHeight="1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  <c r="AB706" s="26"/>
      <c r="AC706" s="26"/>
      <c r="AD706" s="26"/>
      <c r="AE706" s="26"/>
      <c r="AF706" s="26"/>
      <c r="AG706" s="26"/>
      <c r="AH706" s="26"/>
      <c r="AI706" s="26"/>
      <c r="AJ706" s="26"/>
      <c r="AK706" s="26"/>
      <c r="AL706" s="26"/>
      <c r="AM706" s="26"/>
      <c r="AN706" s="26"/>
      <c r="AO706" s="26"/>
      <c r="AP706" s="26"/>
      <c r="AQ706" s="26"/>
      <c r="AR706" s="26"/>
      <c r="AS706" s="26"/>
      <c r="AT706" s="26"/>
      <c r="AU706" s="26"/>
      <c r="AV706" s="26"/>
      <c r="AW706" s="26"/>
      <c r="AX706" s="26"/>
      <c r="AY706" s="26"/>
      <c r="AZ706" s="26"/>
      <c r="BA706" s="26"/>
      <c r="BB706" s="26"/>
      <c r="BC706" s="26"/>
      <c r="BD706" s="26"/>
      <c r="BE706" s="26"/>
      <c r="BF706" s="26"/>
      <c r="BG706" s="26"/>
      <c r="BH706" s="26"/>
      <c r="BI706" s="26"/>
      <c r="BJ706" s="26"/>
      <c r="BK706" s="26"/>
    </row>
    <row r="707" ht="14.25" customHeight="1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  <c r="AA707" s="26"/>
      <c r="AB707" s="26"/>
      <c r="AC707" s="26"/>
      <c r="AD707" s="26"/>
      <c r="AE707" s="26"/>
      <c r="AF707" s="26"/>
      <c r="AG707" s="26"/>
      <c r="AH707" s="26"/>
      <c r="AI707" s="26"/>
      <c r="AJ707" s="26"/>
      <c r="AK707" s="26"/>
      <c r="AL707" s="26"/>
      <c r="AM707" s="26"/>
      <c r="AN707" s="26"/>
      <c r="AO707" s="26"/>
      <c r="AP707" s="26"/>
      <c r="AQ707" s="26"/>
      <c r="AR707" s="26"/>
      <c r="AS707" s="26"/>
      <c r="AT707" s="26"/>
      <c r="AU707" s="26"/>
      <c r="AV707" s="26"/>
      <c r="AW707" s="26"/>
      <c r="AX707" s="26"/>
      <c r="AY707" s="26"/>
      <c r="AZ707" s="26"/>
      <c r="BA707" s="26"/>
      <c r="BB707" s="26"/>
      <c r="BC707" s="26"/>
      <c r="BD707" s="26"/>
      <c r="BE707" s="26"/>
      <c r="BF707" s="26"/>
      <c r="BG707" s="26"/>
      <c r="BH707" s="26"/>
      <c r="BI707" s="26"/>
      <c r="BJ707" s="26"/>
      <c r="BK707" s="26"/>
    </row>
    <row r="708" ht="14.25" customHeight="1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  <c r="AB708" s="26"/>
      <c r="AC708" s="26"/>
      <c r="AD708" s="26"/>
      <c r="AE708" s="26"/>
      <c r="AF708" s="26"/>
      <c r="AG708" s="26"/>
      <c r="AH708" s="26"/>
      <c r="AI708" s="26"/>
      <c r="AJ708" s="26"/>
      <c r="AK708" s="26"/>
      <c r="AL708" s="26"/>
      <c r="AM708" s="26"/>
      <c r="AN708" s="26"/>
      <c r="AO708" s="26"/>
      <c r="AP708" s="26"/>
      <c r="AQ708" s="26"/>
      <c r="AR708" s="26"/>
      <c r="AS708" s="26"/>
      <c r="AT708" s="26"/>
      <c r="AU708" s="26"/>
      <c r="AV708" s="26"/>
      <c r="AW708" s="26"/>
      <c r="AX708" s="26"/>
      <c r="AY708" s="26"/>
      <c r="AZ708" s="26"/>
      <c r="BA708" s="26"/>
      <c r="BB708" s="26"/>
      <c r="BC708" s="26"/>
      <c r="BD708" s="26"/>
      <c r="BE708" s="26"/>
      <c r="BF708" s="26"/>
      <c r="BG708" s="26"/>
      <c r="BH708" s="26"/>
      <c r="BI708" s="26"/>
      <c r="BJ708" s="26"/>
      <c r="BK708" s="26"/>
    </row>
    <row r="709" ht="14.25" customHeight="1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/>
      <c r="AB709" s="26"/>
      <c r="AC709" s="26"/>
      <c r="AD709" s="26"/>
      <c r="AE709" s="26"/>
      <c r="AF709" s="26"/>
      <c r="AG709" s="26"/>
      <c r="AH709" s="26"/>
      <c r="AI709" s="26"/>
      <c r="AJ709" s="26"/>
      <c r="AK709" s="26"/>
      <c r="AL709" s="26"/>
      <c r="AM709" s="26"/>
      <c r="AN709" s="26"/>
      <c r="AO709" s="26"/>
      <c r="AP709" s="26"/>
      <c r="AQ709" s="26"/>
      <c r="AR709" s="26"/>
      <c r="AS709" s="26"/>
      <c r="AT709" s="26"/>
      <c r="AU709" s="26"/>
      <c r="AV709" s="26"/>
      <c r="AW709" s="26"/>
      <c r="AX709" s="26"/>
      <c r="AY709" s="26"/>
      <c r="AZ709" s="26"/>
      <c r="BA709" s="26"/>
      <c r="BB709" s="26"/>
      <c r="BC709" s="26"/>
      <c r="BD709" s="26"/>
      <c r="BE709" s="26"/>
      <c r="BF709" s="26"/>
      <c r="BG709" s="26"/>
      <c r="BH709" s="26"/>
      <c r="BI709" s="26"/>
      <c r="BJ709" s="26"/>
      <c r="BK709" s="26"/>
    </row>
    <row r="710" ht="14.25" customHeight="1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  <c r="AB710" s="26"/>
      <c r="AC710" s="26"/>
      <c r="AD710" s="26"/>
      <c r="AE710" s="26"/>
      <c r="AF710" s="26"/>
      <c r="AG710" s="26"/>
      <c r="AH710" s="26"/>
      <c r="AI710" s="26"/>
      <c r="AJ710" s="26"/>
      <c r="AK710" s="26"/>
      <c r="AL710" s="26"/>
      <c r="AM710" s="26"/>
      <c r="AN710" s="26"/>
      <c r="AO710" s="26"/>
      <c r="AP710" s="26"/>
      <c r="AQ710" s="26"/>
      <c r="AR710" s="26"/>
      <c r="AS710" s="26"/>
      <c r="AT710" s="26"/>
      <c r="AU710" s="26"/>
      <c r="AV710" s="26"/>
      <c r="AW710" s="26"/>
      <c r="AX710" s="26"/>
      <c r="AY710" s="26"/>
      <c r="AZ710" s="26"/>
      <c r="BA710" s="26"/>
      <c r="BB710" s="26"/>
      <c r="BC710" s="26"/>
      <c r="BD710" s="26"/>
      <c r="BE710" s="26"/>
      <c r="BF710" s="26"/>
      <c r="BG710" s="26"/>
      <c r="BH710" s="26"/>
      <c r="BI710" s="26"/>
      <c r="BJ710" s="26"/>
      <c r="BK710" s="26"/>
    </row>
    <row r="711" ht="14.25" customHeight="1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  <c r="AA711" s="26"/>
      <c r="AB711" s="26"/>
      <c r="AC711" s="26"/>
      <c r="AD711" s="26"/>
      <c r="AE711" s="26"/>
      <c r="AF711" s="26"/>
      <c r="AG711" s="26"/>
      <c r="AH711" s="26"/>
      <c r="AI711" s="26"/>
      <c r="AJ711" s="26"/>
      <c r="AK711" s="26"/>
      <c r="AL711" s="26"/>
      <c r="AM711" s="26"/>
      <c r="AN711" s="26"/>
      <c r="AO711" s="26"/>
      <c r="AP711" s="26"/>
      <c r="AQ711" s="26"/>
      <c r="AR711" s="26"/>
      <c r="AS711" s="26"/>
      <c r="AT711" s="26"/>
      <c r="AU711" s="26"/>
      <c r="AV711" s="26"/>
      <c r="AW711" s="26"/>
      <c r="AX711" s="26"/>
      <c r="AY711" s="26"/>
      <c r="AZ711" s="26"/>
      <c r="BA711" s="26"/>
      <c r="BB711" s="26"/>
      <c r="BC711" s="26"/>
      <c r="BD711" s="26"/>
      <c r="BE711" s="26"/>
      <c r="BF711" s="26"/>
      <c r="BG711" s="26"/>
      <c r="BH711" s="26"/>
      <c r="BI711" s="26"/>
      <c r="BJ711" s="26"/>
      <c r="BK711" s="26"/>
    </row>
    <row r="712" ht="14.25" customHeight="1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  <c r="AB712" s="26"/>
      <c r="AC712" s="26"/>
      <c r="AD712" s="26"/>
      <c r="AE712" s="26"/>
      <c r="AF712" s="26"/>
      <c r="AG712" s="26"/>
      <c r="AH712" s="26"/>
      <c r="AI712" s="26"/>
      <c r="AJ712" s="26"/>
      <c r="AK712" s="26"/>
      <c r="AL712" s="26"/>
      <c r="AM712" s="26"/>
      <c r="AN712" s="26"/>
      <c r="AO712" s="26"/>
      <c r="AP712" s="26"/>
      <c r="AQ712" s="26"/>
      <c r="AR712" s="26"/>
      <c r="AS712" s="26"/>
      <c r="AT712" s="26"/>
      <c r="AU712" s="26"/>
      <c r="AV712" s="26"/>
      <c r="AW712" s="26"/>
      <c r="AX712" s="26"/>
      <c r="AY712" s="26"/>
      <c r="AZ712" s="26"/>
      <c r="BA712" s="26"/>
      <c r="BB712" s="26"/>
      <c r="BC712" s="26"/>
      <c r="BD712" s="26"/>
      <c r="BE712" s="26"/>
      <c r="BF712" s="26"/>
      <c r="BG712" s="26"/>
      <c r="BH712" s="26"/>
      <c r="BI712" s="26"/>
      <c r="BJ712" s="26"/>
      <c r="BK712" s="26"/>
    </row>
    <row r="713" ht="14.25" customHeight="1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  <c r="AA713" s="26"/>
      <c r="AB713" s="26"/>
      <c r="AC713" s="26"/>
      <c r="AD713" s="26"/>
      <c r="AE713" s="26"/>
      <c r="AF713" s="26"/>
      <c r="AG713" s="26"/>
      <c r="AH713" s="26"/>
      <c r="AI713" s="26"/>
      <c r="AJ713" s="26"/>
      <c r="AK713" s="26"/>
      <c r="AL713" s="26"/>
      <c r="AM713" s="26"/>
      <c r="AN713" s="26"/>
      <c r="AO713" s="26"/>
      <c r="AP713" s="26"/>
      <c r="AQ713" s="26"/>
      <c r="AR713" s="26"/>
      <c r="AS713" s="26"/>
      <c r="AT713" s="26"/>
      <c r="AU713" s="26"/>
      <c r="AV713" s="26"/>
      <c r="AW713" s="26"/>
      <c r="AX713" s="26"/>
      <c r="AY713" s="26"/>
      <c r="AZ713" s="26"/>
      <c r="BA713" s="26"/>
      <c r="BB713" s="26"/>
      <c r="BC713" s="26"/>
      <c r="BD713" s="26"/>
      <c r="BE713" s="26"/>
      <c r="BF713" s="26"/>
      <c r="BG713" s="26"/>
      <c r="BH713" s="26"/>
      <c r="BI713" s="26"/>
      <c r="BJ713" s="26"/>
      <c r="BK713" s="26"/>
    </row>
    <row r="714" ht="14.25" customHeight="1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  <c r="AC714" s="26"/>
      <c r="AD714" s="26"/>
      <c r="AE714" s="26"/>
      <c r="AF714" s="26"/>
      <c r="AG714" s="26"/>
      <c r="AH714" s="26"/>
      <c r="AI714" s="26"/>
      <c r="AJ714" s="26"/>
      <c r="AK714" s="26"/>
      <c r="AL714" s="26"/>
      <c r="AM714" s="26"/>
      <c r="AN714" s="26"/>
      <c r="AO714" s="26"/>
      <c r="AP714" s="26"/>
      <c r="AQ714" s="26"/>
      <c r="AR714" s="26"/>
      <c r="AS714" s="26"/>
      <c r="AT714" s="26"/>
      <c r="AU714" s="26"/>
      <c r="AV714" s="26"/>
      <c r="AW714" s="26"/>
      <c r="AX714" s="26"/>
      <c r="AY714" s="26"/>
      <c r="AZ714" s="26"/>
      <c r="BA714" s="26"/>
      <c r="BB714" s="26"/>
      <c r="BC714" s="26"/>
      <c r="BD714" s="26"/>
      <c r="BE714" s="26"/>
      <c r="BF714" s="26"/>
      <c r="BG714" s="26"/>
      <c r="BH714" s="26"/>
      <c r="BI714" s="26"/>
      <c r="BJ714" s="26"/>
      <c r="BK714" s="26"/>
    </row>
    <row r="715" ht="14.25" customHeight="1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  <c r="AA715" s="26"/>
      <c r="AB715" s="26"/>
      <c r="AC715" s="26"/>
      <c r="AD715" s="26"/>
      <c r="AE715" s="26"/>
      <c r="AF715" s="26"/>
      <c r="AG715" s="26"/>
      <c r="AH715" s="26"/>
      <c r="AI715" s="26"/>
      <c r="AJ715" s="26"/>
      <c r="AK715" s="26"/>
      <c r="AL715" s="26"/>
      <c r="AM715" s="26"/>
      <c r="AN715" s="26"/>
      <c r="AO715" s="26"/>
      <c r="AP715" s="26"/>
      <c r="AQ715" s="26"/>
      <c r="AR715" s="26"/>
      <c r="AS715" s="26"/>
      <c r="AT715" s="26"/>
      <c r="AU715" s="26"/>
      <c r="AV715" s="26"/>
      <c r="AW715" s="26"/>
      <c r="AX715" s="26"/>
      <c r="AY715" s="26"/>
      <c r="AZ715" s="26"/>
      <c r="BA715" s="26"/>
      <c r="BB715" s="26"/>
      <c r="BC715" s="26"/>
      <c r="BD715" s="26"/>
      <c r="BE715" s="26"/>
      <c r="BF715" s="26"/>
      <c r="BG715" s="26"/>
      <c r="BH715" s="26"/>
      <c r="BI715" s="26"/>
      <c r="BJ715" s="26"/>
      <c r="BK715" s="26"/>
    </row>
    <row r="716" ht="14.25" customHeight="1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  <c r="AC716" s="26"/>
      <c r="AD716" s="26"/>
      <c r="AE716" s="26"/>
      <c r="AF716" s="26"/>
      <c r="AG716" s="26"/>
      <c r="AH716" s="26"/>
      <c r="AI716" s="26"/>
      <c r="AJ716" s="26"/>
      <c r="AK716" s="26"/>
      <c r="AL716" s="26"/>
      <c r="AM716" s="26"/>
      <c r="AN716" s="26"/>
      <c r="AO716" s="26"/>
      <c r="AP716" s="26"/>
      <c r="AQ716" s="26"/>
      <c r="AR716" s="26"/>
      <c r="AS716" s="26"/>
      <c r="AT716" s="26"/>
      <c r="AU716" s="26"/>
      <c r="AV716" s="26"/>
      <c r="AW716" s="26"/>
      <c r="AX716" s="26"/>
      <c r="AY716" s="26"/>
      <c r="AZ716" s="26"/>
      <c r="BA716" s="26"/>
      <c r="BB716" s="26"/>
      <c r="BC716" s="26"/>
      <c r="BD716" s="26"/>
      <c r="BE716" s="26"/>
      <c r="BF716" s="26"/>
      <c r="BG716" s="26"/>
      <c r="BH716" s="26"/>
      <c r="BI716" s="26"/>
      <c r="BJ716" s="26"/>
      <c r="BK716" s="26"/>
    </row>
    <row r="717" ht="14.25" customHeight="1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6"/>
      <c r="AB717" s="26"/>
      <c r="AC717" s="26"/>
      <c r="AD717" s="26"/>
      <c r="AE717" s="26"/>
      <c r="AF717" s="26"/>
      <c r="AG717" s="26"/>
      <c r="AH717" s="26"/>
      <c r="AI717" s="26"/>
      <c r="AJ717" s="26"/>
      <c r="AK717" s="26"/>
      <c r="AL717" s="26"/>
      <c r="AM717" s="26"/>
      <c r="AN717" s="26"/>
      <c r="AO717" s="26"/>
      <c r="AP717" s="26"/>
      <c r="AQ717" s="26"/>
      <c r="AR717" s="26"/>
      <c r="AS717" s="26"/>
      <c r="AT717" s="26"/>
      <c r="AU717" s="26"/>
      <c r="AV717" s="26"/>
      <c r="AW717" s="26"/>
      <c r="AX717" s="26"/>
      <c r="AY717" s="26"/>
      <c r="AZ717" s="26"/>
      <c r="BA717" s="26"/>
      <c r="BB717" s="26"/>
      <c r="BC717" s="26"/>
      <c r="BD717" s="26"/>
      <c r="BE717" s="26"/>
      <c r="BF717" s="26"/>
      <c r="BG717" s="26"/>
      <c r="BH717" s="26"/>
      <c r="BI717" s="26"/>
      <c r="BJ717" s="26"/>
      <c r="BK717" s="26"/>
    </row>
    <row r="718" ht="14.25" customHeight="1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  <c r="AB718" s="26"/>
      <c r="AC718" s="26"/>
      <c r="AD718" s="26"/>
      <c r="AE718" s="26"/>
      <c r="AF718" s="26"/>
      <c r="AG718" s="26"/>
      <c r="AH718" s="26"/>
      <c r="AI718" s="26"/>
      <c r="AJ718" s="26"/>
      <c r="AK718" s="26"/>
      <c r="AL718" s="26"/>
      <c r="AM718" s="26"/>
      <c r="AN718" s="26"/>
      <c r="AO718" s="26"/>
      <c r="AP718" s="26"/>
      <c r="AQ718" s="26"/>
      <c r="AR718" s="26"/>
      <c r="AS718" s="26"/>
      <c r="AT718" s="26"/>
      <c r="AU718" s="26"/>
      <c r="AV718" s="26"/>
      <c r="AW718" s="26"/>
      <c r="AX718" s="26"/>
      <c r="AY718" s="26"/>
      <c r="AZ718" s="26"/>
      <c r="BA718" s="26"/>
      <c r="BB718" s="26"/>
      <c r="BC718" s="26"/>
      <c r="BD718" s="26"/>
      <c r="BE718" s="26"/>
      <c r="BF718" s="26"/>
      <c r="BG718" s="26"/>
      <c r="BH718" s="26"/>
      <c r="BI718" s="26"/>
      <c r="BJ718" s="26"/>
      <c r="BK718" s="26"/>
    </row>
    <row r="719" ht="14.25" customHeight="1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  <c r="AA719" s="26"/>
      <c r="AB719" s="26"/>
      <c r="AC719" s="26"/>
      <c r="AD719" s="26"/>
      <c r="AE719" s="26"/>
      <c r="AF719" s="26"/>
      <c r="AG719" s="26"/>
      <c r="AH719" s="26"/>
      <c r="AI719" s="26"/>
      <c r="AJ719" s="26"/>
      <c r="AK719" s="26"/>
      <c r="AL719" s="26"/>
      <c r="AM719" s="26"/>
      <c r="AN719" s="26"/>
      <c r="AO719" s="26"/>
      <c r="AP719" s="26"/>
      <c r="AQ719" s="26"/>
      <c r="AR719" s="26"/>
      <c r="AS719" s="26"/>
      <c r="AT719" s="26"/>
      <c r="AU719" s="26"/>
      <c r="AV719" s="26"/>
      <c r="AW719" s="26"/>
      <c r="AX719" s="26"/>
      <c r="AY719" s="26"/>
      <c r="AZ719" s="26"/>
      <c r="BA719" s="26"/>
      <c r="BB719" s="26"/>
      <c r="BC719" s="26"/>
      <c r="BD719" s="26"/>
      <c r="BE719" s="26"/>
      <c r="BF719" s="26"/>
      <c r="BG719" s="26"/>
      <c r="BH719" s="26"/>
      <c r="BI719" s="26"/>
      <c r="BJ719" s="26"/>
      <c r="BK719" s="26"/>
    </row>
    <row r="720" ht="14.25" customHeight="1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  <c r="AB720" s="26"/>
      <c r="AC720" s="26"/>
      <c r="AD720" s="26"/>
      <c r="AE720" s="26"/>
      <c r="AF720" s="26"/>
      <c r="AG720" s="26"/>
      <c r="AH720" s="26"/>
      <c r="AI720" s="26"/>
      <c r="AJ720" s="26"/>
      <c r="AK720" s="26"/>
      <c r="AL720" s="26"/>
      <c r="AM720" s="26"/>
      <c r="AN720" s="26"/>
      <c r="AO720" s="26"/>
      <c r="AP720" s="26"/>
      <c r="AQ720" s="26"/>
      <c r="AR720" s="26"/>
      <c r="AS720" s="26"/>
      <c r="AT720" s="26"/>
      <c r="AU720" s="26"/>
      <c r="AV720" s="26"/>
      <c r="AW720" s="26"/>
      <c r="AX720" s="26"/>
      <c r="AY720" s="26"/>
      <c r="AZ720" s="26"/>
      <c r="BA720" s="26"/>
      <c r="BB720" s="26"/>
      <c r="BC720" s="26"/>
      <c r="BD720" s="26"/>
      <c r="BE720" s="26"/>
      <c r="BF720" s="26"/>
      <c r="BG720" s="26"/>
      <c r="BH720" s="26"/>
      <c r="BI720" s="26"/>
      <c r="BJ720" s="26"/>
      <c r="BK720" s="26"/>
    </row>
    <row r="721" ht="14.25" customHeight="1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  <c r="AA721" s="26"/>
      <c r="AB721" s="26"/>
      <c r="AC721" s="26"/>
      <c r="AD721" s="26"/>
      <c r="AE721" s="26"/>
      <c r="AF721" s="26"/>
      <c r="AG721" s="26"/>
      <c r="AH721" s="26"/>
      <c r="AI721" s="26"/>
      <c r="AJ721" s="26"/>
      <c r="AK721" s="26"/>
      <c r="AL721" s="26"/>
      <c r="AM721" s="26"/>
      <c r="AN721" s="26"/>
      <c r="AO721" s="26"/>
      <c r="AP721" s="26"/>
      <c r="AQ721" s="26"/>
      <c r="AR721" s="26"/>
      <c r="AS721" s="26"/>
      <c r="AT721" s="26"/>
      <c r="AU721" s="26"/>
      <c r="AV721" s="26"/>
      <c r="AW721" s="26"/>
      <c r="AX721" s="26"/>
      <c r="AY721" s="26"/>
      <c r="AZ721" s="26"/>
      <c r="BA721" s="26"/>
      <c r="BB721" s="26"/>
      <c r="BC721" s="26"/>
      <c r="BD721" s="26"/>
      <c r="BE721" s="26"/>
      <c r="BF721" s="26"/>
      <c r="BG721" s="26"/>
      <c r="BH721" s="26"/>
      <c r="BI721" s="26"/>
      <c r="BJ721" s="26"/>
      <c r="BK721" s="26"/>
    </row>
    <row r="722" ht="14.25" customHeight="1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  <c r="AC722" s="26"/>
      <c r="AD722" s="26"/>
      <c r="AE722" s="26"/>
      <c r="AF722" s="26"/>
      <c r="AG722" s="26"/>
      <c r="AH722" s="26"/>
      <c r="AI722" s="26"/>
      <c r="AJ722" s="26"/>
      <c r="AK722" s="26"/>
      <c r="AL722" s="26"/>
      <c r="AM722" s="26"/>
      <c r="AN722" s="26"/>
      <c r="AO722" s="26"/>
      <c r="AP722" s="26"/>
      <c r="AQ722" s="26"/>
      <c r="AR722" s="26"/>
      <c r="AS722" s="26"/>
      <c r="AT722" s="26"/>
      <c r="AU722" s="26"/>
      <c r="AV722" s="26"/>
      <c r="AW722" s="26"/>
      <c r="AX722" s="26"/>
      <c r="AY722" s="26"/>
      <c r="AZ722" s="26"/>
      <c r="BA722" s="26"/>
      <c r="BB722" s="26"/>
      <c r="BC722" s="26"/>
      <c r="BD722" s="26"/>
      <c r="BE722" s="26"/>
      <c r="BF722" s="26"/>
      <c r="BG722" s="26"/>
      <c r="BH722" s="26"/>
      <c r="BI722" s="26"/>
      <c r="BJ722" s="26"/>
      <c r="BK722" s="26"/>
    </row>
    <row r="723" ht="14.25" customHeight="1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  <c r="AA723" s="26"/>
      <c r="AB723" s="26"/>
      <c r="AC723" s="26"/>
      <c r="AD723" s="26"/>
      <c r="AE723" s="26"/>
      <c r="AF723" s="26"/>
      <c r="AG723" s="26"/>
      <c r="AH723" s="26"/>
      <c r="AI723" s="26"/>
      <c r="AJ723" s="26"/>
      <c r="AK723" s="26"/>
      <c r="AL723" s="26"/>
      <c r="AM723" s="26"/>
      <c r="AN723" s="26"/>
      <c r="AO723" s="26"/>
      <c r="AP723" s="26"/>
      <c r="AQ723" s="26"/>
      <c r="AR723" s="26"/>
      <c r="AS723" s="26"/>
      <c r="AT723" s="26"/>
      <c r="AU723" s="26"/>
      <c r="AV723" s="26"/>
      <c r="AW723" s="26"/>
      <c r="AX723" s="26"/>
      <c r="AY723" s="26"/>
      <c r="AZ723" s="26"/>
      <c r="BA723" s="26"/>
      <c r="BB723" s="26"/>
      <c r="BC723" s="26"/>
      <c r="BD723" s="26"/>
      <c r="BE723" s="26"/>
      <c r="BF723" s="26"/>
      <c r="BG723" s="26"/>
      <c r="BH723" s="26"/>
      <c r="BI723" s="26"/>
      <c r="BJ723" s="26"/>
      <c r="BK723" s="26"/>
    </row>
    <row r="724" ht="14.25" customHeight="1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  <c r="AC724" s="26"/>
      <c r="AD724" s="26"/>
      <c r="AE724" s="26"/>
      <c r="AF724" s="26"/>
      <c r="AG724" s="26"/>
      <c r="AH724" s="26"/>
      <c r="AI724" s="26"/>
      <c r="AJ724" s="26"/>
      <c r="AK724" s="26"/>
      <c r="AL724" s="26"/>
      <c r="AM724" s="26"/>
      <c r="AN724" s="26"/>
      <c r="AO724" s="26"/>
      <c r="AP724" s="26"/>
      <c r="AQ724" s="26"/>
      <c r="AR724" s="26"/>
      <c r="AS724" s="26"/>
      <c r="AT724" s="26"/>
      <c r="AU724" s="26"/>
      <c r="AV724" s="26"/>
      <c r="AW724" s="26"/>
      <c r="AX724" s="26"/>
      <c r="AY724" s="26"/>
      <c r="AZ724" s="26"/>
      <c r="BA724" s="26"/>
      <c r="BB724" s="26"/>
      <c r="BC724" s="26"/>
      <c r="BD724" s="26"/>
      <c r="BE724" s="26"/>
      <c r="BF724" s="26"/>
      <c r="BG724" s="26"/>
      <c r="BH724" s="26"/>
      <c r="BI724" s="26"/>
      <c r="BJ724" s="26"/>
      <c r="BK724" s="26"/>
    </row>
    <row r="725" ht="14.25" customHeight="1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  <c r="AA725" s="26"/>
      <c r="AB725" s="26"/>
      <c r="AC725" s="26"/>
      <c r="AD725" s="26"/>
      <c r="AE725" s="26"/>
      <c r="AF725" s="26"/>
      <c r="AG725" s="26"/>
      <c r="AH725" s="26"/>
      <c r="AI725" s="26"/>
      <c r="AJ725" s="26"/>
      <c r="AK725" s="26"/>
      <c r="AL725" s="26"/>
      <c r="AM725" s="26"/>
      <c r="AN725" s="26"/>
      <c r="AO725" s="26"/>
      <c r="AP725" s="26"/>
      <c r="AQ725" s="26"/>
      <c r="AR725" s="26"/>
      <c r="AS725" s="26"/>
      <c r="AT725" s="26"/>
      <c r="AU725" s="26"/>
      <c r="AV725" s="26"/>
      <c r="AW725" s="26"/>
      <c r="AX725" s="26"/>
      <c r="AY725" s="26"/>
      <c r="AZ725" s="26"/>
      <c r="BA725" s="26"/>
      <c r="BB725" s="26"/>
      <c r="BC725" s="26"/>
      <c r="BD725" s="26"/>
      <c r="BE725" s="26"/>
      <c r="BF725" s="26"/>
      <c r="BG725" s="26"/>
      <c r="BH725" s="26"/>
      <c r="BI725" s="26"/>
      <c r="BJ725" s="26"/>
      <c r="BK725" s="26"/>
    </row>
    <row r="726" ht="14.25" customHeight="1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  <c r="AC726" s="26"/>
      <c r="AD726" s="26"/>
      <c r="AE726" s="26"/>
      <c r="AF726" s="26"/>
      <c r="AG726" s="26"/>
      <c r="AH726" s="26"/>
      <c r="AI726" s="26"/>
      <c r="AJ726" s="26"/>
      <c r="AK726" s="26"/>
      <c r="AL726" s="26"/>
      <c r="AM726" s="26"/>
      <c r="AN726" s="26"/>
      <c r="AO726" s="26"/>
      <c r="AP726" s="26"/>
      <c r="AQ726" s="26"/>
      <c r="AR726" s="26"/>
      <c r="AS726" s="26"/>
      <c r="AT726" s="26"/>
      <c r="AU726" s="26"/>
      <c r="AV726" s="26"/>
      <c r="AW726" s="26"/>
      <c r="AX726" s="26"/>
      <c r="AY726" s="26"/>
      <c r="AZ726" s="26"/>
      <c r="BA726" s="26"/>
      <c r="BB726" s="26"/>
      <c r="BC726" s="26"/>
      <c r="BD726" s="26"/>
      <c r="BE726" s="26"/>
      <c r="BF726" s="26"/>
      <c r="BG726" s="26"/>
      <c r="BH726" s="26"/>
      <c r="BI726" s="26"/>
      <c r="BJ726" s="26"/>
      <c r="BK726" s="26"/>
    </row>
    <row r="727" ht="14.25" customHeight="1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  <c r="AA727" s="26"/>
      <c r="AB727" s="26"/>
      <c r="AC727" s="26"/>
      <c r="AD727" s="26"/>
      <c r="AE727" s="26"/>
      <c r="AF727" s="26"/>
      <c r="AG727" s="26"/>
      <c r="AH727" s="26"/>
      <c r="AI727" s="26"/>
      <c r="AJ727" s="26"/>
      <c r="AK727" s="26"/>
      <c r="AL727" s="26"/>
      <c r="AM727" s="26"/>
      <c r="AN727" s="26"/>
      <c r="AO727" s="26"/>
      <c r="AP727" s="26"/>
      <c r="AQ727" s="26"/>
      <c r="AR727" s="26"/>
      <c r="AS727" s="26"/>
      <c r="AT727" s="26"/>
      <c r="AU727" s="26"/>
      <c r="AV727" s="26"/>
      <c r="AW727" s="26"/>
      <c r="AX727" s="26"/>
      <c r="AY727" s="26"/>
      <c r="AZ727" s="26"/>
      <c r="BA727" s="26"/>
      <c r="BB727" s="26"/>
      <c r="BC727" s="26"/>
      <c r="BD727" s="26"/>
      <c r="BE727" s="26"/>
      <c r="BF727" s="26"/>
      <c r="BG727" s="26"/>
      <c r="BH727" s="26"/>
      <c r="BI727" s="26"/>
      <c r="BJ727" s="26"/>
      <c r="BK727" s="26"/>
    </row>
    <row r="728" ht="14.25" customHeight="1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  <c r="AC728" s="26"/>
      <c r="AD728" s="26"/>
      <c r="AE728" s="26"/>
      <c r="AF728" s="26"/>
      <c r="AG728" s="26"/>
      <c r="AH728" s="26"/>
      <c r="AI728" s="26"/>
      <c r="AJ728" s="26"/>
      <c r="AK728" s="26"/>
      <c r="AL728" s="26"/>
      <c r="AM728" s="26"/>
      <c r="AN728" s="26"/>
      <c r="AO728" s="26"/>
      <c r="AP728" s="26"/>
      <c r="AQ728" s="26"/>
      <c r="AR728" s="26"/>
      <c r="AS728" s="26"/>
      <c r="AT728" s="26"/>
      <c r="AU728" s="26"/>
      <c r="AV728" s="26"/>
      <c r="AW728" s="26"/>
      <c r="AX728" s="26"/>
      <c r="AY728" s="26"/>
      <c r="AZ728" s="26"/>
      <c r="BA728" s="26"/>
      <c r="BB728" s="26"/>
      <c r="BC728" s="26"/>
      <c r="BD728" s="26"/>
      <c r="BE728" s="26"/>
      <c r="BF728" s="26"/>
      <c r="BG728" s="26"/>
      <c r="BH728" s="26"/>
      <c r="BI728" s="26"/>
      <c r="BJ728" s="26"/>
      <c r="BK728" s="26"/>
    </row>
    <row r="729" ht="14.25" customHeight="1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  <c r="AA729" s="26"/>
      <c r="AB729" s="26"/>
      <c r="AC729" s="26"/>
      <c r="AD729" s="26"/>
      <c r="AE729" s="26"/>
      <c r="AF729" s="26"/>
      <c r="AG729" s="26"/>
      <c r="AH729" s="26"/>
      <c r="AI729" s="26"/>
      <c r="AJ729" s="26"/>
      <c r="AK729" s="26"/>
      <c r="AL729" s="26"/>
      <c r="AM729" s="26"/>
      <c r="AN729" s="26"/>
      <c r="AO729" s="26"/>
      <c r="AP729" s="26"/>
      <c r="AQ729" s="26"/>
      <c r="AR729" s="26"/>
      <c r="AS729" s="26"/>
      <c r="AT729" s="26"/>
      <c r="AU729" s="26"/>
      <c r="AV729" s="26"/>
      <c r="AW729" s="26"/>
      <c r="AX729" s="26"/>
      <c r="AY729" s="26"/>
      <c r="AZ729" s="26"/>
      <c r="BA729" s="26"/>
      <c r="BB729" s="26"/>
      <c r="BC729" s="26"/>
      <c r="BD729" s="26"/>
      <c r="BE729" s="26"/>
      <c r="BF729" s="26"/>
      <c r="BG729" s="26"/>
      <c r="BH729" s="26"/>
      <c r="BI729" s="26"/>
      <c r="BJ729" s="26"/>
      <c r="BK729" s="26"/>
    </row>
    <row r="730" ht="14.25" customHeight="1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  <c r="AC730" s="26"/>
      <c r="AD730" s="26"/>
      <c r="AE730" s="26"/>
      <c r="AF730" s="26"/>
      <c r="AG730" s="26"/>
      <c r="AH730" s="26"/>
      <c r="AI730" s="26"/>
      <c r="AJ730" s="26"/>
      <c r="AK730" s="26"/>
      <c r="AL730" s="26"/>
      <c r="AM730" s="26"/>
      <c r="AN730" s="26"/>
      <c r="AO730" s="26"/>
      <c r="AP730" s="26"/>
      <c r="AQ730" s="26"/>
      <c r="AR730" s="26"/>
      <c r="AS730" s="26"/>
      <c r="AT730" s="26"/>
      <c r="AU730" s="26"/>
      <c r="AV730" s="26"/>
      <c r="AW730" s="26"/>
      <c r="AX730" s="26"/>
      <c r="AY730" s="26"/>
      <c r="AZ730" s="26"/>
      <c r="BA730" s="26"/>
      <c r="BB730" s="26"/>
      <c r="BC730" s="26"/>
      <c r="BD730" s="26"/>
      <c r="BE730" s="26"/>
      <c r="BF730" s="26"/>
      <c r="BG730" s="26"/>
      <c r="BH730" s="26"/>
      <c r="BI730" s="26"/>
      <c r="BJ730" s="26"/>
      <c r="BK730" s="26"/>
    </row>
    <row r="731" ht="14.25" customHeight="1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  <c r="AA731" s="26"/>
      <c r="AB731" s="26"/>
      <c r="AC731" s="26"/>
      <c r="AD731" s="26"/>
      <c r="AE731" s="26"/>
      <c r="AF731" s="26"/>
      <c r="AG731" s="26"/>
      <c r="AH731" s="26"/>
      <c r="AI731" s="26"/>
      <c r="AJ731" s="26"/>
      <c r="AK731" s="26"/>
      <c r="AL731" s="26"/>
      <c r="AM731" s="26"/>
      <c r="AN731" s="26"/>
      <c r="AO731" s="26"/>
      <c r="AP731" s="26"/>
      <c r="AQ731" s="26"/>
      <c r="AR731" s="26"/>
      <c r="AS731" s="26"/>
      <c r="AT731" s="26"/>
      <c r="AU731" s="26"/>
      <c r="AV731" s="26"/>
      <c r="AW731" s="26"/>
      <c r="AX731" s="26"/>
      <c r="AY731" s="26"/>
      <c r="AZ731" s="26"/>
      <c r="BA731" s="26"/>
      <c r="BB731" s="26"/>
      <c r="BC731" s="26"/>
      <c r="BD731" s="26"/>
      <c r="BE731" s="26"/>
      <c r="BF731" s="26"/>
      <c r="BG731" s="26"/>
      <c r="BH731" s="26"/>
      <c r="BI731" s="26"/>
      <c r="BJ731" s="26"/>
      <c r="BK731" s="26"/>
    </row>
    <row r="732" ht="14.25" customHeight="1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  <c r="AB732" s="26"/>
      <c r="AC732" s="26"/>
      <c r="AD732" s="26"/>
      <c r="AE732" s="26"/>
      <c r="AF732" s="26"/>
      <c r="AG732" s="26"/>
      <c r="AH732" s="26"/>
      <c r="AI732" s="26"/>
      <c r="AJ732" s="26"/>
      <c r="AK732" s="26"/>
      <c r="AL732" s="26"/>
      <c r="AM732" s="26"/>
      <c r="AN732" s="26"/>
      <c r="AO732" s="26"/>
      <c r="AP732" s="26"/>
      <c r="AQ732" s="26"/>
      <c r="AR732" s="26"/>
      <c r="AS732" s="26"/>
      <c r="AT732" s="26"/>
      <c r="AU732" s="26"/>
      <c r="AV732" s="26"/>
      <c r="AW732" s="26"/>
      <c r="AX732" s="26"/>
      <c r="AY732" s="26"/>
      <c r="AZ732" s="26"/>
      <c r="BA732" s="26"/>
      <c r="BB732" s="26"/>
      <c r="BC732" s="26"/>
      <c r="BD732" s="26"/>
      <c r="BE732" s="26"/>
      <c r="BF732" s="26"/>
      <c r="BG732" s="26"/>
      <c r="BH732" s="26"/>
      <c r="BI732" s="26"/>
      <c r="BJ732" s="26"/>
      <c r="BK732" s="26"/>
    </row>
    <row r="733" ht="14.25" customHeight="1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  <c r="AA733" s="26"/>
      <c r="AB733" s="26"/>
      <c r="AC733" s="26"/>
      <c r="AD733" s="26"/>
      <c r="AE733" s="26"/>
      <c r="AF733" s="26"/>
      <c r="AG733" s="26"/>
      <c r="AH733" s="26"/>
      <c r="AI733" s="26"/>
      <c r="AJ733" s="26"/>
      <c r="AK733" s="26"/>
      <c r="AL733" s="26"/>
      <c r="AM733" s="26"/>
      <c r="AN733" s="26"/>
      <c r="AO733" s="26"/>
      <c r="AP733" s="26"/>
      <c r="AQ733" s="26"/>
      <c r="AR733" s="26"/>
      <c r="AS733" s="26"/>
      <c r="AT733" s="26"/>
      <c r="AU733" s="26"/>
      <c r="AV733" s="26"/>
      <c r="AW733" s="26"/>
      <c r="AX733" s="26"/>
      <c r="AY733" s="26"/>
      <c r="AZ733" s="26"/>
      <c r="BA733" s="26"/>
      <c r="BB733" s="26"/>
      <c r="BC733" s="26"/>
      <c r="BD733" s="26"/>
      <c r="BE733" s="26"/>
      <c r="BF733" s="26"/>
      <c r="BG733" s="26"/>
      <c r="BH733" s="26"/>
      <c r="BI733" s="26"/>
      <c r="BJ733" s="26"/>
      <c r="BK733" s="26"/>
    </row>
    <row r="734" ht="14.25" customHeight="1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  <c r="AB734" s="26"/>
      <c r="AC734" s="26"/>
      <c r="AD734" s="26"/>
      <c r="AE734" s="26"/>
      <c r="AF734" s="26"/>
      <c r="AG734" s="26"/>
      <c r="AH734" s="26"/>
      <c r="AI734" s="26"/>
      <c r="AJ734" s="26"/>
      <c r="AK734" s="26"/>
      <c r="AL734" s="26"/>
      <c r="AM734" s="26"/>
      <c r="AN734" s="26"/>
      <c r="AO734" s="26"/>
      <c r="AP734" s="26"/>
      <c r="AQ734" s="26"/>
      <c r="AR734" s="26"/>
      <c r="AS734" s="26"/>
      <c r="AT734" s="26"/>
      <c r="AU734" s="26"/>
      <c r="AV734" s="26"/>
      <c r="AW734" s="26"/>
      <c r="AX734" s="26"/>
      <c r="AY734" s="26"/>
      <c r="AZ734" s="26"/>
      <c r="BA734" s="26"/>
      <c r="BB734" s="26"/>
      <c r="BC734" s="26"/>
      <c r="BD734" s="26"/>
      <c r="BE734" s="26"/>
      <c r="BF734" s="26"/>
      <c r="BG734" s="26"/>
      <c r="BH734" s="26"/>
      <c r="BI734" s="26"/>
      <c r="BJ734" s="26"/>
      <c r="BK734" s="26"/>
    </row>
    <row r="735" ht="14.25" customHeight="1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  <c r="AA735" s="26"/>
      <c r="AB735" s="26"/>
      <c r="AC735" s="26"/>
      <c r="AD735" s="26"/>
      <c r="AE735" s="26"/>
      <c r="AF735" s="26"/>
      <c r="AG735" s="26"/>
      <c r="AH735" s="26"/>
      <c r="AI735" s="26"/>
      <c r="AJ735" s="26"/>
      <c r="AK735" s="26"/>
      <c r="AL735" s="26"/>
      <c r="AM735" s="26"/>
      <c r="AN735" s="26"/>
      <c r="AO735" s="26"/>
      <c r="AP735" s="26"/>
      <c r="AQ735" s="26"/>
      <c r="AR735" s="26"/>
      <c r="AS735" s="26"/>
      <c r="AT735" s="26"/>
      <c r="AU735" s="26"/>
      <c r="AV735" s="26"/>
      <c r="AW735" s="26"/>
      <c r="AX735" s="26"/>
      <c r="AY735" s="26"/>
      <c r="AZ735" s="26"/>
      <c r="BA735" s="26"/>
      <c r="BB735" s="26"/>
      <c r="BC735" s="26"/>
      <c r="BD735" s="26"/>
      <c r="BE735" s="26"/>
      <c r="BF735" s="26"/>
      <c r="BG735" s="26"/>
      <c r="BH735" s="26"/>
      <c r="BI735" s="26"/>
      <c r="BJ735" s="26"/>
      <c r="BK735" s="26"/>
    </row>
    <row r="736" ht="14.25" customHeight="1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  <c r="AC736" s="26"/>
      <c r="AD736" s="26"/>
      <c r="AE736" s="26"/>
      <c r="AF736" s="26"/>
      <c r="AG736" s="26"/>
      <c r="AH736" s="26"/>
      <c r="AI736" s="26"/>
      <c r="AJ736" s="26"/>
      <c r="AK736" s="26"/>
      <c r="AL736" s="26"/>
      <c r="AM736" s="26"/>
      <c r="AN736" s="26"/>
      <c r="AO736" s="26"/>
      <c r="AP736" s="26"/>
      <c r="AQ736" s="26"/>
      <c r="AR736" s="26"/>
      <c r="AS736" s="26"/>
      <c r="AT736" s="26"/>
      <c r="AU736" s="26"/>
      <c r="AV736" s="26"/>
      <c r="AW736" s="26"/>
      <c r="AX736" s="26"/>
      <c r="AY736" s="26"/>
      <c r="AZ736" s="26"/>
      <c r="BA736" s="26"/>
      <c r="BB736" s="26"/>
      <c r="BC736" s="26"/>
      <c r="BD736" s="26"/>
      <c r="BE736" s="26"/>
      <c r="BF736" s="26"/>
      <c r="BG736" s="26"/>
      <c r="BH736" s="26"/>
      <c r="BI736" s="26"/>
      <c r="BJ736" s="26"/>
      <c r="BK736" s="26"/>
    </row>
    <row r="737" ht="14.25" customHeight="1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  <c r="AA737" s="26"/>
      <c r="AB737" s="26"/>
      <c r="AC737" s="26"/>
      <c r="AD737" s="26"/>
      <c r="AE737" s="26"/>
      <c r="AF737" s="26"/>
      <c r="AG737" s="26"/>
      <c r="AH737" s="26"/>
      <c r="AI737" s="26"/>
      <c r="AJ737" s="26"/>
      <c r="AK737" s="26"/>
      <c r="AL737" s="26"/>
      <c r="AM737" s="26"/>
      <c r="AN737" s="26"/>
      <c r="AO737" s="26"/>
      <c r="AP737" s="26"/>
      <c r="AQ737" s="26"/>
      <c r="AR737" s="26"/>
      <c r="AS737" s="26"/>
      <c r="AT737" s="26"/>
      <c r="AU737" s="26"/>
      <c r="AV737" s="26"/>
      <c r="AW737" s="26"/>
      <c r="AX737" s="26"/>
      <c r="AY737" s="26"/>
      <c r="AZ737" s="26"/>
      <c r="BA737" s="26"/>
      <c r="BB737" s="26"/>
      <c r="BC737" s="26"/>
      <c r="BD737" s="26"/>
      <c r="BE737" s="26"/>
      <c r="BF737" s="26"/>
      <c r="BG737" s="26"/>
      <c r="BH737" s="26"/>
      <c r="BI737" s="26"/>
      <c r="BJ737" s="26"/>
      <c r="BK737" s="26"/>
    </row>
    <row r="738" ht="14.25" customHeight="1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  <c r="AB738" s="26"/>
      <c r="AC738" s="26"/>
      <c r="AD738" s="26"/>
      <c r="AE738" s="26"/>
      <c r="AF738" s="26"/>
      <c r="AG738" s="26"/>
      <c r="AH738" s="26"/>
      <c r="AI738" s="26"/>
      <c r="AJ738" s="26"/>
      <c r="AK738" s="26"/>
      <c r="AL738" s="26"/>
      <c r="AM738" s="26"/>
      <c r="AN738" s="26"/>
      <c r="AO738" s="26"/>
      <c r="AP738" s="26"/>
      <c r="AQ738" s="26"/>
      <c r="AR738" s="26"/>
      <c r="AS738" s="26"/>
      <c r="AT738" s="26"/>
      <c r="AU738" s="26"/>
      <c r="AV738" s="26"/>
      <c r="AW738" s="26"/>
      <c r="AX738" s="26"/>
      <c r="AY738" s="26"/>
      <c r="AZ738" s="26"/>
      <c r="BA738" s="26"/>
      <c r="BB738" s="26"/>
      <c r="BC738" s="26"/>
      <c r="BD738" s="26"/>
      <c r="BE738" s="26"/>
      <c r="BF738" s="26"/>
      <c r="BG738" s="26"/>
      <c r="BH738" s="26"/>
      <c r="BI738" s="26"/>
      <c r="BJ738" s="26"/>
      <c r="BK738" s="26"/>
    </row>
    <row r="739" ht="14.25" customHeight="1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  <c r="AA739" s="26"/>
      <c r="AB739" s="26"/>
      <c r="AC739" s="26"/>
      <c r="AD739" s="26"/>
      <c r="AE739" s="26"/>
      <c r="AF739" s="26"/>
      <c r="AG739" s="26"/>
      <c r="AH739" s="26"/>
      <c r="AI739" s="26"/>
      <c r="AJ739" s="26"/>
      <c r="AK739" s="26"/>
      <c r="AL739" s="26"/>
      <c r="AM739" s="26"/>
      <c r="AN739" s="26"/>
      <c r="AO739" s="26"/>
      <c r="AP739" s="26"/>
      <c r="AQ739" s="26"/>
      <c r="AR739" s="26"/>
      <c r="AS739" s="26"/>
      <c r="AT739" s="26"/>
      <c r="AU739" s="26"/>
      <c r="AV739" s="26"/>
      <c r="AW739" s="26"/>
      <c r="AX739" s="26"/>
      <c r="AY739" s="26"/>
      <c r="AZ739" s="26"/>
      <c r="BA739" s="26"/>
      <c r="BB739" s="26"/>
      <c r="BC739" s="26"/>
      <c r="BD739" s="26"/>
      <c r="BE739" s="26"/>
      <c r="BF739" s="26"/>
      <c r="BG739" s="26"/>
      <c r="BH739" s="26"/>
      <c r="BI739" s="26"/>
      <c r="BJ739" s="26"/>
      <c r="BK739" s="26"/>
    </row>
    <row r="740" ht="14.25" customHeight="1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  <c r="AB740" s="26"/>
      <c r="AC740" s="26"/>
      <c r="AD740" s="26"/>
      <c r="AE740" s="26"/>
      <c r="AF740" s="26"/>
      <c r="AG740" s="26"/>
      <c r="AH740" s="26"/>
      <c r="AI740" s="26"/>
      <c r="AJ740" s="26"/>
      <c r="AK740" s="26"/>
      <c r="AL740" s="26"/>
      <c r="AM740" s="26"/>
      <c r="AN740" s="26"/>
      <c r="AO740" s="26"/>
      <c r="AP740" s="26"/>
      <c r="AQ740" s="26"/>
      <c r="AR740" s="26"/>
      <c r="AS740" s="26"/>
      <c r="AT740" s="26"/>
      <c r="AU740" s="26"/>
      <c r="AV740" s="26"/>
      <c r="AW740" s="26"/>
      <c r="AX740" s="26"/>
      <c r="AY740" s="26"/>
      <c r="AZ740" s="26"/>
      <c r="BA740" s="26"/>
      <c r="BB740" s="26"/>
      <c r="BC740" s="26"/>
      <c r="BD740" s="26"/>
      <c r="BE740" s="26"/>
      <c r="BF740" s="26"/>
      <c r="BG740" s="26"/>
      <c r="BH740" s="26"/>
      <c r="BI740" s="26"/>
      <c r="BJ740" s="26"/>
      <c r="BK740" s="26"/>
    </row>
    <row r="741" ht="14.25" customHeight="1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  <c r="AA741" s="26"/>
      <c r="AB741" s="26"/>
      <c r="AC741" s="26"/>
      <c r="AD741" s="26"/>
      <c r="AE741" s="26"/>
      <c r="AF741" s="26"/>
      <c r="AG741" s="26"/>
      <c r="AH741" s="26"/>
      <c r="AI741" s="26"/>
      <c r="AJ741" s="26"/>
      <c r="AK741" s="26"/>
      <c r="AL741" s="26"/>
      <c r="AM741" s="26"/>
      <c r="AN741" s="26"/>
      <c r="AO741" s="26"/>
      <c r="AP741" s="26"/>
      <c r="AQ741" s="26"/>
      <c r="AR741" s="26"/>
      <c r="AS741" s="26"/>
      <c r="AT741" s="26"/>
      <c r="AU741" s="26"/>
      <c r="AV741" s="26"/>
      <c r="AW741" s="26"/>
      <c r="AX741" s="26"/>
      <c r="AY741" s="26"/>
      <c r="AZ741" s="26"/>
      <c r="BA741" s="26"/>
      <c r="BB741" s="26"/>
      <c r="BC741" s="26"/>
      <c r="BD741" s="26"/>
      <c r="BE741" s="26"/>
      <c r="BF741" s="26"/>
      <c r="BG741" s="26"/>
      <c r="BH741" s="26"/>
      <c r="BI741" s="26"/>
      <c r="BJ741" s="26"/>
      <c r="BK741" s="26"/>
    </row>
    <row r="742" ht="14.25" customHeight="1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  <c r="AB742" s="26"/>
      <c r="AC742" s="26"/>
      <c r="AD742" s="26"/>
      <c r="AE742" s="26"/>
      <c r="AF742" s="26"/>
      <c r="AG742" s="26"/>
      <c r="AH742" s="26"/>
      <c r="AI742" s="26"/>
      <c r="AJ742" s="26"/>
      <c r="AK742" s="26"/>
      <c r="AL742" s="26"/>
      <c r="AM742" s="26"/>
      <c r="AN742" s="26"/>
      <c r="AO742" s="26"/>
      <c r="AP742" s="26"/>
      <c r="AQ742" s="26"/>
      <c r="AR742" s="26"/>
      <c r="AS742" s="26"/>
      <c r="AT742" s="26"/>
      <c r="AU742" s="26"/>
      <c r="AV742" s="26"/>
      <c r="AW742" s="26"/>
      <c r="AX742" s="26"/>
      <c r="AY742" s="26"/>
      <c r="AZ742" s="26"/>
      <c r="BA742" s="26"/>
      <c r="BB742" s="26"/>
      <c r="BC742" s="26"/>
      <c r="BD742" s="26"/>
      <c r="BE742" s="26"/>
      <c r="BF742" s="26"/>
      <c r="BG742" s="26"/>
      <c r="BH742" s="26"/>
      <c r="BI742" s="26"/>
      <c r="BJ742" s="26"/>
      <c r="BK742" s="26"/>
    </row>
    <row r="743" ht="14.25" customHeight="1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  <c r="AA743" s="26"/>
      <c r="AB743" s="26"/>
      <c r="AC743" s="26"/>
      <c r="AD743" s="26"/>
      <c r="AE743" s="26"/>
      <c r="AF743" s="26"/>
      <c r="AG743" s="26"/>
      <c r="AH743" s="26"/>
      <c r="AI743" s="26"/>
      <c r="AJ743" s="26"/>
      <c r="AK743" s="26"/>
      <c r="AL743" s="26"/>
      <c r="AM743" s="26"/>
      <c r="AN743" s="26"/>
      <c r="AO743" s="26"/>
      <c r="AP743" s="26"/>
      <c r="AQ743" s="26"/>
      <c r="AR743" s="26"/>
      <c r="AS743" s="26"/>
      <c r="AT743" s="26"/>
      <c r="AU743" s="26"/>
      <c r="AV743" s="26"/>
      <c r="AW743" s="26"/>
      <c r="AX743" s="26"/>
      <c r="AY743" s="26"/>
      <c r="AZ743" s="26"/>
      <c r="BA743" s="26"/>
      <c r="BB743" s="26"/>
      <c r="BC743" s="26"/>
      <c r="BD743" s="26"/>
      <c r="BE743" s="26"/>
      <c r="BF743" s="26"/>
      <c r="BG743" s="26"/>
      <c r="BH743" s="26"/>
      <c r="BI743" s="26"/>
      <c r="BJ743" s="26"/>
      <c r="BK743" s="26"/>
    </row>
    <row r="744" ht="14.25" customHeight="1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  <c r="AA744" s="26"/>
      <c r="AB744" s="26"/>
      <c r="AC744" s="26"/>
      <c r="AD744" s="26"/>
      <c r="AE744" s="26"/>
      <c r="AF744" s="26"/>
      <c r="AG744" s="26"/>
      <c r="AH744" s="26"/>
      <c r="AI744" s="26"/>
      <c r="AJ744" s="26"/>
      <c r="AK744" s="26"/>
      <c r="AL744" s="26"/>
      <c r="AM744" s="26"/>
      <c r="AN744" s="26"/>
      <c r="AO744" s="26"/>
      <c r="AP744" s="26"/>
      <c r="AQ744" s="26"/>
      <c r="AR744" s="26"/>
      <c r="AS744" s="26"/>
      <c r="AT744" s="26"/>
      <c r="AU744" s="26"/>
      <c r="AV744" s="26"/>
      <c r="AW744" s="26"/>
      <c r="AX744" s="26"/>
      <c r="AY744" s="26"/>
      <c r="AZ744" s="26"/>
      <c r="BA744" s="26"/>
      <c r="BB744" s="26"/>
      <c r="BC744" s="26"/>
      <c r="BD744" s="26"/>
      <c r="BE744" s="26"/>
      <c r="BF744" s="26"/>
      <c r="BG744" s="26"/>
      <c r="BH744" s="26"/>
      <c r="BI744" s="26"/>
      <c r="BJ744" s="26"/>
      <c r="BK744" s="26"/>
    </row>
    <row r="745" ht="14.25" customHeight="1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  <c r="AA745" s="26"/>
      <c r="AB745" s="26"/>
      <c r="AC745" s="26"/>
      <c r="AD745" s="26"/>
      <c r="AE745" s="26"/>
      <c r="AF745" s="26"/>
      <c r="AG745" s="26"/>
      <c r="AH745" s="26"/>
      <c r="AI745" s="26"/>
      <c r="AJ745" s="26"/>
      <c r="AK745" s="26"/>
      <c r="AL745" s="26"/>
      <c r="AM745" s="26"/>
      <c r="AN745" s="26"/>
      <c r="AO745" s="26"/>
      <c r="AP745" s="26"/>
      <c r="AQ745" s="26"/>
      <c r="AR745" s="26"/>
      <c r="AS745" s="26"/>
      <c r="AT745" s="26"/>
      <c r="AU745" s="26"/>
      <c r="AV745" s="26"/>
      <c r="AW745" s="26"/>
      <c r="AX745" s="26"/>
      <c r="AY745" s="26"/>
      <c r="AZ745" s="26"/>
      <c r="BA745" s="26"/>
      <c r="BB745" s="26"/>
      <c r="BC745" s="26"/>
      <c r="BD745" s="26"/>
      <c r="BE745" s="26"/>
      <c r="BF745" s="26"/>
      <c r="BG745" s="26"/>
      <c r="BH745" s="26"/>
      <c r="BI745" s="26"/>
      <c r="BJ745" s="26"/>
      <c r="BK745" s="26"/>
    </row>
    <row r="746" ht="14.25" customHeight="1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  <c r="AA746" s="26"/>
      <c r="AB746" s="26"/>
      <c r="AC746" s="26"/>
      <c r="AD746" s="26"/>
      <c r="AE746" s="26"/>
      <c r="AF746" s="26"/>
      <c r="AG746" s="26"/>
      <c r="AH746" s="26"/>
      <c r="AI746" s="26"/>
      <c r="AJ746" s="26"/>
      <c r="AK746" s="26"/>
      <c r="AL746" s="26"/>
      <c r="AM746" s="26"/>
      <c r="AN746" s="26"/>
      <c r="AO746" s="26"/>
      <c r="AP746" s="26"/>
      <c r="AQ746" s="26"/>
      <c r="AR746" s="26"/>
      <c r="AS746" s="26"/>
      <c r="AT746" s="26"/>
      <c r="AU746" s="26"/>
      <c r="AV746" s="26"/>
      <c r="AW746" s="26"/>
      <c r="AX746" s="26"/>
      <c r="AY746" s="26"/>
      <c r="AZ746" s="26"/>
      <c r="BA746" s="26"/>
      <c r="BB746" s="26"/>
      <c r="BC746" s="26"/>
      <c r="BD746" s="26"/>
      <c r="BE746" s="26"/>
      <c r="BF746" s="26"/>
      <c r="BG746" s="26"/>
      <c r="BH746" s="26"/>
      <c r="BI746" s="26"/>
      <c r="BJ746" s="26"/>
      <c r="BK746" s="26"/>
    </row>
    <row r="747" ht="14.25" customHeight="1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  <c r="AA747" s="26"/>
      <c r="AB747" s="26"/>
      <c r="AC747" s="26"/>
      <c r="AD747" s="26"/>
      <c r="AE747" s="26"/>
      <c r="AF747" s="26"/>
      <c r="AG747" s="26"/>
      <c r="AH747" s="26"/>
      <c r="AI747" s="26"/>
      <c r="AJ747" s="26"/>
      <c r="AK747" s="26"/>
      <c r="AL747" s="26"/>
      <c r="AM747" s="26"/>
      <c r="AN747" s="26"/>
      <c r="AO747" s="26"/>
      <c r="AP747" s="26"/>
      <c r="AQ747" s="26"/>
      <c r="AR747" s="26"/>
      <c r="AS747" s="26"/>
      <c r="AT747" s="26"/>
      <c r="AU747" s="26"/>
      <c r="AV747" s="26"/>
      <c r="AW747" s="26"/>
      <c r="AX747" s="26"/>
      <c r="AY747" s="26"/>
      <c r="AZ747" s="26"/>
      <c r="BA747" s="26"/>
      <c r="BB747" s="26"/>
      <c r="BC747" s="26"/>
      <c r="BD747" s="26"/>
      <c r="BE747" s="26"/>
      <c r="BF747" s="26"/>
      <c r="BG747" s="26"/>
      <c r="BH747" s="26"/>
      <c r="BI747" s="26"/>
      <c r="BJ747" s="26"/>
      <c r="BK747" s="26"/>
    </row>
    <row r="748" ht="14.25" customHeight="1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  <c r="AA748" s="26"/>
      <c r="AB748" s="26"/>
      <c r="AC748" s="26"/>
      <c r="AD748" s="26"/>
      <c r="AE748" s="26"/>
      <c r="AF748" s="26"/>
      <c r="AG748" s="26"/>
      <c r="AH748" s="26"/>
      <c r="AI748" s="26"/>
      <c r="AJ748" s="26"/>
      <c r="AK748" s="26"/>
      <c r="AL748" s="26"/>
      <c r="AM748" s="26"/>
      <c r="AN748" s="26"/>
      <c r="AO748" s="26"/>
      <c r="AP748" s="26"/>
      <c r="AQ748" s="26"/>
      <c r="AR748" s="26"/>
      <c r="AS748" s="26"/>
      <c r="AT748" s="26"/>
      <c r="AU748" s="26"/>
      <c r="AV748" s="26"/>
      <c r="AW748" s="26"/>
      <c r="AX748" s="26"/>
      <c r="AY748" s="26"/>
      <c r="AZ748" s="26"/>
      <c r="BA748" s="26"/>
      <c r="BB748" s="26"/>
      <c r="BC748" s="26"/>
      <c r="BD748" s="26"/>
      <c r="BE748" s="26"/>
      <c r="BF748" s="26"/>
      <c r="BG748" s="26"/>
      <c r="BH748" s="26"/>
      <c r="BI748" s="26"/>
      <c r="BJ748" s="26"/>
      <c r="BK748" s="26"/>
    </row>
    <row r="749" ht="14.25" customHeight="1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  <c r="AA749" s="26"/>
      <c r="AB749" s="26"/>
      <c r="AC749" s="26"/>
      <c r="AD749" s="26"/>
      <c r="AE749" s="26"/>
      <c r="AF749" s="26"/>
      <c r="AG749" s="26"/>
      <c r="AH749" s="26"/>
      <c r="AI749" s="26"/>
      <c r="AJ749" s="26"/>
      <c r="AK749" s="26"/>
      <c r="AL749" s="26"/>
      <c r="AM749" s="26"/>
      <c r="AN749" s="26"/>
      <c r="AO749" s="26"/>
      <c r="AP749" s="26"/>
      <c r="AQ749" s="26"/>
      <c r="AR749" s="26"/>
      <c r="AS749" s="26"/>
      <c r="AT749" s="26"/>
      <c r="AU749" s="26"/>
      <c r="AV749" s="26"/>
      <c r="AW749" s="26"/>
      <c r="AX749" s="26"/>
      <c r="AY749" s="26"/>
      <c r="AZ749" s="26"/>
      <c r="BA749" s="26"/>
      <c r="BB749" s="26"/>
      <c r="BC749" s="26"/>
      <c r="BD749" s="26"/>
      <c r="BE749" s="26"/>
      <c r="BF749" s="26"/>
      <c r="BG749" s="26"/>
      <c r="BH749" s="26"/>
      <c r="BI749" s="26"/>
      <c r="BJ749" s="26"/>
      <c r="BK749" s="26"/>
    </row>
    <row r="750" ht="14.25" customHeight="1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  <c r="AB750" s="26"/>
      <c r="AC750" s="26"/>
      <c r="AD750" s="26"/>
      <c r="AE750" s="26"/>
      <c r="AF750" s="26"/>
      <c r="AG750" s="26"/>
      <c r="AH750" s="26"/>
      <c r="AI750" s="26"/>
      <c r="AJ750" s="26"/>
      <c r="AK750" s="26"/>
      <c r="AL750" s="26"/>
      <c r="AM750" s="26"/>
      <c r="AN750" s="26"/>
      <c r="AO750" s="26"/>
      <c r="AP750" s="26"/>
      <c r="AQ750" s="26"/>
      <c r="AR750" s="26"/>
      <c r="AS750" s="26"/>
      <c r="AT750" s="26"/>
      <c r="AU750" s="26"/>
      <c r="AV750" s="26"/>
      <c r="AW750" s="26"/>
      <c r="AX750" s="26"/>
      <c r="AY750" s="26"/>
      <c r="AZ750" s="26"/>
      <c r="BA750" s="26"/>
      <c r="BB750" s="26"/>
      <c r="BC750" s="26"/>
      <c r="BD750" s="26"/>
      <c r="BE750" s="26"/>
      <c r="BF750" s="26"/>
      <c r="BG750" s="26"/>
      <c r="BH750" s="26"/>
      <c r="BI750" s="26"/>
      <c r="BJ750" s="26"/>
      <c r="BK750" s="26"/>
    </row>
    <row r="751" ht="14.25" customHeight="1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  <c r="AA751" s="26"/>
      <c r="AB751" s="26"/>
      <c r="AC751" s="26"/>
      <c r="AD751" s="26"/>
      <c r="AE751" s="26"/>
      <c r="AF751" s="26"/>
      <c r="AG751" s="26"/>
      <c r="AH751" s="26"/>
      <c r="AI751" s="26"/>
      <c r="AJ751" s="26"/>
      <c r="AK751" s="26"/>
      <c r="AL751" s="26"/>
      <c r="AM751" s="26"/>
      <c r="AN751" s="26"/>
      <c r="AO751" s="26"/>
      <c r="AP751" s="26"/>
      <c r="AQ751" s="26"/>
      <c r="AR751" s="26"/>
      <c r="AS751" s="26"/>
      <c r="AT751" s="26"/>
      <c r="AU751" s="26"/>
      <c r="AV751" s="26"/>
      <c r="AW751" s="26"/>
      <c r="AX751" s="26"/>
      <c r="AY751" s="26"/>
      <c r="AZ751" s="26"/>
      <c r="BA751" s="26"/>
      <c r="BB751" s="26"/>
      <c r="BC751" s="26"/>
      <c r="BD751" s="26"/>
      <c r="BE751" s="26"/>
      <c r="BF751" s="26"/>
      <c r="BG751" s="26"/>
      <c r="BH751" s="26"/>
      <c r="BI751" s="26"/>
      <c r="BJ751" s="26"/>
      <c r="BK751" s="26"/>
    </row>
    <row r="752" ht="14.25" customHeight="1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  <c r="AA752" s="26"/>
      <c r="AB752" s="26"/>
      <c r="AC752" s="26"/>
      <c r="AD752" s="26"/>
      <c r="AE752" s="26"/>
      <c r="AF752" s="26"/>
      <c r="AG752" s="26"/>
      <c r="AH752" s="26"/>
      <c r="AI752" s="26"/>
      <c r="AJ752" s="26"/>
      <c r="AK752" s="26"/>
      <c r="AL752" s="26"/>
      <c r="AM752" s="26"/>
      <c r="AN752" s="26"/>
      <c r="AO752" s="26"/>
      <c r="AP752" s="26"/>
      <c r="AQ752" s="26"/>
      <c r="AR752" s="26"/>
      <c r="AS752" s="26"/>
      <c r="AT752" s="26"/>
      <c r="AU752" s="26"/>
      <c r="AV752" s="26"/>
      <c r="AW752" s="26"/>
      <c r="AX752" s="26"/>
      <c r="AY752" s="26"/>
      <c r="AZ752" s="26"/>
      <c r="BA752" s="26"/>
      <c r="BB752" s="26"/>
      <c r="BC752" s="26"/>
      <c r="BD752" s="26"/>
      <c r="BE752" s="26"/>
      <c r="BF752" s="26"/>
      <c r="BG752" s="26"/>
      <c r="BH752" s="26"/>
      <c r="BI752" s="26"/>
      <c r="BJ752" s="26"/>
      <c r="BK752" s="26"/>
    </row>
    <row r="753" ht="14.25" customHeight="1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  <c r="AA753" s="26"/>
      <c r="AB753" s="26"/>
      <c r="AC753" s="26"/>
      <c r="AD753" s="26"/>
      <c r="AE753" s="26"/>
      <c r="AF753" s="26"/>
      <c r="AG753" s="26"/>
      <c r="AH753" s="26"/>
      <c r="AI753" s="26"/>
      <c r="AJ753" s="26"/>
      <c r="AK753" s="26"/>
      <c r="AL753" s="26"/>
      <c r="AM753" s="26"/>
      <c r="AN753" s="26"/>
      <c r="AO753" s="26"/>
      <c r="AP753" s="26"/>
      <c r="AQ753" s="26"/>
      <c r="AR753" s="26"/>
      <c r="AS753" s="26"/>
      <c r="AT753" s="26"/>
      <c r="AU753" s="26"/>
      <c r="AV753" s="26"/>
      <c r="AW753" s="26"/>
      <c r="AX753" s="26"/>
      <c r="AY753" s="26"/>
      <c r="AZ753" s="26"/>
      <c r="BA753" s="26"/>
      <c r="BB753" s="26"/>
      <c r="BC753" s="26"/>
      <c r="BD753" s="26"/>
      <c r="BE753" s="26"/>
      <c r="BF753" s="26"/>
      <c r="BG753" s="26"/>
      <c r="BH753" s="26"/>
      <c r="BI753" s="26"/>
      <c r="BJ753" s="26"/>
      <c r="BK753" s="26"/>
    </row>
    <row r="754" ht="14.25" customHeight="1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  <c r="AA754" s="26"/>
      <c r="AB754" s="26"/>
      <c r="AC754" s="26"/>
      <c r="AD754" s="26"/>
      <c r="AE754" s="26"/>
      <c r="AF754" s="26"/>
      <c r="AG754" s="26"/>
      <c r="AH754" s="26"/>
      <c r="AI754" s="26"/>
      <c r="AJ754" s="26"/>
      <c r="AK754" s="26"/>
      <c r="AL754" s="26"/>
      <c r="AM754" s="26"/>
      <c r="AN754" s="26"/>
      <c r="AO754" s="26"/>
      <c r="AP754" s="26"/>
      <c r="AQ754" s="26"/>
      <c r="AR754" s="26"/>
      <c r="AS754" s="26"/>
      <c r="AT754" s="26"/>
      <c r="AU754" s="26"/>
      <c r="AV754" s="26"/>
      <c r="AW754" s="26"/>
      <c r="AX754" s="26"/>
      <c r="AY754" s="26"/>
      <c r="AZ754" s="26"/>
      <c r="BA754" s="26"/>
      <c r="BB754" s="26"/>
      <c r="BC754" s="26"/>
      <c r="BD754" s="26"/>
      <c r="BE754" s="26"/>
      <c r="BF754" s="26"/>
      <c r="BG754" s="26"/>
      <c r="BH754" s="26"/>
      <c r="BI754" s="26"/>
      <c r="BJ754" s="26"/>
      <c r="BK754" s="26"/>
    </row>
    <row r="755" ht="14.25" customHeight="1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  <c r="AA755" s="26"/>
      <c r="AB755" s="26"/>
      <c r="AC755" s="26"/>
      <c r="AD755" s="26"/>
      <c r="AE755" s="26"/>
      <c r="AF755" s="26"/>
      <c r="AG755" s="26"/>
      <c r="AH755" s="26"/>
      <c r="AI755" s="26"/>
      <c r="AJ755" s="26"/>
      <c r="AK755" s="26"/>
      <c r="AL755" s="26"/>
      <c r="AM755" s="26"/>
      <c r="AN755" s="26"/>
      <c r="AO755" s="26"/>
      <c r="AP755" s="26"/>
      <c r="AQ755" s="26"/>
      <c r="AR755" s="26"/>
      <c r="AS755" s="26"/>
      <c r="AT755" s="26"/>
      <c r="AU755" s="26"/>
      <c r="AV755" s="26"/>
      <c r="AW755" s="26"/>
      <c r="AX755" s="26"/>
      <c r="AY755" s="26"/>
      <c r="AZ755" s="26"/>
      <c r="BA755" s="26"/>
      <c r="BB755" s="26"/>
      <c r="BC755" s="26"/>
      <c r="BD755" s="26"/>
      <c r="BE755" s="26"/>
      <c r="BF755" s="26"/>
      <c r="BG755" s="26"/>
      <c r="BH755" s="26"/>
      <c r="BI755" s="26"/>
      <c r="BJ755" s="26"/>
      <c r="BK755" s="26"/>
    </row>
    <row r="756" ht="14.25" customHeight="1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  <c r="AA756" s="26"/>
      <c r="AB756" s="26"/>
      <c r="AC756" s="26"/>
      <c r="AD756" s="26"/>
      <c r="AE756" s="26"/>
      <c r="AF756" s="26"/>
      <c r="AG756" s="26"/>
      <c r="AH756" s="26"/>
      <c r="AI756" s="26"/>
      <c r="AJ756" s="26"/>
      <c r="AK756" s="26"/>
      <c r="AL756" s="26"/>
      <c r="AM756" s="26"/>
      <c r="AN756" s="26"/>
      <c r="AO756" s="26"/>
      <c r="AP756" s="26"/>
      <c r="AQ756" s="26"/>
      <c r="AR756" s="26"/>
      <c r="AS756" s="26"/>
      <c r="AT756" s="26"/>
      <c r="AU756" s="26"/>
      <c r="AV756" s="26"/>
      <c r="AW756" s="26"/>
      <c r="AX756" s="26"/>
      <c r="AY756" s="26"/>
      <c r="AZ756" s="26"/>
      <c r="BA756" s="26"/>
      <c r="BB756" s="26"/>
      <c r="BC756" s="26"/>
      <c r="BD756" s="26"/>
      <c r="BE756" s="26"/>
      <c r="BF756" s="26"/>
      <c r="BG756" s="26"/>
      <c r="BH756" s="26"/>
      <c r="BI756" s="26"/>
      <c r="BJ756" s="26"/>
      <c r="BK756" s="26"/>
    </row>
    <row r="757" ht="14.25" customHeight="1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  <c r="AA757" s="26"/>
      <c r="AB757" s="26"/>
      <c r="AC757" s="26"/>
      <c r="AD757" s="26"/>
      <c r="AE757" s="26"/>
      <c r="AF757" s="26"/>
      <c r="AG757" s="26"/>
      <c r="AH757" s="26"/>
      <c r="AI757" s="26"/>
      <c r="AJ757" s="26"/>
      <c r="AK757" s="26"/>
      <c r="AL757" s="26"/>
      <c r="AM757" s="26"/>
      <c r="AN757" s="26"/>
      <c r="AO757" s="26"/>
      <c r="AP757" s="26"/>
      <c r="AQ757" s="26"/>
      <c r="AR757" s="26"/>
      <c r="AS757" s="26"/>
      <c r="AT757" s="26"/>
      <c r="AU757" s="26"/>
      <c r="AV757" s="26"/>
      <c r="AW757" s="26"/>
      <c r="AX757" s="26"/>
      <c r="AY757" s="26"/>
      <c r="AZ757" s="26"/>
      <c r="BA757" s="26"/>
      <c r="BB757" s="26"/>
      <c r="BC757" s="26"/>
      <c r="BD757" s="26"/>
      <c r="BE757" s="26"/>
      <c r="BF757" s="26"/>
      <c r="BG757" s="26"/>
      <c r="BH757" s="26"/>
      <c r="BI757" s="26"/>
      <c r="BJ757" s="26"/>
      <c r="BK757" s="26"/>
    </row>
    <row r="758" ht="14.25" customHeight="1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  <c r="AA758" s="26"/>
      <c r="AB758" s="26"/>
      <c r="AC758" s="26"/>
      <c r="AD758" s="26"/>
      <c r="AE758" s="26"/>
      <c r="AF758" s="26"/>
      <c r="AG758" s="26"/>
      <c r="AH758" s="26"/>
      <c r="AI758" s="26"/>
      <c r="AJ758" s="26"/>
      <c r="AK758" s="26"/>
      <c r="AL758" s="26"/>
      <c r="AM758" s="26"/>
      <c r="AN758" s="26"/>
      <c r="AO758" s="26"/>
      <c r="AP758" s="26"/>
      <c r="AQ758" s="26"/>
      <c r="AR758" s="26"/>
      <c r="AS758" s="26"/>
      <c r="AT758" s="26"/>
      <c r="AU758" s="26"/>
      <c r="AV758" s="26"/>
      <c r="AW758" s="26"/>
      <c r="AX758" s="26"/>
      <c r="AY758" s="26"/>
      <c r="AZ758" s="26"/>
      <c r="BA758" s="26"/>
      <c r="BB758" s="26"/>
      <c r="BC758" s="26"/>
      <c r="BD758" s="26"/>
      <c r="BE758" s="26"/>
      <c r="BF758" s="26"/>
      <c r="BG758" s="26"/>
      <c r="BH758" s="26"/>
      <c r="BI758" s="26"/>
      <c r="BJ758" s="26"/>
      <c r="BK758" s="26"/>
    </row>
    <row r="759" ht="14.25" customHeight="1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  <c r="AA759" s="26"/>
      <c r="AB759" s="26"/>
      <c r="AC759" s="26"/>
      <c r="AD759" s="26"/>
      <c r="AE759" s="26"/>
      <c r="AF759" s="26"/>
      <c r="AG759" s="26"/>
      <c r="AH759" s="26"/>
      <c r="AI759" s="26"/>
      <c r="AJ759" s="26"/>
      <c r="AK759" s="26"/>
      <c r="AL759" s="26"/>
      <c r="AM759" s="26"/>
      <c r="AN759" s="26"/>
      <c r="AO759" s="26"/>
      <c r="AP759" s="26"/>
      <c r="AQ759" s="26"/>
      <c r="AR759" s="26"/>
      <c r="AS759" s="26"/>
      <c r="AT759" s="26"/>
      <c r="AU759" s="26"/>
      <c r="AV759" s="26"/>
      <c r="AW759" s="26"/>
      <c r="AX759" s="26"/>
      <c r="AY759" s="26"/>
      <c r="AZ759" s="26"/>
      <c r="BA759" s="26"/>
      <c r="BB759" s="26"/>
      <c r="BC759" s="26"/>
      <c r="BD759" s="26"/>
      <c r="BE759" s="26"/>
      <c r="BF759" s="26"/>
      <c r="BG759" s="26"/>
      <c r="BH759" s="26"/>
      <c r="BI759" s="26"/>
      <c r="BJ759" s="26"/>
      <c r="BK759" s="26"/>
    </row>
    <row r="760" ht="14.25" customHeight="1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  <c r="AA760" s="26"/>
      <c r="AB760" s="26"/>
      <c r="AC760" s="26"/>
      <c r="AD760" s="26"/>
      <c r="AE760" s="26"/>
      <c r="AF760" s="26"/>
      <c r="AG760" s="26"/>
      <c r="AH760" s="26"/>
      <c r="AI760" s="26"/>
      <c r="AJ760" s="26"/>
      <c r="AK760" s="26"/>
      <c r="AL760" s="26"/>
      <c r="AM760" s="26"/>
      <c r="AN760" s="26"/>
      <c r="AO760" s="26"/>
      <c r="AP760" s="26"/>
      <c r="AQ760" s="26"/>
      <c r="AR760" s="26"/>
      <c r="AS760" s="26"/>
      <c r="AT760" s="26"/>
      <c r="AU760" s="26"/>
      <c r="AV760" s="26"/>
      <c r="AW760" s="26"/>
      <c r="AX760" s="26"/>
      <c r="AY760" s="26"/>
      <c r="AZ760" s="26"/>
      <c r="BA760" s="26"/>
      <c r="BB760" s="26"/>
      <c r="BC760" s="26"/>
      <c r="BD760" s="26"/>
      <c r="BE760" s="26"/>
      <c r="BF760" s="26"/>
      <c r="BG760" s="26"/>
      <c r="BH760" s="26"/>
      <c r="BI760" s="26"/>
      <c r="BJ760" s="26"/>
      <c r="BK760" s="26"/>
    </row>
    <row r="761" ht="14.25" customHeight="1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  <c r="AA761" s="26"/>
      <c r="AB761" s="26"/>
      <c r="AC761" s="26"/>
      <c r="AD761" s="26"/>
      <c r="AE761" s="26"/>
      <c r="AF761" s="26"/>
      <c r="AG761" s="26"/>
      <c r="AH761" s="26"/>
      <c r="AI761" s="26"/>
      <c r="AJ761" s="26"/>
      <c r="AK761" s="26"/>
      <c r="AL761" s="26"/>
      <c r="AM761" s="26"/>
      <c r="AN761" s="26"/>
      <c r="AO761" s="26"/>
      <c r="AP761" s="26"/>
      <c r="AQ761" s="26"/>
      <c r="AR761" s="26"/>
      <c r="AS761" s="26"/>
      <c r="AT761" s="26"/>
      <c r="AU761" s="26"/>
      <c r="AV761" s="26"/>
      <c r="AW761" s="26"/>
      <c r="AX761" s="26"/>
      <c r="AY761" s="26"/>
      <c r="AZ761" s="26"/>
      <c r="BA761" s="26"/>
      <c r="BB761" s="26"/>
      <c r="BC761" s="26"/>
      <c r="BD761" s="26"/>
      <c r="BE761" s="26"/>
      <c r="BF761" s="26"/>
      <c r="BG761" s="26"/>
      <c r="BH761" s="26"/>
      <c r="BI761" s="26"/>
      <c r="BJ761" s="26"/>
      <c r="BK761" s="26"/>
    </row>
    <row r="762" ht="14.25" customHeight="1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  <c r="AA762" s="26"/>
      <c r="AB762" s="26"/>
      <c r="AC762" s="26"/>
      <c r="AD762" s="26"/>
      <c r="AE762" s="26"/>
      <c r="AF762" s="26"/>
      <c r="AG762" s="26"/>
      <c r="AH762" s="26"/>
      <c r="AI762" s="26"/>
      <c r="AJ762" s="26"/>
      <c r="AK762" s="26"/>
      <c r="AL762" s="26"/>
      <c r="AM762" s="26"/>
      <c r="AN762" s="26"/>
      <c r="AO762" s="26"/>
      <c r="AP762" s="26"/>
      <c r="AQ762" s="26"/>
      <c r="AR762" s="26"/>
      <c r="AS762" s="26"/>
      <c r="AT762" s="26"/>
      <c r="AU762" s="26"/>
      <c r="AV762" s="26"/>
      <c r="AW762" s="26"/>
      <c r="AX762" s="26"/>
      <c r="AY762" s="26"/>
      <c r="AZ762" s="26"/>
      <c r="BA762" s="26"/>
      <c r="BB762" s="26"/>
      <c r="BC762" s="26"/>
      <c r="BD762" s="26"/>
      <c r="BE762" s="26"/>
      <c r="BF762" s="26"/>
      <c r="BG762" s="26"/>
      <c r="BH762" s="26"/>
      <c r="BI762" s="26"/>
      <c r="BJ762" s="26"/>
      <c r="BK762" s="26"/>
    </row>
    <row r="763" ht="14.25" customHeight="1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  <c r="AA763" s="26"/>
      <c r="AB763" s="26"/>
      <c r="AC763" s="26"/>
      <c r="AD763" s="26"/>
      <c r="AE763" s="26"/>
      <c r="AF763" s="26"/>
      <c r="AG763" s="26"/>
      <c r="AH763" s="26"/>
      <c r="AI763" s="26"/>
      <c r="AJ763" s="26"/>
      <c r="AK763" s="26"/>
      <c r="AL763" s="26"/>
      <c r="AM763" s="26"/>
      <c r="AN763" s="26"/>
      <c r="AO763" s="26"/>
      <c r="AP763" s="26"/>
      <c r="AQ763" s="26"/>
      <c r="AR763" s="26"/>
      <c r="AS763" s="26"/>
      <c r="AT763" s="26"/>
      <c r="AU763" s="26"/>
      <c r="AV763" s="26"/>
      <c r="AW763" s="26"/>
      <c r="AX763" s="26"/>
      <c r="AY763" s="26"/>
      <c r="AZ763" s="26"/>
      <c r="BA763" s="26"/>
      <c r="BB763" s="26"/>
      <c r="BC763" s="26"/>
      <c r="BD763" s="26"/>
      <c r="BE763" s="26"/>
      <c r="BF763" s="26"/>
      <c r="BG763" s="26"/>
      <c r="BH763" s="26"/>
      <c r="BI763" s="26"/>
      <c r="BJ763" s="26"/>
      <c r="BK763" s="26"/>
    </row>
    <row r="764" ht="14.25" customHeight="1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  <c r="AA764" s="26"/>
      <c r="AB764" s="26"/>
      <c r="AC764" s="26"/>
      <c r="AD764" s="26"/>
      <c r="AE764" s="26"/>
      <c r="AF764" s="26"/>
      <c r="AG764" s="26"/>
      <c r="AH764" s="26"/>
      <c r="AI764" s="26"/>
      <c r="AJ764" s="26"/>
      <c r="AK764" s="26"/>
      <c r="AL764" s="26"/>
      <c r="AM764" s="26"/>
      <c r="AN764" s="26"/>
      <c r="AO764" s="26"/>
      <c r="AP764" s="26"/>
      <c r="AQ764" s="26"/>
      <c r="AR764" s="26"/>
      <c r="AS764" s="26"/>
      <c r="AT764" s="26"/>
      <c r="AU764" s="26"/>
      <c r="AV764" s="26"/>
      <c r="AW764" s="26"/>
      <c r="AX764" s="26"/>
      <c r="AY764" s="26"/>
      <c r="AZ764" s="26"/>
      <c r="BA764" s="26"/>
      <c r="BB764" s="26"/>
      <c r="BC764" s="26"/>
      <c r="BD764" s="26"/>
      <c r="BE764" s="26"/>
      <c r="BF764" s="26"/>
      <c r="BG764" s="26"/>
      <c r="BH764" s="26"/>
      <c r="BI764" s="26"/>
      <c r="BJ764" s="26"/>
      <c r="BK764" s="26"/>
    </row>
    <row r="765" ht="14.25" customHeight="1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  <c r="AA765" s="26"/>
      <c r="AB765" s="26"/>
      <c r="AC765" s="26"/>
      <c r="AD765" s="26"/>
      <c r="AE765" s="26"/>
      <c r="AF765" s="26"/>
      <c r="AG765" s="26"/>
      <c r="AH765" s="26"/>
      <c r="AI765" s="26"/>
      <c r="AJ765" s="26"/>
      <c r="AK765" s="26"/>
      <c r="AL765" s="26"/>
      <c r="AM765" s="26"/>
      <c r="AN765" s="26"/>
      <c r="AO765" s="26"/>
      <c r="AP765" s="26"/>
      <c r="AQ765" s="26"/>
      <c r="AR765" s="26"/>
      <c r="AS765" s="26"/>
      <c r="AT765" s="26"/>
      <c r="AU765" s="26"/>
      <c r="AV765" s="26"/>
      <c r="AW765" s="26"/>
      <c r="AX765" s="26"/>
      <c r="AY765" s="26"/>
      <c r="AZ765" s="26"/>
      <c r="BA765" s="26"/>
      <c r="BB765" s="26"/>
      <c r="BC765" s="26"/>
      <c r="BD765" s="26"/>
      <c r="BE765" s="26"/>
      <c r="BF765" s="26"/>
      <c r="BG765" s="26"/>
      <c r="BH765" s="26"/>
      <c r="BI765" s="26"/>
      <c r="BJ765" s="26"/>
      <c r="BK765" s="26"/>
    </row>
    <row r="766" ht="14.25" customHeight="1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  <c r="AA766" s="26"/>
      <c r="AB766" s="26"/>
      <c r="AC766" s="26"/>
      <c r="AD766" s="26"/>
      <c r="AE766" s="26"/>
      <c r="AF766" s="26"/>
      <c r="AG766" s="26"/>
      <c r="AH766" s="26"/>
      <c r="AI766" s="26"/>
      <c r="AJ766" s="26"/>
      <c r="AK766" s="26"/>
      <c r="AL766" s="26"/>
      <c r="AM766" s="26"/>
      <c r="AN766" s="26"/>
      <c r="AO766" s="26"/>
      <c r="AP766" s="26"/>
      <c r="AQ766" s="26"/>
      <c r="AR766" s="26"/>
      <c r="AS766" s="26"/>
      <c r="AT766" s="26"/>
      <c r="AU766" s="26"/>
      <c r="AV766" s="26"/>
      <c r="AW766" s="26"/>
      <c r="AX766" s="26"/>
      <c r="AY766" s="26"/>
      <c r="AZ766" s="26"/>
      <c r="BA766" s="26"/>
      <c r="BB766" s="26"/>
      <c r="BC766" s="26"/>
      <c r="BD766" s="26"/>
      <c r="BE766" s="26"/>
      <c r="BF766" s="26"/>
      <c r="BG766" s="26"/>
      <c r="BH766" s="26"/>
      <c r="BI766" s="26"/>
      <c r="BJ766" s="26"/>
      <c r="BK766" s="26"/>
    </row>
    <row r="767" ht="14.25" customHeight="1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  <c r="AA767" s="26"/>
      <c r="AB767" s="26"/>
      <c r="AC767" s="26"/>
      <c r="AD767" s="26"/>
      <c r="AE767" s="26"/>
      <c r="AF767" s="26"/>
      <c r="AG767" s="26"/>
      <c r="AH767" s="26"/>
      <c r="AI767" s="26"/>
      <c r="AJ767" s="26"/>
      <c r="AK767" s="26"/>
      <c r="AL767" s="26"/>
      <c r="AM767" s="26"/>
      <c r="AN767" s="26"/>
      <c r="AO767" s="26"/>
      <c r="AP767" s="26"/>
      <c r="AQ767" s="26"/>
      <c r="AR767" s="26"/>
      <c r="AS767" s="26"/>
      <c r="AT767" s="26"/>
      <c r="AU767" s="26"/>
      <c r="AV767" s="26"/>
      <c r="AW767" s="26"/>
      <c r="AX767" s="26"/>
      <c r="AY767" s="26"/>
      <c r="AZ767" s="26"/>
      <c r="BA767" s="26"/>
      <c r="BB767" s="26"/>
      <c r="BC767" s="26"/>
      <c r="BD767" s="26"/>
      <c r="BE767" s="26"/>
      <c r="BF767" s="26"/>
      <c r="BG767" s="26"/>
      <c r="BH767" s="26"/>
      <c r="BI767" s="26"/>
      <c r="BJ767" s="26"/>
      <c r="BK767" s="26"/>
    </row>
    <row r="768" ht="14.25" customHeight="1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  <c r="AA768" s="26"/>
      <c r="AB768" s="26"/>
      <c r="AC768" s="26"/>
      <c r="AD768" s="26"/>
      <c r="AE768" s="26"/>
      <c r="AF768" s="26"/>
      <c r="AG768" s="26"/>
      <c r="AH768" s="26"/>
      <c r="AI768" s="26"/>
      <c r="AJ768" s="26"/>
      <c r="AK768" s="26"/>
      <c r="AL768" s="26"/>
      <c r="AM768" s="26"/>
      <c r="AN768" s="26"/>
      <c r="AO768" s="26"/>
      <c r="AP768" s="26"/>
      <c r="AQ768" s="26"/>
      <c r="AR768" s="26"/>
      <c r="AS768" s="26"/>
      <c r="AT768" s="26"/>
      <c r="AU768" s="26"/>
      <c r="AV768" s="26"/>
      <c r="AW768" s="26"/>
      <c r="AX768" s="26"/>
      <c r="AY768" s="26"/>
      <c r="AZ768" s="26"/>
      <c r="BA768" s="26"/>
      <c r="BB768" s="26"/>
      <c r="BC768" s="26"/>
      <c r="BD768" s="26"/>
      <c r="BE768" s="26"/>
      <c r="BF768" s="26"/>
      <c r="BG768" s="26"/>
      <c r="BH768" s="26"/>
      <c r="BI768" s="26"/>
      <c r="BJ768" s="26"/>
      <c r="BK768" s="26"/>
    </row>
    <row r="769" ht="14.25" customHeight="1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  <c r="AA769" s="26"/>
      <c r="AB769" s="26"/>
      <c r="AC769" s="26"/>
      <c r="AD769" s="26"/>
      <c r="AE769" s="26"/>
      <c r="AF769" s="26"/>
      <c r="AG769" s="26"/>
      <c r="AH769" s="26"/>
      <c r="AI769" s="26"/>
      <c r="AJ769" s="26"/>
      <c r="AK769" s="26"/>
      <c r="AL769" s="26"/>
      <c r="AM769" s="26"/>
      <c r="AN769" s="26"/>
      <c r="AO769" s="26"/>
      <c r="AP769" s="26"/>
      <c r="AQ769" s="26"/>
      <c r="AR769" s="26"/>
      <c r="AS769" s="26"/>
      <c r="AT769" s="26"/>
      <c r="AU769" s="26"/>
      <c r="AV769" s="26"/>
      <c r="AW769" s="26"/>
      <c r="AX769" s="26"/>
      <c r="AY769" s="26"/>
      <c r="AZ769" s="26"/>
      <c r="BA769" s="26"/>
      <c r="BB769" s="26"/>
      <c r="BC769" s="26"/>
      <c r="BD769" s="26"/>
      <c r="BE769" s="26"/>
      <c r="BF769" s="26"/>
      <c r="BG769" s="26"/>
      <c r="BH769" s="26"/>
      <c r="BI769" s="26"/>
      <c r="BJ769" s="26"/>
      <c r="BK769" s="26"/>
    </row>
    <row r="770" ht="14.25" customHeight="1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  <c r="AA770" s="26"/>
      <c r="AB770" s="26"/>
      <c r="AC770" s="26"/>
      <c r="AD770" s="26"/>
      <c r="AE770" s="26"/>
      <c r="AF770" s="26"/>
      <c r="AG770" s="26"/>
      <c r="AH770" s="26"/>
      <c r="AI770" s="26"/>
      <c r="AJ770" s="26"/>
      <c r="AK770" s="26"/>
      <c r="AL770" s="26"/>
      <c r="AM770" s="26"/>
      <c r="AN770" s="26"/>
      <c r="AO770" s="26"/>
      <c r="AP770" s="26"/>
      <c r="AQ770" s="26"/>
      <c r="AR770" s="26"/>
      <c r="AS770" s="26"/>
      <c r="AT770" s="26"/>
      <c r="AU770" s="26"/>
      <c r="AV770" s="26"/>
      <c r="AW770" s="26"/>
      <c r="AX770" s="26"/>
      <c r="AY770" s="26"/>
      <c r="AZ770" s="26"/>
      <c r="BA770" s="26"/>
      <c r="BB770" s="26"/>
      <c r="BC770" s="26"/>
      <c r="BD770" s="26"/>
      <c r="BE770" s="26"/>
      <c r="BF770" s="26"/>
      <c r="BG770" s="26"/>
      <c r="BH770" s="26"/>
      <c r="BI770" s="26"/>
      <c r="BJ770" s="26"/>
      <c r="BK770" s="26"/>
    </row>
    <row r="771" ht="14.25" customHeight="1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  <c r="AA771" s="26"/>
      <c r="AB771" s="26"/>
      <c r="AC771" s="26"/>
      <c r="AD771" s="26"/>
      <c r="AE771" s="26"/>
      <c r="AF771" s="26"/>
      <c r="AG771" s="26"/>
      <c r="AH771" s="26"/>
      <c r="AI771" s="26"/>
      <c r="AJ771" s="26"/>
      <c r="AK771" s="26"/>
      <c r="AL771" s="26"/>
      <c r="AM771" s="26"/>
      <c r="AN771" s="26"/>
      <c r="AO771" s="26"/>
      <c r="AP771" s="26"/>
      <c r="AQ771" s="26"/>
      <c r="AR771" s="26"/>
      <c r="AS771" s="26"/>
      <c r="AT771" s="26"/>
      <c r="AU771" s="26"/>
      <c r="AV771" s="26"/>
      <c r="AW771" s="26"/>
      <c r="AX771" s="26"/>
      <c r="AY771" s="26"/>
      <c r="AZ771" s="26"/>
      <c r="BA771" s="26"/>
      <c r="BB771" s="26"/>
      <c r="BC771" s="26"/>
      <c r="BD771" s="26"/>
      <c r="BE771" s="26"/>
      <c r="BF771" s="26"/>
      <c r="BG771" s="26"/>
      <c r="BH771" s="26"/>
      <c r="BI771" s="26"/>
      <c r="BJ771" s="26"/>
      <c r="BK771" s="26"/>
    </row>
    <row r="772" ht="14.25" customHeight="1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  <c r="AA772" s="26"/>
      <c r="AB772" s="26"/>
      <c r="AC772" s="26"/>
      <c r="AD772" s="26"/>
      <c r="AE772" s="26"/>
      <c r="AF772" s="26"/>
      <c r="AG772" s="26"/>
      <c r="AH772" s="26"/>
      <c r="AI772" s="26"/>
      <c r="AJ772" s="26"/>
      <c r="AK772" s="26"/>
      <c r="AL772" s="26"/>
      <c r="AM772" s="26"/>
      <c r="AN772" s="26"/>
      <c r="AO772" s="26"/>
      <c r="AP772" s="26"/>
      <c r="AQ772" s="26"/>
      <c r="AR772" s="26"/>
      <c r="AS772" s="26"/>
      <c r="AT772" s="26"/>
      <c r="AU772" s="26"/>
      <c r="AV772" s="26"/>
      <c r="AW772" s="26"/>
      <c r="AX772" s="26"/>
      <c r="AY772" s="26"/>
      <c r="AZ772" s="26"/>
      <c r="BA772" s="26"/>
      <c r="BB772" s="26"/>
      <c r="BC772" s="26"/>
      <c r="BD772" s="26"/>
      <c r="BE772" s="26"/>
      <c r="BF772" s="26"/>
      <c r="BG772" s="26"/>
      <c r="BH772" s="26"/>
      <c r="BI772" s="26"/>
      <c r="BJ772" s="26"/>
      <c r="BK772" s="26"/>
    </row>
    <row r="773" ht="14.25" customHeight="1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  <c r="AA773" s="26"/>
      <c r="AB773" s="26"/>
      <c r="AC773" s="26"/>
      <c r="AD773" s="26"/>
      <c r="AE773" s="26"/>
      <c r="AF773" s="26"/>
      <c r="AG773" s="26"/>
      <c r="AH773" s="26"/>
      <c r="AI773" s="26"/>
      <c r="AJ773" s="26"/>
      <c r="AK773" s="26"/>
      <c r="AL773" s="26"/>
      <c r="AM773" s="26"/>
      <c r="AN773" s="26"/>
      <c r="AO773" s="26"/>
      <c r="AP773" s="26"/>
      <c r="AQ773" s="26"/>
      <c r="AR773" s="26"/>
      <c r="AS773" s="26"/>
      <c r="AT773" s="26"/>
      <c r="AU773" s="26"/>
      <c r="AV773" s="26"/>
      <c r="AW773" s="26"/>
      <c r="AX773" s="26"/>
      <c r="AY773" s="26"/>
      <c r="AZ773" s="26"/>
      <c r="BA773" s="26"/>
      <c r="BB773" s="26"/>
      <c r="BC773" s="26"/>
      <c r="BD773" s="26"/>
      <c r="BE773" s="26"/>
      <c r="BF773" s="26"/>
      <c r="BG773" s="26"/>
      <c r="BH773" s="26"/>
      <c r="BI773" s="26"/>
      <c r="BJ773" s="26"/>
      <c r="BK773" s="26"/>
    </row>
    <row r="774" ht="14.25" customHeight="1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  <c r="AA774" s="26"/>
      <c r="AB774" s="26"/>
      <c r="AC774" s="26"/>
      <c r="AD774" s="26"/>
      <c r="AE774" s="26"/>
      <c r="AF774" s="26"/>
      <c r="AG774" s="26"/>
      <c r="AH774" s="26"/>
      <c r="AI774" s="26"/>
      <c r="AJ774" s="26"/>
      <c r="AK774" s="26"/>
      <c r="AL774" s="26"/>
      <c r="AM774" s="26"/>
      <c r="AN774" s="26"/>
      <c r="AO774" s="26"/>
      <c r="AP774" s="26"/>
      <c r="AQ774" s="26"/>
      <c r="AR774" s="26"/>
      <c r="AS774" s="26"/>
      <c r="AT774" s="26"/>
      <c r="AU774" s="26"/>
      <c r="AV774" s="26"/>
      <c r="AW774" s="26"/>
      <c r="AX774" s="26"/>
      <c r="AY774" s="26"/>
      <c r="AZ774" s="26"/>
      <c r="BA774" s="26"/>
      <c r="BB774" s="26"/>
      <c r="BC774" s="26"/>
      <c r="BD774" s="26"/>
      <c r="BE774" s="26"/>
      <c r="BF774" s="26"/>
      <c r="BG774" s="26"/>
      <c r="BH774" s="26"/>
      <c r="BI774" s="26"/>
      <c r="BJ774" s="26"/>
      <c r="BK774" s="26"/>
    </row>
    <row r="775" ht="14.25" customHeight="1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  <c r="AA775" s="26"/>
      <c r="AB775" s="26"/>
      <c r="AC775" s="26"/>
      <c r="AD775" s="26"/>
      <c r="AE775" s="26"/>
      <c r="AF775" s="26"/>
      <c r="AG775" s="26"/>
      <c r="AH775" s="26"/>
      <c r="AI775" s="26"/>
      <c r="AJ775" s="26"/>
      <c r="AK775" s="26"/>
      <c r="AL775" s="26"/>
      <c r="AM775" s="26"/>
      <c r="AN775" s="26"/>
      <c r="AO775" s="26"/>
      <c r="AP775" s="26"/>
      <c r="AQ775" s="26"/>
      <c r="AR775" s="26"/>
      <c r="AS775" s="26"/>
      <c r="AT775" s="26"/>
      <c r="AU775" s="26"/>
      <c r="AV775" s="26"/>
      <c r="AW775" s="26"/>
      <c r="AX775" s="26"/>
      <c r="AY775" s="26"/>
      <c r="AZ775" s="26"/>
      <c r="BA775" s="26"/>
      <c r="BB775" s="26"/>
      <c r="BC775" s="26"/>
      <c r="BD775" s="26"/>
      <c r="BE775" s="26"/>
      <c r="BF775" s="26"/>
      <c r="BG775" s="26"/>
      <c r="BH775" s="26"/>
      <c r="BI775" s="26"/>
      <c r="BJ775" s="26"/>
      <c r="BK775" s="26"/>
    </row>
    <row r="776" ht="14.25" customHeight="1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  <c r="AA776" s="26"/>
      <c r="AB776" s="26"/>
      <c r="AC776" s="26"/>
      <c r="AD776" s="26"/>
      <c r="AE776" s="26"/>
      <c r="AF776" s="26"/>
      <c r="AG776" s="26"/>
      <c r="AH776" s="26"/>
      <c r="AI776" s="26"/>
      <c r="AJ776" s="26"/>
      <c r="AK776" s="26"/>
      <c r="AL776" s="26"/>
      <c r="AM776" s="26"/>
      <c r="AN776" s="26"/>
      <c r="AO776" s="26"/>
      <c r="AP776" s="26"/>
      <c r="AQ776" s="26"/>
      <c r="AR776" s="26"/>
      <c r="AS776" s="26"/>
      <c r="AT776" s="26"/>
      <c r="AU776" s="26"/>
      <c r="AV776" s="26"/>
      <c r="AW776" s="26"/>
      <c r="AX776" s="26"/>
      <c r="AY776" s="26"/>
      <c r="AZ776" s="26"/>
      <c r="BA776" s="26"/>
      <c r="BB776" s="26"/>
      <c r="BC776" s="26"/>
      <c r="BD776" s="26"/>
      <c r="BE776" s="26"/>
      <c r="BF776" s="26"/>
      <c r="BG776" s="26"/>
      <c r="BH776" s="26"/>
      <c r="BI776" s="26"/>
      <c r="BJ776" s="26"/>
      <c r="BK776" s="26"/>
    </row>
    <row r="777" ht="14.25" customHeight="1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  <c r="AA777" s="26"/>
      <c r="AB777" s="26"/>
      <c r="AC777" s="26"/>
      <c r="AD777" s="26"/>
      <c r="AE777" s="26"/>
      <c r="AF777" s="26"/>
      <c r="AG777" s="26"/>
      <c r="AH777" s="26"/>
      <c r="AI777" s="26"/>
      <c r="AJ777" s="26"/>
      <c r="AK777" s="26"/>
      <c r="AL777" s="26"/>
      <c r="AM777" s="26"/>
      <c r="AN777" s="26"/>
      <c r="AO777" s="26"/>
      <c r="AP777" s="26"/>
      <c r="AQ777" s="26"/>
      <c r="AR777" s="26"/>
      <c r="AS777" s="26"/>
      <c r="AT777" s="26"/>
      <c r="AU777" s="26"/>
      <c r="AV777" s="26"/>
      <c r="AW777" s="26"/>
      <c r="AX777" s="26"/>
      <c r="AY777" s="26"/>
      <c r="AZ777" s="26"/>
      <c r="BA777" s="26"/>
      <c r="BB777" s="26"/>
      <c r="BC777" s="26"/>
      <c r="BD777" s="26"/>
      <c r="BE777" s="26"/>
      <c r="BF777" s="26"/>
      <c r="BG777" s="26"/>
      <c r="BH777" s="26"/>
      <c r="BI777" s="26"/>
      <c r="BJ777" s="26"/>
      <c r="BK777" s="26"/>
    </row>
    <row r="778" ht="14.25" customHeight="1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  <c r="AA778" s="26"/>
      <c r="AB778" s="26"/>
      <c r="AC778" s="26"/>
      <c r="AD778" s="26"/>
      <c r="AE778" s="26"/>
      <c r="AF778" s="26"/>
      <c r="AG778" s="26"/>
      <c r="AH778" s="26"/>
      <c r="AI778" s="26"/>
      <c r="AJ778" s="26"/>
      <c r="AK778" s="26"/>
      <c r="AL778" s="26"/>
      <c r="AM778" s="26"/>
      <c r="AN778" s="26"/>
      <c r="AO778" s="26"/>
      <c r="AP778" s="26"/>
      <c r="AQ778" s="26"/>
      <c r="AR778" s="26"/>
      <c r="AS778" s="26"/>
      <c r="AT778" s="26"/>
      <c r="AU778" s="26"/>
      <c r="AV778" s="26"/>
      <c r="AW778" s="26"/>
      <c r="AX778" s="26"/>
      <c r="AY778" s="26"/>
      <c r="AZ778" s="26"/>
      <c r="BA778" s="26"/>
      <c r="BB778" s="26"/>
      <c r="BC778" s="26"/>
      <c r="BD778" s="26"/>
      <c r="BE778" s="26"/>
      <c r="BF778" s="26"/>
      <c r="BG778" s="26"/>
      <c r="BH778" s="26"/>
      <c r="BI778" s="26"/>
      <c r="BJ778" s="26"/>
      <c r="BK778" s="26"/>
    </row>
    <row r="779" ht="14.25" customHeight="1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  <c r="AA779" s="26"/>
      <c r="AB779" s="26"/>
      <c r="AC779" s="26"/>
      <c r="AD779" s="26"/>
      <c r="AE779" s="26"/>
      <c r="AF779" s="26"/>
      <c r="AG779" s="26"/>
      <c r="AH779" s="26"/>
      <c r="AI779" s="26"/>
      <c r="AJ779" s="26"/>
      <c r="AK779" s="26"/>
      <c r="AL779" s="26"/>
      <c r="AM779" s="26"/>
      <c r="AN779" s="26"/>
      <c r="AO779" s="26"/>
      <c r="AP779" s="26"/>
      <c r="AQ779" s="26"/>
      <c r="AR779" s="26"/>
      <c r="AS779" s="26"/>
      <c r="AT779" s="26"/>
      <c r="AU779" s="26"/>
      <c r="AV779" s="26"/>
      <c r="AW779" s="26"/>
      <c r="AX779" s="26"/>
      <c r="AY779" s="26"/>
      <c r="AZ779" s="26"/>
      <c r="BA779" s="26"/>
      <c r="BB779" s="26"/>
      <c r="BC779" s="26"/>
      <c r="BD779" s="26"/>
      <c r="BE779" s="26"/>
      <c r="BF779" s="26"/>
      <c r="BG779" s="26"/>
      <c r="BH779" s="26"/>
      <c r="BI779" s="26"/>
      <c r="BJ779" s="26"/>
      <c r="BK779" s="26"/>
    </row>
    <row r="780" ht="14.25" customHeight="1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  <c r="AA780" s="26"/>
      <c r="AB780" s="26"/>
      <c r="AC780" s="26"/>
      <c r="AD780" s="26"/>
      <c r="AE780" s="26"/>
      <c r="AF780" s="26"/>
      <c r="AG780" s="26"/>
      <c r="AH780" s="26"/>
      <c r="AI780" s="26"/>
      <c r="AJ780" s="26"/>
      <c r="AK780" s="26"/>
      <c r="AL780" s="26"/>
      <c r="AM780" s="26"/>
      <c r="AN780" s="26"/>
      <c r="AO780" s="26"/>
      <c r="AP780" s="26"/>
      <c r="AQ780" s="26"/>
      <c r="AR780" s="26"/>
      <c r="AS780" s="26"/>
      <c r="AT780" s="26"/>
      <c r="AU780" s="26"/>
      <c r="AV780" s="26"/>
      <c r="AW780" s="26"/>
      <c r="AX780" s="26"/>
      <c r="AY780" s="26"/>
      <c r="AZ780" s="26"/>
      <c r="BA780" s="26"/>
      <c r="BB780" s="26"/>
      <c r="BC780" s="26"/>
      <c r="BD780" s="26"/>
      <c r="BE780" s="26"/>
      <c r="BF780" s="26"/>
      <c r="BG780" s="26"/>
      <c r="BH780" s="26"/>
      <c r="BI780" s="26"/>
      <c r="BJ780" s="26"/>
      <c r="BK780" s="26"/>
    </row>
    <row r="781" ht="14.25" customHeight="1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  <c r="AA781" s="26"/>
      <c r="AB781" s="26"/>
      <c r="AC781" s="26"/>
      <c r="AD781" s="26"/>
      <c r="AE781" s="26"/>
      <c r="AF781" s="26"/>
      <c r="AG781" s="26"/>
      <c r="AH781" s="26"/>
      <c r="AI781" s="26"/>
      <c r="AJ781" s="26"/>
      <c r="AK781" s="26"/>
      <c r="AL781" s="26"/>
      <c r="AM781" s="26"/>
      <c r="AN781" s="26"/>
      <c r="AO781" s="26"/>
      <c r="AP781" s="26"/>
      <c r="AQ781" s="26"/>
      <c r="AR781" s="26"/>
      <c r="AS781" s="26"/>
      <c r="AT781" s="26"/>
      <c r="AU781" s="26"/>
      <c r="AV781" s="26"/>
      <c r="AW781" s="26"/>
      <c r="AX781" s="26"/>
      <c r="AY781" s="26"/>
      <c r="AZ781" s="26"/>
      <c r="BA781" s="26"/>
      <c r="BB781" s="26"/>
      <c r="BC781" s="26"/>
      <c r="BD781" s="26"/>
      <c r="BE781" s="26"/>
      <c r="BF781" s="26"/>
      <c r="BG781" s="26"/>
      <c r="BH781" s="26"/>
      <c r="BI781" s="26"/>
      <c r="BJ781" s="26"/>
      <c r="BK781" s="26"/>
    </row>
    <row r="782" ht="14.25" customHeight="1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  <c r="AA782" s="26"/>
      <c r="AB782" s="26"/>
      <c r="AC782" s="26"/>
      <c r="AD782" s="26"/>
      <c r="AE782" s="26"/>
      <c r="AF782" s="26"/>
      <c r="AG782" s="26"/>
      <c r="AH782" s="26"/>
      <c r="AI782" s="26"/>
      <c r="AJ782" s="26"/>
      <c r="AK782" s="26"/>
      <c r="AL782" s="26"/>
      <c r="AM782" s="26"/>
      <c r="AN782" s="26"/>
      <c r="AO782" s="26"/>
      <c r="AP782" s="26"/>
      <c r="AQ782" s="26"/>
      <c r="AR782" s="26"/>
      <c r="AS782" s="26"/>
      <c r="AT782" s="26"/>
      <c r="AU782" s="26"/>
      <c r="AV782" s="26"/>
      <c r="AW782" s="26"/>
      <c r="AX782" s="26"/>
      <c r="AY782" s="26"/>
      <c r="AZ782" s="26"/>
      <c r="BA782" s="26"/>
      <c r="BB782" s="26"/>
      <c r="BC782" s="26"/>
      <c r="BD782" s="26"/>
      <c r="BE782" s="26"/>
      <c r="BF782" s="26"/>
      <c r="BG782" s="26"/>
      <c r="BH782" s="26"/>
      <c r="BI782" s="26"/>
      <c r="BJ782" s="26"/>
      <c r="BK782" s="26"/>
    </row>
    <row r="783" ht="14.25" customHeight="1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  <c r="AA783" s="26"/>
      <c r="AB783" s="26"/>
      <c r="AC783" s="26"/>
      <c r="AD783" s="26"/>
      <c r="AE783" s="26"/>
      <c r="AF783" s="26"/>
      <c r="AG783" s="26"/>
      <c r="AH783" s="26"/>
      <c r="AI783" s="26"/>
      <c r="AJ783" s="26"/>
      <c r="AK783" s="26"/>
      <c r="AL783" s="26"/>
      <c r="AM783" s="26"/>
      <c r="AN783" s="26"/>
      <c r="AO783" s="26"/>
      <c r="AP783" s="26"/>
      <c r="AQ783" s="26"/>
      <c r="AR783" s="26"/>
      <c r="AS783" s="26"/>
      <c r="AT783" s="26"/>
      <c r="AU783" s="26"/>
      <c r="AV783" s="26"/>
      <c r="AW783" s="26"/>
      <c r="AX783" s="26"/>
      <c r="AY783" s="26"/>
      <c r="AZ783" s="26"/>
      <c r="BA783" s="26"/>
      <c r="BB783" s="26"/>
      <c r="BC783" s="26"/>
      <c r="BD783" s="26"/>
      <c r="BE783" s="26"/>
      <c r="BF783" s="26"/>
      <c r="BG783" s="26"/>
      <c r="BH783" s="26"/>
      <c r="BI783" s="26"/>
      <c r="BJ783" s="26"/>
      <c r="BK783" s="26"/>
    </row>
    <row r="784" ht="14.25" customHeight="1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  <c r="AA784" s="26"/>
      <c r="AB784" s="26"/>
      <c r="AC784" s="26"/>
      <c r="AD784" s="26"/>
      <c r="AE784" s="26"/>
      <c r="AF784" s="26"/>
      <c r="AG784" s="26"/>
      <c r="AH784" s="26"/>
      <c r="AI784" s="26"/>
      <c r="AJ784" s="26"/>
      <c r="AK784" s="26"/>
      <c r="AL784" s="26"/>
      <c r="AM784" s="26"/>
      <c r="AN784" s="26"/>
      <c r="AO784" s="26"/>
      <c r="AP784" s="26"/>
      <c r="AQ784" s="26"/>
      <c r="AR784" s="26"/>
      <c r="AS784" s="26"/>
      <c r="AT784" s="26"/>
      <c r="AU784" s="26"/>
      <c r="AV784" s="26"/>
      <c r="AW784" s="26"/>
      <c r="AX784" s="26"/>
      <c r="AY784" s="26"/>
      <c r="AZ784" s="26"/>
      <c r="BA784" s="26"/>
      <c r="BB784" s="26"/>
      <c r="BC784" s="26"/>
      <c r="BD784" s="26"/>
      <c r="BE784" s="26"/>
      <c r="BF784" s="26"/>
      <c r="BG784" s="26"/>
      <c r="BH784" s="26"/>
      <c r="BI784" s="26"/>
      <c r="BJ784" s="26"/>
      <c r="BK784" s="26"/>
    </row>
    <row r="785" ht="14.25" customHeight="1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  <c r="AA785" s="26"/>
      <c r="AB785" s="26"/>
      <c r="AC785" s="26"/>
      <c r="AD785" s="26"/>
      <c r="AE785" s="26"/>
      <c r="AF785" s="26"/>
      <c r="AG785" s="26"/>
      <c r="AH785" s="26"/>
      <c r="AI785" s="26"/>
      <c r="AJ785" s="26"/>
      <c r="AK785" s="26"/>
      <c r="AL785" s="26"/>
      <c r="AM785" s="26"/>
      <c r="AN785" s="26"/>
      <c r="AO785" s="26"/>
      <c r="AP785" s="26"/>
      <c r="AQ785" s="26"/>
      <c r="AR785" s="26"/>
      <c r="AS785" s="26"/>
      <c r="AT785" s="26"/>
      <c r="AU785" s="26"/>
      <c r="AV785" s="26"/>
      <c r="AW785" s="26"/>
      <c r="AX785" s="26"/>
      <c r="AY785" s="26"/>
      <c r="AZ785" s="26"/>
      <c r="BA785" s="26"/>
      <c r="BB785" s="26"/>
      <c r="BC785" s="26"/>
      <c r="BD785" s="26"/>
      <c r="BE785" s="26"/>
      <c r="BF785" s="26"/>
      <c r="BG785" s="26"/>
      <c r="BH785" s="26"/>
      <c r="BI785" s="26"/>
      <c r="BJ785" s="26"/>
      <c r="BK785" s="26"/>
    </row>
    <row r="786" ht="14.25" customHeight="1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  <c r="AA786" s="26"/>
      <c r="AB786" s="26"/>
      <c r="AC786" s="26"/>
      <c r="AD786" s="26"/>
      <c r="AE786" s="26"/>
      <c r="AF786" s="26"/>
      <c r="AG786" s="26"/>
      <c r="AH786" s="26"/>
      <c r="AI786" s="26"/>
      <c r="AJ786" s="26"/>
      <c r="AK786" s="26"/>
      <c r="AL786" s="26"/>
      <c r="AM786" s="26"/>
      <c r="AN786" s="26"/>
      <c r="AO786" s="26"/>
      <c r="AP786" s="26"/>
      <c r="AQ786" s="26"/>
      <c r="AR786" s="26"/>
      <c r="AS786" s="26"/>
      <c r="AT786" s="26"/>
      <c r="AU786" s="26"/>
      <c r="AV786" s="26"/>
      <c r="AW786" s="26"/>
      <c r="AX786" s="26"/>
      <c r="AY786" s="26"/>
      <c r="AZ786" s="26"/>
      <c r="BA786" s="26"/>
      <c r="BB786" s="26"/>
      <c r="BC786" s="26"/>
      <c r="BD786" s="26"/>
      <c r="BE786" s="26"/>
      <c r="BF786" s="26"/>
      <c r="BG786" s="26"/>
      <c r="BH786" s="26"/>
      <c r="BI786" s="26"/>
      <c r="BJ786" s="26"/>
      <c r="BK786" s="26"/>
    </row>
    <row r="787" ht="14.25" customHeight="1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  <c r="AA787" s="26"/>
      <c r="AB787" s="26"/>
      <c r="AC787" s="26"/>
      <c r="AD787" s="26"/>
      <c r="AE787" s="26"/>
      <c r="AF787" s="26"/>
      <c r="AG787" s="26"/>
      <c r="AH787" s="26"/>
      <c r="AI787" s="26"/>
      <c r="AJ787" s="26"/>
      <c r="AK787" s="26"/>
      <c r="AL787" s="26"/>
      <c r="AM787" s="26"/>
      <c r="AN787" s="26"/>
      <c r="AO787" s="26"/>
      <c r="AP787" s="26"/>
      <c r="AQ787" s="26"/>
      <c r="AR787" s="26"/>
      <c r="AS787" s="26"/>
      <c r="AT787" s="26"/>
      <c r="AU787" s="26"/>
      <c r="AV787" s="26"/>
      <c r="AW787" s="26"/>
      <c r="AX787" s="26"/>
      <c r="AY787" s="26"/>
      <c r="AZ787" s="26"/>
      <c r="BA787" s="26"/>
      <c r="BB787" s="26"/>
      <c r="BC787" s="26"/>
      <c r="BD787" s="26"/>
      <c r="BE787" s="26"/>
      <c r="BF787" s="26"/>
      <c r="BG787" s="26"/>
      <c r="BH787" s="26"/>
      <c r="BI787" s="26"/>
      <c r="BJ787" s="26"/>
      <c r="BK787" s="26"/>
    </row>
    <row r="788" ht="14.25" customHeight="1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  <c r="AA788" s="26"/>
      <c r="AB788" s="26"/>
      <c r="AC788" s="26"/>
      <c r="AD788" s="26"/>
      <c r="AE788" s="26"/>
      <c r="AF788" s="26"/>
      <c r="AG788" s="26"/>
      <c r="AH788" s="26"/>
      <c r="AI788" s="26"/>
      <c r="AJ788" s="26"/>
      <c r="AK788" s="26"/>
      <c r="AL788" s="26"/>
      <c r="AM788" s="26"/>
      <c r="AN788" s="26"/>
      <c r="AO788" s="26"/>
      <c r="AP788" s="26"/>
      <c r="AQ788" s="26"/>
      <c r="AR788" s="26"/>
      <c r="AS788" s="26"/>
      <c r="AT788" s="26"/>
      <c r="AU788" s="26"/>
      <c r="AV788" s="26"/>
      <c r="AW788" s="26"/>
      <c r="AX788" s="26"/>
      <c r="AY788" s="26"/>
      <c r="AZ788" s="26"/>
      <c r="BA788" s="26"/>
      <c r="BB788" s="26"/>
      <c r="BC788" s="26"/>
      <c r="BD788" s="26"/>
      <c r="BE788" s="26"/>
      <c r="BF788" s="26"/>
      <c r="BG788" s="26"/>
      <c r="BH788" s="26"/>
      <c r="BI788" s="26"/>
      <c r="BJ788" s="26"/>
      <c r="BK788" s="26"/>
    </row>
    <row r="789" ht="14.25" customHeight="1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  <c r="AA789" s="26"/>
      <c r="AB789" s="26"/>
      <c r="AC789" s="26"/>
      <c r="AD789" s="26"/>
      <c r="AE789" s="26"/>
      <c r="AF789" s="26"/>
      <c r="AG789" s="26"/>
      <c r="AH789" s="26"/>
      <c r="AI789" s="26"/>
      <c r="AJ789" s="26"/>
      <c r="AK789" s="26"/>
      <c r="AL789" s="26"/>
      <c r="AM789" s="26"/>
      <c r="AN789" s="26"/>
      <c r="AO789" s="26"/>
      <c r="AP789" s="26"/>
      <c r="AQ789" s="26"/>
      <c r="AR789" s="26"/>
      <c r="AS789" s="26"/>
      <c r="AT789" s="26"/>
      <c r="AU789" s="26"/>
      <c r="AV789" s="26"/>
      <c r="AW789" s="26"/>
      <c r="AX789" s="26"/>
      <c r="AY789" s="26"/>
      <c r="AZ789" s="26"/>
      <c r="BA789" s="26"/>
      <c r="BB789" s="26"/>
      <c r="BC789" s="26"/>
      <c r="BD789" s="26"/>
      <c r="BE789" s="26"/>
      <c r="BF789" s="26"/>
      <c r="BG789" s="26"/>
      <c r="BH789" s="26"/>
      <c r="BI789" s="26"/>
      <c r="BJ789" s="26"/>
      <c r="BK789" s="26"/>
    </row>
    <row r="790" ht="14.25" customHeight="1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  <c r="AA790" s="26"/>
      <c r="AB790" s="26"/>
      <c r="AC790" s="26"/>
      <c r="AD790" s="26"/>
      <c r="AE790" s="26"/>
      <c r="AF790" s="26"/>
      <c r="AG790" s="26"/>
      <c r="AH790" s="26"/>
      <c r="AI790" s="26"/>
      <c r="AJ790" s="26"/>
      <c r="AK790" s="26"/>
      <c r="AL790" s="26"/>
      <c r="AM790" s="26"/>
      <c r="AN790" s="26"/>
      <c r="AO790" s="26"/>
      <c r="AP790" s="26"/>
      <c r="AQ790" s="26"/>
      <c r="AR790" s="26"/>
      <c r="AS790" s="26"/>
      <c r="AT790" s="26"/>
      <c r="AU790" s="26"/>
      <c r="AV790" s="26"/>
      <c r="AW790" s="26"/>
      <c r="AX790" s="26"/>
      <c r="AY790" s="26"/>
      <c r="AZ790" s="26"/>
      <c r="BA790" s="26"/>
      <c r="BB790" s="26"/>
      <c r="BC790" s="26"/>
      <c r="BD790" s="26"/>
      <c r="BE790" s="26"/>
      <c r="BF790" s="26"/>
      <c r="BG790" s="26"/>
      <c r="BH790" s="26"/>
      <c r="BI790" s="26"/>
      <c r="BJ790" s="26"/>
      <c r="BK790" s="26"/>
    </row>
    <row r="791" ht="14.25" customHeight="1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  <c r="AA791" s="26"/>
      <c r="AB791" s="26"/>
      <c r="AC791" s="26"/>
      <c r="AD791" s="26"/>
      <c r="AE791" s="26"/>
      <c r="AF791" s="26"/>
      <c r="AG791" s="26"/>
      <c r="AH791" s="26"/>
      <c r="AI791" s="26"/>
      <c r="AJ791" s="26"/>
      <c r="AK791" s="26"/>
      <c r="AL791" s="26"/>
      <c r="AM791" s="26"/>
      <c r="AN791" s="26"/>
      <c r="AO791" s="26"/>
      <c r="AP791" s="26"/>
      <c r="AQ791" s="26"/>
      <c r="AR791" s="26"/>
      <c r="AS791" s="26"/>
      <c r="AT791" s="26"/>
      <c r="AU791" s="26"/>
      <c r="AV791" s="26"/>
      <c r="AW791" s="26"/>
      <c r="AX791" s="26"/>
      <c r="AY791" s="26"/>
      <c r="AZ791" s="26"/>
      <c r="BA791" s="26"/>
      <c r="BB791" s="26"/>
      <c r="BC791" s="26"/>
      <c r="BD791" s="26"/>
      <c r="BE791" s="26"/>
      <c r="BF791" s="26"/>
      <c r="BG791" s="26"/>
      <c r="BH791" s="26"/>
      <c r="BI791" s="26"/>
      <c r="BJ791" s="26"/>
      <c r="BK791" s="26"/>
    </row>
    <row r="792" ht="14.25" customHeight="1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  <c r="AA792" s="26"/>
      <c r="AB792" s="26"/>
      <c r="AC792" s="26"/>
      <c r="AD792" s="26"/>
      <c r="AE792" s="26"/>
      <c r="AF792" s="26"/>
      <c r="AG792" s="26"/>
      <c r="AH792" s="26"/>
      <c r="AI792" s="26"/>
      <c r="AJ792" s="26"/>
      <c r="AK792" s="26"/>
      <c r="AL792" s="26"/>
      <c r="AM792" s="26"/>
      <c r="AN792" s="26"/>
      <c r="AO792" s="26"/>
      <c r="AP792" s="26"/>
      <c r="AQ792" s="26"/>
      <c r="AR792" s="26"/>
      <c r="AS792" s="26"/>
      <c r="AT792" s="26"/>
      <c r="AU792" s="26"/>
      <c r="AV792" s="26"/>
      <c r="AW792" s="26"/>
      <c r="AX792" s="26"/>
      <c r="AY792" s="26"/>
      <c r="AZ792" s="26"/>
      <c r="BA792" s="26"/>
      <c r="BB792" s="26"/>
      <c r="BC792" s="26"/>
      <c r="BD792" s="26"/>
      <c r="BE792" s="26"/>
      <c r="BF792" s="26"/>
      <c r="BG792" s="26"/>
      <c r="BH792" s="26"/>
      <c r="BI792" s="26"/>
      <c r="BJ792" s="26"/>
      <c r="BK792" s="26"/>
    </row>
    <row r="793" ht="14.25" customHeight="1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  <c r="AA793" s="26"/>
      <c r="AB793" s="26"/>
      <c r="AC793" s="26"/>
      <c r="AD793" s="26"/>
      <c r="AE793" s="26"/>
      <c r="AF793" s="26"/>
      <c r="AG793" s="26"/>
      <c r="AH793" s="26"/>
      <c r="AI793" s="26"/>
      <c r="AJ793" s="26"/>
      <c r="AK793" s="26"/>
      <c r="AL793" s="26"/>
      <c r="AM793" s="26"/>
      <c r="AN793" s="26"/>
      <c r="AO793" s="26"/>
      <c r="AP793" s="26"/>
      <c r="AQ793" s="26"/>
      <c r="AR793" s="26"/>
      <c r="AS793" s="26"/>
      <c r="AT793" s="26"/>
      <c r="AU793" s="26"/>
      <c r="AV793" s="26"/>
      <c r="AW793" s="26"/>
      <c r="AX793" s="26"/>
      <c r="AY793" s="26"/>
      <c r="AZ793" s="26"/>
      <c r="BA793" s="26"/>
      <c r="BB793" s="26"/>
      <c r="BC793" s="26"/>
      <c r="BD793" s="26"/>
      <c r="BE793" s="26"/>
      <c r="BF793" s="26"/>
      <c r="BG793" s="26"/>
      <c r="BH793" s="26"/>
      <c r="BI793" s="26"/>
      <c r="BJ793" s="26"/>
      <c r="BK793" s="26"/>
    </row>
    <row r="794" ht="14.25" customHeight="1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  <c r="AA794" s="26"/>
      <c r="AB794" s="26"/>
      <c r="AC794" s="26"/>
      <c r="AD794" s="26"/>
      <c r="AE794" s="26"/>
      <c r="AF794" s="26"/>
      <c r="AG794" s="26"/>
      <c r="AH794" s="26"/>
      <c r="AI794" s="26"/>
      <c r="AJ794" s="26"/>
      <c r="AK794" s="26"/>
      <c r="AL794" s="26"/>
      <c r="AM794" s="26"/>
      <c r="AN794" s="26"/>
      <c r="AO794" s="26"/>
      <c r="AP794" s="26"/>
      <c r="AQ794" s="26"/>
      <c r="AR794" s="26"/>
      <c r="AS794" s="26"/>
      <c r="AT794" s="26"/>
      <c r="AU794" s="26"/>
      <c r="AV794" s="26"/>
      <c r="AW794" s="26"/>
      <c r="AX794" s="26"/>
      <c r="AY794" s="26"/>
      <c r="AZ794" s="26"/>
      <c r="BA794" s="26"/>
      <c r="BB794" s="26"/>
      <c r="BC794" s="26"/>
      <c r="BD794" s="26"/>
      <c r="BE794" s="26"/>
      <c r="BF794" s="26"/>
      <c r="BG794" s="26"/>
      <c r="BH794" s="26"/>
      <c r="BI794" s="26"/>
      <c r="BJ794" s="26"/>
      <c r="BK794" s="26"/>
    </row>
    <row r="795" ht="14.25" customHeight="1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  <c r="AA795" s="26"/>
      <c r="AB795" s="26"/>
      <c r="AC795" s="26"/>
      <c r="AD795" s="26"/>
      <c r="AE795" s="26"/>
      <c r="AF795" s="26"/>
      <c r="AG795" s="26"/>
      <c r="AH795" s="26"/>
      <c r="AI795" s="26"/>
      <c r="AJ795" s="26"/>
      <c r="AK795" s="26"/>
      <c r="AL795" s="26"/>
      <c r="AM795" s="26"/>
      <c r="AN795" s="26"/>
      <c r="AO795" s="26"/>
      <c r="AP795" s="26"/>
      <c r="AQ795" s="26"/>
      <c r="AR795" s="26"/>
      <c r="AS795" s="26"/>
      <c r="AT795" s="26"/>
      <c r="AU795" s="26"/>
      <c r="AV795" s="26"/>
      <c r="AW795" s="26"/>
      <c r="AX795" s="26"/>
      <c r="AY795" s="26"/>
      <c r="AZ795" s="26"/>
      <c r="BA795" s="26"/>
      <c r="BB795" s="26"/>
      <c r="BC795" s="26"/>
      <c r="BD795" s="26"/>
      <c r="BE795" s="26"/>
      <c r="BF795" s="26"/>
      <c r="BG795" s="26"/>
      <c r="BH795" s="26"/>
      <c r="BI795" s="26"/>
      <c r="BJ795" s="26"/>
      <c r="BK795" s="26"/>
    </row>
    <row r="796" ht="14.25" customHeight="1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  <c r="AA796" s="26"/>
      <c r="AB796" s="26"/>
      <c r="AC796" s="26"/>
      <c r="AD796" s="26"/>
      <c r="AE796" s="26"/>
      <c r="AF796" s="26"/>
      <c r="AG796" s="26"/>
      <c r="AH796" s="26"/>
      <c r="AI796" s="26"/>
      <c r="AJ796" s="26"/>
      <c r="AK796" s="26"/>
      <c r="AL796" s="26"/>
      <c r="AM796" s="26"/>
      <c r="AN796" s="26"/>
      <c r="AO796" s="26"/>
      <c r="AP796" s="26"/>
      <c r="AQ796" s="26"/>
      <c r="AR796" s="26"/>
      <c r="AS796" s="26"/>
      <c r="AT796" s="26"/>
      <c r="AU796" s="26"/>
      <c r="AV796" s="26"/>
      <c r="AW796" s="26"/>
      <c r="AX796" s="26"/>
      <c r="AY796" s="26"/>
      <c r="AZ796" s="26"/>
      <c r="BA796" s="26"/>
      <c r="BB796" s="26"/>
      <c r="BC796" s="26"/>
      <c r="BD796" s="26"/>
      <c r="BE796" s="26"/>
      <c r="BF796" s="26"/>
      <c r="BG796" s="26"/>
      <c r="BH796" s="26"/>
      <c r="BI796" s="26"/>
      <c r="BJ796" s="26"/>
      <c r="BK796" s="26"/>
    </row>
    <row r="797" ht="14.25" customHeight="1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  <c r="AA797" s="26"/>
      <c r="AB797" s="26"/>
      <c r="AC797" s="26"/>
      <c r="AD797" s="26"/>
      <c r="AE797" s="26"/>
      <c r="AF797" s="26"/>
      <c r="AG797" s="26"/>
      <c r="AH797" s="26"/>
      <c r="AI797" s="26"/>
      <c r="AJ797" s="26"/>
      <c r="AK797" s="26"/>
      <c r="AL797" s="26"/>
      <c r="AM797" s="26"/>
      <c r="AN797" s="26"/>
      <c r="AO797" s="26"/>
      <c r="AP797" s="26"/>
      <c r="AQ797" s="26"/>
      <c r="AR797" s="26"/>
      <c r="AS797" s="26"/>
      <c r="AT797" s="26"/>
      <c r="AU797" s="26"/>
      <c r="AV797" s="26"/>
      <c r="AW797" s="26"/>
      <c r="AX797" s="26"/>
      <c r="AY797" s="26"/>
      <c r="AZ797" s="26"/>
      <c r="BA797" s="26"/>
      <c r="BB797" s="26"/>
      <c r="BC797" s="26"/>
      <c r="BD797" s="26"/>
      <c r="BE797" s="26"/>
      <c r="BF797" s="26"/>
      <c r="BG797" s="26"/>
      <c r="BH797" s="26"/>
      <c r="BI797" s="26"/>
      <c r="BJ797" s="26"/>
      <c r="BK797" s="26"/>
    </row>
    <row r="798" ht="14.25" customHeight="1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  <c r="AA798" s="26"/>
      <c r="AB798" s="26"/>
      <c r="AC798" s="26"/>
      <c r="AD798" s="26"/>
      <c r="AE798" s="26"/>
      <c r="AF798" s="26"/>
      <c r="AG798" s="26"/>
      <c r="AH798" s="26"/>
      <c r="AI798" s="26"/>
      <c r="AJ798" s="26"/>
      <c r="AK798" s="26"/>
      <c r="AL798" s="26"/>
      <c r="AM798" s="26"/>
      <c r="AN798" s="26"/>
      <c r="AO798" s="26"/>
      <c r="AP798" s="26"/>
      <c r="AQ798" s="26"/>
      <c r="AR798" s="26"/>
      <c r="AS798" s="26"/>
      <c r="AT798" s="26"/>
      <c r="AU798" s="26"/>
      <c r="AV798" s="26"/>
      <c r="AW798" s="26"/>
      <c r="AX798" s="26"/>
      <c r="AY798" s="26"/>
      <c r="AZ798" s="26"/>
      <c r="BA798" s="26"/>
      <c r="BB798" s="26"/>
      <c r="BC798" s="26"/>
      <c r="BD798" s="26"/>
      <c r="BE798" s="26"/>
      <c r="BF798" s="26"/>
      <c r="BG798" s="26"/>
      <c r="BH798" s="26"/>
      <c r="BI798" s="26"/>
      <c r="BJ798" s="26"/>
      <c r="BK798" s="26"/>
    </row>
    <row r="799" ht="14.25" customHeight="1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  <c r="AA799" s="26"/>
      <c r="AB799" s="26"/>
      <c r="AC799" s="26"/>
      <c r="AD799" s="26"/>
      <c r="AE799" s="26"/>
      <c r="AF799" s="26"/>
      <c r="AG799" s="26"/>
      <c r="AH799" s="26"/>
      <c r="AI799" s="26"/>
      <c r="AJ799" s="26"/>
      <c r="AK799" s="26"/>
      <c r="AL799" s="26"/>
      <c r="AM799" s="26"/>
      <c r="AN799" s="26"/>
      <c r="AO799" s="26"/>
      <c r="AP799" s="26"/>
      <c r="AQ799" s="26"/>
      <c r="AR799" s="26"/>
      <c r="AS799" s="26"/>
      <c r="AT799" s="26"/>
      <c r="AU799" s="26"/>
      <c r="AV799" s="26"/>
      <c r="AW799" s="26"/>
      <c r="AX799" s="26"/>
      <c r="AY799" s="26"/>
      <c r="AZ799" s="26"/>
      <c r="BA799" s="26"/>
      <c r="BB799" s="26"/>
      <c r="BC799" s="26"/>
      <c r="BD799" s="26"/>
      <c r="BE799" s="26"/>
      <c r="BF799" s="26"/>
      <c r="BG799" s="26"/>
      <c r="BH799" s="26"/>
      <c r="BI799" s="26"/>
      <c r="BJ799" s="26"/>
      <c r="BK799" s="26"/>
    </row>
    <row r="800" ht="14.25" customHeight="1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  <c r="AA800" s="26"/>
      <c r="AB800" s="26"/>
      <c r="AC800" s="26"/>
      <c r="AD800" s="26"/>
      <c r="AE800" s="26"/>
      <c r="AF800" s="26"/>
      <c r="AG800" s="26"/>
      <c r="AH800" s="26"/>
      <c r="AI800" s="26"/>
      <c r="AJ800" s="26"/>
      <c r="AK800" s="26"/>
      <c r="AL800" s="26"/>
      <c r="AM800" s="26"/>
      <c r="AN800" s="26"/>
      <c r="AO800" s="26"/>
      <c r="AP800" s="26"/>
      <c r="AQ800" s="26"/>
      <c r="AR800" s="26"/>
      <c r="AS800" s="26"/>
      <c r="AT800" s="26"/>
      <c r="AU800" s="26"/>
      <c r="AV800" s="26"/>
      <c r="AW800" s="26"/>
      <c r="AX800" s="26"/>
      <c r="AY800" s="26"/>
      <c r="AZ800" s="26"/>
      <c r="BA800" s="26"/>
      <c r="BB800" s="26"/>
      <c r="BC800" s="26"/>
      <c r="BD800" s="26"/>
      <c r="BE800" s="26"/>
      <c r="BF800" s="26"/>
      <c r="BG800" s="26"/>
      <c r="BH800" s="26"/>
      <c r="BI800" s="26"/>
      <c r="BJ800" s="26"/>
      <c r="BK800" s="26"/>
    </row>
    <row r="801" ht="14.25" customHeight="1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  <c r="AA801" s="26"/>
      <c r="AB801" s="26"/>
      <c r="AC801" s="26"/>
      <c r="AD801" s="26"/>
      <c r="AE801" s="26"/>
      <c r="AF801" s="26"/>
      <c r="AG801" s="26"/>
      <c r="AH801" s="26"/>
      <c r="AI801" s="26"/>
      <c r="AJ801" s="26"/>
      <c r="AK801" s="26"/>
      <c r="AL801" s="26"/>
      <c r="AM801" s="26"/>
      <c r="AN801" s="26"/>
      <c r="AO801" s="26"/>
      <c r="AP801" s="26"/>
      <c r="AQ801" s="26"/>
      <c r="AR801" s="26"/>
      <c r="AS801" s="26"/>
      <c r="AT801" s="26"/>
      <c r="AU801" s="26"/>
      <c r="AV801" s="26"/>
      <c r="AW801" s="26"/>
      <c r="AX801" s="26"/>
      <c r="AY801" s="26"/>
      <c r="AZ801" s="26"/>
      <c r="BA801" s="26"/>
      <c r="BB801" s="26"/>
      <c r="BC801" s="26"/>
      <c r="BD801" s="26"/>
      <c r="BE801" s="26"/>
      <c r="BF801" s="26"/>
      <c r="BG801" s="26"/>
      <c r="BH801" s="26"/>
      <c r="BI801" s="26"/>
      <c r="BJ801" s="26"/>
      <c r="BK801" s="26"/>
    </row>
    <row r="802" ht="14.25" customHeight="1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  <c r="AA802" s="26"/>
      <c r="AB802" s="26"/>
      <c r="AC802" s="26"/>
      <c r="AD802" s="26"/>
      <c r="AE802" s="26"/>
      <c r="AF802" s="26"/>
      <c r="AG802" s="26"/>
      <c r="AH802" s="26"/>
      <c r="AI802" s="26"/>
      <c r="AJ802" s="26"/>
      <c r="AK802" s="26"/>
      <c r="AL802" s="26"/>
      <c r="AM802" s="26"/>
      <c r="AN802" s="26"/>
      <c r="AO802" s="26"/>
      <c r="AP802" s="26"/>
      <c r="AQ802" s="26"/>
      <c r="AR802" s="26"/>
      <c r="AS802" s="26"/>
      <c r="AT802" s="26"/>
      <c r="AU802" s="26"/>
      <c r="AV802" s="26"/>
      <c r="AW802" s="26"/>
      <c r="AX802" s="26"/>
      <c r="AY802" s="26"/>
      <c r="AZ802" s="26"/>
      <c r="BA802" s="26"/>
      <c r="BB802" s="26"/>
      <c r="BC802" s="26"/>
      <c r="BD802" s="26"/>
      <c r="BE802" s="26"/>
      <c r="BF802" s="26"/>
      <c r="BG802" s="26"/>
      <c r="BH802" s="26"/>
      <c r="BI802" s="26"/>
      <c r="BJ802" s="26"/>
      <c r="BK802" s="26"/>
    </row>
    <row r="803" ht="14.25" customHeight="1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  <c r="AA803" s="26"/>
      <c r="AB803" s="26"/>
      <c r="AC803" s="26"/>
      <c r="AD803" s="26"/>
      <c r="AE803" s="26"/>
      <c r="AF803" s="26"/>
      <c r="AG803" s="26"/>
      <c r="AH803" s="26"/>
      <c r="AI803" s="26"/>
      <c r="AJ803" s="26"/>
      <c r="AK803" s="26"/>
      <c r="AL803" s="26"/>
      <c r="AM803" s="26"/>
      <c r="AN803" s="26"/>
      <c r="AO803" s="26"/>
      <c r="AP803" s="26"/>
      <c r="AQ803" s="26"/>
      <c r="AR803" s="26"/>
      <c r="AS803" s="26"/>
      <c r="AT803" s="26"/>
      <c r="AU803" s="26"/>
      <c r="AV803" s="26"/>
      <c r="AW803" s="26"/>
      <c r="AX803" s="26"/>
      <c r="AY803" s="26"/>
      <c r="AZ803" s="26"/>
      <c r="BA803" s="26"/>
      <c r="BB803" s="26"/>
      <c r="BC803" s="26"/>
      <c r="BD803" s="26"/>
      <c r="BE803" s="26"/>
      <c r="BF803" s="26"/>
      <c r="BG803" s="26"/>
      <c r="BH803" s="26"/>
      <c r="BI803" s="26"/>
      <c r="BJ803" s="26"/>
      <c r="BK803" s="26"/>
    </row>
    <row r="804" ht="14.25" customHeight="1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  <c r="AB804" s="26"/>
      <c r="AC804" s="26"/>
      <c r="AD804" s="26"/>
      <c r="AE804" s="26"/>
      <c r="AF804" s="26"/>
      <c r="AG804" s="26"/>
      <c r="AH804" s="26"/>
      <c r="AI804" s="26"/>
      <c r="AJ804" s="26"/>
      <c r="AK804" s="26"/>
      <c r="AL804" s="26"/>
      <c r="AM804" s="26"/>
      <c r="AN804" s="26"/>
      <c r="AO804" s="26"/>
      <c r="AP804" s="26"/>
      <c r="AQ804" s="26"/>
      <c r="AR804" s="26"/>
      <c r="AS804" s="26"/>
      <c r="AT804" s="26"/>
      <c r="AU804" s="26"/>
      <c r="AV804" s="26"/>
      <c r="AW804" s="26"/>
      <c r="AX804" s="26"/>
      <c r="AY804" s="26"/>
      <c r="AZ804" s="26"/>
      <c r="BA804" s="26"/>
      <c r="BB804" s="26"/>
      <c r="BC804" s="26"/>
      <c r="BD804" s="26"/>
      <c r="BE804" s="26"/>
      <c r="BF804" s="26"/>
      <c r="BG804" s="26"/>
      <c r="BH804" s="26"/>
      <c r="BI804" s="26"/>
      <c r="BJ804" s="26"/>
      <c r="BK804" s="26"/>
    </row>
    <row r="805" ht="14.25" customHeight="1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  <c r="AA805" s="26"/>
      <c r="AB805" s="26"/>
      <c r="AC805" s="26"/>
      <c r="AD805" s="26"/>
      <c r="AE805" s="26"/>
      <c r="AF805" s="26"/>
      <c r="AG805" s="26"/>
      <c r="AH805" s="26"/>
      <c r="AI805" s="26"/>
      <c r="AJ805" s="26"/>
      <c r="AK805" s="26"/>
      <c r="AL805" s="26"/>
      <c r="AM805" s="26"/>
      <c r="AN805" s="26"/>
      <c r="AO805" s="26"/>
      <c r="AP805" s="26"/>
      <c r="AQ805" s="26"/>
      <c r="AR805" s="26"/>
      <c r="AS805" s="26"/>
      <c r="AT805" s="26"/>
      <c r="AU805" s="26"/>
      <c r="AV805" s="26"/>
      <c r="AW805" s="26"/>
      <c r="AX805" s="26"/>
      <c r="AY805" s="26"/>
      <c r="AZ805" s="26"/>
      <c r="BA805" s="26"/>
      <c r="BB805" s="26"/>
      <c r="BC805" s="26"/>
      <c r="BD805" s="26"/>
      <c r="BE805" s="26"/>
      <c r="BF805" s="26"/>
      <c r="BG805" s="26"/>
      <c r="BH805" s="26"/>
      <c r="BI805" s="26"/>
      <c r="BJ805" s="26"/>
      <c r="BK805" s="26"/>
    </row>
    <row r="806" ht="14.25" customHeight="1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  <c r="AB806" s="26"/>
      <c r="AC806" s="26"/>
      <c r="AD806" s="26"/>
      <c r="AE806" s="26"/>
      <c r="AF806" s="26"/>
      <c r="AG806" s="26"/>
      <c r="AH806" s="26"/>
      <c r="AI806" s="26"/>
      <c r="AJ806" s="26"/>
      <c r="AK806" s="26"/>
      <c r="AL806" s="26"/>
      <c r="AM806" s="26"/>
      <c r="AN806" s="26"/>
      <c r="AO806" s="26"/>
      <c r="AP806" s="26"/>
      <c r="AQ806" s="26"/>
      <c r="AR806" s="26"/>
      <c r="AS806" s="26"/>
      <c r="AT806" s="26"/>
      <c r="AU806" s="26"/>
      <c r="AV806" s="26"/>
      <c r="AW806" s="26"/>
      <c r="AX806" s="26"/>
      <c r="AY806" s="26"/>
      <c r="AZ806" s="26"/>
      <c r="BA806" s="26"/>
      <c r="BB806" s="26"/>
      <c r="BC806" s="26"/>
      <c r="BD806" s="26"/>
      <c r="BE806" s="26"/>
      <c r="BF806" s="26"/>
      <c r="BG806" s="26"/>
      <c r="BH806" s="26"/>
      <c r="BI806" s="26"/>
      <c r="BJ806" s="26"/>
      <c r="BK806" s="26"/>
    </row>
    <row r="807" ht="14.25" customHeight="1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  <c r="AA807" s="26"/>
      <c r="AB807" s="26"/>
      <c r="AC807" s="26"/>
      <c r="AD807" s="26"/>
      <c r="AE807" s="26"/>
      <c r="AF807" s="26"/>
      <c r="AG807" s="26"/>
      <c r="AH807" s="26"/>
      <c r="AI807" s="26"/>
      <c r="AJ807" s="26"/>
      <c r="AK807" s="26"/>
      <c r="AL807" s="26"/>
      <c r="AM807" s="26"/>
      <c r="AN807" s="26"/>
      <c r="AO807" s="26"/>
      <c r="AP807" s="26"/>
      <c r="AQ807" s="26"/>
      <c r="AR807" s="26"/>
      <c r="AS807" s="26"/>
      <c r="AT807" s="26"/>
      <c r="AU807" s="26"/>
      <c r="AV807" s="26"/>
      <c r="AW807" s="26"/>
      <c r="AX807" s="26"/>
      <c r="AY807" s="26"/>
      <c r="AZ807" s="26"/>
      <c r="BA807" s="26"/>
      <c r="BB807" s="26"/>
      <c r="BC807" s="26"/>
      <c r="BD807" s="26"/>
      <c r="BE807" s="26"/>
      <c r="BF807" s="26"/>
      <c r="BG807" s="26"/>
      <c r="BH807" s="26"/>
      <c r="BI807" s="26"/>
      <c r="BJ807" s="26"/>
      <c r="BK807" s="26"/>
    </row>
    <row r="808" ht="14.25" customHeight="1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  <c r="AA808" s="26"/>
      <c r="AB808" s="26"/>
      <c r="AC808" s="26"/>
      <c r="AD808" s="26"/>
      <c r="AE808" s="26"/>
      <c r="AF808" s="26"/>
      <c r="AG808" s="26"/>
      <c r="AH808" s="26"/>
      <c r="AI808" s="26"/>
      <c r="AJ808" s="26"/>
      <c r="AK808" s="26"/>
      <c r="AL808" s="26"/>
      <c r="AM808" s="26"/>
      <c r="AN808" s="26"/>
      <c r="AO808" s="26"/>
      <c r="AP808" s="26"/>
      <c r="AQ808" s="26"/>
      <c r="AR808" s="26"/>
      <c r="AS808" s="26"/>
      <c r="AT808" s="26"/>
      <c r="AU808" s="26"/>
      <c r="AV808" s="26"/>
      <c r="AW808" s="26"/>
      <c r="AX808" s="26"/>
      <c r="AY808" s="26"/>
      <c r="AZ808" s="26"/>
      <c r="BA808" s="26"/>
      <c r="BB808" s="26"/>
      <c r="BC808" s="26"/>
      <c r="BD808" s="26"/>
      <c r="BE808" s="26"/>
      <c r="BF808" s="26"/>
      <c r="BG808" s="26"/>
      <c r="BH808" s="26"/>
      <c r="BI808" s="26"/>
      <c r="BJ808" s="26"/>
      <c r="BK808" s="26"/>
    </row>
    <row r="809" ht="14.25" customHeight="1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  <c r="AA809" s="26"/>
      <c r="AB809" s="26"/>
      <c r="AC809" s="26"/>
      <c r="AD809" s="26"/>
      <c r="AE809" s="26"/>
      <c r="AF809" s="26"/>
      <c r="AG809" s="26"/>
      <c r="AH809" s="26"/>
      <c r="AI809" s="26"/>
      <c r="AJ809" s="26"/>
      <c r="AK809" s="26"/>
      <c r="AL809" s="26"/>
      <c r="AM809" s="26"/>
      <c r="AN809" s="26"/>
      <c r="AO809" s="26"/>
      <c r="AP809" s="26"/>
      <c r="AQ809" s="26"/>
      <c r="AR809" s="26"/>
      <c r="AS809" s="26"/>
      <c r="AT809" s="26"/>
      <c r="AU809" s="26"/>
      <c r="AV809" s="26"/>
      <c r="AW809" s="26"/>
      <c r="AX809" s="26"/>
      <c r="AY809" s="26"/>
      <c r="AZ809" s="26"/>
      <c r="BA809" s="26"/>
      <c r="BB809" s="26"/>
      <c r="BC809" s="26"/>
      <c r="BD809" s="26"/>
      <c r="BE809" s="26"/>
      <c r="BF809" s="26"/>
      <c r="BG809" s="26"/>
      <c r="BH809" s="26"/>
      <c r="BI809" s="26"/>
      <c r="BJ809" s="26"/>
      <c r="BK809" s="26"/>
    </row>
    <row r="810" ht="14.25" customHeight="1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  <c r="AA810" s="26"/>
      <c r="AB810" s="26"/>
      <c r="AC810" s="26"/>
      <c r="AD810" s="26"/>
      <c r="AE810" s="26"/>
      <c r="AF810" s="26"/>
      <c r="AG810" s="26"/>
      <c r="AH810" s="26"/>
      <c r="AI810" s="26"/>
      <c r="AJ810" s="26"/>
      <c r="AK810" s="26"/>
      <c r="AL810" s="26"/>
      <c r="AM810" s="26"/>
      <c r="AN810" s="26"/>
      <c r="AO810" s="26"/>
      <c r="AP810" s="26"/>
      <c r="AQ810" s="26"/>
      <c r="AR810" s="26"/>
      <c r="AS810" s="26"/>
      <c r="AT810" s="26"/>
      <c r="AU810" s="26"/>
      <c r="AV810" s="26"/>
      <c r="AW810" s="26"/>
      <c r="AX810" s="26"/>
      <c r="AY810" s="26"/>
      <c r="AZ810" s="26"/>
      <c r="BA810" s="26"/>
      <c r="BB810" s="26"/>
      <c r="BC810" s="26"/>
      <c r="BD810" s="26"/>
      <c r="BE810" s="26"/>
      <c r="BF810" s="26"/>
      <c r="BG810" s="26"/>
      <c r="BH810" s="26"/>
      <c r="BI810" s="26"/>
      <c r="BJ810" s="26"/>
      <c r="BK810" s="26"/>
    </row>
    <row r="811" ht="14.25" customHeight="1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  <c r="AA811" s="26"/>
      <c r="AB811" s="26"/>
      <c r="AC811" s="26"/>
      <c r="AD811" s="26"/>
      <c r="AE811" s="26"/>
      <c r="AF811" s="26"/>
      <c r="AG811" s="26"/>
      <c r="AH811" s="26"/>
      <c r="AI811" s="26"/>
      <c r="AJ811" s="26"/>
      <c r="AK811" s="26"/>
      <c r="AL811" s="26"/>
      <c r="AM811" s="26"/>
      <c r="AN811" s="26"/>
      <c r="AO811" s="26"/>
      <c r="AP811" s="26"/>
      <c r="AQ811" s="26"/>
      <c r="AR811" s="26"/>
      <c r="AS811" s="26"/>
      <c r="AT811" s="26"/>
      <c r="AU811" s="26"/>
      <c r="AV811" s="26"/>
      <c r="AW811" s="26"/>
      <c r="AX811" s="26"/>
      <c r="AY811" s="26"/>
      <c r="AZ811" s="26"/>
      <c r="BA811" s="26"/>
      <c r="BB811" s="26"/>
      <c r="BC811" s="26"/>
      <c r="BD811" s="26"/>
      <c r="BE811" s="26"/>
      <c r="BF811" s="26"/>
      <c r="BG811" s="26"/>
      <c r="BH811" s="26"/>
      <c r="BI811" s="26"/>
      <c r="BJ811" s="26"/>
      <c r="BK811" s="26"/>
    </row>
    <row r="812" ht="14.25" customHeight="1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  <c r="AA812" s="26"/>
      <c r="AB812" s="26"/>
      <c r="AC812" s="26"/>
      <c r="AD812" s="26"/>
      <c r="AE812" s="26"/>
      <c r="AF812" s="26"/>
      <c r="AG812" s="26"/>
      <c r="AH812" s="26"/>
      <c r="AI812" s="26"/>
      <c r="AJ812" s="26"/>
      <c r="AK812" s="26"/>
      <c r="AL812" s="26"/>
      <c r="AM812" s="26"/>
      <c r="AN812" s="26"/>
      <c r="AO812" s="26"/>
      <c r="AP812" s="26"/>
      <c r="AQ812" s="26"/>
      <c r="AR812" s="26"/>
      <c r="AS812" s="26"/>
      <c r="AT812" s="26"/>
      <c r="AU812" s="26"/>
      <c r="AV812" s="26"/>
      <c r="AW812" s="26"/>
      <c r="AX812" s="26"/>
      <c r="AY812" s="26"/>
      <c r="AZ812" s="26"/>
      <c r="BA812" s="26"/>
      <c r="BB812" s="26"/>
      <c r="BC812" s="26"/>
      <c r="BD812" s="26"/>
      <c r="BE812" s="26"/>
      <c r="BF812" s="26"/>
      <c r="BG812" s="26"/>
      <c r="BH812" s="26"/>
      <c r="BI812" s="26"/>
      <c r="BJ812" s="26"/>
      <c r="BK812" s="26"/>
    </row>
    <row r="813" ht="14.25" customHeight="1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  <c r="AA813" s="26"/>
      <c r="AB813" s="26"/>
      <c r="AC813" s="26"/>
      <c r="AD813" s="26"/>
      <c r="AE813" s="26"/>
      <c r="AF813" s="26"/>
      <c r="AG813" s="26"/>
      <c r="AH813" s="26"/>
      <c r="AI813" s="26"/>
      <c r="AJ813" s="26"/>
      <c r="AK813" s="26"/>
      <c r="AL813" s="26"/>
      <c r="AM813" s="26"/>
      <c r="AN813" s="26"/>
      <c r="AO813" s="26"/>
      <c r="AP813" s="26"/>
      <c r="AQ813" s="26"/>
      <c r="AR813" s="26"/>
      <c r="AS813" s="26"/>
      <c r="AT813" s="26"/>
      <c r="AU813" s="26"/>
      <c r="AV813" s="26"/>
      <c r="AW813" s="26"/>
      <c r="AX813" s="26"/>
      <c r="AY813" s="26"/>
      <c r="AZ813" s="26"/>
      <c r="BA813" s="26"/>
      <c r="BB813" s="26"/>
      <c r="BC813" s="26"/>
      <c r="BD813" s="26"/>
      <c r="BE813" s="26"/>
      <c r="BF813" s="26"/>
      <c r="BG813" s="26"/>
      <c r="BH813" s="26"/>
      <c r="BI813" s="26"/>
      <c r="BJ813" s="26"/>
      <c r="BK813" s="26"/>
    </row>
    <row r="814" ht="14.25" customHeight="1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  <c r="AA814" s="26"/>
      <c r="AB814" s="26"/>
      <c r="AC814" s="26"/>
      <c r="AD814" s="26"/>
      <c r="AE814" s="26"/>
      <c r="AF814" s="26"/>
      <c r="AG814" s="26"/>
      <c r="AH814" s="26"/>
      <c r="AI814" s="26"/>
      <c r="AJ814" s="26"/>
      <c r="AK814" s="26"/>
      <c r="AL814" s="26"/>
      <c r="AM814" s="26"/>
      <c r="AN814" s="26"/>
      <c r="AO814" s="26"/>
      <c r="AP814" s="26"/>
      <c r="AQ814" s="26"/>
      <c r="AR814" s="26"/>
      <c r="AS814" s="26"/>
      <c r="AT814" s="26"/>
      <c r="AU814" s="26"/>
      <c r="AV814" s="26"/>
      <c r="AW814" s="26"/>
      <c r="AX814" s="26"/>
      <c r="AY814" s="26"/>
      <c r="AZ814" s="26"/>
      <c r="BA814" s="26"/>
      <c r="BB814" s="26"/>
      <c r="BC814" s="26"/>
      <c r="BD814" s="26"/>
      <c r="BE814" s="26"/>
      <c r="BF814" s="26"/>
      <c r="BG814" s="26"/>
      <c r="BH814" s="26"/>
      <c r="BI814" s="26"/>
      <c r="BJ814" s="26"/>
      <c r="BK814" s="26"/>
    </row>
    <row r="815" ht="14.25" customHeight="1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  <c r="AA815" s="26"/>
      <c r="AB815" s="26"/>
      <c r="AC815" s="26"/>
      <c r="AD815" s="26"/>
      <c r="AE815" s="26"/>
      <c r="AF815" s="26"/>
      <c r="AG815" s="26"/>
      <c r="AH815" s="26"/>
      <c r="AI815" s="26"/>
      <c r="AJ815" s="26"/>
      <c r="AK815" s="26"/>
      <c r="AL815" s="26"/>
      <c r="AM815" s="26"/>
      <c r="AN815" s="26"/>
      <c r="AO815" s="26"/>
      <c r="AP815" s="26"/>
      <c r="AQ815" s="26"/>
      <c r="AR815" s="26"/>
      <c r="AS815" s="26"/>
      <c r="AT815" s="26"/>
      <c r="AU815" s="26"/>
      <c r="AV815" s="26"/>
      <c r="AW815" s="26"/>
      <c r="AX815" s="26"/>
      <c r="AY815" s="26"/>
      <c r="AZ815" s="26"/>
      <c r="BA815" s="26"/>
      <c r="BB815" s="26"/>
      <c r="BC815" s="26"/>
      <c r="BD815" s="26"/>
      <c r="BE815" s="26"/>
      <c r="BF815" s="26"/>
      <c r="BG815" s="26"/>
      <c r="BH815" s="26"/>
      <c r="BI815" s="26"/>
      <c r="BJ815" s="26"/>
      <c r="BK815" s="26"/>
    </row>
    <row r="816" ht="14.25" customHeight="1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  <c r="AA816" s="26"/>
      <c r="AB816" s="26"/>
      <c r="AC816" s="26"/>
      <c r="AD816" s="26"/>
      <c r="AE816" s="26"/>
      <c r="AF816" s="26"/>
      <c r="AG816" s="26"/>
      <c r="AH816" s="26"/>
      <c r="AI816" s="26"/>
      <c r="AJ816" s="26"/>
      <c r="AK816" s="26"/>
      <c r="AL816" s="26"/>
      <c r="AM816" s="26"/>
      <c r="AN816" s="26"/>
      <c r="AO816" s="26"/>
      <c r="AP816" s="26"/>
      <c r="AQ816" s="26"/>
      <c r="AR816" s="26"/>
      <c r="AS816" s="26"/>
      <c r="AT816" s="26"/>
      <c r="AU816" s="26"/>
      <c r="AV816" s="26"/>
      <c r="AW816" s="26"/>
      <c r="AX816" s="26"/>
      <c r="AY816" s="26"/>
      <c r="AZ816" s="26"/>
      <c r="BA816" s="26"/>
      <c r="BB816" s="26"/>
      <c r="BC816" s="26"/>
      <c r="BD816" s="26"/>
      <c r="BE816" s="26"/>
      <c r="BF816" s="26"/>
      <c r="BG816" s="26"/>
      <c r="BH816" s="26"/>
      <c r="BI816" s="26"/>
      <c r="BJ816" s="26"/>
      <c r="BK816" s="26"/>
    </row>
    <row r="817" ht="14.25" customHeight="1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  <c r="AA817" s="26"/>
      <c r="AB817" s="26"/>
      <c r="AC817" s="26"/>
      <c r="AD817" s="26"/>
      <c r="AE817" s="26"/>
      <c r="AF817" s="26"/>
      <c r="AG817" s="26"/>
      <c r="AH817" s="26"/>
      <c r="AI817" s="26"/>
      <c r="AJ817" s="26"/>
      <c r="AK817" s="26"/>
      <c r="AL817" s="26"/>
      <c r="AM817" s="26"/>
      <c r="AN817" s="26"/>
      <c r="AO817" s="26"/>
      <c r="AP817" s="26"/>
      <c r="AQ817" s="26"/>
      <c r="AR817" s="26"/>
      <c r="AS817" s="26"/>
      <c r="AT817" s="26"/>
      <c r="AU817" s="26"/>
      <c r="AV817" s="26"/>
      <c r="AW817" s="26"/>
      <c r="AX817" s="26"/>
      <c r="AY817" s="26"/>
      <c r="AZ817" s="26"/>
      <c r="BA817" s="26"/>
      <c r="BB817" s="26"/>
      <c r="BC817" s="26"/>
      <c r="BD817" s="26"/>
      <c r="BE817" s="26"/>
      <c r="BF817" s="26"/>
      <c r="BG817" s="26"/>
      <c r="BH817" s="26"/>
      <c r="BI817" s="26"/>
      <c r="BJ817" s="26"/>
      <c r="BK817" s="26"/>
    </row>
    <row r="818" ht="14.25" customHeight="1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  <c r="AA818" s="26"/>
      <c r="AB818" s="26"/>
      <c r="AC818" s="26"/>
      <c r="AD818" s="26"/>
      <c r="AE818" s="26"/>
      <c r="AF818" s="26"/>
      <c r="AG818" s="26"/>
      <c r="AH818" s="26"/>
      <c r="AI818" s="26"/>
      <c r="AJ818" s="26"/>
      <c r="AK818" s="26"/>
      <c r="AL818" s="26"/>
      <c r="AM818" s="26"/>
      <c r="AN818" s="26"/>
      <c r="AO818" s="26"/>
      <c r="AP818" s="26"/>
      <c r="AQ818" s="26"/>
      <c r="AR818" s="26"/>
      <c r="AS818" s="26"/>
      <c r="AT818" s="26"/>
      <c r="AU818" s="26"/>
      <c r="AV818" s="26"/>
      <c r="AW818" s="26"/>
      <c r="AX818" s="26"/>
      <c r="AY818" s="26"/>
      <c r="AZ818" s="26"/>
      <c r="BA818" s="26"/>
      <c r="BB818" s="26"/>
      <c r="BC818" s="26"/>
      <c r="BD818" s="26"/>
      <c r="BE818" s="26"/>
      <c r="BF818" s="26"/>
      <c r="BG818" s="26"/>
      <c r="BH818" s="26"/>
      <c r="BI818" s="26"/>
      <c r="BJ818" s="26"/>
      <c r="BK818" s="26"/>
    </row>
    <row r="819" ht="14.25" customHeight="1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  <c r="AA819" s="26"/>
      <c r="AB819" s="26"/>
      <c r="AC819" s="26"/>
      <c r="AD819" s="26"/>
      <c r="AE819" s="26"/>
      <c r="AF819" s="26"/>
      <c r="AG819" s="26"/>
      <c r="AH819" s="26"/>
      <c r="AI819" s="26"/>
      <c r="AJ819" s="26"/>
      <c r="AK819" s="26"/>
      <c r="AL819" s="26"/>
      <c r="AM819" s="26"/>
      <c r="AN819" s="26"/>
      <c r="AO819" s="26"/>
      <c r="AP819" s="26"/>
      <c r="AQ819" s="26"/>
      <c r="AR819" s="26"/>
      <c r="AS819" s="26"/>
      <c r="AT819" s="26"/>
      <c r="AU819" s="26"/>
      <c r="AV819" s="26"/>
      <c r="AW819" s="26"/>
      <c r="AX819" s="26"/>
      <c r="AY819" s="26"/>
      <c r="AZ819" s="26"/>
      <c r="BA819" s="26"/>
      <c r="BB819" s="26"/>
      <c r="BC819" s="26"/>
      <c r="BD819" s="26"/>
      <c r="BE819" s="26"/>
      <c r="BF819" s="26"/>
      <c r="BG819" s="26"/>
      <c r="BH819" s="26"/>
      <c r="BI819" s="26"/>
      <c r="BJ819" s="26"/>
      <c r="BK819" s="26"/>
    </row>
    <row r="820" ht="14.25" customHeight="1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  <c r="AA820" s="26"/>
      <c r="AB820" s="26"/>
      <c r="AC820" s="26"/>
      <c r="AD820" s="26"/>
      <c r="AE820" s="26"/>
      <c r="AF820" s="26"/>
      <c r="AG820" s="26"/>
      <c r="AH820" s="26"/>
      <c r="AI820" s="26"/>
      <c r="AJ820" s="26"/>
      <c r="AK820" s="26"/>
      <c r="AL820" s="26"/>
      <c r="AM820" s="26"/>
      <c r="AN820" s="26"/>
      <c r="AO820" s="26"/>
      <c r="AP820" s="26"/>
      <c r="AQ820" s="26"/>
      <c r="AR820" s="26"/>
      <c r="AS820" s="26"/>
      <c r="AT820" s="26"/>
      <c r="AU820" s="26"/>
      <c r="AV820" s="26"/>
      <c r="AW820" s="26"/>
      <c r="AX820" s="26"/>
      <c r="AY820" s="26"/>
      <c r="AZ820" s="26"/>
      <c r="BA820" s="26"/>
      <c r="BB820" s="26"/>
      <c r="BC820" s="26"/>
      <c r="BD820" s="26"/>
      <c r="BE820" s="26"/>
      <c r="BF820" s="26"/>
      <c r="BG820" s="26"/>
      <c r="BH820" s="26"/>
      <c r="BI820" s="26"/>
      <c r="BJ820" s="26"/>
      <c r="BK820" s="26"/>
    </row>
    <row r="821" ht="14.25" customHeight="1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  <c r="AA821" s="26"/>
      <c r="AB821" s="26"/>
      <c r="AC821" s="26"/>
      <c r="AD821" s="26"/>
      <c r="AE821" s="26"/>
      <c r="AF821" s="26"/>
      <c r="AG821" s="26"/>
      <c r="AH821" s="26"/>
      <c r="AI821" s="26"/>
      <c r="AJ821" s="26"/>
      <c r="AK821" s="26"/>
      <c r="AL821" s="26"/>
      <c r="AM821" s="26"/>
      <c r="AN821" s="26"/>
      <c r="AO821" s="26"/>
      <c r="AP821" s="26"/>
      <c r="AQ821" s="26"/>
      <c r="AR821" s="26"/>
      <c r="AS821" s="26"/>
      <c r="AT821" s="26"/>
      <c r="AU821" s="26"/>
      <c r="AV821" s="26"/>
      <c r="AW821" s="26"/>
      <c r="AX821" s="26"/>
      <c r="AY821" s="26"/>
      <c r="AZ821" s="26"/>
      <c r="BA821" s="26"/>
      <c r="BB821" s="26"/>
      <c r="BC821" s="26"/>
      <c r="BD821" s="26"/>
      <c r="BE821" s="26"/>
      <c r="BF821" s="26"/>
      <c r="BG821" s="26"/>
      <c r="BH821" s="26"/>
      <c r="BI821" s="26"/>
      <c r="BJ821" s="26"/>
      <c r="BK821" s="26"/>
    </row>
    <row r="822" ht="14.25" customHeight="1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  <c r="AA822" s="26"/>
      <c r="AB822" s="26"/>
      <c r="AC822" s="26"/>
      <c r="AD822" s="26"/>
      <c r="AE822" s="26"/>
      <c r="AF822" s="26"/>
      <c r="AG822" s="26"/>
      <c r="AH822" s="26"/>
      <c r="AI822" s="26"/>
      <c r="AJ822" s="26"/>
      <c r="AK822" s="26"/>
      <c r="AL822" s="26"/>
      <c r="AM822" s="26"/>
      <c r="AN822" s="26"/>
      <c r="AO822" s="26"/>
      <c r="AP822" s="26"/>
      <c r="AQ822" s="26"/>
      <c r="AR822" s="26"/>
      <c r="AS822" s="26"/>
      <c r="AT822" s="26"/>
      <c r="AU822" s="26"/>
      <c r="AV822" s="26"/>
      <c r="AW822" s="26"/>
      <c r="AX822" s="26"/>
      <c r="AY822" s="26"/>
      <c r="AZ822" s="26"/>
      <c r="BA822" s="26"/>
      <c r="BB822" s="26"/>
      <c r="BC822" s="26"/>
      <c r="BD822" s="26"/>
      <c r="BE822" s="26"/>
      <c r="BF822" s="26"/>
      <c r="BG822" s="26"/>
      <c r="BH822" s="26"/>
      <c r="BI822" s="26"/>
      <c r="BJ822" s="26"/>
      <c r="BK822" s="26"/>
    </row>
    <row r="823" ht="14.25" customHeight="1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  <c r="AA823" s="26"/>
      <c r="AB823" s="26"/>
      <c r="AC823" s="26"/>
      <c r="AD823" s="26"/>
      <c r="AE823" s="26"/>
      <c r="AF823" s="26"/>
      <c r="AG823" s="26"/>
      <c r="AH823" s="26"/>
      <c r="AI823" s="26"/>
      <c r="AJ823" s="26"/>
      <c r="AK823" s="26"/>
      <c r="AL823" s="26"/>
      <c r="AM823" s="26"/>
      <c r="AN823" s="26"/>
      <c r="AO823" s="26"/>
      <c r="AP823" s="26"/>
      <c r="AQ823" s="26"/>
      <c r="AR823" s="26"/>
      <c r="AS823" s="26"/>
      <c r="AT823" s="26"/>
      <c r="AU823" s="26"/>
      <c r="AV823" s="26"/>
      <c r="AW823" s="26"/>
      <c r="AX823" s="26"/>
      <c r="AY823" s="26"/>
      <c r="AZ823" s="26"/>
      <c r="BA823" s="26"/>
      <c r="BB823" s="26"/>
      <c r="BC823" s="26"/>
      <c r="BD823" s="26"/>
      <c r="BE823" s="26"/>
      <c r="BF823" s="26"/>
      <c r="BG823" s="26"/>
      <c r="BH823" s="26"/>
      <c r="BI823" s="26"/>
      <c r="BJ823" s="26"/>
      <c r="BK823" s="26"/>
    </row>
    <row r="824" ht="14.25" customHeight="1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  <c r="AA824" s="26"/>
      <c r="AB824" s="26"/>
      <c r="AC824" s="26"/>
      <c r="AD824" s="26"/>
      <c r="AE824" s="26"/>
      <c r="AF824" s="26"/>
      <c r="AG824" s="26"/>
      <c r="AH824" s="26"/>
      <c r="AI824" s="26"/>
      <c r="AJ824" s="26"/>
      <c r="AK824" s="26"/>
      <c r="AL824" s="26"/>
      <c r="AM824" s="26"/>
      <c r="AN824" s="26"/>
      <c r="AO824" s="26"/>
      <c r="AP824" s="26"/>
      <c r="AQ824" s="26"/>
      <c r="AR824" s="26"/>
      <c r="AS824" s="26"/>
      <c r="AT824" s="26"/>
      <c r="AU824" s="26"/>
      <c r="AV824" s="26"/>
      <c r="AW824" s="26"/>
      <c r="AX824" s="26"/>
      <c r="AY824" s="26"/>
      <c r="AZ824" s="26"/>
      <c r="BA824" s="26"/>
      <c r="BB824" s="26"/>
      <c r="BC824" s="26"/>
      <c r="BD824" s="26"/>
      <c r="BE824" s="26"/>
      <c r="BF824" s="26"/>
      <c r="BG824" s="26"/>
      <c r="BH824" s="26"/>
      <c r="BI824" s="26"/>
      <c r="BJ824" s="26"/>
      <c r="BK824" s="26"/>
    </row>
    <row r="825" ht="14.25" customHeight="1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  <c r="AA825" s="26"/>
      <c r="AB825" s="26"/>
      <c r="AC825" s="26"/>
      <c r="AD825" s="26"/>
      <c r="AE825" s="26"/>
      <c r="AF825" s="26"/>
      <c r="AG825" s="26"/>
      <c r="AH825" s="26"/>
      <c r="AI825" s="26"/>
      <c r="AJ825" s="26"/>
      <c r="AK825" s="26"/>
      <c r="AL825" s="26"/>
      <c r="AM825" s="26"/>
      <c r="AN825" s="26"/>
      <c r="AO825" s="26"/>
      <c r="AP825" s="26"/>
      <c r="AQ825" s="26"/>
      <c r="AR825" s="26"/>
      <c r="AS825" s="26"/>
      <c r="AT825" s="26"/>
      <c r="AU825" s="26"/>
      <c r="AV825" s="26"/>
      <c r="AW825" s="26"/>
      <c r="AX825" s="26"/>
      <c r="AY825" s="26"/>
      <c r="AZ825" s="26"/>
      <c r="BA825" s="26"/>
      <c r="BB825" s="26"/>
      <c r="BC825" s="26"/>
      <c r="BD825" s="26"/>
      <c r="BE825" s="26"/>
      <c r="BF825" s="26"/>
      <c r="BG825" s="26"/>
      <c r="BH825" s="26"/>
      <c r="BI825" s="26"/>
      <c r="BJ825" s="26"/>
      <c r="BK825" s="26"/>
    </row>
    <row r="826" ht="14.25" customHeight="1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  <c r="AA826" s="26"/>
      <c r="AB826" s="26"/>
      <c r="AC826" s="26"/>
      <c r="AD826" s="26"/>
      <c r="AE826" s="26"/>
      <c r="AF826" s="26"/>
      <c r="AG826" s="26"/>
      <c r="AH826" s="26"/>
      <c r="AI826" s="26"/>
      <c r="AJ826" s="26"/>
      <c r="AK826" s="26"/>
      <c r="AL826" s="26"/>
      <c r="AM826" s="26"/>
      <c r="AN826" s="26"/>
      <c r="AO826" s="26"/>
      <c r="AP826" s="26"/>
      <c r="AQ826" s="26"/>
      <c r="AR826" s="26"/>
      <c r="AS826" s="26"/>
      <c r="AT826" s="26"/>
      <c r="AU826" s="26"/>
      <c r="AV826" s="26"/>
      <c r="AW826" s="26"/>
      <c r="AX826" s="26"/>
      <c r="AY826" s="26"/>
      <c r="AZ826" s="26"/>
      <c r="BA826" s="26"/>
      <c r="BB826" s="26"/>
      <c r="BC826" s="26"/>
      <c r="BD826" s="26"/>
      <c r="BE826" s="26"/>
      <c r="BF826" s="26"/>
      <c r="BG826" s="26"/>
      <c r="BH826" s="26"/>
      <c r="BI826" s="26"/>
      <c r="BJ826" s="26"/>
      <c r="BK826" s="26"/>
    </row>
    <row r="827" ht="14.25" customHeight="1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  <c r="AA827" s="26"/>
      <c r="AB827" s="26"/>
      <c r="AC827" s="26"/>
      <c r="AD827" s="26"/>
      <c r="AE827" s="26"/>
      <c r="AF827" s="26"/>
      <c r="AG827" s="26"/>
      <c r="AH827" s="26"/>
      <c r="AI827" s="26"/>
      <c r="AJ827" s="26"/>
      <c r="AK827" s="26"/>
      <c r="AL827" s="26"/>
      <c r="AM827" s="26"/>
      <c r="AN827" s="26"/>
      <c r="AO827" s="26"/>
      <c r="AP827" s="26"/>
      <c r="AQ827" s="26"/>
      <c r="AR827" s="26"/>
      <c r="AS827" s="26"/>
      <c r="AT827" s="26"/>
      <c r="AU827" s="26"/>
      <c r="AV827" s="26"/>
      <c r="AW827" s="26"/>
      <c r="AX827" s="26"/>
      <c r="AY827" s="26"/>
      <c r="AZ827" s="26"/>
      <c r="BA827" s="26"/>
      <c r="BB827" s="26"/>
      <c r="BC827" s="26"/>
      <c r="BD827" s="26"/>
      <c r="BE827" s="26"/>
      <c r="BF827" s="26"/>
      <c r="BG827" s="26"/>
      <c r="BH827" s="26"/>
      <c r="BI827" s="26"/>
      <c r="BJ827" s="26"/>
      <c r="BK827" s="26"/>
    </row>
    <row r="828" ht="14.25" customHeight="1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  <c r="AA828" s="26"/>
      <c r="AB828" s="26"/>
      <c r="AC828" s="26"/>
      <c r="AD828" s="26"/>
      <c r="AE828" s="26"/>
      <c r="AF828" s="26"/>
      <c r="AG828" s="26"/>
      <c r="AH828" s="26"/>
      <c r="AI828" s="26"/>
      <c r="AJ828" s="26"/>
      <c r="AK828" s="26"/>
      <c r="AL828" s="26"/>
      <c r="AM828" s="26"/>
      <c r="AN828" s="26"/>
      <c r="AO828" s="26"/>
      <c r="AP828" s="26"/>
      <c r="AQ828" s="26"/>
      <c r="AR828" s="26"/>
      <c r="AS828" s="26"/>
      <c r="AT828" s="26"/>
      <c r="AU828" s="26"/>
      <c r="AV828" s="26"/>
      <c r="AW828" s="26"/>
      <c r="AX828" s="26"/>
      <c r="AY828" s="26"/>
      <c r="AZ828" s="26"/>
      <c r="BA828" s="26"/>
      <c r="BB828" s="26"/>
      <c r="BC828" s="26"/>
      <c r="BD828" s="26"/>
      <c r="BE828" s="26"/>
      <c r="BF828" s="26"/>
      <c r="BG828" s="26"/>
      <c r="BH828" s="26"/>
      <c r="BI828" s="26"/>
      <c r="BJ828" s="26"/>
      <c r="BK828" s="26"/>
    </row>
    <row r="829" ht="14.25" customHeight="1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  <c r="AA829" s="26"/>
      <c r="AB829" s="26"/>
      <c r="AC829" s="26"/>
      <c r="AD829" s="26"/>
      <c r="AE829" s="26"/>
      <c r="AF829" s="26"/>
      <c r="AG829" s="26"/>
      <c r="AH829" s="26"/>
      <c r="AI829" s="26"/>
      <c r="AJ829" s="26"/>
      <c r="AK829" s="26"/>
      <c r="AL829" s="26"/>
      <c r="AM829" s="26"/>
      <c r="AN829" s="26"/>
      <c r="AO829" s="26"/>
      <c r="AP829" s="26"/>
      <c r="AQ829" s="26"/>
      <c r="AR829" s="26"/>
      <c r="AS829" s="26"/>
      <c r="AT829" s="26"/>
      <c r="AU829" s="26"/>
      <c r="AV829" s="26"/>
      <c r="AW829" s="26"/>
      <c r="AX829" s="26"/>
      <c r="AY829" s="26"/>
      <c r="AZ829" s="26"/>
      <c r="BA829" s="26"/>
      <c r="BB829" s="26"/>
      <c r="BC829" s="26"/>
      <c r="BD829" s="26"/>
      <c r="BE829" s="26"/>
      <c r="BF829" s="26"/>
      <c r="BG829" s="26"/>
      <c r="BH829" s="26"/>
      <c r="BI829" s="26"/>
      <c r="BJ829" s="26"/>
      <c r="BK829" s="26"/>
    </row>
    <row r="830" ht="14.25" customHeight="1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  <c r="AA830" s="26"/>
      <c r="AB830" s="26"/>
      <c r="AC830" s="26"/>
      <c r="AD830" s="26"/>
      <c r="AE830" s="26"/>
      <c r="AF830" s="26"/>
      <c r="AG830" s="26"/>
      <c r="AH830" s="26"/>
      <c r="AI830" s="26"/>
      <c r="AJ830" s="26"/>
      <c r="AK830" s="26"/>
      <c r="AL830" s="26"/>
      <c r="AM830" s="26"/>
      <c r="AN830" s="26"/>
      <c r="AO830" s="26"/>
      <c r="AP830" s="26"/>
      <c r="AQ830" s="26"/>
      <c r="AR830" s="26"/>
      <c r="AS830" s="26"/>
      <c r="AT830" s="26"/>
      <c r="AU830" s="26"/>
      <c r="AV830" s="26"/>
      <c r="AW830" s="26"/>
      <c r="AX830" s="26"/>
      <c r="AY830" s="26"/>
      <c r="AZ830" s="26"/>
      <c r="BA830" s="26"/>
      <c r="BB830" s="26"/>
      <c r="BC830" s="26"/>
      <c r="BD830" s="26"/>
      <c r="BE830" s="26"/>
      <c r="BF830" s="26"/>
      <c r="BG830" s="26"/>
      <c r="BH830" s="26"/>
      <c r="BI830" s="26"/>
      <c r="BJ830" s="26"/>
      <c r="BK830" s="26"/>
    </row>
    <row r="831" ht="14.25" customHeight="1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  <c r="AA831" s="26"/>
      <c r="AB831" s="26"/>
      <c r="AC831" s="26"/>
      <c r="AD831" s="26"/>
      <c r="AE831" s="26"/>
      <c r="AF831" s="26"/>
      <c r="AG831" s="26"/>
      <c r="AH831" s="26"/>
      <c r="AI831" s="26"/>
      <c r="AJ831" s="26"/>
      <c r="AK831" s="26"/>
      <c r="AL831" s="26"/>
      <c r="AM831" s="26"/>
      <c r="AN831" s="26"/>
      <c r="AO831" s="26"/>
      <c r="AP831" s="26"/>
      <c r="AQ831" s="26"/>
      <c r="AR831" s="26"/>
      <c r="AS831" s="26"/>
      <c r="AT831" s="26"/>
      <c r="AU831" s="26"/>
      <c r="AV831" s="26"/>
      <c r="AW831" s="26"/>
      <c r="AX831" s="26"/>
      <c r="AY831" s="26"/>
      <c r="AZ831" s="26"/>
      <c r="BA831" s="26"/>
      <c r="BB831" s="26"/>
      <c r="BC831" s="26"/>
      <c r="BD831" s="26"/>
      <c r="BE831" s="26"/>
      <c r="BF831" s="26"/>
      <c r="BG831" s="26"/>
      <c r="BH831" s="26"/>
      <c r="BI831" s="26"/>
      <c r="BJ831" s="26"/>
      <c r="BK831" s="26"/>
    </row>
    <row r="832" ht="14.25" customHeight="1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  <c r="AA832" s="26"/>
      <c r="AB832" s="26"/>
      <c r="AC832" s="26"/>
      <c r="AD832" s="26"/>
      <c r="AE832" s="26"/>
      <c r="AF832" s="26"/>
      <c r="AG832" s="26"/>
      <c r="AH832" s="26"/>
      <c r="AI832" s="26"/>
      <c r="AJ832" s="26"/>
      <c r="AK832" s="26"/>
      <c r="AL832" s="26"/>
      <c r="AM832" s="26"/>
      <c r="AN832" s="26"/>
      <c r="AO832" s="26"/>
      <c r="AP832" s="26"/>
      <c r="AQ832" s="26"/>
      <c r="AR832" s="26"/>
      <c r="AS832" s="26"/>
      <c r="AT832" s="26"/>
      <c r="AU832" s="26"/>
      <c r="AV832" s="26"/>
      <c r="AW832" s="26"/>
      <c r="AX832" s="26"/>
      <c r="AY832" s="26"/>
      <c r="AZ832" s="26"/>
      <c r="BA832" s="26"/>
      <c r="BB832" s="26"/>
      <c r="BC832" s="26"/>
      <c r="BD832" s="26"/>
      <c r="BE832" s="26"/>
      <c r="BF832" s="26"/>
      <c r="BG832" s="26"/>
      <c r="BH832" s="26"/>
      <c r="BI832" s="26"/>
      <c r="BJ832" s="26"/>
      <c r="BK832" s="26"/>
    </row>
    <row r="833" ht="14.25" customHeight="1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  <c r="AA833" s="26"/>
      <c r="AB833" s="26"/>
      <c r="AC833" s="26"/>
      <c r="AD833" s="26"/>
      <c r="AE833" s="26"/>
      <c r="AF833" s="26"/>
      <c r="AG833" s="26"/>
      <c r="AH833" s="26"/>
      <c r="AI833" s="26"/>
      <c r="AJ833" s="26"/>
      <c r="AK833" s="26"/>
      <c r="AL833" s="26"/>
      <c r="AM833" s="26"/>
      <c r="AN833" s="26"/>
      <c r="AO833" s="26"/>
      <c r="AP833" s="26"/>
      <c r="AQ833" s="26"/>
      <c r="AR833" s="26"/>
      <c r="AS833" s="26"/>
      <c r="AT833" s="26"/>
      <c r="AU833" s="26"/>
      <c r="AV833" s="26"/>
      <c r="AW833" s="26"/>
      <c r="AX833" s="26"/>
      <c r="AY833" s="26"/>
      <c r="AZ833" s="26"/>
      <c r="BA833" s="26"/>
      <c r="BB833" s="26"/>
      <c r="BC833" s="26"/>
      <c r="BD833" s="26"/>
      <c r="BE833" s="26"/>
      <c r="BF833" s="26"/>
      <c r="BG833" s="26"/>
      <c r="BH833" s="26"/>
      <c r="BI833" s="26"/>
      <c r="BJ833" s="26"/>
      <c r="BK833" s="26"/>
    </row>
    <row r="834" ht="14.25" customHeight="1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  <c r="AA834" s="26"/>
      <c r="AB834" s="26"/>
      <c r="AC834" s="26"/>
      <c r="AD834" s="26"/>
      <c r="AE834" s="26"/>
      <c r="AF834" s="26"/>
      <c r="AG834" s="26"/>
      <c r="AH834" s="26"/>
      <c r="AI834" s="26"/>
      <c r="AJ834" s="26"/>
      <c r="AK834" s="26"/>
      <c r="AL834" s="26"/>
      <c r="AM834" s="26"/>
      <c r="AN834" s="26"/>
      <c r="AO834" s="26"/>
      <c r="AP834" s="26"/>
      <c r="AQ834" s="26"/>
      <c r="AR834" s="26"/>
      <c r="AS834" s="26"/>
      <c r="AT834" s="26"/>
      <c r="AU834" s="26"/>
      <c r="AV834" s="26"/>
      <c r="AW834" s="26"/>
      <c r="AX834" s="26"/>
      <c r="AY834" s="26"/>
      <c r="AZ834" s="26"/>
      <c r="BA834" s="26"/>
      <c r="BB834" s="26"/>
      <c r="BC834" s="26"/>
      <c r="BD834" s="26"/>
      <c r="BE834" s="26"/>
      <c r="BF834" s="26"/>
      <c r="BG834" s="26"/>
      <c r="BH834" s="26"/>
      <c r="BI834" s="26"/>
      <c r="BJ834" s="26"/>
      <c r="BK834" s="26"/>
    </row>
    <row r="835" ht="14.25" customHeight="1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  <c r="AA835" s="26"/>
      <c r="AB835" s="26"/>
      <c r="AC835" s="26"/>
      <c r="AD835" s="26"/>
      <c r="AE835" s="26"/>
      <c r="AF835" s="26"/>
      <c r="AG835" s="26"/>
      <c r="AH835" s="26"/>
      <c r="AI835" s="26"/>
      <c r="AJ835" s="26"/>
      <c r="AK835" s="26"/>
      <c r="AL835" s="26"/>
      <c r="AM835" s="26"/>
      <c r="AN835" s="26"/>
      <c r="AO835" s="26"/>
      <c r="AP835" s="26"/>
      <c r="AQ835" s="26"/>
      <c r="AR835" s="26"/>
      <c r="AS835" s="26"/>
      <c r="AT835" s="26"/>
      <c r="AU835" s="26"/>
      <c r="AV835" s="26"/>
      <c r="AW835" s="26"/>
      <c r="AX835" s="26"/>
      <c r="AY835" s="26"/>
      <c r="AZ835" s="26"/>
      <c r="BA835" s="26"/>
      <c r="BB835" s="26"/>
      <c r="BC835" s="26"/>
      <c r="BD835" s="26"/>
      <c r="BE835" s="26"/>
      <c r="BF835" s="26"/>
      <c r="BG835" s="26"/>
      <c r="BH835" s="26"/>
      <c r="BI835" s="26"/>
      <c r="BJ835" s="26"/>
      <c r="BK835" s="26"/>
    </row>
    <row r="836" ht="14.25" customHeight="1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  <c r="AB836" s="26"/>
      <c r="AC836" s="26"/>
      <c r="AD836" s="26"/>
      <c r="AE836" s="26"/>
      <c r="AF836" s="26"/>
      <c r="AG836" s="26"/>
      <c r="AH836" s="26"/>
      <c r="AI836" s="26"/>
      <c r="AJ836" s="26"/>
      <c r="AK836" s="26"/>
      <c r="AL836" s="26"/>
      <c r="AM836" s="26"/>
      <c r="AN836" s="26"/>
      <c r="AO836" s="26"/>
      <c r="AP836" s="26"/>
      <c r="AQ836" s="26"/>
      <c r="AR836" s="26"/>
      <c r="AS836" s="26"/>
      <c r="AT836" s="26"/>
      <c r="AU836" s="26"/>
      <c r="AV836" s="26"/>
      <c r="AW836" s="26"/>
      <c r="AX836" s="26"/>
      <c r="AY836" s="26"/>
      <c r="AZ836" s="26"/>
      <c r="BA836" s="26"/>
      <c r="BB836" s="26"/>
      <c r="BC836" s="26"/>
      <c r="BD836" s="26"/>
      <c r="BE836" s="26"/>
      <c r="BF836" s="26"/>
      <c r="BG836" s="26"/>
      <c r="BH836" s="26"/>
      <c r="BI836" s="26"/>
      <c r="BJ836" s="26"/>
      <c r="BK836" s="26"/>
    </row>
    <row r="837" ht="14.25" customHeight="1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  <c r="AA837" s="26"/>
      <c r="AB837" s="26"/>
      <c r="AC837" s="26"/>
      <c r="AD837" s="26"/>
      <c r="AE837" s="26"/>
      <c r="AF837" s="26"/>
      <c r="AG837" s="26"/>
      <c r="AH837" s="26"/>
      <c r="AI837" s="26"/>
      <c r="AJ837" s="26"/>
      <c r="AK837" s="26"/>
      <c r="AL837" s="26"/>
      <c r="AM837" s="26"/>
      <c r="AN837" s="26"/>
      <c r="AO837" s="26"/>
      <c r="AP837" s="26"/>
      <c r="AQ837" s="26"/>
      <c r="AR837" s="26"/>
      <c r="AS837" s="26"/>
      <c r="AT837" s="26"/>
      <c r="AU837" s="26"/>
      <c r="AV837" s="26"/>
      <c r="AW837" s="26"/>
      <c r="AX837" s="26"/>
      <c r="AY837" s="26"/>
      <c r="AZ837" s="26"/>
      <c r="BA837" s="26"/>
      <c r="BB837" s="26"/>
      <c r="BC837" s="26"/>
      <c r="BD837" s="26"/>
      <c r="BE837" s="26"/>
      <c r="BF837" s="26"/>
      <c r="BG837" s="26"/>
      <c r="BH837" s="26"/>
      <c r="BI837" s="26"/>
      <c r="BJ837" s="26"/>
      <c r="BK837" s="26"/>
    </row>
    <row r="838" ht="14.25" customHeight="1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  <c r="AA838" s="26"/>
      <c r="AB838" s="26"/>
      <c r="AC838" s="26"/>
      <c r="AD838" s="26"/>
      <c r="AE838" s="26"/>
      <c r="AF838" s="26"/>
      <c r="AG838" s="26"/>
      <c r="AH838" s="26"/>
      <c r="AI838" s="26"/>
      <c r="AJ838" s="26"/>
      <c r="AK838" s="26"/>
      <c r="AL838" s="26"/>
      <c r="AM838" s="26"/>
      <c r="AN838" s="26"/>
      <c r="AO838" s="26"/>
      <c r="AP838" s="26"/>
      <c r="AQ838" s="26"/>
      <c r="AR838" s="26"/>
      <c r="AS838" s="26"/>
      <c r="AT838" s="26"/>
      <c r="AU838" s="26"/>
      <c r="AV838" s="26"/>
      <c r="AW838" s="26"/>
      <c r="AX838" s="26"/>
      <c r="AY838" s="26"/>
      <c r="AZ838" s="26"/>
      <c r="BA838" s="26"/>
      <c r="BB838" s="26"/>
      <c r="BC838" s="26"/>
      <c r="BD838" s="26"/>
      <c r="BE838" s="26"/>
      <c r="BF838" s="26"/>
      <c r="BG838" s="26"/>
      <c r="BH838" s="26"/>
      <c r="BI838" s="26"/>
      <c r="BJ838" s="26"/>
      <c r="BK838" s="26"/>
    </row>
    <row r="839" ht="14.25" customHeight="1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  <c r="AA839" s="26"/>
      <c r="AB839" s="26"/>
      <c r="AC839" s="26"/>
      <c r="AD839" s="26"/>
      <c r="AE839" s="26"/>
      <c r="AF839" s="26"/>
      <c r="AG839" s="26"/>
      <c r="AH839" s="26"/>
      <c r="AI839" s="26"/>
      <c r="AJ839" s="26"/>
      <c r="AK839" s="26"/>
      <c r="AL839" s="26"/>
      <c r="AM839" s="26"/>
      <c r="AN839" s="26"/>
      <c r="AO839" s="26"/>
      <c r="AP839" s="26"/>
      <c r="AQ839" s="26"/>
      <c r="AR839" s="26"/>
      <c r="AS839" s="26"/>
      <c r="AT839" s="26"/>
      <c r="AU839" s="26"/>
      <c r="AV839" s="26"/>
      <c r="AW839" s="26"/>
      <c r="AX839" s="26"/>
      <c r="AY839" s="26"/>
      <c r="AZ839" s="26"/>
      <c r="BA839" s="26"/>
      <c r="BB839" s="26"/>
      <c r="BC839" s="26"/>
      <c r="BD839" s="26"/>
      <c r="BE839" s="26"/>
      <c r="BF839" s="26"/>
      <c r="BG839" s="26"/>
      <c r="BH839" s="26"/>
      <c r="BI839" s="26"/>
      <c r="BJ839" s="26"/>
      <c r="BK839" s="26"/>
    </row>
    <row r="840" ht="14.25" customHeight="1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  <c r="AA840" s="26"/>
      <c r="AB840" s="26"/>
      <c r="AC840" s="26"/>
      <c r="AD840" s="26"/>
      <c r="AE840" s="26"/>
      <c r="AF840" s="26"/>
      <c r="AG840" s="26"/>
      <c r="AH840" s="26"/>
      <c r="AI840" s="26"/>
      <c r="AJ840" s="26"/>
      <c r="AK840" s="26"/>
      <c r="AL840" s="26"/>
      <c r="AM840" s="26"/>
      <c r="AN840" s="26"/>
      <c r="AO840" s="26"/>
      <c r="AP840" s="26"/>
      <c r="AQ840" s="26"/>
      <c r="AR840" s="26"/>
      <c r="AS840" s="26"/>
      <c r="AT840" s="26"/>
      <c r="AU840" s="26"/>
      <c r="AV840" s="26"/>
      <c r="AW840" s="26"/>
      <c r="AX840" s="26"/>
      <c r="AY840" s="26"/>
      <c r="AZ840" s="26"/>
      <c r="BA840" s="26"/>
      <c r="BB840" s="26"/>
      <c r="BC840" s="26"/>
      <c r="BD840" s="26"/>
      <c r="BE840" s="26"/>
      <c r="BF840" s="26"/>
      <c r="BG840" s="26"/>
      <c r="BH840" s="26"/>
      <c r="BI840" s="26"/>
      <c r="BJ840" s="26"/>
      <c r="BK840" s="26"/>
    </row>
    <row r="841" ht="14.25" customHeight="1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  <c r="AA841" s="26"/>
      <c r="AB841" s="26"/>
      <c r="AC841" s="26"/>
      <c r="AD841" s="26"/>
      <c r="AE841" s="26"/>
      <c r="AF841" s="26"/>
      <c r="AG841" s="26"/>
      <c r="AH841" s="26"/>
      <c r="AI841" s="26"/>
      <c r="AJ841" s="26"/>
      <c r="AK841" s="26"/>
      <c r="AL841" s="26"/>
      <c r="AM841" s="26"/>
      <c r="AN841" s="26"/>
      <c r="AO841" s="26"/>
      <c r="AP841" s="26"/>
      <c r="AQ841" s="26"/>
      <c r="AR841" s="26"/>
      <c r="AS841" s="26"/>
      <c r="AT841" s="26"/>
      <c r="AU841" s="26"/>
      <c r="AV841" s="26"/>
      <c r="AW841" s="26"/>
      <c r="AX841" s="26"/>
      <c r="AY841" s="26"/>
      <c r="AZ841" s="26"/>
      <c r="BA841" s="26"/>
      <c r="BB841" s="26"/>
      <c r="BC841" s="26"/>
      <c r="BD841" s="26"/>
      <c r="BE841" s="26"/>
      <c r="BF841" s="26"/>
      <c r="BG841" s="26"/>
      <c r="BH841" s="26"/>
      <c r="BI841" s="26"/>
      <c r="BJ841" s="26"/>
      <c r="BK841" s="26"/>
    </row>
    <row r="842" ht="14.25" customHeight="1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  <c r="AA842" s="26"/>
      <c r="AB842" s="26"/>
      <c r="AC842" s="26"/>
      <c r="AD842" s="26"/>
      <c r="AE842" s="26"/>
      <c r="AF842" s="26"/>
      <c r="AG842" s="26"/>
      <c r="AH842" s="26"/>
      <c r="AI842" s="26"/>
      <c r="AJ842" s="26"/>
      <c r="AK842" s="26"/>
      <c r="AL842" s="26"/>
      <c r="AM842" s="26"/>
      <c r="AN842" s="26"/>
      <c r="AO842" s="26"/>
      <c r="AP842" s="26"/>
      <c r="AQ842" s="26"/>
      <c r="AR842" s="26"/>
      <c r="AS842" s="26"/>
      <c r="AT842" s="26"/>
      <c r="AU842" s="26"/>
      <c r="AV842" s="26"/>
      <c r="AW842" s="26"/>
      <c r="AX842" s="26"/>
      <c r="AY842" s="26"/>
      <c r="AZ842" s="26"/>
      <c r="BA842" s="26"/>
      <c r="BB842" s="26"/>
      <c r="BC842" s="26"/>
      <c r="BD842" s="26"/>
      <c r="BE842" s="26"/>
      <c r="BF842" s="26"/>
      <c r="BG842" s="26"/>
      <c r="BH842" s="26"/>
      <c r="BI842" s="26"/>
      <c r="BJ842" s="26"/>
      <c r="BK842" s="26"/>
    </row>
    <row r="843" ht="14.25" customHeight="1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  <c r="AA843" s="26"/>
      <c r="AB843" s="26"/>
      <c r="AC843" s="26"/>
      <c r="AD843" s="26"/>
      <c r="AE843" s="26"/>
      <c r="AF843" s="26"/>
      <c r="AG843" s="26"/>
      <c r="AH843" s="26"/>
      <c r="AI843" s="26"/>
      <c r="AJ843" s="26"/>
      <c r="AK843" s="26"/>
      <c r="AL843" s="26"/>
      <c r="AM843" s="26"/>
      <c r="AN843" s="26"/>
      <c r="AO843" s="26"/>
      <c r="AP843" s="26"/>
      <c r="AQ843" s="26"/>
      <c r="AR843" s="26"/>
      <c r="AS843" s="26"/>
      <c r="AT843" s="26"/>
      <c r="AU843" s="26"/>
      <c r="AV843" s="26"/>
      <c r="AW843" s="26"/>
      <c r="AX843" s="26"/>
      <c r="AY843" s="26"/>
      <c r="AZ843" s="26"/>
      <c r="BA843" s="26"/>
      <c r="BB843" s="26"/>
      <c r="BC843" s="26"/>
      <c r="BD843" s="26"/>
      <c r="BE843" s="26"/>
      <c r="BF843" s="26"/>
      <c r="BG843" s="26"/>
      <c r="BH843" s="26"/>
      <c r="BI843" s="26"/>
      <c r="BJ843" s="26"/>
      <c r="BK843" s="26"/>
    </row>
    <row r="844" ht="14.25" customHeight="1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  <c r="AA844" s="26"/>
      <c r="AB844" s="26"/>
      <c r="AC844" s="26"/>
      <c r="AD844" s="26"/>
      <c r="AE844" s="26"/>
      <c r="AF844" s="26"/>
      <c r="AG844" s="26"/>
      <c r="AH844" s="26"/>
      <c r="AI844" s="26"/>
      <c r="AJ844" s="26"/>
      <c r="AK844" s="26"/>
      <c r="AL844" s="26"/>
      <c r="AM844" s="26"/>
      <c r="AN844" s="26"/>
      <c r="AO844" s="26"/>
      <c r="AP844" s="26"/>
      <c r="AQ844" s="26"/>
      <c r="AR844" s="26"/>
      <c r="AS844" s="26"/>
      <c r="AT844" s="26"/>
      <c r="AU844" s="26"/>
      <c r="AV844" s="26"/>
      <c r="AW844" s="26"/>
      <c r="AX844" s="26"/>
      <c r="AY844" s="26"/>
      <c r="AZ844" s="26"/>
      <c r="BA844" s="26"/>
      <c r="BB844" s="26"/>
      <c r="BC844" s="26"/>
      <c r="BD844" s="26"/>
      <c r="BE844" s="26"/>
      <c r="BF844" s="26"/>
      <c r="BG844" s="26"/>
      <c r="BH844" s="26"/>
      <c r="BI844" s="26"/>
      <c r="BJ844" s="26"/>
      <c r="BK844" s="26"/>
    </row>
    <row r="845" ht="14.25" customHeight="1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  <c r="AA845" s="26"/>
      <c r="AB845" s="26"/>
      <c r="AC845" s="26"/>
      <c r="AD845" s="26"/>
      <c r="AE845" s="26"/>
      <c r="AF845" s="26"/>
      <c r="AG845" s="26"/>
      <c r="AH845" s="26"/>
      <c r="AI845" s="26"/>
      <c r="AJ845" s="26"/>
      <c r="AK845" s="26"/>
      <c r="AL845" s="26"/>
      <c r="AM845" s="26"/>
      <c r="AN845" s="26"/>
      <c r="AO845" s="26"/>
      <c r="AP845" s="26"/>
      <c r="AQ845" s="26"/>
      <c r="AR845" s="26"/>
      <c r="AS845" s="26"/>
      <c r="AT845" s="26"/>
      <c r="AU845" s="26"/>
      <c r="AV845" s="26"/>
      <c r="AW845" s="26"/>
      <c r="AX845" s="26"/>
      <c r="AY845" s="26"/>
      <c r="AZ845" s="26"/>
      <c r="BA845" s="26"/>
      <c r="BB845" s="26"/>
      <c r="BC845" s="26"/>
      <c r="BD845" s="26"/>
      <c r="BE845" s="26"/>
      <c r="BF845" s="26"/>
      <c r="BG845" s="26"/>
      <c r="BH845" s="26"/>
      <c r="BI845" s="26"/>
      <c r="BJ845" s="26"/>
      <c r="BK845" s="26"/>
    </row>
    <row r="846" ht="14.25" customHeight="1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  <c r="AA846" s="26"/>
      <c r="AB846" s="26"/>
      <c r="AC846" s="26"/>
      <c r="AD846" s="26"/>
      <c r="AE846" s="26"/>
      <c r="AF846" s="26"/>
      <c r="AG846" s="26"/>
      <c r="AH846" s="26"/>
      <c r="AI846" s="26"/>
      <c r="AJ846" s="26"/>
      <c r="AK846" s="26"/>
      <c r="AL846" s="26"/>
      <c r="AM846" s="26"/>
      <c r="AN846" s="26"/>
      <c r="AO846" s="26"/>
      <c r="AP846" s="26"/>
      <c r="AQ846" s="26"/>
      <c r="AR846" s="26"/>
      <c r="AS846" s="26"/>
      <c r="AT846" s="26"/>
      <c r="AU846" s="26"/>
      <c r="AV846" s="26"/>
      <c r="AW846" s="26"/>
      <c r="AX846" s="26"/>
      <c r="AY846" s="26"/>
      <c r="AZ846" s="26"/>
      <c r="BA846" s="26"/>
      <c r="BB846" s="26"/>
      <c r="BC846" s="26"/>
      <c r="BD846" s="26"/>
      <c r="BE846" s="26"/>
      <c r="BF846" s="26"/>
      <c r="BG846" s="26"/>
      <c r="BH846" s="26"/>
      <c r="BI846" s="26"/>
      <c r="BJ846" s="26"/>
      <c r="BK846" s="26"/>
    </row>
    <row r="847" ht="14.25" customHeight="1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  <c r="AA847" s="26"/>
      <c r="AB847" s="26"/>
      <c r="AC847" s="26"/>
      <c r="AD847" s="26"/>
      <c r="AE847" s="26"/>
      <c r="AF847" s="26"/>
      <c r="AG847" s="26"/>
      <c r="AH847" s="26"/>
      <c r="AI847" s="26"/>
      <c r="AJ847" s="26"/>
      <c r="AK847" s="26"/>
      <c r="AL847" s="26"/>
      <c r="AM847" s="26"/>
      <c r="AN847" s="26"/>
      <c r="AO847" s="26"/>
      <c r="AP847" s="26"/>
      <c r="AQ847" s="26"/>
      <c r="AR847" s="26"/>
      <c r="AS847" s="26"/>
      <c r="AT847" s="26"/>
      <c r="AU847" s="26"/>
      <c r="AV847" s="26"/>
      <c r="AW847" s="26"/>
      <c r="AX847" s="26"/>
      <c r="AY847" s="26"/>
      <c r="AZ847" s="26"/>
      <c r="BA847" s="26"/>
      <c r="BB847" s="26"/>
      <c r="BC847" s="26"/>
      <c r="BD847" s="26"/>
      <c r="BE847" s="26"/>
      <c r="BF847" s="26"/>
      <c r="BG847" s="26"/>
      <c r="BH847" s="26"/>
      <c r="BI847" s="26"/>
      <c r="BJ847" s="26"/>
      <c r="BK847" s="26"/>
    </row>
    <row r="848" ht="14.25" customHeight="1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  <c r="AA848" s="26"/>
      <c r="AB848" s="26"/>
      <c r="AC848" s="26"/>
      <c r="AD848" s="26"/>
      <c r="AE848" s="26"/>
      <c r="AF848" s="26"/>
      <c r="AG848" s="26"/>
      <c r="AH848" s="26"/>
      <c r="AI848" s="26"/>
      <c r="AJ848" s="26"/>
      <c r="AK848" s="26"/>
      <c r="AL848" s="26"/>
      <c r="AM848" s="26"/>
      <c r="AN848" s="26"/>
      <c r="AO848" s="26"/>
      <c r="AP848" s="26"/>
      <c r="AQ848" s="26"/>
      <c r="AR848" s="26"/>
      <c r="AS848" s="26"/>
      <c r="AT848" s="26"/>
      <c r="AU848" s="26"/>
      <c r="AV848" s="26"/>
      <c r="AW848" s="26"/>
      <c r="AX848" s="26"/>
      <c r="AY848" s="26"/>
      <c r="AZ848" s="26"/>
      <c r="BA848" s="26"/>
      <c r="BB848" s="26"/>
      <c r="BC848" s="26"/>
      <c r="BD848" s="26"/>
      <c r="BE848" s="26"/>
      <c r="BF848" s="26"/>
      <c r="BG848" s="26"/>
      <c r="BH848" s="26"/>
      <c r="BI848" s="26"/>
      <c r="BJ848" s="26"/>
      <c r="BK848" s="26"/>
    </row>
    <row r="849" ht="14.25" customHeight="1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  <c r="AA849" s="26"/>
      <c r="AB849" s="26"/>
      <c r="AC849" s="26"/>
      <c r="AD849" s="26"/>
      <c r="AE849" s="26"/>
      <c r="AF849" s="26"/>
      <c r="AG849" s="26"/>
      <c r="AH849" s="26"/>
      <c r="AI849" s="26"/>
      <c r="AJ849" s="26"/>
      <c r="AK849" s="26"/>
      <c r="AL849" s="26"/>
      <c r="AM849" s="26"/>
      <c r="AN849" s="26"/>
      <c r="AO849" s="26"/>
      <c r="AP849" s="26"/>
      <c r="AQ849" s="26"/>
      <c r="AR849" s="26"/>
      <c r="AS849" s="26"/>
      <c r="AT849" s="26"/>
      <c r="AU849" s="26"/>
      <c r="AV849" s="26"/>
      <c r="AW849" s="26"/>
      <c r="AX849" s="26"/>
      <c r="AY849" s="26"/>
      <c r="AZ849" s="26"/>
      <c r="BA849" s="26"/>
      <c r="BB849" s="26"/>
      <c r="BC849" s="26"/>
      <c r="BD849" s="26"/>
      <c r="BE849" s="26"/>
      <c r="BF849" s="26"/>
      <c r="BG849" s="26"/>
      <c r="BH849" s="26"/>
      <c r="BI849" s="26"/>
      <c r="BJ849" s="26"/>
      <c r="BK849" s="26"/>
    </row>
    <row r="850" ht="14.25" customHeight="1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  <c r="AA850" s="26"/>
      <c r="AB850" s="26"/>
      <c r="AC850" s="26"/>
      <c r="AD850" s="26"/>
      <c r="AE850" s="26"/>
      <c r="AF850" s="26"/>
      <c r="AG850" s="26"/>
      <c r="AH850" s="26"/>
      <c r="AI850" s="26"/>
      <c r="AJ850" s="26"/>
      <c r="AK850" s="26"/>
      <c r="AL850" s="26"/>
      <c r="AM850" s="26"/>
      <c r="AN850" s="26"/>
      <c r="AO850" s="26"/>
      <c r="AP850" s="26"/>
      <c r="AQ850" s="26"/>
      <c r="AR850" s="26"/>
      <c r="AS850" s="26"/>
      <c r="AT850" s="26"/>
      <c r="AU850" s="26"/>
      <c r="AV850" s="26"/>
      <c r="AW850" s="26"/>
      <c r="AX850" s="26"/>
      <c r="AY850" s="26"/>
      <c r="AZ850" s="26"/>
      <c r="BA850" s="26"/>
      <c r="BB850" s="26"/>
      <c r="BC850" s="26"/>
      <c r="BD850" s="26"/>
      <c r="BE850" s="26"/>
      <c r="BF850" s="26"/>
      <c r="BG850" s="26"/>
      <c r="BH850" s="26"/>
      <c r="BI850" s="26"/>
      <c r="BJ850" s="26"/>
      <c r="BK850" s="26"/>
    </row>
    <row r="851" ht="14.25" customHeight="1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  <c r="AA851" s="26"/>
      <c r="AB851" s="26"/>
      <c r="AC851" s="26"/>
      <c r="AD851" s="26"/>
      <c r="AE851" s="26"/>
      <c r="AF851" s="26"/>
      <c r="AG851" s="26"/>
      <c r="AH851" s="26"/>
      <c r="AI851" s="26"/>
      <c r="AJ851" s="26"/>
      <c r="AK851" s="26"/>
      <c r="AL851" s="26"/>
      <c r="AM851" s="26"/>
      <c r="AN851" s="26"/>
      <c r="AO851" s="26"/>
      <c r="AP851" s="26"/>
      <c r="AQ851" s="26"/>
      <c r="AR851" s="26"/>
      <c r="AS851" s="26"/>
      <c r="AT851" s="26"/>
      <c r="AU851" s="26"/>
      <c r="AV851" s="26"/>
      <c r="AW851" s="26"/>
      <c r="AX851" s="26"/>
      <c r="AY851" s="26"/>
      <c r="AZ851" s="26"/>
      <c r="BA851" s="26"/>
      <c r="BB851" s="26"/>
      <c r="BC851" s="26"/>
      <c r="BD851" s="26"/>
      <c r="BE851" s="26"/>
      <c r="BF851" s="26"/>
      <c r="BG851" s="26"/>
      <c r="BH851" s="26"/>
      <c r="BI851" s="26"/>
      <c r="BJ851" s="26"/>
      <c r="BK851" s="26"/>
    </row>
    <row r="852" ht="14.25" customHeight="1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  <c r="AA852" s="26"/>
      <c r="AB852" s="26"/>
      <c r="AC852" s="26"/>
      <c r="AD852" s="26"/>
      <c r="AE852" s="26"/>
      <c r="AF852" s="26"/>
      <c r="AG852" s="26"/>
      <c r="AH852" s="26"/>
      <c r="AI852" s="26"/>
      <c r="AJ852" s="26"/>
      <c r="AK852" s="26"/>
      <c r="AL852" s="26"/>
      <c r="AM852" s="26"/>
      <c r="AN852" s="26"/>
      <c r="AO852" s="26"/>
      <c r="AP852" s="26"/>
      <c r="AQ852" s="26"/>
      <c r="AR852" s="26"/>
      <c r="AS852" s="26"/>
      <c r="AT852" s="26"/>
      <c r="AU852" s="26"/>
      <c r="AV852" s="26"/>
      <c r="AW852" s="26"/>
      <c r="AX852" s="26"/>
      <c r="AY852" s="26"/>
      <c r="AZ852" s="26"/>
      <c r="BA852" s="26"/>
      <c r="BB852" s="26"/>
      <c r="BC852" s="26"/>
      <c r="BD852" s="26"/>
      <c r="BE852" s="26"/>
      <c r="BF852" s="26"/>
      <c r="BG852" s="26"/>
      <c r="BH852" s="26"/>
      <c r="BI852" s="26"/>
      <c r="BJ852" s="26"/>
      <c r="BK852" s="26"/>
    </row>
    <row r="853" ht="14.25" customHeight="1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  <c r="AA853" s="26"/>
      <c r="AB853" s="26"/>
      <c r="AC853" s="26"/>
      <c r="AD853" s="26"/>
      <c r="AE853" s="26"/>
      <c r="AF853" s="26"/>
      <c r="AG853" s="26"/>
      <c r="AH853" s="26"/>
      <c r="AI853" s="26"/>
      <c r="AJ853" s="26"/>
      <c r="AK853" s="26"/>
      <c r="AL853" s="26"/>
      <c r="AM853" s="26"/>
      <c r="AN853" s="26"/>
      <c r="AO853" s="26"/>
      <c r="AP853" s="26"/>
      <c r="AQ853" s="26"/>
      <c r="AR853" s="26"/>
      <c r="AS853" s="26"/>
      <c r="AT853" s="26"/>
      <c r="AU853" s="26"/>
      <c r="AV853" s="26"/>
      <c r="AW853" s="26"/>
      <c r="AX853" s="26"/>
      <c r="AY853" s="26"/>
      <c r="AZ853" s="26"/>
      <c r="BA853" s="26"/>
      <c r="BB853" s="26"/>
      <c r="BC853" s="26"/>
      <c r="BD853" s="26"/>
      <c r="BE853" s="26"/>
      <c r="BF853" s="26"/>
      <c r="BG853" s="26"/>
      <c r="BH853" s="26"/>
      <c r="BI853" s="26"/>
      <c r="BJ853" s="26"/>
      <c r="BK853" s="26"/>
    </row>
    <row r="854" ht="14.25" customHeight="1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  <c r="AA854" s="26"/>
      <c r="AB854" s="26"/>
      <c r="AC854" s="26"/>
      <c r="AD854" s="26"/>
      <c r="AE854" s="26"/>
      <c r="AF854" s="26"/>
      <c r="AG854" s="26"/>
      <c r="AH854" s="26"/>
      <c r="AI854" s="26"/>
      <c r="AJ854" s="26"/>
      <c r="AK854" s="26"/>
      <c r="AL854" s="26"/>
      <c r="AM854" s="26"/>
      <c r="AN854" s="26"/>
      <c r="AO854" s="26"/>
      <c r="AP854" s="26"/>
      <c r="AQ854" s="26"/>
      <c r="AR854" s="26"/>
      <c r="AS854" s="26"/>
      <c r="AT854" s="26"/>
      <c r="AU854" s="26"/>
      <c r="AV854" s="26"/>
      <c r="AW854" s="26"/>
      <c r="AX854" s="26"/>
      <c r="AY854" s="26"/>
      <c r="AZ854" s="26"/>
      <c r="BA854" s="26"/>
      <c r="BB854" s="26"/>
      <c r="BC854" s="26"/>
      <c r="BD854" s="26"/>
      <c r="BE854" s="26"/>
      <c r="BF854" s="26"/>
      <c r="BG854" s="26"/>
      <c r="BH854" s="26"/>
      <c r="BI854" s="26"/>
      <c r="BJ854" s="26"/>
      <c r="BK854" s="26"/>
    </row>
    <row r="855" ht="14.25" customHeight="1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  <c r="AA855" s="26"/>
      <c r="AB855" s="26"/>
      <c r="AC855" s="26"/>
      <c r="AD855" s="26"/>
      <c r="AE855" s="26"/>
      <c r="AF855" s="26"/>
      <c r="AG855" s="26"/>
      <c r="AH855" s="26"/>
      <c r="AI855" s="26"/>
      <c r="AJ855" s="26"/>
      <c r="AK855" s="26"/>
      <c r="AL855" s="26"/>
      <c r="AM855" s="26"/>
      <c r="AN855" s="26"/>
      <c r="AO855" s="26"/>
      <c r="AP855" s="26"/>
      <c r="AQ855" s="26"/>
      <c r="AR855" s="26"/>
      <c r="AS855" s="26"/>
      <c r="AT855" s="26"/>
      <c r="AU855" s="26"/>
      <c r="AV855" s="26"/>
      <c r="AW855" s="26"/>
      <c r="AX855" s="26"/>
      <c r="AY855" s="26"/>
      <c r="AZ855" s="26"/>
      <c r="BA855" s="26"/>
      <c r="BB855" s="26"/>
      <c r="BC855" s="26"/>
      <c r="BD855" s="26"/>
      <c r="BE855" s="26"/>
      <c r="BF855" s="26"/>
      <c r="BG855" s="26"/>
      <c r="BH855" s="26"/>
      <c r="BI855" s="26"/>
      <c r="BJ855" s="26"/>
      <c r="BK855" s="26"/>
    </row>
    <row r="856" ht="14.25" customHeight="1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  <c r="AA856" s="26"/>
      <c r="AB856" s="26"/>
      <c r="AC856" s="26"/>
      <c r="AD856" s="26"/>
      <c r="AE856" s="26"/>
      <c r="AF856" s="26"/>
      <c r="AG856" s="26"/>
      <c r="AH856" s="26"/>
      <c r="AI856" s="26"/>
      <c r="AJ856" s="26"/>
      <c r="AK856" s="26"/>
      <c r="AL856" s="26"/>
      <c r="AM856" s="26"/>
      <c r="AN856" s="26"/>
      <c r="AO856" s="26"/>
      <c r="AP856" s="26"/>
      <c r="AQ856" s="26"/>
      <c r="AR856" s="26"/>
      <c r="AS856" s="26"/>
      <c r="AT856" s="26"/>
      <c r="AU856" s="26"/>
      <c r="AV856" s="26"/>
      <c r="AW856" s="26"/>
      <c r="AX856" s="26"/>
      <c r="AY856" s="26"/>
      <c r="AZ856" s="26"/>
      <c r="BA856" s="26"/>
      <c r="BB856" s="26"/>
      <c r="BC856" s="26"/>
      <c r="BD856" s="26"/>
      <c r="BE856" s="26"/>
      <c r="BF856" s="26"/>
      <c r="BG856" s="26"/>
      <c r="BH856" s="26"/>
      <c r="BI856" s="26"/>
      <c r="BJ856" s="26"/>
      <c r="BK856" s="26"/>
    </row>
    <row r="857" ht="14.25" customHeight="1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  <c r="AA857" s="26"/>
      <c r="AB857" s="26"/>
      <c r="AC857" s="26"/>
      <c r="AD857" s="26"/>
      <c r="AE857" s="26"/>
      <c r="AF857" s="26"/>
      <c r="AG857" s="26"/>
      <c r="AH857" s="26"/>
      <c r="AI857" s="26"/>
      <c r="AJ857" s="26"/>
      <c r="AK857" s="26"/>
      <c r="AL857" s="26"/>
      <c r="AM857" s="26"/>
      <c r="AN857" s="26"/>
      <c r="AO857" s="26"/>
      <c r="AP857" s="26"/>
      <c r="AQ857" s="26"/>
      <c r="AR857" s="26"/>
      <c r="AS857" s="26"/>
      <c r="AT857" s="26"/>
      <c r="AU857" s="26"/>
      <c r="AV857" s="26"/>
      <c r="AW857" s="26"/>
      <c r="AX857" s="26"/>
      <c r="AY857" s="26"/>
      <c r="AZ857" s="26"/>
      <c r="BA857" s="26"/>
      <c r="BB857" s="26"/>
      <c r="BC857" s="26"/>
      <c r="BD857" s="26"/>
      <c r="BE857" s="26"/>
      <c r="BF857" s="26"/>
      <c r="BG857" s="26"/>
      <c r="BH857" s="26"/>
      <c r="BI857" s="26"/>
      <c r="BJ857" s="26"/>
      <c r="BK857" s="26"/>
    </row>
    <row r="858" ht="14.25" customHeight="1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  <c r="AA858" s="26"/>
      <c r="AB858" s="26"/>
      <c r="AC858" s="26"/>
      <c r="AD858" s="26"/>
      <c r="AE858" s="26"/>
      <c r="AF858" s="26"/>
      <c r="AG858" s="26"/>
      <c r="AH858" s="26"/>
      <c r="AI858" s="26"/>
      <c r="AJ858" s="26"/>
      <c r="AK858" s="26"/>
      <c r="AL858" s="26"/>
      <c r="AM858" s="26"/>
      <c r="AN858" s="26"/>
      <c r="AO858" s="26"/>
      <c r="AP858" s="26"/>
      <c r="AQ858" s="26"/>
      <c r="AR858" s="26"/>
      <c r="AS858" s="26"/>
      <c r="AT858" s="26"/>
      <c r="AU858" s="26"/>
      <c r="AV858" s="26"/>
      <c r="AW858" s="26"/>
      <c r="AX858" s="26"/>
      <c r="AY858" s="26"/>
      <c r="AZ858" s="26"/>
      <c r="BA858" s="26"/>
      <c r="BB858" s="26"/>
      <c r="BC858" s="26"/>
      <c r="BD858" s="26"/>
      <c r="BE858" s="26"/>
      <c r="BF858" s="26"/>
      <c r="BG858" s="26"/>
      <c r="BH858" s="26"/>
      <c r="BI858" s="26"/>
      <c r="BJ858" s="26"/>
      <c r="BK858" s="26"/>
    </row>
    <row r="859" ht="14.25" customHeight="1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  <c r="AA859" s="26"/>
      <c r="AB859" s="26"/>
      <c r="AC859" s="26"/>
      <c r="AD859" s="26"/>
      <c r="AE859" s="26"/>
      <c r="AF859" s="26"/>
      <c r="AG859" s="26"/>
      <c r="AH859" s="26"/>
      <c r="AI859" s="26"/>
      <c r="AJ859" s="26"/>
      <c r="AK859" s="26"/>
      <c r="AL859" s="26"/>
      <c r="AM859" s="26"/>
      <c r="AN859" s="26"/>
      <c r="AO859" s="26"/>
      <c r="AP859" s="26"/>
      <c r="AQ859" s="26"/>
      <c r="AR859" s="26"/>
      <c r="AS859" s="26"/>
      <c r="AT859" s="26"/>
      <c r="AU859" s="26"/>
      <c r="AV859" s="26"/>
      <c r="AW859" s="26"/>
      <c r="AX859" s="26"/>
      <c r="AY859" s="26"/>
      <c r="AZ859" s="26"/>
      <c r="BA859" s="26"/>
      <c r="BB859" s="26"/>
      <c r="BC859" s="26"/>
      <c r="BD859" s="26"/>
      <c r="BE859" s="26"/>
      <c r="BF859" s="26"/>
      <c r="BG859" s="26"/>
      <c r="BH859" s="26"/>
      <c r="BI859" s="26"/>
      <c r="BJ859" s="26"/>
      <c r="BK859" s="26"/>
    </row>
    <row r="860" ht="14.25" customHeight="1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  <c r="AA860" s="26"/>
      <c r="AB860" s="26"/>
      <c r="AC860" s="26"/>
      <c r="AD860" s="26"/>
      <c r="AE860" s="26"/>
      <c r="AF860" s="26"/>
      <c r="AG860" s="26"/>
      <c r="AH860" s="26"/>
      <c r="AI860" s="26"/>
      <c r="AJ860" s="26"/>
      <c r="AK860" s="26"/>
      <c r="AL860" s="26"/>
      <c r="AM860" s="26"/>
      <c r="AN860" s="26"/>
      <c r="AO860" s="26"/>
      <c r="AP860" s="26"/>
      <c r="AQ860" s="26"/>
      <c r="AR860" s="26"/>
      <c r="AS860" s="26"/>
      <c r="AT860" s="26"/>
      <c r="AU860" s="26"/>
      <c r="AV860" s="26"/>
      <c r="AW860" s="26"/>
      <c r="AX860" s="26"/>
      <c r="AY860" s="26"/>
      <c r="AZ860" s="26"/>
      <c r="BA860" s="26"/>
      <c r="BB860" s="26"/>
      <c r="BC860" s="26"/>
      <c r="BD860" s="26"/>
      <c r="BE860" s="26"/>
      <c r="BF860" s="26"/>
      <c r="BG860" s="26"/>
      <c r="BH860" s="26"/>
      <c r="BI860" s="26"/>
      <c r="BJ860" s="26"/>
      <c r="BK860" s="26"/>
    </row>
    <row r="861" ht="14.25" customHeight="1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  <c r="AA861" s="26"/>
      <c r="AB861" s="26"/>
      <c r="AC861" s="26"/>
      <c r="AD861" s="26"/>
      <c r="AE861" s="26"/>
      <c r="AF861" s="26"/>
      <c r="AG861" s="26"/>
      <c r="AH861" s="26"/>
      <c r="AI861" s="26"/>
      <c r="AJ861" s="26"/>
      <c r="AK861" s="26"/>
      <c r="AL861" s="26"/>
      <c r="AM861" s="26"/>
      <c r="AN861" s="26"/>
      <c r="AO861" s="26"/>
      <c r="AP861" s="26"/>
      <c r="AQ861" s="26"/>
      <c r="AR861" s="26"/>
      <c r="AS861" s="26"/>
      <c r="AT861" s="26"/>
      <c r="AU861" s="26"/>
      <c r="AV861" s="26"/>
      <c r="AW861" s="26"/>
      <c r="AX861" s="26"/>
      <c r="AY861" s="26"/>
      <c r="AZ861" s="26"/>
      <c r="BA861" s="26"/>
      <c r="BB861" s="26"/>
      <c r="BC861" s="26"/>
      <c r="BD861" s="26"/>
      <c r="BE861" s="26"/>
      <c r="BF861" s="26"/>
      <c r="BG861" s="26"/>
      <c r="BH861" s="26"/>
      <c r="BI861" s="26"/>
      <c r="BJ861" s="26"/>
      <c r="BK861" s="26"/>
    </row>
    <row r="862" ht="14.25" customHeight="1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  <c r="AA862" s="26"/>
      <c r="AB862" s="26"/>
      <c r="AC862" s="26"/>
      <c r="AD862" s="26"/>
      <c r="AE862" s="26"/>
      <c r="AF862" s="26"/>
      <c r="AG862" s="26"/>
      <c r="AH862" s="26"/>
      <c r="AI862" s="26"/>
      <c r="AJ862" s="26"/>
      <c r="AK862" s="26"/>
      <c r="AL862" s="26"/>
      <c r="AM862" s="26"/>
      <c r="AN862" s="26"/>
      <c r="AO862" s="26"/>
      <c r="AP862" s="26"/>
      <c r="AQ862" s="26"/>
      <c r="AR862" s="26"/>
      <c r="AS862" s="26"/>
      <c r="AT862" s="26"/>
      <c r="AU862" s="26"/>
      <c r="AV862" s="26"/>
      <c r="AW862" s="26"/>
      <c r="AX862" s="26"/>
      <c r="AY862" s="26"/>
      <c r="AZ862" s="26"/>
      <c r="BA862" s="26"/>
      <c r="BB862" s="26"/>
      <c r="BC862" s="26"/>
      <c r="BD862" s="26"/>
      <c r="BE862" s="26"/>
      <c r="BF862" s="26"/>
      <c r="BG862" s="26"/>
      <c r="BH862" s="26"/>
      <c r="BI862" s="26"/>
      <c r="BJ862" s="26"/>
      <c r="BK862" s="26"/>
    </row>
    <row r="863" ht="14.25" customHeight="1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  <c r="AA863" s="26"/>
      <c r="AB863" s="26"/>
      <c r="AC863" s="26"/>
      <c r="AD863" s="26"/>
      <c r="AE863" s="26"/>
      <c r="AF863" s="26"/>
      <c r="AG863" s="26"/>
      <c r="AH863" s="26"/>
      <c r="AI863" s="26"/>
      <c r="AJ863" s="26"/>
      <c r="AK863" s="26"/>
      <c r="AL863" s="26"/>
      <c r="AM863" s="26"/>
      <c r="AN863" s="26"/>
      <c r="AO863" s="26"/>
      <c r="AP863" s="26"/>
      <c r="AQ863" s="26"/>
      <c r="AR863" s="26"/>
      <c r="AS863" s="26"/>
      <c r="AT863" s="26"/>
      <c r="AU863" s="26"/>
      <c r="AV863" s="26"/>
      <c r="AW863" s="26"/>
      <c r="AX863" s="26"/>
      <c r="AY863" s="26"/>
      <c r="AZ863" s="26"/>
      <c r="BA863" s="26"/>
      <c r="BB863" s="26"/>
      <c r="BC863" s="26"/>
      <c r="BD863" s="26"/>
      <c r="BE863" s="26"/>
      <c r="BF863" s="26"/>
      <c r="BG863" s="26"/>
      <c r="BH863" s="26"/>
      <c r="BI863" s="26"/>
      <c r="BJ863" s="26"/>
      <c r="BK863" s="26"/>
    </row>
    <row r="864" ht="14.25" customHeight="1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  <c r="AA864" s="26"/>
      <c r="AB864" s="26"/>
      <c r="AC864" s="26"/>
      <c r="AD864" s="26"/>
      <c r="AE864" s="26"/>
      <c r="AF864" s="26"/>
      <c r="AG864" s="26"/>
      <c r="AH864" s="26"/>
      <c r="AI864" s="26"/>
      <c r="AJ864" s="26"/>
      <c r="AK864" s="26"/>
      <c r="AL864" s="26"/>
      <c r="AM864" s="26"/>
      <c r="AN864" s="26"/>
      <c r="AO864" s="26"/>
      <c r="AP864" s="26"/>
      <c r="AQ864" s="26"/>
      <c r="AR864" s="26"/>
      <c r="AS864" s="26"/>
      <c r="AT864" s="26"/>
      <c r="AU864" s="26"/>
      <c r="AV864" s="26"/>
      <c r="AW864" s="26"/>
      <c r="AX864" s="26"/>
      <c r="AY864" s="26"/>
      <c r="AZ864" s="26"/>
      <c r="BA864" s="26"/>
      <c r="BB864" s="26"/>
      <c r="BC864" s="26"/>
      <c r="BD864" s="26"/>
      <c r="BE864" s="26"/>
      <c r="BF864" s="26"/>
      <c r="BG864" s="26"/>
      <c r="BH864" s="26"/>
      <c r="BI864" s="26"/>
      <c r="BJ864" s="26"/>
      <c r="BK864" s="26"/>
    </row>
    <row r="865" ht="14.25" customHeight="1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  <c r="AA865" s="26"/>
      <c r="AB865" s="26"/>
      <c r="AC865" s="26"/>
      <c r="AD865" s="26"/>
      <c r="AE865" s="26"/>
      <c r="AF865" s="26"/>
      <c r="AG865" s="26"/>
      <c r="AH865" s="26"/>
      <c r="AI865" s="26"/>
      <c r="AJ865" s="26"/>
      <c r="AK865" s="26"/>
      <c r="AL865" s="26"/>
      <c r="AM865" s="26"/>
      <c r="AN865" s="26"/>
      <c r="AO865" s="26"/>
      <c r="AP865" s="26"/>
      <c r="AQ865" s="26"/>
      <c r="AR865" s="26"/>
      <c r="AS865" s="26"/>
      <c r="AT865" s="26"/>
      <c r="AU865" s="26"/>
      <c r="AV865" s="26"/>
      <c r="AW865" s="26"/>
      <c r="AX865" s="26"/>
      <c r="AY865" s="26"/>
      <c r="AZ865" s="26"/>
      <c r="BA865" s="26"/>
      <c r="BB865" s="26"/>
      <c r="BC865" s="26"/>
      <c r="BD865" s="26"/>
      <c r="BE865" s="26"/>
      <c r="BF865" s="26"/>
      <c r="BG865" s="26"/>
      <c r="BH865" s="26"/>
      <c r="BI865" s="26"/>
      <c r="BJ865" s="26"/>
      <c r="BK865" s="26"/>
    </row>
    <row r="866" ht="14.25" customHeight="1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  <c r="AA866" s="26"/>
      <c r="AB866" s="26"/>
      <c r="AC866" s="26"/>
      <c r="AD866" s="26"/>
      <c r="AE866" s="26"/>
      <c r="AF866" s="26"/>
      <c r="AG866" s="26"/>
      <c r="AH866" s="26"/>
      <c r="AI866" s="26"/>
      <c r="AJ866" s="26"/>
      <c r="AK866" s="26"/>
      <c r="AL866" s="26"/>
      <c r="AM866" s="26"/>
      <c r="AN866" s="26"/>
      <c r="AO866" s="26"/>
      <c r="AP866" s="26"/>
      <c r="AQ866" s="26"/>
      <c r="AR866" s="26"/>
      <c r="AS866" s="26"/>
      <c r="AT866" s="26"/>
      <c r="AU866" s="26"/>
      <c r="AV866" s="26"/>
      <c r="AW866" s="26"/>
      <c r="AX866" s="26"/>
      <c r="AY866" s="26"/>
      <c r="AZ866" s="26"/>
      <c r="BA866" s="26"/>
      <c r="BB866" s="26"/>
      <c r="BC866" s="26"/>
      <c r="BD866" s="26"/>
      <c r="BE866" s="26"/>
      <c r="BF866" s="26"/>
      <c r="BG866" s="26"/>
      <c r="BH866" s="26"/>
      <c r="BI866" s="26"/>
      <c r="BJ866" s="26"/>
      <c r="BK866" s="26"/>
    </row>
    <row r="867" ht="14.25" customHeight="1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  <c r="AA867" s="26"/>
      <c r="AB867" s="26"/>
      <c r="AC867" s="26"/>
      <c r="AD867" s="26"/>
      <c r="AE867" s="26"/>
      <c r="AF867" s="26"/>
      <c r="AG867" s="26"/>
      <c r="AH867" s="26"/>
      <c r="AI867" s="26"/>
      <c r="AJ867" s="26"/>
      <c r="AK867" s="26"/>
      <c r="AL867" s="26"/>
      <c r="AM867" s="26"/>
      <c r="AN867" s="26"/>
      <c r="AO867" s="26"/>
      <c r="AP867" s="26"/>
      <c r="AQ867" s="26"/>
      <c r="AR867" s="26"/>
      <c r="AS867" s="26"/>
      <c r="AT867" s="26"/>
      <c r="AU867" s="26"/>
      <c r="AV867" s="26"/>
      <c r="AW867" s="26"/>
      <c r="AX867" s="26"/>
      <c r="AY867" s="26"/>
      <c r="AZ867" s="26"/>
      <c r="BA867" s="26"/>
      <c r="BB867" s="26"/>
      <c r="BC867" s="26"/>
      <c r="BD867" s="26"/>
      <c r="BE867" s="26"/>
      <c r="BF867" s="26"/>
      <c r="BG867" s="26"/>
      <c r="BH867" s="26"/>
      <c r="BI867" s="26"/>
      <c r="BJ867" s="26"/>
      <c r="BK867" s="26"/>
    </row>
    <row r="868" ht="14.25" customHeight="1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  <c r="AA868" s="26"/>
      <c r="AB868" s="26"/>
      <c r="AC868" s="26"/>
      <c r="AD868" s="26"/>
      <c r="AE868" s="26"/>
      <c r="AF868" s="26"/>
      <c r="AG868" s="26"/>
      <c r="AH868" s="26"/>
      <c r="AI868" s="26"/>
      <c r="AJ868" s="26"/>
      <c r="AK868" s="26"/>
      <c r="AL868" s="26"/>
      <c r="AM868" s="26"/>
      <c r="AN868" s="26"/>
      <c r="AO868" s="26"/>
      <c r="AP868" s="26"/>
      <c r="AQ868" s="26"/>
      <c r="AR868" s="26"/>
      <c r="AS868" s="26"/>
      <c r="AT868" s="26"/>
      <c r="AU868" s="26"/>
      <c r="AV868" s="26"/>
      <c r="AW868" s="26"/>
      <c r="AX868" s="26"/>
      <c r="AY868" s="26"/>
      <c r="AZ868" s="26"/>
      <c r="BA868" s="26"/>
      <c r="BB868" s="26"/>
      <c r="BC868" s="26"/>
      <c r="BD868" s="26"/>
      <c r="BE868" s="26"/>
      <c r="BF868" s="26"/>
      <c r="BG868" s="26"/>
      <c r="BH868" s="26"/>
      <c r="BI868" s="26"/>
      <c r="BJ868" s="26"/>
      <c r="BK868" s="26"/>
    </row>
    <row r="869" ht="14.25" customHeight="1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  <c r="AA869" s="26"/>
      <c r="AB869" s="26"/>
      <c r="AC869" s="26"/>
      <c r="AD869" s="26"/>
      <c r="AE869" s="26"/>
      <c r="AF869" s="26"/>
      <c r="AG869" s="26"/>
      <c r="AH869" s="26"/>
      <c r="AI869" s="26"/>
      <c r="AJ869" s="26"/>
      <c r="AK869" s="26"/>
      <c r="AL869" s="26"/>
      <c r="AM869" s="26"/>
      <c r="AN869" s="26"/>
      <c r="AO869" s="26"/>
      <c r="AP869" s="26"/>
      <c r="AQ869" s="26"/>
      <c r="AR869" s="26"/>
      <c r="AS869" s="26"/>
      <c r="AT869" s="26"/>
      <c r="AU869" s="26"/>
      <c r="AV869" s="26"/>
      <c r="AW869" s="26"/>
      <c r="AX869" s="26"/>
      <c r="AY869" s="26"/>
      <c r="AZ869" s="26"/>
      <c r="BA869" s="26"/>
      <c r="BB869" s="26"/>
      <c r="BC869" s="26"/>
      <c r="BD869" s="26"/>
      <c r="BE869" s="26"/>
      <c r="BF869" s="26"/>
      <c r="BG869" s="26"/>
      <c r="BH869" s="26"/>
      <c r="BI869" s="26"/>
      <c r="BJ869" s="26"/>
      <c r="BK869" s="26"/>
    </row>
    <row r="870" ht="14.25" customHeight="1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  <c r="AA870" s="26"/>
      <c r="AB870" s="26"/>
      <c r="AC870" s="26"/>
      <c r="AD870" s="26"/>
      <c r="AE870" s="26"/>
      <c r="AF870" s="26"/>
      <c r="AG870" s="26"/>
      <c r="AH870" s="26"/>
      <c r="AI870" s="26"/>
      <c r="AJ870" s="26"/>
      <c r="AK870" s="26"/>
      <c r="AL870" s="26"/>
      <c r="AM870" s="26"/>
      <c r="AN870" s="26"/>
      <c r="AO870" s="26"/>
      <c r="AP870" s="26"/>
      <c r="AQ870" s="26"/>
      <c r="AR870" s="26"/>
      <c r="AS870" s="26"/>
      <c r="AT870" s="26"/>
      <c r="AU870" s="26"/>
      <c r="AV870" s="26"/>
      <c r="AW870" s="26"/>
      <c r="AX870" s="26"/>
      <c r="AY870" s="26"/>
      <c r="AZ870" s="26"/>
      <c r="BA870" s="26"/>
      <c r="BB870" s="26"/>
      <c r="BC870" s="26"/>
      <c r="BD870" s="26"/>
      <c r="BE870" s="26"/>
      <c r="BF870" s="26"/>
      <c r="BG870" s="26"/>
      <c r="BH870" s="26"/>
      <c r="BI870" s="26"/>
      <c r="BJ870" s="26"/>
      <c r="BK870" s="26"/>
    </row>
    <row r="871" ht="14.25" customHeight="1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  <c r="AA871" s="26"/>
      <c r="AB871" s="26"/>
      <c r="AC871" s="26"/>
      <c r="AD871" s="26"/>
      <c r="AE871" s="26"/>
      <c r="AF871" s="26"/>
      <c r="AG871" s="26"/>
      <c r="AH871" s="26"/>
      <c r="AI871" s="26"/>
      <c r="AJ871" s="26"/>
      <c r="AK871" s="26"/>
      <c r="AL871" s="26"/>
      <c r="AM871" s="26"/>
      <c r="AN871" s="26"/>
      <c r="AO871" s="26"/>
      <c r="AP871" s="26"/>
      <c r="AQ871" s="26"/>
      <c r="AR871" s="26"/>
      <c r="AS871" s="26"/>
      <c r="AT871" s="26"/>
      <c r="AU871" s="26"/>
      <c r="AV871" s="26"/>
      <c r="AW871" s="26"/>
      <c r="AX871" s="26"/>
      <c r="AY871" s="26"/>
      <c r="AZ871" s="26"/>
      <c r="BA871" s="26"/>
      <c r="BB871" s="26"/>
      <c r="BC871" s="26"/>
      <c r="BD871" s="26"/>
      <c r="BE871" s="26"/>
      <c r="BF871" s="26"/>
      <c r="BG871" s="26"/>
      <c r="BH871" s="26"/>
      <c r="BI871" s="26"/>
      <c r="BJ871" s="26"/>
      <c r="BK871" s="26"/>
    </row>
    <row r="872" ht="14.25" customHeight="1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  <c r="AA872" s="26"/>
      <c r="AB872" s="26"/>
      <c r="AC872" s="26"/>
      <c r="AD872" s="26"/>
      <c r="AE872" s="26"/>
      <c r="AF872" s="26"/>
      <c r="AG872" s="26"/>
      <c r="AH872" s="26"/>
      <c r="AI872" s="26"/>
      <c r="AJ872" s="26"/>
      <c r="AK872" s="26"/>
      <c r="AL872" s="26"/>
      <c r="AM872" s="26"/>
      <c r="AN872" s="26"/>
      <c r="AO872" s="26"/>
      <c r="AP872" s="26"/>
      <c r="AQ872" s="26"/>
      <c r="AR872" s="26"/>
      <c r="AS872" s="26"/>
      <c r="AT872" s="26"/>
      <c r="AU872" s="26"/>
      <c r="AV872" s="26"/>
      <c r="AW872" s="26"/>
      <c r="AX872" s="26"/>
      <c r="AY872" s="26"/>
      <c r="AZ872" s="26"/>
      <c r="BA872" s="26"/>
      <c r="BB872" s="26"/>
      <c r="BC872" s="26"/>
      <c r="BD872" s="26"/>
      <c r="BE872" s="26"/>
      <c r="BF872" s="26"/>
      <c r="BG872" s="26"/>
      <c r="BH872" s="26"/>
      <c r="BI872" s="26"/>
      <c r="BJ872" s="26"/>
      <c r="BK872" s="26"/>
    </row>
    <row r="873" ht="14.25" customHeight="1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  <c r="AA873" s="26"/>
      <c r="AB873" s="26"/>
      <c r="AC873" s="26"/>
      <c r="AD873" s="26"/>
      <c r="AE873" s="26"/>
      <c r="AF873" s="26"/>
      <c r="AG873" s="26"/>
      <c r="AH873" s="26"/>
      <c r="AI873" s="26"/>
      <c r="AJ873" s="26"/>
      <c r="AK873" s="26"/>
      <c r="AL873" s="26"/>
      <c r="AM873" s="26"/>
      <c r="AN873" s="26"/>
      <c r="AO873" s="26"/>
      <c r="AP873" s="26"/>
      <c r="AQ873" s="26"/>
      <c r="AR873" s="26"/>
      <c r="AS873" s="26"/>
      <c r="AT873" s="26"/>
      <c r="AU873" s="26"/>
      <c r="AV873" s="26"/>
      <c r="AW873" s="26"/>
      <c r="AX873" s="26"/>
      <c r="AY873" s="26"/>
      <c r="AZ873" s="26"/>
      <c r="BA873" s="26"/>
      <c r="BB873" s="26"/>
      <c r="BC873" s="26"/>
      <c r="BD873" s="26"/>
      <c r="BE873" s="26"/>
      <c r="BF873" s="26"/>
      <c r="BG873" s="26"/>
      <c r="BH873" s="26"/>
      <c r="BI873" s="26"/>
      <c r="BJ873" s="26"/>
      <c r="BK873" s="26"/>
    </row>
    <row r="874" ht="14.25" customHeight="1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  <c r="AA874" s="26"/>
      <c r="AB874" s="26"/>
      <c r="AC874" s="26"/>
      <c r="AD874" s="26"/>
      <c r="AE874" s="26"/>
      <c r="AF874" s="26"/>
      <c r="AG874" s="26"/>
      <c r="AH874" s="26"/>
      <c r="AI874" s="26"/>
      <c r="AJ874" s="26"/>
      <c r="AK874" s="26"/>
      <c r="AL874" s="26"/>
      <c r="AM874" s="26"/>
      <c r="AN874" s="26"/>
      <c r="AO874" s="26"/>
      <c r="AP874" s="26"/>
      <c r="AQ874" s="26"/>
      <c r="AR874" s="26"/>
      <c r="AS874" s="26"/>
      <c r="AT874" s="26"/>
      <c r="AU874" s="26"/>
      <c r="AV874" s="26"/>
      <c r="AW874" s="26"/>
      <c r="AX874" s="26"/>
      <c r="AY874" s="26"/>
      <c r="AZ874" s="26"/>
      <c r="BA874" s="26"/>
      <c r="BB874" s="26"/>
      <c r="BC874" s="26"/>
      <c r="BD874" s="26"/>
      <c r="BE874" s="26"/>
      <c r="BF874" s="26"/>
      <c r="BG874" s="26"/>
      <c r="BH874" s="26"/>
      <c r="BI874" s="26"/>
      <c r="BJ874" s="26"/>
      <c r="BK874" s="26"/>
    </row>
    <row r="875" ht="14.25" customHeight="1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  <c r="AA875" s="26"/>
      <c r="AB875" s="26"/>
      <c r="AC875" s="26"/>
      <c r="AD875" s="26"/>
      <c r="AE875" s="26"/>
      <c r="AF875" s="26"/>
      <c r="AG875" s="26"/>
      <c r="AH875" s="26"/>
      <c r="AI875" s="26"/>
      <c r="AJ875" s="26"/>
      <c r="AK875" s="26"/>
      <c r="AL875" s="26"/>
      <c r="AM875" s="26"/>
      <c r="AN875" s="26"/>
      <c r="AO875" s="26"/>
      <c r="AP875" s="26"/>
      <c r="AQ875" s="26"/>
      <c r="AR875" s="26"/>
      <c r="AS875" s="26"/>
      <c r="AT875" s="26"/>
      <c r="AU875" s="26"/>
      <c r="AV875" s="26"/>
      <c r="AW875" s="26"/>
      <c r="AX875" s="26"/>
      <c r="AY875" s="26"/>
      <c r="AZ875" s="26"/>
      <c r="BA875" s="26"/>
      <c r="BB875" s="26"/>
      <c r="BC875" s="26"/>
      <c r="BD875" s="26"/>
      <c r="BE875" s="26"/>
      <c r="BF875" s="26"/>
      <c r="BG875" s="26"/>
      <c r="BH875" s="26"/>
      <c r="BI875" s="26"/>
      <c r="BJ875" s="26"/>
      <c r="BK875" s="26"/>
    </row>
    <row r="876" ht="14.25" customHeight="1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  <c r="AA876" s="26"/>
      <c r="AB876" s="26"/>
      <c r="AC876" s="26"/>
      <c r="AD876" s="26"/>
      <c r="AE876" s="26"/>
      <c r="AF876" s="26"/>
      <c r="AG876" s="26"/>
      <c r="AH876" s="26"/>
      <c r="AI876" s="26"/>
      <c r="AJ876" s="26"/>
      <c r="AK876" s="26"/>
      <c r="AL876" s="26"/>
      <c r="AM876" s="26"/>
      <c r="AN876" s="26"/>
      <c r="AO876" s="26"/>
      <c r="AP876" s="26"/>
      <c r="AQ876" s="26"/>
      <c r="AR876" s="26"/>
      <c r="AS876" s="26"/>
      <c r="AT876" s="26"/>
      <c r="AU876" s="26"/>
      <c r="AV876" s="26"/>
      <c r="AW876" s="26"/>
      <c r="AX876" s="26"/>
      <c r="AY876" s="26"/>
      <c r="AZ876" s="26"/>
      <c r="BA876" s="26"/>
      <c r="BB876" s="26"/>
      <c r="BC876" s="26"/>
      <c r="BD876" s="26"/>
      <c r="BE876" s="26"/>
      <c r="BF876" s="26"/>
      <c r="BG876" s="26"/>
      <c r="BH876" s="26"/>
      <c r="BI876" s="26"/>
      <c r="BJ876" s="26"/>
      <c r="BK876" s="26"/>
    </row>
    <row r="877" ht="14.25" customHeight="1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  <c r="AA877" s="26"/>
      <c r="AB877" s="26"/>
      <c r="AC877" s="26"/>
      <c r="AD877" s="26"/>
      <c r="AE877" s="26"/>
      <c r="AF877" s="26"/>
      <c r="AG877" s="26"/>
      <c r="AH877" s="26"/>
      <c r="AI877" s="26"/>
      <c r="AJ877" s="26"/>
      <c r="AK877" s="26"/>
      <c r="AL877" s="26"/>
      <c r="AM877" s="26"/>
      <c r="AN877" s="26"/>
      <c r="AO877" s="26"/>
      <c r="AP877" s="26"/>
      <c r="AQ877" s="26"/>
      <c r="AR877" s="26"/>
      <c r="AS877" s="26"/>
      <c r="AT877" s="26"/>
      <c r="AU877" s="26"/>
      <c r="AV877" s="26"/>
      <c r="AW877" s="26"/>
      <c r="AX877" s="26"/>
      <c r="AY877" s="26"/>
      <c r="AZ877" s="26"/>
      <c r="BA877" s="26"/>
      <c r="BB877" s="26"/>
      <c r="BC877" s="26"/>
      <c r="BD877" s="26"/>
      <c r="BE877" s="26"/>
      <c r="BF877" s="26"/>
      <c r="BG877" s="26"/>
      <c r="BH877" s="26"/>
      <c r="BI877" s="26"/>
      <c r="BJ877" s="26"/>
      <c r="BK877" s="26"/>
    </row>
    <row r="878" ht="14.25" customHeight="1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  <c r="AA878" s="26"/>
      <c r="AB878" s="26"/>
      <c r="AC878" s="26"/>
      <c r="AD878" s="26"/>
      <c r="AE878" s="26"/>
      <c r="AF878" s="26"/>
      <c r="AG878" s="26"/>
      <c r="AH878" s="26"/>
      <c r="AI878" s="26"/>
      <c r="AJ878" s="26"/>
      <c r="AK878" s="26"/>
      <c r="AL878" s="26"/>
      <c r="AM878" s="26"/>
      <c r="AN878" s="26"/>
      <c r="AO878" s="26"/>
      <c r="AP878" s="26"/>
      <c r="AQ878" s="26"/>
      <c r="AR878" s="26"/>
      <c r="AS878" s="26"/>
      <c r="AT878" s="26"/>
      <c r="AU878" s="26"/>
      <c r="AV878" s="26"/>
      <c r="AW878" s="26"/>
      <c r="AX878" s="26"/>
      <c r="AY878" s="26"/>
      <c r="AZ878" s="26"/>
      <c r="BA878" s="26"/>
      <c r="BB878" s="26"/>
      <c r="BC878" s="26"/>
      <c r="BD878" s="26"/>
      <c r="BE878" s="26"/>
      <c r="BF878" s="26"/>
      <c r="BG878" s="26"/>
      <c r="BH878" s="26"/>
      <c r="BI878" s="26"/>
      <c r="BJ878" s="26"/>
      <c r="BK878" s="26"/>
    </row>
    <row r="879" ht="14.25" customHeight="1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  <c r="AA879" s="26"/>
      <c r="AB879" s="26"/>
      <c r="AC879" s="26"/>
      <c r="AD879" s="26"/>
      <c r="AE879" s="26"/>
      <c r="AF879" s="26"/>
      <c r="AG879" s="26"/>
      <c r="AH879" s="26"/>
      <c r="AI879" s="26"/>
      <c r="AJ879" s="26"/>
      <c r="AK879" s="26"/>
      <c r="AL879" s="26"/>
      <c r="AM879" s="26"/>
      <c r="AN879" s="26"/>
      <c r="AO879" s="26"/>
      <c r="AP879" s="26"/>
      <c r="AQ879" s="26"/>
      <c r="AR879" s="26"/>
      <c r="AS879" s="26"/>
      <c r="AT879" s="26"/>
      <c r="AU879" s="26"/>
      <c r="AV879" s="26"/>
      <c r="AW879" s="26"/>
      <c r="AX879" s="26"/>
      <c r="AY879" s="26"/>
      <c r="AZ879" s="26"/>
      <c r="BA879" s="26"/>
      <c r="BB879" s="26"/>
      <c r="BC879" s="26"/>
      <c r="BD879" s="26"/>
      <c r="BE879" s="26"/>
      <c r="BF879" s="26"/>
      <c r="BG879" s="26"/>
      <c r="BH879" s="26"/>
      <c r="BI879" s="26"/>
      <c r="BJ879" s="26"/>
      <c r="BK879" s="26"/>
    </row>
    <row r="880" ht="14.25" customHeight="1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  <c r="AA880" s="26"/>
      <c r="AB880" s="26"/>
      <c r="AC880" s="26"/>
      <c r="AD880" s="26"/>
      <c r="AE880" s="26"/>
      <c r="AF880" s="26"/>
      <c r="AG880" s="26"/>
      <c r="AH880" s="26"/>
      <c r="AI880" s="26"/>
      <c r="AJ880" s="26"/>
      <c r="AK880" s="26"/>
      <c r="AL880" s="26"/>
      <c r="AM880" s="26"/>
      <c r="AN880" s="26"/>
      <c r="AO880" s="26"/>
      <c r="AP880" s="26"/>
      <c r="AQ880" s="26"/>
      <c r="AR880" s="26"/>
      <c r="AS880" s="26"/>
      <c r="AT880" s="26"/>
      <c r="AU880" s="26"/>
      <c r="AV880" s="26"/>
      <c r="AW880" s="26"/>
      <c r="AX880" s="26"/>
      <c r="AY880" s="26"/>
      <c r="AZ880" s="26"/>
      <c r="BA880" s="26"/>
      <c r="BB880" s="26"/>
      <c r="BC880" s="26"/>
      <c r="BD880" s="26"/>
      <c r="BE880" s="26"/>
      <c r="BF880" s="26"/>
      <c r="BG880" s="26"/>
      <c r="BH880" s="26"/>
      <c r="BI880" s="26"/>
      <c r="BJ880" s="26"/>
      <c r="BK880" s="26"/>
    </row>
    <row r="881" ht="14.25" customHeight="1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  <c r="AA881" s="26"/>
      <c r="AB881" s="26"/>
      <c r="AC881" s="26"/>
      <c r="AD881" s="26"/>
      <c r="AE881" s="26"/>
      <c r="AF881" s="26"/>
      <c r="AG881" s="26"/>
      <c r="AH881" s="26"/>
      <c r="AI881" s="26"/>
      <c r="AJ881" s="26"/>
      <c r="AK881" s="26"/>
      <c r="AL881" s="26"/>
      <c r="AM881" s="26"/>
      <c r="AN881" s="26"/>
      <c r="AO881" s="26"/>
      <c r="AP881" s="26"/>
      <c r="AQ881" s="26"/>
      <c r="AR881" s="26"/>
      <c r="AS881" s="26"/>
      <c r="AT881" s="26"/>
      <c r="AU881" s="26"/>
      <c r="AV881" s="26"/>
      <c r="AW881" s="26"/>
      <c r="AX881" s="26"/>
      <c r="AY881" s="26"/>
      <c r="AZ881" s="26"/>
      <c r="BA881" s="26"/>
      <c r="BB881" s="26"/>
      <c r="BC881" s="26"/>
      <c r="BD881" s="26"/>
      <c r="BE881" s="26"/>
      <c r="BF881" s="26"/>
      <c r="BG881" s="26"/>
      <c r="BH881" s="26"/>
      <c r="BI881" s="26"/>
      <c r="BJ881" s="26"/>
      <c r="BK881" s="26"/>
    </row>
    <row r="882" ht="14.25" customHeight="1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  <c r="AA882" s="26"/>
      <c r="AB882" s="26"/>
      <c r="AC882" s="26"/>
      <c r="AD882" s="26"/>
      <c r="AE882" s="26"/>
      <c r="AF882" s="26"/>
      <c r="AG882" s="26"/>
      <c r="AH882" s="26"/>
      <c r="AI882" s="26"/>
      <c r="AJ882" s="26"/>
      <c r="AK882" s="26"/>
      <c r="AL882" s="26"/>
      <c r="AM882" s="26"/>
      <c r="AN882" s="26"/>
      <c r="AO882" s="26"/>
      <c r="AP882" s="26"/>
      <c r="AQ882" s="26"/>
      <c r="AR882" s="26"/>
      <c r="AS882" s="26"/>
      <c r="AT882" s="26"/>
      <c r="AU882" s="26"/>
      <c r="AV882" s="26"/>
      <c r="AW882" s="26"/>
      <c r="AX882" s="26"/>
      <c r="AY882" s="26"/>
      <c r="AZ882" s="26"/>
      <c r="BA882" s="26"/>
      <c r="BB882" s="26"/>
      <c r="BC882" s="26"/>
      <c r="BD882" s="26"/>
      <c r="BE882" s="26"/>
      <c r="BF882" s="26"/>
      <c r="BG882" s="26"/>
      <c r="BH882" s="26"/>
      <c r="BI882" s="26"/>
      <c r="BJ882" s="26"/>
      <c r="BK882" s="26"/>
    </row>
    <row r="883" ht="14.25" customHeight="1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  <c r="AA883" s="26"/>
      <c r="AB883" s="26"/>
      <c r="AC883" s="26"/>
      <c r="AD883" s="26"/>
      <c r="AE883" s="26"/>
      <c r="AF883" s="26"/>
      <c r="AG883" s="26"/>
      <c r="AH883" s="26"/>
      <c r="AI883" s="26"/>
      <c r="AJ883" s="26"/>
      <c r="AK883" s="26"/>
      <c r="AL883" s="26"/>
      <c r="AM883" s="26"/>
      <c r="AN883" s="26"/>
      <c r="AO883" s="26"/>
      <c r="AP883" s="26"/>
      <c r="AQ883" s="26"/>
      <c r="AR883" s="26"/>
      <c r="AS883" s="26"/>
      <c r="AT883" s="26"/>
      <c r="AU883" s="26"/>
      <c r="AV883" s="26"/>
      <c r="AW883" s="26"/>
      <c r="AX883" s="26"/>
      <c r="AY883" s="26"/>
      <c r="AZ883" s="26"/>
      <c r="BA883" s="26"/>
      <c r="BB883" s="26"/>
      <c r="BC883" s="26"/>
      <c r="BD883" s="26"/>
      <c r="BE883" s="26"/>
      <c r="BF883" s="26"/>
      <c r="BG883" s="26"/>
      <c r="BH883" s="26"/>
      <c r="BI883" s="26"/>
      <c r="BJ883" s="26"/>
      <c r="BK883" s="26"/>
    </row>
    <row r="884" ht="14.25" customHeight="1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  <c r="AA884" s="26"/>
      <c r="AB884" s="26"/>
      <c r="AC884" s="26"/>
      <c r="AD884" s="26"/>
      <c r="AE884" s="26"/>
      <c r="AF884" s="26"/>
      <c r="AG884" s="26"/>
      <c r="AH884" s="26"/>
      <c r="AI884" s="26"/>
      <c r="AJ884" s="26"/>
      <c r="AK884" s="26"/>
      <c r="AL884" s="26"/>
      <c r="AM884" s="26"/>
      <c r="AN884" s="26"/>
      <c r="AO884" s="26"/>
      <c r="AP884" s="26"/>
      <c r="AQ884" s="26"/>
      <c r="AR884" s="26"/>
      <c r="AS884" s="26"/>
      <c r="AT884" s="26"/>
      <c r="AU884" s="26"/>
      <c r="AV884" s="26"/>
      <c r="AW884" s="26"/>
      <c r="AX884" s="26"/>
      <c r="AY884" s="26"/>
      <c r="AZ884" s="26"/>
      <c r="BA884" s="26"/>
      <c r="BB884" s="26"/>
      <c r="BC884" s="26"/>
      <c r="BD884" s="26"/>
      <c r="BE884" s="26"/>
      <c r="BF884" s="26"/>
      <c r="BG884" s="26"/>
      <c r="BH884" s="26"/>
      <c r="BI884" s="26"/>
      <c r="BJ884" s="26"/>
      <c r="BK884" s="26"/>
    </row>
    <row r="885" ht="14.25" customHeight="1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  <c r="AA885" s="26"/>
      <c r="AB885" s="26"/>
      <c r="AC885" s="26"/>
      <c r="AD885" s="26"/>
      <c r="AE885" s="26"/>
      <c r="AF885" s="26"/>
      <c r="AG885" s="26"/>
      <c r="AH885" s="26"/>
      <c r="AI885" s="26"/>
      <c r="AJ885" s="26"/>
      <c r="AK885" s="26"/>
      <c r="AL885" s="26"/>
      <c r="AM885" s="26"/>
      <c r="AN885" s="26"/>
      <c r="AO885" s="26"/>
      <c r="AP885" s="26"/>
      <c r="AQ885" s="26"/>
      <c r="AR885" s="26"/>
      <c r="AS885" s="26"/>
      <c r="AT885" s="26"/>
      <c r="AU885" s="26"/>
      <c r="AV885" s="26"/>
      <c r="AW885" s="26"/>
      <c r="AX885" s="26"/>
      <c r="AY885" s="26"/>
      <c r="AZ885" s="26"/>
      <c r="BA885" s="26"/>
      <c r="BB885" s="26"/>
      <c r="BC885" s="26"/>
      <c r="BD885" s="26"/>
      <c r="BE885" s="26"/>
      <c r="BF885" s="26"/>
      <c r="BG885" s="26"/>
      <c r="BH885" s="26"/>
      <c r="BI885" s="26"/>
      <c r="BJ885" s="26"/>
      <c r="BK885" s="26"/>
    </row>
    <row r="886" ht="14.25" customHeight="1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  <c r="AA886" s="26"/>
      <c r="AB886" s="26"/>
      <c r="AC886" s="26"/>
      <c r="AD886" s="26"/>
      <c r="AE886" s="26"/>
      <c r="AF886" s="26"/>
      <c r="AG886" s="26"/>
      <c r="AH886" s="26"/>
      <c r="AI886" s="26"/>
      <c r="AJ886" s="26"/>
      <c r="AK886" s="26"/>
      <c r="AL886" s="26"/>
      <c r="AM886" s="26"/>
      <c r="AN886" s="26"/>
      <c r="AO886" s="26"/>
      <c r="AP886" s="26"/>
      <c r="AQ886" s="26"/>
      <c r="AR886" s="26"/>
      <c r="AS886" s="26"/>
      <c r="AT886" s="26"/>
      <c r="AU886" s="26"/>
      <c r="AV886" s="26"/>
      <c r="AW886" s="26"/>
      <c r="AX886" s="26"/>
      <c r="AY886" s="26"/>
      <c r="AZ886" s="26"/>
      <c r="BA886" s="26"/>
      <c r="BB886" s="26"/>
      <c r="BC886" s="26"/>
      <c r="BD886" s="26"/>
      <c r="BE886" s="26"/>
      <c r="BF886" s="26"/>
      <c r="BG886" s="26"/>
      <c r="BH886" s="26"/>
      <c r="BI886" s="26"/>
      <c r="BJ886" s="26"/>
      <c r="BK886" s="26"/>
    </row>
    <row r="887" ht="14.25" customHeight="1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  <c r="AA887" s="26"/>
      <c r="AB887" s="26"/>
      <c r="AC887" s="26"/>
      <c r="AD887" s="26"/>
      <c r="AE887" s="26"/>
      <c r="AF887" s="26"/>
      <c r="AG887" s="26"/>
      <c r="AH887" s="26"/>
      <c r="AI887" s="26"/>
      <c r="AJ887" s="26"/>
      <c r="AK887" s="26"/>
      <c r="AL887" s="26"/>
      <c r="AM887" s="26"/>
      <c r="AN887" s="26"/>
      <c r="AO887" s="26"/>
      <c r="AP887" s="26"/>
      <c r="AQ887" s="26"/>
      <c r="AR887" s="26"/>
      <c r="AS887" s="26"/>
      <c r="AT887" s="26"/>
      <c r="AU887" s="26"/>
      <c r="AV887" s="26"/>
      <c r="AW887" s="26"/>
      <c r="AX887" s="26"/>
      <c r="AY887" s="26"/>
      <c r="AZ887" s="26"/>
      <c r="BA887" s="26"/>
      <c r="BB887" s="26"/>
      <c r="BC887" s="26"/>
      <c r="BD887" s="26"/>
      <c r="BE887" s="26"/>
      <c r="BF887" s="26"/>
      <c r="BG887" s="26"/>
      <c r="BH887" s="26"/>
      <c r="BI887" s="26"/>
      <c r="BJ887" s="26"/>
      <c r="BK887" s="26"/>
    </row>
    <row r="888" ht="14.25" customHeight="1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  <c r="AA888" s="26"/>
      <c r="AB888" s="26"/>
      <c r="AC888" s="26"/>
      <c r="AD888" s="26"/>
      <c r="AE888" s="26"/>
      <c r="AF888" s="26"/>
      <c r="AG888" s="26"/>
      <c r="AH888" s="26"/>
      <c r="AI888" s="26"/>
      <c r="AJ888" s="26"/>
      <c r="AK888" s="26"/>
      <c r="AL888" s="26"/>
      <c r="AM888" s="26"/>
      <c r="AN888" s="26"/>
      <c r="AO888" s="26"/>
      <c r="AP888" s="26"/>
      <c r="AQ888" s="26"/>
      <c r="AR888" s="26"/>
      <c r="AS888" s="26"/>
      <c r="AT888" s="26"/>
      <c r="AU888" s="26"/>
      <c r="AV888" s="26"/>
      <c r="AW888" s="26"/>
      <c r="AX888" s="26"/>
      <c r="AY888" s="26"/>
      <c r="AZ888" s="26"/>
      <c r="BA888" s="26"/>
      <c r="BB888" s="26"/>
      <c r="BC888" s="26"/>
      <c r="BD888" s="26"/>
      <c r="BE888" s="26"/>
      <c r="BF888" s="26"/>
      <c r="BG888" s="26"/>
      <c r="BH888" s="26"/>
      <c r="BI888" s="26"/>
      <c r="BJ888" s="26"/>
      <c r="BK888" s="26"/>
    </row>
    <row r="889" ht="14.25" customHeight="1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  <c r="AA889" s="26"/>
      <c r="AB889" s="26"/>
      <c r="AC889" s="26"/>
      <c r="AD889" s="26"/>
      <c r="AE889" s="26"/>
      <c r="AF889" s="26"/>
      <c r="AG889" s="26"/>
      <c r="AH889" s="26"/>
      <c r="AI889" s="26"/>
      <c r="AJ889" s="26"/>
      <c r="AK889" s="26"/>
      <c r="AL889" s="26"/>
      <c r="AM889" s="26"/>
      <c r="AN889" s="26"/>
      <c r="AO889" s="26"/>
      <c r="AP889" s="26"/>
      <c r="AQ889" s="26"/>
      <c r="AR889" s="26"/>
      <c r="AS889" s="26"/>
      <c r="AT889" s="26"/>
      <c r="AU889" s="26"/>
      <c r="AV889" s="26"/>
      <c r="AW889" s="26"/>
      <c r="AX889" s="26"/>
      <c r="AY889" s="26"/>
      <c r="AZ889" s="26"/>
      <c r="BA889" s="26"/>
      <c r="BB889" s="26"/>
      <c r="BC889" s="26"/>
      <c r="BD889" s="26"/>
      <c r="BE889" s="26"/>
      <c r="BF889" s="26"/>
      <c r="BG889" s="26"/>
      <c r="BH889" s="26"/>
      <c r="BI889" s="26"/>
      <c r="BJ889" s="26"/>
      <c r="BK889" s="26"/>
    </row>
    <row r="890" ht="14.25" customHeight="1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  <c r="AA890" s="26"/>
      <c r="AB890" s="26"/>
      <c r="AC890" s="26"/>
      <c r="AD890" s="26"/>
      <c r="AE890" s="26"/>
      <c r="AF890" s="26"/>
      <c r="AG890" s="26"/>
      <c r="AH890" s="26"/>
      <c r="AI890" s="26"/>
      <c r="AJ890" s="26"/>
      <c r="AK890" s="26"/>
      <c r="AL890" s="26"/>
      <c r="AM890" s="26"/>
      <c r="AN890" s="26"/>
      <c r="AO890" s="26"/>
      <c r="AP890" s="26"/>
      <c r="AQ890" s="26"/>
      <c r="AR890" s="26"/>
      <c r="AS890" s="26"/>
      <c r="AT890" s="26"/>
      <c r="AU890" s="26"/>
      <c r="AV890" s="26"/>
      <c r="AW890" s="26"/>
      <c r="AX890" s="26"/>
      <c r="AY890" s="26"/>
      <c r="AZ890" s="26"/>
      <c r="BA890" s="26"/>
      <c r="BB890" s="26"/>
      <c r="BC890" s="26"/>
      <c r="BD890" s="26"/>
      <c r="BE890" s="26"/>
      <c r="BF890" s="26"/>
      <c r="BG890" s="26"/>
      <c r="BH890" s="26"/>
      <c r="BI890" s="26"/>
      <c r="BJ890" s="26"/>
      <c r="BK890" s="26"/>
    </row>
    <row r="891" ht="14.25" customHeight="1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  <c r="AA891" s="26"/>
      <c r="AB891" s="26"/>
      <c r="AC891" s="26"/>
      <c r="AD891" s="26"/>
      <c r="AE891" s="26"/>
      <c r="AF891" s="26"/>
      <c r="AG891" s="26"/>
      <c r="AH891" s="26"/>
      <c r="AI891" s="26"/>
      <c r="AJ891" s="26"/>
      <c r="AK891" s="26"/>
      <c r="AL891" s="26"/>
      <c r="AM891" s="26"/>
      <c r="AN891" s="26"/>
      <c r="AO891" s="26"/>
      <c r="AP891" s="26"/>
      <c r="AQ891" s="26"/>
      <c r="AR891" s="26"/>
      <c r="AS891" s="26"/>
      <c r="AT891" s="26"/>
      <c r="AU891" s="26"/>
      <c r="AV891" s="26"/>
      <c r="AW891" s="26"/>
      <c r="AX891" s="26"/>
      <c r="AY891" s="26"/>
      <c r="AZ891" s="26"/>
      <c r="BA891" s="26"/>
      <c r="BB891" s="26"/>
      <c r="BC891" s="26"/>
      <c r="BD891" s="26"/>
      <c r="BE891" s="26"/>
      <c r="BF891" s="26"/>
      <c r="BG891" s="26"/>
      <c r="BH891" s="26"/>
      <c r="BI891" s="26"/>
      <c r="BJ891" s="26"/>
      <c r="BK891" s="26"/>
    </row>
    <row r="892" ht="14.25" customHeight="1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  <c r="AA892" s="26"/>
      <c r="AB892" s="26"/>
      <c r="AC892" s="26"/>
      <c r="AD892" s="26"/>
      <c r="AE892" s="26"/>
      <c r="AF892" s="26"/>
      <c r="AG892" s="26"/>
      <c r="AH892" s="26"/>
      <c r="AI892" s="26"/>
      <c r="AJ892" s="26"/>
      <c r="AK892" s="26"/>
      <c r="AL892" s="26"/>
      <c r="AM892" s="26"/>
      <c r="AN892" s="26"/>
      <c r="AO892" s="26"/>
      <c r="AP892" s="26"/>
      <c r="AQ892" s="26"/>
      <c r="AR892" s="26"/>
      <c r="AS892" s="26"/>
      <c r="AT892" s="26"/>
      <c r="AU892" s="26"/>
      <c r="AV892" s="26"/>
      <c r="AW892" s="26"/>
      <c r="AX892" s="26"/>
      <c r="AY892" s="26"/>
      <c r="AZ892" s="26"/>
      <c r="BA892" s="26"/>
      <c r="BB892" s="26"/>
      <c r="BC892" s="26"/>
      <c r="BD892" s="26"/>
      <c r="BE892" s="26"/>
      <c r="BF892" s="26"/>
      <c r="BG892" s="26"/>
      <c r="BH892" s="26"/>
      <c r="BI892" s="26"/>
      <c r="BJ892" s="26"/>
      <c r="BK892" s="26"/>
    </row>
    <row r="893" ht="14.25" customHeight="1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  <c r="AA893" s="26"/>
      <c r="AB893" s="26"/>
      <c r="AC893" s="26"/>
      <c r="AD893" s="26"/>
      <c r="AE893" s="26"/>
      <c r="AF893" s="26"/>
      <c r="AG893" s="26"/>
      <c r="AH893" s="26"/>
      <c r="AI893" s="26"/>
      <c r="AJ893" s="26"/>
      <c r="AK893" s="26"/>
      <c r="AL893" s="26"/>
      <c r="AM893" s="26"/>
      <c r="AN893" s="26"/>
      <c r="AO893" s="26"/>
      <c r="AP893" s="26"/>
      <c r="AQ893" s="26"/>
      <c r="AR893" s="26"/>
      <c r="AS893" s="26"/>
      <c r="AT893" s="26"/>
      <c r="AU893" s="26"/>
      <c r="AV893" s="26"/>
      <c r="AW893" s="26"/>
      <c r="AX893" s="26"/>
      <c r="AY893" s="26"/>
      <c r="AZ893" s="26"/>
      <c r="BA893" s="26"/>
      <c r="BB893" s="26"/>
      <c r="BC893" s="26"/>
      <c r="BD893" s="26"/>
      <c r="BE893" s="26"/>
      <c r="BF893" s="26"/>
      <c r="BG893" s="26"/>
      <c r="BH893" s="26"/>
      <c r="BI893" s="26"/>
      <c r="BJ893" s="26"/>
      <c r="BK893" s="26"/>
    </row>
    <row r="894" ht="14.25" customHeight="1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  <c r="AA894" s="26"/>
      <c r="AB894" s="26"/>
      <c r="AC894" s="26"/>
      <c r="AD894" s="26"/>
      <c r="AE894" s="26"/>
      <c r="AF894" s="26"/>
      <c r="AG894" s="26"/>
      <c r="AH894" s="26"/>
      <c r="AI894" s="26"/>
      <c r="AJ894" s="26"/>
      <c r="AK894" s="26"/>
      <c r="AL894" s="26"/>
      <c r="AM894" s="26"/>
      <c r="AN894" s="26"/>
      <c r="AO894" s="26"/>
      <c r="AP894" s="26"/>
      <c r="AQ894" s="26"/>
      <c r="AR894" s="26"/>
      <c r="AS894" s="26"/>
      <c r="AT894" s="26"/>
      <c r="AU894" s="26"/>
      <c r="AV894" s="26"/>
      <c r="AW894" s="26"/>
      <c r="AX894" s="26"/>
      <c r="AY894" s="26"/>
      <c r="AZ894" s="26"/>
      <c r="BA894" s="26"/>
      <c r="BB894" s="26"/>
      <c r="BC894" s="26"/>
      <c r="BD894" s="26"/>
      <c r="BE894" s="26"/>
      <c r="BF894" s="26"/>
      <c r="BG894" s="26"/>
      <c r="BH894" s="26"/>
      <c r="BI894" s="26"/>
      <c r="BJ894" s="26"/>
      <c r="BK894" s="26"/>
    </row>
    <row r="895" ht="14.25" customHeight="1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  <c r="AA895" s="26"/>
      <c r="AB895" s="26"/>
      <c r="AC895" s="26"/>
      <c r="AD895" s="26"/>
      <c r="AE895" s="26"/>
      <c r="AF895" s="26"/>
      <c r="AG895" s="26"/>
      <c r="AH895" s="26"/>
      <c r="AI895" s="26"/>
      <c r="AJ895" s="26"/>
      <c r="AK895" s="26"/>
      <c r="AL895" s="26"/>
      <c r="AM895" s="26"/>
      <c r="AN895" s="26"/>
      <c r="AO895" s="26"/>
      <c r="AP895" s="26"/>
      <c r="AQ895" s="26"/>
      <c r="AR895" s="26"/>
      <c r="AS895" s="26"/>
      <c r="AT895" s="26"/>
      <c r="AU895" s="26"/>
      <c r="AV895" s="26"/>
      <c r="AW895" s="26"/>
      <c r="AX895" s="26"/>
      <c r="AY895" s="26"/>
      <c r="AZ895" s="26"/>
      <c r="BA895" s="26"/>
      <c r="BB895" s="26"/>
      <c r="BC895" s="26"/>
      <c r="BD895" s="26"/>
      <c r="BE895" s="26"/>
      <c r="BF895" s="26"/>
      <c r="BG895" s="26"/>
      <c r="BH895" s="26"/>
      <c r="BI895" s="26"/>
      <c r="BJ895" s="26"/>
      <c r="BK895" s="26"/>
    </row>
    <row r="896" ht="14.25" customHeight="1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  <c r="AA896" s="26"/>
      <c r="AB896" s="26"/>
      <c r="AC896" s="26"/>
      <c r="AD896" s="26"/>
      <c r="AE896" s="26"/>
      <c r="AF896" s="26"/>
      <c r="AG896" s="26"/>
      <c r="AH896" s="26"/>
      <c r="AI896" s="26"/>
      <c r="AJ896" s="26"/>
      <c r="AK896" s="26"/>
      <c r="AL896" s="26"/>
      <c r="AM896" s="26"/>
      <c r="AN896" s="26"/>
      <c r="AO896" s="26"/>
      <c r="AP896" s="26"/>
      <c r="AQ896" s="26"/>
      <c r="AR896" s="26"/>
      <c r="AS896" s="26"/>
      <c r="AT896" s="26"/>
      <c r="AU896" s="26"/>
      <c r="AV896" s="26"/>
      <c r="AW896" s="26"/>
      <c r="AX896" s="26"/>
      <c r="AY896" s="26"/>
      <c r="AZ896" s="26"/>
      <c r="BA896" s="26"/>
      <c r="BB896" s="26"/>
      <c r="BC896" s="26"/>
      <c r="BD896" s="26"/>
      <c r="BE896" s="26"/>
      <c r="BF896" s="26"/>
      <c r="BG896" s="26"/>
      <c r="BH896" s="26"/>
      <c r="BI896" s="26"/>
      <c r="BJ896" s="26"/>
      <c r="BK896" s="26"/>
    </row>
    <row r="897" ht="14.25" customHeight="1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  <c r="AA897" s="26"/>
      <c r="AB897" s="26"/>
      <c r="AC897" s="26"/>
      <c r="AD897" s="26"/>
      <c r="AE897" s="26"/>
      <c r="AF897" s="26"/>
      <c r="AG897" s="26"/>
      <c r="AH897" s="26"/>
      <c r="AI897" s="26"/>
      <c r="AJ897" s="26"/>
      <c r="AK897" s="26"/>
      <c r="AL897" s="26"/>
      <c r="AM897" s="26"/>
      <c r="AN897" s="26"/>
      <c r="AO897" s="26"/>
      <c r="AP897" s="26"/>
      <c r="AQ897" s="26"/>
      <c r="AR897" s="26"/>
      <c r="AS897" s="26"/>
      <c r="AT897" s="26"/>
      <c r="AU897" s="26"/>
      <c r="AV897" s="26"/>
      <c r="AW897" s="26"/>
      <c r="AX897" s="26"/>
      <c r="AY897" s="26"/>
      <c r="AZ897" s="26"/>
      <c r="BA897" s="26"/>
      <c r="BB897" s="26"/>
      <c r="BC897" s="26"/>
      <c r="BD897" s="26"/>
      <c r="BE897" s="26"/>
      <c r="BF897" s="26"/>
      <c r="BG897" s="26"/>
      <c r="BH897" s="26"/>
      <c r="BI897" s="26"/>
      <c r="BJ897" s="26"/>
      <c r="BK897" s="26"/>
    </row>
    <row r="898" ht="14.25" customHeight="1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  <c r="AA898" s="26"/>
      <c r="AB898" s="26"/>
      <c r="AC898" s="26"/>
      <c r="AD898" s="26"/>
      <c r="AE898" s="26"/>
      <c r="AF898" s="26"/>
      <c r="AG898" s="26"/>
      <c r="AH898" s="26"/>
      <c r="AI898" s="26"/>
      <c r="AJ898" s="26"/>
      <c r="AK898" s="26"/>
      <c r="AL898" s="26"/>
      <c r="AM898" s="26"/>
      <c r="AN898" s="26"/>
      <c r="AO898" s="26"/>
      <c r="AP898" s="26"/>
      <c r="AQ898" s="26"/>
      <c r="AR898" s="26"/>
      <c r="AS898" s="26"/>
      <c r="AT898" s="26"/>
      <c r="AU898" s="26"/>
      <c r="AV898" s="26"/>
      <c r="AW898" s="26"/>
      <c r="AX898" s="26"/>
      <c r="AY898" s="26"/>
      <c r="AZ898" s="26"/>
      <c r="BA898" s="26"/>
      <c r="BB898" s="26"/>
      <c r="BC898" s="26"/>
      <c r="BD898" s="26"/>
      <c r="BE898" s="26"/>
      <c r="BF898" s="26"/>
      <c r="BG898" s="26"/>
      <c r="BH898" s="26"/>
      <c r="BI898" s="26"/>
      <c r="BJ898" s="26"/>
      <c r="BK898" s="26"/>
    </row>
    <row r="899" ht="14.25" customHeight="1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  <c r="AA899" s="26"/>
      <c r="AB899" s="26"/>
      <c r="AC899" s="26"/>
      <c r="AD899" s="26"/>
      <c r="AE899" s="26"/>
      <c r="AF899" s="26"/>
      <c r="AG899" s="26"/>
      <c r="AH899" s="26"/>
      <c r="AI899" s="26"/>
      <c r="AJ899" s="26"/>
      <c r="AK899" s="26"/>
      <c r="AL899" s="26"/>
      <c r="AM899" s="26"/>
      <c r="AN899" s="26"/>
      <c r="AO899" s="26"/>
      <c r="AP899" s="26"/>
      <c r="AQ899" s="26"/>
      <c r="AR899" s="26"/>
      <c r="AS899" s="26"/>
      <c r="AT899" s="26"/>
      <c r="AU899" s="26"/>
      <c r="AV899" s="26"/>
      <c r="AW899" s="26"/>
      <c r="AX899" s="26"/>
      <c r="AY899" s="26"/>
      <c r="AZ899" s="26"/>
      <c r="BA899" s="26"/>
      <c r="BB899" s="26"/>
      <c r="BC899" s="26"/>
      <c r="BD899" s="26"/>
      <c r="BE899" s="26"/>
      <c r="BF899" s="26"/>
      <c r="BG899" s="26"/>
      <c r="BH899" s="26"/>
      <c r="BI899" s="26"/>
      <c r="BJ899" s="26"/>
      <c r="BK899" s="26"/>
    </row>
    <row r="900" ht="14.25" customHeight="1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  <c r="AA900" s="26"/>
      <c r="AB900" s="26"/>
      <c r="AC900" s="26"/>
      <c r="AD900" s="26"/>
      <c r="AE900" s="26"/>
      <c r="AF900" s="26"/>
      <c r="AG900" s="26"/>
      <c r="AH900" s="26"/>
      <c r="AI900" s="26"/>
      <c r="AJ900" s="26"/>
      <c r="AK900" s="26"/>
      <c r="AL900" s="26"/>
      <c r="AM900" s="26"/>
      <c r="AN900" s="26"/>
      <c r="AO900" s="26"/>
      <c r="AP900" s="26"/>
      <c r="AQ900" s="26"/>
      <c r="AR900" s="26"/>
      <c r="AS900" s="26"/>
      <c r="AT900" s="26"/>
      <c r="AU900" s="26"/>
      <c r="AV900" s="26"/>
      <c r="AW900" s="26"/>
      <c r="AX900" s="26"/>
      <c r="AY900" s="26"/>
      <c r="AZ900" s="26"/>
      <c r="BA900" s="26"/>
      <c r="BB900" s="26"/>
      <c r="BC900" s="26"/>
      <c r="BD900" s="26"/>
      <c r="BE900" s="26"/>
      <c r="BF900" s="26"/>
      <c r="BG900" s="26"/>
      <c r="BH900" s="26"/>
      <c r="BI900" s="26"/>
      <c r="BJ900" s="26"/>
      <c r="BK900" s="26"/>
    </row>
    <row r="901" ht="14.25" customHeight="1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  <c r="AA901" s="26"/>
      <c r="AB901" s="26"/>
      <c r="AC901" s="26"/>
      <c r="AD901" s="26"/>
      <c r="AE901" s="26"/>
      <c r="AF901" s="26"/>
      <c r="AG901" s="26"/>
      <c r="AH901" s="26"/>
      <c r="AI901" s="26"/>
      <c r="AJ901" s="26"/>
      <c r="AK901" s="26"/>
      <c r="AL901" s="26"/>
      <c r="AM901" s="26"/>
      <c r="AN901" s="26"/>
      <c r="AO901" s="26"/>
      <c r="AP901" s="26"/>
      <c r="AQ901" s="26"/>
      <c r="AR901" s="26"/>
      <c r="AS901" s="26"/>
      <c r="AT901" s="26"/>
      <c r="AU901" s="26"/>
      <c r="AV901" s="26"/>
      <c r="AW901" s="26"/>
      <c r="AX901" s="26"/>
      <c r="AY901" s="26"/>
      <c r="AZ901" s="26"/>
      <c r="BA901" s="26"/>
      <c r="BB901" s="26"/>
      <c r="BC901" s="26"/>
      <c r="BD901" s="26"/>
      <c r="BE901" s="26"/>
      <c r="BF901" s="26"/>
      <c r="BG901" s="26"/>
      <c r="BH901" s="26"/>
      <c r="BI901" s="26"/>
      <c r="BJ901" s="26"/>
      <c r="BK901" s="26"/>
    </row>
    <row r="902" ht="14.25" customHeight="1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  <c r="AA902" s="26"/>
      <c r="AB902" s="26"/>
      <c r="AC902" s="26"/>
      <c r="AD902" s="26"/>
      <c r="AE902" s="26"/>
      <c r="AF902" s="26"/>
      <c r="AG902" s="26"/>
      <c r="AH902" s="26"/>
      <c r="AI902" s="26"/>
      <c r="AJ902" s="26"/>
      <c r="AK902" s="26"/>
      <c r="AL902" s="26"/>
      <c r="AM902" s="26"/>
      <c r="AN902" s="26"/>
      <c r="AO902" s="26"/>
      <c r="AP902" s="26"/>
      <c r="AQ902" s="26"/>
      <c r="AR902" s="26"/>
      <c r="AS902" s="26"/>
      <c r="AT902" s="26"/>
      <c r="AU902" s="26"/>
      <c r="AV902" s="26"/>
      <c r="AW902" s="26"/>
      <c r="AX902" s="26"/>
      <c r="AY902" s="26"/>
      <c r="AZ902" s="26"/>
      <c r="BA902" s="26"/>
      <c r="BB902" s="26"/>
      <c r="BC902" s="26"/>
      <c r="BD902" s="26"/>
      <c r="BE902" s="26"/>
      <c r="BF902" s="26"/>
      <c r="BG902" s="26"/>
      <c r="BH902" s="26"/>
      <c r="BI902" s="26"/>
      <c r="BJ902" s="26"/>
      <c r="BK902" s="26"/>
    </row>
    <row r="903" ht="14.25" customHeight="1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  <c r="AA903" s="26"/>
      <c r="AB903" s="26"/>
      <c r="AC903" s="26"/>
      <c r="AD903" s="26"/>
      <c r="AE903" s="26"/>
      <c r="AF903" s="26"/>
      <c r="AG903" s="26"/>
      <c r="AH903" s="26"/>
      <c r="AI903" s="26"/>
      <c r="AJ903" s="26"/>
      <c r="AK903" s="26"/>
      <c r="AL903" s="26"/>
      <c r="AM903" s="26"/>
      <c r="AN903" s="26"/>
      <c r="AO903" s="26"/>
      <c r="AP903" s="26"/>
      <c r="AQ903" s="26"/>
      <c r="AR903" s="26"/>
      <c r="AS903" s="26"/>
      <c r="AT903" s="26"/>
      <c r="AU903" s="26"/>
      <c r="AV903" s="26"/>
      <c r="AW903" s="26"/>
      <c r="AX903" s="26"/>
      <c r="AY903" s="26"/>
      <c r="AZ903" s="26"/>
      <c r="BA903" s="26"/>
      <c r="BB903" s="26"/>
      <c r="BC903" s="26"/>
      <c r="BD903" s="26"/>
      <c r="BE903" s="26"/>
      <c r="BF903" s="26"/>
      <c r="BG903" s="26"/>
      <c r="BH903" s="26"/>
      <c r="BI903" s="26"/>
      <c r="BJ903" s="26"/>
      <c r="BK903" s="26"/>
    </row>
    <row r="904" ht="14.25" customHeight="1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  <c r="AA904" s="26"/>
      <c r="AB904" s="26"/>
      <c r="AC904" s="26"/>
      <c r="AD904" s="26"/>
      <c r="AE904" s="26"/>
      <c r="AF904" s="26"/>
      <c r="AG904" s="26"/>
      <c r="AH904" s="26"/>
      <c r="AI904" s="26"/>
      <c r="AJ904" s="26"/>
      <c r="AK904" s="26"/>
      <c r="AL904" s="26"/>
      <c r="AM904" s="26"/>
      <c r="AN904" s="26"/>
      <c r="AO904" s="26"/>
      <c r="AP904" s="26"/>
      <c r="AQ904" s="26"/>
      <c r="AR904" s="26"/>
      <c r="AS904" s="26"/>
      <c r="AT904" s="26"/>
      <c r="AU904" s="26"/>
      <c r="AV904" s="26"/>
      <c r="AW904" s="26"/>
      <c r="AX904" s="26"/>
      <c r="AY904" s="26"/>
      <c r="AZ904" s="26"/>
      <c r="BA904" s="26"/>
      <c r="BB904" s="26"/>
      <c r="BC904" s="26"/>
      <c r="BD904" s="26"/>
      <c r="BE904" s="26"/>
      <c r="BF904" s="26"/>
      <c r="BG904" s="26"/>
      <c r="BH904" s="26"/>
      <c r="BI904" s="26"/>
      <c r="BJ904" s="26"/>
      <c r="BK904" s="26"/>
    </row>
    <row r="905" ht="14.25" customHeight="1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  <c r="AA905" s="26"/>
      <c r="AB905" s="26"/>
      <c r="AC905" s="26"/>
      <c r="AD905" s="26"/>
      <c r="AE905" s="26"/>
      <c r="AF905" s="26"/>
      <c r="AG905" s="26"/>
      <c r="AH905" s="26"/>
      <c r="AI905" s="26"/>
      <c r="AJ905" s="26"/>
      <c r="AK905" s="26"/>
      <c r="AL905" s="26"/>
      <c r="AM905" s="26"/>
      <c r="AN905" s="26"/>
      <c r="AO905" s="26"/>
      <c r="AP905" s="26"/>
      <c r="AQ905" s="26"/>
      <c r="AR905" s="26"/>
      <c r="AS905" s="26"/>
      <c r="AT905" s="26"/>
      <c r="AU905" s="26"/>
      <c r="AV905" s="26"/>
      <c r="AW905" s="26"/>
      <c r="AX905" s="26"/>
      <c r="AY905" s="26"/>
      <c r="AZ905" s="26"/>
      <c r="BA905" s="26"/>
      <c r="BB905" s="26"/>
      <c r="BC905" s="26"/>
      <c r="BD905" s="26"/>
      <c r="BE905" s="26"/>
      <c r="BF905" s="26"/>
      <c r="BG905" s="26"/>
      <c r="BH905" s="26"/>
      <c r="BI905" s="26"/>
      <c r="BJ905" s="26"/>
      <c r="BK905" s="26"/>
    </row>
    <row r="906" ht="14.25" customHeight="1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  <c r="AA906" s="26"/>
      <c r="AB906" s="26"/>
      <c r="AC906" s="26"/>
      <c r="AD906" s="26"/>
      <c r="AE906" s="26"/>
      <c r="AF906" s="26"/>
      <c r="AG906" s="26"/>
      <c r="AH906" s="26"/>
      <c r="AI906" s="26"/>
      <c r="AJ906" s="26"/>
      <c r="AK906" s="26"/>
      <c r="AL906" s="26"/>
      <c r="AM906" s="26"/>
      <c r="AN906" s="26"/>
      <c r="AO906" s="26"/>
      <c r="AP906" s="26"/>
      <c r="AQ906" s="26"/>
      <c r="AR906" s="26"/>
      <c r="AS906" s="26"/>
      <c r="AT906" s="26"/>
      <c r="AU906" s="26"/>
      <c r="AV906" s="26"/>
      <c r="AW906" s="26"/>
      <c r="AX906" s="26"/>
      <c r="AY906" s="26"/>
      <c r="AZ906" s="26"/>
      <c r="BA906" s="26"/>
      <c r="BB906" s="26"/>
      <c r="BC906" s="26"/>
      <c r="BD906" s="26"/>
      <c r="BE906" s="26"/>
      <c r="BF906" s="26"/>
      <c r="BG906" s="26"/>
      <c r="BH906" s="26"/>
      <c r="BI906" s="26"/>
      <c r="BJ906" s="26"/>
      <c r="BK906" s="26"/>
    </row>
    <row r="907" ht="14.25" customHeight="1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  <c r="AA907" s="26"/>
      <c r="AB907" s="26"/>
      <c r="AC907" s="26"/>
      <c r="AD907" s="26"/>
      <c r="AE907" s="26"/>
      <c r="AF907" s="26"/>
      <c r="AG907" s="26"/>
      <c r="AH907" s="26"/>
      <c r="AI907" s="26"/>
      <c r="AJ907" s="26"/>
      <c r="AK907" s="26"/>
      <c r="AL907" s="26"/>
      <c r="AM907" s="26"/>
      <c r="AN907" s="26"/>
      <c r="AO907" s="26"/>
      <c r="AP907" s="26"/>
      <c r="AQ907" s="26"/>
      <c r="AR907" s="26"/>
      <c r="AS907" s="26"/>
      <c r="AT907" s="26"/>
      <c r="AU907" s="26"/>
      <c r="AV907" s="26"/>
      <c r="AW907" s="26"/>
      <c r="AX907" s="26"/>
      <c r="AY907" s="26"/>
      <c r="AZ907" s="26"/>
      <c r="BA907" s="26"/>
      <c r="BB907" s="26"/>
      <c r="BC907" s="26"/>
      <c r="BD907" s="26"/>
      <c r="BE907" s="26"/>
      <c r="BF907" s="26"/>
      <c r="BG907" s="26"/>
      <c r="BH907" s="26"/>
      <c r="BI907" s="26"/>
      <c r="BJ907" s="26"/>
      <c r="BK907" s="26"/>
    </row>
    <row r="908" ht="14.25" customHeight="1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  <c r="AA908" s="26"/>
      <c r="AB908" s="26"/>
      <c r="AC908" s="26"/>
      <c r="AD908" s="26"/>
      <c r="AE908" s="26"/>
      <c r="AF908" s="26"/>
      <c r="AG908" s="26"/>
      <c r="AH908" s="26"/>
      <c r="AI908" s="26"/>
      <c r="AJ908" s="26"/>
      <c r="AK908" s="26"/>
      <c r="AL908" s="26"/>
      <c r="AM908" s="26"/>
      <c r="AN908" s="26"/>
      <c r="AO908" s="26"/>
      <c r="AP908" s="26"/>
      <c r="AQ908" s="26"/>
      <c r="AR908" s="26"/>
      <c r="AS908" s="26"/>
      <c r="AT908" s="26"/>
      <c r="AU908" s="26"/>
      <c r="AV908" s="26"/>
      <c r="AW908" s="26"/>
      <c r="AX908" s="26"/>
      <c r="AY908" s="26"/>
      <c r="AZ908" s="26"/>
      <c r="BA908" s="26"/>
      <c r="BB908" s="26"/>
      <c r="BC908" s="26"/>
      <c r="BD908" s="26"/>
      <c r="BE908" s="26"/>
      <c r="BF908" s="26"/>
      <c r="BG908" s="26"/>
      <c r="BH908" s="26"/>
      <c r="BI908" s="26"/>
      <c r="BJ908" s="26"/>
      <c r="BK908" s="26"/>
    </row>
    <row r="909" ht="14.25" customHeight="1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  <c r="AA909" s="26"/>
      <c r="AB909" s="26"/>
      <c r="AC909" s="26"/>
      <c r="AD909" s="26"/>
      <c r="AE909" s="26"/>
      <c r="AF909" s="26"/>
      <c r="AG909" s="26"/>
      <c r="AH909" s="26"/>
      <c r="AI909" s="26"/>
      <c r="AJ909" s="26"/>
      <c r="AK909" s="26"/>
      <c r="AL909" s="26"/>
      <c r="AM909" s="26"/>
      <c r="AN909" s="26"/>
      <c r="AO909" s="26"/>
      <c r="AP909" s="26"/>
      <c r="AQ909" s="26"/>
      <c r="AR909" s="26"/>
      <c r="AS909" s="26"/>
      <c r="AT909" s="26"/>
      <c r="AU909" s="26"/>
      <c r="AV909" s="26"/>
      <c r="AW909" s="26"/>
      <c r="AX909" s="26"/>
      <c r="AY909" s="26"/>
      <c r="AZ909" s="26"/>
      <c r="BA909" s="26"/>
      <c r="BB909" s="26"/>
      <c r="BC909" s="26"/>
      <c r="BD909" s="26"/>
      <c r="BE909" s="26"/>
      <c r="BF909" s="26"/>
      <c r="BG909" s="26"/>
      <c r="BH909" s="26"/>
      <c r="BI909" s="26"/>
      <c r="BJ909" s="26"/>
      <c r="BK909" s="26"/>
    </row>
    <row r="910" ht="14.25" customHeight="1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  <c r="AA910" s="26"/>
      <c r="AB910" s="26"/>
      <c r="AC910" s="26"/>
      <c r="AD910" s="26"/>
      <c r="AE910" s="26"/>
      <c r="AF910" s="26"/>
      <c r="AG910" s="26"/>
      <c r="AH910" s="26"/>
      <c r="AI910" s="26"/>
      <c r="AJ910" s="26"/>
      <c r="AK910" s="26"/>
      <c r="AL910" s="26"/>
      <c r="AM910" s="26"/>
      <c r="AN910" s="26"/>
      <c r="AO910" s="26"/>
      <c r="AP910" s="26"/>
      <c r="AQ910" s="26"/>
      <c r="AR910" s="26"/>
      <c r="AS910" s="26"/>
      <c r="AT910" s="26"/>
      <c r="AU910" s="26"/>
      <c r="AV910" s="26"/>
      <c r="AW910" s="26"/>
      <c r="AX910" s="26"/>
      <c r="AY910" s="26"/>
      <c r="AZ910" s="26"/>
      <c r="BA910" s="26"/>
      <c r="BB910" s="26"/>
      <c r="BC910" s="26"/>
      <c r="BD910" s="26"/>
      <c r="BE910" s="26"/>
      <c r="BF910" s="26"/>
      <c r="BG910" s="26"/>
      <c r="BH910" s="26"/>
      <c r="BI910" s="26"/>
      <c r="BJ910" s="26"/>
      <c r="BK910" s="26"/>
    </row>
    <row r="911" ht="14.25" customHeight="1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  <c r="AA911" s="26"/>
      <c r="AB911" s="26"/>
      <c r="AC911" s="26"/>
      <c r="AD911" s="26"/>
      <c r="AE911" s="26"/>
      <c r="AF911" s="26"/>
      <c r="AG911" s="26"/>
      <c r="AH911" s="26"/>
      <c r="AI911" s="26"/>
      <c r="AJ911" s="26"/>
      <c r="AK911" s="26"/>
      <c r="AL911" s="26"/>
      <c r="AM911" s="26"/>
      <c r="AN911" s="26"/>
      <c r="AO911" s="26"/>
      <c r="AP911" s="26"/>
      <c r="AQ911" s="26"/>
      <c r="AR911" s="26"/>
      <c r="AS911" s="26"/>
      <c r="AT911" s="26"/>
      <c r="AU911" s="26"/>
      <c r="AV911" s="26"/>
      <c r="AW911" s="26"/>
      <c r="AX911" s="26"/>
      <c r="AY911" s="26"/>
      <c r="AZ911" s="26"/>
      <c r="BA911" s="26"/>
      <c r="BB911" s="26"/>
      <c r="BC911" s="26"/>
      <c r="BD911" s="26"/>
      <c r="BE911" s="26"/>
      <c r="BF911" s="26"/>
      <c r="BG911" s="26"/>
      <c r="BH911" s="26"/>
      <c r="BI911" s="26"/>
      <c r="BJ911" s="26"/>
      <c r="BK911" s="26"/>
    </row>
    <row r="912" ht="14.25" customHeight="1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  <c r="AA912" s="26"/>
      <c r="AB912" s="26"/>
      <c r="AC912" s="26"/>
      <c r="AD912" s="26"/>
      <c r="AE912" s="26"/>
      <c r="AF912" s="26"/>
      <c r="AG912" s="26"/>
      <c r="AH912" s="26"/>
      <c r="AI912" s="26"/>
      <c r="AJ912" s="26"/>
      <c r="AK912" s="26"/>
      <c r="AL912" s="26"/>
      <c r="AM912" s="26"/>
      <c r="AN912" s="26"/>
      <c r="AO912" s="26"/>
      <c r="AP912" s="26"/>
      <c r="AQ912" s="26"/>
      <c r="AR912" s="26"/>
      <c r="AS912" s="26"/>
      <c r="AT912" s="26"/>
      <c r="AU912" s="26"/>
      <c r="AV912" s="26"/>
      <c r="AW912" s="26"/>
      <c r="AX912" s="26"/>
      <c r="AY912" s="26"/>
      <c r="AZ912" s="26"/>
      <c r="BA912" s="26"/>
      <c r="BB912" s="26"/>
      <c r="BC912" s="26"/>
      <c r="BD912" s="26"/>
      <c r="BE912" s="26"/>
      <c r="BF912" s="26"/>
      <c r="BG912" s="26"/>
      <c r="BH912" s="26"/>
      <c r="BI912" s="26"/>
      <c r="BJ912" s="26"/>
      <c r="BK912" s="26"/>
    </row>
    <row r="913" ht="14.25" customHeight="1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  <c r="AA913" s="26"/>
      <c r="AB913" s="26"/>
      <c r="AC913" s="26"/>
      <c r="AD913" s="26"/>
      <c r="AE913" s="26"/>
      <c r="AF913" s="26"/>
      <c r="AG913" s="26"/>
      <c r="AH913" s="26"/>
      <c r="AI913" s="26"/>
      <c r="AJ913" s="26"/>
      <c r="AK913" s="26"/>
      <c r="AL913" s="26"/>
      <c r="AM913" s="26"/>
      <c r="AN913" s="26"/>
      <c r="AO913" s="26"/>
      <c r="AP913" s="26"/>
      <c r="AQ913" s="26"/>
      <c r="AR913" s="26"/>
      <c r="AS913" s="26"/>
      <c r="AT913" s="26"/>
      <c r="AU913" s="26"/>
      <c r="AV913" s="26"/>
      <c r="AW913" s="26"/>
      <c r="AX913" s="26"/>
      <c r="AY913" s="26"/>
      <c r="AZ913" s="26"/>
      <c r="BA913" s="26"/>
      <c r="BB913" s="26"/>
      <c r="BC913" s="26"/>
      <c r="BD913" s="26"/>
      <c r="BE913" s="26"/>
      <c r="BF913" s="26"/>
      <c r="BG913" s="26"/>
      <c r="BH913" s="26"/>
      <c r="BI913" s="26"/>
      <c r="BJ913" s="26"/>
      <c r="BK913" s="26"/>
    </row>
    <row r="914" ht="14.25" customHeight="1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  <c r="AA914" s="26"/>
      <c r="AB914" s="26"/>
      <c r="AC914" s="26"/>
      <c r="AD914" s="26"/>
      <c r="AE914" s="26"/>
      <c r="AF914" s="26"/>
      <c r="AG914" s="26"/>
      <c r="AH914" s="26"/>
      <c r="AI914" s="26"/>
      <c r="AJ914" s="26"/>
      <c r="AK914" s="26"/>
      <c r="AL914" s="26"/>
      <c r="AM914" s="26"/>
      <c r="AN914" s="26"/>
      <c r="AO914" s="26"/>
      <c r="AP914" s="26"/>
      <c r="AQ914" s="26"/>
      <c r="AR914" s="26"/>
      <c r="AS914" s="26"/>
      <c r="AT914" s="26"/>
      <c r="AU914" s="26"/>
      <c r="AV914" s="26"/>
      <c r="AW914" s="26"/>
      <c r="AX914" s="26"/>
      <c r="AY914" s="26"/>
      <c r="AZ914" s="26"/>
      <c r="BA914" s="26"/>
      <c r="BB914" s="26"/>
      <c r="BC914" s="26"/>
      <c r="BD914" s="26"/>
      <c r="BE914" s="26"/>
      <c r="BF914" s="26"/>
      <c r="BG914" s="26"/>
      <c r="BH914" s="26"/>
      <c r="BI914" s="26"/>
      <c r="BJ914" s="26"/>
      <c r="BK914" s="26"/>
    </row>
    <row r="915" ht="14.25" customHeight="1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  <c r="AA915" s="26"/>
      <c r="AB915" s="26"/>
      <c r="AC915" s="26"/>
      <c r="AD915" s="26"/>
      <c r="AE915" s="26"/>
      <c r="AF915" s="26"/>
      <c r="AG915" s="26"/>
      <c r="AH915" s="26"/>
      <c r="AI915" s="26"/>
      <c r="AJ915" s="26"/>
      <c r="AK915" s="26"/>
      <c r="AL915" s="26"/>
      <c r="AM915" s="26"/>
      <c r="AN915" s="26"/>
      <c r="AO915" s="26"/>
      <c r="AP915" s="26"/>
      <c r="AQ915" s="26"/>
      <c r="AR915" s="26"/>
      <c r="AS915" s="26"/>
      <c r="AT915" s="26"/>
      <c r="AU915" s="26"/>
      <c r="AV915" s="26"/>
      <c r="AW915" s="26"/>
      <c r="AX915" s="26"/>
      <c r="AY915" s="26"/>
      <c r="AZ915" s="26"/>
      <c r="BA915" s="26"/>
      <c r="BB915" s="26"/>
      <c r="BC915" s="26"/>
      <c r="BD915" s="26"/>
      <c r="BE915" s="26"/>
      <c r="BF915" s="26"/>
      <c r="BG915" s="26"/>
      <c r="BH915" s="26"/>
      <c r="BI915" s="26"/>
      <c r="BJ915" s="26"/>
      <c r="BK915" s="26"/>
    </row>
    <row r="916" ht="14.25" customHeight="1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  <c r="AA916" s="26"/>
      <c r="AB916" s="26"/>
      <c r="AC916" s="26"/>
      <c r="AD916" s="26"/>
      <c r="AE916" s="26"/>
      <c r="AF916" s="26"/>
      <c r="AG916" s="26"/>
      <c r="AH916" s="26"/>
      <c r="AI916" s="26"/>
      <c r="AJ916" s="26"/>
      <c r="AK916" s="26"/>
      <c r="AL916" s="26"/>
      <c r="AM916" s="26"/>
      <c r="AN916" s="26"/>
      <c r="AO916" s="26"/>
      <c r="AP916" s="26"/>
      <c r="AQ916" s="26"/>
      <c r="AR916" s="26"/>
      <c r="AS916" s="26"/>
      <c r="AT916" s="26"/>
      <c r="AU916" s="26"/>
      <c r="AV916" s="26"/>
      <c r="AW916" s="26"/>
      <c r="AX916" s="26"/>
      <c r="AY916" s="26"/>
      <c r="AZ916" s="26"/>
      <c r="BA916" s="26"/>
      <c r="BB916" s="26"/>
      <c r="BC916" s="26"/>
      <c r="BD916" s="26"/>
      <c r="BE916" s="26"/>
      <c r="BF916" s="26"/>
      <c r="BG916" s="26"/>
      <c r="BH916" s="26"/>
      <c r="BI916" s="26"/>
      <c r="BJ916" s="26"/>
      <c r="BK916" s="26"/>
    </row>
    <row r="917" ht="14.25" customHeight="1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  <c r="AA917" s="26"/>
      <c r="AB917" s="26"/>
      <c r="AC917" s="26"/>
      <c r="AD917" s="26"/>
      <c r="AE917" s="26"/>
      <c r="AF917" s="26"/>
      <c r="AG917" s="26"/>
      <c r="AH917" s="26"/>
      <c r="AI917" s="26"/>
      <c r="AJ917" s="26"/>
      <c r="AK917" s="26"/>
      <c r="AL917" s="26"/>
      <c r="AM917" s="26"/>
      <c r="AN917" s="26"/>
      <c r="AO917" s="26"/>
      <c r="AP917" s="26"/>
      <c r="AQ917" s="26"/>
      <c r="AR917" s="26"/>
      <c r="AS917" s="26"/>
      <c r="AT917" s="26"/>
      <c r="AU917" s="26"/>
      <c r="AV917" s="26"/>
      <c r="AW917" s="26"/>
      <c r="AX917" s="26"/>
      <c r="AY917" s="26"/>
      <c r="AZ917" s="26"/>
      <c r="BA917" s="26"/>
      <c r="BB917" s="26"/>
      <c r="BC917" s="26"/>
      <c r="BD917" s="26"/>
      <c r="BE917" s="26"/>
      <c r="BF917" s="26"/>
      <c r="BG917" s="26"/>
      <c r="BH917" s="26"/>
      <c r="BI917" s="26"/>
      <c r="BJ917" s="26"/>
      <c r="BK917" s="26"/>
    </row>
    <row r="918" ht="14.25" customHeight="1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  <c r="AA918" s="26"/>
      <c r="AB918" s="26"/>
      <c r="AC918" s="26"/>
      <c r="AD918" s="26"/>
      <c r="AE918" s="26"/>
      <c r="AF918" s="26"/>
      <c r="AG918" s="26"/>
      <c r="AH918" s="26"/>
      <c r="AI918" s="26"/>
      <c r="AJ918" s="26"/>
      <c r="AK918" s="26"/>
      <c r="AL918" s="26"/>
      <c r="AM918" s="26"/>
      <c r="AN918" s="26"/>
      <c r="AO918" s="26"/>
      <c r="AP918" s="26"/>
      <c r="AQ918" s="26"/>
      <c r="AR918" s="26"/>
      <c r="AS918" s="26"/>
      <c r="AT918" s="26"/>
      <c r="AU918" s="26"/>
      <c r="AV918" s="26"/>
      <c r="AW918" s="26"/>
      <c r="AX918" s="26"/>
      <c r="AY918" s="26"/>
      <c r="AZ918" s="26"/>
      <c r="BA918" s="26"/>
      <c r="BB918" s="26"/>
      <c r="BC918" s="26"/>
      <c r="BD918" s="26"/>
      <c r="BE918" s="26"/>
      <c r="BF918" s="26"/>
      <c r="BG918" s="26"/>
      <c r="BH918" s="26"/>
      <c r="BI918" s="26"/>
      <c r="BJ918" s="26"/>
      <c r="BK918" s="26"/>
    </row>
    <row r="919" ht="14.25" customHeight="1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  <c r="AA919" s="26"/>
      <c r="AB919" s="26"/>
      <c r="AC919" s="26"/>
      <c r="AD919" s="26"/>
      <c r="AE919" s="26"/>
      <c r="AF919" s="26"/>
      <c r="AG919" s="26"/>
      <c r="AH919" s="26"/>
      <c r="AI919" s="26"/>
      <c r="AJ919" s="26"/>
      <c r="AK919" s="26"/>
      <c r="AL919" s="26"/>
      <c r="AM919" s="26"/>
      <c r="AN919" s="26"/>
      <c r="AO919" s="26"/>
      <c r="AP919" s="26"/>
      <c r="AQ919" s="26"/>
      <c r="AR919" s="26"/>
      <c r="AS919" s="26"/>
      <c r="AT919" s="26"/>
      <c r="AU919" s="26"/>
      <c r="AV919" s="26"/>
      <c r="AW919" s="26"/>
      <c r="AX919" s="26"/>
      <c r="AY919" s="26"/>
      <c r="AZ919" s="26"/>
      <c r="BA919" s="26"/>
      <c r="BB919" s="26"/>
      <c r="BC919" s="26"/>
      <c r="BD919" s="26"/>
      <c r="BE919" s="26"/>
      <c r="BF919" s="26"/>
      <c r="BG919" s="26"/>
      <c r="BH919" s="26"/>
      <c r="BI919" s="26"/>
      <c r="BJ919" s="26"/>
      <c r="BK919" s="26"/>
    </row>
    <row r="920" ht="14.25" customHeight="1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  <c r="AA920" s="26"/>
      <c r="AB920" s="26"/>
      <c r="AC920" s="26"/>
      <c r="AD920" s="26"/>
      <c r="AE920" s="26"/>
      <c r="AF920" s="26"/>
      <c r="AG920" s="26"/>
      <c r="AH920" s="26"/>
      <c r="AI920" s="26"/>
      <c r="AJ920" s="26"/>
      <c r="AK920" s="26"/>
      <c r="AL920" s="26"/>
      <c r="AM920" s="26"/>
      <c r="AN920" s="26"/>
      <c r="AO920" s="26"/>
      <c r="AP920" s="26"/>
      <c r="AQ920" s="26"/>
      <c r="AR920" s="26"/>
      <c r="AS920" s="26"/>
      <c r="AT920" s="26"/>
      <c r="AU920" s="26"/>
      <c r="AV920" s="26"/>
      <c r="AW920" s="26"/>
      <c r="AX920" s="26"/>
      <c r="AY920" s="26"/>
      <c r="AZ920" s="26"/>
      <c r="BA920" s="26"/>
      <c r="BB920" s="26"/>
      <c r="BC920" s="26"/>
      <c r="BD920" s="26"/>
      <c r="BE920" s="26"/>
      <c r="BF920" s="26"/>
      <c r="BG920" s="26"/>
      <c r="BH920" s="26"/>
      <c r="BI920" s="26"/>
      <c r="BJ920" s="26"/>
      <c r="BK920" s="26"/>
    </row>
    <row r="921" ht="14.25" customHeight="1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  <c r="AA921" s="26"/>
      <c r="AB921" s="26"/>
      <c r="AC921" s="26"/>
      <c r="AD921" s="26"/>
      <c r="AE921" s="26"/>
      <c r="AF921" s="26"/>
      <c r="AG921" s="26"/>
      <c r="AH921" s="26"/>
      <c r="AI921" s="26"/>
      <c r="AJ921" s="26"/>
      <c r="AK921" s="26"/>
      <c r="AL921" s="26"/>
      <c r="AM921" s="26"/>
      <c r="AN921" s="26"/>
      <c r="AO921" s="26"/>
      <c r="AP921" s="26"/>
      <c r="AQ921" s="26"/>
      <c r="AR921" s="26"/>
      <c r="AS921" s="26"/>
      <c r="AT921" s="26"/>
      <c r="AU921" s="26"/>
      <c r="AV921" s="26"/>
      <c r="AW921" s="26"/>
      <c r="AX921" s="26"/>
      <c r="AY921" s="26"/>
      <c r="AZ921" s="26"/>
      <c r="BA921" s="26"/>
      <c r="BB921" s="26"/>
      <c r="BC921" s="26"/>
      <c r="BD921" s="26"/>
      <c r="BE921" s="26"/>
      <c r="BF921" s="26"/>
      <c r="BG921" s="26"/>
      <c r="BH921" s="26"/>
      <c r="BI921" s="26"/>
      <c r="BJ921" s="26"/>
      <c r="BK921" s="26"/>
    </row>
    <row r="922" ht="14.25" customHeight="1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  <c r="AA922" s="26"/>
      <c r="AB922" s="26"/>
      <c r="AC922" s="26"/>
      <c r="AD922" s="26"/>
      <c r="AE922" s="26"/>
      <c r="AF922" s="26"/>
      <c r="AG922" s="26"/>
      <c r="AH922" s="26"/>
      <c r="AI922" s="26"/>
      <c r="AJ922" s="26"/>
      <c r="AK922" s="26"/>
      <c r="AL922" s="26"/>
      <c r="AM922" s="26"/>
      <c r="AN922" s="26"/>
      <c r="AO922" s="26"/>
      <c r="AP922" s="26"/>
      <c r="AQ922" s="26"/>
      <c r="AR922" s="26"/>
      <c r="AS922" s="26"/>
      <c r="AT922" s="26"/>
      <c r="AU922" s="26"/>
      <c r="AV922" s="26"/>
      <c r="AW922" s="26"/>
      <c r="AX922" s="26"/>
      <c r="AY922" s="26"/>
      <c r="AZ922" s="26"/>
      <c r="BA922" s="26"/>
      <c r="BB922" s="26"/>
      <c r="BC922" s="26"/>
      <c r="BD922" s="26"/>
      <c r="BE922" s="26"/>
      <c r="BF922" s="26"/>
      <c r="BG922" s="26"/>
      <c r="BH922" s="26"/>
      <c r="BI922" s="26"/>
      <c r="BJ922" s="26"/>
      <c r="BK922" s="26"/>
    </row>
    <row r="923" ht="14.25" customHeight="1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  <c r="AA923" s="26"/>
      <c r="AB923" s="26"/>
      <c r="AC923" s="26"/>
      <c r="AD923" s="26"/>
      <c r="AE923" s="26"/>
      <c r="AF923" s="26"/>
      <c r="AG923" s="26"/>
      <c r="AH923" s="26"/>
      <c r="AI923" s="26"/>
      <c r="AJ923" s="26"/>
      <c r="AK923" s="26"/>
      <c r="AL923" s="26"/>
      <c r="AM923" s="26"/>
      <c r="AN923" s="26"/>
      <c r="AO923" s="26"/>
      <c r="AP923" s="26"/>
      <c r="AQ923" s="26"/>
      <c r="AR923" s="26"/>
      <c r="AS923" s="26"/>
      <c r="AT923" s="26"/>
      <c r="AU923" s="26"/>
      <c r="AV923" s="26"/>
      <c r="AW923" s="26"/>
      <c r="AX923" s="26"/>
      <c r="AY923" s="26"/>
      <c r="AZ923" s="26"/>
      <c r="BA923" s="26"/>
      <c r="BB923" s="26"/>
      <c r="BC923" s="26"/>
      <c r="BD923" s="26"/>
      <c r="BE923" s="26"/>
      <c r="BF923" s="26"/>
      <c r="BG923" s="26"/>
      <c r="BH923" s="26"/>
      <c r="BI923" s="26"/>
      <c r="BJ923" s="26"/>
      <c r="BK923" s="26"/>
    </row>
    <row r="924" ht="14.25" customHeight="1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  <c r="AA924" s="26"/>
      <c r="AB924" s="26"/>
      <c r="AC924" s="26"/>
      <c r="AD924" s="26"/>
      <c r="AE924" s="26"/>
      <c r="AF924" s="26"/>
      <c r="AG924" s="26"/>
      <c r="AH924" s="26"/>
      <c r="AI924" s="26"/>
      <c r="AJ924" s="26"/>
      <c r="AK924" s="26"/>
      <c r="AL924" s="26"/>
      <c r="AM924" s="26"/>
      <c r="AN924" s="26"/>
      <c r="AO924" s="26"/>
      <c r="AP924" s="26"/>
      <c r="AQ924" s="26"/>
      <c r="AR924" s="26"/>
      <c r="AS924" s="26"/>
      <c r="AT924" s="26"/>
      <c r="AU924" s="26"/>
      <c r="AV924" s="26"/>
      <c r="AW924" s="26"/>
      <c r="AX924" s="26"/>
      <c r="AY924" s="26"/>
      <c r="AZ924" s="26"/>
      <c r="BA924" s="26"/>
      <c r="BB924" s="26"/>
      <c r="BC924" s="26"/>
      <c r="BD924" s="26"/>
      <c r="BE924" s="26"/>
      <c r="BF924" s="26"/>
      <c r="BG924" s="26"/>
      <c r="BH924" s="26"/>
      <c r="BI924" s="26"/>
      <c r="BJ924" s="26"/>
      <c r="BK924" s="26"/>
    </row>
    <row r="925" ht="14.25" customHeight="1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  <c r="AA925" s="26"/>
      <c r="AB925" s="26"/>
      <c r="AC925" s="26"/>
      <c r="AD925" s="26"/>
      <c r="AE925" s="26"/>
      <c r="AF925" s="26"/>
      <c r="AG925" s="26"/>
      <c r="AH925" s="26"/>
      <c r="AI925" s="26"/>
      <c r="AJ925" s="26"/>
      <c r="AK925" s="26"/>
      <c r="AL925" s="26"/>
      <c r="AM925" s="26"/>
      <c r="AN925" s="26"/>
      <c r="AO925" s="26"/>
      <c r="AP925" s="26"/>
      <c r="AQ925" s="26"/>
      <c r="AR925" s="26"/>
      <c r="AS925" s="26"/>
      <c r="AT925" s="26"/>
      <c r="AU925" s="26"/>
      <c r="AV925" s="26"/>
      <c r="AW925" s="26"/>
      <c r="AX925" s="26"/>
      <c r="AY925" s="26"/>
      <c r="AZ925" s="26"/>
      <c r="BA925" s="26"/>
      <c r="BB925" s="26"/>
      <c r="BC925" s="26"/>
      <c r="BD925" s="26"/>
      <c r="BE925" s="26"/>
      <c r="BF925" s="26"/>
      <c r="BG925" s="26"/>
      <c r="BH925" s="26"/>
      <c r="BI925" s="26"/>
      <c r="BJ925" s="26"/>
      <c r="BK925" s="26"/>
    </row>
    <row r="926" ht="14.25" customHeight="1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  <c r="AA926" s="26"/>
      <c r="AB926" s="26"/>
      <c r="AC926" s="26"/>
      <c r="AD926" s="26"/>
      <c r="AE926" s="26"/>
      <c r="AF926" s="26"/>
      <c r="AG926" s="26"/>
      <c r="AH926" s="26"/>
      <c r="AI926" s="26"/>
      <c r="AJ926" s="26"/>
      <c r="AK926" s="26"/>
      <c r="AL926" s="26"/>
      <c r="AM926" s="26"/>
      <c r="AN926" s="26"/>
      <c r="AO926" s="26"/>
      <c r="AP926" s="26"/>
      <c r="AQ926" s="26"/>
      <c r="AR926" s="26"/>
      <c r="AS926" s="26"/>
      <c r="AT926" s="26"/>
      <c r="AU926" s="26"/>
      <c r="AV926" s="26"/>
      <c r="AW926" s="26"/>
      <c r="AX926" s="26"/>
      <c r="AY926" s="26"/>
      <c r="AZ926" s="26"/>
      <c r="BA926" s="26"/>
      <c r="BB926" s="26"/>
      <c r="BC926" s="26"/>
      <c r="BD926" s="26"/>
      <c r="BE926" s="26"/>
      <c r="BF926" s="26"/>
      <c r="BG926" s="26"/>
      <c r="BH926" s="26"/>
      <c r="BI926" s="26"/>
      <c r="BJ926" s="26"/>
      <c r="BK926" s="26"/>
    </row>
    <row r="927" ht="14.25" customHeight="1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  <c r="AA927" s="26"/>
      <c r="AB927" s="26"/>
      <c r="AC927" s="26"/>
      <c r="AD927" s="26"/>
      <c r="AE927" s="26"/>
      <c r="AF927" s="26"/>
      <c r="AG927" s="26"/>
      <c r="AH927" s="26"/>
      <c r="AI927" s="26"/>
      <c r="AJ927" s="26"/>
      <c r="AK927" s="26"/>
      <c r="AL927" s="26"/>
      <c r="AM927" s="26"/>
      <c r="AN927" s="26"/>
      <c r="AO927" s="26"/>
      <c r="AP927" s="26"/>
      <c r="AQ927" s="26"/>
      <c r="AR927" s="26"/>
      <c r="AS927" s="26"/>
      <c r="AT927" s="26"/>
      <c r="AU927" s="26"/>
      <c r="AV927" s="26"/>
      <c r="AW927" s="26"/>
      <c r="AX927" s="26"/>
      <c r="AY927" s="26"/>
      <c r="AZ927" s="26"/>
      <c r="BA927" s="26"/>
      <c r="BB927" s="26"/>
      <c r="BC927" s="26"/>
      <c r="BD927" s="26"/>
      <c r="BE927" s="26"/>
      <c r="BF927" s="26"/>
      <c r="BG927" s="26"/>
      <c r="BH927" s="26"/>
      <c r="BI927" s="26"/>
      <c r="BJ927" s="26"/>
      <c r="BK927" s="26"/>
    </row>
    <row r="928" ht="14.25" customHeight="1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  <c r="AA928" s="26"/>
      <c r="AB928" s="26"/>
      <c r="AC928" s="26"/>
      <c r="AD928" s="26"/>
      <c r="AE928" s="26"/>
      <c r="AF928" s="26"/>
      <c r="AG928" s="26"/>
      <c r="AH928" s="26"/>
      <c r="AI928" s="26"/>
      <c r="AJ928" s="26"/>
      <c r="AK928" s="26"/>
      <c r="AL928" s="26"/>
      <c r="AM928" s="26"/>
      <c r="AN928" s="26"/>
      <c r="AO928" s="26"/>
      <c r="AP928" s="26"/>
      <c r="AQ928" s="26"/>
      <c r="AR928" s="26"/>
      <c r="AS928" s="26"/>
      <c r="AT928" s="26"/>
      <c r="AU928" s="26"/>
      <c r="AV928" s="26"/>
      <c r="AW928" s="26"/>
      <c r="AX928" s="26"/>
      <c r="AY928" s="26"/>
      <c r="AZ928" s="26"/>
      <c r="BA928" s="26"/>
      <c r="BB928" s="26"/>
      <c r="BC928" s="26"/>
      <c r="BD928" s="26"/>
      <c r="BE928" s="26"/>
      <c r="BF928" s="26"/>
      <c r="BG928" s="26"/>
      <c r="BH928" s="26"/>
      <c r="BI928" s="26"/>
      <c r="BJ928" s="26"/>
      <c r="BK928" s="26"/>
    </row>
    <row r="929" ht="14.25" customHeight="1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  <c r="AA929" s="26"/>
      <c r="AB929" s="26"/>
      <c r="AC929" s="26"/>
      <c r="AD929" s="26"/>
      <c r="AE929" s="26"/>
      <c r="AF929" s="26"/>
      <c r="AG929" s="26"/>
      <c r="AH929" s="26"/>
      <c r="AI929" s="26"/>
      <c r="AJ929" s="26"/>
      <c r="AK929" s="26"/>
      <c r="AL929" s="26"/>
      <c r="AM929" s="26"/>
      <c r="AN929" s="26"/>
      <c r="AO929" s="26"/>
      <c r="AP929" s="26"/>
      <c r="AQ929" s="26"/>
      <c r="AR929" s="26"/>
      <c r="AS929" s="26"/>
      <c r="AT929" s="26"/>
      <c r="AU929" s="26"/>
      <c r="AV929" s="26"/>
      <c r="AW929" s="26"/>
      <c r="AX929" s="26"/>
      <c r="AY929" s="26"/>
      <c r="AZ929" s="26"/>
      <c r="BA929" s="26"/>
      <c r="BB929" s="26"/>
      <c r="BC929" s="26"/>
      <c r="BD929" s="26"/>
      <c r="BE929" s="26"/>
      <c r="BF929" s="26"/>
      <c r="BG929" s="26"/>
      <c r="BH929" s="26"/>
      <c r="BI929" s="26"/>
      <c r="BJ929" s="26"/>
      <c r="BK929" s="26"/>
    </row>
    <row r="930" ht="14.25" customHeight="1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  <c r="AA930" s="26"/>
      <c r="AB930" s="26"/>
      <c r="AC930" s="26"/>
      <c r="AD930" s="26"/>
      <c r="AE930" s="26"/>
      <c r="AF930" s="26"/>
      <c r="AG930" s="26"/>
      <c r="AH930" s="26"/>
      <c r="AI930" s="26"/>
      <c r="AJ930" s="26"/>
      <c r="AK930" s="26"/>
      <c r="AL930" s="26"/>
      <c r="AM930" s="26"/>
      <c r="AN930" s="26"/>
      <c r="AO930" s="26"/>
      <c r="AP930" s="26"/>
      <c r="AQ930" s="26"/>
      <c r="AR930" s="26"/>
      <c r="AS930" s="26"/>
      <c r="AT930" s="26"/>
      <c r="AU930" s="26"/>
      <c r="AV930" s="26"/>
      <c r="AW930" s="26"/>
      <c r="AX930" s="26"/>
      <c r="AY930" s="26"/>
      <c r="AZ930" s="26"/>
      <c r="BA930" s="26"/>
      <c r="BB930" s="26"/>
      <c r="BC930" s="26"/>
      <c r="BD930" s="26"/>
      <c r="BE930" s="26"/>
      <c r="BF930" s="26"/>
      <c r="BG930" s="26"/>
      <c r="BH930" s="26"/>
      <c r="BI930" s="26"/>
      <c r="BJ930" s="26"/>
      <c r="BK930" s="26"/>
    </row>
    <row r="931" ht="14.25" customHeight="1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  <c r="AA931" s="26"/>
      <c r="AB931" s="26"/>
      <c r="AC931" s="26"/>
      <c r="AD931" s="26"/>
      <c r="AE931" s="26"/>
      <c r="AF931" s="26"/>
      <c r="AG931" s="26"/>
      <c r="AH931" s="26"/>
      <c r="AI931" s="26"/>
      <c r="AJ931" s="26"/>
      <c r="AK931" s="26"/>
      <c r="AL931" s="26"/>
      <c r="AM931" s="26"/>
      <c r="AN931" s="26"/>
      <c r="AO931" s="26"/>
      <c r="AP931" s="26"/>
      <c r="AQ931" s="26"/>
      <c r="AR931" s="26"/>
      <c r="AS931" s="26"/>
      <c r="AT931" s="26"/>
      <c r="AU931" s="26"/>
      <c r="AV931" s="26"/>
      <c r="AW931" s="26"/>
      <c r="AX931" s="26"/>
      <c r="AY931" s="26"/>
      <c r="AZ931" s="26"/>
      <c r="BA931" s="26"/>
      <c r="BB931" s="26"/>
      <c r="BC931" s="26"/>
      <c r="BD931" s="26"/>
      <c r="BE931" s="26"/>
      <c r="BF931" s="26"/>
      <c r="BG931" s="26"/>
      <c r="BH931" s="26"/>
      <c r="BI931" s="26"/>
      <c r="BJ931" s="26"/>
      <c r="BK931" s="26"/>
    </row>
    <row r="932" ht="14.25" customHeight="1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  <c r="AA932" s="26"/>
      <c r="AB932" s="26"/>
      <c r="AC932" s="26"/>
      <c r="AD932" s="26"/>
      <c r="AE932" s="26"/>
      <c r="AF932" s="26"/>
      <c r="AG932" s="26"/>
      <c r="AH932" s="26"/>
      <c r="AI932" s="26"/>
      <c r="AJ932" s="26"/>
      <c r="AK932" s="26"/>
      <c r="AL932" s="26"/>
      <c r="AM932" s="26"/>
      <c r="AN932" s="26"/>
      <c r="AO932" s="26"/>
      <c r="AP932" s="26"/>
      <c r="AQ932" s="26"/>
      <c r="AR932" s="26"/>
      <c r="AS932" s="26"/>
      <c r="AT932" s="26"/>
      <c r="AU932" s="26"/>
      <c r="AV932" s="26"/>
      <c r="AW932" s="26"/>
      <c r="AX932" s="26"/>
      <c r="AY932" s="26"/>
      <c r="AZ932" s="26"/>
      <c r="BA932" s="26"/>
      <c r="BB932" s="26"/>
      <c r="BC932" s="26"/>
      <c r="BD932" s="26"/>
      <c r="BE932" s="26"/>
      <c r="BF932" s="26"/>
      <c r="BG932" s="26"/>
      <c r="BH932" s="26"/>
      <c r="BI932" s="26"/>
      <c r="BJ932" s="26"/>
      <c r="BK932" s="26"/>
    </row>
    <row r="933" ht="14.25" customHeight="1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  <c r="AA933" s="26"/>
      <c r="AB933" s="26"/>
      <c r="AC933" s="26"/>
      <c r="AD933" s="26"/>
      <c r="AE933" s="26"/>
      <c r="AF933" s="26"/>
      <c r="AG933" s="26"/>
      <c r="AH933" s="26"/>
      <c r="AI933" s="26"/>
      <c r="AJ933" s="26"/>
      <c r="AK933" s="26"/>
      <c r="AL933" s="26"/>
      <c r="AM933" s="26"/>
      <c r="AN933" s="26"/>
      <c r="AO933" s="26"/>
      <c r="AP933" s="26"/>
      <c r="AQ933" s="26"/>
      <c r="AR933" s="26"/>
      <c r="AS933" s="26"/>
      <c r="AT933" s="26"/>
      <c r="AU933" s="26"/>
      <c r="AV933" s="26"/>
      <c r="AW933" s="26"/>
      <c r="AX933" s="26"/>
      <c r="AY933" s="26"/>
      <c r="AZ933" s="26"/>
      <c r="BA933" s="26"/>
      <c r="BB933" s="26"/>
      <c r="BC933" s="26"/>
      <c r="BD933" s="26"/>
      <c r="BE933" s="26"/>
      <c r="BF933" s="26"/>
      <c r="BG933" s="26"/>
      <c r="BH933" s="26"/>
      <c r="BI933" s="26"/>
      <c r="BJ933" s="26"/>
      <c r="BK933" s="26"/>
    </row>
    <row r="934" ht="14.25" customHeight="1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  <c r="AA934" s="26"/>
      <c r="AB934" s="26"/>
      <c r="AC934" s="26"/>
      <c r="AD934" s="26"/>
      <c r="AE934" s="26"/>
      <c r="AF934" s="26"/>
      <c r="AG934" s="26"/>
      <c r="AH934" s="26"/>
      <c r="AI934" s="26"/>
      <c r="AJ934" s="26"/>
      <c r="AK934" s="26"/>
      <c r="AL934" s="26"/>
      <c r="AM934" s="26"/>
      <c r="AN934" s="26"/>
      <c r="AO934" s="26"/>
      <c r="AP934" s="26"/>
      <c r="AQ934" s="26"/>
      <c r="AR934" s="26"/>
      <c r="AS934" s="26"/>
      <c r="AT934" s="26"/>
      <c r="AU934" s="26"/>
      <c r="AV934" s="26"/>
      <c r="AW934" s="26"/>
      <c r="AX934" s="26"/>
      <c r="AY934" s="26"/>
      <c r="AZ934" s="26"/>
      <c r="BA934" s="26"/>
      <c r="BB934" s="26"/>
      <c r="BC934" s="26"/>
      <c r="BD934" s="26"/>
      <c r="BE934" s="26"/>
      <c r="BF934" s="26"/>
      <c r="BG934" s="26"/>
      <c r="BH934" s="26"/>
      <c r="BI934" s="26"/>
      <c r="BJ934" s="26"/>
      <c r="BK934" s="26"/>
    </row>
    <row r="935" ht="14.25" customHeight="1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  <c r="AA935" s="26"/>
      <c r="AB935" s="26"/>
      <c r="AC935" s="26"/>
      <c r="AD935" s="26"/>
      <c r="AE935" s="26"/>
      <c r="AF935" s="26"/>
      <c r="AG935" s="26"/>
      <c r="AH935" s="26"/>
      <c r="AI935" s="26"/>
      <c r="AJ935" s="26"/>
      <c r="AK935" s="26"/>
      <c r="AL935" s="26"/>
      <c r="AM935" s="26"/>
      <c r="AN935" s="26"/>
      <c r="AO935" s="26"/>
      <c r="AP935" s="26"/>
      <c r="AQ935" s="26"/>
      <c r="AR935" s="26"/>
      <c r="AS935" s="26"/>
      <c r="AT935" s="26"/>
      <c r="AU935" s="26"/>
      <c r="AV935" s="26"/>
      <c r="AW935" s="26"/>
      <c r="AX935" s="26"/>
      <c r="AY935" s="26"/>
      <c r="AZ935" s="26"/>
      <c r="BA935" s="26"/>
      <c r="BB935" s="26"/>
      <c r="BC935" s="26"/>
      <c r="BD935" s="26"/>
      <c r="BE935" s="26"/>
      <c r="BF935" s="26"/>
      <c r="BG935" s="26"/>
      <c r="BH935" s="26"/>
      <c r="BI935" s="26"/>
      <c r="BJ935" s="26"/>
      <c r="BK935" s="26"/>
    </row>
    <row r="936" ht="14.25" customHeight="1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  <c r="AA936" s="26"/>
      <c r="AB936" s="26"/>
      <c r="AC936" s="26"/>
      <c r="AD936" s="26"/>
      <c r="AE936" s="26"/>
      <c r="AF936" s="26"/>
      <c r="AG936" s="26"/>
      <c r="AH936" s="26"/>
      <c r="AI936" s="26"/>
      <c r="AJ936" s="26"/>
      <c r="AK936" s="26"/>
      <c r="AL936" s="26"/>
      <c r="AM936" s="26"/>
      <c r="AN936" s="26"/>
      <c r="AO936" s="26"/>
      <c r="AP936" s="26"/>
      <c r="AQ936" s="26"/>
      <c r="AR936" s="26"/>
      <c r="AS936" s="26"/>
      <c r="AT936" s="26"/>
      <c r="AU936" s="26"/>
      <c r="AV936" s="26"/>
      <c r="AW936" s="26"/>
      <c r="AX936" s="26"/>
      <c r="AY936" s="26"/>
      <c r="AZ936" s="26"/>
      <c r="BA936" s="26"/>
      <c r="BB936" s="26"/>
      <c r="BC936" s="26"/>
      <c r="BD936" s="26"/>
      <c r="BE936" s="26"/>
      <c r="BF936" s="26"/>
      <c r="BG936" s="26"/>
      <c r="BH936" s="26"/>
      <c r="BI936" s="26"/>
      <c r="BJ936" s="26"/>
      <c r="BK936" s="26"/>
    </row>
    <row r="937" ht="14.25" customHeight="1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  <c r="AA937" s="26"/>
      <c r="AB937" s="26"/>
      <c r="AC937" s="26"/>
      <c r="AD937" s="26"/>
      <c r="AE937" s="26"/>
      <c r="AF937" s="26"/>
      <c r="AG937" s="26"/>
      <c r="AH937" s="26"/>
      <c r="AI937" s="26"/>
      <c r="AJ937" s="26"/>
      <c r="AK937" s="26"/>
      <c r="AL937" s="26"/>
      <c r="AM937" s="26"/>
      <c r="AN937" s="26"/>
      <c r="AO937" s="26"/>
      <c r="AP937" s="26"/>
      <c r="AQ937" s="26"/>
      <c r="AR937" s="26"/>
      <c r="AS937" s="26"/>
      <c r="AT937" s="26"/>
      <c r="AU937" s="26"/>
      <c r="AV937" s="26"/>
      <c r="AW937" s="26"/>
      <c r="AX937" s="26"/>
      <c r="AY937" s="26"/>
      <c r="AZ937" s="26"/>
      <c r="BA937" s="26"/>
      <c r="BB937" s="26"/>
      <c r="BC937" s="26"/>
      <c r="BD937" s="26"/>
      <c r="BE937" s="26"/>
      <c r="BF937" s="26"/>
      <c r="BG937" s="26"/>
      <c r="BH937" s="26"/>
      <c r="BI937" s="26"/>
      <c r="BJ937" s="26"/>
      <c r="BK937" s="26"/>
    </row>
    <row r="938" ht="14.25" customHeight="1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  <c r="AA938" s="26"/>
      <c r="AB938" s="26"/>
      <c r="AC938" s="26"/>
      <c r="AD938" s="26"/>
      <c r="AE938" s="26"/>
      <c r="AF938" s="26"/>
      <c r="AG938" s="26"/>
      <c r="AH938" s="26"/>
      <c r="AI938" s="26"/>
      <c r="AJ938" s="26"/>
      <c r="AK938" s="26"/>
      <c r="AL938" s="26"/>
      <c r="AM938" s="26"/>
      <c r="AN938" s="26"/>
      <c r="AO938" s="26"/>
      <c r="AP938" s="26"/>
      <c r="AQ938" s="26"/>
      <c r="AR938" s="26"/>
      <c r="AS938" s="26"/>
      <c r="AT938" s="26"/>
      <c r="AU938" s="26"/>
      <c r="AV938" s="26"/>
      <c r="AW938" s="26"/>
      <c r="AX938" s="26"/>
      <c r="AY938" s="26"/>
      <c r="AZ938" s="26"/>
      <c r="BA938" s="26"/>
      <c r="BB938" s="26"/>
      <c r="BC938" s="26"/>
      <c r="BD938" s="26"/>
      <c r="BE938" s="26"/>
      <c r="BF938" s="26"/>
      <c r="BG938" s="26"/>
      <c r="BH938" s="26"/>
      <c r="BI938" s="26"/>
      <c r="BJ938" s="26"/>
      <c r="BK938" s="26"/>
    </row>
    <row r="939" ht="14.25" customHeight="1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  <c r="AA939" s="26"/>
      <c r="AB939" s="26"/>
      <c r="AC939" s="26"/>
      <c r="AD939" s="26"/>
      <c r="AE939" s="26"/>
      <c r="AF939" s="26"/>
      <c r="AG939" s="26"/>
      <c r="AH939" s="26"/>
      <c r="AI939" s="26"/>
      <c r="AJ939" s="26"/>
      <c r="AK939" s="26"/>
      <c r="AL939" s="26"/>
      <c r="AM939" s="26"/>
      <c r="AN939" s="26"/>
      <c r="AO939" s="26"/>
      <c r="AP939" s="26"/>
      <c r="AQ939" s="26"/>
      <c r="AR939" s="26"/>
      <c r="AS939" s="26"/>
      <c r="AT939" s="26"/>
      <c r="AU939" s="26"/>
      <c r="AV939" s="26"/>
      <c r="AW939" s="26"/>
      <c r="AX939" s="26"/>
      <c r="AY939" s="26"/>
      <c r="AZ939" s="26"/>
      <c r="BA939" s="26"/>
      <c r="BB939" s="26"/>
      <c r="BC939" s="26"/>
      <c r="BD939" s="26"/>
      <c r="BE939" s="26"/>
      <c r="BF939" s="26"/>
      <c r="BG939" s="26"/>
      <c r="BH939" s="26"/>
      <c r="BI939" s="26"/>
      <c r="BJ939" s="26"/>
      <c r="BK939" s="26"/>
    </row>
    <row r="940" ht="14.25" customHeight="1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  <c r="AA940" s="26"/>
      <c r="AB940" s="26"/>
      <c r="AC940" s="26"/>
      <c r="AD940" s="26"/>
      <c r="AE940" s="26"/>
      <c r="AF940" s="26"/>
      <c r="AG940" s="26"/>
      <c r="AH940" s="26"/>
      <c r="AI940" s="26"/>
      <c r="AJ940" s="26"/>
      <c r="AK940" s="26"/>
      <c r="AL940" s="26"/>
      <c r="AM940" s="26"/>
      <c r="AN940" s="26"/>
      <c r="AO940" s="26"/>
      <c r="AP940" s="26"/>
      <c r="AQ940" s="26"/>
      <c r="AR940" s="26"/>
      <c r="AS940" s="26"/>
      <c r="AT940" s="26"/>
      <c r="AU940" s="26"/>
      <c r="AV940" s="26"/>
      <c r="AW940" s="26"/>
      <c r="AX940" s="26"/>
      <c r="AY940" s="26"/>
      <c r="AZ940" s="26"/>
      <c r="BA940" s="26"/>
      <c r="BB940" s="26"/>
      <c r="BC940" s="26"/>
      <c r="BD940" s="26"/>
      <c r="BE940" s="26"/>
      <c r="BF940" s="26"/>
      <c r="BG940" s="26"/>
      <c r="BH940" s="26"/>
      <c r="BI940" s="26"/>
      <c r="BJ940" s="26"/>
      <c r="BK940" s="26"/>
    </row>
    <row r="941" ht="14.25" customHeight="1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  <c r="AA941" s="26"/>
      <c r="AB941" s="26"/>
      <c r="AC941" s="26"/>
      <c r="AD941" s="26"/>
      <c r="AE941" s="26"/>
      <c r="AF941" s="26"/>
      <c r="AG941" s="26"/>
      <c r="AH941" s="26"/>
      <c r="AI941" s="26"/>
      <c r="AJ941" s="26"/>
      <c r="AK941" s="26"/>
      <c r="AL941" s="26"/>
      <c r="AM941" s="26"/>
      <c r="AN941" s="26"/>
      <c r="AO941" s="26"/>
      <c r="AP941" s="26"/>
      <c r="AQ941" s="26"/>
      <c r="AR941" s="26"/>
      <c r="AS941" s="26"/>
      <c r="AT941" s="26"/>
      <c r="AU941" s="26"/>
      <c r="AV941" s="26"/>
      <c r="AW941" s="26"/>
      <c r="AX941" s="26"/>
      <c r="AY941" s="26"/>
      <c r="AZ941" s="26"/>
      <c r="BA941" s="26"/>
      <c r="BB941" s="26"/>
      <c r="BC941" s="26"/>
      <c r="BD941" s="26"/>
      <c r="BE941" s="26"/>
      <c r="BF941" s="26"/>
      <c r="BG941" s="26"/>
      <c r="BH941" s="26"/>
      <c r="BI941" s="26"/>
      <c r="BJ941" s="26"/>
      <c r="BK941" s="26"/>
    </row>
    <row r="942" ht="14.25" customHeight="1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  <c r="AA942" s="26"/>
      <c r="AB942" s="26"/>
      <c r="AC942" s="26"/>
      <c r="AD942" s="26"/>
      <c r="AE942" s="26"/>
      <c r="AF942" s="26"/>
      <c r="AG942" s="26"/>
      <c r="AH942" s="26"/>
      <c r="AI942" s="26"/>
      <c r="AJ942" s="26"/>
      <c r="AK942" s="26"/>
      <c r="AL942" s="26"/>
      <c r="AM942" s="26"/>
      <c r="AN942" s="26"/>
      <c r="AO942" s="26"/>
      <c r="AP942" s="26"/>
      <c r="AQ942" s="26"/>
      <c r="AR942" s="26"/>
      <c r="AS942" s="26"/>
      <c r="AT942" s="26"/>
      <c r="AU942" s="26"/>
      <c r="AV942" s="26"/>
      <c r="AW942" s="26"/>
      <c r="AX942" s="26"/>
      <c r="AY942" s="26"/>
      <c r="AZ942" s="26"/>
      <c r="BA942" s="26"/>
      <c r="BB942" s="26"/>
      <c r="BC942" s="26"/>
      <c r="BD942" s="26"/>
      <c r="BE942" s="26"/>
      <c r="BF942" s="26"/>
      <c r="BG942" s="26"/>
      <c r="BH942" s="26"/>
      <c r="BI942" s="26"/>
      <c r="BJ942" s="26"/>
      <c r="BK942" s="26"/>
    </row>
    <row r="943" ht="14.25" customHeight="1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  <c r="AA943" s="26"/>
      <c r="AB943" s="26"/>
      <c r="AC943" s="26"/>
      <c r="AD943" s="26"/>
      <c r="AE943" s="26"/>
      <c r="AF943" s="26"/>
      <c r="AG943" s="26"/>
      <c r="AH943" s="26"/>
      <c r="AI943" s="26"/>
      <c r="AJ943" s="26"/>
      <c r="AK943" s="26"/>
      <c r="AL943" s="26"/>
      <c r="AM943" s="26"/>
      <c r="AN943" s="26"/>
      <c r="AO943" s="26"/>
      <c r="AP943" s="26"/>
      <c r="AQ943" s="26"/>
      <c r="AR943" s="26"/>
      <c r="AS943" s="26"/>
      <c r="AT943" s="26"/>
      <c r="AU943" s="26"/>
      <c r="AV943" s="26"/>
      <c r="AW943" s="26"/>
      <c r="AX943" s="26"/>
      <c r="AY943" s="26"/>
      <c r="AZ943" s="26"/>
      <c r="BA943" s="26"/>
      <c r="BB943" s="26"/>
      <c r="BC943" s="26"/>
      <c r="BD943" s="26"/>
      <c r="BE943" s="26"/>
      <c r="BF943" s="26"/>
      <c r="BG943" s="26"/>
      <c r="BH943" s="26"/>
      <c r="BI943" s="26"/>
      <c r="BJ943" s="26"/>
      <c r="BK943" s="26"/>
    </row>
    <row r="944" ht="14.25" customHeight="1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  <c r="AA944" s="26"/>
      <c r="AB944" s="26"/>
      <c r="AC944" s="26"/>
      <c r="AD944" s="26"/>
      <c r="AE944" s="26"/>
      <c r="AF944" s="26"/>
      <c r="AG944" s="26"/>
      <c r="AH944" s="26"/>
      <c r="AI944" s="26"/>
      <c r="AJ944" s="26"/>
      <c r="AK944" s="26"/>
      <c r="AL944" s="26"/>
      <c r="AM944" s="26"/>
      <c r="AN944" s="26"/>
      <c r="AO944" s="26"/>
      <c r="AP944" s="26"/>
      <c r="AQ944" s="26"/>
      <c r="AR944" s="26"/>
      <c r="AS944" s="26"/>
      <c r="AT944" s="26"/>
      <c r="AU944" s="26"/>
      <c r="AV944" s="26"/>
      <c r="AW944" s="26"/>
      <c r="AX944" s="26"/>
      <c r="AY944" s="26"/>
      <c r="AZ944" s="26"/>
      <c r="BA944" s="26"/>
      <c r="BB944" s="26"/>
      <c r="BC944" s="26"/>
      <c r="BD944" s="26"/>
      <c r="BE944" s="26"/>
      <c r="BF944" s="26"/>
      <c r="BG944" s="26"/>
      <c r="BH944" s="26"/>
      <c r="BI944" s="26"/>
      <c r="BJ944" s="26"/>
      <c r="BK944" s="26"/>
    </row>
    <row r="945" ht="14.25" customHeight="1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  <c r="AA945" s="26"/>
      <c r="AB945" s="26"/>
      <c r="AC945" s="26"/>
      <c r="AD945" s="26"/>
      <c r="AE945" s="26"/>
      <c r="AF945" s="26"/>
      <c r="AG945" s="26"/>
      <c r="AH945" s="26"/>
      <c r="AI945" s="26"/>
      <c r="AJ945" s="26"/>
      <c r="AK945" s="26"/>
      <c r="AL945" s="26"/>
      <c r="AM945" s="26"/>
      <c r="AN945" s="26"/>
      <c r="AO945" s="26"/>
      <c r="AP945" s="26"/>
      <c r="AQ945" s="26"/>
      <c r="AR945" s="26"/>
      <c r="AS945" s="26"/>
      <c r="AT945" s="26"/>
      <c r="AU945" s="26"/>
      <c r="AV945" s="26"/>
      <c r="AW945" s="26"/>
      <c r="AX945" s="26"/>
      <c r="AY945" s="26"/>
      <c r="AZ945" s="26"/>
      <c r="BA945" s="26"/>
      <c r="BB945" s="26"/>
      <c r="BC945" s="26"/>
      <c r="BD945" s="26"/>
      <c r="BE945" s="26"/>
      <c r="BF945" s="26"/>
      <c r="BG945" s="26"/>
      <c r="BH945" s="26"/>
      <c r="BI945" s="26"/>
      <c r="BJ945" s="26"/>
      <c r="BK945" s="26"/>
    </row>
    <row r="946" ht="14.25" customHeight="1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  <c r="AA946" s="26"/>
      <c r="AB946" s="26"/>
      <c r="AC946" s="26"/>
      <c r="AD946" s="26"/>
      <c r="AE946" s="26"/>
      <c r="AF946" s="26"/>
      <c r="AG946" s="26"/>
      <c r="AH946" s="26"/>
      <c r="AI946" s="26"/>
      <c r="AJ946" s="26"/>
      <c r="AK946" s="26"/>
      <c r="AL946" s="26"/>
      <c r="AM946" s="26"/>
      <c r="AN946" s="26"/>
      <c r="AO946" s="26"/>
      <c r="AP946" s="26"/>
      <c r="AQ946" s="26"/>
      <c r="AR946" s="26"/>
      <c r="AS946" s="26"/>
      <c r="AT946" s="26"/>
      <c r="AU946" s="26"/>
      <c r="AV946" s="26"/>
      <c r="AW946" s="26"/>
      <c r="AX946" s="26"/>
      <c r="AY946" s="26"/>
      <c r="AZ946" s="26"/>
      <c r="BA946" s="26"/>
      <c r="BB946" s="26"/>
      <c r="BC946" s="26"/>
      <c r="BD946" s="26"/>
      <c r="BE946" s="26"/>
      <c r="BF946" s="26"/>
      <c r="BG946" s="26"/>
      <c r="BH946" s="26"/>
      <c r="BI946" s="26"/>
      <c r="BJ946" s="26"/>
      <c r="BK946" s="26"/>
    </row>
    <row r="947" ht="14.25" customHeight="1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  <c r="AA947" s="26"/>
      <c r="AB947" s="26"/>
      <c r="AC947" s="26"/>
      <c r="AD947" s="26"/>
      <c r="AE947" s="26"/>
      <c r="AF947" s="26"/>
      <c r="AG947" s="26"/>
      <c r="AH947" s="26"/>
      <c r="AI947" s="26"/>
      <c r="AJ947" s="26"/>
      <c r="AK947" s="26"/>
      <c r="AL947" s="26"/>
      <c r="AM947" s="26"/>
      <c r="AN947" s="26"/>
      <c r="AO947" s="26"/>
      <c r="AP947" s="26"/>
      <c r="AQ947" s="26"/>
      <c r="AR947" s="26"/>
      <c r="AS947" s="26"/>
      <c r="AT947" s="26"/>
      <c r="AU947" s="26"/>
      <c r="AV947" s="26"/>
      <c r="AW947" s="26"/>
      <c r="AX947" s="26"/>
      <c r="AY947" s="26"/>
      <c r="AZ947" s="26"/>
      <c r="BA947" s="26"/>
      <c r="BB947" s="26"/>
      <c r="BC947" s="26"/>
      <c r="BD947" s="26"/>
      <c r="BE947" s="26"/>
      <c r="BF947" s="26"/>
      <c r="BG947" s="26"/>
      <c r="BH947" s="26"/>
      <c r="BI947" s="26"/>
      <c r="BJ947" s="26"/>
      <c r="BK947" s="26"/>
    </row>
    <row r="948" ht="14.25" customHeight="1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  <c r="AA948" s="26"/>
      <c r="AB948" s="26"/>
      <c r="AC948" s="26"/>
      <c r="AD948" s="26"/>
      <c r="AE948" s="26"/>
      <c r="AF948" s="26"/>
      <c r="AG948" s="26"/>
      <c r="AH948" s="26"/>
      <c r="AI948" s="26"/>
      <c r="AJ948" s="26"/>
      <c r="AK948" s="26"/>
      <c r="AL948" s="26"/>
      <c r="AM948" s="26"/>
      <c r="AN948" s="26"/>
      <c r="AO948" s="26"/>
      <c r="AP948" s="26"/>
      <c r="AQ948" s="26"/>
      <c r="AR948" s="26"/>
      <c r="AS948" s="26"/>
      <c r="AT948" s="26"/>
      <c r="AU948" s="26"/>
      <c r="AV948" s="26"/>
      <c r="AW948" s="26"/>
      <c r="AX948" s="26"/>
      <c r="AY948" s="26"/>
      <c r="AZ948" s="26"/>
      <c r="BA948" s="26"/>
      <c r="BB948" s="26"/>
      <c r="BC948" s="26"/>
      <c r="BD948" s="26"/>
      <c r="BE948" s="26"/>
      <c r="BF948" s="26"/>
      <c r="BG948" s="26"/>
      <c r="BH948" s="26"/>
      <c r="BI948" s="26"/>
      <c r="BJ948" s="26"/>
      <c r="BK948" s="26"/>
    </row>
    <row r="949" ht="14.25" customHeight="1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  <c r="AA949" s="26"/>
      <c r="AB949" s="26"/>
      <c r="AC949" s="26"/>
      <c r="AD949" s="26"/>
      <c r="AE949" s="26"/>
      <c r="AF949" s="26"/>
      <c r="AG949" s="26"/>
      <c r="AH949" s="26"/>
      <c r="AI949" s="26"/>
      <c r="AJ949" s="26"/>
      <c r="AK949" s="26"/>
      <c r="AL949" s="26"/>
      <c r="AM949" s="26"/>
      <c r="AN949" s="26"/>
      <c r="AO949" s="26"/>
      <c r="AP949" s="26"/>
      <c r="AQ949" s="26"/>
      <c r="AR949" s="26"/>
      <c r="AS949" s="26"/>
      <c r="AT949" s="26"/>
      <c r="AU949" s="26"/>
      <c r="AV949" s="26"/>
      <c r="AW949" s="26"/>
      <c r="AX949" s="26"/>
      <c r="AY949" s="26"/>
      <c r="AZ949" s="26"/>
      <c r="BA949" s="26"/>
      <c r="BB949" s="26"/>
      <c r="BC949" s="26"/>
      <c r="BD949" s="26"/>
      <c r="BE949" s="26"/>
      <c r="BF949" s="26"/>
      <c r="BG949" s="26"/>
      <c r="BH949" s="26"/>
      <c r="BI949" s="26"/>
      <c r="BJ949" s="26"/>
      <c r="BK949" s="26"/>
    </row>
    <row r="950" ht="14.25" customHeight="1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  <c r="AA950" s="26"/>
      <c r="AB950" s="26"/>
      <c r="AC950" s="26"/>
      <c r="AD950" s="26"/>
      <c r="AE950" s="26"/>
      <c r="AF950" s="26"/>
      <c r="AG950" s="26"/>
      <c r="AH950" s="26"/>
      <c r="AI950" s="26"/>
      <c r="AJ950" s="26"/>
      <c r="AK950" s="26"/>
      <c r="AL950" s="26"/>
      <c r="AM950" s="26"/>
      <c r="AN950" s="26"/>
      <c r="AO950" s="26"/>
      <c r="AP950" s="26"/>
      <c r="AQ950" s="26"/>
      <c r="AR950" s="26"/>
      <c r="AS950" s="26"/>
      <c r="AT950" s="26"/>
      <c r="AU950" s="26"/>
      <c r="AV950" s="26"/>
      <c r="AW950" s="26"/>
      <c r="AX950" s="26"/>
      <c r="AY950" s="26"/>
      <c r="AZ950" s="26"/>
      <c r="BA950" s="26"/>
      <c r="BB950" s="26"/>
      <c r="BC950" s="26"/>
      <c r="BD950" s="26"/>
      <c r="BE950" s="26"/>
      <c r="BF950" s="26"/>
      <c r="BG950" s="26"/>
      <c r="BH950" s="26"/>
      <c r="BI950" s="26"/>
      <c r="BJ950" s="26"/>
      <c r="BK950" s="26"/>
    </row>
    <row r="951" ht="14.25" customHeight="1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  <c r="AA951" s="26"/>
      <c r="AB951" s="26"/>
      <c r="AC951" s="26"/>
      <c r="AD951" s="26"/>
      <c r="AE951" s="26"/>
      <c r="AF951" s="26"/>
      <c r="AG951" s="26"/>
      <c r="AH951" s="26"/>
      <c r="AI951" s="26"/>
      <c r="AJ951" s="26"/>
      <c r="AK951" s="26"/>
      <c r="AL951" s="26"/>
      <c r="AM951" s="26"/>
      <c r="AN951" s="26"/>
      <c r="AO951" s="26"/>
      <c r="AP951" s="26"/>
      <c r="AQ951" s="26"/>
      <c r="AR951" s="26"/>
      <c r="AS951" s="26"/>
      <c r="AT951" s="26"/>
      <c r="AU951" s="26"/>
      <c r="AV951" s="26"/>
      <c r="AW951" s="26"/>
      <c r="AX951" s="26"/>
      <c r="AY951" s="26"/>
      <c r="AZ951" s="26"/>
      <c r="BA951" s="26"/>
      <c r="BB951" s="26"/>
      <c r="BC951" s="26"/>
      <c r="BD951" s="26"/>
      <c r="BE951" s="26"/>
      <c r="BF951" s="26"/>
      <c r="BG951" s="26"/>
      <c r="BH951" s="26"/>
      <c r="BI951" s="26"/>
      <c r="BJ951" s="26"/>
      <c r="BK951" s="26"/>
    </row>
    <row r="952" ht="14.25" customHeight="1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  <c r="AA952" s="26"/>
      <c r="AB952" s="26"/>
      <c r="AC952" s="26"/>
      <c r="AD952" s="26"/>
      <c r="AE952" s="26"/>
      <c r="AF952" s="26"/>
      <c r="AG952" s="26"/>
      <c r="AH952" s="26"/>
      <c r="AI952" s="26"/>
      <c r="AJ952" s="26"/>
      <c r="AK952" s="26"/>
      <c r="AL952" s="26"/>
      <c r="AM952" s="26"/>
      <c r="AN952" s="26"/>
      <c r="AO952" s="26"/>
      <c r="AP952" s="26"/>
      <c r="AQ952" s="26"/>
      <c r="AR952" s="26"/>
      <c r="AS952" s="26"/>
      <c r="AT952" s="26"/>
      <c r="AU952" s="26"/>
      <c r="AV952" s="26"/>
      <c r="AW952" s="26"/>
      <c r="AX952" s="26"/>
      <c r="AY952" s="26"/>
      <c r="AZ952" s="26"/>
      <c r="BA952" s="26"/>
      <c r="BB952" s="26"/>
      <c r="BC952" s="26"/>
      <c r="BD952" s="26"/>
      <c r="BE952" s="26"/>
      <c r="BF952" s="26"/>
      <c r="BG952" s="26"/>
      <c r="BH952" s="26"/>
      <c r="BI952" s="26"/>
      <c r="BJ952" s="26"/>
      <c r="BK952" s="26"/>
    </row>
    <row r="953" ht="14.25" customHeight="1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  <c r="AA953" s="26"/>
      <c r="AB953" s="26"/>
      <c r="AC953" s="26"/>
      <c r="AD953" s="26"/>
      <c r="AE953" s="26"/>
      <c r="AF953" s="26"/>
      <c r="AG953" s="26"/>
      <c r="AH953" s="26"/>
      <c r="AI953" s="26"/>
      <c r="AJ953" s="26"/>
      <c r="AK953" s="26"/>
      <c r="AL953" s="26"/>
      <c r="AM953" s="26"/>
      <c r="AN953" s="26"/>
      <c r="AO953" s="26"/>
      <c r="AP953" s="26"/>
      <c r="AQ953" s="26"/>
      <c r="AR953" s="26"/>
      <c r="AS953" s="26"/>
      <c r="AT953" s="26"/>
      <c r="AU953" s="26"/>
      <c r="AV953" s="26"/>
      <c r="AW953" s="26"/>
      <c r="AX953" s="26"/>
      <c r="AY953" s="26"/>
      <c r="AZ953" s="26"/>
      <c r="BA953" s="26"/>
      <c r="BB953" s="26"/>
      <c r="BC953" s="26"/>
      <c r="BD953" s="26"/>
      <c r="BE953" s="26"/>
      <c r="BF953" s="26"/>
      <c r="BG953" s="26"/>
      <c r="BH953" s="26"/>
      <c r="BI953" s="26"/>
      <c r="BJ953" s="26"/>
      <c r="BK953" s="26"/>
    </row>
    <row r="954" ht="14.25" customHeight="1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  <c r="AA954" s="26"/>
      <c r="AB954" s="26"/>
      <c r="AC954" s="26"/>
      <c r="AD954" s="26"/>
      <c r="AE954" s="26"/>
      <c r="AF954" s="26"/>
      <c r="AG954" s="26"/>
      <c r="AH954" s="26"/>
      <c r="AI954" s="26"/>
      <c r="AJ954" s="26"/>
      <c r="AK954" s="26"/>
      <c r="AL954" s="26"/>
      <c r="AM954" s="26"/>
      <c r="AN954" s="26"/>
      <c r="AO954" s="26"/>
      <c r="AP954" s="26"/>
      <c r="AQ954" s="26"/>
      <c r="AR954" s="26"/>
      <c r="AS954" s="26"/>
      <c r="AT954" s="26"/>
      <c r="AU954" s="26"/>
      <c r="AV954" s="26"/>
      <c r="AW954" s="26"/>
      <c r="AX954" s="26"/>
      <c r="AY954" s="26"/>
      <c r="AZ954" s="26"/>
      <c r="BA954" s="26"/>
      <c r="BB954" s="26"/>
      <c r="BC954" s="26"/>
      <c r="BD954" s="26"/>
      <c r="BE954" s="26"/>
      <c r="BF954" s="26"/>
      <c r="BG954" s="26"/>
      <c r="BH954" s="26"/>
      <c r="BI954" s="26"/>
      <c r="BJ954" s="26"/>
      <c r="BK954" s="26"/>
    </row>
    <row r="955" ht="14.25" customHeight="1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  <c r="AA955" s="26"/>
      <c r="AB955" s="26"/>
      <c r="AC955" s="26"/>
      <c r="AD955" s="26"/>
      <c r="AE955" s="26"/>
      <c r="AF955" s="26"/>
      <c r="AG955" s="26"/>
      <c r="AH955" s="26"/>
      <c r="AI955" s="26"/>
      <c r="AJ955" s="26"/>
      <c r="AK955" s="26"/>
      <c r="AL955" s="26"/>
      <c r="AM955" s="26"/>
      <c r="AN955" s="26"/>
      <c r="AO955" s="26"/>
      <c r="AP955" s="26"/>
      <c r="AQ955" s="26"/>
      <c r="AR955" s="26"/>
      <c r="AS955" s="26"/>
      <c r="AT955" s="26"/>
      <c r="AU955" s="26"/>
      <c r="AV955" s="26"/>
      <c r="AW955" s="26"/>
      <c r="AX955" s="26"/>
      <c r="AY955" s="26"/>
      <c r="AZ955" s="26"/>
      <c r="BA955" s="26"/>
      <c r="BB955" s="26"/>
      <c r="BC955" s="26"/>
      <c r="BD955" s="26"/>
      <c r="BE955" s="26"/>
      <c r="BF955" s="26"/>
      <c r="BG955" s="26"/>
      <c r="BH955" s="26"/>
      <c r="BI955" s="26"/>
      <c r="BJ955" s="26"/>
      <c r="BK955" s="26"/>
    </row>
    <row r="956" ht="14.25" customHeight="1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  <c r="AA956" s="26"/>
      <c r="AB956" s="26"/>
      <c r="AC956" s="26"/>
      <c r="AD956" s="26"/>
      <c r="AE956" s="26"/>
      <c r="AF956" s="26"/>
      <c r="AG956" s="26"/>
      <c r="AH956" s="26"/>
      <c r="AI956" s="26"/>
      <c r="AJ956" s="26"/>
      <c r="AK956" s="26"/>
      <c r="AL956" s="26"/>
      <c r="AM956" s="26"/>
      <c r="AN956" s="26"/>
      <c r="AO956" s="26"/>
      <c r="AP956" s="26"/>
      <c r="AQ956" s="26"/>
      <c r="AR956" s="26"/>
      <c r="AS956" s="26"/>
      <c r="AT956" s="26"/>
      <c r="AU956" s="26"/>
      <c r="AV956" s="26"/>
      <c r="AW956" s="26"/>
      <c r="AX956" s="26"/>
      <c r="AY956" s="26"/>
      <c r="AZ956" s="26"/>
      <c r="BA956" s="26"/>
      <c r="BB956" s="26"/>
      <c r="BC956" s="26"/>
      <c r="BD956" s="26"/>
      <c r="BE956" s="26"/>
      <c r="BF956" s="26"/>
      <c r="BG956" s="26"/>
      <c r="BH956" s="26"/>
      <c r="BI956" s="26"/>
      <c r="BJ956" s="26"/>
      <c r="BK956" s="26"/>
    </row>
    <row r="957" ht="14.25" customHeight="1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  <c r="AA957" s="26"/>
      <c r="AB957" s="26"/>
      <c r="AC957" s="26"/>
      <c r="AD957" s="26"/>
      <c r="AE957" s="26"/>
      <c r="AF957" s="26"/>
      <c r="AG957" s="26"/>
      <c r="AH957" s="26"/>
      <c r="AI957" s="26"/>
      <c r="AJ957" s="26"/>
      <c r="AK957" s="26"/>
      <c r="AL957" s="26"/>
      <c r="AM957" s="26"/>
      <c r="AN957" s="26"/>
      <c r="AO957" s="26"/>
      <c r="AP957" s="26"/>
      <c r="AQ957" s="26"/>
      <c r="AR957" s="26"/>
      <c r="AS957" s="26"/>
      <c r="AT957" s="26"/>
      <c r="AU957" s="26"/>
      <c r="AV957" s="26"/>
      <c r="AW957" s="26"/>
      <c r="AX957" s="26"/>
      <c r="AY957" s="26"/>
      <c r="AZ957" s="26"/>
      <c r="BA957" s="26"/>
      <c r="BB957" s="26"/>
      <c r="BC957" s="26"/>
      <c r="BD957" s="26"/>
      <c r="BE957" s="26"/>
      <c r="BF957" s="26"/>
      <c r="BG957" s="26"/>
      <c r="BH957" s="26"/>
      <c r="BI957" s="26"/>
      <c r="BJ957" s="26"/>
      <c r="BK957" s="26"/>
    </row>
    <row r="958" ht="14.25" customHeight="1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  <c r="AA958" s="26"/>
      <c r="AB958" s="26"/>
      <c r="AC958" s="26"/>
      <c r="AD958" s="26"/>
      <c r="AE958" s="26"/>
      <c r="AF958" s="26"/>
      <c r="AG958" s="26"/>
      <c r="AH958" s="26"/>
      <c r="AI958" s="26"/>
      <c r="AJ958" s="26"/>
      <c r="AK958" s="26"/>
      <c r="AL958" s="26"/>
      <c r="AM958" s="26"/>
      <c r="AN958" s="26"/>
      <c r="AO958" s="26"/>
      <c r="AP958" s="26"/>
      <c r="AQ958" s="26"/>
      <c r="AR958" s="26"/>
      <c r="AS958" s="26"/>
      <c r="AT958" s="26"/>
      <c r="AU958" s="26"/>
      <c r="AV958" s="26"/>
      <c r="AW958" s="26"/>
      <c r="AX958" s="26"/>
      <c r="AY958" s="26"/>
      <c r="AZ958" s="26"/>
      <c r="BA958" s="26"/>
      <c r="BB958" s="26"/>
      <c r="BC958" s="26"/>
      <c r="BD958" s="26"/>
      <c r="BE958" s="26"/>
      <c r="BF958" s="26"/>
      <c r="BG958" s="26"/>
      <c r="BH958" s="26"/>
      <c r="BI958" s="26"/>
      <c r="BJ958" s="26"/>
      <c r="BK958" s="26"/>
    </row>
    <row r="959" ht="14.25" customHeight="1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  <c r="AA959" s="26"/>
      <c r="AB959" s="26"/>
      <c r="AC959" s="26"/>
      <c r="AD959" s="26"/>
      <c r="AE959" s="26"/>
      <c r="AF959" s="26"/>
      <c r="AG959" s="26"/>
      <c r="AH959" s="26"/>
      <c r="AI959" s="26"/>
      <c r="AJ959" s="26"/>
      <c r="AK959" s="26"/>
      <c r="AL959" s="26"/>
      <c r="AM959" s="26"/>
      <c r="AN959" s="26"/>
      <c r="AO959" s="26"/>
      <c r="AP959" s="26"/>
      <c r="AQ959" s="26"/>
      <c r="AR959" s="26"/>
      <c r="AS959" s="26"/>
      <c r="AT959" s="26"/>
      <c r="AU959" s="26"/>
      <c r="AV959" s="26"/>
      <c r="AW959" s="26"/>
      <c r="AX959" s="26"/>
      <c r="AY959" s="26"/>
      <c r="AZ959" s="26"/>
      <c r="BA959" s="26"/>
      <c r="BB959" s="26"/>
      <c r="BC959" s="26"/>
      <c r="BD959" s="26"/>
      <c r="BE959" s="26"/>
      <c r="BF959" s="26"/>
      <c r="BG959" s="26"/>
      <c r="BH959" s="26"/>
      <c r="BI959" s="26"/>
      <c r="BJ959" s="26"/>
      <c r="BK959" s="26"/>
    </row>
    <row r="960" ht="14.25" customHeight="1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  <c r="AA960" s="26"/>
      <c r="AB960" s="26"/>
      <c r="AC960" s="26"/>
      <c r="AD960" s="26"/>
      <c r="AE960" s="26"/>
      <c r="AF960" s="26"/>
      <c r="AG960" s="26"/>
      <c r="AH960" s="26"/>
      <c r="AI960" s="26"/>
      <c r="AJ960" s="26"/>
      <c r="AK960" s="26"/>
      <c r="AL960" s="26"/>
      <c r="AM960" s="26"/>
      <c r="AN960" s="26"/>
      <c r="AO960" s="26"/>
      <c r="AP960" s="26"/>
      <c r="AQ960" s="26"/>
      <c r="AR960" s="26"/>
      <c r="AS960" s="26"/>
      <c r="AT960" s="26"/>
      <c r="AU960" s="26"/>
      <c r="AV960" s="26"/>
      <c r="AW960" s="26"/>
      <c r="AX960" s="26"/>
      <c r="AY960" s="26"/>
      <c r="AZ960" s="26"/>
      <c r="BA960" s="26"/>
      <c r="BB960" s="26"/>
      <c r="BC960" s="26"/>
      <c r="BD960" s="26"/>
      <c r="BE960" s="26"/>
      <c r="BF960" s="26"/>
      <c r="BG960" s="26"/>
      <c r="BH960" s="26"/>
      <c r="BI960" s="26"/>
      <c r="BJ960" s="26"/>
      <c r="BK960" s="26"/>
    </row>
    <row r="961" ht="14.25" customHeight="1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  <c r="AA961" s="26"/>
      <c r="AB961" s="26"/>
      <c r="AC961" s="26"/>
      <c r="AD961" s="26"/>
      <c r="AE961" s="26"/>
      <c r="AF961" s="26"/>
      <c r="AG961" s="26"/>
      <c r="AH961" s="26"/>
      <c r="AI961" s="26"/>
      <c r="AJ961" s="26"/>
      <c r="AK961" s="26"/>
      <c r="AL961" s="26"/>
      <c r="AM961" s="26"/>
      <c r="AN961" s="26"/>
      <c r="AO961" s="26"/>
      <c r="AP961" s="26"/>
      <c r="AQ961" s="26"/>
      <c r="AR961" s="26"/>
      <c r="AS961" s="26"/>
      <c r="AT961" s="26"/>
      <c r="AU961" s="26"/>
      <c r="AV961" s="26"/>
      <c r="AW961" s="26"/>
      <c r="AX961" s="26"/>
      <c r="AY961" s="26"/>
      <c r="AZ961" s="26"/>
      <c r="BA961" s="26"/>
      <c r="BB961" s="26"/>
      <c r="BC961" s="26"/>
      <c r="BD961" s="26"/>
      <c r="BE961" s="26"/>
      <c r="BF961" s="26"/>
      <c r="BG961" s="26"/>
      <c r="BH961" s="26"/>
      <c r="BI961" s="26"/>
      <c r="BJ961" s="26"/>
      <c r="BK961" s="26"/>
    </row>
    <row r="962" ht="14.25" customHeight="1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  <c r="AA962" s="26"/>
      <c r="AB962" s="26"/>
      <c r="AC962" s="26"/>
      <c r="AD962" s="26"/>
      <c r="AE962" s="26"/>
      <c r="AF962" s="26"/>
      <c r="AG962" s="26"/>
      <c r="AH962" s="26"/>
      <c r="AI962" s="26"/>
      <c r="AJ962" s="26"/>
      <c r="AK962" s="26"/>
      <c r="AL962" s="26"/>
      <c r="AM962" s="26"/>
      <c r="AN962" s="26"/>
      <c r="AO962" s="26"/>
      <c r="AP962" s="26"/>
      <c r="AQ962" s="26"/>
      <c r="AR962" s="26"/>
      <c r="AS962" s="26"/>
      <c r="AT962" s="26"/>
      <c r="AU962" s="26"/>
      <c r="AV962" s="26"/>
      <c r="AW962" s="26"/>
      <c r="AX962" s="26"/>
      <c r="AY962" s="26"/>
      <c r="AZ962" s="26"/>
      <c r="BA962" s="26"/>
      <c r="BB962" s="26"/>
      <c r="BC962" s="26"/>
      <c r="BD962" s="26"/>
      <c r="BE962" s="26"/>
      <c r="BF962" s="26"/>
      <c r="BG962" s="26"/>
      <c r="BH962" s="26"/>
      <c r="BI962" s="26"/>
      <c r="BJ962" s="26"/>
      <c r="BK962" s="26"/>
    </row>
    <row r="963" ht="14.25" customHeight="1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  <c r="AA963" s="26"/>
      <c r="AB963" s="26"/>
      <c r="AC963" s="26"/>
      <c r="AD963" s="26"/>
      <c r="AE963" s="26"/>
      <c r="AF963" s="26"/>
      <c r="AG963" s="26"/>
      <c r="AH963" s="26"/>
      <c r="AI963" s="26"/>
      <c r="AJ963" s="26"/>
      <c r="AK963" s="26"/>
      <c r="AL963" s="26"/>
      <c r="AM963" s="26"/>
      <c r="AN963" s="26"/>
      <c r="AO963" s="26"/>
      <c r="AP963" s="26"/>
      <c r="AQ963" s="26"/>
      <c r="AR963" s="26"/>
      <c r="AS963" s="26"/>
      <c r="AT963" s="26"/>
      <c r="AU963" s="26"/>
      <c r="AV963" s="26"/>
      <c r="AW963" s="26"/>
      <c r="AX963" s="26"/>
      <c r="AY963" s="26"/>
      <c r="AZ963" s="26"/>
      <c r="BA963" s="26"/>
      <c r="BB963" s="26"/>
      <c r="BC963" s="26"/>
      <c r="BD963" s="26"/>
      <c r="BE963" s="26"/>
      <c r="BF963" s="26"/>
      <c r="BG963" s="26"/>
      <c r="BH963" s="26"/>
      <c r="BI963" s="26"/>
      <c r="BJ963" s="26"/>
      <c r="BK963" s="26"/>
    </row>
    <row r="964" ht="14.25" customHeight="1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  <c r="AA964" s="26"/>
      <c r="AB964" s="26"/>
      <c r="AC964" s="26"/>
      <c r="AD964" s="26"/>
      <c r="AE964" s="26"/>
      <c r="AF964" s="26"/>
      <c r="AG964" s="26"/>
      <c r="AH964" s="26"/>
      <c r="AI964" s="26"/>
      <c r="AJ964" s="26"/>
      <c r="AK964" s="26"/>
      <c r="AL964" s="26"/>
      <c r="AM964" s="26"/>
      <c r="AN964" s="26"/>
      <c r="AO964" s="26"/>
      <c r="AP964" s="26"/>
      <c r="AQ964" s="26"/>
      <c r="AR964" s="26"/>
      <c r="AS964" s="26"/>
      <c r="AT964" s="26"/>
      <c r="AU964" s="26"/>
      <c r="AV964" s="26"/>
      <c r="AW964" s="26"/>
      <c r="AX964" s="26"/>
      <c r="AY964" s="26"/>
      <c r="AZ964" s="26"/>
      <c r="BA964" s="26"/>
      <c r="BB964" s="26"/>
      <c r="BC964" s="26"/>
      <c r="BD964" s="26"/>
      <c r="BE964" s="26"/>
      <c r="BF964" s="26"/>
      <c r="BG964" s="26"/>
      <c r="BH964" s="26"/>
      <c r="BI964" s="26"/>
      <c r="BJ964" s="26"/>
      <c r="BK964" s="26"/>
    </row>
    <row r="965" ht="14.25" customHeight="1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  <c r="AA965" s="26"/>
      <c r="AB965" s="26"/>
      <c r="AC965" s="26"/>
      <c r="AD965" s="26"/>
      <c r="AE965" s="26"/>
      <c r="AF965" s="26"/>
      <c r="AG965" s="26"/>
      <c r="AH965" s="26"/>
      <c r="AI965" s="26"/>
      <c r="AJ965" s="26"/>
      <c r="AK965" s="26"/>
      <c r="AL965" s="26"/>
      <c r="AM965" s="26"/>
      <c r="AN965" s="26"/>
      <c r="AO965" s="26"/>
      <c r="AP965" s="26"/>
      <c r="AQ965" s="26"/>
      <c r="AR965" s="26"/>
      <c r="AS965" s="26"/>
      <c r="AT965" s="26"/>
      <c r="AU965" s="26"/>
      <c r="AV965" s="26"/>
      <c r="AW965" s="26"/>
      <c r="AX965" s="26"/>
      <c r="AY965" s="26"/>
      <c r="AZ965" s="26"/>
      <c r="BA965" s="26"/>
      <c r="BB965" s="26"/>
      <c r="BC965" s="26"/>
      <c r="BD965" s="26"/>
      <c r="BE965" s="26"/>
      <c r="BF965" s="26"/>
      <c r="BG965" s="26"/>
      <c r="BH965" s="26"/>
      <c r="BI965" s="26"/>
      <c r="BJ965" s="26"/>
      <c r="BK965" s="26"/>
    </row>
    <row r="966" ht="14.25" customHeight="1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  <c r="AA966" s="26"/>
      <c r="AB966" s="26"/>
      <c r="AC966" s="26"/>
      <c r="AD966" s="26"/>
      <c r="AE966" s="26"/>
      <c r="AF966" s="26"/>
      <c r="AG966" s="26"/>
      <c r="AH966" s="26"/>
      <c r="AI966" s="26"/>
      <c r="AJ966" s="26"/>
      <c r="AK966" s="26"/>
      <c r="AL966" s="26"/>
      <c r="AM966" s="26"/>
      <c r="AN966" s="26"/>
      <c r="AO966" s="26"/>
      <c r="AP966" s="26"/>
      <c r="AQ966" s="26"/>
      <c r="AR966" s="26"/>
      <c r="AS966" s="26"/>
      <c r="AT966" s="26"/>
      <c r="AU966" s="26"/>
      <c r="AV966" s="26"/>
      <c r="AW966" s="26"/>
      <c r="AX966" s="26"/>
      <c r="AY966" s="26"/>
      <c r="AZ966" s="26"/>
      <c r="BA966" s="26"/>
      <c r="BB966" s="26"/>
      <c r="BC966" s="26"/>
      <c r="BD966" s="26"/>
      <c r="BE966" s="26"/>
      <c r="BF966" s="26"/>
      <c r="BG966" s="26"/>
      <c r="BH966" s="26"/>
      <c r="BI966" s="26"/>
      <c r="BJ966" s="26"/>
      <c r="BK966" s="26"/>
    </row>
    <row r="967" ht="14.25" customHeight="1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  <c r="AA967" s="26"/>
      <c r="AB967" s="26"/>
      <c r="AC967" s="26"/>
      <c r="AD967" s="26"/>
      <c r="AE967" s="26"/>
      <c r="AF967" s="26"/>
      <c r="AG967" s="26"/>
      <c r="AH967" s="26"/>
      <c r="AI967" s="26"/>
      <c r="AJ967" s="26"/>
      <c r="AK967" s="26"/>
      <c r="AL967" s="26"/>
      <c r="AM967" s="26"/>
      <c r="AN967" s="26"/>
      <c r="AO967" s="26"/>
      <c r="AP967" s="26"/>
      <c r="AQ967" s="26"/>
      <c r="AR967" s="26"/>
      <c r="AS967" s="26"/>
      <c r="AT967" s="26"/>
      <c r="AU967" s="26"/>
      <c r="AV967" s="26"/>
      <c r="AW967" s="26"/>
      <c r="AX967" s="26"/>
      <c r="AY967" s="26"/>
      <c r="AZ967" s="26"/>
      <c r="BA967" s="26"/>
      <c r="BB967" s="26"/>
      <c r="BC967" s="26"/>
      <c r="BD967" s="26"/>
      <c r="BE967" s="26"/>
      <c r="BF967" s="26"/>
      <c r="BG967" s="26"/>
      <c r="BH967" s="26"/>
      <c r="BI967" s="26"/>
      <c r="BJ967" s="26"/>
      <c r="BK967" s="26"/>
    </row>
    <row r="968" ht="14.25" customHeight="1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  <c r="AA968" s="26"/>
      <c r="AB968" s="26"/>
      <c r="AC968" s="26"/>
      <c r="AD968" s="26"/>
      <c r="AE968" s="26"/>
      <c r="AF968" s="26"/>
      <c r="AG968" s="26"/>
      <c r="AH968" s="26"/>
      <c r="AI968" s="26"/>
      <c r="AJ968" s="26"/>
      <c r="AK968" s="26"/>
      <c r="AL968" s="26"/>
      <c r="AM968" s="26"/>
      <c r="AN968" s="26"/>
      <c r="AO968" s="26"/>
      <c r="AP968" s="26"/>
      <c r="AQ968" s="26"/>
      <c r="AR968" s="26"/>
      <c r="AS968" s="26"/>
      <c r="AT968" s="26"/>
      <c r="AU968" s="26"/>
      <c r="AV968" s="26"/>
      <c r="AW968" s="26"/>
      <c r="AX968" s="26"/>
      <c r="AY968" s="26"/>
      <c r="AZ968" s="26"/>
      <c r="BA968" s="26"/>
      <c r="BB968" s="26"/>
      <c r="BC968" s="26"/>
      <c r="BD968" s="26"/>
      <c r="BE968" s="26"/>
      <c r="BF968" s="26"/>
      <c r="BG968" s="26"/>
      <c r="BH968" s="26"/>
      <c r="BI968" s="26"/>
      <c r="BJ968" s="26"/>
      <c r="BK968" s="26"/>
    </row>
    <row r="969" ht="14.25" customHeight="1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  <c r="AA969" s="26"/>
      <c r="AB969" s="26"/>
      <c r="AC969" s="26"/>
      <c r="AD969" s="26"/>
      <c r="AE969" s="26"/>
      <c r="AF969" s="26"/>
      <c r="AG969" s="26"/>
      <c r="AH969" s="26"/>
      <c r="AI969" s="26"/>
      <c r="AJ969" s="26"/>
      <c r="AK969" s="26"/>
      <c r="AL969" s="26"/>
      <c r="AM969" s="26"/>
      <c r="AN969" s="26"/>
      <c r="AO969" s="26"/>
      <c r="AP969" s="26"/>
      <c r="AQ969" s="26"/>
      <c r="AR969" s="26"/>
      <c r="AS969" s="26"/>
      <c r="AT969" s="26"/>
      <c r="AU969" s="26"/>
      <c r="AV969" s="26"/>
      <c r="AW969" s="26"/>
      <c r="AX969" s="26"/>
      <c r="AY969" s="26"/>
      <c r="AZ969" s="26"/>
      <c r="BA969" s="26"/>
      <c r="BB969" s="26"/>
      <c r="BC969" s="26"/>
      <c r="BD969" s="26"/>
      <c r="BE969" s="26"/>
      <c r="BF969" s="26"/>
      <c r="BG969" s="26"/>
      <c r="BH969" s="26"/>
      <c r="BI969" s="26"/>
      <c r="BJ969" s="26"/>
      <c r="BK969" s="26"/>
    </row>
    <row r="970" ht="14.25" customHeight="1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  <c r="AA970" s="26"/>
      <c r="AB970" s="26"/>
      <c r="AC970" s="26"/>
      <c r="AD970" s="26"/>
      <c r="AE970" s="26"/>
      <c r="AF970" s="26"/>
      <c r="AG970" s="26"/>
      <c r="AH970" s="26"/>
      <c r="AI970" s="26"/>
      <c r="AJ970" s="26"/>
      <c r="AK970" s="26"/>
      <c r="AL970" s="26"/>
      <c r="AM970" s="26"/>
      <c r="AN970" s="26"/>
      <c r="AO970" s="26"/>
      <c r="AP970" s="26"/>
      <c r="AQ970" s="26"/>
      <c r="AR970" s="26"/>
      <c r="AS970" s="26"/>
      <c r="AT970" s="26"/>
      <c r="AU970" s="26"/>
      <c r="AV970" s="26"/>
      <c r="AW970" s="26"/>
      <c r="AX970" s="26"/>
      <c r="AY970" s="26"/>
      <c r="AZ970" s="26"/>
      <c r="BA970" s="26"/>
      <c r="BB970" s="26"/>
      <c r="BC970" s="26"/>
      <c r="BD970" s="26"/>
      <c r="BE970" s="26"/>
      <c r="BF970" s="26"/>
      <c r="BG970" s="26"/>
      <c r="BH970" s="26"/>
      <c r="BI970" s="26"/>
      <c r="BJ970" s="26"/>
      <c r="BK970" s="26"/>
    </row>
    <row r="971" ht="14.25" customHeight="1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  <c r="AA971" s="26"/>
      <c r="AB971" s="26"/>
      <c r="AC971" s="26"/>
      <c r="AD971" s="26"/>
      <c r="AE971" s="26"/>
      <c r="AF971" s="26"/>
      <c r="AG971" s="26"/>
      <c r="AH971" s="26"/>
      <c r="AI971" s="26"/>
      <c r="AJ971" s="26"/>
      <c r="AK971" s="26"/>
      <c r="AL971" s="26"/>
      <c r="AM971" s="26"/>
      <c r="AN971" s="26"/>
      <c r="AO971" s="26"/>
      <c r="AP971" s="26"/>
      <c r="AQ971" s="26"/>
      <c r="AR971" s="26"/>
      <c r="AS971" s="26"/>
      <c r="AT971" s="26"/>
      <c r="AU971" s="26"/>
      <c r="AV971" s="26"/>
      <c r="AW971" s="26"/>
      <c r="AX971" s="26"/>
      <c r="AY971" s="26"/>
      <c r="AZ971" s="26"/>
      <c r="BA971" s="26"/>
      <c r="BB971" s="26"/>
      <c r="BC971" s="26"/>
      <c r="BD971" s="26"/>
      <c r="BE971" s="26"/>
      <c r="BF971" s="26"/>
      <c r="BG971" s="26"/>
      <c r="BH971" s="26"/>
      <c r="BI971" s="26"/>
      <c r="BJ971" s="26"/>
      <c r="BK971" s="26"/>
    </row>
    <row r="972" ht="14.25" customHeight="1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  <c r="AA972" s="26"/>
      <c r="AB972" s="26"/>
      <c r="AC972" s="26"/>
      <c r="AD972" s="26"/>
      <c r="AE972" s="26"/>
      <c r="AF972" s="26"/>
      <c r="AG972" s="26"/>
      <c r="AH972" s="26"/>
      <c r="AI972" s="26"/>
      <c r="AJ972" s="26"/>
      <c r="AK972" s="26"/>
      <c r="AL972" s="26"/>
      <c r="AM972" s="26"/>
      <c r="AN972" s="26"/>
      <c r="AO972" s="26"/>
      <c r="AP972" s="26"/>
      <c r="AQ972" s="26"/>
      <c r="AR972" s="26"/>
      <c r="AS972" s="26"/>
      <c r="AT972" s="26"/>
      <c r="AU972" s="26"/>
      <c r="AV972" s="26"/>
      <c r="AW972" s="26"/>
      <c r="AX972" s="26"/>
      <c r="AY972" s="26"/>
      <c r="AZ972" s="26"/>
      <c r="BA972" s="26"/>
      <c r="BB972" s="26"/>
      <c r="BC972" s="26"/>
      <c r="BD972" s="26"/>
      <c r="BE972" s="26"/>
      <c r="BF972" s="26"/>
      <c r="BG972" s="26"/>
      <c r="BH972" s="26"/>
      <c r="BI972" s="26"/>
      <c r="BJ972" s="26"/>
      <c r="BK972" s="26"/>
    </row>
    <row r="973" ht="14.25" customHeight="1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  <c r="AA973" s="26"/>
      <c r="AB973" s="26"/>
      <c r="AC973" s="26"/>
      <c r="AD973" s="26"/>
      <c r="AE973" s="26"/>
      <c r="AF973" s="26"/>
      <c r="AG973" s="26"/>
      <c r="AH973" s="26"/>
      <c r="AI973" s="26"/>
      <c r="AJ973" s="26"/>
      <c r="AK973" s="26"/>
      <c r="AL973" s="26"/>
      <c r="AM973" s="26"/>
      <c r="AN973" s="26"/>
      <c r="AO973" s="26"/>
      <c r="AP973" s="26"/>
      <c r="AQ973" s="26"/>
      <c r="AR973" s="26"/>
      <c r="AS973" s="26"/>
      <c r="AT973" s="26"/>
      <c r="AU973" s="26"/>
      <c r="AV973" s="26"/>
      <c r="AW973" s="26"/>
      <c r="AX973" s="26"/>
      <c r="AY973" s="26"/>
      <c r="AZ973" s="26"/>
      <c r="BA973" s="26"/>
      <c r="BB973" s="26"/>
      <c r="BC973" s="26"/>
      <c r="BD973" s="26"/>
      <c r="BE973" s="26"/>
      <c r="BF973" s="26"/>
      <c r="BG973" s="26"/>
      <c r="BH973" s="26"/>
      <c r="BI973" s="26"/>
      <c r="BJ973" s="26"/>
      <c r="BK973" s="26"/>
    </row>
    <row r="974" ht="14.25" customHeight="1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  <c r="AA974" s="26"/>
      <c r="AB974" s="26"/>
      <c r="AC974" s="26"/>
      <c r="AD974" s="26"/>
      <c r="AE974" s="26"/>
      <c r="AF974" s="26"/>
      <c r="AG974" s="26"/>
      <c r="AH974" s="26"/>
      <c r="AI974" s="26"/>
      <c r="AJ974" s="26"/>
      <c r="AK974" s="26"/>
      <c r="AL974" s="26"/>
      <c r="AM974" s="26"/>
      <c r="AN974" s="26"/>
      <c r="AO974" s="26"/>
      <c r="AP974" s="26"/>
      <c r="AQ974" s="26"/>
      <c r="AR974" s="26"/>
      <c r="AS974" s="26"/>
      <c r="AT974" s="26"/>
      <c r="AU974" s="26"/>
      <c r="AV974" s="26"/>
      <c r="AW974" s="26"/>
      <c r="AX974" s="26"/>
      <c r="AY974" s="26"/>
      <c r="AZ974" s="26"/>
      <c r="BA974" s="26"/>
      <c r="BB974" s="26"/>
      <c r="BC974" s="26"/>
      <c r="BD974" s="26"/>
      <c r="BE974" s="26"/>
      <c r="BF974" s="26"/>
      <c r="BG974" s="26"/>
      <c r="BH974" s="26"/>
      <c r="BI974" s="26"/>
      <c r="BJ974" s="26"/>
      <c r="BK974" s="26"/>
    </row>
    <row r="975" ht="14.25" customHeight="1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  <c r="AA975" s="26"/>
      <c r="AB975" s="26"/>
      <c r="AC975" s="26"/>
      <c r="AD975" s="26"/>
      <c r="AE975" s="26"/>
      <c r="AF975" s="26"/>
      <c r="AG975" s="26"/>
      <c r="AH975" s="26"/>
      <c r="AI975" s="26"/>
      <c r="AJ975" s="26"/>
      <c r="AK975" s="26"/>
      <c r="AL975" s="26"/>
      <c r="AM975" s="26"/>
      <c r="AN975" s="26"/>
      <c r="AO975" s="26"/>
      <c r="AP975" s="26"/>
      <c r="AQ975" s="26"/>
      <c r="AR975" s="26"/>
      <c r="AS975" s="26"/>
      <c r="AT975" s="26"/>
      <c r="AU975" s="26"/>
      <c r="AV975" s="26"/>
      <c r="AW975" s="26"/>
      <c r="AX975" s="26"/>
      <c r="AY975" s="26"/>
      <c r="AZ975" s="26"/>
      <c r="BA975" s="26"/>
      <c r="BB975" s="26"/>
      <c r="BC975" s="26"/>
      <c r="BD975" s="26"/>
      <c r="BE975" s="26"/>
      <c r="BF975" s="26"/>
      <c r="BG975" s="26"/>
      <c r="BH975" s="26"/>
      <c r="BI975" s="26"/>
      <c r="BJ975" s="26"/>
      <c r="BK975" s="26"/>
    </row>
    <row r="976" ht="14.25" customHeight="1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  <c r="AA976" s="26"/>
      <c r="AB976" s="26"/>
      <c r="AC976" s="26"/>
      <c r="AD976" s="26"/>
      <c r="AE976" s="26"/>
      <c r="AF976" s="26"/>
      <c r="AG976" s="26"/>
      <c r="AH976" s="26"/>
      <c r="AI976" s="26"/>
      <c r="AJ976" s="26"/>
      <c r="AK976" s="26"/>
      <c r="AL976" s="26"/>
      <c r="AM976" s="26"/>
      <c r="AN976" s="26"/>
      <c r="AO976" s="26"/>
      <c r="AP976" s="26"/>
      <c r="AQ976" s="26"/>
      <c r="AR976" s="26"/>
      <c r="AS976" s="26"/>
      <c r="AT976" s="26"/>
      <c r="AU976" s="26"/>
      <c r="AV976" s="26"/>
      <c r="AW976" s="26"/>
      <c r="AX976" s="26"/>
      <c r="AY976" s="26"/>
      <c r="AZ976" s="26"/>
      <c r="BA976" s="26"/>
      <c r="BB976" s="26"/>
      <c r="BC976" s="26"/>
      <c r="BD976" s="26"/>
      <c r="BE976" s="26"/>
      <c r="BF976" s="26"/>
      <c r="BG976" s="26"/>
      <c r="BH976" s="26"/>
      <c r="BI976" s="26"/>
      <c r="BJ976" s="26"/>
      <c r="BK976" s="26"/>
    </row>
    <row r="977" ht="14.25" customHeight="1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  <c r="AA977" s="26"/>
      <c r="AB977" s="26"/>
      <c r="AC977" s="26"/>
      <c r="AD977" s="26"/>
      <c r="AE977" s="26"/>
      <c r="AF977" s="26"/>
      <c r="AG977" s="26"/>
      <c r="AH977" s="26"/>
      <c r="AI977" s="26"/>
      <c r="AJ977" s="26"/>
      <c r="AK977" s="26"/>
      <c r="AL977" s="26"/>
      <c r="AM977" s="26"/>
      <c r="AN977" s="26"/>
      <c r="AO977" s="26"/>
      <c r="AP977" s="26"/>
      <c r="AQ977" s="26"/>
      <c r="AR977" s="26"/>
      <c r="AS977" s="26"/>
      <c r="AT977" s="26"/>
      <c r="AU977" s="26"/>
      <c r="AV977" s="26"/>
      <c r="AW977" s="26"/>
      <c r="AX977" s="26"/>
      <c r="AY977" s="26"/>
      <c r="AZ977" s="26"/>
      <c r="BA977" s="26"/>
      <c r="BB977" s="26"/>
      <c r="BC977" s="26"/>
      <c r="BD977" s="26"/>
      <c r="BE977" s="26"/>
      <c r="BF977" s="26"/>
      <c r="BG977" s="26"/>
      <c r="BH977" s="26"/>
      <c r="BI977" s="26"/>
      <c r="BJ977" s="26"/>
      <c r="BK977" s="26"/>
    </row>
    <row r="978" ht="14.25" customHeight="1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  <c r="AA978" s="26"/>
      <c r="AB978" s="26"/>
      <c r="AC978" s="26"/>
      <c r="AD978" s="26"/>
      <c r="AE978" s="26"/>
      <c r="AF978" s="26"/>
      <c r="AG978" s="26"/>
      <c r="AH978" s="26"/>
      <c r="AI978" s="26"/>
      <c r="AJ978" s="26"/>
      <c r="AK978" s="26"/>
      <c r="AL978" s="26"/>
      <c r="AM978" s="26"/>
      <c r="AN978" s="26"/>
      <c r="AO978" s="26"/>
      <c r="AP978" s="26"/>
      <c r="AQ978" s="26"/>
      <c r="AR978" s="26"/>
      <c r="AS978" s="26"/>
      <c r="AT978" s="26"/>
      <c r="AU978" s="26"/>
      <c r="AV978" s="26"/>
      <c r="AW978" s="26"/>
      <c r="AX978" s="26"/>
      <c r="AY978" s="26"/>
      <c r="AZ978" s="26"/>
      <c r="BA978" s="26"/>
      <c r="BB978" s="26"/>
      <c r="BC978" s="26"/>
      <c r="BD978" s="26"/>
      <c r="BE978" s="26"/>
      <c r="BF978" s="26"/>
      <c r="BG978" s="26"/>
      <c r="BH978" s="26"/>
      <c r="BI978" s="26"/>
      <c r="BJ978" s="26"/>
      <c r="BK978" s="26"/>
    </row>
    <row r="979" ht="14.25" customHeight="1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  <c r="AA979" s="26"/>
      <c r="AB979" s="26"/>
      <c r="AC979" s="26"/>
      <c r="AD979" s="26"/>
      <c r="AE979" s="26"/>
      <c r="AF979" s="26"/>
      <c r="AG979" s="26"/>
      <c r="AH979" s="26"/>
      <c r="AI979" s="26"/>
      <c r="AJ979" s="26"/>
      <c r="AK979" s="26"/>
      <c r="AL979" s="26"/>
      <c r="AM979" s="26"/>
      <c r="AN979" s="26"/>
      <c r="AO979" s="26"/>
      <c r="AP979" s="26"/>
      <c r="AQ979" s="26"/>
      <c r="AR979" s="26"/>
      <c r="AS979" s="26"/>
      <c r="AT979" s="26"/>
      <c r="AU979" s="26"/>
      <c r="AV979" s="26"/>
      <c r="AW979" s="26"/>
      <c r="AX979" s="26"/>
      <c r="AY979" s="26"/>
      <c r="AZ979" s="26"/>
      <c r="BA979" s="26"/>
      <c r="BB979" s="26"/>
      <c r="BC979" s="26"/>
      <c r="BD979" s="26"/>
      <c r="BE979" s="26"/>
      <c r="BF979" s="26"/>
      <c r="BG979" s="26"/>
      <c r="BH979" s="26"/>
      <c r="BI979" s="26"/>
      <c r="BJ979" s="26"/>
      <c r="BK979" s="26"/>
    </row>
    <row r="980" ht="14.25" customHeight="1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  <c r="AA980" s="26"/>
      <c r="AB980" s="26"/>
      <c r="AC980" s="26"/>
      <c r="AD980" s="26"/>
      <c r="AE980" s="26"/>
      <c r="AF980" s="26"/>
      <c r="AG980" s="26"/>
      <c r="AH980" s="26"/>
      <c r="AI980" s="26"/>
      <c r="AJ980" s="26"/>
      <c r="AK980" s="26"/>
      <c r="AL980" s="26"/>
      <c r="AM980" s="26"/>
      <c r="AN980" s="26"/>
      <c r="AO980" s="26"/>
      <c r="AP980" s="26"/>
      <c r="AQ980" s="26"/>
      <c r="AR980" s="26"/>
      <c r="AS980" s="26"/>
      <c r="AT980" s="26"/>
      <c r="AU980" s="26"/>
      <c r="AV980" s="26"/>
      <c r="AW980" s="26"/>
      <c r="AX980" s="26"/>
      <c r="AY980" s="26"/>
      <c r="AZ980" s="26"/>
      <c r="BA980" s="26"/>
      <c r="BB980" s="26"/>
      <c r="BC980" s="26"/>
      <c r="BD980" s="26"/>
      <c r="BE980" s="26"/>
      <c r="BF980" s="26"/>
      <c r="BG980" s="26"/>
      <c r="BH980" s="26"/>
      <c r="BI980" s="26"/>
      <c r="BJ980" s="26"/>
      <c r="BK980" s="26"/>
    </row>
    <row r="981" ht="14.25" customHeight="1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  <c r="AA981" s="26"/>
      <c r="AB981" s="26"/>
      <c r="AC981" s="26"/>
      <c r="AD981" s="26"/>
      <c r="AE981" s="26"/>
      <c r="AF981" s="26"/>
      <c r="AG981" s="26"/>
      <c r="AH981" s="26"/>
      <c r="AI981" s="26"/>
      <c r="AJ981" s="26"/>
      <c r="AK981" s="26"/>
      <c r="AL981" s="26"/>
      <c r="AM981" s="26"/>
      <c r="AN981" s="26"/>
      <c r="AO981" s="26"/>
      <c r="AP981" s="26"/>
      <c r="AQ981" s="26"/>
      <c r="AR981" s="26"/>
      <c r="AS981" s="26"/>
      <c r="AT981" s="26"/>
      <c r="AU981" s="26"/>
      <c r="AV981" s="26"/>
      <c r="AW981" s="26"/>
      <c r="AX981" s="26"/>
      <c r="AY981" s="26"/>
      <c r="AZ981" s="26"/>
      <c r="BA981" s="26"/>
      <c r="BB981" s="26"/>
      <c r="BC981" s="26"/>
      <c r="BD981" s="26"/>
      <c r="BE981" s="26"/>
      <c r="BF981" s="26"/>
      <c r="BG981" s="26"/>
      <c r="BH981" s="26"/>
      <c r="BI981" s="26"/>
      <c r="BJ981" s="26"/>
      <c r="BK981" s="26"/>
    </row>
    <row r="982" ht="14.25" customHeight="1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  <c r="AA982" s="26"/>
      <c r="AB982" s="26"/>
      <c r="AC982" s="26"/>
      <c r="AD982" s="26"/>
      <c r="AE982" s="26"/>
      <c r="AF982" s="26"/>
      <c r="AG982" s="26"/>
      <c r="AH982" s="26"/>
      <c r="AI982" s="26"/>
      <c r="AJ982" s="26"/>
      <c r="AK982" s="26"/>
      <c r="AL982" s="26"/>
      <c r="AM982" s="26"/>
      <c r="AN982" s="26"/>
      <c r="AO982" s="26"/>
      <c r="AP982" s="26"/>
      <c r="AQ982" s="26"/>
      <c r="AR982" s="26"/>
      <c r="AS982" s="26"/>
      <c r="AT982" s="26"/>
      <c r="AU982" s="26"/>
      <c r="AV982" s="26"/>
      <c r="AW982" s="26"/>
      <c r="AX982" s="26"/>
      <c r="AY982" s="26"/>
      <c r="AZ982" s="26"/>
      <c r="BA982" s="26"/>
      <c r="BB982" s="26"/>
      <c r="BC982" s="26"/>
      <c r="BD982" s="26"/>
      <c r="BE982" s="26"/>
      <c r="BF982" s="26"/>
      <c r="BG982" s="26"/>
      <c r="BH982" s="26"/>
      <c r="BI982" s="26"/>
      <c r="BJ982" s="26"/>
      <c r="BK982" s="26"/>
    </row>
    <row r="983" ht="14.25" customHeight="1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  <c r="AA983" s="26"/>
      <c r="AB983" s="26"/>
      <c r="AC983" s="26"/>
      <c r="AD983" s="26"/>
      <c r="AE983" s="26"/>
      <c r="AF983" s="26"/>
      <c r="AG983" s="26"/>
      <c r="AH983" s="26"/>
      <c r="AI983" s="26"/>
      <c r="AJ983" s="26"/>
      <c r="AK983" s="26"/>
      <c r="AL983" s="26"/>
      <c r="AM983" s="26"/>
      <c r="AN983" s="26"/>
      <c r="AO983" s="26"/>
      <c r="AP983" s="26"/>
      <c r="AQ983" s="26"/>
      <c r="AR983" s="26"/>
      <c r="AS983" s="26"/>
      <c r="AT983" s="26"/>
      <c r="AU983" s="26"/>
      <c r="AV983" s="26"/>
      <c r="AW983" s="26"/>
      <c r="AX983" s="26"/>
      <c r="AY983" s="26"/>
      <c r="AZ983" s="26"/>
      <c r="BA983" s="26"/>
      <c r="BB983" s="26"/>
      <c r="BC983" s="26"/>
      <c r="BD983" s="26"/>
      <c r="BE983" s="26"/>
      <c r="BF983" s="26"/>
      <c r="BG983" s="26"/>
      <c r="BH983" s="26"/>
      <c r="BI983" s="26"/>
      <c r="BJ983" s="26"/>
      <c r="BK983" s="26"/>
    </row>
    <row r="984" ht="14.25" customHeight="1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  <c r="AA984" s="26"/>
      <c r="AB984" s="26"/>
      <c r="AC984" s="26"/>
      <c r="AD984" s="26"/>
      <c r="AE984" s="26"/>
      <c r="AF984" s="26"/>
      <c r="AG984" s="26"/>
      <c r="AH984" s="26"/>
      <c r="AI984" s="26"/>
      <c r="AJ984" s="26"/>
      <c r="AK984" s="26"/>
      <c r="AL984" s="26"/>
      <c r="AM984" s="26"/>
      <c r="AN984" s="26"/>
      <c r="AO984" s="26"/>
      <c r="AP984" s="26"/>
      <c r="AQ984" s="26"/>
      <c r="AR984" s="26"/>
      <c r="AS984" s="26"/>
      <c r="AT984" s="26"/>
      <c r="AU984" s="26"/>
      <c r="AV984" s="26"/>
      <c r="AW984" s="26"/>
      <c r="AX984" s="26"/>
      <c r="AY984" s="26"/>
      <c r="AZ984" s="26"/>
      <c r="BA984" s="26"/>
      <c r="BB984" s="26"/>
      <c r="BC984" s="26"/>
      <c r="BD984" s="26"/>
      <c r="BE984" s="26"/>
      <c r="BF984" s="26"/>
      <c r="BG984" s="26"/>
      <c r="BH984" s="26"/>
      <c r="BI984" s="26"/>
      <c r="BJ984" s="26"/>
      <c r="BK984" s="26"/>
    </row>
    <row r="985" ht="14.25" customHeight="1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  <c r="AA985" s="26"/>
      <c r="AB985" s="26"/>
      <c r="AC985" s="26"/>
      <c r="AD985" s="26"/>
      <c r="AE985" s="26"/>
      <c r="AF985" s="26"/>
      <c r="AG985" s="26"/>
      <c r="AH985" s="26"/>
      <c r="AI985" s="26"/>
      <c r="AJ985" s="26"/>
      <c r="AK985" s="26"/>
      <c r="AL985" s="26"/>
      <c r="AM985" s="26"/>
      <c r="AN985" s="26"/>
      <c r="AO985" s="26"/>
      <c r="AP985" s="26"/>
      <c r="AQ985" s="26"/>
      <c r="AR985" s="26"/>
      <c r="AS985" s="26"/>
      <c r="AT985" s="26"/>
      <c r="AU985" s="26"/>
      <c r="AV985" s="26"/>
      <c r="AW985" s="26"/>
      <c r="AX985" s="26"/>
      <c r="AY985" s="26"/>
      <c r="AZ985" s="26"/>
      <c r="BA985" s="26"/>
      <c r="BB985" s="26"/>
      <c r="BC985" s="26"/>
      <c r="BD985" s="26"/>
      <c r="BE985" s="26"/>
      <c r="BF985" s="26"/>
      <c r="BG985" s="26"/>
      <c r="BH985" s="26"/>
      <c r="BI985" s="26"/>
      <c r="BJ985" s="26"/>
      <c r="BK985" s="26"/>
    </row>
    <row r="986" ht="14.25" customHeight="1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  <c r="AA986" s="26"/>
      <c r="AB986" s="26"/>
      <c r="AC986" s="26"/>
      <c r="AD986" s="26"/>
      <c r="AE986" s="26"/>
      <c r="AF986" s="26"/>
      <c r="AG986" s="26"/>
      <c r="AH986" s="26"/>
      <c r="AI986" s="26"/>
      <c r="AJ986" s="26"/>
      <c r="AK986" s="26"/>
      <c r="AL986" s="26"/>
      <c r="AM986" s="26"/>
      <c r="AN986" s="26"/>
      <c r="AO986" s="26"/>
      <c r="AP986" s="26"/>
      <c r="AQ986" s="26"/>
      <c r="AR986" s="26"/>
      <c r="AS986" s="26"/>
      <c r="AT986" s="26"/>
      <c r="AU986" s="26"/>
      <c r="AV986" s="26"/>
      <c r="AW986" s="26"/>
      <c r="AX986" s="26"/>
      <c r="AY986" s="26"/>
      <c r="AZ986" s="26"/>
      <c r="BA986" s="26"/>
      <c r="BB986" s="26"/>
      <c r="BC986" s="26"/>
      <c r="BD986" s="26"/>
      <c r="BE986" s="26"/>
      <c r="BF986" s="26"/>
      <c r="BG986" s="26"/>
      <c r="BH986" s="26"/>
      <c r="BI986" s="26"/>
      <c r="BJ986" s="26"/>
      <c r="BK986" s="26"/>
    </row>
    <row r="987" ht="14.25" customHeight="1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  <c r="AA987" s="26"/>
      <c r="AB987" s="26"/>
      <c r="AC987" s="26"/>
      <c r="AD987" s="26"/>
      <c r="AE987" s="26"/>
      <c r="AF987" s="26"/>
      <c r="AG987" s="26"/>
      <c r="AH987" s="26"/>
      <c r="AI987" s="26"/>
      <c r="AJ987" s="26"/>
      <c r="AK987" s="26"/>
      <c r="AL987" s="26"/>
      <c r="AM987" s="26"/>
      <c r="AN987" s="26"/>
      <c r="AO987" s="26"/>
      <c r="AP987" s="26"/>
      <c r="AQ987" s="26"/>
      <c r="AR987" s="26"/>
      <c r="AS987" s="26"/>
      <c r="AT987" s="26"/>
      <c r="AU987" s="26"/>
      <c r="AV987" s="26"/>
      <c r="AW987" s="26"/>
      <c r="AX987" s="26"/>
      <c r="AY987" s="26"/>
      <c r="AZ987" s="26"/>
      <c r="BA987" s="26"/>
      <c r="BB987" s="26"/>
      <c r="BC987" s="26"/>
      <c r="BD987" s="26"/>
      <c r="BE987" s="26"/>
      <c r="BF987" s="26"/>
      <c r="BG987" s="26"/>
      <c r="BH987" s="26"/>
      <c r="BI987" s="26"/>
      <c r="BJ987" s="26"/>
      <c r="BK987" s="26"/>
    </row>
    <row r="988" ht="14.25" customHeight="1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  <c r="AA988" s="26"/>
      <c r="AB988" s="26"/>
      <c r="AC988" s="26"/>
      <c r="AD988" s="26"/>
      <c r="AE988" s="26"/>
      <c r="AF988" s="26"/>
      <c r="AG988" s="26"/>
      <c r="AH988" s="26"/>
      <c r="AI988" s="26"/>
      <c r="AJ988" s="26"/>
      <c r="AK988" s="26"/>
      <c r="AL988" s="26"/>
      <c r="AM988" s="26"/>
      <c r="AN988" s="26"/>
      <c r="AO988" s="26"/>
      <c r="AP988" s="26"/>
      <c r="AQ988" s="26"/>
      <c r="AR988" s="26"/>
      <c r="AS988" s="26"/>
      <c r="AT988" s="26"/>
      <c r="AU988" s="26"/>
      <c r="AV988" s="26"/>
      <c r="AW988" s="26"/>
      <c r="AX988" s="26"/>
      <c r="AY988" s="26"/>
      <c r="AZ988" s="26"/>
      <c r="BA988" s="26"/>
      <c r="BB988" s="26"/>
      <c r="BC988" s="26"/>
      <c r="BD988" s="26"/>
      <c r="BE988" s="26"/>
      <c r="BF988" s="26"/>
      <c r="BG988" s="26"/>
      <c r="BH988" s="26"/>
      <c r="BI988" s="26"/>
      <c r="BJ988" s="26"/>
      <c r="BK988" s="26"/>
    </row>
    <row r="989" ht="14.25" customHeight="1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  <c r="AA989" s="26"/>
      <c r="AB989" s="26"/>
      <c r="AC989" s="26"/>
      <c r="AD989" s="26"/>
      <c r="AE989" s="26"/>
      <c r="AF989" s="26"/>
      <c r="AG989" s="26"/>
      <c r="AH989" s="26"/>
      <c r="AI989" s="26"/>
      <c r="AJ989" s="26"/>
      <c r="AK989" s="26"/>
      <c r="AL989" s="26"/>
      <c r="AM989" s="26"/>
      <c r="AN989" s="26"/>
      <c r="AO989" s="26"/>
      <c r="AP989" s="26"/>
      <c r="AQ989" s="26"/>
      <c r="AR989" s="26"/>
      <c r="AS989" s="26"/>
      <c r="AT989" s="26"/>
      <c r="AU989" s="26"/>
      <c r="AV989" s="26"/>
      <c r="AW989" s="26"/>
      <c r="AX989" s="26"/>
      <c r="AY989" s="26"/>
      <c r="AZ989" s="26"/>
      <c r="BA989" s="26"/>
      <c r="BB989" s="26"/>
      <c r="BC989" s="26"/>
      <c r="BD989" s="26"/>
      <c r="BE989" s="26"/>
      <c r="BF989" s="26"/>
      <c r="BG989" s="26"/>
      <c r="BH989" s="26"/>
      <c r="BI989" s="26"/>
      <c r="BJ989" s="26"/>
      <c r="BK989" s="26"/>
    </row>
    <row r="990" ht="14.25" customHeight="1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  <c r="AA990" s="26"/>
      <c r="AB990" s="26"/>
      <c r="AC990" s="26"/>
      <c r="AD990" s="26"/>
      <c r="AE990" s="26"/>
      <c r="AF990" s="26"/>
      <c r="AG990" s="26"/>
      <c r="AH990" s="26"/>
      <c r="AI990" s="26"/>
      <c r="AJ990" s="26"/>
      <c r="AK990" s="26"/>
      <c r="AL990" s="26"/>
      <c r="AM990" s="26"/>
      <c r="AN990" s="26"/>
      <c r="AO990" s="26"/>
      <c r="AP990" s="26"/>
      <c r="AQ990" s="26"/>
      <c r="AR990" s="26"/>
      <c r="AS990" s="26"/>
      <c r="AT990" s="26"/>
      <c r="AU990" s="26"/>
      <c r="AV990" s="26"/>
      <c r="AW990" s="26"/>
      <c r="AX990" s="26"/>
      <c r="AY990" s="26"/>
      <c r="AZ990" s="26"/>
      <c r="BA990" s="26"/>
      <c r="BB990" s="26"/>
      <c r="BC990" s="26"/>
      <c r="BD990" s="26"/>
      <c r="BE990" s="26"/>
      <c r="BF990" s="26"/>
      <c r="BG990" s="26"/>
      <c r="BH990" s="26"/>
      <c r="BI990" s="26"/>
      <c r="BJ990" s="26"/>
      <c r="BK990" s="26"/>
    </row>
    <row r="991" ht="14.25" customHeight="1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  <c r="AA991" s="26"/>
      <c r="AB991" s="26"/>
      <c r="AC991" s="26"/>
      <c r="AD991" s="26"/>
      <c r="AE991" s="26"/>
      <c r="AF991" s="26"/>
      <c r="AG991" s="26"/>
      <c r="AH991" s="26"/>
      <c r="AI991" s="26"/>
      <c r="AJ991" s="26"/>
      <c r="AK991" s="26"/>
      <c r="AL991" s="26"/>
      <c r="AM991" s="26"/>
      <c r="AN991" s="26"/>
      <c r="AO991" s="26"/>
      <c r="AP991" s="26"/>
      <c r="AQ991" s="26"/>
      <c r="AR991" s="26"/>
      <c r="AS991" s="26"/>
      <c r="AT991" s="26"/>
      <c r="AU991" s="26"/>
      <c r="AV991" s="26"/>
      <c r="AW991" s="26"/>
      <c r="AX991" s="26"/>
      <c r="AY991" s="26"/>
      <c r="AZ991" s="26"/>
      <c r="BA991" s="26"/>
      <c r="BB991" s="26"/>
      <c r="BC991" s="26"/>
      <c r="BD991" s="26"/>
      <c r="BE991" s="26"/>
      <c r="BF991" s="26"/>
      <c r="BG991" s="26"/>
      <c r="BH991" s="26"/>
      <c r="BI991" s="26"/>
      <c r="BJ991" s="26"/>
      <c r="BK991" s="26"/>
    </row>
    <row r="992" ht="14.25" customHeight="1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  <c r="AA992" s="26"/>
      <c r="AB992" s="26"/>
      <c r="AC992" s="26"/>
      <c r="AD992" s="26"/>
      <c r="AE992" s="26"/>
      <c r="AF992" s="26"/>
      <c r="AG992" s="26"/>
      <c r="AH992" s="26"/>
      <c r="AI992" s="26"/>
      <c r="AJ992" s="26"/>
      <c r="AK992" s="26"/>
      <c r="AL992" s="26"/>
      <c r="AM992" s="26"/>
      <c r="AN992" s="26"/>
      <c r="AO992" s="26"/>
      <c r="AP992" s="26"/>
      <c r="AQ992" s="26"/>
      <c r="AR992" s="26"/>
      <c r="AS992" s="26"/>
      <c r="AT992" s="26"/>
      <c r="AU992" s="26"/>
      <c r="AV992" s="26"/>
      <c r="AW992" s="26"/>
      <c r="AX992" s="26"/>
      <c r="AY992" s="26"/>
      <c r="AZ992" s="26"/>
      <c r="BA992" s="26"/>
      <c r="BB992" s="26"/>
      <c r="BC992" s="26"/>
      <c r="BD992" s="26"/>
      <c r="BE992" s="26"/>
      <c r="BF992" s="26"/>
      <c r="BG992" s="26"/>
      <c r="BH992" s="26"/>
      <c r="BI992" s="26"/>
      <c r="BJ992" s="26"/>
      <c r="BK992" s="26"/>
    </row>
    <row r="993" ht="14.25" customHeight="1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  <c r="AA993" s="26"/>
      <c r="AB993" s="26"/>
      <c r="AC993" s="26"/>
      <c r="AD993" s="26"/>
      <c r="AE993" s="26"/>
      <c r="AF993" s="26"/>
      <c r="AG993" s="26"/>
      <c r="AH993" s="26"/>
      <c r="AI993" s="26"/>
      <c r="AJ993" s="26"/>
      <c r="AK993" s="26"/>
      <c r="AL993" s="26"/>
      <c r="AM993" s="26"/>
      <c r="AN993" s="26"/>
      <c r="AO993" s="26"/>
      <c r="AP993" s="26"/>
      <c r="AQ993" s="26"/>
      <c r="AR993" s="26"/>
      <c r="AS993" s="26"/>
      <c r="AT993" s="26"/>
      <c r="AU993" s="26"/>
      <c r="AV993" s="26"/>
      <c r="AW993" s="26"/>
      <c r="AX993" s="26"/>
      <c r="AY993" s="26"/>
      <c r="AZ993" s="26"/>
      <c r="BA993" s="26"/>
      <c r="BB993" s="26"/>
      <c r="BC993" s="26"/>
      <c r="BD993" s="26"/>
      <c r="BE993" s="26"/>
      <c r="BF993" s="26"/>
      <c r="BG993" s="26"/>
      <c r="BH993" s="26"/>
      <c r="BI993" s="26"/>
      <c r="BJ993" s="26"/>
      <c r="BK993" s="26"/>
    </row>
    <row r="994" ht="14.25" customHeight="1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  <c r="AA994" s="26"/>
      <c r="AB994" s="26"/>
      <c r="AC994" s="26"/>
      <c r="AD994" s="26"/>
      <c r="AE994" s="26"/>
      <c r="AF994" s="26"/>
      <c r="AG994" s="26"/>
      <c r="AH994" s="26"/>
      <c r="AI994" s="26"/>
      <c r="AJ994" s="26"/>
      <c r="AK994" s="26"/>
      <c r="AL994" s="26"/>
      <c r="AM994" s="26"/>
      <c r="AN994" s="26"/>
      <c r="AO994" s="26"/>
      <c r="AP994" s="26"/>
      <c r="AQ994" s="26"/>
      <c r="AR994" s="26"/>
      <c r="AS994" s="26"/>
      <c r="AT994" s="26"/>
      <c r="AU994" s="26"/>
      <c r="AV994" s="26"/>
      <c r="AW994" s="26"/>
      <c r="AX994" s="26"/>
      <c r="AY994" s="26"/>
      <c r="AZ994" s="26"/>
      <c r="BA994" s="26"/>
      <c r="BB994" s="26"/>
      <c r="BC994" s="26"/>
      <c r="BD994" s="26"/>
      <c r="BE994" s="26"/>
      <c r="BF994" s="26"/>
      <c r="BG994" s="26"/>
      <c r="BH994" s="26"/>
      <c r="BI994" s="26"/>
      <c r="BJ994" s="26"/>
      <c r="BK994" s="26"/>
    </row>
    <row r="995" ht="14.25" customHeight="1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  <c r="AA995" s="26"/>
      <c r="AB995" s="26"/>
      <c r="AC995" s="26"/>
      <c r="AD995" s="26"/>
      <c r="AE995" s="26"/>
      <c r="AF995" s="26"/>
      <c r="AG995" s="26"/>
      <c r="AH995" s="26"/>
      <c r="AI995" s="26"/>
      <c r="AJ995" s="26"/>
      <c r="AK995" s="26"/>
      <c r="AL995" s="26"/>
      <c r="AM995" s="26"/>
      <c r="AN995" s="26"/>
      <c r="AO995" s="26"/>
      <c r="AP995" s="26"/>
      <c r="AQ995" s="26"/>
      <c r="AR995" s="26"/>
      <c r="AS995" s="26"/>
      <c r="AT995" s="26"/>
      <c r="AU995" s="26"/>
      <c r="AV995" s="26"/>
      <c r="AW995" s="26"/>
      <c r="AX995" s="26"/>
      <c r="AY995" s="26"/>
      <c r="AZ995" s="26"/>
      <c r="BA995" s="26"/>
      <c r="BB995" s="26"/>
      <c r="BC995" s="26"/>
      <c r="BD995" s="26"/>
      <c r="BE995" s="26"/>
      <c r="BF995" s="26"/>
      <c r="BG995" s="26"/>
      <c r="BH995" s="26"/>
      <c r="BI995" s="26"/>
      <c r="BJ995" s="26"/>
      <c r="BK995" s="26"/>
    </row>
    <row r="996" ht="14.25" customHeight="1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  <c r="AA996" s="26"/>
      <c r="AB996" s="26"/>
      <c r="AC996" s="26"/>
      <c r="AD996" s="26"/>
      <c r="AE996" s="26"/>
      <c r="AF996" s="26"/>
      <c r="AG996" s="26"/>
      <c r="AH996" s="26"/>
      <c r="AI996" s="26"/>
      <c r="AJ996" s="26"/>
      <c r="AK996" s="26"/>
      <c r="AL996" s="26"/>
      <c r="AM996" s="26"/>
      <c r="AN996" s="26"/>
      <c r="AO996" s="26"/>
      <c r="AP996" s="26"/>
      <c r="AQ996" s="26"/>
      <c r="AR996" s="26"/>
      <c r="AS996" s="26"/>
      <c r="AT996" s="26"/>
      <c r="AU996" s="26"/>
      <c r="AV996" s="26"/>
      <c r="AW996" s="26"/>
      <c r="AX996" s="26"/>
      <c r="AY996" s="26"/>
      <c r="AZ996" s="26"/>
      <c r="BA996" s="26"/>
      <c r="BB996" s="26"/>
      <c r="BC996" s="26"/>
      <c r="BD996" s="26"/>
      <c r="BE996" s="26"/>
      <c r="BF996" s="26"/>
      <c r="BG996" s="26"/>
      <c r="BH996" s="26"/>
      <c r="BI996" s="26"/>
      <c r="BJ996" s="26"/>
      <c r="BK996" s="26"/>
    </row>
    <row r="997" ht="14.25" customHeight="1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  <c r="AA997" s="26"/>
      <c r="AB997" s="26"/>
      <c r="AC997" s="26"/>
      <c r="AD997" s="26"/>
      <c r="AE997" s="26"/>
      <c r="AF997" s="26"/>
      <c r="AG997" s="26"/>
      <c r="AH997" s="26"/>
      <c r="AI997" s="26"/>
      <c r="AJ997" s="26"/>
      <c r="AK997" s="26"/>
      <c r="AL997" s="26"/>
      <c r="AM997" s="26"/>
      <c r="AN997" s="26"/>
      <c r="AO997" s="26"/>
      <c r="AP997" s="26"/>
      <c r="AQ997" s="26"/>
      <c r="AR997" s="26"/>
      <c r="AS997" s="26"/>
      <c r="AT997" s="26"/>
      <c r="AU997" s="26"/>
      <c r="AV997" s="26"/>
      <c r="AW997" s="26"/>
      <c r="AX997" s="26"/>
      <c r="AY997" s="26"/>
      <c r="AZ997" s="26"/>
      <c r="BA997" s="26"/>
      <c r="BB997" s="26"/>
      <c r="BC997" s="26"/>
      <c r="BD997" s="26"/>
      <c r="BE997" s="26"/>
      <c r="BF997" s="26"/>
      <c r="BG997" s="26"/>
      <c r="BH997" s="26"/>
      <c r="BI997" s="26"/>
      <c r="BJ997" s="26"/>
      <c r="BK997" s="26"/>
    </row>
    <row r="998" ht="14.25" customHeight="1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  <c r="AA998" s="26"/>
      <c r="AB998" s="26"/>
      <c r="AC998" s="26"/>
      <c r="AD998" s="26"/>
      <c r="AE998" s="26"/>
      <c r="AF998" s="26"/>
      <c r="AG998" s="26"/>
      <c r="AH998" s="26"/>
      <c r="AI998" s="26"/>
      <c r="AJ998" s="26"/>
      <c r="AK998" s="26"/>
      <c r="AL998" s="26"/>
      <c r="AM998" s="26"/>
      <c r="AN998" s="26"/>
      <c r="AO998" s="26"/>
      <c r="AP998" s="26"/>
      <c r="AQ998" s="26"/>
      <c r="AR998" s="26"/>
      <c r="AS998" s="26"/>
      <c r="AT998" s="26"/>
      <c r="AU998" s="26"/>
      <c r="AV998" s="26"/>
      <c r="AW998" s="26"/>
      <c r="AX998" s="26"/>
      <c r="AY998" s="26"/>
      <c r="AZ998" s="26"/>
      <c r="BA998" s="26"/>
      <c r="BB998" s="26"/>
      <c r="BC998" s="26"/>
      <c r="BD998" s="26"/>
      <c r="BE998" s="26"/>
      <c r="BF998" s="26"/>
      <c r="BG998" s="26"/>
      <c r="BH998" s="26"/>
      <c r="BI998" s="26"/>
      <c r="BJ998" s="26"/>
      <c r="BK998" s="26"/>
    </row>
    <row r="999" ht="14.25" customHeight="1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  <c r="AA999" s="26"/>
      <c r="AB999" s="26"/>
      <c r="AC999" s="26"/>
      <c r="AD999" s="26"/>
      <c r="AE999" s="26"/>
      <c r="AF999" s="26"/>
      <c r="AG999" s="26"/>
      <c r="AH999" s="26"/>
      <c r="AI999" s="26"/>
      <c r="AJ999" s="26"/>
      <c r="AK999" s="26"/>
      <c r="AL999" s="26"/>
      <c r="AM999" s="26"/>
      <c r="AN999" s="26"/>
      <c r="AO999" s="26"/>
      <c r="AP999" s="26"/>
      <c r="AQ999" s="26"/>
      <c r="AR999" s="26"/>
      <c r="AS999" s="26"/>
      <c r="AT999" s="26"/>
      <c r="AU999" s="26"/>
      <c r="AV999" s="26"/>
      <c r="AW999" s="26"/>
      <c r="AX999" s="26"/>
      <c r="AY999" s="26"/>
      <c r="AZ999" s="26"/>
      <c r="BA999" s="26"/>
      <c r="BB999" s="26"/>
      <c r="BC999" s="26"/>
      <c r="BD999" s="26"/>
      <c r="BE999" s="26"/>
      <c r="BF999" s="26"/>
      <c r="BG999" s="26"/>
      <c r="BH999" s="26"/>
      <c r="BI999" s="26"/>
      <c r="BJ999" s="26"/>
      <c r="BK999" s="26"/>
    </row>
    <row r="1000" ht="14.25" customHeight="1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  <c r="AA1000" s="26"/>
      <c r="AB1000" s="26"/>
      <c r="AC1000" s="26"/>
      <c r="AD1000" s="26"/>
      <c r="AE1000" s="26"/>
      <c r="AF1000" s="26"/>
      <c r="AG1000" s="26"/>
      <c r="AH1000" s="26"/>
      <c r="AI1000" s="26"/>
      <c r="AJ1000" s="26"/>
      <c r="AK1000" s="26"/>
      <c r="AL1000" s="26"/>
      <c r="AM1000" s="26"/>
      <c r="AN1000" s="26"/>
      <c r="AO1000" s="26"/>
      <c r="AP1000" s="26"/>
      <c r="AQ1000" s="26"/>
      <c r="AR1000" s="26"/>
      <c r="AS1000" s="26"/>
      <c r="AT1000" s="26"/>
      <c r="AU1000" s="26"/>
      <c r="AV1000" s="26"/>
      <c r="AW1000" s="26"/>
      <c r="AX1000" s="26"/>
      <c r="AY1000" s="26"/>
      <c r="AZ1000" s="26"/>
      <c r="BA1000" s="26"/>
      <c r="BB1000" s="26"/>
      <c r="BC1000" s="26"/>
      <c r="BD1000" s="26"/>
      <c r="BE1000" s="26"/>
      <c r="BF1000" s="26"/>
      <c r="BG1000" s="26"/>
      <c r="BH1000" s="26"/>
      <c r="BI1000" s="26"/>
      <c r="BJ1000" s="26"/>
      <c r="BK1000" s="26"/>
    </row>
  </sheetData>
  <mergeCells count="27">
    <mergeCell ref="A1:A3"/>
    <mergeCell ref="B2:K2"/>
    <mergeCell ref="L2:M2"/>
    <mergeCell ref="N2:N3"/>
    <mergeCell ref="O2:O3"/>
    <mergeCell ref="P2:P3"/>
    <mergeCell ref="Q2:Q3"/>
    <mergeCell ref="S2:Y2"/>
    <mergeCell ref="Z2:Z3"/>
    <mergeCell ref="AA2:AA3"/>
    <mergeCell ref="AB2:AB3"/>
    <mergeCell ref="AC2:AC3"/>
    <mergeCell ref="AD2:AD3"/>
    <mergeCell ref="AE2:AE3"/>
    <mergeCell ref="AM2:AM3"/>
    <mergeCell ref="AN2:AN3"/>
    <mergeCell ref="AO2:AO3"/>
    <mergeCell ref="AP2:AV2"/>
    <mergeCell ref="AW2:BA2"/>
    <mergeCell ref="BB2:BK2"/>
    <mergeCell ref="AF2:AF3"/>
    <mergeCell ref="AG2:AG3"/>
    <mergeCell ref="AH2:AH3"/>
    <mergeCell ref="AI2:AI3"/>
    <mergeCell ref="AJ2:AJ3"/>
    <mergeCell ref="AK2:AK3"/>
    <mergeCell ref="AL2:AL3"/>
  </mergeCells>
  <printOptions/>
  <pageMargins bottom="0.75" footer="0.0" header="0.0" left="0.7" right="0.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6.0" ySplit="3.0" topLeftCell="Q4" activePane="bottomRight" state="frozen"/>
      <selection activeCell="Q1" sqref="Q1" pane="topRight"/>
      <selection activeCell="A4" sqref="A4" pane="bottomLeft"/>
      <selection activeCell="Q4" sqref="Q4" pane="bottomRight"/>
    </sheetView>
  </sheetViews>
  <sheetFormatPr customHeight="1" defaultColWidth="14.43" defaultRowHeight="15.0"/>
  <cols>
    <col customWidth="1" min="1" max="1" width="4.43"/>
    <col customWidth="1" min="2" max="2" width="18.86"/>
    <col customWidth="1" hidden="1" min="3" max="3" width="8.71"/>
    <col customWidth="1" min="4" max="4" width="17.43"/>
    <col customWidth="1" hidden="1" min="5" max="6" width="8.71"/>
    <col customWidth="1" min="7" max="7" width="19.29"/>
    <col customWidth="1" hidden="1" min="8" max="11" width="8.71"/>
    <col customWidth="1" min="12" max="12" width="4.57"/>
    <col customWidth="1" min="13" max="13" width="8.14"/>
    <col customWidth="1" min="14" max="14" width="20.29"/>
    <col customWidth="1" min="15" max="15" width="25.86"/>
    <col customWidth="1" min="16" max="16" width="27.0"/>
    <col customWidth="1" min="17" max="17" width="27.71"/>
    <col customWidth="1" min="18" max="18" width="121.0"/>
    <col customWidth="1" min="19" max="19" width="88.29"/>
    <col customWidth="1" hidden="1" min="20" max="20" width="8.71"/>
    <col customWidth="1" min="21" max="21" width="20.86"/>
    <col customWidth="1" min="22" max="22" width="18.29"/>
    <col customWidth="1" min="23" max="23" width="21.43"/>
    <col customWidth="1" min="24" max="24" width="24.0"/>
    <col customWidth="1" min="25" max="25" width="10.57"/>
    <col customWidth="1" min="26" max="26" width="19.14"/>
    <col customWidth="1" min="27" max="27" width="20.86"/>
    <col customWidth="1" min="28" max="28" width="26.43"/>
    <col customWidth="1" min="29" max="29" width="18.14"/>
    <col customWidth="1" hidden="1" min="30" max="30" width="8.71"/>
    <col customWidth="1" min="31" max="31" width="29.43"/>
    <col customWidth="1" min="32" max="32" width="11.0"/>
    <col customWidth="1" min="33" max="33" width="25.29"/>
    <col customWidth="1" min="34" max="34" width="12.0"/>
    <col customWidth="1" min="35" max="35" width="16.71"/>
    <col customWidth="1" min="36" max="36" width="35.71"/>
    <col customWidth="1" min="37" max="37" width="35.0"/>
    <col customWidth="1" min="38" max="38" width="15.86"/>
    <col customWidth="1" min="39" max="39" width="20.29"/>
    <col customWidth="1" min="40" max="40" width="14.29"/>
    <col customWidth="1" min="41" max="41" width="16.43"/>
    <col customWidth="1" hidden="1" min="42" max="43" width="8.71"/>
    <col customWidth="1" min="44" max="44" width="5.0"/>
    <col customWidth="1" min="45" max="45" width="6.71"/>
    <col customWidth="1" min="46" max="47" width="5.14"/>
    <col customWidth="1" min="48" max="48" width="14.14"/>
    <col customWidth="1" min="49" max="49" width="19.14"/>
    <col customWidth="1" min="50" max="50" width="13.0"/>
    <col customWidth="1" min="51" max="51" width="23.86"/>
    <col customWidth="1" min="52" max="52" width="20.14"/>
    <col customWidth="1" min="53" max="56" width="16.29"/>
    <col customWidth="1" min="57" max="57" width="84.86"/>
    <col customWidth="1" min="58" max="58" width="18.71"/>
    <col customWidth="1" min="59" max="59" width="15.43"/>
    <col customWidth="1" min="60" max="60" width="20.57"/>
    <col customWidth="1" min="61" max="61" width="29.57"/>
    <col customWidth="1" min="62" max="62" width="31.43"/>
    <col customWidth="1" min="63" max="63" width="28.86"/>
  </cols>
  <sheetData>
    <row r="1" ht="14.25" customHeight="1">
      <c r="A1" s="42" t="s">
        <v>11</v>
      </c>
      <c r="B1" s="26">
        <f t="shared" ref="B1:D1" si="1">COUNT(B4:B1048576)</f>
        <v>0</v>
      </c>
      <c r="C1" s="26">
        <f t="shared" si="1"/>
        <v>0</v>
      </c>
      <c r="D1" s="26">
        <f t="shared" si="1"/>
        <v>4</v>
      </c>
      <c r="E1" s="26"/>
      <c r="F1" s="26">
        <f t="shared" ref="F1:G1" si="2">COUNT(F4:F1048576)</f>
        <v>0</v>
      </c>
      <c r="G1" s="26">
        <f t="shared" si="2"/>
        <v>0</v>
      </c>
      <c r="H1" s="26"/>
      <c r="I1" s="26">
        <f t="shared" ref="I1:J1" si="3">COUNT(I4:I1048576)</f>
        <v>0</v>
      </c>
      <c r="J1" s="26">
        <f t="shared" si="3"/>
        <v>0</v>
      </c>
      <c r="K1" s="26"/>
      <c r="L1" s="89"/>
      <c r="M1" s="89"/>
      <c r="N1" s="26"/>
      <c r="O1" s="89"/>
      <c r="P1" s="26"/>
      <c r="Q1" s="26"/>
      <c r="R1" s="26"/>
      <c r="S1" s="26"/>
      <c r="T1" s="26"/>
      <c r="U1" s="26"/>
      <c r="V1" s="26"/>
      <c r="W1" s="26"/>
      <c r="X1" s="26"/>
      <c r="Y1" s="90"/>
      <c r="Z1" s="26"/>
      <c r="AA1" s="89"/>
      <c r="AB1" s="26"/>
      <c r="AC1" s="26"/>
      <c r="AD1" s="89"/>
      <c r="AE1" s="91"/>
      <c r="AF1" s="26"/>
      <c r="AG1" s="26"/>
      <c r="AH1" s="26"/>
      <c r="AI1" s="26"/>
      <c r="AJ1" s="26"/>
      <c r="AK1" s="26"/>
      <c r="AL1" s="26"/>
      <c r="AM1" s="26"/>
      <c r="AN1" s="89"/>
      <c r="AO1" s="89"/>
      <c r="AP1" s="90"/>
      <c r="AQ1" s="90"/>
      <c r="AR1" s="90"/>
      <c r="AS1" s="90"/>
      <c r="AT1" s="90"/>
      <c r="AU1" s="90"/>
      <c r="AV1" s="90"/>
      <c r="AW1" s="90"/>
      <c r="AX1" s="90"/>
      <c r="AY1" s="90"/>
      <c r="AZ1" s="90"/>
      <c r="BA1" s="90"/>
      <c r="BB1" s="90"/>
      <c r="BC1" s="90"/>
      <c r="BD1" s="90"/>
      <c r="BE1" s="90"/>
      <c r="BF1" s="90"/>
      <c r="BG1" s="90"/>
      <c r="BH1" s="90"/>
      <c r="BI1" s="90"/>
      <c r="BJ1" s="26"/>
      <c r="BK1" s="26"/>
    </row>
    <row r="2" ht="14.25" customHeight="1">
      <c r="A2" s="25"/>
      <c r="B2" s="92" t="s">
        <v>15</v>
      </c>
      <c r="C2" s="28"/>
      <c r="D2" s="28"/>
      <c r="E2" s="28"/>
      <c r="F2" s="28"/>
      <c r="G2" s="28"/>
      <c r="H2" s="28"/>
      <c r="I2" s="28"/>
      <c r="J2" s="28"/>
      <c r="K2" s="30"/>
      <c r="L2" s="92" t="s">
        <v>107</v>
      </c>
      <c r="M2" s="30"/>
      <c r="N2" s="42" t="s">
        <v>2</v>
      </c>
      <c r="O2" s="45" t="s">
        <v>112</v>
      </c>
      <c r="P2" s="45" t="s">
        <v>118</v>
      </c>
      <c r="Q2" s="42" t="s">
        <v>119</v>
      </c>
      <c r="R2" s="47"/>
      <c r="S2" s="27" t="s">
        <v>120</v>
      </c>
      <c r="T2" s="28"/>
      <c r="U2" s="28"/>
      <c r="V2" s="28"/>
      <c r="W2" s="28"/>
      <c r="X2" s="28"/>
      <c r="Y2" s="30"/>
      <c r="Z2" s="42" t="s">
        <v>124</v>
      </c>
      <c r="AA2" s="42" t="s">
        <v>129</v>
      </c>
      <c r="AB2" s="42" t="s">
        <v>134</v>
      </c>
      <c r="AC2" s="42" t="s">
        <v>136</v>
      </c>
      <c r="AD2" s="42" t="s">
        <v>140</v>
      </c>
      <c r="AE2" s="42" t="s">
        <v>141</v>
      </c>
      <c r="AF2" s="42" t="s">
        <v>145</v>
      </c>
      <c r="AG2" s="42" t="s">
        <v>147</v>
      </c>
      <c r="AH2" s="42" t="s">
        <v>150</v>
      </c>
      <c r="AI2" s="42" t="s">
        <v>154</v>
      </c>
      <c r="AJ2" s="42" t="s">
        <v>155</v>
      </c>
      <c r="AK2" s="42" t="s">
        <v>9</v>
      </c>
      <c r="AL2" s="45" t="s">
        <v>158</v>
      </c>
      <c r="AM2" s="45" t="s">
        <v>160</v>
      </c>
      <c r="AN2" s="60" t="s">
        <v>168</v>
      </c>
      <c r="AO2" s="60" t="s">
        <v>169</v>
      </c>
      <c r="AP2" s="27" t="s">
        <v>170</v>
      </c>
      <c r="AQ2" s="28"/>
      <c r="AR2" s="28"/>
      <c r="AS2" s="28"/>
      <c r="AT2" s="28"/>
      <c r="AU2" s="28"/>
      <c r="AV2" s="30"/>
      <c r="AW2" s="27" t="s">
        <v>173</v>
      </c>
      <c r="AX2" s="28"/>
      <c r="AY2" s="28"/>
      <c r="AZ2" s="28"/>
      <c r="BA2" s="30"/>
      <c r="BB2" s="27" t="s">
        <v>175</v>
      </c>
      <c r="BC2" s="28"/>
      <c r="BD2" s="28"/>
      <c r="BE2" s="28"/>
      <c r="BF2" s="28"/>
      <c r="BG2" s="28"/>
      <c r="BH2" s="28"/>
      <c r="BI2" s="28"/>
      <c r="BJ2" s="28"/>
      <c r="BK2" s="30"/>
    </row>
    <row r="3" ht="14.25" customHeight="1">
      <c r="A3" s="57"/>
      <c r="B3" s="47" t="s">
        <v>178</v>
      </c>
      <c r="C3" s="47" t="s">
        <v>179</v>
      </c>
      <c r="D3" s="95" t="s">
        <v>180</v>
      </c>
      <c r="E3" s="95" t="s">
        <v>181</v>
      </c>
      <c r="F3" s="47" t="s">
        <v>182</v>
      </c>
      <c r="G3" s="47" t="s">
        <v>183</v>
      </c>
      <c r="H3" s="47" t="s">
        <v>184</v>
      </c>
      <c r="I3" s="47" t="s">
        <v>185</v>
      </c>
      <c r="J3" s="47" t="s">
        <v>186</v>
      </c>
      <c r="K3" s="47" t="s">
        <v>187</v>
      </c>
      <c r="L3" s="47" t="s">
        <v>223</v>
      </c>
      <c r="M3" s="47" t="s">
        <v>191</v>
      </c>
      <c r="N3" s="57"/>
      <c r="O3" s="57"/>
      <c r="P3" s="57"/>
      <c r="Q3" s="57"/>
      <c r="R3" s="47" t="s">
        <v>219</v>
      </c>
      <c r="S3" s="47" t="s">
        <v>120</v>
      </c>
      <c r="T3" s="47" t="s">
        <v>194</v>
      </c>
      <c r="U3" s="47" t="s">
        <v>195</v>
      </c>
      <c r="V3" s="47" t="s">
        <v>196</v>
      </c>
      <c r="W3" s="47" t="s">
        <v>197</v>
      </c>
      <c r="X3" s="47" t="s">
        <v>198</v>
      </c>
      <c r="Y3" s="47" t="s">
        <v>199</v>
      </c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57"/>
      <c r="AK3" s="57"/>
      <c r="AL3" s="57"/>
      <c r="AM3" s="57"/>
      <c r="AN3" s="57"/>
      <c r="AO3" s="57"/>
      <c r="AP3" s="47" t="s">
        <v>200</v>
      </c>
      <c r="AQ3" s="47" t="s">
        <v>201</v>
      </c>
      <c r="AR3" s="47" t="s">
        <v>206</v>
      </c>
      <c r="AS3" s="47" t="s">
        <v>177</v>
      </c>
      <c r="AT3" s="47" t="s">
        <v>207</v>
      </c>
      <c r="AU3" s="47" t="s">
        <v>208</v>
      </c>
      <c r="AV3" s="95" t="s">
        <v>209</v>
      </c>
      <c r="AW3" s="47" t="s">
        <v>210</v>
      </c>
      <c r="AX3" s="47" t="s">
        <v>211</v>
      </c>
      <c r="AY3" s="47" t="s">
        <v>212</v>
      </c>
      <c r="AZ3" s="47" t="s">
        <v>213</v>
      </c>
      <c r="BA3" s="47" t="s">
        <v>214</v>
      </c>
      <c r="BB3" s="47" t="s">
        <v>215</v>
      </c>
      <c r="BC3" s="47" t="s">
        <v>216</v>
      </c>
      <c r="BD3" s="47" t="s">
        <v>217</v>
      </c>
      <c r="BE3" s="47" t="s">
        <v>218</v>
      </c>
      <c r="BF3" s="47" t="s">
        <v>124</v>
      </c>
      <c r="BG3" s="47" t="s">
        <v>220</v>
      </c>
      <c r="BH3" s="47" t="s">
        <v>177</v>
      </c>
      <c r="BI3" s="47" t="s">
        <v>221</v>
      </c>
      <c r="BJ3" s="47" t="s">
        <v>141</v>
      </c>
      <c r="BK3" s="47" t="s">
        <v>15</v>
      </c>
    </row>
    <row r="4" ht="14.25" customHeight="1">
      <c r="A4" s="26">
        <f t="shared" ref="A4:A12" si="4">ROW(A1)</f>
        <v>1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 t="s">
        <v>589</v>
      </c>
      <c r="O4" s="26" t="s">
        <v>590</v>
      </c>
      <c r="P4" s="26" t="s">
        <v>590</v>
      </c>
      <c r="Q4" s="26" t="s">
        <v>591</v>
      </c>
      <c r="R4" s="26" t="s">
        <v>592</v>
      </c>
      <c r="S4" s="26" t="s">
        <v>592</v>
      </c>
      <c r="T4" s="26"/>
      <c r="U4" s="26" t="s">
        <v>593</v>
      </c>
      <c r="V4" s="26" t="s">
        <v>594</v>
      </c>
      <c r="W4" s="26" t="s">
        <v>595</v>
      </c>
      <c r="X4" s="26" t="s">
        <v>596</v>
      </c>
      <c r="Y4" s="76" t="s">
        <v>597</v>
      </c>
      <c r="Z4" s="76" t="s">
        <v>598</v>
      </c>
      <c r="AA4" s="76" t="s">
        <v>599</v>
      </c>
      <c r="AB4" s="26" t="s">
        <v>600</v>
      </c>
      <c r="AC4" s="76" t="s">
        <v>601</v>
      </c>
      <c r="AD4" s="26"/>
      <c r="AE4" s="26" t="s">
        <v>602</v>
      </c>
      <c r="AF4" s="76" t="s">
        <v>603</v>
      </c>
      <c r="AG4" s="76" t="s">
        <v>604</v>
      </c>
      <c r="AH4" s="76" t="s">
        <v>605</v>
      </c>
      <c r="AI4" s="76" t="s">
        <v>606</v>
      </c>
      <c r="AJ4" s="26" t="s">
        <v>607</v>
      </c>
      <c r="AK4" s="40" t="s">
        <v>608</v>
      </c>
      <c r="AL4" s="76" t="s">
        <v>609</v>
      </c>
      <c r="AM4" s="76" t="s">
        <v>610</v>
      </c>
      <c r="AN4" s="76" t="s">
        <v>611</v>
      </c>
      <c r="AO4" s="76" t="s">
        <v>612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</row>
    <row r="5" ht="14.25" customHeight="1">
      <c r="A5" s="26">
        <f t="shared" si="4"/>
        <v>2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613</v>
      </c>
      <c r="O5" s="76" t="s">
        <v>614</v>
      </c>
      <c r="P5" s="76" t="s">
        <v>614</v>
      </c>
      <c r="Q5" s="76" t="s">
        <v>615</v>
      </c>
      <c r="R5" s="76" t="s">
        <v>616</v>
      </c>
      <c r="S5" s="76" t="s">
        <v>617</v>
      </c>
      <c r="T5" s="26"/>
      <c r="U5" s="76" t="s">
        <v>618</v>
      </c>
      <c r="V5" s="76" t="s">
        <v>619</v>
      </c>
      <c r="W5" s="76" t="s">
        <v>620</v>
      </c>
      <c r="X5" s="76" t="s">
        <v>621</v>
      </c>
      <c r="Y5" s="76" t="s">
        <v>622</v>
      </c>
      <c r="Z5" s="76" t="s">
        <v>623</v>
      </c>
      <c r="AA5" s="76" t="s">
        <v>624</v>
      </c>
      <c r="AB5" s="26" t="s">
        <v>600</v>
      </c>
      <c r="AC5" s="76" t="s">
        <v>625</v>
      </c>
      <c r="AD5" s="26"/>
      <c r="AE5" s="76" t="s">
        <v>626</v>
      </c>
      <c r="AF5" s="76" t="s">
        <v>627</v>
      </c>
      <c r="AG5" s="76" t="s">
        <v>628</v>
      </c>
      <c r="AH5" s="76" t="s">
        <v>629</v>
      </c>
      <c r="AI5" s="76" t="s">
        <v>630</v>
      </c>
      <c r="AJ5" s="26" t="s">
        <v>607</v>
      </c>
      <c r="AK5" s="40" t="s">
        <v>608</v>
      </c>
      <c r="AL5" s="76" t="s">
        <v>631</v>
      </c>
      <c r="AM5" s="76" t="s">
        <v>632</v>
      </c>
      <c r="AN5" s="76" t="s">
        <v>633</v>
      </c>
      <c r="AO5" s="76" t="s">
        <v>634</v>
      </c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</row>
    <row r="6" ht="14.25" customHeight="1">
      <c r="A6" s="26">
        <f t="shared" si="4"/>
        <v>3</v>
      </c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 t="s">
        <v>635</v>
      </c>
      <c r="O6" s="26" t="s">
        <v>636</v>
      </c>
      <c r="P6" s="26" t="s">
        <v>636</v>
      </c>
      <c r="Q6" s="26" t="s">
        <v>637</v>
      </c>
      <c r="R6" s="26" t="s">
        <v>638</v>
      </c>
      <c r="S6" s="26" t="s">
        <v>639</v>
      </c>
      <c r="T6" s="26"/>
      <c r="U6" s="26" t="s">
        <v>640</v>
      </c>
      <c r="V6" s="26" t="s">
        <v>641</v>
      </c>
      <c r="W6" s="26" t="s">
        <v>642</v>
      </c>
      <c r="X6" s="26" t="s">
        <v>643</v>
      </c>
      <c r="Y6" s="76" t="s">
        <v>644</v>
      </c>
      <c r="Z6" s="76" t="s">
        <v>645</v>
      </c>
      <c r="AA6" s="76" t="s">
        <v>646</v>
      </c>
      <c r="AB6" s="26" t="s">
        <v>600</v>
      </c>
      <c r="AC6" s="76" t="s">
        <v>647</v>
      </c>
      <c r="AD6" s="26"/>
      <c r="AE6" s="76" t="s">
        <v>648</v>
      </c>
      <c r="AF6" s="76" t="s">
        <v>649</v>
      </c>
      <c r="AG6" s="76" t="s">
        <v>650</v>
      </c>
      <c r="AH6" s="76" t="s">
        <v>651</v>
      </c>
      <c r="AI6" s="76" t="s">
        <v>652</v>
      </c>
      <c r="AJ6" s="26" t="s">
        <v>607</v>
      </c>
      <c r="AK6" s="40" t="s">
        <v>608</v>
      </c>
      <c r="AL6" s="76" t="s">
        <v>653</v>
      </c>
      <c r="AM6" s="76" t="s">
        <v>654</v>
      </c>
      <c r="AN6" s="76" t="s">
        <v>655</v>
      </c>
      <c r="AO6" s="76" t="s">
        <v>656</v>
      </c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</row>
    <row r="7" ht="14.25" customHeight="1">
      <c r="A7" s="26">
        <f t="shared" si="4"/>
        <v>4</v>
      </c>
      <c r="B7" s="26"/>
      <c r="C7" s="26"/>
      <c r="D7" s="100">
        <v>45689.0</v>
      </c>
      <c r="E7" s="26"/>
      <c r="F7" s="26"/>
      <c r="G7" s="26"/>
      <c r="H7" s="26"/>
      <c r="I7" s="26"/>
      <c r="J7" s="26"/>
      <c r="K7" s="26"/>
      <c r="L7" s="26"/>
      <c r="M7" s="26"/>
      <c r="N7" s="26" t="s">
        <v>657</v>
      </c>
      <c r="O7" s="26" t="s">
        <v>658</v>
      </c>
      <c r="P7" s="26" t="s">
        <v>658</v>
      </c>
      <c r="Q7" s="26" t="s">
        <v>659</v>
      </c>
      <c r="R7" s="26" t="s">
        <v>660</v>
      </c>
      <c r="S7" s="26" t="s">
        <v>661</v>
      </c>
      <c r="T7" s="26"/>
      <c r="U7" s="26" t="s">
        <v>662</v>
      </c>
      <c r="V7" s="26" t="s">
        <v>663</v>
      </c>
      <c r="W7" s="26" t="s">
        <v>664</v>
      </c>
      <c r="X7" s="26" t="s">
        <v>665</v>
      </c>
      <c r="Y7" s="76" t="s">
        <v>666</v>
      </c>
      <c r="Z7" s="76" t="s">
        <v>667</v>
      </c>
      <c r="AA7" s="76" t="s">
        <v>668</v>
      </c>
      <c r="AB7" s="26" t="s">
        <v>600</v>
      </c>
      <c r="AC7" s="76" t="s">
        <v>669</v>
      </c>
      <c r="AD7" s="26"/>
      <c r="AE7" s="76" t="s">
        <v>670</v>
      </c>
      <c r="AF7" s="76" t="s">
        <v>671</v>
      </c>
      <c r="AG7" s="76" t="s">
        <v>672</v>
      </c>
      <c r="AH7" s="76" t="s">
        <v>673</v>
      </c>
      <c r="AI7" s="76" t="s">
        <v>674</v>
      </c>
      <c r="AJ7" s="26" t="s">
        <v>675</v>
      </c>
      <c r="AK7" s="26" t="s">
        <v>676</v>
      </c>
      <c r="AL7" s="76" t="s">
        <v>677</v>
      </c>
      <c r="AM7" s="76" t="s">
        <v>678</v>
      </c>
      <c r="AN7" s="76" t="s">
        <v>679</v>
      </c>
      <c r="AO7" s="76" t="s">
        <v>680</v>
      </c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</row>
    <row r="8" ht="14.25" customHeight="1">
      <c r="A8" s="26">
        <f t="shared" si="4"/>
        <v>5</v>
      </c>
      <c r="B8" s="26"/>
      <c r="C8" s="26"/>
      <c r="D8" s="100">
        <v>45689.0</v>
      </c>
      <c r="E8" s="26"/>
      <c r="F8" s="26"/>
      <c r="G8" s="26"/>
      <c r="H8" s="26"/>
      <c r="I8" s="26"/>
      <c r="J8" s="26"/>
      <c r="K8" s="26"/>
      <c r="L8" s="26"/>
      <c r="M8" s="26"/>
      <c r="N8" s="26" t="s">
        <v>681</v>
      </c>
      <c r="O8" s="26" t="s">
        <v>682</v>
      </c>
      <c r="P8" s="26" t="s">
        <v>682</v>
      </c>
      <c r="Q8" s="26" t="s">
        <v>683</v>
      </c>
      <c r="R8" s="26" t="s">
        <v>684</v>
      </c>
      <c r="S8" s="26" t="s">
        <v>685</v>
      </c>
      <c r="T8" s="26"/>
      <c r="U8" s="26" t="s">
        <v>686</v>
      </c>
      <c r="V8" s="26" t="s">
        <v>687</v>
      </c>
      <c r="W8" s="26" t="s">
        <v>595</v>
      </c>
      <c r="X8" s="26" t="s">
        <v>688</v>
      </c>
      <c r="Y8" s="76" t="s">
        <v>689</v>
      </c>
      <c r="Z8" s="76" t="s">
        <v>690</v>
      </c>
      <c r="AA8" s="76" t="s">
        <v>691</v>
      </c>
      <c r="AB8" s="26" t="s">
        <v>600</v>
      </c>
      <c r="AC8" s="76" t="s">
        <v>692</v>
      </c>
      <c r="AD8" s="26"/>
      <c r="AE8" s="76" t="s">
        <v>693</v>
      </c>
      <c r="AF8" s="76" t="s">
        <v>694</v>
      </c>
      <c r="AG8" s="76" t="s">
        <v>695</v>
      </c>
      <c r="AH8" s="76" t="s">
        <v>696</v>
      </c>
      <c r="AI8" s="76" t="s">
        <v>697</v>
      </c>
      <c r="AJ8" s="26" t="s">
        <v>607</v>
      </c>
      <c r="AK8" s="26" t="s">
        <v>608</v>
      </c>
      <c r="AL8" s="76" t="s">
        <v>698</v>
      </c>
      <c r="AM8" s="76" t="s">
        <v>699</v>
      </c>
      <c r="AN8" s="76" t="s">
        <v>700</v>
      </c>
      <c r="AO8" s="76" t="s">
        <v>701</v>
      </c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</row>
    <row r="9" ht="14.25" customHeight="1">
      <c r="A9" s="26">
        <f t="shared" si="4"/>
        <v>6</v>
      </c>
      <c r="B9" s="26"/>
      <c r="C9" s="26"/>
      <c r="D9" s="100">
        <v>45689.0</v>
      </c>
      <c r="E9" s="26"/>
      <c r="F9" s="26"/>
      <c r="G9" s="26"/>
      <c r="H9" s="26"/>
      <c r="I9" s="26"/>
      <c r="J9" s="26"/>
      <c r="K9" s="26"/>
      <c r="L9" s="26"/>
      <c r="M9" s="26"/>
      <c r="N9" s="26" t="s">
        <v>702</v>
      </c>
      <c r="O9" s="26" t="s">
        <v>703</v>
      </c>
      <c r="P9" s="26" t="s">
        <v>703</v>
      </c>
      <c r="Q9" s="26" t="s">
        <v>704</v>
      </c>
      <c r="R9" s="26" t="s">
        <v>705</v>
      </c>
      <c r="S9" s="26" t="s">
        <v>706</v>
      </c>
      <c r="T9" s="26"/>
      <c r="U9" s="26" t="s">
        <v>707</v>
      </c>
      <c r="V9" s="26" t="s">
        <v>708</v>
      </c>
      <c r="W9" s="26" t="s">
        <v>620</v>
      </c>
      <c r="X9" s="26" t="s">
        <v>621</v>
      </c>
      <c r="Y9" s="76" t="s">
        <v>709</v>
      </c>
      <c r="Z9" s="76" t="s">
        <v>710</v>
      </c>
      <c r="AA9" s="76" t="s">
        <v>711</v>
      </c>
      <c r="AB9" s="26" t="s">
        <v>600</v>
      </c>
      <c r="AC9" s="76" t="s">
        <v>712</v>
      </c>
      <c r="AD9" s="26"/>
      <c r="AE9" s="76" t="s">
        <v>713</v>
      </c>
      <c r="AF9" s="76" t="s">
        <v>714</v>
      </c>
      <c r="AG9" s="76" t="s">
        <v>715</v>
      </c>
      <c r="AH9" s="76" t="s">
        <v>716</v>
      </c>
      <c r="AI9" s="76" t="s">
        <v>717</v>
      </c>
      <c r="AJ9" s="26" t="s">
        <v>607</v>
      </c>
      <c r="AK9" s="26" t="s">
        <v>608</v>
      </c>
      <c r="AL9" s="76" t="s">
        <v>718</v>
      </c>
      <c r="AM9" s="76" t="s">
        <v>719</v>
      </c>
      <c r="AN9" s="76" t="s">
        <v>720</v>
      </c>
      <c r="AO9" s="76" t="s">
        <v>721</v>
      </c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</row>
    <row r="10" ht="14.25" customHeight="1">
      <c r="A10" s="26">
        <f t="shared" si="4"/>
        <v>7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 t="s">
        <v>722</v>
      </c>
      <c r="O10" s="26" t="s">
        <v>723</v>
      </c>
      <c r="P10" s="26" t="s">
        <v>723</v>
      </c>
      <c r="Q10" s="26" t="s">
        <v>724</v>
      </c>
      <c r="R10" s="26" t="s">
        <v>725</v>
      </c>
      <c r="S10" s="26" t="s">
        <v>726</v>
      </c>
      <c r="T10" s="26"/>
      <c r="U10" s="26" t="s">
        <v>727</v>
      </c>
      <c r="V10" s="26" t="s">
        <v>728</v>
      </c>
      <c r="W10" s="26" t="s">
        <v>595</v>
      </c>
      <c r="X10" s="26" t="s">
        <v>729</v>
      </c>
      <c r="Y10" s="76" t="s">
        <v>730</v>
      </c>
      <c r="Z10" s="76" t="s">
        <v>731</v>
      </c>
      <c r="AA10" s="76" t="s">
        <v>732</v>
      </c>
      <c r="AB10" s="26" t="s">
        <v>600</v>
      </c>
      <c r="AC10" s="76" t="s">
        <v>733</v>
      </c>
      <c r="AD10" s="26"/>
      <c r="AE10" s="76" t="s">
        <v>734</v>
      </c>
      <c r="AF10" s="76" t="s">
        <v>735</v>
      </c>
      <c r="AG10" s="76" t="s">
        <v>736</v>
      </c>
      <c r="AH10" s="76" t="s">
        <v>737</v>
      </c>
      <c r="AI10" s="76" t="s">
        <v>738</v>
      </c>
      <c r="AJ10" s="26" t="s">
        <v>607</v>
      </c>
      <c r="AK10" s="26" t="s">
        <v>608</v>
      </c>
      <c r="AL10" s="76" t="s">
        <v>739</v>
      </c>
      <c r="AM10" s="76" t="s">
        <v>740</v>
      </c>
      <c r="AN10" s="76" t="s">
        <v>741</v>
      </c>
      <c r="AO10" s="76" t="s">
        <v>742</v>
      </c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</row>
    <row r="11" ht="14.25" customHeight="1">
      <c r="A11" s="26">
        <f t="shared" si="4"/>
        <v>8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76" t="s">
        <v>743</v>
      </c>
      <c r="O11" s="26" t="s">
        <v>744</v>
      </c>
      <c r="P11" s="26" t="s">
        <v>744</v>
      </c>
      <c r="Q11" s="26" t="s">
        <v>745</v>
      </c>
      <c r="R11" s="26" t="s">
        <v>746</v>
      </c>
      <c r="S11" s="26" t="s">
        <v>747</v>
      </c>
      <c r="T11" s="26"/>
      <c r="U11" s="26" t="s">
        <v>748</v>
      </c>
      <c r="V11" s="26" t="s">
        <v>749</v>
      </c>
      <c r="W11" s="26" t="s">
        <v>595</v>
      </c>
      <c r="X11" s="26" t="s">
        <v>750</v>
      </c>
      <c r="Y11" s="76" t="s">
        <v>730</v>
      </c>
      <c r="Z11" s="76" t="s">
        <v>751</v>
      </c>
      <c r="AA11" s="76" t="s">
        <v>752</v>
      </c>
      <c r="AB11" s="26" t="s">
        <v>600</v>
      </c>
      <c r="AC11" s="76" t="s">
        <v>753</v>
      </c>
      <c r="AD11" s="26"/>
      <c r="AE11" s="76" t="s">
        <v>754</v>
      </c>
      <c r="AF11" s="76" t="s">
        <v>755</v>
      </c>
      <c r="AG11" s="76" t="s">
        <v>756</v>
      </c>
      <c r="AH11" s="76" t="s">
        <v>757</v>
      </c>
      <c r="AI11" s="76" t="s">
        <v>758</v>
      </c>
      <c r="AJ11" s="26" t="s">
        <v>607</v>
      </c>
      <c r="AK11" s="26" t="s">
        <v>608</v>
      </c>
      <c r="AL11" s="76" t="s">
        <v>759</v>
      </c>
      <c r="AM11" s="76" t="s">
        <v>760</v>
      </c>
      <c r="AN11" s="76" t="s">
        <v>761</v>
      </c>
      <c r="AO11" s="76" t="s">
        <v>762</v>
      </c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</row>
    <row r="12" ht="14.25" customHeight="1">
      <c r="A12" s="26">
        <f t="shared" si="4"/>
        <v>9</v>
      </c>
      <c r="B12" s="26"/>
      <c r="C12" s="26"/>
      <c r="D12" s="100">
        <v>45679.0</v>
      </c>
      <c r="E12" s="26"/>
      <c r="F12" s="26"/>
      <c r="G12" s="26"/>
      <c r="H12" s="26"/>
      <c r="I12" s="26"/>
      <c r="J12" s="26"/>
      <c r="K12" s="26"/>
      <c r="L12" s="26"/>
      <c r="M12" s="26"/>
      <c r="N12" s="26" t="s">
        <v>763</v>
      </c>
      <c r="O12" s="26" t="s">
        <v>764</v>
      </c>
      <c r="P12" s="26" t="s">
        <v>764</v>
      </c>
      <c r="Q12" s="26" t="s">
        <v>765</v>
      </c>
      <c r="R12" s="26" t="s">
        <v>766</v>
      </c>
      <c r="S12" s="26" t="s">
        <v>766</v>
      </c>
      <c r="T12" s="26"/>
      <c r="U12" s="26" t="s">
        <v>767</v>
      </c>
      <c r="V12" s="26" t="s">
        <v>768</v>
      </c>
      <c r="W12" s="26" t="s">
        <v>620</v>
      </c>
      <c r="X12" s="26" t="s">
        <v>621</v>
      </c>
      <c r="Y12" s="76" t="s">
        <v>769</v>
      </c>
      <c r="Z12" s="76" t="s">
        <v>770</v>
      </c>
      <c r="AA12" s="76" t="s">
        <v>771</v>
      </c>
      <c r="AB12" s="26" t="s">
        <v>600</v>
      </c>
      <c r="AC12" s="76" t="s">
        <v>772</v>
      </c>
      <c r="AD12" s="26"/>
      <c r="AE12" s="26" t="s">
        <v>773</v>
      </c>
      <c r="AF12" s="76" t="s">
        <v>774</v>
      </c>
      <c r="AG12" s="76" t="s">
        <v>775</v>
      </c>
      <c r="AH12" s="76" t="s">
        <v>776</v>
      </c>
      <c r="AI12" s="76" t="s">
        <v>777</v>
      </c>
      <c r="AJ12" s="26" t="s">
        <v>607</v>
      </c>
      <c r="AK12" s="26" t="s">
        <v>608</v>
      </c>
      <c r="AL12" s="76" t="s">
        <v>778</v>
      </c>
      <c r="AM12" s="76" t="s">
        <v>779</v>
      </c>
      <c r="AN12" s="76" t="s">
        <v>780</v>
      </c>
      <c r="AO12" s="76" t="s">
        <v>781</v>
      </c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</row>
    <row r="13" ht="14.25" customHeight="1">
      <c r="A13" s="26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</row>
    <row r="14" ht="14.25" customHeight="1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</row>
    <row r="15" ht="14.25" customHeight="1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</row>
    <row r="16" ht="14.25" customHeight="1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</row>
    <row r="17" ht="14.25" customHeight="1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</row>
    <row r="18" ht="14.25" customHeight="1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</row>
    <row r="19" ht="14.25" customHeight="1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</row>
    <row r="20" ht="14.25" customHeight="1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</row>
    <row r="21" ht="14.25" customHeight="1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</row>
    <row r="22" ht="14.25" customHeight="1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</row>
    <row r="23" ht="14.25" customHeight="1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</row>
    <row r="24" ht="14.25" customHeight="1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</row>
    <row r="25" ht="14.25" customHeight="1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</row>
    <row r="26" ht="14.25" customHeight="1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</row>
    <row r="27" ht="14.25" customHeight="1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</row>
    <row r="28" ht="14.25" customHeight="1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</row>
    <row r="29" ht="14.25" customHeight="1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</row>
    <row r="30" ht="14.25" customHeight="1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</row>
    <row r="31" ht="14.25" customHeight="1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</row>
    <row r="32" ht="14.25" customHeight="1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</row>
    <row r="33" ht="14.25" customHeight="1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</row>
    <row r="34" ht="14.25" customHeight="1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</row>
    <row r="35" ht="14.25" customHeight="1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</row>
    <row r="36" ht="14.25" customHeight="1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  <c r="BH36" s="26"/>
      <c r="BI36" s="26"/>
      <c r="BJ36" s="26"/>
      <c r="BK36" s="26"/>
    </row>
    <row r="37" ht="14.25" customHeight="1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  <c r="BH37" s="26"/>
      <c r="BI37" s="26"/>
      <c r="BJ37" s="26"/>
      <c r="BK37" s="26"/>
    </row>
    <row r="38" ht="14.25" customHeight="1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26"/>
      <c r="BC38" s="26"/>
      <c r="BD38" s="26"/>
      <c r="BE38" s="26"/>
      <c r="BF38" s="26"/>
      <c r="BG38" s="26"/>
      <c r="BH38" s="26"/>
      <c r="BI38" s="26"/>
      <c r="BJ38" s="26"/>
      <c r="BK38" s="26"/>
    </row>
    <row r="39" ht="14.25" customHeight="1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6"/>
      <c r="AY39" s="26"/>
      <c r="AZ39" s="26"/>
      <c r="BA39" s="26"/>
      <c r="BB39" s="26"/>
      <c r="BC39" s="26"/>
      <c r="BD39" s="26"/>
      <c r="BE39" s="26"/>
      <c r="BF39" s="26"/>
      <c r="BG39" s="26"/>
      <c r="BH39" s="26"/>
      <c r="BI39" s="26"/>
      <c r="BJ39" s="26"/>
      <c r="BK39" s="26"/>
    </row>
    <row r="40" ht="14.25" customHeight="1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6"/>
    </row>
    <row r="41" ht="14.25" customHeight="1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6"/>
    </row>
    <row r="42" ht="14.25" customHeight="1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</row>
    <row r="43" ht="14.25" customHeight="1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</row>
    <row r="44" ht="14.25" customHeight="1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</row>
    <row r="45" ht="14.25" customHeight="1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</row>
    <row r="46" ht="14.25" customHeight="1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  <c r="BJ46" s="26"/>
      <c r="BK46" s="26"/>
    </row>
    <row r="47" ht="14.25" customHeight="1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6"/>
      <c r="BI47" s="26"/>
      <c r="BJ47" s="26"/>
      <c r="BK47" s="26"/>
    </row>
    <row r="48" ht="14.25" customHeight="1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  <c r="BJ48" s="26"/>
      <c r="BK48" s="26"/>
    </row>
    <row r="49" ht="14.25" customHeight="1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26"/>
      <c r="BH49" s="26"/>
      <c r="BI49" s="26"/>
      <c r="BJ49" s="26"/>
      <c r="BK49" s="26"/>
    </row>
    <row r="50" ht="14.25" customHeight="1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  <c r="BH50" s="26"/>
      <c r="BI50" s="26"/>
      <c r="BJ50" s="26"/>
      <c r="BK50" s="26"/>
    </row>
    <row r="51" ht="14.25" customHeight="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  <c r="BH51" s="26"/>
      <c r="BI51" s="26"/>
      <c r="BJ51" s="26"/>
      <c r="BK51" s="26"/>
    </row>
    <row r="52" ht="14.25" customHeight="1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26"/>
      <c r="BH52" s="26"/>
      <c r="BI52" s="26"/>
      <c r="BJ52" s="26"/>
      <c r="BK52" s="26"/>
    </row>
    <row r="53" ht="14.25" customHeight="1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  <c r="BH53" s="26"/>
      <c r="BI53" s="26"/>
      <c r="BJ53" s="26"/>
      <c r="BK53" s="26"/>
    </row>
    <row r="54" ht="14.25" customHeight="1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26"/>
      <c r="BC54" s="26"/>
      <c r="BD54" s="26"/>
      <c r="BE54" s="26"/>
      <c r="BF54" s="26"/>
      <c r="BG54" s="26"/>
      <c r="BH54" s="26"/>
      <c r="BI54" s="26"/>
      <c r="BJ54" s="26"/>
      <c r="BK54" s="26"/>
    </row>
    <row r="55" ht="14.25" customHeight="1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26"/>
      <c r="AU55" s="26"/>
      <c r="AV55" s="26"/>
      <c r="AW55" s="26"/>
      <c r="AX55" s="26"/>
      <c r="AY55" s="26"/>
      <c r="AZ55" s="26"/>
      <c r="BA55" s="26"/>
      <c r="BB55" s="26"/>
      <c r="BC55" s="26"/>
      <c r="BD55" s="26"/>
      <c r="BE55" s="26"/>
      <c r="BF55" s="26"/>
      <c r="BG55" s="26"/>
      <c r="BH55" s="26"/>
      <c r="BI55" s="26"/>
      <c r="BJ55" s="26"/>
      <c r="BK55" s="26"/>
    </row>
    <row r="56" ht="14.25" customHeight="1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26"/>
      <c r="AT56" s="26"/>
      <c r="AU56" s="26"/>
      <c r="AV56" s="26"/>
      <c r="AW56" s="26"/>
      <c r="AX56" s="26"/>
      <c r="AY56" s="26"/>
      <c r="AZ56" s="26"/>
      <c r="BA56" s="26"/>
      <c r="BB56" s="26"/>
      <c r="BC56" s="26"/>
      <c r="BD56" s="26"/>
      <c r="BE56" s="26"/>
      <c r="BF56" s="26"/>
      <c r="BG56" s="26"/>
      <c r="BH56" s="26"/>
      <c r="BI56" s="26"/>
      <c r="BJ56" s="26"/>
      <c r="BK56" s="26"/>
    </row>
    <row r="57" ht="14.25" customHeight="1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  <c r="AO57" s="26"/>
      <c r="AP57" s="26"/>
      <c r="AQ57" s="26"/>
      <c r="AR57" s="26"/>
      <c r="AS57" s="26"/>
      <c r="AT57" s="26"/>
      <c r="AU57" s="26"/>
      <c r="AV57" s="26"/>
      <c r="AW57" s="26"/>
      <c r="AX57" s="26"/>
      <c r="AY57" s="26"/>
      <c r="AZ57" s="26"/>
      <c r="BA57" s="26"/>
      <c r="BB57" s="26"/>
      <c r="BC57" s="26"/>
      <c r="BD57" s="26"/>
      <c r="BE57" s="26"/>
      <c r="BF57" s="26"/>
      <c r="BG57" s="26"/>
      <c r="BH57" s="26"/>
      <c r="BI57" s="26"/>
      <c r="BJ57" s="26"/>
      <c r="BK57" s="26"/>
    </row>
    <row r="58" ht="14.25" customHeight="1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26"/>
      <c r="AU58" s="26"/>
      <c r="AV58" s="26"/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26"/>
      <c r="BH58" s="26"/>
      <c r="BI58" s="26"/>
      <c r="BJ58" s="26"/>
      <c r="BK58" s="26"/>
    </row>
    <row r="59" ht="14.25" customHeight="1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  <c r="BH59" s="26"/>
      <c r="BI59" s="26"/>
      <c r="BJ59" s="26"/>
      <c r="BK59" s="26"/>
    </row>
    <row r="60" ht="14.25" customHeight="1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  <c r="BJ60" s="26"/>
      <c r="BK60" s="26"/>
    </row>
    <row r="61" ht="14.25" customHeight="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26"/>
      <c r="AX61" s="26"/>
      <c r="AY61" s="26"/>
      <c r="AZ61" s="26"/>
      <c r="BA61" s="26"/>
      <c r="BB61" s="26"/>
      <c r="BC61" s="26"/>
      <c r="BD61" s="26"/>
      <c r="BE61" s="26"/>
      <c r="BF61" s="26"/>
      <c r="BG61" s="26"/>
      <c r="BH61" s="26"/>
      <c r="BI61" s="26"/>
      <c r="BJ61" s="26"/>
      <c r="BK61" s="26"/>
    </row>
    <row r="62" ht="14.25" customHeight="1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26"/>
      <c r="AT62" s="26"/>
      <c r="AU62" s="26"/>
      <c r="AV62" s="26"/>
      <c r="AW62" s="26"/>
      <c r="AX62" s="26"/>
      <c r="AY62" s="26"/>
      <c r="AZ62" s="26"/>
      <c r="BA62" s="26"/>
      <c r="BB62" s="26"/>
      <c r="BC62" s="26"/>
      <c r="BD62" s="26"/>
      <c r="BE62" s="26"/>
      <c r="BF62" s="26"/>
      <c r="BG62" s="26"/>
      <c r="BH62" s="26"/>
      <c r="BI62" s="26"/>
      <c r="BJ62" s="26"/>
      <c r="BK62" s="26"/>
    </row>
    <row r="63" ht="14.25" customHeight="1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26"/>
      <c r="AP63" s="26"/>
      <c r="AQ63" s="26"/>
      <c r="AR63" s="26"/>
      <c r="AS63" s="26"/>
      <c r="AT63" s="26"/>
      <c r="AU63" s="26"/>
      <c r="AV63" s="26"/>
      <c r="AW63" s="26"/>
      <c r="AX63" s="26"/>
      <c r="AY63" s="26"/>
      <c r="AZ63" s="26"/>
      <c r="BA63" s="26"/>
      <c r="BB63" s="26"/>
      <c r="BC63" s="26"/>
      <c r="BD63" s="26"/>
      <c r="BE63" s="26"/>
      <c r="BF63" s="26"/>
      <c r="BG63" s="26"/>
      <c r="BH63" s="26"/>
      <c r="BI63" s="26"/>
      <c r="BJ63" s="26"/>
      <c r="BK63" s="26"/>
    </row>
    <row r="64" ht="14.25" customHeight="1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  <c r="AM64" s="26"/>
      <c r="AN64" s="26"/>
      <c r="AO64" s="26"/>
      <c r="AP64" s="26"/>
      <c r="AQ64" s="26"/>
      <c r="AR64" s="26"/>
      <c r="AS64" s="26"/>
      <c r="AT64" s="26"/>
      <c r="AU64" s="26"/>
      <c r="AV64" s="26"/>
      <c r="AW64" s="26"/>
      <c r="AX64" s="26"/>
      <c r="AY64" s="26"/>
      <c r="AZ64" s="26"/>
      <c r="BA64" s="26"/>
      <c r="BB64" s="26"/>
      <c r="BC64" s="26"/>
      <c r="BD64" s="26"/>
      <c r="BE64" s="26"/>
      <c r="BF64" s="26"/>
      <c r="BG64" s="26"/>
      <c r="BH64" s="26"/>
      <c r="BI64" s="26"/>
      <c r="BJ64" s="26"/>
      <c r="BK64" s="26"/>
    </row>
    <row r="65" ht="14.25" customHeight="1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  <c r="AO65" s="26"/>
      <c r="AP65" s="26"/>
      <c r="AQ65" s="26"/>
      <c r="AR65" s="26"/>
      <c r="AS65" s="26"/>
      <c r="AT65" s="26"/>
      <c r="AU65" s="26"/>
      <c r="AV65" s="26"/>
      <c r="AW65" s="26"/>
      <c r="AX65" s="26"/>
      <c r="AY65" s="26"/>
      <c r="AZ65" s="26"/>
      <c r="BA65" s="26"/>
      <c r="BB65" s="26"/>
      <c r="BC65" s="26"/>
      <c r="BD65" s="26"/>
      <c r="BE65" s="26"/>
      <c r="BF65" s="26"/>
      <c r="BG65" s="26"/>
      <c r="BH65" s="26"/>
      <c r="BI65" s="26"/>
      <c r="BJ65" s="26"/>
      <c r="BK65" s="26"/>
    </row>
    <row r="66" ht="14.25" customHeight="1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  <c r="AO66" s="26"/>
      <c r="AP66" s="26"/>
      <c r="AQ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/>
      <c r="BB66" s="26"/>
      <c r="BC66" s="26"/>
      <c r="BD66" s="26"/>
      <c r="BE66" s="26"/>
      <c r="BF66" s="26"/>
      <c r="BG66" s="26"/>
      <c r="BH66" s="26"/>
      <c r="BI66" s="26"/>
      <c r="BJ66" s="26"/>
      <c r="BK66" s="26"/>
    </row>
    <row r="67" ht="14.25" customHeight="1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/>
      <c r="BB67" s="26"/>
      <c r="BC67" s="26"/>
      <c r="BD67" s="26"/>
      <c r="BE67" s="26"/>
      <c r="BF67" s="26"/>
      <c r="BG67" s="26"/>
      <c r="BH67" s="26"/>
      <c r="BI67" s="26"/>
      <c r="BJ67" s="26"/>
      <c r="BK67" s="26"/>
    </row>
    <row r="68" ht="14.25" customHeight="1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  <c r="AO68" s="26"/>
      <c r="AP68" s="26"/>
      <c r="AQ68" s="26"/>
      <c r="AR68" s="26"/>
      <c r="AS68" s="26"/>
      <c r="AT68" s="26"/>
      <c r="AU68" s="26"/>
      <c r="AV68" s="26"/>
      <c r="AW68" s="26"/>
      <c r="AX68" s="26"/>
      <c r="AY68" s="26"/>
      <c r="AZ68" s="26"/>
      <c r="BA68" s="26"/>
      <c r="BB68" s="26"/>
      <c r="BC68" s="26"/>
      <c r="BD68" s="26"/>
      <c r="BE68" s="26"/>
      <c r="BF68" s="26"/>
      <c r="BG68" s="26"/>
      <c r="BH68" s="26"/>
      <c r="BI68" s="26"/>
      <c r="BJ68" s="26"/>
      <c r="BK68" s="26"/>
    </row>
    <row r="69" ht="14.25" customHeight="1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6"/>
      <c r="AY69" s="26"/>
      <c r="AZ69" s="26"/>
      <c r="BA69" s="26"/>
      <c r="BB69" s="26"/>
      <c r="BC69" s="26"/>
      <c r="BD69" s="26"/>
      <c r="BE69" s="26"/>
      <c r="BF69" s="26"/>
      <c r="BG69" s="26"/>
      <c r="BH69" s="26"/>
      <c r="BI69" s="26"/>
      <c r="BJ69" s="26"/>
      <c r="BK69" s="26"/>
    </row>
    <row r="70" ht="14.25" customHeight="1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  <c r="AM70" s="26"/>
      <c r="AN70" s="26"/>
      <c r="AO70" s="26"/>
      <c r="AP70" s="26"/>
      <c r="AQ70" s="26"/>
      <c r="AR70" s="26"/>
      <c r="AS70" s="26"/>
      <c r="AT70" s="26"/>
      <c r="AU70" s="26"/>
      <c r="AV70" s="26"/>
      <c r="AW70" s="26"/>
      <c r="AX70" s="26"/>
      <c r="AY70" s="26"/>
      <c r="AZ70" s="26"/>
      <c r="BA70" s="26"/>
      <c r="BB70" s="26"/>
      <c r="BC70" s="26"/>
      <c r="BD70" s="26"/>
      <c r="BE70" s="26"/>
      <c r="BF70" s="26"/>
      <c r="BG70" s="26"/>
      <c r="BH70" s="26"/>
      <c r="BI70" s="26"/>
      <c r="BJ70" s="26"/>
      <c r="BK70" s="26"/>
    </row>
    <row r="71" ht="14.25" customHeight="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26"/>
      <c r="AT71" s="26"/>
      <c r="AU71" s="26"/>
      <c r="AV71" s="26"/>
      <c r="AW71" s="26"/>
      <c r="AX71" s="26"/>
      <c r="AY71" s="26"/>
      <c r="AZ71" s="26"/>
      <c r="BA71" s="26"/>
      <c r="BB71" s="26"/>
      <c r="BC71" s="26"/>
      <c r="BD71" s="26"/>
      <c r="BE71" s="26"/>
      <c r="BF71" s="26"/>
      <c r="BG71" s="26"/>
      <c r="BH71" s="26"/>
      <c r="BI71" s="26"/>
      <c r="BJ71" s="26"/>
      <c r="BK71" s="26"/>
    </row>
    <row r="72" ht="14.25" customHeight="1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  <c r="AO72" s="26"/>
      <c r="AP72" s="26"/>
      <c r="AQ72" s="26"/>
      <c r="AR72" s="26"/>
      <c r="AS72" s="26"/>
      <c r="AT72" s="26"/>
      <c r="AU72" s="26"/>
      <c r="AV72" s="26"/>
      <c r="AW72" s="26"/>
      <c r="AX72" s="26"/>
      <c r="AY72" s="26"/>
      <c r="AZ72" s="26"/>
      <c r="BA72" s="26"/>
      <c r="BB72" s="26"/>
      <c r="BC72" s="26"/>
      <c r="BD72" s="26"/>
      <c r="BE72" s="26"/>
      <c r="BF72" s="26"/>
      <c r="BG72" s="26"/>
      <c r="BH72" s="26"/>
      <c r="BI72" s="26"/>
      <c r="BJ72" s="26"/>
      <c r="BK72" s="26"/>
    </row>
    <row r="73" ht="14.25" customHeight="1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  <c r="AO73" s="26"/>
      <c r="AP73" s="26"/>
      <c r="AQ73" s="26"/>
      <c r="AR73" s="26"/>
      <c r="AS73" s="26"/>
      <c r="AT73" s="26"/>
      <c r="AU73" s="26"/>
      <c r="AV73" s="26"/>
      <c r="AW73" s="26"/>
      <c r="AX73" s="26"/>
      <c r="AY73" s="26"/>
      <c r="AZ73" s="26"/>
      <c r="BA73" s="26"/>
      <c r="BB73" s="26"/>
      <c r="BC73" s="26"/>
      <c r="BD73" s="26"/>
      <c r="BE73" s="26"/>
      <c r="BF73" s="26"/>
      <c r="BG73" s="26"/>
      <c r="BH73" s="26"/>
      <c r="BI73" s="26"/>
      <c r="BJ73" s="26"/>
      <c r="BK73" s="26"/>
    </row>
    <row r="74" ht="14.25" customHeight="1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/>
      <c r="AP74" s="26"/>
      <c r="AQ74" s="26"/>
      <c r="AR74" s="26"/>
      <c r="AS74" s="26"/>
      <c r="AT74" s="26"/>
      <c r="AU74" s="26"/>
      <c r="AV74" s="26"/>
      <c r="AW74" s="26"/>
      <c r="AX74" s="26"/>
      <c r="AY74" s="26"/>
      <c r="AZ74" s="26"/>
      <c r="BA74" s="26"/>
      <c r="BB74" s="26"/>
      <c r="BC74" s="26"/>
      <c r="BD74" s="26"/>
      <c r="BE74" s="26"/>
      <c r="BF74" s="26"/>
      <c r="BG74" s="26"/>
      <c r="BH74" s="26"/>
      <c r="BI74" s="26"/>
      <c r="BJ74" s="26"/>
      <c r="BK74" s="26"/>
    </row>
    <row r="75" ht="14.25" customHeight="1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26"/>
      <c r="AQ75" s="26"/>
      <c r="AR75" s="26"/>
      <c r="AS75" s="26"/>
      <c r="AT75" s="26"/>
      <c r="AU75" s="26"/>
      <c r="AV75" s="26"/>
      <c r="AW75" s="26"/>
      <c r="AX75" s="26"/>
      <c r="AY75" s="26"/>
      <c r="AZ75" s="26"/>
      <c r="BA75" s="26"/>
      <c r="BB75" s="26"/>
      <c r="BC75" s="26"/>
      <c r="BD75" s="26"/>
      <c r="BE75" s="26"/>
      <c r="BF75" s="26"/>
      <c r="BG75" s="26"/>
      <c r="BH75" s="26"/>
      <c r="BI75" s="26"/>
      <c r="BJ75" s="26"/>
      <c r="BK75" s="26"/>
    </row>
    <row r="76" ht="14.25" customHeight="1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26"/>
      <c r="AV76" s="26"/>
      <c r="AW76" s="26"/>
      <c r="AX76" s="26"/>
      <c r="AY76" s="26"/>
      <c r="AZ76" s="26"/>
      <c r="BA76" s="26"/>
      <c r="BB76" s="26"/>
      <c r="BC76" s="26"/>
      <c r="BD76" s="26"/>
      <c r="BE76" s="26"/>
      <c r="BF76" s="26"/>
      <c r="BG76" s="26"/>
      <c r="BH76" s="26"/>
      <c r="BI76" s="26"/>
      <c r="BJ76" s="26"/>
      <c r="BK76" s="26"/>
    </row>
    <row r="77" ht="14.25" customHeight="1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  <c r="AM77" s="26"/>
      <c r="AN77" s="26"/>
      <c r="AO77" s="26"/>
      <c r="AP77" s="26"/>
      <c r="AQ77" s="26"/>
      <c r="AR77" s="26"/>
      <c r="AS77" s="26"/>
      <c r="AT77" s="26"/>
      <c r="AU77" s="26"/>
      <c r="AV77" s="26"/>
      <c r="AW77" s="26"/>
      <c r="AX77" s="26"/>
      <c r="AY77" s="26"/>
      <c r="AZ77" s="26"/>
      <c r="BA77" s="26"/>
      <c r="BB77" s="26"/>
      <c r="BC77" s="26"/>
      <c r="BD77" s="26"/>
      <c r="BE77" s="26"/>
      <c r="BF77" s="26"/>
      <c r="BG77" s="26"/>
      <c r="BH77" s="26"/>
      <c r="BI77" s="26"/>
      <c r="BJ77" s="26"/>
      <c r="BK77" s="26"/>
    </row>
    <row r="78" ht="14.25" customHeight="1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  <c r="AM78" s="26"/>
      <c r="AN78" s="26"/>
      <c r="AO78" s="26"/>
      <c r="AP78" s="26"/>
      <c r="AQ78" s="26"/>
      <c r="AR78" s="26"/>
      <c r="AS78" s="26"/>
      <c r="AT78" s="26"/>
      <c r="AU78" s="26"/>
      <c r="AV78" s="26"/>
      <c r="AW78" s="26"/>
      <c r="AX78" s="26"/>
      <c r="AY78" s="26"/>
      <c r="AZ78" s="26"/>
      <c r="BA78" s="26"/>
      <c r="BB78" s="26"/>
      <c r="BC78" s="26"/>
      <c r="BD78" s="26"/>
      <c r="BE78" s="26"/>
      <c r="BF78" s="26"/>
      <c r="BG78" s="26"/>
      <c r="BH78" s="26"/>
      <c r="BI78" s="26"/>
      <c r="BJ78" s="26"/>
      <c r="BK78" s="26"/>
    </row>
    <row r="79" ht="14.25" customHeight="1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  <c r="AO79" s="26"/>
      <c r="AP79" s="26"/>
      <c r="AQ79" s="26"/>
      <c r="AR79" s="26"/>
      <c r="AS79" s="26"/>
      <c r="AT79" s="26"/>
      <c r="AU79" s="26"/>
      <c r="AV79" s="26"/>
      <c r="AW79" s="26"/>
      <c r="AX79" s="26"/>
      <c r="AY79" s="26"/>
      <c r="AZ79" s="26"/>
      <c r="BA79" s="26"/>
      <c r="BB79" s="26"/>
      <c r="BC79" s="26"/>
      <c r="BD79" s="26"/>
      <c r="BE79" s="26"/>
      <c r="BF79" s="26"/>
      <c r="BG79" s="26"/>
      <c r="BH79" s="26"/>
      <c r="BI79" s="26"/>
      <c r="BJ79" s="26"/>
      <c r="BK79" s="26"/>
    </row>
    <row r="80" ht="14.25" customHeight="1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  <c r="AO80" s="26"/>
      <c r="AP80" s="26"/>
      <c r="AQ80" s="26"/>
      <c r="AR80" s="26"/>
      <c r="AS80" s="26"/>
      <c r="AT80" s="26"/>
      <c r="AU80" s="26"/>
      <c r="AV80" s="26"/>
      <c r="AW80" s="26"/>
      <c r="AX80" s="26"/>
      <c r="AY80" s="26"/>
      <c r="AZ80" s="26"/>
      <c r="BA80" s="26"/>
      <c r="BB80" s="26"/>
      <c r="BC80" s="26"/>
      <c r="BD80" s="26"/>
      <c r="BE80" s="26"/>
      <c r="BF80" s="26"/>
      <c r="BG80" s="26"/>
      <c r="BH80" s="26"/>
      <c r="BI80" s="26"/>
      <c r="BJ80" s="26"/>
      <c r="BK80" s="26"/>
    </row>
    <row r="81" ht="14.25" customHeight="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  <c r="AO81" s="26"/>
      <c r="AP81" s="26"/>
      <c r="AQ81" s="26"/>
      <c r="AR81" s="26"/>
      <c r="AS81" s="26"/>
      <c r="AT81" s="26"/>
      <c r="AU81" s="26"/>
      <c r="AV81" s="26"/>
      <c r="AW81" s="26"/>
      <c r="AX81" s="26"/>
      <c r="AY81" s="26"/>
      <c r="AZ81" s="26"/>
      <c r="BA81" s="26"/>
      <c r="BB81" s="26"/>
      <c r="BC81" s="26"/>
      <c r="BD81" s="26"/>
      <c r="BE81" s="26"/>
      <c r="BF81" s="26"/>
      <c r="BG81" s="26"/>
      <c r="BH81" s="26"/>
      <c r="BI81" s="26"/>
      <c r="BJ81" s="26"/>
      <c r="BK81" s="26"/>
    </row>
    <row r="82" ht="14.25" customHeight="1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  <c r="AM82" s="26"/>
      <c r="AN82" s="26"/>
      <c r="AO82" s="26"/>
      <c r="AP82" s="26"/>
      <c r="AQ82" s="26"/>
      <c r="AR82" s="26"/>
      <c r="AS82" s="26"/>
      <c r="AT82" s="26"/>
      <c r="AU82" s="26"/>
      <c r="AV82" s="26"/>
      <c r="AW82" s="26"/>
      <c r="AX82" s="26"/>
      <c r="AY82" s="26"/>
      <c r="AZ82" s="26"/>
      <c r="BA82" s="26"/>
      <c r="BB82" s="26"/>
      <c r="BC82" s="26"/>
      <c r="BD82" s="26"/>
      <c r="BE82" s="26"/>
      <c r="BF82" s="26"/>
      <c r="BG82" s="26"/>
      <c r="BH82" s="26"/>
      <c r="BI82" s="26"/>
      <c r="BJ82" s="26"/>
      <c r="BK82" s="26"/>
    </row>
    <row r="83" ht="14.25" customHeight="1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  <c r="AM83" s="26"/>
      <c r="AN83" s="26"/>
      <c r="AO83" s="26"/>
      <c r="AP83" s="26"/>
      <c r="AQ83" s="26"/>
      <c r="AR83" s="26"/>
      <c r="AS83" s="26"/>
      <c r="AT83" s="26"/>
      <c r="AU83" s="26"/>
      <c r="AV83" s="26"/>
      <c r="AW83" s="26"/>
      <c r="AX83" s="26"/>
      <c r="AY83" s="26"/>
      <c r="AZ83" s="26"/>
      <c r="BA83" s="26"/>
      <c r="BB83" s="26"/>
      <c r="BC83" s="26"/>
      <c r="BD83" s="26"/>
      <c r="BE83" s="26"/>
      <c r="BF83" s="26"/>
      <c r="BG83" s="26"/>
      <c r="BH83" s="26"/>
      <c r="BI83" s="26"/>
      <c r="BJ83" s="26"/>
      <c r="BK83" s="26"/>
    </row>
    <row r="84" ht="14.25" customHeight="1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  <c r="AM84" s="26"/>
      <c r="AN84" s="26"/>
      <c r="AO84" s="26"/>
      <c r="AP84" s="26"/>
      <c r="AQ84" s="26"/>
      <c r="AR84" s="26"/>
      <c r="AS84" s="26"/>
      <c r="AT84" s="26"/>
      <c r="AU84" s="26"/>
      <c r="AV84" s="26"/>
      <c r="AW84" s="26"/>
      <c r="AX84" s="26"/>
      <c r="AY84" s="26"/>
      <c r="AZ84" s="26"/>
      <c r="BA84" s="26"/>
      <c r="BB84" s="26"/>
      <c r="BC84" s="26"/>
      <c r="BD84" s="26"/>
      <c r="BE84" s="26"/>
      <c r="BF84" s="26"/>
      <c r="BG84" s="26"/>
      <c r="BH84" s="26"/>
      <c r="BI84" s="26"/>
      <c r="BJ84" s="26"/>
      <c r="BK84" s="26"/>
    </row>
    <row r="85" ht="14.25" customHeight="1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  <c r="AO85" s="26"/>
      <c r="AP85" s="26"/>
      <c r="AQ85" s="26"/>
      <c r="AR85" s="26"/>
      <c r="AS85" s="26"/>
      <c r="AT85" s="26"/>
      <c r="AU85" s="26"/>
      <c r="AV85" s="26"/>
      <c r="AW85" s="26"/>
      <c r="AX85" s="26"/>
      <c r="AY85" s="26"/>
      <c r="AZ85" s="26"/>
      <c r="BA85" s="26"/>
      <c r="BB85" s="26"/>
      <c r="BC85" s="26"/>
      <c r="BD85" s="26"/>
      <c r="BE85" s="26"/>
      <c r="BF85" s="26"/>
      <c r="BG85" s="26"/>
      <c r="BH85" s="26"/>
      <c r="BI85" s="26"/>
      <c r="BJ85" s="26"/>
      <c r="BK85" s="26"/>
    </row>
    <row r="86" ht="14.25" customHeight="1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/>
      <c r="AN86" s="26"/>
      <c r="AO86" s="26"/>
      <c r="AP86" s="26"/>
      <c r="AQ86" s="26"/>
      <c r="AR86" s="26"/>
      <c r="AS86" s="26"/>
      <c r="AT86" s="26"/>
      <c r="AU86" s="26"/>
      <c r="AV86" s="26"/>
      <c r="AW86" s="26"/>
      <c r="AX86" s="26"/>
      <c r="AY86" s="26"/>
      <c r="AZ86" s="26"/>
      <c r="BA86" s="26"/>
      <c r="BB86" s="26"/>
      <c r="BC86" s="26"/>
      <c r="BD86" s="26"/>
      <c r="BE86" s="26"/>
      <c r="BF86" s="26"/>
      <c r="BG86" s="26"/>
      <c r="BH86" s="26"/>
      <c r="BI86" s="26"/>
      <c r="BJ86" s="26"/>
      <c r="BK86" s="26"/>
    </row>
    <row r="87" ht="14.25" customHeight="1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/>
      <c r="AX87" s="26"/>
      <c r="AY87" s="26"/>
      <c r="AZ87" s="26"/>
      <c r="BA87" s="26"/>
      <c r="BB87" s="26"/>
      <c r="BC87" s="26"/>
      <c r="BD87" s="26"/>
      <c r="BE87" s="26"/>
      <c r="BF87" s="26"/>
      <c r="BG87" s="26"/>
      <c r="BH87" s="26"/>
      <c r="BI87" s="26"/>
      <c r="BJ87" s="26"/>
      <c r="BK87" s="26"/>
    </row>
    <row r="88" ht="14.25" customHeight="1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  <c r="AM88" s="26"/>
      <c r="AN88" s="26"/>
      <c r="AO88" s="26"/>
      <c r="AP88" s="26"/>
      <c r="AQ88" s="26"/>
      <c r="AR88" s="26"/>
      <c r="AS88" s="26"/>
      <c r="AT88" s="26"/>
      <c r="AU88" s="26"/>
      <c r="AV88" s="26"/>
      <c r="AW88" s="26"/>
      <c r="AX88" s="26"/>
      <c r="AY88" s="26"/>
      <c r="AZ88" s="26"/>
      <c r="BA88" s="26"/>
      <c r="BB88" s="26"/>
      <c r="BC88" s="26"/>
      <c r="BD88" s="26"/>
      <c r="BE88" s="26"/>
      <c r="BF88" s="26"/>
      <c r="BG88" s="26"/>
      <c r="BH88" s="26"/>
      <c r="BI88" s="26"/>
      <c r="BJ88" s="26"/>
      <c r="BK88" s="26"/>
    </row>
    <row r="89" ht="14.25" customHeight="1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26"/>
      <c r="BH89" s="26"/>
      <c r="BI89" s="26"/>
      <c r="BJ89" s="26"/>
      <c r="BK89" s="26"/>
    </row>
    <row r="90" ht="14.25" customHeight="1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26"/>
      <c r="AQ90" s="26"/>
      <c r="AR90" s="26"/>
      <c r="AS90" s="26"/>
      <c r="AT90" s="26"/>
      <c r="AU90" s="26"/>
      <c r="AV90" s="26"/>
      <c r="AW90" s="26"/>
      <c r="AX90" s="26"/>
      <c r="AY90" s="26"/>
      <c r="AZ90" s="26"/>
      <c r="BA90" s="26"/>
      <c r="BB90" s="26"/>
      <c r="BC90" s="26"/>
      <c r="BD90" s="26"/>
      <c r="BE90" s="26"/>
      <c r="BF90" s="26"/>
      <c r="BG90" s="26"/>
      <c r="BH90" s="26"/>
      <c r="BI90" s="26"/>
      <c r="BJ90" s="26"/>
      <c r="BK90" s="26"/>
    </row>
    <row r="91" ht="14.25" customHeight="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  <c r="AN91" s="26"/>
      <c r="AO91" s="26"/>
      <c r="AP91" s="26"/>
      <c r="AQ91" s="26"/>
      <c r="AR91" s="26"/>
      <c r="AS91" s="26"/>
      <c r="AT91" s="26"/>
      <c r="AU91" s="26"/>
      <c r="AV91" s="26"/>
      <c r="AW91" s="26"/>
      <c r="AX91" s="26"/>
      <c r="AY91" s="26"/>
      <c r="AZ91" s="26"/>
      <c r="BA91" s="26"/>
      <c r="BB91" s="26"/>
      <c r="BC91" s="26"/>
      <c r="BD91" s="26"/>
      <c r="BE91" s="26"/>
      <c r="BF91" s="26"/>
      <c r="BG91" s="26"/>
      <c r="BH91" s="26"/>
      <c r="BI91" s="26"/>
      <c r="BJ91" s="26"/>
      <c r="BK91" s="26"/>
    </row>
    <row r="92" ht="14.25" customHeight="1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  <c r="AO92" s="26"/>
      <c r="AP92" s="26"/>
      <c r="AQ92" s="26"/>
      <c r="AR92" s="26"/>
      <c r="AS92" s="26"/>
      <c r="AT92" s="26"/>
      <c r="AU92" s="26"/>
      <c r="AV92" s="26"/>
      <c r="AW92" s="26"/>
      <c r="AX92" s="26"/>
      <c r="AY92" s="26"/>
      <c r="AZ92" s="26"/>
      <c r="BA92" s="26"/>
      <c r="BB92" s="26"/>
      <c r="BC92" s="26"/>
      <c r="BD92" s="26"/>
      <c r="BE92" s="26"/>
      <c r="BF92" s="26"/>
      <c r="BG92" s="26"/>
      <c r="BH92" s="26"/>
      <c r="BI92" s="26"/>
      <c r="BJ92" s="26"/>
      <c r="BK92" s="26"/>
    </row>
    <row r="93" ht="14.25" customHeight="1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  <c r="AP93" s="26"/>
      <c r="AQ93" s="26"/>
      <c r="AR93" s="26"/>
      <c r="AS93" s="26"/>
      <c r="AT93" s="26"/>
      <c r="AU93" s="26"/>
      <c r="AV93" s="26"/>
      <c r="AW93" s="26"/>
      <c r="AX93" s="26"/>
      <c r="AY93" s="26"/>
      <c r="AZ93" s="26"/>
      <c r="BA93" s="26"/>
      <c r="BB93" s="26"/>
      <c r="BC93" s="26"/>
      <c r="BD93" s="26"/>
      <c r="BE93" s="26"/>
      <c r="BF93" s="26"/>
      <c r="BG93" s="26"/>
      <c r="BH93" s="26"/>
      <c r="BI93" s="26"/>
      <c r="BJ93" s="26"/>
      <c r="BK93" s="26"/>
    </row>
    <row r="94" ht="14.25" customHeight="1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  <c r="AP94" s="26"/>
      <c r="AQ94" s="26"/>
      <c r="AR94" s="26"/>
      <c r="AS94" s="26"/>
      <c r="AT94" s="26"/>
      <c r="AU94" s="26"/>
      <c r="AV94" s="26"/>
      <c r="AW94" s="26"/>
      <c r="AX94" s="26"/>
      <c r="AY94" s="26"/>
      <c r="AZ94" s="26"/>
      <c r="BA94" s="26"/>
      <c r="BB94" s="26"/>
      <c r="BC94" s="26"/>
      <c r="BD94" s="26"/>
      <c r="BE94" s="26"/>
      <c r="BF94" s="26"/>
      <c r="BG94" s="26"/>
      <c r="BH94" s="26"/>
      <c r="BI94" s="26"/>
      <c r="BJ94" s="26"/>
      <c r="BK94" s="26"/>
    </row>
    <row r="95" ht="14.25" customHeight="1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  <c r="AP95" s="26"/>
      <c r="AQ95" s="26"/>
      <c r="AR95" s="26"/>
      <c r="AS95" s="26"/>
      <c r="AT95" s="26"/>
      <c r="AU95" s="26"/>
      <c r="AV95" s="26"/>
      <c r="AW95" s="26"/>
      <c r="AX95" s="26"/>
      <c r="AY95" s="26"/>
      <c r="AZ95" s="26"/>
      <c r="BA95" s="26"/>
      <c r="BB95" s="26"/>
      <c r="BC95" s="26"/>
      <c r="BD95" s="26"/>
      <c r="BE95" s="26"/>
      <c r="BF95" s="26"/>
      <c r="BG95" s="26"/>
      <c r="BH95" s="26"/>
      <c r="BI95" s="26"/>
      <c r="BJ95" s="26"/>
      <c r="BK95" s="26"/>
    </row>
    <row r="96" ht="14.25" customHeight="1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  <c r="AM96" s="26"/>
      <c r="AN96" s="26"/>
      <c r="AO96" s="26"/>
      <c r="AP96" s="26"/>
      <c r="AQ96" s="26"/>
      <c r="AR96" s="26"/>
      <c r="AS96" s="26"/>
      <c r="AT96" s="26"/>
      <c r="AU96" s="26"/>
      <c r="AV96" s="26"/>
      <c r="AW96" s="26"/>
      <c r="AX96" s="26"/>
      <c r="AY96" s="26"/>
      <c r="AZ96" s="26"/>
      <c r="BA96" s="26"/>
      <c r="BB96" s="26"/>
      <c r="BC96" s="26"/>
      <c r="BD96" s="26"/>
      <c r="BE96" s="26"/>
      <c r="BF96" s="26"/>
      <c r="BG96" s="26"/>
      <c r="BH96" s="26"/>
      <c r="BI96" s="26"/>
      <c r="BJ96" s="26"/>
      <c r="BK96" s="26"/>
    </row>
    <row r="97" ht="14.25" customHeight="1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</row>
    <row r="98" ht="14.25" customHeight="1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</row>
    <row r="99" ht="14.25" customHeight="1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26"/>
      <c r="BK99" s="26"/>
    </row>
    <row r="100" ht="14.25" customHeight="1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</row>
    <row r="101" ht="14.25" customHeight="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</row>
    <row r="102" ht="14.25" customHeight="1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</row>
    <row r="103" ht="14.25" customHeight="1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/>
      <c r="BB103" s="26"/>
      <c r="BC103" s="26"/>
      <c r="BD103" s="26"/>
      <c r="BE103" s="26"/>
      <c r="BF103" s="26"/>
      <c r="BG103" s="26"/>
      <c r="BH103" s="26"/>
      <c r="BI103" s="26"/>
      <c r="BJ103" s="26"/>
      <c r="BK103" s="26"/>
    </row>
    <row r="104" ht="14.25" customHeight="1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</row>
    <row r="105" ht="14.25" customHeight="1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</row>
    <row r="106" ht="14.25" customHeight="1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</row>
    <row r="107" ht="14.25" customHeight="1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6"/>
      <c r="AY107" s="26"/>
      <c r="AZ107" s="26"/>
      <c r="BA107" s="26"/>
      <c r="BB107" s="26"/>
      <c r="BC107" s="26"/>
      <c r="BD107" s="26"/>
      <c r="BE107" s="26"/>
      <c r="BF107" s="26"/>
      <c r="BG107" s="26"/>
      <c r="BH107" s="26"/>
      <c r="BI107" s="26"/>
      <c r="BJ107" s="26"/>
      <c r="BK107" s="26"/>
    </row>
    <row r="108" ht="14.25" customHeight="1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  <c r="AN108" s="26"/>
      <c r="AO108" s="26"/>
      <c r="AP108" s="26"/>
      <c r="AQ108" s="26"/>
      <c r="AR108" s="26"/>
      <c r="AS108" s="26"/>
      <c r="AT108" s="26"/>
      <c r="AU108" s="26"/>
      <c r="AV108" s="26"/>
      <c r="AW108" s="26"/>
      <c r="AX108" s="26"/>
      <c r="AY108" s="26"/>
      <c r="AZ108" s="26"/>
      <c r="BA108" s="26"/>
      <c r="BB108" s="26"/>
      <c r="BC108" s="26"/>
      <c r="BD108" s="26"/>
      <c r="BE108" s="26"/>
      <c r="BF108" s="26"/>
      <c r="BG108" s="26"/>
      <c r="BH108" s="26"/>
      <c r="BI108" s="26"/>
      <c r="BJ108" s="26"/>
      <c r="BK108" s="26"/>
    </row>
    <row r="109" ht="14.25" customHeight="1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  <c r="AO109" s="26"/>
      <c r="AP109" s="26"/>
      <c r="AQ109" s="26"/>
      <c r="AR109" s="26"/>
      <c r="AS109" s="26"/>
      <c r="AT109" s="26"/>
      <c r="AU109" s="26"/>
      <c r="AV109" s="26"/>
      <c r="AW109" s="26"/>
      <c r="AX109" s="26"/>
      <c r="AY109" s="26"/>
      <c r="AZ109" s="26"/>
      <c r="BA109" s="26"/>
      <c r="BB109" s="26"/>
      <c r="BC109" s="26"/>
      <c r="BD109" s="26"/>
      <c r="BE109" s="26"/>
      <c r="BF109" s="26"/>
      <c r="BG109" s="26"/>
      <c r="BH109" s="26"/>
      <c r="BI109" s="26"/>
      <c r="BJ109" s="26"/>
      <c r="BK109" s="26"/>
    </row>
    <row r="110" ht="14.25" customHeight="1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  <c r="AP110" s="26"/>
      <c r="AQ110" s="26"/>
      <c r="AR110" s="26"/>
      <c r="AS110" s="26"/>
      <c r="AT110" s="26"/>
      <c r="AU110" s="26"/>
      <c r="AV110" s="26"/>
      <c r="AW110" s="26"/>
      <c r="AX110" s="26"/>
      <c r="AY110" s="26"/>
      <c r="AZ110" s="26"/>
      <c r="BA110" s="26"/>
      <c r="BB110" s="26"/>
      <c r="BC110" s="26"/>
      <c r="BD110" s="26"/>
      <c r="BE110" s="26"/>
      <c r="BF110" s="26"/>
      <c r="BG110" s="26"/>
      <c r="BH110" s="26"/>
      <c r="BI110" s="26"/>
      <c r="BJ110" s="26"/>
      <c r="BK110" s="26"/>
    </row>
    <row r="111" ht="14.25" customHeight="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  <c r="AN111" s="26"/>
      <c r="AO111" s="26"/>
      <c r="AP111" s="26"/>
      <c r="AQ111" s="26"/>
      <c r="AR111" s="26"/>
      <c r="AS111" s="26"/>
      <c r="AT111" s="26"/>
      <c r="AU111" s="26"/>
      <c r="AV111" s="26"/>
      <c r="AW111" s="26"/>
      <c r="AX111" s="26"/>
      <c r="AY111" s="26"/>
      <c r="AZ111" s="26"/>
      <c r="BA111" s="26"/>
      <c r="BB111" s="26"/>
      <c r="BC111" s="26"/>
      <c r="BD111" s="26"/>
      <c r="BE111" s="26"/>
      <c r="BF111" s="26"/>
      <c r="BG111" s="26"/>
      <c r="BH111" s="26"/>
      <c r="BI111" s="26"/>
      <c r="BJ111" s="26"/>
      <c r="BK111" s="26"/>
    </row>
    <row r="112" ht="14.25" customHeight="1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  <c r="AO112" s="26"/>
      <c r="AP112" s="26"/>
      <c r="AQ112" s="26"/>
      <c r="AR112" s="26"/>
      <c r="AS112" s="26"/>
      <c r="AT112" s="26"/>
      <c r="AU112" s="26"/>
      <c r="AV112" s="26"/>
      <c r="AW112" s="26"/>
      <c r="AX112" s="26"/>
      <c r="AY112" s="26"/>
      <c r="AZ112" s="26"/>
      <c r="BA112" s="26"/>
      <c r="BB112" s="26"/>
      <c r="BC112" s="26"/>
      <c r="BD112" s="26"/>
      <c r="BE112" s="26"/>
      <c r="BF112" s="26"/>
      <c r="BG112" s="26"/>
      <c r="BH112" s="26"/>
      <c r="BI112" s="26"/>
      <c r="BJ112" s="26"/>
      <c r="BK112" s="26"/>
    </row>
    <row r="113" ht="14.25" customHeight="1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  <c r="AO113" s="26"/>
      <c r="AP113" s="26"/>
      <c r="AQ113" s="26"/>
      <c r="AR113" s="26"/>
      <c r="AS113" s="26"/>
      <c r="AT113" s="26"/>
      <c r="AU113" s="26"/>
      <c r="AV113" s="26"/>
      <c r="AW113" s="26"/>
      <c r="AX113" s="26"/>
      <c r="AY113" s="26"/>
      <c r="AZ113" s="26"/>
      <c r="BA113" s="26"/>
      <c r="BB113" s="26"/>
      <c r="BC113" s="26"/>
      <c r="BD113" s="26"/>
      <c r="BE113" s="26"/>
      <c r="BF113" s="26"/>
      <c r="BG113" s="26"/>
      <c r="BH113" s="26"/>
      <c r="BI113" s="26"/>
      <c r="BJ113" s="26"/>
      <c r="BK113" s="26"/>
    </row>
    <row r="114" ht="14.25" customHeight="1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  <c r="AO114" s="26"/>
      <c r="AP114" s="26"/>
      <c r="AQ114" s="26"/>
      <c r="AR114" s="26"/>
      <c r="AS114" s="26"/>
      <c r="AT114" s="26"/>
      <c r="AU114" s="26"/>
      <c r="AV114" s="26"/>
      <c r="AW114" s="26"/>
      <c r="AX114" s="26"/>
      <c r="AY114" s="26"/>
      <c r="AZ114" s="26"/>
      <c r="BA114" s="26"/>
      <c r="BB114" s="26"/>
      <c r="BC114" s="26"/>
      <c r="BD114" s="26"/>
      <c r="BE114" s="26"/>
      <c r="BF114" s="26"/>
      <c r="BG114" s="26"/>
      <c r="BH114" s="26"/>
      <c r="BI114" s="26"/>
      <c r="BJ114" s="26"/>
      <c r="BK114" s="26"/>
    </row>
    <row r="115" ht="14.25" customHeight="1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  <c r="AM115" s="26"/>
      <c r="AN115" s="26"/>
      <c r="AO115" s="26"/>
      <c r="AP115" s="26"/>
      <c r="AQ115" s="26"/>
      <c r="AR115" s="26"/>
      <c r="AS115" s="26"/>
      <c r="AT115" s="26"/>
      <c r="AU115" s="26"/>
      <c r="AV115" s="26"/>
      <c r="AW115" s="26"/>
      <c r="AX115" s="26"/>
      <c r="AY115" s="26"/>
      <c r="AZ115" s="26"/>
      <c r="BA115" s="26"/>
      <c r="BB115" s="26"/>
      <c r="BC115" s="26"/>
      <c r="BD115" s="26"/>
      <c r="BE115" s="26"/>
      <c r="BF115" s="26"/>
      <c r="BG115" s="26"/>
      <c r="BH115" s="26"/>
      <c r="BI115" s="26"/>
      <c r="BJ115" s="26"/>
      <c r="BK115" s="26"/>
    </row>
    <row r="116" ht="14.25" customHeight="1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  <c r="AN116" s="26"/>
      <c r="AO116" s="26"/>
      <c r="AP116" s="26"/>
      <c r="AQ116" s="26"/>
      <c r="AR116" s="26"/>
      <c r="AS116" s="26"/>
      <c r="AT116" s="26"/>
      <c r="AU116" s="26"/>
      <c r="AV116" s="26"/>
      <c r="AW116" s="26"/>
      <c r="AX116" s="26"/>
      <c r="AY116" s="26"/>
      <c r="AZ116" s="26"/>
      <c r="BA116" s="26"/>
      <c r="BB116" s="26"/>
      <c r="BC116" s="26"/>
      <c r="BD116" s="26"/>
      <c r="BE116" s="26"/>
      <c r="BF116" s="26"/>
      <c r="BG116" s="26"/>
      <c r="BH116" s="26"/>
      <c r="BI116" s="26"/>
      <c r="BJ116" s="26"/>
      <c r="BK116" s="26"/>
    </row>
    <row r="117" ht="14.25" customHeight="1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  <c r="AM117" s="26"/>
      <c r="AN117" s="26"/>
      <c r="AO117" s="26"/>
      <c r="AP117" s="26"/>
      <c r="AQ117" s="26"/>
      <c r="AR117" s="26"/>
      <c r="AS117" s="26"/>
      <c r="AT117" s="26"/>
      <c r="AU117" s="26"/>
      <c r="AV117" s="26"/>
      <c r="AW117" s="26"/>
      <c r="AX117" s="26"/>
      <c r="AY117" s="26"/>
      <c r="AZ117" s="26"/>
      <c r="BA117" s="26"/>
      <c r="BB117" s="26"/>
      <c r="BC117" s="26"/>
      <c r="BD117" s="26"/>
      <c r="BE117" s="26"/>
      <c r="BF117" s="26"/>
      <c r="BG117" s="26"/>
      <c r="BH117" s="26"/>
      <c r="BI117" s="26"/>
      <c r="BJ117" s="26"/>
      <c r="BK117" s="26"/>
    </row>
    <row r="118" ht="14.25" customHeight="1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  <c r="AN118" s="26"/>
      <c r="AO118" s="26"/>
      <c r="AP118" s="26"/>
      <c r="AQ118" s="26"/>
      <c r="AR118" s="26"/>
      <c r="AS118" s="26"/>
      <c r="AT118" s="26"/>
      <c r="AU118" s="26"/>
      <c r="AV118" s="26"/>
      <c r="AW118" s="26"/>
      <c r="AX118" s="26"/>
      <c r="AY118" s="26"/>
      <c r="AZ118" s="26"/>
      <c r="BA118" s="26"/>
      <c r="BB118" s="26"/>
      <c r="BC118" s="26"/>
      <c r="BD118" s="26"/>
      <c r="BE118" s="26"/>
      <c r="BF118" s="26"/>
      <c r="BG118" s="26"/>
      <c r="BH118" s="26"/>
      <c r="BI118" s="26"/>
      <c r="BJ118" s="26"/>
      <c r="BK118" s="26"/>
    </row>
    <row r="119" ht="14.25" customHeight="1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  <c r="AM119" s="26"/>
      <c r="AN119" s="26"/>
      <c r="AO119" s="26"/>
      <c r="AP119" s="26"/>
      <c r="AQ119" s="26"/>
      <c r="AR119" s="26"/>
      <c r="AS119" s="26"/>
      <c r="AT119" s="26"/>
      <c r="AU119" s="26"/>
      <c r="AV119" s="26"/>
      <c r="AW119" s="26"/>
      <c r="AX119" s="26"/>
      <c r="AY119" s="26"/>
      <c r="AZ119" s="26"/>
      <c r="BA119" s="26"/>
      <c r="BB119" s="26"/>
      <c r="BC119" s="26"/>
      <c r="BD119" s="26"/>
      <c r="BE119" s="26"/>
      <c r="BF119" s="26"/>
      <c r="BG119" s="26"/>
      <c r="BH119" s="26"/>
      <c r="BI119" s="26"/>
      <c r="BJ119" s="26"/>
      <c r="BK119" s="26"/>
    </row>
    <row r="120" ht="14.25" customHeight="1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  <c r="AN120" s="26"/>
      <c r="AO120" s="26"/>
      <c r="AP120" s="26"/>
      <c r="AQ120" s="26"/>
      <c r="AR120" s="26"/>
      <c r="AS120" s="26"/>
      <c r="AT120" s="26"/>
      <c r="AU120" s="26"/>
      <c r="AV120" s="26"/>
      <c r="AW120" s="26"/>
      <c r="AX120" s="26"/>
      <c r="AY120" s="26"/>
      <c r="AZ120" s="26"/>
      <c r="BA120" s="26"/>
      <c r="BB120" s="26"/>
      <c r="BC120" s="26"/>
      <c r="BD120" s="26"/>
      <c r="BE120" s="26"/>
      <c r="BF120" s="26"/>
      <c r="BG120" s="26"/>
      <c r="BH120" s="26"/>
      <c r="BI120" s="26"/>
      <c r="BJ120" s="26"/>
      <c r="BK120" s="26"/>
    </row>
    <row r="121" ht="14.25" customHeight="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  <c r="AM121" s="26"/>
      <c r="AN121" s="26"/>
      <c r="AO121" s="26"/>
      <c r="AP121" s="26"/>
      <c r="AQ121" s="26"/>
      <c r="AR121" s="26"/>
      <c r="AS121" s="26"/>
      <c r="AT121" s="26"/>
      <c r="AU121" s="26"/>
      <c r="AV121" s="26"/>
      <c r="AW121" s="26"/>
      <c r="AX121" s="26"/>
      <c r="AY121" s="26"/>
      <c r="AZ121" s="26"/>
      <c r="BA121" s="26"/>
      <c r="BB121" s="26"/>
      <c r="BC121" s="26"/>
      <c r="BD121" s="26"/>
      <c r="BE121" s="26"/>
      <c r="BF121" s="26"/>
      <c r="BG121" s="26"/>
      <c r="BH121" s="26"/>
      <c r="BI121" s="26"/>
      <c r="BJ121" s="26"/>
      <c r="BK121" s="26"/>
    </row>
    <row r="122" ht="14.25" customHeight="1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  <c r="AM122" s="26"/>
      <c r="AN122" s="26"/>
      <c r="AO122" s="26"/>
      <c r="AP122" s="26"/>
      <c r="AQ122" s="26"/>
      <c r="AR122" s="26"/>
      <c r="AS122" s="26"/>
      <c r="AT122" s="26"/>
      <c r="AU122" s="26"/>
      <c r="AV122" s="26"/>
      <c r="AW122" s="26"/>
      <c r="AX122" s="26"/>
      <c r="AY122" s="26"/>
      <c r="AZ122" s="26"/>
      <c r="BA122" s="26"/>
      <c r="BB122" s="26"/>
      <c r="BC122" s="26"/>
      <c r="BD122" s="26"/>
      <c r="BE122" s="26"/>
      <c r="BF122" s="26"/>
      <c r="BG122" s="26"/>
      <c r="BH122" s="26"/>
      <c r="BI122" s="26"/>
      <c r="BJ122" s="26"/>
      <c r="BK122" s="26"/>
    </row>
    <row r="123" ht="14.25" customHeight="1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  <c r="AM123" s="26"/>
      <c r="AN123" s="26"/>
      <c r="AO123" s="26"/>
      <c r="AP123" s="26"/>
      <c r="AQ123" s="26"/>
      <c r="AR123" s="26"/>
      <c r="AS123" s="26"/>
      <c r="AT123" s="26"/>
      <c r="AU123" s="26"/>
      <c r="AV123" s="26"/>
      <c r="AW123" s="26"/>
      <c r="AX123" s="26"/>
      <c r="AY123" s="26"/>
      <c r="AZ123" s="26"/>
      <c r="BA123" s="26"/>
      <c r="BB123" s="26"/>
      <c r="BC123" s="26"/>
      <c r="BD123" s="26"/>
      <c r="BE123" s="26"/>
      <c r="BF123" s="26"/>
      <c r="BG123" s="26"/>
      <c r="BH123" s="26"/>
      <c r="BI123" s="26"/>
      <c r="BJ123" s="26"/>
      <c r="BK123" s="26"/>
    </row>
    <row r="124" ht="14.25" customHeight="1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  <c r="AM124" s="26"/>
      <c r="AN124" s="26"/>
      <c r="AO124" s="26"/>
      <c r="AP124" s="26"/>
      <c r="AQ124" s="26"/>
      <c r="AR124" s="26"/>
      <c r="AS124" s="26"/>
      <c r="AT124" s="26"/>
      <c r="AU124" s="26"/>
      <c r="AV124" s="26"/>
      <c r="AW124" s="26"/>
      <c r="AX124" s="26"/>
      <c r="AY124" s="26"/>
      <c r="AZ124" s="26"/>
      <c r="BA124" s="26"/>
      <c r="BB124" s="26"/>
      <c r="BC124" s="26"/>
      <c r="BD124" s="26"/>
      <c r="BE124" s="26"/>
      <c r="BF124" s="26"/>
      <c r="BG124" s="26"/>
      <c r="BH124" s="26"/>
      <c r="BI124" s="26"/>
      <c r="BJ124" s="26"/>
      <c r="BK124" s="26"/>
    </row>
    <row r="125" ht="14.25" customHeight="1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  <c r="AM125" s="26"/>
      <c r="AN125" s="26"/>
      <c r="AO125" s="26"/>
      <c r="AP125" s="26"/>
      <c r="AQ125" s="26"/>
      <c r="AR125" s="26"/>
      <c r="AS125" s="26"/>
      <c r="AT125" s="26"/>
      <c r="AU125" s="26"/>
      <c r="AV125" s="26"/>
      <c r="AW125" s="26"/>
      <c r="AX125" s="26"/>
      <c r="AY125" s="26"/>
      <c r="AZ125" s="26"/>
      <c r="BA125" s="26"/>
      <c r="BB125" s="26"/>
      <c r="BC125" s="26"/>
      <c r="BD125" s="26"/>
      <c r="BE125" s="26"/>
      <c r="BF125" s="26"/>
      <c r="BG125" s="26"/>
      <c r="BH125" s="26"/>
      <c r="BI125" s="26"/>
      <c r="BJ125" s="26"/>
      <c r="BK125" s="26"/>
    </row>
    <row r="126" ht="14.25" customHeight="1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  <c r="AM126" s="26"/>
      <c r="AN126" s="26"/>
      <c r="AO126" s="26"/>
      <c r="AP126" s="26"/>
      <c r="AQ126" s="26"/>
      <c r="AR126" s="26"/>
      <c r="AS126" s="26"/>
      <c r="AT126" s="26"/>
      <c r="AU126" s="26"/>
      <c r="AV126" s="26"/>
      <c r="AW126" s="26"/>
      <c r="AX126" s="26"/>
      <c r="AY126" s="26"/>
      <c r="AZ126" s="26"/>
      <c r="BA126" s="26"/>
      <c r="BB126" s="26"/>
      <c r="BC126" s="26"/>
      <c r="BD126" s="26"/>
      <c r="BE126" s="26"/>
      <c r="BF126" s="26"/>
      <c r="BG126" s="26"/>
      <c r="BH126" s="26"/>
      <c r="BI126" s="26"/>
      <c r="BJ126" s="26"/>
      <c r="BK126" s="26"/>
    </row>
    <row r="127" ht="14.25" customHeight="1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  <c r="AM127" s="26"/>
      <c r="AN127" s="26"/>
      <c r="AO127" s="26"/>
      <c r="AP127" s="26"/>
      <c r="AQ127" s="26"/>
      <c r="AR127" s="26"/>
      <c r="AS127" s="26"/>
      <c r="AT127" s="26"/>
      <c r="AU127" s="26"/>
      <c r="AV127" s="26"/>
      <c r="AW127" s="26"/>
      <c r="AX127" s="26"/>
      <c r="AY127" s="26"/>
      <c r="AZ127" s="26"/>
      <c r="BA127" s="26"/>
      <c r="BB127" s="26"/>
      <c r="BC127" s="26"/>
      <c r="BD127" s="26"/>
      <c r="BE127" s="26"/>
      <c r="BF127" s="26"/>
      <c r="BG127" s="26"/>
      <c r="BH127" s="26"/>
      <c r="BI127" s="26"/>
      <c r="BJ127" s="26"/>
      <c r="BK127" s="26"/>
    </row>
    <row r="128" ht="14.25" customHeight="1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  <c r="AM128" s="26"/>
      <c r="AN128" s="26"/>
      <c r="AO128" s="26"/>
      <c r="AP128" s="26"/>
      <c r="AQ128" s="26"/>
      <c r="AR128" s="26"/>
      <c r="AS128" s="26"/>
      <c r="AT128" s="26"/>
      <c r="AU128" s="26"/>
      <c r="AV128" s="26"/>
      <c r="AW128" s="26"/>
      <c r="AX128" s="26"/>
      <c r="AY128" s="26"/>
      <c r="AZ128" s="26"/>
      <c r="BA128" s="26"/>
      <c r="BB128" s="26"/>
      <c r="BC128" s="26"/>
      <c r="BD128" s="26"/>
      <c r="BE128" s="26"/>
      <c r="BF128" s="26"/>
      <c r="BG128" s="26"/>
      <c r="BH128" s="26"/>
      <c r="BI128" s="26"/>
      <c r="BJ128" s="26"/>
      <c r="BK128" s="26"/>
    </row>
    <row r="129" ht="14.25" customHeight="1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  <c r="AM129" s="26"/>
      <c r="AN129" s="26"/>
      <c r="AO129" s="26"/>
      <c r="AP129" s="26"/>
      <c r="AQ129" s="26"/>
      <c r="AR129" s="26"/>
      <c r="AS129" s="26"/>
      <c r="AT129" s="26"/>
      <c r="AU129" s="26"/>
      <c r="AV129" s="26"/>
      <c r="AW129" s="26"/>
      <c r="AX129" s="26"/>
      <c r="AY129" s="26"/>
      <c r="AZ129" s="26"/>
      <c r="BA129" s="26"/>
      <c r="BB129" s="26"/>
      <c r="BC129" s="26"/>
      <c r="BD129" s="26"/>
      <c r="BE129" s="26"/>
      <c r="BF129" s="26"/>
      <c r="BG129" s="26"/>
      <c r="BH129" s="26"/>
      <c r="BI129" s="26"/>
      <c r="BJ129" s="26"/>
      <c r="BK129" s="26"/>
    </row>
    <row r="130" ht="14.25" customHeight="1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  <c r="AN130" s="26"/>
      <c r="AO130" s="26"/>
      <c r="AP130" s="26"/>
      <c r="AQ130" s="26"/>
      <c r="AR130" s="26"/>
      <c r="AS130" s="26"/>
      <c r="AT130" s="26"/>
      <c r="AU130" s="26"/>
      <c r="AV130" s="26"/>
      <c r="AW130" s="26"/>
      <c r="AX130" s="26"/>
      <c r="AY130" s="26"/>
      <c r="AZ130" s="26"/>
      <c r="BA130" s="26"/>
      <c r="BB130" s="26"/>
      <c r="BC130" s="26"/>
      <c r="BD130" s="26"/>
      <c r="BE130" s="26"/>
      <c r="BF130" s="26"/>
      <c r="BG130" s="26"/>
      <c r="BH130" s="26"/>
      <c r="BI130" s="26"/>
      <c r="BJ130" s="26"/>
      <c r="BK130" s="26"/>
    </row>
    <row r="131" ht="14.25" customHeight="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  <c r="AM131" s="26"/>
      <c r="AN131" s="26"/>
      <c r="AO131" s="26"/>
      <c r="AP131" s="26"/>
      <c r="AQ131" s="26"/>
      <c r="AR131" s="26"/>
      <c r="AS131" s="26"/>
      <c r="AT131" s="26"/>
      <c r="AU131" s="26"/>
      <c r="AV131" s="26"/>
      <c r="AW131" s="26"/>
      <c r="AX131" s="26"/>
      <c r="AY131" s="26"/>
      <c r="AZ131" s="26"/>
      <c r="BA131" s="26"/>
      <c r="BB131" s="26"/>
      <c r="BC131" s="26"/>
      <c r="BD131" s="26"/>
      <c r="BE131" s="26"/>
      <c r="BF131" s="26"/>
      <c r="BG131" s="26"/>
      <c r="BH131" s="26"/>
      <c r="BI131" s="26"/>
      <c r="BJ131" s="26"/>
      <c r="BK131" s="26"/>
    </row>
    <row r="132" ht="14.25" customHeight="1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  <c r="AM132" s="26"/>
      <c r="AN132" s="26"/>
      <c r="AO132" s="26"/>
      <c r="AP132" s="26"/>
      <c r="AQ132" s="26"/>
      <c r="AR132" s="26"/>
      <c r="AS132" s="26"/>
      <c r="AT132" s="26"/>
      <c r="AU132" s="26"/>
      <c r="AV132" s="26"/>
      <c r="AW132" s="26"/>
      <c r="AX132" s="26"/>
      <c r="AY132" s="26"/>
      <c r="AZ132" s="26"/>
      <c r="BA132" s="26"/>
      <c r="BB132" s="26"/>
      <c r="BC132" s="26"/>
      <c r="BD132" s="26"/>
      <c r="BE132" s="26"/>
      <c r="BF132" s="26"/>
      <c r="BG132" s="26"/>
      <c r="BH132" s="26"/>
      <c r="BI132" s="26"/>
      <c r="BJ132" s="26"/>
      <c r="BK132" s="26"/>
    </row>
    <row r="133" ht="14.25" customHeight="1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  <c r="AM133" s="26"/>
      <c r="AN133" s="26"/>
      <c r="AO133" s="26"/>
      <c r="AP133" s="26"/>
      <c r="AQ133" s="26"/>
      <c r="AR133" s="26"/>
      <c r="AS133" s="26"/>
      <c r="AT133" s="26"/>
      <c r="AU133" s="26"/>
      <c r="AV133" s="26"/>
      <c r="AW133" s="26"/>
      <c r="AX133" s="26"/>
      <c r="AY133" s="26"/>
      <c r="AZ133" s="26"/>
      <c r="BA133" s="26"/>
      <c r="BB133" s="26"/>
      <c r="BC133" s="26"/>
      <c r="BD133" s="26"/>
      <c r="BE133" s="26"/>
      <c r="BF133" s="26"/>
      <c r="BG133" s="26"/>
      <c r="BH133" s="26"/>
      <c r="BI133" s="26"/>
      <c r="BJ133" s="26"/>
      <c r="BK133" s="26"/>
    </row>
    <row r="134" ht="14.25" customHeight="1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  <c r="AM134" s="26"/>
      <c r="AN134" s="26"/>
      <c r="AO134" s="26"/>
      <c r="AP134" s="26"/>
      <c r="AQ134" s="26"/>
      <c r="AR134" s="26"/>
      <c r="AS134" s="26"/>
      <c r="AT134" s="26"/>
      <c r="AU134" s="26"/>
      <c r="AV134" s="26"/>
      <c r="AW134" s="26"/>
      <c r="AX134" s="26"/>
      <c r="AY134" s="26"/>
      <c r="AZ134" s="26"/>
      <c r="BA134" s="26"/>
      <c r="BB134" s="26"/>
      <c r="BC134" s="26"/>
      <c r="BD134" s="26"/>
      <c r="BE134" s="26"/>
      <c r="BF134" s="26"/>
      <c r="BG134" s="26"/>
      <c r="BH134" s="26"/>
      <c r="BI134" s="26"/>
      <c r="BJ134" s="26"/>
      <c r="BK134" s="26"/>
    </row>
    <row r="135" ht="14.25" customHeight="1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  <c r="AM135" s="26"/>
      <c r="AN135" s="26"/>
      <c r="AO135" s="26"/>
      <c r="AP135" s="26"/>
      <c r="AQ135" s="26"/>
      <c r="AR135" s="26"/>
      <c r="AS135" s="26"/>
      <c r="AT135" s="26"/>
      <c r="AU135" s="26"/>
      <c r="AV135" s="26"/>
      <c r="AW135" s="26"/>
      <c r="AX135" s="26"/>
      <c r="AY135" s="26"/>
      <c r="AZ135" s="26"/>
      <c r="BA135" s="26"/>
      <c r="BB135" s="26"/>
      <c r="BC135" s="26"/>
      <c r="BD135" s="26"/>
      <c r="BE135" s="26"/>
      <c r="BF135" s="26"/>
      <c r="BG135" s="26"/>
      <c r="BH135" s="26"/>
      <c r="BI135" s="26"/>
      <c r="BJ135" s="26"/>
      <c r="BK135" s="26"/>
    </row>
    <row r="136" ht="14.25" customHeight="1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  <c r="AM136" s="26"/>
      <c r="AN136" s="26"/>
      <c r="AO136" s="26"/>
      <c r="AP136" s="26"/>
      <c r="AQ136" s="26"/>
      <c r="AR136" s="26"/>
      <c r="AS136" s="26"/>
      <c r="AT136" s="26"/>
      <c r="AU136" s="26"/>
      <c r="AV136" s="26"/>
      <c r="AW136" s="26"/>
      <c r="AX136" s="26"/>
      <c r="AY136" s="26"/>
      <c r="AZ136" s="26"/>
      <c r="BA136" s="26"/>
      <c r="BB136" s="26"/>
      <c r="BC136" s="26"/>
      <c r="BD136" s="26"/>
      <c r="BE136" s="26"/>
      <c r="BF136" s="26"/>
      <c r="BG136" s="26"/>
      <c r="BH136" s="26"/>
      <c r="BI136" s="26"/>
      <c r="BJ136" s="26"/>
      <c r="BK136" s="26"/>
    </row>
    <row r="137" ht="14.25" customHeight="1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  <c r="AM137" s="26"/>
      <c r="AN137" s="26"/>
      <c r="AO137" s="26"/>
      <c r="AP137" s="26"/>
      <c r="AQ137" s="26"/>
      <c r="AR137" s="26"/>
      <c r="AS137" s="26"/>
      <c r="AT137" s="26"/>
      <c r="AU137" s="26"/>
      <c r="AV137" s="26"/>
      <c r="AW137" s="26"/>
      <c r="AX137" s="26"/>
      <c r="AY137" s="26"/>
      <c r="AZ137" s="26"/>
      <c r="BA137" s="26"/>
      <c r="BB137" s="26"/>
      <c r="BC137" s="26"/>
      <c r="BD137" s="26"/>
      <c r="BE137" s="26"/>
      <c r="BF137" s="26"/>
      <c r="BG137" s="26"/>
      <c r="BH137" s="26"/>
      <c r="BI137" s="26"/>
      <c r="BJ137" s="26"/>
      <c r="BK137" s="26"/>
    </row>
    <row r="138" ht="14.25" customHeight="1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  <c r="AM138" s="26"/>
      <c r="AN138" s="26"/>
      <c r="AO138" s="26"/>
      <c r="AP138" s="26"/>
      <c r="AQ138" s="26"/>
      <c r="AR138" s="26"/>
      <c r="AS138" s="26"/>
      <c r="AT138" s="26"/>
      <c r="AU138" s="26"/>
      <c r="AV138" s="26"/>
      <c r="AW138" s="26"/>
      <c r="AX138" s="26"/>
      <c r="AY138" s="26"/>
      <c r="AZ138" s="26"/>
      <c r="BA138" s="26"/>
      <c r="BB138" s="26"/>
      <c r="BC138" s="26"/>
      <c r="BD138" s="26"/>
      <c r="BE138" s="26"/>
      <c r="BF138" s="26"/>
      <c r="BG138" s="26"/>
      <c r="BH138" s="26"/>
      <c r="BI138" s="26"/>
      <c r="BJ138" s="26"/>
      <c r="BK138" s="26"/>
    </row>
    <row r="139" ht="14.25" customHeight="1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  <c r="AM139" s="26"/>
      <c r="AN139" s="26"/>
      <c r="AO139" s="26"/>
      <c r="AP139" s="26"/>
      <c r="AQ139" s="26"/>
      <c r="AR139" s="26"/>
      <c r="AS139" s="26"/>
      <c r="AT139" s="26"/>
      <c r="AU139" s="26"/>
      <c r="AV139" s="26"/>
      <c r="AW139" s="26"/>
      <c r="AX139" s="26"/>
      <c r="AY139" s="26"/>
      <c r="AZ139" s="26"/>
      <c r="BA139" s="26"/>
      <c r="BB139" s="26"/>
      <c r="BC139" s="26"/>
      <c r="BD139" s="26"/>
      <c r="BE139" s="26"/>
      <c r="BF139" s="26"/>
      <c r="BG139" s="26"/>
      <c r="BH139" s="26"/>
      <c r="BI139" s="26"/>
      <c r="BJ139" s="26"/>
      <c r="BK139" s="26"/>
    </row>
    <row r="140" ht="14.25" customHeight="1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  <c r="AM140" s="26"/>
      <c r="AN140" s="26"/>
      <c r="AO140" s="26"/>
      <c r="AP140" s="26"/>
      <c r="AQ140" s="26"/>
      <c r="AR140" s="26"/>
      <c r="AS140" s="26"/>
      <c r="AT140" s="26"/>
      <c r="AU140" s="26"/>
      <c r="AV140" s="26"/>
      <c r="AW140" s="26"/>
      <c r="AX140" s="26"/>
      <c r="AY140" s="26"/>
      <c r="AZ140" s="26"/>
      <c r="BA140" s="26"/>
      <c r="BB140" s="26"/>
      <c r="BC140" s="26"/>
      <c r="BD140" s="26"/>
      <c r="BE140" s="26"/>
      <c r="BF140" s="26"/>
      <c r="BG140" s="26"/>
      <c r="BH140" s="26"/>
      <c r="BI140" s="26"/>
      <c r="BJ140" s="26"/>
      <c r="BK140" s="26"/>
    </row>
    <row r="141" ht="14.25" customHeight="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  <c r="AM141" s="26"/>
      <c r="AN141" s="26"/>
      <c r="AO141" s="26"/>
      <c r="AP141" s="26"/>
      <c r="AQ141" s="26"/>
      <c r="AR141" s="26"/>
      <c r="AS141" s="26"/>
      <c r="AT141" s="26"/>
      <c r="AU141" s="26"/>
      <c r="AV141" s="26"/>
      <c r="AW141" s="26"/>
      <c r="AX141" s="26"/>
      <c r="AY141" s="26"/>
      <c r="AZ141" s="26"/>
      <c r="BA141" s="26"/>
      <c r="BB141" s="26"/>
      <c r="BC141" s="26"/>
      <c r="BD141" s="26"/>
      <c r="BE141" s="26"/>
      <c r="BF141" s="26"/>
      <c r="BG141" s="26"/>
      <c r="BH141" s="26"/>
      <c r="BI141" s="26"/>
      <c r="BJ141" s="26"/>
      <c r="BK141" s="26"/>
    </row>
    <row r="142" ht="14.25" customHeight="1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  <c r="AM142" s="26"/>
      <c r="AN142" s="26"/>
      <c r="AO142" s="26"/>
      <c r="AP142" s="26"/>
      <c r="AQ142" s="26"/>
      <c r="AR142" s="26"/>
      <c r="AS142" s="26"/>
      <c r="AT142" s="26"/>
      <c r="AU142" s="26"/>
      <c r="AV142" s="26"/>
      <c r="AW142" s="26"/>
      <c r="AX142" s="26"/>
      <c r="AY142" s="26"/>
      <c r="AZ142" s="26"/>
      <c r="BA142" s="26"/>
      <c r="BB142" s="26"/>
      <c r="BC142" s="26"/>
      <c r="BD142" s="26"/>
      <c r="BE142" s="26"/>
      <c r="BF142" s="26"/>
      <c r="BG142" s="26"/>
      <c r="BH142" s="26"/>
      <c r="BI142" s="26"/>
      <c r="BJ142" s="26"/>
      <c r="BK142" s="26"/>
    </row>
    <row r="143" ht="14.25" customHeight="1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  <c r="AM143" s="26"/>
      <c r="AN143" s="26"/>
      <c r="AO143" s="26"/>
      <c r="AP143" s="26"/>
      <c r="AQ143" s="26"/>
      <c r="AR143" s="26"/>
      <c r="AS143" s="26"/>
      <c r="AT143" s="26"/>
      <c r="AU143" s="26"/>
      <c r="AV143" s="26"/>
      <c r="AW143" s="26"/>
      <c r="AX143" s="26"/>
      <c r="AY143" s="26"/>
      <c r="AZ143" s="26"/>
      <c r="BA143" s="26"/>
      <c r="BB143" s="26"/>
      <c r="BC143" s="26"/>
      <c r="BD143" s="26"/>
      <c r="BE143" s="26"/>
      <c r="BF143" s="26"/>
      <c r="BG143" s="26"/>
      <c r="BH143" s="26"/>
      <c r="BI143" s="26"/>
      <c r="BJ143" s="26"/>
      <c r="BK143" s="26"/>
    </row>
    <row r="144" ht="14.25" customHeight="1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  <c r="AM144" s="26"/>
      <c r="AN144" s="26"/>
      <c r="AO144" s="26"/>
      <c r="AP144" s="26"/>
      <c r="AQ144" s="26"/>
      <c r="AR144" s="26"/>
      <c r="AS144" s="26"/>
      <c r="AT144" s="26"/>
      <c r="AU144" s="26"/>
      <c r="AV144" s="26"/>
      <c r="AW144" s="26"/>
      <c r="AX144" s="26"/>
      <c r="AY144" s="26"/>
      <c r="AZ144" s="26"/>
      <c r="BA144" s="26"/>
      <c r="BB144" s="26"/>
      <c r="BC144" s="26"/>
      <c r="BD144" s="26"/>
      <c r="BE144" s="26"/>
      <c r="BF144" s="26"/>
      <c r="BG144" s="26"/>
      <c r="BH144" s="26"/>
      <c r="BI144" s="26"/>
      <c r="BJ144" s="26"/>
      <c r="BK144" s="26"/>
    </row>
    <row r="145" ht="14.25" customHeight="1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  <c r="AM145" s="26"/>
      <c r="AN145" s="26"/>
      <c r="AO145" s="26"/>
      <c r="AP145" s="26"/>
      <c r="AQ145" s="26"/>
      <c r="AR145" s="26"/>
      <c r="AS145" s="26"/>
      <c r="AT145" s="26"/>
      <c r="AU145" s="26"/>
      <c r="AV145" s="26"/>
      <c r="AW145" s="26"/>
      <c r="AX145" s="26"/>
      <c r="AY145" s="26"/>
      <c r="AZ145" s="26"/>
      <c r="BA145" s="26"/>
      <c r="BB145" s="26"/>
      <c r="BC145" s="26"/>
      <c r="BD145" s="26"/>
      <c r="BE145" s="26"/>
      <c r="BF145" s="26"/>
      <c r="BG145" s="26"/>
      <c r="BH145" s="26"/>
      <c r="BI145" s="26"/>
      <c r="BJ145" s="26"/>
      <c r="BK145" s="26"/>
    </row>
    <row r="146" ht="14.25" customHeight="1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  <c r="AM146" s="26"/>
      <c r="AN146" s="26"/>
      <c r="AO146" s="26"/>
      <c r="AP146" s="26"/>
      <c r="AQ146" s="26"/>
      <c r="AR146" s="26"/>
      <c r="AS146" s="26"/>
      <c r="AT146" s="26"/>
      <c r="AU146" s="26"/>
      <c r="AV146" s="26"/>
      <c r="AW146" s="26"/>
      <c r="AX146" s="26"/>
      <c r="AY146" s="26"/>
      <c r="AZ146" s="26"/>
      <c r="BA146" s="26"/>
      <c r="BB146" s="26"/>
      <c r="BC146" s="26"/>
      <c r="BD146" s="26"/>
      <c r="BE146" s="26"/>
      <c r="BF146" s="26"/>
      <c r="BG146" s="26"/>
      <c r="BH146" s="26"/>
      <c r="BI146" s="26"/>
      <c r="BJ146" s="26"/>
      <c r="BK146" s="26"/>
    </row>
    <row r="147" ht="14.25" customHeight="1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  <c r="AM147" s="26"/>
      <c r="AN147" s="26"/>
      <c r="AO147" s="26"/>
      <c r="AP147" s="26"/>
      <c r="AQ147" s="26"/>
      <c r="AR147" s="26"/>
      <c r="AS147" s="26"/>
      <c r="AT147" s="26"/>
      <c r="AU147" s="26"/>
      <c r="AV147" s="26"/>
      <c r="AW147" s="26"/>
      <c r="AX147" s="26"/>
      <c r="AY147" s="26"/>
      <c r="AZ147" s="26"/>
      <c r="BA147" s="26"/>
      <c r="BB147" s="26"/>
      <c r="BC147" s="26"/>
      <c r="BD147" s="26"/>
      <c r="BE147" s="26"/>
      <c r="BF147" s="26"/>
      <c r="BG147" s="26"/>
      <c r="BH147" s="26"/>
      <c r="BI147" s="26"/>
      <c r="BJ147" s="26"/>
      <c r="BK147" s="26"/>
    </row>
    <row r="148" ht="14.25" customHeight="1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  <c r="AM148" s="26"/>
      <c r="AN148" s="26"/>
      <c r="AO148" s="26"/>
      <c r="AP148" s="26"/>
      <c r="AQ148" s="26"/>
      <c r="AR148" s="26"/>
      <c r="AS148" s="26"/>
      <c r="AT148" s="26"/>
      <c r="AU148" s="26"/>
      <c r="AV148" s="26"/>
      <c r="AW148" s="26"/>
      <c r="AX148" s="26"/>
      <c r="AY148" s="26"/>
      <c r="AZ148" s="26"/>
      <c r="BA148" s="26"/>
      <c r="BB148" s="26"/>
      <c r="BC148" s="26"/>
      <c r="BD148" s="26"/>
      <c r="BE148" s="26"/>
      <c r="BF148" s="26"/>
      <c r="BG148" s="26"/>
      <c r="BH148" s="26"/>
      <c r="BI148" s="26"/>
      <c r="BJ148" s="26"/>
      <c r="BK148" s="26"/>
    </row>
    <row r="149" ht="14.25" customHeight="1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  <c r="AM149" s="26"/>
      <c r="AN149" s="26"/>
      <c r="AO149" s="26"/>
      <c r="AP149" s="26"/>
      <c r="AQ149" s="26"/>
      <c r="AR149" s="26"/>
      <c r="AS149" s="26"/>
      <c r="AT149" s="26"/>
      <c r="AU149" s="26"/>
      <c r="AV149" s="26"/>
      <c r="AW149" s="26"/>
      <c r="AX149" s="26"/>
      <c r="AY149" s="26"/>
      <c r="AZ149" s="26"/>
      <c r="BA149" s="26"/>
      <c r="BB149" s="26"/>
      <c r="BC149" s="26"/>
      <c r="BD149" s="26"/>
      <c r="BE149" s="26"/>
      <c r="BF149" s="26"/>
      <c r="BG149" s="26"/>
      <c r="BH149" s="26"/>
      <c r="BI149" s="26"/>
      <c r="BJ149" s="26"/>
      <c r="BK149" s="26"/>
    </row>
    <row r="150" ht="14.25" customHeight="1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  <c r="AM150" s="26"/>
      <c r="AN150" s="26"/>
      <c r="AO150" s="26"/>
      <c r="AP150" s="26"/>
      <c r="AQ150" s="26"/>
      <c r="AR150" s="26"/>
      <c r="AS150" s="26"/>
      <c r="AT150" s="26"/>
      <c r="AU150" s="26"/>
      <c r="AV150" s="26"/>
      <c r="AW150" s="26"/>
      <c r="AX150" s="26"/>
      <c r="AY150" s="26"/>
      <c r="AZ150" s="26"/>
      <c r="BA150" s="26"/>
      <c r="BB150" s="26"/>
      <c r="BC150" s="26"/>
      <c r="BD150" s="26"/>
      <c r="BE150" s="26"/>
      <c r="BF150" s="26"/>
      <c r="BG150" s="26"/>
      <c r="BH150" s="26"/>
      <c r="BI150" s="26"/>
      <c r="BJ150" s="26"/>
      <c r="BK150" s="26"/>
    </row>
    <row r="151" ht="14.25" customHeight="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  <c r="AM151" s="26"/>
      <c r="AN151" s="26"/>
      <c r="AO151" s="26"/>
      <c r="AP151" s="26"/>
      <c r="AQ151" s="26"/>
      <c r="AR151" s="26"/>
      <c r="AS151" s="26"/>
      <c r="AT151" s="26"/>
      <c r="AU151" s="26"/>
      <c r="AV151" s="26"/>
      <c r="AW151" s="26"/>
      <c r="AX151" s="26"/>
      <c r="AY151" s="26"/>
      <c r="AZ151" s="26"/>
      <c r="BA151" s="26"/>
      <c r="BB151" s="26"/>
      <c r="BC151" s="26"/>
      <c r="BD151" s="26"/>
      <c r="BE151" s="26"/>
      <c r="BF151" s="26"/>
      <c r="BG151" s="26"/>
      <c r="BH151" s="26"/>
      <c r="BI151" s="26"/>
      <c r="BJ151" s="26"/>
      <c r="BK151" s="26"/>
    </row>
    <row r="152" ht="14.25" customHeight="1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  <c r="AM152" s="26"/>
      <c r="AN152" s="26"/>
      <c r="AO152" s="26"/>
      <c r="AP152" s="26"/>
      <c r="AQ152" s="26"/>
      <c r="AR152" s="26"/>
      <c r="AS152" s="26"/>
      <c r="AT152" s="26"/>
      <c r="AU152" s="26"/>
      <c r="AV152" s="26"/>
      <c r="AW152" s="26"/>
      <c r="AX152" s="26"/>
      <c r="AY152" s="26"/>
      <c r="AZ152" s="26"/>
      <c r="BA152" s="26"/>
      <c r="BB152" s="26"/>
      <c r="BC152" s="26"/>
      <c r="BD152" s="26"/>
      <c r="BE152" s="26"/>
      <c r="BF152" s="26"/>
      <c r="BG152" s="26"/>
      <c r="BH152" s="26"/>
      <c r="BI152" s="26"/>
      <c r="BJ152" s="26"/>
      <c r="BK152" s="26"/>
    </row>
    <row r="153" ht="14.25" customHeight="1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  <c r="AM153" s="26"/>
      <c r="AN153" s="26"/>
      <c r="AO153" s="26"/>
      <c r="AP153" s="26"/>
      <c r="AQ153" s="26"/>
      <c r="AR153" s="26"/>
      <c r="AS153" s="26"/>
      <c r="AT153" s="26"/>
      <c r="AU153" s="26"/>
      <c r="AV153" s="26"/>
      <c r="AW153" s="26"/>
      <c r="AX153" s="26"/>
      <c r="AY153" s="26"/>
      <c r="AZ153" s="26"/>
      <c r="BA153" s="26"/>
      <c r="BB153" s="26"/>
      <c r="BC153" s="26"/>
      <c r="BD153" s="26"/>
      <c r="BE153" s="26"/>
      <c r="BF153" s="26"/>
      <c r="BG153" s="26"/>
      <c r="BH153" s="26"/>
      <c r="BI153" s="26"/>
      <c r="BJ153" s="26"/>
      <c r="BK153" s="26"/>
    </row>
    <row r="154" ht="14.25" customHeight="1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  <c r="AM154" s="26"/>
      <c r="AN154" s="26"/>
      <c r="AO154" s="26"/>
      <c r="AP154" s="26"/>
      <c r="AQ154" s="26"/>
      <c r="AR154" s="26"/>
      <c r="AS154" s="26"/>
      <c r="AT154" s="26"/>
      <c r="AU154" s="26"/>
      <c r="AV154" s="26"/>
      <c r="AW154" s="26"/>
      <c r="AX154" s="26"/>
      <c r="AY154" s="26"/>
      <c r="AZ154" s="26"/>
      <c r="BA154" s="26"/>
      <c r="BB154" s="26"/>
      <c r="BC154" s="26"/>
      <c r="BD154" s="26"/>
      <c r="BE154" s="26"/>
      <c r="BF154" s="26"/>
      <c r="BG154" s="26"/>
      <c r="BH154" s="26"/>
      <c r="BI154" s="26"/>
      <c r="BJ154" s="26"/>
      <c r="BK154" s="26"/>
    </row>
    <row r="155" ht="14.25" customHeight="1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  <c r="AM155" s="26"/>
      <c r="AN155" s="26"/>
      <c r="AO155" s="26"/>
      <c r="AP155" s="26"/>
      <c r="AQ155" s="26"/>
      <c r="AR155" s="26"/>
      <c r="AS155" s="26"/>
      <c r="AT155" s="26"/>
      <c r="AU155" s="26"/>
      <c r="AV155" s="26"/>
      <c r="AW155" s="26"/>
      <c r="AX155" s="26"/>
      <c r="AY155" s="26"/>
      <c r="AZ155" s="26"/>
      <c r="BA155" s="26"/>
      <c r="BB155" s="26"/>
      <c r="BC155" s="26"/>
      <c r="BD155" s="26"/>
      <c r="BE155" s="26"/>
      <c r="BF155" s="26"/>
      <c r="BG155" s="26"/>
      <c r="BH155" s="26"/>
      <c r="BI155" s="26"/>
      <c r="BJ155" s="26"/>
      <c r="BK155" s="26"/>
    </row>
    <row r="156" ht="14.25" customHeight="1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  <c r="AM156" s="26"/>
      <c r="AN156" s="26"/>
      <c r="AO156" s="26"/>
      <c r="AP156" s="26"/>
      <c r="AQ156" s="26"/>
      <c r="AR156" s="26"/>
      <c r="AS156" s="26"/>
      <c r="AT156" s="26"/>
      <c r="AU156" s="26"/>
      <c r="AV156" s="26"/>
      <c r="AW156" s="26"/>
      <c r="AX156" s="26"/>
      <c r="AY156" s="26"/>
      <c r="AZ156" s="26"/>
      <c r="BA156" s="26"/>
      <c r="BB156" s="26"/>
      <c r="BC156" s="26"/>
      <c r="BD156" s="26"/>
      <c r="BE156" s="26"/>
      <c r="BF156" s="26"/>
      <c r="BG156" s="26"/>
      <c r="BH156" s="26"/>
      <c r="BI156" s="26"/>
      <c r="BJ156" s="26"/>
      <c r="BK156" s="26"/>
    </row>
    <row r="157" ht="14.25" customHeight="1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  <c r="AM157" s="26"/>
      <c r="AN157" s="26"/>
      <c r="AO157" s="26"/>
      <c r="AP157" s="26"/>
      <c r="AQ157" s="26"/>
      <c r="AR157" s="26"/>
      <c r="AS157" s="26"/>
      <c r="AT157" s="26"/>
      <c r="AU157" s="26"/>
      <c r="AV157" s="26"/>
      <c r="AW157" s="26"/>
      <c r="AX157" s="26"/>
      <c r="AY157" s="26"/>
      <c r="AZ157" s="26"/>
      <c r="BA157" s="26"/>
      <c r="BB157" s="26"/>
      <c r="BC157" s="26"/>
      <c r="BD157" s="26"/>
      <c r="BE157" s="26"/>
      <c r="BF157" s="26"/>
      <c r="BG157" s="26"/>
      <c r="BH157" s="26"/>
      <c r="BI157" s="26"/>
      <c r="BJ157" s="26"/>
      <c r="BK157" s="26"/>
    </row>
    <row r="158" ht="14.25" customHeight="1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  <c r="AM158" s="26"/>
      <c r="AN158" s="26"/>
      <c r="AO158" s="26"/>
      <c r="AP158" s="26"/>
      <c r="AQ158" s="26"/>
      <c r="AR158" s="26"/>
      <c r="AS158" s="26"/>
      <c r="AT158" s="26"/>
      <c r="AU158" s="26"/>
      <c r="AV158" s="26"/>
      <c r="AW158" s="26"/>
      <c r="AX158" s="26"/>
      <c r="AY158" s="26"/>
      <c r="AZ158" s="26"/>
      <c r="BA158" s="26"/>
      <c r="BB158" s="26"/>
      <c r="BC158" s="26"/>
      <c r="BD158" s="26"/>
      <c r="BE158" s="26"/>
      <c r="BF158" s="26"/>
      <c r="BG158" s="26"/>
      <c r="BH158" s="26"/>
      <c r="BI158" s="26"/>
      <c r="BJ158" s="26"/>
      <c r="BK158" s="26"/>
    </row>
    <row r="159" ht="14.25" customHeight="1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  <c r="AM159" s="26"/>
      <c r="AN159" s="26"/>
      <c r="AO159" s="26"/>
      <c r="AP159" s="26"/>
      <c r="AQ159" s="26"/>
      <c r="AR159" s="26"/>
      <c r="AS159" s="26"/>
      <c r="AT159" s="26"/>
      <c r="AU159" s="26"/>
      <c r="AV159" s="26"/>
      <c r="AW159" s="26"/>
      <c r="AX159" s="26"/>
      <c r="AY159" s="26"/>
      <c r="AZ159" s="26"/>
      <c r="BA159" s="26"/>
      <c r="BB159" s="26"/>
      <c r="BC159" s="26"/>
      <c r="BD159" s="26"/>
      <c r="BE159" s="26"/>
      <c r="BF159" s="26"/>
      <c r="BG159" s="26"/>
      <c r="BH159" s="26"/>
      <c r="BI159" s="26"/>
      <c r="BJ159" s="26"/>
      <c r="BK159" s="26"/>
    </row>
    <row r="160" ht="14.25" customHeight="1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  <c r="AM160" s="26"/>
      <c r="AN160" s="26"/>
      <c r="AO160" s="26"/>
      <c r="AP160" s="26"/>
      <c r="AQ160" s="26"/>
      <c r="AR160" s="26"/>
      <c r="AS160" s="26"/>
      <c r="AT160" s="26"/>
      <c r="AU160" s="26"/>
      <c r="AV160" s="26"/>
      <c r="AW160" s="26"/>
      <c r="AX160" s="26"/>
      <c r="AY160" s="26"/>
      <c r="AZ160" s="26"/>
      <c r="BA160" s="26"/>
      <c r="BB160" s="26"/>
      <c r="BC160" s="26"/>
      <c r="BD160" s="26"/>
      <c r="BE160" s="26"/>
      <c r="BF160" s="26"/>
      <c r="BG160" s="26"/>
      <c r="BH160" s="26"/>
      <c r="BI160" s="26"/>
      <c r="BJ160" s="26"/>
      <c r="BK160" s="26"/>
    </row>
    <row r="161" ht="14.25" customHeight="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  <c r="AM161" s="26"/>
      <c r="AN161" s="26"/>
      <c r="AO161" s="26"/>
      <c r="AP161" s="26"/>
      <c r="AQ161" s="26"/>
      <c r="AR161" s="26"/>
      <c r="AS161" s="26"/>
      <c r="AT161" s="26"/>
      <c r="AU161" s="26"/>
      <c r="AV161" s="26"/>
      <c r="AW161" s="26"/>
      <c r="AX161" s="26"/>
      <c r="AY161" s="26"/>
      <c r="AZ161" s="26"/>
      <c r="BA161" s="26"/>
      <c r="BB161" s="26"/>
      <c r="BC161" s="26"/>
      <c r="BD161" s="26"/>
      <c r="BE161" s="26"/>
      <c r="BF161" s="26"/>
      <c r="BG161" s="26"/>
      <c r="BH161" s="26"/>
      <c r="BI161" s="26"/>
      <c r="BJ161" s="26"/>
      <c r="BK161" s="26"/>
    </row>
    <row r="162" ht="14.25" customHeight="1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  <c r="AM162" s="26"/>
      <c r="AN162" s="26"/>
      <c r="AO162" s="26"/>
      <c r="AP162" s="26"/>
      <c r="AQ162" s="26"/>
      <c r="AR162" s="26"/>
      <c r="AS162" s="26"/>
      <c r="AT162" s="26"/>
      <c r="AU162" s="26"/>
      <c r="AV162" s="26"/>
      <c r="AW162" s="26"/>
      <c r="AX162" s="26"/>
      <c r="AY162" s="26"/>
      <c r="AZ162" s="26"/>
      <c r="BA162" s="26"/>
      <c r="BB162" s="26"/>
      <c r="BC162" s="26"/>
      <c r="BD162" s="26"/>
      <c r="BE162" s="26"/>
      <c r="BF162" s="26"/>
      <c r="BG162" s="26"/>
      <c r="BH162" s="26"/>
      <c r="BI162" s="26"/>
      <c r="BJ162" s="26"/>
      <c r="BK162" s="26"/>
    </row>
    <row r="163" ht="14.25" customHeight="1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  <c r="AM163" s="26"/>
      <c r="AN163" s="26"/>
      <c r="AO163" s="26"/>
      <c r="AP163" s="26"/>
      <c r="AQ163" s="26"/>
      <c r="AR163" s="26"/>
      <c r="AS163" s="26"/>
      <c r="AT163" s="26"/>
      <c r="AU163" s="26"/>
      <c r="AV163" s="26"/>
      <c r="AW163" s="26"/>
      <c r="AX163" s="26"/>
      <c r="AY163" s="26"/>
      <c r="AZ163" s="26"/>
      <c r="BA163" s="26"/>
      <c r="BB163" s="26"/>
      <c r="BC163" s="26"/>
      <c r="BD163" s="26"/>
      <c r="BE163" s="26"/>
      <c r="BF163" s="26"/>
      <c r="BG163" s="26"/>
      <c r="BH163" s="26"/>
      <c r="BI163" s="26"/>
      <c r="BJ163" s="26"/>
      <c r="BK163" s="26"/>
    </row>
    <row r="164" ht="14.25" customHeight="1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  <c r="AM164" s="26"/>
      <c r="AN164" s="26"/>
      <c r="AO164" s="26"/>
      <c r="AP164" s="26"/>
      <c r="AQ164" s="26"/>
      <c r="AR164" s="26"/>
      <c r="AS164" s="26"/>
      <c r="AT164" s="26"/>
      <c r="AU164" s="26"/>
      <c r="AV164" s="26"/>
      <c r="AW164" s="26"/>
      <c r="AX164" s="26"/>
      <c r="AY164" s="26"/>
      <c r="AZ164" s="26"/>
      <c r="BA164" s="26"/>
      <c r="BB164" s="26"/>
      <c r="BC164" s="26"/>
      <c r="BD164" s="26"/>
      <c r="BE164" s="26"/>
      <c r="BF164" s="26"/>
      <c r="BG164" s="26"/>
      <c r="BH164" s="26"/>
      <c r="BI164" s="26"/>
      <c r="BJ164" s="26"/>
      <c r="BK164" s="26"/>
    </row>
    <row r="165" ht="14.25" customHeight="1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  <c r="AM165" s="26"/>
      <c r="AN165" s="26"/>
      <c r="AO165" s="26"/>
      <c r="AP165" s="26"/>
      <c r="AQ165" s="26"/>
      <c r="AR165" s="26"/>
      <c r="AS165" s="26"/>
      <c r="AT165" s="26"/>
      <c r="AU165" s="26"/>
      <c r="AV165" s="26"/>
      <c r="AW165" s="26"/>
      <c r="AX165" s="26"/>
      <c r="AY165" s="26"/>
      <c r="AZ165" s="26"/>
      <c r="BA165" s="26"/>
      <c r="BB165" s="26"/>
      <c r="BC165" s="26"/>
      <c r="BD165" s="26"/>
      <c r="BE165" s="26"/>
      <c r="BF165" s="26"/>
      <c r="BG165" s="26"/>
      <c r="BH165" s="26"/>
      <c r="BI165" s="26"/>
      <c r="BJ165" s="26"/>
      <c r="BK165" s="26"/>
    </row>
    <row r="166" ht="14.25" customHeight="1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  <c r="AM166" s="26"/>
      <c r="AN166" s="26"/>
      <c r="AO166" s="26"/>
      <c r="AP166" s="26"/>
      <c r="AQ166" s="26"/>
      <c r="AR166" s="26"/>
      <c r="AS166" s="26"/>
      <c r="AT166" s="26"/>
      <c r="AU166" s="26"/>
      <c r="AV166" s="26"/>
      <c r="AW166" s="26"/>
      <c r="AX166" s="26"/>
      <c r="AY166" s="26"/>
      <c r="AZ166" s="26"/>
      <c r="BA166" s="26"/>
      <c r="BB166" s="26"/>
      <c r="BC166" s="26"/>
      <c r="BD166" s="26"/>
      <c r="BE166" s="26"/>
      <c r="BF166" s="26"/>
      <c r="BG166" s="26"/>
      <c r="BH166" s="26"/>
      <c r="BI166" s="26"/>
      <c r="BJ166" s="26"/>
      <c r="BK166" s="26"/>
    </row>
    <row r="167" ht="14.25" customHeight="1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  <c r="AM167" s="26"/>
      <c r="AN167" s="26"/>
      <c r="AO167" s="26"/>
      <c r="AP167" s="26"/>
      <c r="AQ167" s="26"/>
      <c r="AR167" s="26"/>
      <c r="AS167" s="26"/>
      <c r="AT167" s="26"/>
      <c r="AU167" s="26"/>
      <c r="AV167" s="26"/>
      <c r="AW167" s="26"/>
      <c r="AX167" s="26"/>
      <c r="AY167" s="26"/>
      <c r="AZ167" s="26"/>
      <c r="BA167" s="26"/>
      <c r="BB167" s="26"/>
      <c r="BC167" s="26"/>
      <c r="BD167" s="26"/>
      <c r="BE167" s="26"/>
      <c r="BF167" s="26"/>
      <c r="BG167" s="26"/>
      <c r="BH167" s="26"/>
      <c r="BI167" s="26"/>
      <c r="BJ167" s="26"/>
      <c r="BK167" s="26"/>
    </row>
    <row r="168" ht="14.25" customHeight="1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  <c r="AM168" s="26"/>
      <c r="AN168" s="26"/>
      <c r="AO168" s="26"/>
      <c r="AP168" s="26"/>
      <c r="AQ168" s="26"/>
      <c r="AR168" s="26"/>
      <c r="AS168" s="26"/>
      <c r="AT168" s="26"/>
      <c r="AU168" s="26"/>
      <c r="AV168" s="26"/>
      <c r="AW168" s="26"/>
      <c r="AX168" s="26"/>
      <c r="AY168" s="26"/>
      <c r="AZ168" s="26"/>
      <c r="BA168" s="26"/>
      <c r="BB168" s="26"/>
      <c r="BC168" s="26"/>
      <c r="BD168" s="26"/>
      <c r="BE168" s="26"/>
      <c r="BF168" s="26"/>
      <c r="BG168" s="26"/>
      <c r="BH168" s="26"/>
      <c r="BI168" s="26"/>
      <c r="BJ168" s="26"/>
      <c r="BK168" s="26"/>
    </row>
    <row r="169" ht="14.25" customHeight="1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  <c r="AM169" s="26"/>
      <c r="AN169" s="26"/>
      <c r="AO169" s="26"/>
      <c r="AP169" s="26"/>
      <c r="AQ169" s="26"/>
      <c r="AR169" s="26"/>
      <c r="AS169" s="26"/>
      <c r="AT169" s="26"/>
      <c r="AU169" s="26"/>
      <c r="AV169" s="26"/>
      <c r="AW169" s="26"/>
      <c r="AX169" s="26"/>
      <c r="AY169" s="26"/>
      <c r="AZ169" s="26"/>
      <c r="BA169" s="26"/>
      <c r="BB169" s="26"/>
      <c r="BC169" s="26"/>
      <c r="BD169" s="26"/>
      <c r="BE169" s="26"/>
      <c r="BF169" s="26"/>
      <c r="BG169" s="26"/>
      <c r="BH169" s="26"/>
      <c r="BI169" s="26"/>
      <c r="BJ169" s="26"/>
      <c r="BK169" s="26"/>
    </row>
    <row r="170" ht="14.25" customHeight="1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  <c r="AM170" s="26"/>
      <c r="AN170" s="26"/>
      <c r="AO170" s="26"/>
      <c r="AP170" s="26"/>
      <c r="AQ170" s="26"/>
      <c r="AR170" s="26"/>
      <c r="AS170" s="26"/>
      <c r="AT170" s="26"/>
      <c r="AU170" s="26"/>
      <c r="AV170" s="26"/>
      <c r="AW170" s="26"/>
      <c r="AX170" s="26"/>
      <c r="AY170" s="26"/>
      <c r="AZ170" s="26"/>
      <c r="BA170" s="26"/>
      <c r="BB170" s="26"/>
      <c r="BC170" s="26"/>
      <c r="BD170" s="26"/>
      <c r="BE170" s="26"/>
      <c r="BF170" s="26"/>
      <c r="BG170" s="26"/>
      <c r="BH170" s="26"/>
      <c r="BI170" s="26"/>
      <c r="BJ170" s="26"/>
      <c r="BK170" s="26"/>
    </row>
    <row r="171" ht="14.25" customHeight="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  <c r="AM171" s="26"/>
      <c r="AN171" s="26"/>
      <c r="AO171" s="26"/>
      <c r="AP171" s="26"/>
      <c r="AQ171" s="26"/>
      <c r="AR171" s="26"/>
      <c r="AS171" s="26"/>
      <c r="AT171" s="26"/>
      <c r="AU171" s="26"/>
      <c r="AV171" s="26"/>
      <c r="AW171" s="26"/>
      <c r="AX171" s="26"/>
      <c r="AY171" s="26"/>
      <c r="AZ171" s="26"/>
      <c r="BA171" s="26"/>
      <c r="BB171" s="26"/>
      <c r="BC171" s="26"/>
      <c r="BD171" s="26"/>
      <c r="BE171" s="26"/>
      <c r="BF171" s="26"/>
      <c r="BG171" s="26"/>
      <c r="BH171" s="26"/>
      <c r="BI171" s="26"/>
      <c r="BJ171" s="26"/>
      <c r="BK171" s="26"/>
    </row>
    <row r="172" ht="14.25" customHeight="1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  <c r="AM172" s="26"/>
      <c r="AN172" s="26"/>
      <c r="AO172" s="26"/>
      <c r="AP172" s="26"/>
      <c r="AQ172" s="26"/>
      <c r="AR172" s="26"/>
      <c r="AS172" s="26"/>
      <c r="AT172" s="26"/>
      <c r="AU172" s="26"/>
      <c r="AV172" s="26"/>
      <c r="AW172" s="26"/>
      <c r="AX172" s="26"/>
      <c r="AY172" s="26"/>
      <c r="AZ172" s="26"/>
      <c r="BA172" s="26"/>
      <c r="BB172" s="26"/>
      <c r="BC172" s="26"/>
      <c r="BD172" s="26"/>
      <c r="BE172" s="26"/>
      <c r="BF172" s="26"/>
      <c r="BG172" s="26"/>
      <c r="BH172" s="26"/>
      <c r="BI172" s="26"/>
      <c r="BJ172" s="26"/>
      <c r="BK172" s="26"/>
    </row>
    <row r="173" ht="14.25" customHeight="1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  <c r="AM173" s="26"/>
      <c r="AN173" s="26"/>
      <c r="AO173" s="26"/>
      <c r="AP173" s="26"/>
      <c r="AQ173" s="26"/>
      <c r="AR173" s="26"/>
      <c r="AS173" s="26"/>
      <c r="AT173" s="26"/>
      <c r="AU173" s="26"/>
      <c r="AV173" s="26"/>
      <c r="AW173" s="26"/>
      <c r="AX173" s="26"/>
      <c r="AY173" s="26"/>
      <c r="AZ173" s="26"/>
      <c r="BA173" s="26"/>
      <c r="BB173" s="26"/>
      <c r="BC173" s="26"/>
      <c r="BD173" s="26"/>
      <c r="BE173" s="26"/>
      <c r="BF173" s="26"/>
      <c r="BG173" s="26"/>
      <c r="BH173" s="26"/>
      <c r="BI173" s="26"/>
      <c r="BJ173" s="26"/>
      <c r="BK173" s="26"/>
    </row>
    <row r="174" ht="14.25" customHeight="1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  <c r="AM174" s="26"/>
      <c r="AN174" s="26"/>
      <c r="AO174" s="26"/>
      <c r="AP174" s="26"/>
      <c r="AQ174" s="26"/>
      <c r="AR174" s="26"/>
      <c r="AS174" s="26"/>
      <c r="AT174" s="26"/>
      <c r="AU174" s="26"/>
      <c r="AV174" s="26"/>
      <c r="AW174" s="26"/>
      <c r="AX174" s="26"/>
      <c r="AY174" s="26"/>
      <c r="AZ174" s="26"/>
      <c r="BA174" s="26"/>
      <c r="BB174" s="26"/>
      <c r="BC174" s="26"/>
      <c r="BD174" s="26"/>
      <c r="BE174" s="26"/>
      <c r="BF174" s="26"/>
      <c r="BG174" s="26"/>
      <c r="BH174" s="26"/>
      <c r="BI174" s="26"/>
      <c r="BJ174" s="26"/>
      <c r="BK174" s="26"/>
    </row>
    <row r="175" ht="14.25" customHeight="1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  <c r="AM175" s="26"/>
      <c r="AN175" s="26"/>
      <c r="AO175" s="26"/>
      <c r="AP175" s="26"/>
      <c r="AQ175" s="26"/>
      <c r="AR175" s="26"/>
      <c r="AS175" s="26"/>
      <c r="AT175" s="26"/>
      <c r="AU175" s="26"/>
      <c r="AV175" s="26"/>
      <c r="AW175" s="26"/>
      <c r="AX175" s="26"/>
      <c r="AY175" s="26"/>
      <c r="AZ175" s="26"/>
      <c r="BA175" s="26"/>
      <c r="BB175" s="26"/>
      <c r="BC175" s="26"/>
      <c r="BD175" s="26"/>
      <c r="BE175" s="26"/>
      <c r="BF175" s="26"/>
      <c r="BG175" s="26"/>
      <c r="BH175" s="26"/>
      <c r="BI175" s="26"/>
      <c r="BJ175" s="26"/>
      <c r="BK175" s="26"/>
    </row>
    <row r="176" ht="14.25" customHeight="1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  <c r="AM176" s="26"/>
      <c r="AN176" s="26"/>
      <c r="AO176" s="26"/>
      <c r="AP176" s="26"/>
      <c r="AQ176" s="26"/>
      <c r="AR176" s="26"/>
      <c r="AS176" s="26"/>
      <c r="AT176" s="26"/>
      <c r="AU176" s="26"/>
      <c r="AV176" s="26"/>
      <c r="AW176" s="26"/>
      <c r="AX176" s="26"/>
      <c r="AY176" s="26"/>
      <c r="AZ176" s="26"/>
      <c r="BA176" s="26"/>
      <c r="BB176" s="26"/>
      <c r="BC176" s="26"/>
      <c r="BD176" s="26"/>
      <c r="BE176" s="26"/>
      <c r="BF176" s="26"/>
      <c r="BG176" s="26"/>
      <c r="BH176" s="26"/>
      <c r="BI176" s="26"/>
      <c r="BJ176" s="26"/>
      <c r="BK176" s="26"/>
    </row>
    <row r="177" ht="14.25" customHeight="1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  <c r="AM177" s="26"/>
      <c r="AN177" s="26"/>
      <c r="AO177" s="26"/>
      <c r="AP177" s="26"/>
      <c r="AQ177" s="26"/>
      <c r="AR177" s="26"/>
      <c r="AS177" s="26"/>
      <c r="AT177" s="26"/>
      <c r="AU177" s="26"/>
      <c r="AV177" s="26"/>
      <c r="AW177" s="26"/>
      <c r="AX177" s="26"/>
      <c r="AY177" s="26"/>
      <c r="AZ177" s="26"/>
      <c r="BA177" s="26"/>
      <c r="BB177" s="26"/>
      <c r="BC177" s="26"/>
      <c r="BD177" s="26"/>
      <c r="BE177" s="26"/>
      <c r="BF177" s="26"/>
      <c r="BG177" s="26"/>
      <c r="BH177" s="26"/>
      <c r="BI177" s="26"/>
      <c r="BJ177" s="26"/>
      <c r="BK177" s="26"/>
    </row>
    <row r="178" ht="14.25" customHeight="1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  <c r="AM178" s="26"/>
      <c r="AN178" s="26"/>
      <c r="AO178" s="26"/>
      <c r="AP178" s="26"/>
      <c r="AQ178" s="26"/>
      <c r="AR178" s="26"/>
      <c r="AS178" s="26"/>
      <c r="AT178" s="26"/>
      <c r="AU178" s="26"/>
      <c r="AV178" s="26"/>
      <c r="AW178" s="26"/>
      <c r="AX178" s="26"/>
      <c r="AY178" s="26"/>
      <c r="AZ178" s="26"/>
      <c r="BA178" s="26"/>
      <c r="BB178" s="26"/>
      <c r="BC178" s="26"/>
      <c r="BD178" s="26"/>
      <c r="BE178" s="26"/>
      <c r="BF178" s="26"/>
      <c r="BG178" s="26"/>
      <c r="BH178" s="26"/>
      <c r="BI178" s="26"/>
      <c r="BJ178" s="26"/>
      <c r="BK178" s="26"/>
    </row>
    <row r="179" ht="14.25" customHeight="1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  <c r="AM179" s="26"/>
      <c r="AN179" s="26"/>
      <c r="AO179" s="26"/>
      <c r="AP179" s="26"/>
      <c r="AQ179" s="26"/>
      <c r="AR179" s="26"/>
      <c r="AS179" s="26"/>
      <c r="AT179" s="26"/>
      <c r="AU179" s="26"/>
      <c r="AV179" s="26"/>
      <c r="AW179" s="26"/>
      <c r="AX179" s="26"/>
      <c r="AY179" s="26"/>
      <c r="AZ179" s="26"/>
      <c r="BA179" s="26"/>
      <c r="BB179" s="26"/>
      <c r="BC179" s="26"/>
      <c r="BD179" s="26"/>
      <c r="BE179" s="26"/>
      <c r="BF179" s="26"/>
      <c r="BG179" s="26"/>
      <c r="BH179" s="26"/>
      <c r="BI179" s="26"/>
      <c r="BJ179" s="26"/>
      <c r="BK179" s="26"/>
    </row>
    <row r="180" ht="14.25" customHeight="1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  <c r="AM180" s="26"/>
      <c r="AN180" s="26"/>
      <c r="AO180" s="26"/>
      <c r="AP180" s="26"/>
      <c r="AQ180" s="26"/>
      <c r="AR180" s="26"/>
      <c r="AS180" s="26"/>
      <c r="AT180" s="26"/>
      <c r="AU180" s="26"/>
      <c r="AV180" s="26"/>
      <c r="AW180" s="26"/>
      <c r="AX180" s="26"/>
      <c r="AY180" s="26"/>
      <c r="AZ180" s="26"/>
      <c r="BA180" s="26"/>
      <c r="BB180" s="26"/>
      <c r="BC180" s="26"/>
      <c r="BD180" s="26"/>
      <c r="BE180" s="26"/>
      <c r="BF180" s="26"/>
      <c r="BG180" s="26"/>
      <c r="BH180" s="26"/>
      <c r="BI180" s="26"/>
      <c r="BJ180" s="26"/>
      <c r="BK180" s="26"/>
    </row>
    <row r="181" ht="14.25" customHeight="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  <c r="AM181" s="26"/>
      <c r="AN181" s="26"/>
      <c r="AO181" s="26"/>
      <c r="AP181" s="26"/>
      <c r="AQ181" s="26"/>
      <c r="AR181" s="26"/>
      <c r="AS181" s="26"/>
      <c r="AT181" s="26"/>
      <c r="AU181" s="26"/>
      <c r="AV181" s="26"/>
      <c r="AW181" s="26"/>
      <c r="AX181" s="26"/>
      <c r="AY181" s="26"/>
      <c r="AZ181" s="26"/>
      <c r="BA181" s="26"/>
      <c r="BB181" s="26"/>
      <c r="BC181" s="26"/>
      <c r="BD181" s="26"/>
      <c r="BE181" s="26"/>
      <c r="BF181" s="26"/>
      <c r="BG181" s="26"/>
      <c r="BH181" s="26"/>
      <c r="BI181" s="26"/>
      <c r="BJ181" s="26"/>
      <c r="BK181" s="26"/>
    </row>
    <row r="182" ht="14.25" customHeight="1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  <c r="AM182" s="26"/>
      <c r="AN182" s="26"/>
      <c r="AO182" s="26"/>
      <c r="AP182" s="26"/>
      <c r="AQ182" s="26"/>
      <c r="AR182" s="26"/>
      <c r="AS182" s="26"/>
      <c r="AT182" s="26"/>
      <c r="AU182" s="26"/>
      <c r="AV182" s="26"/>
      <c r="AW182" s="26"/>
      <c r="AX182" s="26"/>
      <c r="AY182" s="26"/>
      <c r="AZ182" s="26"/>
      <c r="BA182" s="26"/>
      <c r="BB182" s="26"/>
      <c r="BC182" s="26"/>
      <c r="BD182" s="26"/>
      <c r="BE182" s="26"/>
      <c r="BF182" s="26"/>
      <c r="BG182" s="26"/>
      <c r="BH182" s="26"/>
      <c r="BI182" s="26"/>
      <c r="BJ182" s="26"/>
      <c r="BK182" s="26"/>
    </row>
    <row r="183" ht="14.25" customHeight="1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  <c r="AM183" s="26"/>
      <c r="AN183" s="26"/>
      <c r="AO183" s="26"/>
      <c r="AP183" s="26"/>
      <c r="AQ183" s="26"/>
      <c r="AR183" s="26"/>
      <c r="AS183" s="26"/>
      <c r="AT183" s="26"/>
      <c r="AU183" s="26"/>
      <c r="AV183" s="26"/>
      <c r="AW183" s="26"/>
      <c r="AX183" s="26"/>
      <c r="AY183" s="26"/>
      <c r="AZ183" s="26"/>
      <c r="BA183" s="26"/>
      <c r="BB183" s="26"/>
      <c r="BC183" s="26"/>
      <c r="BD183" s="26"/>
      <c r="BE183" s="26"/>
      <c r="BF183" s="26"/>
      <c r="BG183" s="26"/>
      <c r="BH183" s="26"/>
      <c r="BI183" s="26"/>
      <c r="BJ183" s="26"/>
      <c r="BK183" s="26"/>
    </row>
    <row r="184" ht="14.25" customHeight="1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  <c r="AM184" s="26"/>
      <c r="AN184" s="26"/>
      <c r="AO184" s="26"/>
      <c r="AP184" s="26"/>
      <c r="AQ184" s="26"/>
      <c r="AR184" s="26"/>
      <c r="AS184" s="26"/>
      <c r="AT184" s="26"/>
      <c r="AU184" s="26"/>
      <c r="AV184" s="26"/>
      <c r="AW184" s="26"/>
      <c r="AX184" s="26"/>
      <c r="AY184" s="26"/>
      <c r="AZ184" s="26"/>
      <c r="BA184" s="26"/>
      <c r="BB184" s="26"/>
      <c r="BC184" s="26"/>
      <c r="BD184" s="26"/>
      <c r="BE184" s="26"/>
      <c r="BF184" s="26"/>
      <c r="BG184" s="26"/>
      <c r="BH184" s="26"/>
      <c r="BI184" s="26"/>
      <c r="BJ184" s="26"/>
      <c r="BK184" s="26"/>
    </row>
    <row r="185" ht="14.25" customHeight="1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  <c r="AM185" s="26"/>
      <c r="AN185" s="26"/>
      <c r="AO185" s="26"/>
      <c r="AP185" s="26"/>
      <c r="AQ185" s="26"/>
      <c r="AR185" s="26"/>
      <c r="AS185" s="26"/>
      <c r="AT185" s="26"/>
      <c r="AU185" s="26"/>
      <c r="AV185" s="26"/>
      <c r="AW185" s="26"/>
      <c r="AX185" s="26"/>
      <c r="AY185" s="26"/>
      <c r="AZ185" s="26"/>
      <c r="BA185" s="26"/>
      <c r="BB185" s="26"/>
      <c r="BC185" s="26"/>
      <c r="BD185" s="26"/>
      <c r="BE185" s="26"/>
      <c r="BF185" s="26"/>
      <c r="BG185" s="26"/>
      <c r="BH185" s="26"/>
      <c r="BI185" s="26"/>
      <c r="BJ185" s="26"/>
      <c r="BK185" s="26"/>
    </row>
    <row r="186" ht="14.25" customHeight="1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  <c r="AM186" s="26"/>
      <c r="AN186" s="26"/>
      <c r="AO186" s="26"/>
      <c r="AP186" s="26"/>
      <c r="AQ186" s="26"/>
      <c r="AR186" s="26"/>
      <c r="AS186" s="26"/>
      <c r="AT186" s="26"/>
      <c r="AU186" s="26"/>
      <c r="AV186" s="26"/>
      <c r="AW186" s="26"/>
      <c r="AX186" s="26"/>
      <c r="AY186" s="26"/>
      <c r="AZ186" s="26"/>
      <c r="BA186" s="26"/>
      <c r="BB186" s="26"/>
      <c r="BC186" s="26"/>
      <c r="BD186" s="26"/>
      <c r="BE186" s="26"/>
      <c r="BF186" s="26"/>
      <c r="BG186" s="26"/>
      <c r="BH186" s="26"/>
      <c r="BI186" s="26"/>
      <c r="BJ186" s="26"/>
      <c r="BK186" s="26"/>
    </row>
    <row r="187" ht="14.25" customHeight="1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  <c r="AM187" s="26"/>
      <c r="AN187" s="26"/>
      <c r="AO187" s="26"/>
      <c r="AP187" s="26"/>
      <c r="AQ187" s="26"/>
      <c r="AR187" s="26"/>
      <c r="AS187" s="26"/>
      <c r="AT187" s="26"/>
      <c r="AU187" s="26"/>
      <c r="AV187" s="26"/>
      <c r="AW187" s="26"/>
      <c r="AX187" s="26"/>
      <c r="AY187" s="26"/>
      <c r="AZ187" s="26"/>
      <c r="BA187" s="26"/>
      <c r="BB187" s="26"/>
      <c r="BC187" s="26"/>
      <c r="BD187" s="26"/>
      <c r="BE187" s="26"/>
      <c r="BF187" s="26"/>
      <c r="BG187" s="26"/>
      <c r="BH187" s="26"/>
      <c r="BI187" s="26"/>
      <c r="BJ187" s="26"/>
      <c r="BK187" s="26"/>
    </row>
    <row r="188" ht="14.25" customHeight="1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  <c r="AM188" s="26"/>
      <c r="AN188" s="26"/>
      <c r="AO188" s="26"/>
      <c r="AP188" s="26"/>
      <c r="AQ188" s="26"/>
      <c r="AR188" s="26"/>
      <c r="AS188" s="26"/>
      <c r="AT188" s="26"/>
      <c r="AU188" s="26"/>
      <c r="AV188" s="26"/>
      <c r="AW188" s="26"/>
      <c r="AX188" s="26"/>
      <c r="AY188" s="26"/>
      <c r="AZ188" s="26"/>
      <c r="BA188" s="26"/>
      <c r="BB188" s="26"/>
      <c r="BC188" s="26"/>
      <c r="BD188" s="26"/>
      <c r="BE188" s="26"/>
      <c r="BF188" s="26"/>
      <c r="BG188" s="26"/>
      <c r="BH188" s="26"/>
      <c r="BI188" s="26"/>
      <c r="BJ188" s="26"/>
      <c r="BK188" s="26"/>
    </row>
    <row r="189" ht="14.25" customHeight="1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  <c r="AM189" s="26"/>
      <c r="AN189" s="26"/>
      <c r="AO189" s="26"/>
      <c r="AP189" s="26"/>
      <c r="AQ189" s="26"/>
      <c r="AR189" s="26"/>
      <c r="AS189" s="26"/>
      <c r="AT189" s="26"/>
      <c r="AU189" s="26"/>
      <c r="AV189" s="26"/>
      <c r="AW189" s="26"/>
      <c r="AX189" s="26"/>
      <c r="AY189" s="26"/>
      <c r="AZ189" s="26"/>
      <c r="BA189" s="26"/>
      <c r="BB189" s="26"/>
      <c r="BC189" s="26"/>
      <c r="BD189" s="26"/>
      <c r="BE189" s="26"/>
      <c r="BF189" s="26"/>
      <c r="BG189" s="26"/>
      <c r="BH189" s="26"/>
      <c r="BI189" s="26"/>
      <c r="BJ189" s="26"/>
      <c r="BK189" s="26"/>
    </row>
    <row r="190" ht="14.25" customHeight="1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  <c r="AM190" s="26"/>
      <c r="AN190" s="26"/>
      <c r="AO190" s="26"/>
      <c r="AP190" s="26"/>
      <c r="AQ190" s="26"/>
      <c r="AR190" s="26"/>
      <c r="AS190" s="26"/>
      <c r="AT190" s="26"/>
      <c r="AU190" s="26"/>
      <c r="AV190" s="26"/>
      <c r="AW190" s="26"/>
      <c r="AX190" s="26"/>
      <c r="AY190" s="26"/>
      <c r="AZ190" s="26"/>
      <c r="BA190" s="26"/>
      <c r="BB190" s="26"/>
      <c r="BC190" s="26"/>
      <c r="BD190" s="26"/>
      <c r="BE190" s="26"/>
      <c r="BF190" s="26"/>
      <c r="BG190" s="26"/>
      <c r="BH190" s="26"/>
      <c r="BI190" s="26"/>
      <c r="BJ190" s="26"/>
      <c r="BK190" s="26"/>
    </row>
    <row r="191" ht="14.25" customHeight="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  <c r="AM191" s="26"/>
      <c r="AN191" s="26"/>
      <c r="AO191" s="26"/>
      <c r="AP191" s="26"/>
      <c r="AQ191" s="26"/>
      <c r="AR191" s="26"/>
      <c r="AS191" s="26"/>
      <c r="AT191" s="26"/>
      <c r="AU191" s="26"/>
      <c r="AV191" s="26"/>
      <c r="AW191" s="26"/>
      <c r="AX191" s="26"/>
      <c r="AY191" s="26"/>
      <c r="AZ191" s="26"/>
      <c r="BA191" s="26"/>
      <c r="BB191" s="26"/>
      <c r="BC191" s="26"/>
      <c r="BD191" s="26"/>
      <c r="BE191" s="26"/>
      <c r="BF191" s="26"/>
      <c r="BG191" s="26"/>
      <c r="BH191" s="26"/>
      <c r="BI191" s="26"/>
      <c r="BJ191" s="26"/>
      <c r="BK191" s="26"/>
    </row>
    <row r="192" ht="14.25" customHeight="1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  <c r="AM192" s="26"/>
      <c r="AN192" s="26"/>
      <c r="AO192" s="26"/>
      <c r="AP192" s="26"/>
      <c r="AQ192" s="26"/>
      <c r="AR192" s="26"/>
      <c r="AS192" s="26"/>
      <c r="AT192" s="26"/>
      <c r="AU192" s="26"/>
      <c r="AV192" s="26"/>
      <c r="AW192" s="26"/>
      <c r="AX192" s="26"/>
      <c r="AY192" s="26"/>
      <c r="AZ192" s="26"/>
      <c r="BA192" s="26"/>
      <c r="BB192" s="26"/>
      <c r="BC192" s="26"/>
      <c r="BD192" s="26"/>
      <c r="BE192" s="26"/>
      <c r="BF192" s="26"/>
      <c r="BG192" s="26"/>
      <c r="BH192" s="26"/>
      <c r="BI192" s="26"/>
      <c r="BJ192" s="26"/>
      <c r="BK192" s="26"/>
    </row>
    <row r="193" ht="14.25" customHeight="1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  <c r="AM193" s="26"/>
      <c r="AN193" s="26"/>
      <c r="AO193" s="26"/>
      <c r="AP193" s="26"/>
      <c r="AQ193" s="26"/>
      <c r="AR193" s="26"/>
      <c r="AS193" s="26"/>
      <c r="AT193" s="26"/>
      <c r="AU193" s="26"/>
      <c r="AV193" s="26"/>
      <c r="AW193" s="26"/>
      <c r="AX193" s="26"/>
      <c r="AY193" s="26"/>
      <c r="AZ193" s="26"/>
      <c r="BA193" s="26"/>
      <c r="BB193" s="26"/>
      <c r="BC193" s="26"/>
      <c r="BD193" s="26"/>
      <c r="BE193" s="26"/>
      <c r="BF193" s="26"/>
      <c r="BG193" s="26"/>
      <c r="BH193" s="26"/>
      <c r="BI193" s="26"/>
      <c r="BJ193" s="26"/>
      <c r="BK193" s="26"/>
    </row>
    <row r="194" ht="14.25" customHeight="1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  <c r="AM194" s="26"/>
      <c r="AN194" s="26"/>
      <c r="AO194" s="26"/>
      <c r="AP194" s="26"/>
      <c r="AQ194" s="26"/>
      <c r="AR194" s="26"/>
      <c r="AS194" s="26"/>
      <c r="AT194" s="26"/>
      <c r="AU194" s="26"/>
      <c r="AV194" s="26"/>
      <c r="AW194" s="26"/>
      <c r="AX194" s="26"/>
      <c r="AY194" s="26"/>
      <c r="AZ194" s="26"/>
      <c r="BA194" s="26"/>
      <c r="BB194" s="26"/>
      <c r="BC194" s="26"/>
      <c r="BD194" s="26"/>
      <c r="BE194" s="26"/>
      <c r="BF194" s="26"/>
      <c r="BG194" s="26"/>
      <c r="BH194" s="26"/>
      <c r="BI194" s="26"/>
      <c r="BJ194" s="26"/>
      <c r="BK194" s="26"/>
    </row>
    <row r="195" ht="14.25" customHeight="1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  <c r="AM195" s="26"/>
      <c r="AN195" s="26"/>
      <c r="AO195" s="26"/>
      <c r="AP195" s="26"/>
      <c r="AQ195" s="26"/>
      <c r="AR195" s="26"/>
      <c r="AS195" s="26"/>
      <c r="AT195" s="26"/>
      <c r="AU195" s="26"/>
      <c r="AV195" s="26"/>
      <c r="AW195" s="26"/>
      <c r="AX195" s="26"/>
      <c r="AY195" s="26"/>
      <c r="AZ195" s="26"/>
      <c r="BA195" s="26"/>
      <c r="BB195" s="26"/>
      <c r="BC195" s="26"/>
      <c r="BD195" s="26"/>
      <c r="BE195" s="26"/>
      <c r="BF195" s="26"/>
      <c r="BG195" s="26"/>
      <c r="BH195" s="26"/>
      <c r="BI195" s="26"/>
      <c r="BJ195" s="26"/>
      <c r="BK195" s="26"/>
    </row>
    <row r="196" ht="14.25" customHeight="1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  <c r="AM196" s="26"/>
      <c r="AN196" s="26"/>
      <c r="AO196" s="26"/>
      <c r="AP196" s="26"/>
      <c r="AQ196" s="26"/>
      <c r="AR196" s="26"/>
      <c r="AS196" s="26"/>
      <c r="AT196" s="26"/>
      <c r="AU196" s="26"/>
      <c r="AV196" s="26"/>
      <c r="AW196" s="26"/>
      <c r="AX196" s="26"/>
      <c r="AY196" s="26"/>
      <c r="AZ196" s="26"/>
      <c r="BA196" s="26"/>
      <c r="BB196" s="26"/>
      <c r="BC196" s="26"/>
      <c r="BD196" s="26"/>
      <c r="BE196" s="26"/>
      <c r="BF196" s="26"/>
      <c r="BG196" s="26"/>
      <c r="BH196" s="26"/>
      <c r="BI196" s="26"/>
      <c r="BJ196" s="26"/>
      <c r="BK196" s="26"/>
    </row>
    <row r="197" ht="14.25" customHeight="1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  <c r="AM197" s="26"/>
      <c r="AN197" s="26"/>
      <c r="AO197" s="26"/>
      <c r="AP197" s="26"/>
      <c r="AQ197" s="26"/>
      <c r="AR197" s="26"/>
      <c r="AS197" s="26"/>
      <c r="AT197" s="26"/>
      <c r="AU197" s="26"/>
      <c r="AV197" s="26"/>
      <c r="AW197" s="26"/>
      <c r="AX197" s="26"/>
      <c r="AY197" s="26"/>
      <c r="AZ197" s="26"/>
      <c r="BA197" s="26"/>
      <c r="BB197" s="26"/>
      <c r="BC197" s="26"/>
      <c r="BD197" s="26"/>
      <c r="BE197" s="26"/>
      <c r="BF197" s="26"/>
      <c r="BG197" s="26"/>
      <c r="BH197" s="26"/>
      <c r="BI197" s="26"/>
      <c r="BJ197" s="26"/>
      <c r="BK197" s="26"/>
    </row>
    <row r="198" ht="14.25" customHeight="1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  <c r="AM198" s="26"/>
      <c r="AN198" s="26"/>
      <c r="AO198" s="26"/>
      <c r="AP198" s="26"/>
      <c r="AQ198" s="26"/>
      <c r="AR198" s="26"/>
      <c r="AS198" s="26"/>
      <c r="AT198" s="26"/>
      <c r="AU198" s="26"/>
      <c r="AV198" s="26"/>
      <c r="AW198" s="26"/>
      <c r="AX198" s="26"/>
      <c r="AY198" s="26"/>
      <c r="AZ198" s="26"/>
      <c r="BA198" s="26"/>
      <c r="BB198" s="26"/>
      <c r="BC198" s="26"/>
      <c r="BD198" s="26"/>
      <c r="BE198" s="26"/>
      <c r="BF198" s="26"/>
      <c r="BG198" s="26"/>
      <c r="BH198" s="26"/>
      <c r="BI198" s="26"/>
      <c r="BJ198" s="26"/>
      <c r="BK198" s="26"/>
    </row>
    <row r="199" ht="14.25" customHeight="1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  <c r="AM199" s="26"/>
      <c r="AN199" s="26"/>
      <c r="AO199" s="26"/>
      <c r="AP199" s="26"/>
      <c r="AQ199" s="26"/>
      <c r="AR199" s="26"/>
      <c r="AS199" s="26"/>
      <c r="AT199" s="26"/>
      <c r="AU199" s="26"/>
      <c r="AV199" s="26"/>
      <c r="AW199" s="26"/>
      <c r="AX199" s="26"/>
      <c r="AY199" s="26"/>
      <c r="AZ199" s="26"/>
      <c r="BA199" s="26"/>
      <c r="BB199" s="26"/>
      <c r="BC199" s="26"/>
      <c r="BD199" s="26"/>
      <c r="BE199" s="26"/>
      <c r="BF199" s="26"/>
      <c r="BG199" s="26"/>
      <c r="BH199" s="26"/>
      <c r="BI199" s="26"/>
      <c r="BJ199" s="26"/>
      <c r="BK199" s="26"/>
    </row>
    <row r="200" ht="14.25" customHeight="1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  <c r="AM200" s="26"/>
      <c r="AN200" s="26"/>
      <c r="AO200" s="26"/>
      <c r="AP200" s="26"/>
      <c r="AQ200" s="26"/>
      <c r="AR200" s="26"/>
      <c r="AS200" s="26"/>
      <c r="AT200" s="26"/>
      <c r="AU200" s="26"/>
      <c r="AV200" s="26"/>
      <c r="AW200" s="26"/>
      <c r="AX200" s="26"/>
      <c r="AY200" s="26"/>
      <c r="AZ200" s="26"/>
      <c r="BA200" s="26"/>
      <c r="BB200" s="26"/>
      <c r="BC200" s="26"/>
      <c r="BD200" s="26"/>
      <c r="BE200" s="26"/>
      <c r="BF200" s="26"/>
      <c r="BG200" s="26"/>
      <c r="BH200" s="26"/>
      <c r="BI200" s="26"/>
      <c r="BJ200" s="26"/>
      <c r="BK200" s="26"/>
    </row>
    <row r="201" ht="14.25" customHeight="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  <c r="AM201" s="26"/>
      <c r="AN201" s="26"/>
      <c r="AO201" s="26"/>
      <c r="AP201" s="26"/>
      <c r="AQ201" s="26"/>
      <c r="AR201" s="26"/>
      <c r="AS201" s="26"/>
      <c r="AT201" s="26"/>
      <c r="AU201" s="26"/>
      <c r="AV201" s="26"/>
      <c r="AW201" s="26"/>
      <c r="AX201" s="26"/>
      <c r="AY201" s="26"/>
      <c r="AZ201" s="26"/>
      <c r="BA201" s="26"/>
      <c r="BB201" s="26"/>
      <c r="BC201" s="26"/>
      <c r="BD201" s="26"/>
      <c r="BE201" s="26"/>
      <c r="BF201" s="26"/>
      <c r="BG201" s="26"/>
      <c r="BH201" s="26"/>
      <c r="BI201" s="26"/>
      <c r="BJ201" s="26"/>
      <c r="BK201" s="26"/>
    </row>
    <row r="202" ht="14.25" customHeight="1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  <c r="AM202" s="26"/>
      <c r="AN202" s="26"/>
      <c r="AO202" s="26"/>
      <c r="AP202" s="26"/>
      <c r="AQ202" s="26"/>
      <c r="AR202" s="26"/>
      <c r="AS202" s="26"/>
      <c r="AT202" s="26"/>
      <c r="AU202" s="26"/>
      <c r="AV202" s="26"/>
      <c r="AW202" s="26"/>
      <c r="AX202" s="26"/>
      <c r="AY202" s="26"/>
      <c r="AZ202" s="26"/>
      <c r="BA202" s="26"/>
      <c r="BB202" s="26"/>
      <c r="BC202" s="26"/>
      <c r="BD202" s="26"/>
      <c r="BE202" s="26"/>
      <c r="BF202" s="26"/>
      <c r="BG202" s="26"/>
      <c r="BH202" s="26"/>
      <c r="BI202" s="26"/>
      <c r="BJ202" s="26"/>
      <c r="BK202" s="26"/>
    </row>
    <row r="203" ht="14.25" customHeight="1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  <c r="AM203" s="26"/>
      <c r="AN203" s="26"/>
      <c r="AO203" s="26"/>
      <c r="AP203" s="26"/>
      <c r="AQ203" s="26"/>
      <c r="AR203" s="26"/>
      <c r="AS203" s="26"/>
      <c r="AT203" s="26"/>
      <c r="AU203" s="26"/>
      <c r="AV203" s="26"/>
      <c r="AW203" s="26"/>
      <c r="AX203" s="26"/>
      <c r="AY203" s="26"/>
      <c r="AZ203" s="26"/>
      <c r="BA203" s="26"/>
      <c r="BB203" s="26"/>
      <c r="BC203" s="26"/>
      <c r="BD203" s="26"/>
      <c r="BE203" s="26"/>
      <c r="BF203" s="26"/>
      <c r="BG203" s="26"/>
      <c r="BH203" s="26"/>
      <c r="BI203" s="26"/>
      <c r="BJ203" s="26"/>
      <c r="BK203" s="26"/>
    </row>
    <row r="204" ht="14.25" customHeight="1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  <c r="AM204" s="26"/>
      <c r="AN204" s="26"/>
      <c r="AO204" s="26"/>
      <c r="AP204" s="26"/>
      <c r="AQ204" s="26"/>
      <c r="AR204" s="26"/>
      <c r="AS204" s="26"/>
      <c r="AT204" s="26"/>
      <c r="AU204" s="26"/>
      <c r="AV204" s="26"/>
      <c r="AW204" s="26"/>
      <c r="AX204" s="26"/>
      <c r="AY204" s="26"/>
      <c r="AZ204" s="26"/>
      <c r="BA204" s="26"/>
      <c r="BB204" s="26"/>
      <c r="BC204" s="26"/>
      <c r="BD204" s="26"/>
      <c r="BE204" s="26"/>
      <c r="BF204" s="26"/>
      <c r="BG204" s="26"/>
      <c r="BH204" s="26"/>
      <c r="BI204" s="26"/>
      <c r="BJ204" s="26"/>
      <c r="BK204" s="26"/>
    </row>
    <row r="205" ht="14.25" customHeight="1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  <c r="AM205" s="26"/>
      <c r="AN205" s="26"/>
      <c r="AO205" s="26"/>
      <c r="AP205" s="26"/>
      <c r="AQ205" s="26"/>
      <c r="AR205" s="26"/>
      <c r="AS205" s="26"/>
      <c r="AT205" s="26"/>
      <c r="AU205" s="26"/>
      <c r="AV205" s="26"/>
      <c r="AW205" s="26"/>
      <c r="AX205" s="26"/>
      <c r="AY205" s="26"/>
      <c r="AZ205" s="26"/>
      <c r="BA205" s="26"/>
      <c r="BB205" s="26"/>
      <c r="BC205" s="26"/>
      <c r="BD205" s="26"/>
      <c r="BE205" s="26"/>
      <c r="BF205" s="26"/>
      <c r="BG205" s="26"/>
      <c r="BH205" s="26"/>
      <c r="BI205" s="26"/>
      <c r="BJ205" s="26"/>
      <c r="BK205" s="26"/>
    </row>
    <row r="206" ht="14.25" customHeight="1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  <c r="AM206" s="26"/>
      <c r="AN206" s="26"/>
      <c r="AO206" s="26"/>
      <c r="AP206" s="26"/>
      <c r="AQ206" s="26"/>
      <c r="AR206" s="26"/>
      <c r="AS206" s="26"/>
      <c r="AT206" s="26"/>
      <c r="AU206" s="26"/>
      <c r="AV206" s="26"/>
      <c r="AW206" s="26"/>
      <c r="AX206" s="26"/>
      <c r="AY206" s="26"/>
      <c r="AZ206" s="26"/>
      <c r="BA206" s="26"/>
      <c r="BB206" s="26"/>
      <c r="BC206" s="26"/>
      <c r="BD206" s="26"/>
      <c r="BE206" s="26"/>
      <c r="BF206" s="26"/>
      <c r="BG206" s="26"/>
      <c r="BH206" s="26"/>
      <c r="BI206" s="26"/>
      <c r="BJ206" s="26"/>
      <c r="BK206" s="26"/>
    </row>
    <row r="207" ht="14.25" customHeight="1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  <c r="AM207" s="26"/>
      <c r="AN207" s="26"/>
      <c r="AO207" s="26"/>
      <c r="AP207" s="26"/>
      <c r="AQ207" s="26"/>
      <c r="AR207" s="26"/>
      <c r="AS207" s="26"/>
      <c r="AT207" s="26"/>
      <c r="AU207" s="26"/>
      <c r="AV207" s="26"/>
      <c r="AW207" s="26"/>
      <c r="AX207" s="26"/>
      <c r="AY207" s="26"/>
      <c r="AZ207" s="26"/>
      <c r="BA207" s="26"/>
      <c r="BB207" s="26"/>
      <c r="BC207" s="26"/>
      <c r="BD207" s="26"/>
      <c r="BE207" s="26"/>
      <c r="BF207" s="26"/>
      <c r="BG207" s="26"/>
      <c r="BH207" s="26"/>
      <c r="BI207" s="26"/>
      <c r="BJ207" s="26"/>
      <c r="BK207" s="26"/>
    </row>
    <row r="208" ht="14.25" customHeight="1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  <c r="AM208" s="26"/>
      <c r="AN208" s="26"/>
      <c r="AO208" s="26"/>
      <c r="AP208" s="26"/>
      <c r="AQ208" s="26"/>
      <c r="AR208" s="26"/>
      <c r="AS208" s="26"/>
      <c r="AT208" s="26"/>
      <c r="AU208" s="26"/>
      <c r="AV208" s="26"/>
      <c r="AW208" s="26"/>
      <c r="AX208" s="26"/>
      <c r="AY208" s="26"/>
      <c r="AZ208" s="26"/>
      <c r="BA208" s="26"/>
      <c r="BB208" s="26"/>
      <c r="BC208" s="26"/>
      <c r="BD208" s="26"/>
      <c r="BE208" s="26"/>
      <c r="BF208" s="26"/>
      <c r="BG208" s="26"/>
      <c r="BH208" s="26"/>
      <c r="BI208" s="26"/>
      <c r="BJ208" s="26"/>
      <c r="BK208" s="26"/>
    </row>
    <row r="209" ht="14.25" customHeight="1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  <c r="AM209" s="26"/>
      <c r="AN209" s="26"/>
      <c r="AO209" s="26"/>
      <c r="AP209" s="26"/>
      <c r="AQ209" s="26"/>
      <c r="AR209" s="26"/>
      <c r="AS209" s="26"/>
      <c r="AT209" s="26"/>
      <c r="AU209" s="26"/>
      <c r="AV209" s="26"/>
      <c r="AW209" s="26"/>
      <c r="AX209" s="26"/>
      <c r="AY209" s="26"/>
      <c r="AZ209" s="26"/>
      <c r="BA209" s="26"/>
      <c r="BB209" s="26"/>
      <c r="BC209" s="26"/>
      <c r="BD209" s="26"/>
      <c r="BE209" s="26"/>
      <c r="BF209" s="26"/>
      <c r="BG209" s="26"/>
      <c r="BH209" s="26"/>
      <c r="BI209" s="26"/>
      <c r="BJ209" s="26"/>
      <c r="BK209" s="26"/>
    </row>
    <row r="210" ht="14.25" customHeight="1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  <c r="AM210" s="26"/>
      <c r="AN210" s="26"/>
      <c r="AO210" s="26"/>
      <c r="AP210" s="26"/>
      <c r="AQ210" s="26"/>
      <c r="AR210" s="26"/>
      <c r="AS210" s="26"/>
      <c r="AT210" s="26"/>
      <c r="AU210" s="26"/>
      <c r="AV210" s="26"/>
      <c r="AW210" s="26"/>
      <c r="AX210" s="26"/>
      <c r="AY210" s="26"/>
      <c r="AZ210" s="26"/>
      <c r="BA210" s="26"/>
      <c r="BB210" s="26"/>
      <c r="BC210" s="26"/>
      <c r="BD210" s="26"/>
      <c r="BE210" s="26"/>
      <c r="BF210" s="26"/>
      <c r="BG210" s="26"/>
      <c r="BH210" s="26"/>
      <c r="BI210" s="26"/>
      <c r="BJ210" s="26"/>
      <c r="BK210" s="26"/>
    </row>
    <row r="211" ht="14.25" customHeight="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  <c r="AM211" s="26"/>
      <c r="AN211" s="26"/>
      <c r="AO211" s="26"/>
      <c r="AP211" s="26"/>
      <c r="AQ211" s="26"/>
      <c r="AR211" s="26"/>
      <c r="AS211" s="26"/>
      <c r="AT211" s="26"/>
      <c r="AU211" s="26"/>
      <c r="AV211" s="26"/>
      <c r="AW211" s="26"/>
      <c r="AX211" s="26"/>
      <c r="AY211" s="26"/>
      <c r="AZ211" s="26"/>
      <c r="BA211" s="26"/>
      <c r="BB211" s="26"/>
      <c r="BC211" s="26"/>
      <c r="BD211" s="26"/>
      <c r="BE211" s="26"/>
      <c r="BF211" s="26"/>
      <c r="BG211" s="26"/>
      <c r="BH211" s="26"/>
      <c r="BI211" s="26"/>
      <c r="BJ211" s="26"/>
      <c r="BK211" s="26"/>
    </row>
    <row r="212" ht="14.25" customHeight="1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  <c r="AM212" s="26"/>
      <c r="AN212" s="26"/>
      <c r="AO212" s="26"/>
      <c r="AP212" s="26"/>
      <c r="AQ212" s="26"/>
      <c r="AR212" s="26"/>
      <c r="AS212" s="26"/>
      <c r="AT212" s="26"/>
      <c r="AU212" s="26"/>
      <c r="AV212" s="26"/>
      <c r="AW212" s="26"/>
      <c r="AX212" s="26"/>
      <c r="AY212" s="26"/>
      <c r="AZ212" s="26"/>
      <c r="BA212" s="26"/>
      <c r="BB212" s="26"/>
      <c r="BC212" s="26"/>
      <c r="BD212" s="26"/>
      <c r="BE212" s="26"/>
      <c r="BF212" s="26"/>
      <c r="BG212" s="26"/>
      <c r="BH212" s="26"/>
      <c r="BI212" s="26"/>
      <c r="BJ212" s="26"/>
      <c r="BK212" s="26"/>
    </row>
    <row r="213" ht="14.25" customHeight="1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  <c r="AM213" s="26"/>
      <c r="AN213" s="26"/>
      <c r="AO213" s="26"/>
      <c r="AP213" s="26"/>
      <c r="AQ213" s="26"/>
      <c r="AR213" s="26"/>
      <c r="AS213" s="26"/>
      <c r="AT213" s="26"/>
      <c r="AU213" s="26"/>
      <c r="AV213" s="26"/>
      <c r="AW213" s="26"/>
      <c r="AX213" s="26"/>
      <c r="AY213" s="26"/>
      <c r="AZ213" s="26"/>
      <c r="BA213" s="26"/>
      <c r="BB213" s="26"/>
      <c r="BC213" s="26"/>
      <c r="BD213" s="26"/>
      <c r="BE213" s="26"/>
      <c r="BF213" s="26"/>
      <c r="BG213" s="26"/>
      <c r="BH213" s="26"/>
      <c r="BI213" s="26"/>
      <c r="BJ213" s="26"/>
      <c r="BK213" s="26"/>
    </row>
    <row r="214" ht="14.25" customHeight="1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  <c r="AM214" s="26"/>
      <c r="AN214" s="26"/>
      <c r="AO214" s="26"/>
      <c r="AP214" s="26"/>
      <c r="AQ214" s="26"/>
      <c r="AR214" s="26"/>
      <c r="AS214" s="26"/>
      <c r="AT214" s="26"/>
      <c r="AU214" s="26"/>
      <c r="AV214" s="26"/>
      <c r="AW214" s="26"/>
      <c r="AX214" s="26"/>
      <c r="AY214" s="26"/>
      <c r="AZ214" s="26"/>
      <c r="BA214" s="26"/>
      <c r="BB214" s="26"/>
      <c r="BC214" s="26"/>
      <c r="BD214" s="26"/>
      <c r="BE214" s="26"/>
      <c r="BF214" s="26"/>
      <c r="BG214" s="26"/>
      <c r="BH214" s="26"/>
      <c r="BI214" s="26"/>
      <c r="BJ214" s="26"/>
      <c r="BK214" s="26"/>
    </row>
    <row r="215" ht="14.25" customHeight="1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  <c r="AM215" s="26"/>
      <c r="AN215" s="26"/>
      <c r="AO215" s="26"/>
      <c r="AP215" s="26"/>
      <c r="AQ215" s="26"/>
      <c r="AR215" s="26"/>
      <c r="AS215" s="26"/>
      <c r="AT215" s="26"/>
      <c r="AU215" s="26"/>
      <c r="AV215" s="26"/>
      <c r="AW215" s="26"/>
      <c r="AX215" s="26"/>
      <c r="AY215" s="26"/>
      <c r="AZ215" s="26"/>
      <c r="BA215" s="26"/>
      <c r="BB215" s="26"/>
      <c r="BC215" s="26"/>
      <c r="BD215" s="26"/>
      <c r="BE215" s="26"/>
      <c r="BF215" s="26"/>
      <c r="BG215" s="26"/>
      <c r="BH215" s="26"/>
      <c r="BI215" s="26"/>
      <c r="BJ215" s="26"/>
      <c r="BK215" s="26"/>
    </row>
    <row r="216" ht="14.25" customHeight="1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  <c r="AM216" s="26"/>
      <c r="AN216" s="26"/>
      <c r="AO216" s="26"/>
      <c r="AP216" s="26"/>
      <c r="AQ216" s="26"/>
      <c r="AR216" s="26"/>
      <c r="AS216" s="26"/>
      <c r="AT216" s="26"/>
      <c r="AU216" s="26"/>
      <c r="AV216" s="26"/>
      <c r="AW216" s="26"/>
      <c r="AX216" s="26"/>
      <c r="AY216" s="26"/>
      <c r="AZ216" s="26"/>
      <c r="BA216" s="26"/>
      <c r="BB216" s="26"/>
      <c r="BC216" s="26"/>
      <c r="BD216" s="26"/>
      <c r="BE216" s="26"/>
      <c r="BF216" s="26"/>
      <c r="BG216" s="26"/>
      <c r="BH216" s="26"/>
      <c r="BI216" s="26"/>
      <c r="BJ216" s="26"/>
      <c r="BK216" s="26"/>
    </row>
    <row r="217" ht="14.25" customHeight="1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  <c r="AM217" s="26"/>
      <c r="AN217" s="26"/>
      <c r="AO217" s="26"/>
      <c r="AP217" s="26"/>
      <c r="AQ217" s="26"/>
      <c r="AR217" s="26"/>
      <c r="AS217" s="26"/>
      <c r="AT217" s="26"/>
      <c r="AU217" s="26"/>
      <c r="AV217" s="26"/>
      <c r="AW217" s="26"/>
      <c r="AX217" s="26"/>
      <c r="AY217" s="26"/>
      <c r="AZ217" s="26"/>
      <c r="BA217" s="26"/>
      <c r="BB217" s="26"/>
      <c r="BC217" s="26"/>
      <c r="BD217" s="26"/>
      <c r="BE217" s="26"/>
      <c r="BF217" s="26"/>
      <c r="BG217" s="26"/>
      <c r="BH217" s="26"/>
      <c r="BI217" s="26"/>
      <c r="BJ217" s="26"/>
      <c r="BK217" s="26"/>
    </row>
    <row r="218" ht="14.25" customHeight="1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  <c r="AM218" s="26"/>
      <c r="AN218" s="26"/>
      <c r="AO218" s="26"/>
      <c r="AP218" s="26"/>
      <c r="AQ218" s="26"/>
      <c r="AR218" s="26"/>
      <c r="AS218" s="26"/>
      <c r="AT218" s="26"/>
      <c r="AU218" s="26"/>
      <c r="AV218" s="26"/>
      <c r="AW218" s="26"/>
      <c r="AX218" s="26"/>
      <c r="AY218" s="26"/>
      <c r="AZ218" s="26"/>
      <c r="BA218" s="26"/>
      <c r="BB218" s="26"/>
      <c r="BC218" s="26"/>
      <c r="BD218" s="26"/>
      <c r="BE218" s="26"/>
      <c r="BF218" s="26"/>
      <c r="BG218" s="26"/>
      <c r="BH218" s="26"/>
      <c r="BI218" s="26"/>
      <c r="BJ218" s="26"/>
      <c r="BK218" s="26"/>
    </row>
    <row r="219" ht="14.25" customHeight="1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  <c r="AM219" s="26"/>
      <c r="AN219" s="26"/>
      <c r="AO219" s="26"/>
      <c r="AP219" s="26"/>
      <c r="AQ219" s="26"/>
      <c r="AR219" s="26"/>
      <c r="AS219" s="26"/>
      <c r="AT219" s="26"/>
      <c r="AU219" s="26"/>
      <c r="AV219" s="26"/>
      <c r="AW219" s="26"/>
      <c r="AX219" s="26"/>
      <c r="AY219" s="26"/>
      <c r="AZ219" s="26"/>
      <c r="BA219" s="26"/>
      <c r="BB219" s="26"/>
      <c r="BC219" s="26"/>
      <c r="BD219" s="26"/>
      <c r="BE219" s="26"/>
      <c r="BF219" s="26"/>
      <c r="BG219" s="26"/>
      <c r="BH219" s="26"/>
      <c r="BI219" s="26"/>
      <c r="BJ219" s="26"/>
      <c r="BK219" s="26"/>
    </row>
    <row r="220" ht="14.25" customHeight="1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  <c r="AM220" s="26"/>
      <c r="AN220" s="26"/>
      <c r="AO220" s="26"/>
      <c r="AP220" s="26"/>
      <c r="AQ220" s="26"/>
      <c r="AR220" s="26"/>
      <c r="AS220" s="26"/>
      <c r="AT220" s="26"/>
      <c r="AU220" s="26"/>
      <c r="AV220" s="26"/>
      <c r="AW220" s="26"/>
      <c r="AX220" s="26"/>
      <c r="AY220" s="26"/>
      <c r="AZ220" s="26"/>
      <c r="BA220" s="26"/>
      <c r="BB220" s="26"/>
      <c r="BC220" s="26"/>
      <c r="BD220" s="26"/>
      <c r="BE220" s="26"/>
      <c r="BF220" s="26"/>
      <c r="BG220" s="26"/>
      <c r="BH220" s="26"/>
      <c r="BI220" s="26"/>
      <c r="BJ220" s="26"/>
      <c r="BK220" s="26"/>
    </row>
    <row r="221" ht="14.25" customHeight="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  <c r="AM221" s="26"/>
      <c r="AN221" s="26"/>
      <c r="AO221" s="26"/>
      <c r="AP221" s="26"/>
      <c r="AQ221" s="26"/>
      <c r="AR221" s="26"/>
      <c r="AS221" s="26"/>
      <c r="AT221" s="26"/>
      <c r="AU221" s="26"/>
      <c r="AV221" s="26"/>
      <c r="AW221" s="26"/>
      <c r="AX221" s="26"/>
      <c r="AY221" s="26"/>
      <c r="AZ221" s="26"/>
      <c r="BA221" s="26"/>
      <c r="BB221" s="26"/>
      <c r="BC221" s="26"/>
      <c r="BD221" s="26"/>
      <c r="BE221" s="26"/>
      <c r="BF221" s="26"/>
      <c r="BG221" s="26"/>
      <c r="BH221" s="26"/>
      <c r="BI221" s="26"/>
      <c r="BJ221" s="26"/>
      <c r="BK221" s="26"/>
    </row>
    <row r="222" ht="14.25" customHeight="1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  <c r="AM222" s="26"/>
      <c r="AN222" s="26"/>
      <c r="AO222" s="26"/>
      <c r="AP222" s="26"/>
      <c r="AQ222" s="26"/>
      <c r="AR222" s="26"/>
      <c r="AS222" s="26"/>
      <c r="AT222" s="26"/>
      <c r="AU222" s="26"/>
      <c r="AV222" s="26"/>
      <c r="AW222" s="26"/>
      <c r="AX222" s="26"/>
      <c r="AY222" s="26"/>
      <c r="AZ222" s="26"/>
      <c r="BA222" s="26"/>
      <c r="BB222" s="26"/>
      <c r="BC222" s="26"/>
      <c r="BD222" s="26"/>
      <c r="BE222" s="26"/>
      <c r="BF222" s="26"/>
      <c r="BG222" s="26"/>
      <c r="BH222" s="26"/>
      <c r="BI222" s="26"/>
      <c r="BJ222" s="26"/>
      <c r="BK222" s="26"/>
    </row>
    <row r="223" ht="14.25" customHeight="1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  <c r="AM223" s="26"/>
      <c r="AN223" s="26"/>
      <c r="AO223" s="26"/>
      <c r="AP223" s="26"/>
      <c r="AQ223" s="26"/>
      <c r="AR223" s="26"/>
      <c r="AS223" s="26"/>
      <c r="AT223" s="26"/>
      <c r="AU223" s="26"/>
      <c r="AV223" s="26"/>
      <c r="AW223" s="26"/>
      <c r="AX223" s="26"/>
      <c r="AY223" s="26"/>
      <c r="AZ223" s="26"/>
      <c r="BA223" s="26"/>
      <c r="BB223" s="26"/>
      <c r="BC223" s="26"/>
      <c r="BD223" s="26"/>
      <c r="BE223" s="26"/>
      <c r="BF223" s="26"/>
      <c r="BG223" s="26"/>
      <c r="BH223" s="26"/>
      <c r="BI223" s="26"/>
      <c r="BJ223" s="26"/>
      <c r="BK223" s="26"/>
    </row>
    <row r="224" ht="14.25" customHeight="1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  <c r="AM224" s="26"/>
      <c r="AN224" s="26"/>
      <c r="AO224" s="26"/>
      <c r="AP224" s="26"/>
      <c r="AQ224" s="26"/>
      <c r="AR224" s="26"/>
      <c r="AS224" s="26"/>
      <c r="AT224" s="26"/>
      <c r="AU224" s="26"/>
      <c r="AV224" s="26"/>
      <c r="AW224" s="26"/>
      <c r="AX224" s="26"/>
      <c r="AY224" s="26"/>
      <c r="AZ224" s="26"/>
      <c r="BA224" s="26"/>
      <c r="BB224" s="26"/>
      <c r="BC224" s="26"/>
      <c r="BD224" s="26"/>
      <c r="BE224" s="26"/>
      <c r="BF224" s="26"/>
      <c r="BG224" s="26"/>
      <c r="BH224" s="26"/>
      <c r="BI224" s="26"/>
      <c r="BJ224" s="26"/>
      <c r="BK224" s="26"/>
    </row>
    <row r="225" ht="14.25" customHeight="1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  <c r="AM225" s="26"/>
      <c r="AN225" s="26"/>
      <c r="AO225" s="26"/>
      <c r="AP225" s="26"/>
      <c r="AQ225" s="26"/>
      <c r="AR225" s="26"/>
      <c r="AS225" s="26"/>
      <c r="AT225" s="26"/>
      <c r="AU225" s="26"/>
      <c r="AV225" s="26"/>
      <c r="AW225" s="26"/>
      <c r="AX225" s="26"/>
      <c r="AY225" s="26"/>
      <c r="AZ225" s="26"/>
      <c r="BA225" s="26"/>
      <c r="BB225" s="26"/>
      <c r="BC225" s="26"/>
      <c r="BD225" s="26"/>
      <c r="BE225" s="26"/>
      <c r="BF225" s="26"/>
      <c r="BG225" s="26"/>
      <c r="BH225" s="26"/>
      <c r="BI225" s="26"/>
      <c r="BJ225" s="26"/>
      <c r="BK225" s="26"/>
    </row>
    <row r="226" ht="14.25" customHeight="1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  <c r="AM226" s="26"/>
      <c r="AN226" s="26"/>
      <c r="AO226" s="26"/>
      <c r="AP226" s="26"/>
      <c r="AQ226" s="26"/>
      <c r="AR226" s="26"/>
      <c r="AS226" s="26"/>
      <c r="AT226" s="26"/>
      <c r="AU226" s="26"/>
      <c r="AV226" s="26"/>
      <c r="AW226" s="26"/>
      <c r="AX226" s="26"/>
      <c r="AY226" s="26"/>
      <c r="AZ226" s="26"/>
      <c r="BA226" s="26"/>
      <c r="BB226" s="26"/>
      <c r="BC226" s="26"/>
      <c r="BD226" s="26"/>
      <c r="BE226" s="26"/>
      <c r="BF226" s="26"/>
      <c r="BG226" s="26"/>
      <c r="BH226" s="26"/>
      <c r="BI226" s="26"/>
      <c r="BJ226" s="26"/>
      <c r="BK226" s="26"/>
    </row>
    <row r="227" ht="14.25" customHeight="1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  <c r="AM227" s="26"/>
      <c r="AN227" s="26"/>
      <c r="AO227" s="26"/>
      <c r="AP227" s="26"/>
      <c r="AQ227" s="26"/>
      <c r="AR227" s="26"/>
      <c r="AS227" s="26"/>
      <c r="AT227" s="26"/>
      <c r="AU227" s="26"/>
      <c r="AV227" s="26"/>
      <c r="AW227" s="26"/>
      <c r="AX227" s="26"/>
      <c r="AY227" s="26"/>
      <c r="AZ227" s="26"/>
      <c r="BA227" s="26"/>
      <c r="BB227" s="26"/>
      <c r="BC227" s="26"/>
      <c r="BD227" s="26"/>
      <c r="BE227" s="26"/>
      <c r="BF227" s="26"/>
      <c r="BG227" s="26"/>
      <c r="BH227" s="26"/>
      <c r="BI227" s="26"/>
      <c r="BJ227" s="26"/>
      <c r="BK227" s="26"/>
    </row>
    <row r="228" ht="14.25" customHeight="1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  <c r="AM228" s="26"/>
      <c r="AN228" s="26"/>
      <c r="AO228" s="26"/>
      <c r="AP228" s="26"/>
      <c r="AQ228" s="26"/>
      <c r="AR228" s="26"/>
      <c r="AS228" s="26"/>
      <c r="AT228" s="26"/>
      <c r="AU228" s="26"/>
      <c r="AV228" s="26"/>
      <c r="AW228" s="26"/>
      <c r="AX228" s="26"/>
      <c r="AY228" s="26"/>
      <c r="AZ228" s="26"/>
      <c r="BA228" s="26"/>
      <c r="BB228" s="26"/>
      <c r="BC228" s="26"/>
      <c r="BD228" s="26"/>
      <c r="BE228" s="26"/>
      <c r="BF228" s="26"/>
      <c r="BG228" s="26"/>
      <c r="BH228" s="26"/>
      <c r="BI228" s="26"/>
      <c r="BJ228" s="26"/>
      <c r="BK228" s="26"/>
    </row>
    <row r="229" ht="14.25" customHeight="1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  <c r="AM229" s="26"/>
      <c r="AN229" s="26"/>
      <c r="AO229" s="26"/>
      <c r="AP229" s="26"/>
      <c r="AQ229" s="26"/>
      <c r="AR229" s="26"/>
      <c r="AS229" s="26"/>
      <c r="AT229" s="26"/>
      <c r="AU229" s="26"/>
      <c r="AV229" s="26"/>
      <c r="AW229" s="26"/>
      <c r="AX229" s="26"/>
      <c r="AY229" s="26"/>
      <c r="AZ229" s="26"/>
      <c r="BA229" s="26"/>
      <c r="BB229" s="26"/>
      <c r="BC229" s="26"/>
      <c r="BD229" s="26"/>
      <c r="BE229" s="26"/>
      <c r="BF229" s="26"/>
      <c r="BG229" s="26"/>
      <c r="BH229" s="26"/>
      <c r="BI229" s="26"/>
      <c r="BJ229" s="26"/>
      <c r="BK229" s="26"/>
    </row>
    <row r="230" ht="14.25" customHeight="1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  <c r="AM230" s="26"/>
      <c r="AN230" s="26"/>
      <c r="AO230" s="26"/>
      <c r="AP230" s="26"/>
      <c r="AQ230" s="26"/>
      <c r="AR230" s="26"/>
      <c r="AS230" s="26"/>
      <c r="AT230" s="26"/>
      <c r="AU230" s="26"/>
      <c r="AV230" s="26"/>
      <c r="AW230" s="26"/>
      <c r="AX230" s="26"/>
      <c r="AY230" s="26"/>
      <c r="AZ230" s="26"/>
      <c r="BA230" s="26"/>
      <c r="BB230" s="26"/>
      <c r="BC230" s="26"/>
      <c r="BD230" s="26"/>
      <c r="BE230" s="26"/>
      <c r="BF230" s="26"/>
      <c r="BG230" s="26"/>
      <c r="BH230" s="26"/>
      <c r="BI230" s="26"/>
      <c r="BJ230" s="26"/>
      <c r="BK230" s="26"/>
    </row>
    <row r="231" ht="14.25" customHeight="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  <c r="AM231" s="26"/>
      <c r="AN231" s="26"/>
      <c r="AO231" s="26"/>
      <c r="AP231" s="26"/>
      <c r="AQ231" s="26"/>
      <c r="AR231" s="26"/>
      <c r="AS231" s="26"/>
      <c r="AT231" s="26"/>
      <c r="AU231" s="26"/>
      <c r="AV231" s="26"/>
      <c r="AW231" s="26"/>
      <c r="AX231" s="26"/>
      <c r="AY231" s="26"/>
      <c r="AZ231" s="26"/>
      <c r="BA231" s="26"/>
      <c r="BB231" s="26"/>
      <c r="BC231" s="26"/>
      <c r="BD231" s="26"/>
      <c r="BE231" s="26"/>
      <c r="BF231" s="26"/>
      <c r="BG231" s="26"/>
      <c r="BH231" s="26"/>
      <c r="BI231" s="26"/>
      <c r="BJ231" s="26"/>
      <c r="BK231" s="26"/>
    </row>
    <row r="232" ht="14.25" customHeight="1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  <c r="AM232" s="26"/>
      <c r="AN232" s="26"/>
      <c r="AO232" s="26"/>
      <c r="AP232" s="26"/>
      <c r="AQ232" s="26"/>
      <c r="AR232" s="26"/>
      <c r="AS232" s="26"/>
      <c r="AT232" s="26"/>
      <c r="AU232" s="26"/>
      <c r="AV232" s="26"/>
      <c r="AW232" s="26"/>
      <c r="AX232" s="26"/>
      <c r="AY232" s="26"/>
      <c r="AZ232" s="26"/>
      <c r="BA232" s="26"/>
      <c r="BB232" s="26"/>
      <c r="BC232" s="26"/>
      <c r="BD232" s="26"/>
      <c r="BE232" s="26"/>
      <c r="BF232" s="26"/>
      <c r="BG232" s="26"/>
      <c r="BH232" s="26"/>
      <c r="BI232" s="26"/>
      <c r="BJ232" s="26"/>
      <c r="BK232" s="26"/>
    </row>
    <row r="233" ht="14.25" customHeight="1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  <c r="AM233" s="26"/>
      <c r="AN233" s="26"/>
      <c r="AO233" s="26"/>
      <c r="AP233" s="26"/>
      <c r="AQ233" s="26"/>
      <c r="AR233" s="26"/>
      <c r="AS233" s="26"/>
      <c r="AT233" s="26"/>
      <c r="AU233" s="26"/>
      <c r="AV233" s="26"/>
      <c r="AW233" s="26"/>
      <c r="AX233" s="26"/>
      <c r="AY233" s="26"/>
      <c r="AZ233" s="26"/>
      <c r="BA233" s="26"/>
      <c r="BB233" s="26"/>
      <c r="BC233" s="26"/>
      <c r="BD233" s="26"/>
      <c r="BE233" s="26"/>
      <c r="BF233" s="26"/>
      <c r="BG233" s="26"/>
      <c r="BH233" s="26"/>
      <c r="BI233" s="26"/>
      <c r="BJ233" s="26"/>
      <c r="BK233" s="26"/>
    </row>
    <row r="234" ht="14.25" customHeight="1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  <c r="AM234" s="26"/>
      <c r="AN234" s="26"/>
      <c r="AO234" s="26"/>
      <c r="AP234" s="26"/>
      <c r="AQ234" s="26"/>
      <c r="AR234" s="26"/>
      <c r="AS234" s="26"/>
      <c r="AT234" s="26"/>
      <c r="AU234" s="26"/>
      <c r="AV234" s="26"/>
      <c r="AW234" s="26"/>
      <c r="AX234" s="26"/>
      <c r="AY234" s="26"/>
      <c r="AZ234" s="26"/>
      <c r="BA234" s="26"/>
      <c r="BB234" s="26"/>
      <c r="BC234" s="26"/>
      <c r="BD234" s="26"/>
      <c r="BE234" s="26"/>
      <c r="BF234" s="26"/>
      <c r="BG234" s="26"/>
      <c r="BH234" s="26"/>
      <c r="BI234" s="26"/>
      <c r="BJ234" s="26"/>
      <c r="BK234" s="26"/>
    </row>
    <row r="235" ht="14.25" customHeight="1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  <c r="AM235" s="26"/>
      <c r="AN235" s="26"/>
      <c r="AO235" s="26"/>
      <c r="AP235" s="26"/>
      <c r="AQ235" s="26"/>
      <c r="AR235" s="26"/>
      <c r="AS235" s="26"/>
      <c r="AT235" s="26"/>
      <c r="AU235" s="26"/>
      <c r="AV235" s="26"/>
      <c r="AW235" s="26"/>
      <c r="AX235" s="26"/>
      <c r="AY235" s="26"/>
      <c r="AZ235" s="26"/>
      <c r="BA235" s="26"/>
      <c r="BB235" s="26"/>
      <c r="BC235" s="26"/>
      <c r="BD235" s="26"/>
      <c r="BE235" s="26"/>
      <c r="BF235" s="26"/>
      <c r="BG235" s="26"/>
      <c r="BH235" s="26"/>
      <c r="BI235" s="26"/>
      <c r="BJ235" s="26"/>
      <c r="BK235" s="26"/>
    </row>
    <row r="236" ht="14.25" customHeight="1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  <c r="AM236" s="26"/>
      <c r="AN236" s="26"/>
      <c r="AO236" s="26"/>
      <c r="AP236" s="26"/>
      <c r="AQ236" s="26"/>
      <c r="AR236" s="26"/>
      <c r="AS236" s="26"/>
      <c r="AT236" s="26"/>
      <c r="AU236" s="26"/>
      <c r="AV236" s="26"/>
      <c r="AW236" s="26"/>
      <c r="AX236" s="26"/>
      <c r="AY236" s="26"/>
      <c r="AZ236" s="26"/>
      <c r="BA236" s="26"/>
      <c r="BB236" s="26"/>
      <c r="BC236" s="26"/>
      <c r="BD236" s="26"/>
      <c r="BE236" s="26"/>
      <c r="BF236" s="26"/>
      <c r="BG236" s="26"/>
      <c r="BH236" s="26"/>
      <c r="BI236" s="26"/>
      <c r="BJ236" s="26"/>
      <c r="BK236" s="26"/>
    </row>
    <row r="237" ht="14.25" customHeight="1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  <c r="AM237" s="26"/>
      <c r="AN237" s="26"/>
      <c r="AO237" s="26"/>
      <c r="AP237" s="26"/>
      <c r="AQ237" s="26"/>
      <c r="AR237" s="26"/>
      <c r="AS237" s="26"/>
      <c r="AT237" s="26"/>
      <c r="AU237" s="26"/>
      <c r="AV237" s="26"/>
      <c r="AW237" s="26"/>
      <c r="AX237" s="26"/>
      <c r="AY237" s="26"/>
      <c r="AZ237" s="26"/>
      <c r="BA237" s="26"/>
      <c r="BB237" s="26"/>
      <c r="BC237" s="26"/>
      <c r="BD237" s="26"/>
      <c r="BE237" s="26"/>
      <c r="BF237" s="26"/>
      <c r="BG237" s="26"/>
      <c r="BH237" s="26"/>
      <c r="BI237" s="26"/>
      <c r="BJ237" s="26"/>
      <c r="BK237" s="26"/>
    </row>
    <row r="238" ht="14.25" customHeight="1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  <c r="AM238" s="26"/>
      <c r="AN238" s="26"/>
      <c r="AO238" s="26"/>
      <c r="AP238" s="26"/>
      <c r="AQ238" s="26"/>
      <c r="AR238" s="26"/>
      <c r="AS238" s="26"/>
      <c r="AT238" s="26"/>
      <c r="AU238" s="26"/>
      <c r="AV238" s="26"/>
      <c r="AW238" s="26"/>
      <c r="AX238" s="26"/>
      <c r="AY238" s="26"/>
      <c r="AZ238" s="26"/>
      <c r="BA238" s="26"/>
      <c r="BB238" s="26"/>
      <c r="BC238" s="26"/>
      <c r="BD238" s="26"/>
      <c r="BE238" s="26"/>
      <c r="BF238" s="26"/>
      <c r="BG238" s="26"/>
      <c r="BH238" s="26"/>
      <c r="BI238" s="26"/>
      <c r="BJ238" s="26"/>
      <c r="BK238" s="26"/>
    </row>
    <row r="239" ht="14.25" customHeight="1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  <c r="AM239" s="26"/>
      <c r="AN239" s="26"/>
      <c r="AO239" s="26"/>
      <c r="AP239" s="26"/>
      <c r="AQ239" s="26"/>
      <c r="AR239" s="26"/>
      <c r="AS239" s="26"/>
      <c r="AT239" s="26"/>
      <c r="AU239" s="26"/>
      <c r="AV239" s="26"/>
      <c r="AW239" s="26"/>
      <c r="AX239" s="26"/>
      <c r="AY239" s="26"/>
      <c r="AZ239" s="26"/>
      <c r="BA239" s="26"/>
      <c r="BB239" s="26"/>
      <c r="BC239" s="26"/>
      <c r="BD239" s="26"/>
      <c r="BE239" s="26"/>
      <c r="BF239" s="26"/>
      <c r="BG239" s="26"/>
      <c r="BH239" s="26"/>
      <c r="BI239" s="26"/>
      <c r="BJ239" s="26"/>
      <c r="BK239" s="26"/>
    </row>
    <row r="240" ht="14.25" customHeight="1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  <c r="AM240" s="26"/>
      <c r="AN240" s="26"/>
      <c r="AO240" s="26"/>
      <c r="AP240" s="26"/>
      <c r="AQ240" s="26"/>
      <c r="AR240" s="26"/>
      <c r="AS240" s="26"/>
      <c r="AT240" s="26"/>
      <c r="AU240" s="26"/>
      <c r="AV240" s="26"/>
      <c r="AW240" s="26"/>
      <c r="AX240" s="26"/>
      <c r="AY240" s="26"/>
      <c r="AZ240" s="26"/>
      <c r="BA240" s="26"/>
      <c r="BB240" s="26"/>
      <c r="BC240" s="26"/>
      <c r="BD240" s="26"/>
      <c r="BE240" s="26"/>
      <c r="BF240" s="26"/>
      <c r="BG240" s="26"/>
      <c r="BH240" s="26"/>
      <c r="BI240" s="26"/>
      <c r="BJ240" s="26"/>
      <c r="BK240" s="26"/>
    </row>
    <row r="241" ht="14.25" customHeight="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  <c r="AM241" s="26"/>
      <c r="AN241" s="26"/>
      <c r="AO241" s="26"/>
      <c r="AP241" s="26"/>
      <c r="AQ241" s="26"/>
      <c r="AR241" s="26"/>
      <c r="AS241" s="26"/>
      <c r="AT241" s="26"/>
      <c r="AU241" s="26"/>
      <c r="AV241" s="26"/>
      <c r="AW241" s="26"/>
      <c r="AX241" s="26"/>
      <c r="AY241" s="26"/>
      <c r="AZ241" s="26"/>
      <c r="BA241" s="26"/>
      <c r="BB241" s="26"/>
      <c r="BC241" s="26"/>
      <c r="BD241" s="26"/>
      <c r="BE241" s="26"/>
      <c r="BF241" s="26"/>
      <c r="BG241" s="26"/>
      <c r="BH241" s="26"/>
      <c r="BI241" s="26"/>
      <c r="BJ241" s="26"/>
      <c r="BK241" s="26"/>
    </row>
    <row r="242" ht="14.25" customHeight="1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  <c r="AM242" s="26"/>
      <c r="AN242" s="26"/>
      <c r="AO242" s="26"/>
      <c r="AP242" s="26"/>
      <c r="AQ242" s="26"/>
      <c r="AR242" s="26"/>
      <c r="AS242" s="26"/>
      <c r="AT242" s="26"/>
      <c r="AU242" s="26"/>
      <c r="AV242" s="26"/>
      <c r="AW242" s="26"/>
      <c r="AX242" s="26"/>
      <c r="AY242" s="26"/>
      <c r="AZ242" s="26"/>
      <c r="BA242" s="26"/>
      <c r="BB242" s="26"/>
      <c r="BC242" s="26"/>
      <c r="BD242" s="26"/>
      <c r="BE242" s="26"/>
      <c r="BF242" s="26"/>
      <c r="BG242" s="26"/>
      <c r="BH242" s="26"/>
      <c r="BI242" s="26"/>
      <c r="BJ242" s="26"/>
      <c r="BK242" s="26"/>
    </row>
    <row r="243" ht="14.25" customHeight="1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  <c r="AM243" s="26"/>
      <c r="AN243" s="26"/>
      <c r="AO243" s="26"/>
      <c r="AP243" s="26"/>
      <c r="AQ243" s="26"/>
      <c r="AR243" s="26"/>
      <c r="AS243" s="26"/>
      <c r="AT243" s="26"/>
      <c r="AU243" s="26"/>
      <c r="AV243" s="26"/>
      <c r="AW243" s="26"/>
      <c r="AX243" s="26"/>
      <c r="AY243" s="26"/>
      <c r="AZ243" s="26"/>
      <c r="BA243" s="26"/>
      <c r="BB243" s="26"/>
      <c r="BC243" s="26"/>
      <c r="BD243" s="26"/>
      <c r="BE243" s="26"/>
      <c r="BF243" s="26"/>
      <c r="BG243" s="26"/>
      <c r="BH243" s="26"/>
      <c r="BI243" s="26"/>
      <c r="BJ243" s="26"/>
      <c r="BK243" s="26"/>
    </row>
    <row r="244" ht="14.25" customHeight="1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  <c r="AM244" s="26"/>
      <c r="AN244" s="26"/>
      <c r="AO244" s="26"/>
      <c r="AP244" s="26"/>
      <c r="AQ244" s="26"/>
      <c r="AR244" s="26"/>
      <c r="AS244" s="26"/>
      <c r="AT244" s="26"/>
      <c r="AU244" s="26"/>
      <c r="AV244" s="26"/>
      <c r="AW244" s="26"/>
      <c r="AX244" s="26"/>
      <c r="AY244" s="26"/>
      <c r="AZ244" s="26"/>
      <c r="BA244" s="26"/>
      <c r="BB244" s="26"/>
      <c r="BC244" s="26"/>
      <c r="BD244" s="26"/>
      <c r="BE244" s="26"/>
      <c r="BF244" s="26"/>
      <c r="BG244" s="26"/>
      <c r="BH244" s="26"/>
      <c r="BI244" s="26"/>
      <c r="BJ244" s="26"/>
      <c r="BK244" s="26"/>
    </row>
    <row r="245" ht="14.25" customHeight="1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  <c r="AM245" s="26"/>
      <c r="AN245" s="26"/>
      <c r="AO245" s="26"/>
      <c r="AP245" s="26"/>
      <c r="AQ245" s="26"/>
      <c r="AR245" s="26"/>
      <c r="AS245" s="26"/>
      <c r="AT245" s="26"/>
      <c r="AU245" s="26"/>
      <c r="AV245" s="26"/>
      <c r="AW245" s="26"/>
      <c r="AX245" s="26"/>
      <c r="AY245" s="26"/>
      <c r="AZ245" s="26"/>
      <c r="BA245" s="26"/>
      <c r="BB245" s="26"/>
      <c r="BC245" s="26"/>
      <c r="BD245" s="26"/>
      <c r="BE245" s="26"/>
      <c r="BF245" s="26"/>
      <c r="BG245" s="26"/>
      <c r="BH245" s="26"/>
      <c r="BI245" s="26"/>
      <c r="BJ245" s="26"/>
      <c r="BK245" s="26"/>
    </row>
    <row r="246" ht="14.25" customHeight="1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  <c r="AM246" s="26"/>
      <c r="AN246" s="26"/>
      <c r="AO246" s="26"/>
      <c r="AP246" s="26"/>
      <c r="AQ246" s="26"/>
      <c r="AR246" s="26"/>
      <c r="AS246" s="26"/>
      <c r="AT246" s="26"/>
      <c r="AU246" s="26"/>
      <c r="AV246" s="26"/>
      <c r="AW246" s="26"/>
      <c r="AX246" s="26"/>
      <c r="AY246" s="26"/>
      <c r="AZ246" s="26"/>
      <c r="BA246" s="26"/>
      <c r="BB246" s="26"/>
      <c r="BC246" s="26"/>
      <c r="BD246" s="26"/>
      <c r="BE246" s="26"/>
      <c r="BF246" s="26"/>
      <c r="BG246" s="26"/>
      <c r="BH246" s="26"/>
      <c r="BI246" s="26"/>
      <c r="BJ246" s="26"/>
      <c r="BK246" s="26"/>
    </row>
    <row r="247" ht="14.25" customHeight="1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  <c r="AM247" s="26"/>
      <c r="AN247" s="26"/>
      <c r="AO247" s="26"/>
      <c r="AP247" s="26"/>
      <c r="AQ247" s="26"/>
      <c r="AR247" s="26"/>
      <c r="AS247" s="26"/>
      <c r="AT247" s="26"/>
      <c r="AU247" s="26"/>
      <c r="AV247" s="26"/>
      <c r="AW247" s="26"/>
      <c r="AX247" s="26"/>
      <c r="AY247" s="26"/>
      <c r="AZ247" s="26"/>
      <c r="BA247" s="26"/>
      <c r="BB247" s="26"/>
      <c r="BC247" s="26"/>
      <c r="BD247" s="26"/>
      <c r="BE247" s="26"/>
      <c r="BF247" s="26"/>
      <c r="BG247" s="26"/>
      <c r="BH247" s="26"/>
      <c r="BI247" s="26"/>
      <c r="BJ247" s="26"/>
      <c r="BK247" s="26"/>
    </row>
    <row r="248" ht="14.25" customHeight="1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  <c r="AM248" s="26"/>
      <c r="AN248" s="26"/>
      <c r="AO248" s="26"/>
      <c r="AP248" s="26"/>
      <c r="AQ248" s="26"/>
      <c r="AR248" s="26"/>
      <c r="AS248" s="26"/>
      <c r="AT248" s="26"/>
      <c r="AU248" s="26"/>
      <c r="AV248" s="26"/>
      <c r="AW248" s="26"/>
      <c r="AX248" s="26"/>
      <c r="AY248" s="26"/>
      <c r="AZ248" s="26"/>
      <c r="BA248" s="26"/>
      <c r="BB248" s="26"/>
      <c r="BC248" s="26"/>
      <c r="BD248" s="26"/>
      <c r="BE248" s="26"/>
      <c r="BF248" s="26"/>
      <c r="BG248" s="26"/>
      <c r="BH248" s="26"/>
      <c r="BI248" s="26"/>
      <c r="BJ248" s="26"/>
      <c r="BK248" s="26"/>
    </row>
    <row r="249" ht="14.25" customHeight="1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  <c r="AM249" s="26"/>
      <c r="AN249" s="26"/>
      <c r="AO249" s="26"/>
      <c r="AP249" s="26"/>
      <c r="AQ249" s="26"/>
      <c r="AR249" s="26"/>
      <c r="AS249" s="26"/>
      <c r="AT249" s="26"/>
      <c r="AU249" s="26"/>
      <c r="AV249" s="26"/>
      <c r="AW249" s="26"/>
      <c r="AX249" s="26"/>
      <c r="AY249" s="26"/>
      <c r="AZ249" s="26"/>
      <c r="BA249" s="26"/>
      <c r="BB249" s="26"/>
      <c r="BC249" s="26"/>
      <c r="BD249" s="26"/>
      <c r="BE249" s="26"/>
      <c r="BF249" s="26"/>
      <c r="BG249" s="26"/>
      <c r="BH249" s="26"/>
      <c r="BI249" s="26"/>
      <c r="BJ249" s="26"/>
      <c r="BK249" s="26"/>
    </row>
    <row r="250" ht="14.25" customHeight="1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  <c r="AM250" s="26"/>
      <c r="AN250" s="26"/>
      <c r="AO250" s="26"/>
      <c r="AP250" s="26"/>
      <c r="AQ250" s="26"/>
      <c r="AR250" s="26"/>
      <c r="AS250" s="26"/>
      <c r="AT250" s="26"/>
      <c r="AU250" s="26"/>
      <c r="AV250" s="26"/>
      <c r="AW250" s="26"/>
      <c r="AX250" s="26"/>
      <c r="AY250" s="26"/>
      <c r="AZ250" s="26"/>
      <c r="BA250" s="26"/>
      <c r="BB250" s="26"/>
      <c r="BC250" s="26"/>
      <c r="BD250" s="26"/>
      <c r="BE250" s="26"/>
      <c r="BF250" s="26"/>
      <c r="BG250" s="26"/>
      <c r="BH250" s="26"/>
      <c r="BI250" s="26"/>
      <c r="BJ250" s="26"/>
      <c r="BK250" s="26"/>
    </row>
    <row r="251" ht="14.25" customHeight="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  <c r="AM251" s="26"/>
      <c r="AN251" s="26"/>
      <c r="AO251" s="26"/>
      <c r="AP251" s="26"/>
      <c r="AQ251" s="26"/>
      <c r="AR251" s="26"/>
      <c r="AS251" s="26"/>
      <c r="AT251" s="26"/>
      <c r="AU251" s="26"/>
      <c r="AV251" s="26"/>
      <c r="AW251" s="26"/>
      <c r="AX251" s="26"/>
      <c r="AY251" s="26"/>
      <c r="AZ251" s="26"/>
      <c r="BA251" s="26"/>
      <c r="BB251" s="26"/>
      <c r="BC251" s="26"/>
      <c r="BD251" s="26"/>
      <c r="BE251" s="26"/>
      <c r="BF251" s="26"/>
      <c r="BG251" s="26"/>
      <c r="BH251" s="26"/>
      <c r="BI251" s="26"/>
      <c r="BJ251" s="26"/>
      <c r="BK251" s="26"/>
    </row>
    <row r="252" ht="14.25" customHeight="1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  <c r="AH252" s="26"/>
      <c r="AI252" s="26"/>
      <c r="AJ252" s="26"/>
      <c r="AK252" s="26"/>
      <c r="AL252" s="26"/>
      <c r="AM252" s="26"/>
      <c r="AN252" s="26"/>
      <c r="AO252" s="26"/>
      <c r="AP252" s="26"/>
      <c r="AQ252" s="26"/>
      <c r="AR252" s="26"/>
      <c r="AS252" s="26"/>
      <c r="AT252" s="26"/>
      <c r="AU252" s="26"/>
      <c r="AV252" s="26"/>
      <c r="AW252" s="26"/>
      <c r="AX252" s="26"/>
      <c r="AY252" s="26"/>
      <c r="AZ252" s="26"/>
      <c r="BA252" s="26"/>
      <c r="BB252" s="26"/>
      <c r="BC252" s="26"/>
      <c r="BD252" s="26"/>
      <c r="BE252" s="26"/>
      <c r="BF252" s="26"/>
      <c r="BG252" s="26"/>
      <c r="BH252" s="26"/>
      <c r="BI252" s="26"/>
      <c r="BJ252" s="26"/>
      <c r="BK252" s="26"/>
    </row>
    <row r="253" ht="14.25" customHeight="1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26"/>
      <c r="AH253" s="26"/>
      <c r="AI253" s="26"/>
      <c r="AJ253" s="26"/>
      <c r="AK253" s="26"/>
      <c r="AL253" s="26"/>
      <c r="AM253" s="26"/>
      <c r="AN253" s="26"/>
      <c r="AO253" s="26"/>
      <c r="AP253" s="26"/>
      <c r="AQ253" s="26"/>
      <c r="AR253" s="26"/>
      <c r="AS253" s="26"/>
      <c r="AT253" s="26"/>
      <c r="AU253" s="26"/>
      <c r="AV253" s="26"/>
      <c r="AW253" s="26"/>
      <c r="AX253" s="26"/>
      <c r="AY253" s="26"/>
      <c r="AZ253" s="26"/>
      <c r="BA253" s="26"/>
      <c r="BB253" s="26"/>
      <c r="BC253" s="26"/>
      <c r="BD253" s="26"/>
      <c r="BE253" s="26"/>
      <c r="BF253" s="26"/>
      <c r="BG253" s="26"/>
      <c r="BH253" s="26"/>
      <c r="BI253" s="26"/>
      <c r="BJ253" s="26"/>
      <c r="BK253" s="26"/>
    </row>
    <row r="254" ht="14.25" customHeight="1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  <c r="AG254" s="26"/>
      <c r="AH254" s="26"/>
      <c r="AI254" s="26"/>
      <c r="AJ254" s="26"/>
      <c r="AK254" s="26"/>
      <c r="AL254" s="26"/>
      <c r="AM254" s="26"/>
      <c r="AN254" s="26"/>
      <c r="AO254" s="26"/>
      <c r="AP254" s="26"/>
      <c r="AQ254" s="26"/>
      <c r="AR254" s="26"/>
      <c r="AS254" s="26"/>
      <c r="AT254" s="26"/>
      <c r="AU254" s="26"/>
      <c r="AV254" s="26"/>
      <c r="AW254" s="26"/>
      <c r="AX254" s="26"/>
      <c r="AY254" s="26"/>
      <c r="AZ254" s="26"/>
      <c r="BA254" s="26"/>
      <c r="BB254" s="26"/>
      <c r="BC254" s="26"/>
      <c r="BD254" s="26"/>
      <c r="BE254" s="26"/>
      <c r="BF254" s="26"/>
      <c r="BG254" s="26"/>
      <c r="BH254" s="26"/>
      <c r="BI254" s="26"/>
      <c r="BJ254" s="26"/>
      <c r="BK254" s="26"/>
    </row>
    <row r="255" ht="14.25" customHeight="1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AG255" s="26"/>
      <c r="AH255" s="26"/>
      <c r="AI255" s="26"/>
      <c r="AJ255" s="26"/>
      <c r="AK255" s="26"/>
      <c r="AL255" s="26"/>
      <c r="AM255" s="26"/>
      <c r="AN255" s="26"/>
      <c r="AO255" s="26"/>
      <c r="AP255" s="26"/>
      <c r="AQ255" s="26"/>
      <c r="AR255" s="26"/>
      <c r="AS255" s="26"/>
      <c r="AT255" s="26"/>
      <c r="AU255" s="26"/>
      <c r="AV255" s="26"/>
      <c r="AW255" s="26"/>
      <c r="AX255" s="26"/>
      <c r="AY255" s="26"/>
      <c r="AZ255" s="26"/>
      <c r="BA255" s="26"/>
      <c r="BB255" s="26"/>
      <c r="BC255" s="26"/>
      <c r="BD255" s="26"/>
      <c r="BE255" s="26"/>
      <c r="BF255" s="26"/>
      <c r="BG255" s="26"/>
      <c r="BH255" s="26"/>
      <c r="BI255" s="26"/>
      <c r="BJ255" s="26"/>
      <c r="BK255" s="26"/>
    </row>
    <row r="256" ht="14.25" customHeight="1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26"/>
      <c r="AH256" s="26"/>
      <c r="AI256" s="26"/>
      <c r="AJ256" s="26"/>
      <c r="AK256" s="26"/>
      <c r="AL256" s="26"/>
      <c r="AM256" s="26"/>
      <c r="AN256" s="26"/>
      <c r="AO256" s="26"/>
      <c r="AP256" s="26"/>
      <c r="AQ256" s="26"/>
      <c r="AR256" s="26"/>
      <c r="AS256" s="26"/>
      <c r="AT256" s="26"/>
      <c r="AU256" s="26"/>
      <c r="AV256" s="26"/>
      <c r="AW256" s="26"/>
      <c r="AX256" s="26"/>
      <c r="AY256" s="26"/>
      <c r="AZ256" s="26"/>
      <c r="BA256" s="26"/>
      <c r="BB256" s="26"/>
      <c r="BC256" s="26"/>
      <c r="BD256" s="26"/>
      <c r="BE256" s="26"/>
      <c r="BF256" s="26"/>
      <c r="BG256" s="26"/>
      <c r="BH256" s="26"/>
      <c r="BI256" s="26"/>
      <c r="BJ256" s="26"/>
      <c r="BK256" s="26"/>
    </row>
    <row r="257" ht="14.25" customHeight="1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26"/>
      <c r="AH257" s="26"/>
      <c r="AI257" s="26"/>
      <c r="AJ257" s="26"/>
      <c r="AK257" s="26"/>
      <c r="AL257" s="26"/>
      <c r="AM257" s="26"/>
      <c r="AN257" s="26"/>
      <c r="AO257" s="26"/>
      <c r="AP257" s="26"/>
      <c r="AQ257" s="26"/>
      <c r="AR257" s="26"/>
      <c r="AS257" s="26"/>
      <c r="AT257" s="26"/>
      <c r="AU257" s="26"/>
      <c r="AV257" s="26"/>
      <c r="AW257" s="26"/>
      <c r="AX257" s="26"/>
      <c r="AY257" s="26"/>
      <c r="AZ257" s="26"/>
      <c r="BA257" s="26"/>
      <c r="BB257" s="26"/>
      <c r="BC257" s="26"/>
      <c r="BD257" s="26"/>
      <c r="BE257" s="26"/>
      <c r="BF257" s="26"/>
      <c r="BG257" s="26"/>
      <c r="BH257" s="26"/>
      <c r="BI257" s="26"/>
      <c r="BJ257" s="26"/>
      <c r="BK257" s="26"/>
    </row>
    <row r="258" ht="14.25" customHeight="1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26"/>
      <c r="AH258" s="26"/>
      <c r="AI258" s="26"/>
      <c r="AJ258" s="26"/>
      <c r="AK258" s="26"/>
      <c r="AL258" s="26"/>
      <c r="AM258" s="26"/>
      <c r="AN258" s="26"/>
      <c r="AO258" s="26"/>
      <c r="AP258" s="26"/>
      <c r="AQ258" s="26"/>
      <c r="AR258" s="26"/>
      <c r="AS258" s="26"/>
      <c r="AT258" s="26"/>
      <c r="AU258" s="26"/>
      <c r="AV258" s="26"/>
      <c r="AW258" s="26"/>
      <c r="AX258" s="26"/>
      <c r="AY258" s="26"/>
      <c r="AZ258" s="26"/>
      <c r="BA258" s="26"/>
      <c r="BB258" s="26"/>
      <c r="BC258" s="26"/>
      <c r="BD258" s="26"/>
      <c r="BE258" s="26"/>
      <c r="BF258" s="26"/>
      <c r="BG258" s="26"/>
      <c r="BH258" s="26"/>
      <c r="BI258" s="26"/>
      <c r="BJ258" s="26"/>
      <c r="BK258" s="26"/>
    </row>
    <row r="259" ht="14.25" customHeight="1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  <c r="AF259" s="26"/>
      <c r="AG259" s="26"/>
      <c r="AH259" s="26"/>
      <c r="AI259" s="26"/>
      <c r="AJ259" s="26"/>
      <c r="AK259" s="26"/>
      <c r="AL259" s="26"/>
      <c r="AM259" s="26"/>
      <c r="AN259" s="26"/>
      <c r="AO259" s="26"/>
      <c r="AP259" s="26"/>
      <c r="AQ259" s="26"/>
      <c r="AR259" s="26"/>
      <c r="AS259" s="26"/>
      <c r="AT259" s="26"/>
      <c r="AU259" s="26"/>
      <c r="AV259" s="26"/>
      <c r="AW259" s="26"/>
      <c r="AX259" s="26"/>
      <c r="AY259" s="26"/>
      <c r="AZ259" s="26"/>
      <c r="BA259" s="26"/>
      <c r="BB259" s="26"/>
      <c r="BC259" s="26"/>
      <c r="BD259" s="26"/>
      <c r="BE259" s="26"/>
      <c r="BF259" s="26"/>
      <c r="BG259" s="26"/>
      <c r="BH259" s="26"/>
      <c r="BI259" s="26"/>
      <c r="BJ259" s="26"/>
      <c r="BK259" s="26"/>
    </row>
    <row r="260" ht="14.25" customHeight="1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26"/>
      <c r="AH260" s="26"/>
      <c r="AI260" s="26"/>
      <c r="AJ260" s="26"/>
      <c r="AK260" s="26"/>
      <c r="AL260" s="26"/>
      <c r="AM260" s="26"/>
      <c r="AN260" s="26"/>
      <c r="AO260" s="26"/>
      <c r="AP260" s="26"/>
      <c r="AQ260" s="26"/>
      <c r="AR260" s="26"/>
      <c r="AS260" s="26"/>
      <c r="AT260" s="26"/>
      <c r="AU260" s="26"/>
      <c r="AV260" s="26"/>
      <c r="AW260" s="26"/>
      <c r="AX260" s="26"/>
      <c r="AY260" s="26"/>
      <c r="AZ260" s="26"/>
      <c r="BA260" s="26"/>
      <c r="BB260" s="26"/>
      <c r="BC260" s="26"/>
      <c r="BD260" s="26"/>
      <c r="BE260" s="26"/>
      <c r="BF260" s="26"/>
      <c r="BG260" s="26"/>
      <c r="BH260" s="26"/>
      <c r="BI260" s="26"/>
      <c r="BJ260" s="26"/>
      <c r="BK260" s="26"/>
    </row>
    <row r="261" ht="14.25" customHeight="1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26"/>
      <c r="AH261" s="26"/>
      <c r="AI261" s="26"/>
      <c r="AJ261" s="26"/>
      <c r="AK261" s="26"/>
      <c r="AL261" s="26"/>
      <c r="AM261" s="26"/>
      <c r="AN261" s="26"/>
      <c r="AO261" s="26"/>
      <c r="AP261" s="26"/>
      <c r="AQ261" s="26"/>
      <c r="AR261" s="26"/>
      <c r="AS261" s="26"/>
      <c r="AT261" s="26"/>
      <c r="AU261" s="26"/>
      <c r="AV261" s="26"/>
      <c r="AW261" s="26"/>
      <c r="AX261" s="26"/>
      <c r="AY261" s="26"/>
      <c r="AZ261" s="26"/>
      <c r="BA261" s="26"/>
      <c r="BB261" s="26"/>
      <c r="BC261" s="26"/>
      <c r="BD261" s="26"/>
      <c r="BE261" s="26"/>
      <c r="BF261" s="26"/>
      <c r="BG261" s="26"/>
      <c r="BH261" s="26"/>
      <c r="BI261" s="26"/>
      <c r="BJ261" s="26"/>
      <c r="BK261" s="26"/>
    </row>
    <row r="262" ht="14.25" customHeight="1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26"/>
      <c r="AH262" s="26"/>
      <c r="AI262" s="26"/>
      <c r="AJ262" s="26"/>
      <c r="AK262" s="26"/>
      <c r="AL262" s="26"/>
      <c r="AM262" s="26"/>
      <c r="AN262" s="26"/>
      <c r="AO262" s="26"/>
      <c r="AP262" s="26"/>
      <c r="AQ262" s="26"/>
      <c r="AR262" s="26"/>
      <c r="AS262" s="26"/>
      <c r="AT262" s="26"/>
      <c r="AU262" s="26"/>
      <c r="AV262" s="26"/>
      <c r="AW262" s="26"/>
      <c r="AX262" s="26"/>
      <c r="AY262" s="26"/>
      <c r="AZ262" s="26"/>
      <c r="BA262" s="26"/>
      <c r="BB262" s="26"/>
      <c r="BC262" s="26"/>
      <c r="BD262" s="26"/>
      <c r="BE262" s="26"/>
      <c r="BF262" s="26"/>
      <c r="BG262" s="26"/>
      <c r="BH262" s="26"/>
      <c r="BI262" s="26"/>
      <c r="BJ262" s="26"/>
      <c r="BK262" s="26"/>
    </row>
    <row r="263" ht="14.25" customHeight="1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26"/>
      <c r="AH263" s="26"/>
      <c r="AI263" s="26"/>
      <c r="AJ263" s="26"/>
      <c r="AK263" s="26"/>
      <c r="AL263" s="26"/>
      <c r="AM263" s="26"/>
      <c r="AN263" s="26"/>
      <c r="AO263" s="26"/>
      <c r="AP263" s="26"/>
      <c r="AQ263" s="26"/>
      <c r="AR263" s="26"/>
      <c r="AS263" s="26"/>
      <c r="AT263" s="26"/>
      <c r="AU263" s="26"/>
      <c r="AV263" s="26"/>
      <c r="AW263" s="26"/>
      <c r="AX263" s="26"/>
      <c r="AY263" s="26"/>
      <c r="AZ263" s="26"/>
      <c r="BA263" s="26"/>
      <c r="BB263" s="26"/>
      <c r="BC263" s="26"/>
      <c r="BD263" s="26"/>
      <c r="BE263" s="26"/>
      <c r="BF263" s="26"/>
      <c r="BG263" s="26"/>
      <c r="BH263" s="26"/>
      <c r="BI263" s="26"/>
      <c r="BJ263" s="26"/>
      <c r="BK263" s="26"/>
    </row>
    <row r="264" ht="14.25" customHeight="1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26"/>
      <c r="AH264" s="26"/>
      <c r="AI264" s="26"/>
      <c r="AJ264" s="26"/>
      <c r="AK264" s="26"/>
      <c r="AL264" s="26"/>
      <c r="AM264" s="26"/>
      <c r="AN264" s="26"/>
      <c r="AO264" s="26"/>
      <c r="AP264" s="26"/>
      <c r="AQ264" s="26"/>
      <c r="AR264" s="26"/>
      <c r="AS264" s="26"/>
      <c r="AT264" s="26"/>
      <c r="AU264" s="26"/>
      <c r="AV264" s="26"/>
      <c r="AW264" s="26"/>
      <c r="AX264" s="26"/>
      <c r="AY264" s="26"/>
      <c r="AZ264" s="26"/>
      <c r="BA264" s="26"/>
      <c r="BB264" s="26"/>
      <c r="BC264" s="26"/>
      <c r="BD264" s="26"/>
      <c r="BE264" s="26"/>
      <c r="BF264" s="26"/>
      <c r="BG264" s="26"/>
      <c r="BH264" s="26"/>
      <c r="BI264" s="26"/>
      <c r="BJ264" s="26"/>
      <c r="BK264" s="26"/>
    </row>
    <row r="265" ht="14.25" customHeight="1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26"/>
      <c r="AH265" s="26"/>
      <c r="AI265" s="26"/>
      <c r="AJ265" s="26"/>
      <c r="AK265" s="26"/>
      <c r="AL265" s="26"/>
      <c r="AM265" s="26"/>
      <c r="AN265" s="26"/>
      <c r="AO265" s="26"/>
      <c r="AP265" s="26"/>
      <c r="AQ265" s="26"/>
      <c r="AR265" s="26"/>
      <c r="AS265" s="26"/>
      <c r="AT265" s="26"/>
      <c r="AU265" s="26"/>
      <c r="AV265" s="26"/>
      <c r="AW265" s="26"/>
      <c r="AX265" s="26"/>
      <c r="AY265" s="26"/>
      <c r="AZ265" s="26"/>
      <c r="BA265" s="26"/>
      <c r="BB265" s="26"/>
      <c r="BC265" s="26"/>
      <c r="BD265" s="26"/>
      <c r="BE265" s="26"/>
      <c r="BF265" s="26"/>
      <c r="BG265" s="26"/>
      <c r="BH265" s="26"/>
      <c r="BI265" s="26"/>
      <c r="BJ265" s="26"/>
      <c r="BK265" s="26"/>
    </row>
    <row r="266" ht="14.25" customHeight="1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26"/>
      <c r="AH266" s="26"/>
      <c r="AI266" s="26"/>
      <c r="AJ266" s="26"/>
      <c r="AK266" s="26"/>
      <c r="AL266" s="26"/>
      <c r="AM266" s="26"/>
      <c r="AN266" s="26"/>
      <c r="AO266" s="26"/>
      <c r="AP266" s="26"/>
      <c r="AQ266" s="26"/>
      <c r="AR266" s="26"/>
      <c r="AS266" s="26"/>
      <c r="AT266" s="26"/>
      <c r="AU266" s="26"/>
      <c r="AV266" s="26"/>
      <c r="AW266" s="26"/>
      <c r="AX266" s="26"/>
      <c r="AY266" s="26"/>
      <c r="AZ266" s="26"/>
      <c r="BA266" s="26"/>
      <c r="BB266" s="26"/>
      <c r="BC266" s="26"/>
      <c r="BD266" s="26"/>
      <c r="BE266" s="26"/>
      <c r="BF266" s="26"/>
      <c r="BG266" s="26"/>
      <c r="BH266" s="26"/>
      <c r="BI266" s="26"/>
      <c r="BJ266" s="26"/>
      <c r="BK266" s="26"/>
    </row>
    <row r="267" ht="14.25" customHeight="1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  <c r="AG267" s="26"/>
      <c r="AH267" s="26"/>
      <c r="AI267" s="26"/>
      <c r="AJ267" s="26"/>
      <c r="AK267" s="26"/>
      <c r="AL267" s="26"/>
      <c r="AM267" s="26"/>
      <c r="AN267" s="26"/>
      <c r="AO267" s="26"/>
      <c r="AP267" s="26"/>
      <c r="AQ267" s="26"/>
      <c r="AR267" s="26"/>
      <c r="AS267" s="26"/>
      <c r="AT267" s="26"/>
      <c r="AU267" s="26"/>
      <c r="AV267" s="26"/>
      <c r="AW267" s="26"/>
      <c r="AX267" s="26"/>
      <c r="AY267" s="26"/>
      <c r="AZ267" s="26"/>
      <c r="BA267" s="26"/>
      <c r="BB267" s="26"/>
      <c r="BC267" s="26"/>
      <c r="BD267" s="26"/>
      <c r="BE267" s="26"/>
      <c r="BF267" s="26"/>
      <c r="BG267" s="26"/>
      <c r="BH267" s="26"/>
      <c r="BI267" s="26"/>
      <c r="BJ267" s="26"/>
      <c r="BK267" s="26"/>
    </row>
    <row r="268" ht="14.25" customHeight="1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26"/>
      <c r="AH268" s="26"/>
      <c r="AI268" s="26"/>
      <c r="AJ268" s="26"/>
      <c r="AK268" s="26"/>
      <c r="AL268" s="26"/>
      <c r="AM268" s="26"/>
      <c r="AN268" s="26"/>
      <c r="AO268" s="26"/>
      <c r="AP268" s="26"/>
      <c r="AQ268" s="26"/>
      <c r="AR268" s="26"/>
      <c r="AS268" s="26"/>
      <c r="AT268" s="26"/>
      <c r="AU268" s="26"/>
      <c r="AV268" s="26"/>
      <c r="AW268" s="26"/>
      <c r="AX268" s="26"/>
      <c r="AY268" s="26"/>
      <c r="AZ268" s="26"/>
      <c r="BA268" s="26"/>
      <c r="BB268" s="26"/>
      <c r="BC268" s="26"/>
      <c r="BD268" s="26"/>
      <c r="BE268" s="26"/>
      <c r="BF268" s="26"/>
      <c r="BG268" s="26"/>
      <c r="BH268" s="26"/>
      <c r="BI268" s="26"/>
      <c r="BJ268" s="26"/>
      <c r="BK268" s="26"/>
    </row>
    <row r="269" ht="14.25" customHeight="1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  <c r="AE269" s="26"/>
      <c r="AF269" s="26"/>
      <c r="AG269" s="26"/>
      <c r="AH269" s="26"/>
      <c r="AI269" s="26"/>
      <c r="AJ269" s="26"/>
      <c r="AK269" s="26"/>
      <c r="AL269" s="26"/>
      <c r="AM269" s="26"/>
      <c r="AN269" s="26"/>
      <c r="AO269" s="26"/>
      <c r="AP269" s="26"/>
      <c r="AQ269" s="26"/>
      <c r="AR269" s="26"/>
      <c r="AS269" s="26"/>
      <c r="AT269" s="26"/>
      <c r="AU269" s="26"/>
      <c r="AV269" s="26"/>
      <c r="AW269" s="26"/>
      <c r="AX269" s="26"/>
      <c r="AY269" s="26"/>
      <c r="AZ269" s="26"/>
      <c r="BA269" s="26"/>
      <c r="BB269" s="26"/>
      <c r="BC269" s="26"/>
      <c r="BD269" s="26"/>
      <c r="BE269" s="26"/>
      <c r="BF269" s="26"/>
      <c r="BG269" s="26"/>
      <c r="BH269" s="26"/>
      <c r="BI269" s="26"/>
      <c r="BJ269" s="26"/>
      <c r="BK269" s="26"/>
    </row>
    <row r="270" ht="14.25" customHeight="1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26"/>
      <c r="AH270" s="26"/>
      <c r="AI270" s="26"/>
      <c r="AJ270" s="26"/>
      <c r="AK270" s="26"/>
      <c r="AL270" s="26"/>
      <c r="AM270" s="26"/>
      <c r="AN270" s="26"/>
      <c r="AO270" s="26"/>
      <c r="AP270" s="26"/>
      <c r="AQ270" s="26"/>
      <c r="AR270" s="26"/>
      <c r="AS270" s="26"/>
      <c r="AT270" s="26"/>
      <c r="AU270" s="26"/>
      <c r="AV270" s="26"/>
      <c r="AW270" s="26"/>
      <c r="AX270" s="26"/>
      <c r="AY270" s="26"/>
      <c r="AZ270" s="26"/>
      <c r="BA270" s="26"/>
      <c r="BB270" s="26"/>
      <c r="BC270" s="26"/>
      <c r="BD270" s="26"/>
      <c r="BE270" s="26"/>
      <c r="BF270" s="26"/>
      <c r="BG270" s="26"/>
      <c r="BH270" s="26"/>
      <c r="BI270" s="26"/>
      <c r="BJ270" s="26"/>
      <c r="BK270" s="26"/>
    </row>
    <row r="271" ht="14.25" customHeight="1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  <c r="AG271" s="26"/>
      <c r="AH271" s="26"/>
      <c r="AI271" s="26"/>
      <c r="AJ271" s="26"/>
      <c r="AK271" s="26"/>
      <c r="AL271" s="26"/>
      <c r="AM271" s="26"/>
      <c r="AN271" s="26"/>
      <c r="AO271" s="26"/>
      <c r="AP271" s="26"/>
      <c r="AQ271" s="26"/>
      <c r="AR271" s="26"/>
      <c r="AS271" s="26"/>
      <c r="AT271" s="26"/>
      <c r="AU271" s="26"/>
      <c r="AV271" s="26"/>
      <c r="AW271" s="26"/>
      <c r="AX271" s="26"/>
      <c r="AY271" s="26"/>
      <c r="AZ271" s="26"/>
      <c r="BA271" s="26"/>
      <c r="BB271" s="26"/>
      <c r="BC271" s="26"/>
      <c r="BD271" s="26"/>
      <c r="BE271" s="26"/>
      <c r="BF271" s="26"/>
      <c r="BG271" s="26"/>
      <c r="BH271" s="26"/>
      <c r="BI271" s="26"/>
      <c r="BJ271" s="26"/>
      <c r="BK271" s="26"/>
    </row>
    <row r="272" ht="14.25" customHeight="1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26"/>
      <c r="AH272" s="26"/>
      <c r="AI272" s="26"/>
      <c r="AJ272" s="26"/>
      <c r="AK272" s="26"/>
      <c r="AL272" s="26"/>
      <c r="AM272" s="26"/>
      <c r="AN272" s="26"/>
      <c r="AO272" s="26"/>
      <c r="AP272" s="26"/>
      <c r="AQ272" s="26"/>
      <c r="AR272" s="26"/>
      <c r="AS272" s="26"/>
      <c r="AT272" s="26"/>
      <c r="AU272" s="26"/>
      <c r="AV272" s="26"/>
      <c r="AW272" s="26"/>
      <c r="AX272" s="26"/>
      <c r="AY272" s="26"/>
      <c r="AZ272" s="26"/>
      <c r="BA272" s="26"/>
      <c r="BB272" s="26"/>
      <c r="BC272" s="26"/>
      <c r="BD272" s="26"/>
      <c r="BE272" s="26"/>
      <c r="BF272" s="26"/>
      <c r="BG272" s="26"/>
      <c r="BH272" s="26"/>
      <c r="BI272" s="26"/>
      <c r="BJ272" s="26"/>
      <c r="BK272" s="26"/>
    </row>
    <row r="273" ht="14.25" customHeight="1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  <c r="AG273" s="26"/>
      <c r="AH273" s="26"/>
      <c r="AI273" s="26"/>
      <c r="AJ273" s="26"/>
      <c r="AK273" s="26"/>
      <c r="AL273" s="26"/>
      <c r="AM273" s="26"/>
      <c r="AN273" s="26"/>
      <c r="AO273" s="26"/>
      <c r="AP273" s="26"/>
      <c r="AQ273" s="26"/>
      <c r="AR273" s="26"/>
      <c r="AS273" s="26"/>
      <c r="AT273" s="26"/>
      <c r="AU273" s="26"/>
      <c r="AV273" s="26"/>
      <c r="AW273" s="26"/>
      <c r="AX273" s="26"/>
      <c r="AY273" s="26"/>
      <c r="AZ273" s="26"/>
      <c r="BA273" s="26"/>
      <c r="BB273" s="26"/>
      <c r="BC273" s="26"/>
      <c r="BD273" s="26"/>
      <c r="BE273" s="26"/>
      <c r="BF273" s="26"/>
      <c r="BG273" s="26"/>
      <c r="BH273" s="26"/>
      <c r="BI273" s="26"/>
      <c r="BJ273" s="26"/>
      <c r="BK273" s="26"/>
    </row>
    <row r="274" ht="14.25" customHeight="1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26"/>
      <c r="AH274" s="26"/>
      <c r="AI274" s="26"/>
      <c r="AJ274" s="26"/>
      <c r="AK274" s="26"/>
      <c r="AL274" s="26"/>
      <c r="AM274" s="26"/>
      <c r="AN274" s="26"/>
      <c r="AO274" s="26"/>
      <c r="AP274" s="26"/>
      <c r="AQ274" s="26"/>
      <c r="AR274" s="26"/>
      <c r="AS274" s="26"/>
      <c r="AT274" s="26"/>
      <c r="AU274" s="26"/>
      <c r="AV274" s="26"/>
      <c r="AW274" s="26"/>
      <c r="AX274" s="26"/>
      <c r="AY274" s="26"/>
      <c r="AZ274" s="26"/>
      <c r="BA274" s="26"/>
      <c r="BB274" s="26"/>
      <c r="BC274" s="26"/>
      <c r="BD274" s="26"/>
      <c r="BE274" s="26"/>
      <c r="BF274" s="26"/>
      <c r="BG274" s="26"/>
      <c r="BH274" s="26"/>
      <c r="BI274" s="26"/>
      <c r="BJ274" s="26"/>
      <c r="BK274" s="26"/>
    </row>
    <row r="275" ht="14.25" customHeight="1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  <c r="AG275" s="26"/>
      <c r="AH275" s="26"/>
      <c r="AI275" s="26"/>
      <c r="AJ275" s="26"/>
      <c r="AK275" s="26"/>
      <c r="AL275" s="26"/>
      <c r="AM275" s="26"/>
      <c r="AN275" s="26"/>
      <c r="AO275" s="26"/>
      <c r="AP275" s="26"/>
      <c r="AQ275" s="26"/>
      <c r="AR275" s="26"/>
      <c r="AS275" s="26"/>
      <c r="AT275" s="26"/>
      <c r="AU275" s="26"/>
      <c r="AV275" s="26"/>
      <c r="AW275" s="26"/>
      <c r="AX275" s="26"/>
      <c r="AY275" s="26"/>
      <c r="AZ275" s="26"/>
      <c r="BA275" s="26"/>
      <c r="BB275" s="26"/>
      <c r="BC275" s="26"/>
      <c r="BD275" s="26"/>
      <c r="BE275" s="26"/>
      <c r="BF275" s="26"/>
      <c r="BG275" s="26"/>
      <c r="BH275" s="26"/>
      <c r="BI275" s="26"/>
      <c r="BJ275" s="26"/>
      <c r="BK275" s="26"/>
    </row>
    <row r="276" ht="14.25" customHeight="1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26"/>
      <c r="AH276" s="26"/>
      <c r="AI276" s="26"/>
      <c r="AJ276" s="26"/>
      <c r="AK276" s="26"/>
      <c r="AL276" s="26"/>
      <c r="AM276" s="26"/>
      <c r="AN276" s="26"/>
      <c r="AO276" s="26"/>
      <c r="AP276" s="26"/>
      <c r="AQ276" s="26"/>
      <c r="AR276" s="26"/>
      <c r="AS276" s="26"/>
      <c r="AT276" s="26"/>
      <c r="AU276" s="26"/>
      <c r="AV276" s="26"/>
      <c r="AW276" s="26"/>
      <c r="AX276" s="26"/>
      <c r="AY276" s="26"/>
      <c r="AZ276" s="26"/>
      <c r="BA276" s="26"/>
      <c r="BB276" s="26"/>
      <c r="BC276" s="26"/>
      <c r="BD276" s="26"/>
      <c r="BE276" s="26"/>
      <c r="BF276" s="26"/>
      <c r="BG276" s="26"/>
      <c r="BH276" s="26"/>
      <c r="BI276" s="26"/>
      <c r="BJ276" s="26"/>
      <c r="BK276" s="26"/>
    </row>
    <row r="277" ht="14.25" customHeight="1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  <c r="AF277" s="26"/>
      <c r="AG277" s="26"/>
      <c r="AH277" s="26"/>
      <c r="AI277" s="26"/>
      <c r="AJ277" s="26"/>
      <c r="AK277" s="26"/>
      <c r="AL277" s="26"/>
      <c r="AM277" s="26"/>
      <c r="AN277" s="26"/>
      <c r="AO277" s="26"/>
      <c r="AP277" s="26"/>
      <c r="AQ277" s="26"/>
      <c r="AR277" s="26"/>
      <c r="AS277" s="26"/>
      <c r="AT277" s="26"/>
      <c r="AU277" s="26"/>
      <c r="AV277" s="26"/>
      <c r="AW277" s="26"/>
      <c r="AX277" s="26"/>
      <c r="AY277" s="26"/>
      <c r="AZ277" s="26"/>
      <c r="BA277" s="26"/>
      <c r="BB277" s="26"/>
      <c r="BC277" s="26"/>
      <c r="BD277" s="26"/>
      <c r="BE277" s="26"/>
      <c r="BF277" s="26"/>
      <c r="BG277" s="26"/>
      <c r="BH277" s="26"/>
      <c r="BI277" s="26"/>
      <c r="BJ277" s="26"/>
      <c r="BK277" s="26"/>
    </row>
    <row r="278" ht="14.25" customHeight="1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  <c r="AF278" s="26"/>
      <c r="AG278" s="26"/>
      <c r="AH278" s="26"/>
      <c r="AI278" s="26"/>
      <c r="AJ278" s="26"/>
      <c r="AK278" s="26"/>
      <c r="AL278" s="26"/>
      <c r="AM278" s="26"/>
      <c r="AN278" s="26"/>
      <c r="AO278" s="26"/>
      <c r="AP278" s="26"/>
      <c r="AQ278" s="26"/>
      <c r="AR278" s="26"/>
      <c r="AS278" s="26"/>
      <c r="AT278" s="26"/>
      <c r="AU278" s="26"/>
      <c r="AV278" s="26"/>
      <c r="AW278" s="26"/>
      <c r="AX278" s="26"/>
      <c r="AY278" s="26"/>
      <c r="AZ278" s="26"/>
      <c r="BA278" s="26"/>
      <c r="BB278" s="26"/>
      <c r="BC278" s="26"/>
      <c r="BD278" s="26"/>
      <c r="BE278" s="26"/>
      <c r="BF278" s="26"/>
      <c r="BG278" s="26"/>
      <c r="BH278" s="26"/>
      <c r="BI278" s="26"/>
      <c r="BJ278" s="26"/>
      <c r="BK278" s="26"/>
    </row>
    <row r="279" ht="14.25" customHeight="1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  <c r="AE279" s="26"/>
      <c r="AF279" s="26"/>
      <c r="AG279" s="26"/>
      <c r="AH279" s="26"/>
      <c r="AI279" s="26"/>
      <c r="AJ279" s="26"/>
      <c r="AK279" s="26"/>
      <c r="AL279" s="26"/>
      <c r="AM279" s="26"/>
      <c r="AN279" s="26"/>
      <c r="AO279" s="26"/>
      <c r="AP279" s="26"/>
      <c r="AQ279" s="26"/>
      <c r="AR279" s="26"/>
      <c r="AS279" s="26"/>
      <c r="AT279" s="26"/>
      <c r="AU279" s="26"/>
      <c r="AV279" s="26"/>
      <c r="AW279" s="26"/>
      <c r="AX279" s="26"/>
      <c r="AY279" s="26"/>
      <c r="AZ279" s="26"/>
      <c r="BA279" s="26"/>
      <c r="BB279" s="26"/>
      <c r="BC279" s="26"/>
      <c r="BD279" s="26"/>
      <c r="BE279" s="26"/>
      <c r="BF279" s="26"/>
      <c r="BG279" s="26"/>
      <c r="BH279" s="26"/>
      <c r="BI279" s="26"/>
      <c r="BJ279" s="26"/>
      <c r="BK279" s="26"/>
    </row>
    <row r="280" ht="14.25" customHeight="1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  <c r="AG280" s="26"/>
      <c r="AH280" s="26"/>
      <c r="AI280" s="26"/>
      <c r="AJ280" s="26"/>
      <c r="AK280" s="26"/>
      <c r="AL280" s="26"/>
      <c r="AM280" s="26"/>
      <c r="AN280" s="26"/>
      <c r="AO280" s="26"/>
      <c r="AP280" s="26"/>
      <c r="AQ280" s="26"/>
      <c r="AR280" s="26"/>
      <c r="AS280" s="26"/>
      <c r="AT280" s="26"/>
      <c r="AU280" s="26"/>
      <c r="AV280" s="26"/>
      <c r="AW280" s="26"/>
      <c r="AX280" s="26"/>
      <c r="AY280" s="26"/>
      <c r="AZ280" s="26"/>
      <c r="BA280" s="26"/>
      <c r="BB280" s="26"/>
      <c r="BC280" s="26"/>
      <c r="BD280" s="26"/>
      <c r="BE280" s="26"/>
      <c r="BF280" s="26"/>
      <c r="BG280" s="26"/>
      <c r="BH280" s="26"/>
      <c r="BI280" s="26"/>
      <c r="BJ280" s="26"/>
      <c r="BK280" s="26"/>
    </row>
    <row r="281" ht="14.25" customHeight="1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  <c r="AF281" s="26"/>
      <c r="AG281" s="26"/>
      <c r="AH281" s="26"/>
      <c r="AI281" s="26"/>
      <c r="AJ281" s="26"/>
      <c r="AK281" s="26"/>
      <c r="AL281" s="26"/>
      <c r="AM281" s="26"/>
      <c r="AN281" s="26"/>
      <c r="AO281" s="26"/>
      <c r="AP281" s="26"/>
      <c r="AQ281" s="26"/>
      <c r="AR281" s="26"/>
      <c r="AS281" s="26"/>
      <c r="AT281" s="26"/>
      <c r="AU281" s="26"/>
      <c r="AV281" s="26"/>
      <c r="AW281" s="26"/>
      <c r="AX281" s="26"/>
      <c r="AY281" s="26"/>
      <c r="AZ281" s="26"/>
      <c r="BA281" s="26"/>
      <c r="BB281" s="26"/>
      <c r="BC281" s="26"/>
      <c r="BD281" s="26"/>
      <c r="BE281" s="26"/>
      <c r="BF281" s="26"/>
      <c r="BG281" s="26"/>
      <c r="BH281" s="26"/>
      <c r="BI281" s="26"/>
      <c r="BJ281" s="26"/>
      <c r="BK281" s="26"/>
    </row>
    <row r="282" ht="14.25" customHeight="1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  <c r="AG282" s="26"/>
      <c r="AH282" s="26"/>
      <c r="AI282" s="26"/>
      <c r="AJ282" s="26"/>
      <c r="AK282" s="26"/>
      <c r="AL282" s="26"/>
      <c r="AM282" s="26"/>
      <c r="AN282" s="26"/>
      <c r="AO282" s="26"/>
      <c r="AP282" s="26"/>
      <c r="AQ282" s="26"/>
      <c r="AR282" s="26"/>
      <c r="AS282" s="26"/>
      <c r="AT282" s="26"/>
      <c r="AU282" s="26"/>
      <c r="AV282" s="26"/>
      <c r="AW282" s="26"/>
      <c r="AX282" s="26"/>
      <c r="AY282" s="26"/>
      <c r="AZ282" s="26"/>
      <c r="BA282" s="26"/>
      <c r="BB282" s="26"/>
      <c r="BC282" s="26"/>
      <c r="BD282" s="26"/>
      <c r="BE282" s="26"/>
      <c r="BF282" s="26"/>
      <c r="BG282" s="26"/>
      <c r="BH282" s="26"/>
      <c r="BI282" s="26"/>
      <c r="BJ282" s="26"/>
      <c r="BK282" s="26"/>
    </row>
    <row r="283" ht="14.25" customHeight="1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  <c r="AF283" s="26"/>
      <c r="AG283" s="26"/>
      <c r="AH283" s="26"/>
      <c r="AI283" s="26"/>
      <c r="AJ283" s="26"/>
      <c r="AK283" s="26"/>
      <c r="AL283" s="26"/>
      <c r="AM283" s="26"/>
      <c r="AN283" s="26"/>
      <c r="AO283" s="26"/>
      <c r="AP283" s="26"/>
      <c r="AQ283" s="26"/>
      <c r="AR283" s="26"/>
      <c r="AS283" s="26"/>
      <c r="AT283" s="26"/>
      <c r="AU283" s="26"/>
      <c r="AV283" s="26"/>
      <c r="AW283" s="26"/>
      <c r="AX283" s="26"/>
      <c r="AY283" s="26"/>
      <c r="AZ283" s="26"/>
      <c r="BA283" s="26"/>
      <c r="BB283" s="26"/>
      <c r="BC283" s="26"/>
      <c r="BD283" s="26"/>
      <c r="BE283" s="26"/>
      <c r="BF283" s="26"/>
      <c r="BG283" s="26"/>
      <c r="BH283" s="26"/>
      <c r="BI283" s="26"/>
      <c r="BJ283" s="26"/>
      <c r="BK283" s="26"/>
    </row>
    <row r="284" ht="14.25" customHeight="1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  <c r="AE284" s="26"/>
      <c r="AF284" s="26"/>
      <c r="AG284" s="26"/>
      <c r="AH284" s="26"/>
      <c r="AI284" s="26"/>
      <c r="AJ284" s="26"/>
      <c r="AK284" s="26"/>
      <c r="AL284" s="26"/>
      <c r="AM284" s="26"/>
      <c r="AN284" s="26"/>
      <c r="AO284" s="26"/>
      <c r="AP284" s="26"/>
      <c r="AQ284" s="26"/>
      <c r="AR284" s="26"/>
      <c r="AS284" s="26"/>
      <c r="AT284" s="26"/>
      <c r="AU284" s="26"/>
      <c r="AV284" s="26"/>
      <c r="AW284" s="26"/>
      <c r="AX284" s="26"/>
      <c r="AY284" s="26"/>
      <c r="AZ284" s="26"/>
      <c r="BA284" s="26"/>
      <c r="BB284" s="26"/>
      <c r="BC284" s="26"/>
      <c r="BD284" s="26"/>
      <c r="BE284" s="26"/>
      <c r="BF284" s="26"/>
      <c r="BG284" s="26"/>
      <c r="BH284" s="26"/>
      <c r="BI284" s="26"/>
      <c r="BJ284" s="26"/>
      <c r="BK284" s="26"/>
    </row>
    <row r="285" ht="14.25" customHeight="1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  <c r="AG285" s="26"/>
      <c r="AH285" s="26"/>
      <c r="AI285" s="26"/>
      <c r="AJ285" s="26"/>
      <c r="AK285" s="26"/>
      <c r="AL285" s="26"/>
      <c r="AM285" s="26"/>
      <c r="AN285" s="26"/>
      <c r="AO285" s="26"/>
      <c r="AP285" s="26"/>
      <c r="AQ285" s="26"/>
      <c r="AR285" s="26"/>
      <c r="AS285" s="26"/>
      <c r="AT285" s="26"/>
      <c r="AU285" s="26"/>
      <c r="AV285" s="26"/>
      <c r="AW285" s="26"/>
      <c r="AX285" s="26"/>
      <c r="AY285" s="26"/>
      <c r="AZ285" s="26"/>
      <c r="BA285" s="26"/>
      <c r="BB285" s="26"/>
      <c r="BC285" s="26"/>
      <c r="BD285" s="26"/>
      <c r="BE285" s="26"/>
      <c r="BF285" s="26"/>
      <c r="BG285" s="26"/>
      <c r="BH285" s="26"/>
      <c r="BI285" s="26"/>
      <c r="BJ285" s="26"/>
      <c r="BK285" s="26"/>
    </row>
    <row r="286" ht="14.25" customHeight="1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  <c r="AE286" s="26"/>
      <c r="AF286" s="26"/>
      <c r="AG286" s="26"/>
      <c r="AH286" s="26"/>
      <c r="AI286" s="26"/>
      <c r="AJ286" s="26"/>
      <c r="AK286" s="26"/>
      <c r="AL286" s="26"/>
      <c r="AM286" s="26"/>
      <c r="AN286" s="26"/>
      <c r="AO286" s="26"/>
      <c r="AP286" s="26"/>
      <c r="AQ286" s="26"/>
      <c r="AR286" s="26"/>
      <c r="AS286" s="26"/>
      <c r="AT286" s="26"/>
      <c r="AU286" s="26"/>
      <c r="AV286" s="26"/>
      <c r="AW286" s="26"/>
      <c r="AX286" s="26"/>
      <c r="AY286" s="26"/>
      <c r="AZ286" s="26"/>
      <c r="BA286" s="26"/>
      <c r="BB286" s="26"/>
      <c r="BC286" s="26"/>
      <c r="BD286" s="26"/>
      <c r="BE286" s="26"/>
      <c r="BF286" s="26"/>
      <c r="BG286" s="26"/>
      <c r="BH286" s="26"/>
      <c r="BI286" s="26"/>
      <c r="BJ286" s="26"/>
      <c r="BK286" s="26"/>
    </row>
    <row r="287" ht="14.25" customHeight="1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  <c r="AE287" s="26"/>
      <c r="AF287" s="26"/>
      <c r="AG287" s="26"/>
      <c r="AH287" s="26"/>
      <c r="AI287" s="26"/>
      <c r="AJ287" s="26"/>
      <c r="AK287" s="26"/>
      <c r="AL287" s="26"/>
      <c r="AM287" s="26"/>
      <c r="AN287" s="26"/>
      <c r="AO287" s="26"/>
      <c r="AP287" s="26"/>
      <c r="AQ287" s="26"/>
      <c r="AR287" s="26"/>
      <c r="AS287" s="26"/>
      <c r="AT287" s="26"/>
      <c r="AU287" s="26"/>
      <c r="AV287" s="26"/>
      <c r="AW287" s="26"/>
      <c r="AX287" s="26"/>
      <c r="AY287" s="26"/>
      <c r="AZ287" s="26"/>
      <c r="BA287" s="26"/>
      <c r="BB287" s="26"/>
      <c r="BC287" s="26"/>
      <c r="BD287" s="26"/>
      <c r="BE287" s="26"/>
      <c r="BF287" s="26"/>
      <c r="BG287" s="26"/>
      <c r="BH287" s="26"/>
      <c r="BI287" s="26"/>
      <c r="BJ287" s="26"/>
      <c r="BK287" s="26"/>
    </row>
    <row r="288" ht="14.25" customHeight="1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  <c r="AF288" s="26"/>
      <c r="AG288" s="26"/>
      <c r="AH288" s="26"/>
      <c r="AI288" s="26"/>
      <c r="AJ288" s="26"/>
      <c r="AK288" s="26"/>
      <c r="AL288" s="26"/>
      <c r="AM288" s="26"/>
      <c r="AN288" s="26"/>
      <c r="AO288" s="26"/>
      <c r="AP288" s="26"/>
      <c r="AQ288" s="26"/>
      <c r="AR288" s="26"/>
      <c r="AS288" s="26"/>
      <c r="AT288" s="26"/>
      <c r="AU288" s="26"/>
      <c r="AV288" s="26"/>
      <c r="AW288" s="26"/>
      <c r="AX288" s="26"/>
      <c r="AY288" s="26"/>
      <c r="AZ288" s="26"/>
      <c r="BA288" s="26"/>
      <c r="BB288" s="26"/>
      <c r="BC288" s="26"/>
      <c r="BD288" s="26"/>
      <c r="BE288" s="26"/>
      <c r="BF288" s="26"/>
      <c r="BG288" s="26"/>
      <c r="BH288" s="26"/>
      <c r="BI288" s="26"/>
      <c r="BJ288" s="26"/>
      <c r="BK288" s="26"/>
    </row>
    <row r="289" ht="14.25" customHeight="1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  <c r="AF289" s="26"/>
      <c r="AG289" s="26"/>
      <c r="AH289" s="26"/>
      <c r="AI289" s="26"/>
      <c r="AJ289" s="26"/>
      <c r="AK289" s="26"/>
      <c r="AL289" s="26"/>
      <c r="AM289" s="26"/>
      <c r="AN289" s="26"/>
      <c r="AO289" s="26"/>
      <c r="AP289" s="26"/>
      <c r="AQ289" s="26"/>
      <c r="AR289" s="26"/>
      <c r="AS289" s="26"/>
      <c r="AT289" s="26"/>
      <c r="AU289" s="26"/>
      <c r="AV289" s="26"/>
      <c r="AW289" s="26"/>
      <c r="AX289" s="26"/>
      <c r="AY289" s="26"/>
      <c r="AZ289" s="26"/>
      <c r="BA289" s="26"/>
      <c r="BB289" s="26"/>
      <c r="BC289" s="26"/>
      <c r="BD289" s="26"/>
      <c r="BE289" s="26"/>
      <c r="BF289" s="26"/>
      <c r="BG289" s="26"/>
      <c r="BH289" s="26"/>
      <c r="BI289" s="26"/>
      <c r="BJ289" s="26"/>
      <c r="BK289" s="26"/>
    </row>
    <row r="290" ht="14.25" customHeight="1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  <c r="AF290" s="26"/>
      <c r="AG290" s="26"/>
      <c r="AH290" s="26"/>
      <c r="AI290" s="26"/>
      <c r="AJ290" s="26"/>
      <c r="AK290" s="26"/>
      <c r="AL290" s="26"/>
      <c r="AM290" s="26"/>
      <c r="AN290" s="26"/>
      <c r="AO290" s="26"/>
      <c r="AP290" s="26"/>
      <c r="AQ290" s="26"/>
      <c r="AR290" s="26"/>
      <c r="AS290" s="26"/>
      <c r="AT290" s="26"/>
      <c r="AU290" s="26"/>
      <c r="AV290" s="26"/>
      <c r="AW290" s="26"/>
      <c r="AX290" s="26"/>
      <c r="AY290" s="26"/>
      <c r="AZ290" s="26"/>
      <c r="BA290" s="26"/>
      <c r="BB290" s="26"/>
      <c r="BC290" s="26"/>
      <c r="BD290" s="26"/>
      <c r="BE290" s="26"/>
      <c r="BF290" s="26"/>
      <c r="BG290" s="26"/>
      <c r="BH290" s="26"/>
      <c r="BI290" s="26"/>
      <c r="BJ290" s="26"/>
      <c r="BK290" s="26"/>
    </row>
    <row r="291" ht="14.25" customHeight="1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  <c r="AF291" s="26"/>
      <c r="AG291" s="26"/>
      <c r="AH291" s="26"/>
      <c r="AI291" s="26"/>
      <c r="AJ291" s="26"/>
      <c r="AK291" s="26"/>
      <c r="AL291" s="26"/>
      <c r="AM291" s="26"/>
      <c r="AN291" s="26"/>
      <c r="AO291" s="26"/>
      <c r="AP291" s="26"/>
      <c r="AQ291" s="26"/>
      <c r="AR291" s="26"/>
      <c r="AS291" s="26"/>
      <c r="AT291" s="26"/>
      <c r="AU291" s="26"/>
      <c r="AV291" s="26"/>
      <c r="AW291" s="26"/>
      <c r="AX291" s="26"/>
      <c r="AY291" s="26"/>
      <c r="AZ291" s="26"/>
      <c r="BA291" s="26"/>
      <c r="BB291" s="26"/>
      <c r="BC291" s="26"/>
      <c r="BD291" s="26"/>
      <c r="BE291" s="26"/>
      <c r="BF291" s="26"/>
      <c r="BG291" s="26"/>
      <c r="BH291" s="26"/>
      <c r="BI291" s="26"/>
      <c r="BJ291" s="26"/>
      <c r="BK291" s="26"/>
    </row>
    <row r="292" ht="14.25" customHeight="1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  <c r="AF292" s="26"/>
      <c r="AG292" s="26"/>
      <c r="AH292" s="26"/>
      <c r="AI292" s="26"/>
      <c r="AJ292" s="26"/>
      <c r="AK292" s="26"/>
      <c r="AL292" s="26"/>
      <c r="AM292" s="26"/>
      <c r="AN292" s="26"/>
      <c r="AO292" s="26"/>
      <c r="AP292" s="26"/>
      <c r="AQ292" s="26"/>
      <c r="AR292" s="26"/>
      <c r="AS292" s="26"/>
      <c r="AT292" s="26"/>
      <c r="AU292" s="26"/>
      <c r="AV292" s="26"/>
      <c r="AW292" s="26"/>
      <c r="AX292" s="26"/>
      <c r="AY292" s="26"/>
      <c r="AZ292" s="26"/>
      <c r="BA292" s="26"/>
      <c r="BB292" s="26"/>
      <c r="BC292" s="26"/>
      <c r="BD292" s="26"/>
      <c r="BE292" s="26"/>
      <c r="BF292" s="26"/>
      <c r="BG292" s="26"/>
      <c r="BH292" s="26"/>
      <c r="BI292" s="26"/>
      <c r="BJ292" s="26"/>
      <c r="BK292" s="26"/>
    </row>
    <row r="293" ht="14.25" customHeight="1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  <c r="AE293" s="26"/>
      <c r="AF293" s="26"/>
      <c r="AG293" s="26"/>
      <c r="AH293" s="26"/>
      <c r="AI293" s="26"/>
      <c r="AJ293" s="26"/>
      <c r="AK293" s="26"/>
      <c r="AL293" s="26"/>
      <c r="AM293" s="26"/>
      <c r="AN293" s="26"/>
      <c r="AO293" s="26"/>
      <c r="AP293" s="26"/>
      <c r="AQ293" s="26"/>
      <c r="AR293" s="26"/>
      <c r="AS293" s="26"/>
      <c r="AT293" s="26"/>
      <c r="AU293" s="26"/>
      <c r="AV293" s="26"/>
      <c r="AW293" s="26"/>
      <c r="AX293" s="26"/>
      <c r="AY293" s="26"/>
      <c r="AZ293" s="26"/>
      <c r="BA293" s="26"/>
      <c r="BB293" s="26"/>
      <c r="BC293" s="26"/>
      <c r="BD293" s="26"/>
      <c r="BE293" s="26"/>
      <c r="BF293" s="26"/>
      <c r="BG293" s="26"/>
      <c r="BH293" s="26"/>
      <c r="BI293" s="26"/>
      <c r="BJ293" s="26"/>
      <c r="BK293" s="26"/>
    </row>
    <row r="294" ht="14.25" customHeight="1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  <c r="AE294" s="26"/>
      <c r="AF294" s="26"/>
      <c r="AG294" s="26"/>
      <c r="AH294" s="26"/>
      <c r="AI294" s="26"/>
      <c r="AJ294" s="26"/>
      <c r="AK294" s="26"/>
      <c r="AL294" s="26"/>
      <c r="AM294" s="26"/>
      <c r="AN294" s="26"/>
      <c r="AO294" s="26"/>
      <c r="AP294" s="26"/>
      <c r="AQ294" s="26"/>
      <c r="AR294" s="26"/>
      <c r="AS294" s="26"/>
      <c r="AT294" s="26"/>
      <c r="AU294" s="26"/>
      <c r="AV294" s="26"/>
      <c r="AW294" s="26"/>
      <c r="AX294" s="26"/>
      <c r="AY294" s="26"/>
      <c r="AZ294" s="26"/>
      <c r="BA294" s="26"/>
      <c r="BB294" s="26"/>
      <c r="BC294" s="26"/>
      <c r="BD294" s="26"/>
      <c r="BE294" s="26"/>
      <c r="BF294" s="26"/>
      <c r="BG294" s="26"/>
      <c r="BH294" s="26"/>
      <c r="BI294" s="26"/>
      <c r="BJ294" s="26"/>
      <c r="BK294" s="26"/>
    </row>
    <row r="295" ht="14.25" customHeight="1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  <c r="AE295" s="26"/>
      <c r="AF295" s="26"/>
      <c r="AG295" s="26"/>
      <c r="AH295" s="26"/>
      <c r="AI295" s="26"/>
      <c r="AJ295" s="26"/>
      <c r="AK295" s="26"/>
      <c r="AL295" s="26"/>
      <c r="AM295" s="26"/>
      <c r="AN295" s="26"/>
      <c r="AO295" s="26"/>
      <c r="AP295" s="26"/>
      <c r="AQ295" s="26"/>
      <c r="AR295" s="26"/>
      <c r="AS295" s="26"/>
      <c r="AT295" s="26"/>
      <c r="AU295" s="26"/>
      <c r="AV295" s="26"/>
      <c r="AW295" s="26"/>
      <c r="AX295" s="26"/>
      <c r="AY295" s="26"/>
      <c r="AZ295" s="26"/>
      <c r="BA295" s="26"/>
      <c r="BB295" s="26"/>
      <c r="BC295" s="26"/>
      <c r="BD295" s="26"/>
      <c r="BE295" s="26"/>
      <c r="BF295" s="26"/>
      <c r="BG295" s="26"/>
      <c r="BH295" s="26"/>
      <c r="BI295" s="26"/>
      <c r="BJ295" s="26"/>
      <c r="BK295" s="26"/>
    </row>
    <row r="296" ht="14.25" customHeight="1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  <c r="AE296" s="26"/>
      <c r="AF296" s="26"/>
      <c r="AG296" s="26"/>
      <c r="AH296" s="26"/>
      <c r="AI296" s="26"/>
      <c r="AJ296" s="26"/>
      <c r="AK296" s="26"/>
      <c r="AL296" s="26"/>
      <c r="AM296" s="26"/>
      <c r="AN296" s="26"/>
      <c r="AO296" s="26"/>
      <c r="AP296" s="26"/>
      <c r="AQ296" s="26"/>
      <c r="AR296" s="26"/>
      <c r="AS296" s="26"/>
      <c r="AT296" s="26"/>
      <c r="AU296" s="26"/>
      <c r="AV296" s="26"/>
      <c r="AW296" s="26"/>
      <c r="AX296" s="26"/>
      <c r="AY296" s="26"/>
      <c r="AZ296" s="26"/>
      <c r="BA296" s="26"/>
      <c r="BB296" s="26"/>
      <c r="BC296" s="26"/>
      <c r="BD296" s="26"/>
      <c r="BE296" s="26"/>
      <c r="BF296" s="26"/>
      <c r="BG296" s="26"/>
      <c r="BH296" s="26"/>
      <c r="BI296" s="26"/>
      <c r="BJ296" s="26"/>
      <c r="BK296" s="26"/>
    </row>
    <row r="297" ht="14.25" customHeight="1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  <c r="AE297" s="26"/>
      <c r="AF297" s="26"/>
      <c r="AG297" s="26"/>
      <c r="AH297" s="26"/>
      <c r="AI297" s="26"/>
      <c r="AJ297" s="26"/>
      <c r="AK297" s="26"/>
      <c r="AL297" s="26"/>
      <c r="AM297" s="26"/>
      <c r="AN297" s="26"/>
      <c r="AO297" s="26"/>
      <c r="AP297" s="26"/>
      <c r="AQ297" s="26"/>
      <c r="AR297" s="26"/>
      <c r="AS297" s="26"/>
      <c r="AT297" s="26"/>
      <c r="AU297" s="26"/>
      <c r="AV297" s="26"/>
      <c r="AW297" s="26"/>
      <c r="AX297" s="26"/>
      <c r="AY297" s="26"/>
      <c r="AZ297" s="26"/>
      <c r="BA297" s="26"/>
      <c r="BB297" s="26"/>
      <c r="BC297" s="26"/>
      <c r="BD297" s="26"/>
      <c r="BE297" s="26"/>
      <c r="BF297" s="26"/>
      <c r="BG297" s="26"/>
      <c r="BH297" s="26"/>
      <c r="BI297" s="26"/>
      <c r="BJ297" s="26"/>
      <c r="BK297" s="26"/>
    </row>
    <row r="298" ht="14.25" customHeight="1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  <c r="AE298" s="26"/>
      <c r="AF298" s="26"/>
      <c r="AG298" s="26"/>
      <c r="AH298" s="26"/>
      <c r="AI298" s="26"/>
      <c r="AJ298" s="26"/>
      <c r="AK298" s="26"/>
      <c r="AL298" s="26"/>
      <c r="AM298" s="26"/>
      <c r="AN298" s="26"/>
      <c r="AO298" s="26"/>
      <c r="AP298" s="26"/>
      <c r="AQ298" s="26"/>
      <c r="AR298" s="26"/>
      <c r="AS298" s="26"/>
      <c r="AT298" s="26"/>
      <c r="AU298" s="26"/>
      <c r="AV298" s="26"/>
      <c r="AW298" s="26"/>
      <c r="AX298" s="26"/>
      <c r="AY298" s="26"/>
      <c r="AZ298" s="26"/>
      <c r="BA298" s="26"/>
      <c r="BB298" s="26"/>
      <c r="BC298" s="26"/>
      <c r="BD298" s="26"/>
      <c r="BE298" s="26"/>
      <c r="BF298" s="26"/>
      <c r="BG298" s="26"/>
      <c r="BH298" s="26"/>
      <c r="BI298" s="26"/>
      <c r="BJ298" s="26"/>
      <c r="BK298" s="26"/>
    </row>
    <row r="299" ht="14.25" customHeight="1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  <c r="AE299" s="26"/>
      <c r="AF299" s="26"/>
      <c r="AG299" s="26"/>
      <c r="AH299" s="26"/>
      <c r="AI299" s="26"/>
      <c r="AJ299" s="26"/>
      <c r="AK299" s="26"/>
      <c r="AL299" s="26"/>
      <c r="AM299" s="26"/>
      <c r="AN299" s="26"/>
      <c r="AO299" s="26"/>
      <c r="AP299" s="26"/>
      <c r="AQ299" s="26"/>
      <c r="AR299" s="26"/>
      <c r="AS299" s="26"/>
      <c r="AT299" s="26"/>
      <c r="AU299" s="26"/>
      <c r="AV299" s="26"/>
      <c r="AW299" s="26"/>
      <c r="AX299" s="26"/>
      <c r="AY299" s="26"/>
      <c r="AZ299" s="26"/>
      <c r="BA299" s="26"/>
      <c r="BB299" s="26"/>
      <c r="BC299" s="26"/>
      <c r="BD299" s="26"/>
      <c r="BE299" s="26"/>
      <c r="BF299" s="26"/>
      <c r="BG299" s="26"/>
      <c r="BH299" s="26"/>
      <c r="BI299" s="26"/>
      <c r="BJ299" s="26"/>
      <c r="BK299" s="26"/>
    </row>
    <row r="300" ht="14.25" customHeight="1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  <c r="AF300" s="26"/>
      <c r="AG300" s="26"/>
      <c r="AH300" s="26"/>
      <c r="AI300" s="26"/>
      <c r="AJ300" s="26"/>
      <c r="AK300" s="26"/>
      <c r="AL300" s="26"/>
      <c r="AM300" s="26"/>
      <c r="AN300" s="26"/>
      <c r="AO300" s="26"/>
      <c r="AP300" s="26"/>
      <c r="AQ300" s="26"/>
      <c r="AR300" s="26"/>
      <c r="AS300" s="26"/>
      <c r="AT300" s="26"/>
      <c r="AU300" s="26"/>
      <c r="AV300" s="26"/>
      <c r="AW300" s="26"/>
      <c r="AX300" s="26"/>
      <c r="AY300" s="26"/>
      <c r="AZ300" s="26"/>
      <c r="BA300" s="26"/>
      <c r="BB300" s="26"/>
      <c r="BC300" s="26"/>
      <c r="BD300" s="26"/>
      <c r="BE300" s="26"/>
      <c r="BF300" s="26"/>
      <c r="BG300" s="26"/>
      <c r="BH300" s="26"/>
      <c r="BI300" s="26"/>
      <c r="BJ300" s="26"/>
      <c r="BK300" s="26"/>
    </row>
    <row r="301" ht="14.25" customHeight="1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  <c r="AE301" s="26"/>
      <c r="AF301" s="26"/>
      <c r="AG301" s="26"/>
      <c r="AH301" s="26"/>
      <c r="AI301" s="26"/>
      <c r="AJ301" s="26"/>
      <c r="AK301" s="26"/>
      <c r="AL301" s="26"/>
      <c r="AM301" s="26"/>
      <c r="AN301" s="26"/>
      <c r="AO301" s="26"/>
      <c r="AP301" s="26"/>
      <c r="AQ301" s="26"/>
      <c r="AR301" s="26"/>
      <c r="AS301" s="26"/>
      <c r="AT301" s="26"/>
      <c r="AU301" s="26"/>
      <c r="AV301" s="26"/>
      <c r="AW301" s="26"/>
      <c r="AX301" s="26"/>
      <c r="AY301" s="26"/>
      <c r="AZ301" s="26"/>
      <c r="BA301" s="26"/>
      <c r="BB301" s="26"/>
      <c r="BC301" s="26"/>
      <c r="BD301" s="26"/>
      <c r="BE301" s="26"/>
      <c r="BF301" s="26"/>
      <c r="BG301" s="26"/>
      <c r="BH301" s="26"/>
      <c r="BI301" s="26"/>
      <c r="BJ301" s="26"/>
      <c r="BK301" s="26"/>
    </row>
    <row r="302" ht="14.25" customHeight="1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  <c r="AF302" s="26"/>
      <c r="AG302" s="26"/>
      <c r="AH302" s="26"/>
      <c r="AI302" s="26"/>
      <c r="AJ302" s="26"/>
      <c r="AK302" s="26"/>
      <c r="AL302" s="26"/>
      <c r="AM302" s="26"/>
      <c r="AN302" s="26"/>
      <c r="AO302" s="26"/>
      <c r="AP302" s="26"/>
      <c r="AQ302" s="26"/>
      <c r="AR302" s="26"/>
      <c r="AS302" s="26"/>
      <c r="AT302" s="26"/>
      <c r="AU302" s="26"/>
      <c r="AV302" s="26"/>
      <c r="AW302" s="26"/>
      <c r="AX302" s="26"/>
      <c r="AY302" s="26"/>
      <c r="AZ302" s="26"/>
      <c r="BA302" s="26"/>
      <c r="BB302" s="26"/>
      <c r="BC302" s="26"/>
      <c r="BD302" s="26"/>
      <c r="BE302" s="26"/>
      <c r="BF302" s="26"/>
      <c r="BG302" s="26"/>
      <c r="BH302" s="26"/>
      <c r="BI302" s="26"/>
      <c r="BJ302" s="26"/>
      <c r="BK302" s="26"/>
    </row>
    <row r="303" ht="14.25" customHeight="1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  <c r="AF303" s="26"/>
      <c r="AG303" s="26"/>
      <c r="AH303" s="26"/>
      <c r="AI303" s="26"/>
      <c r="AJ303" s="26"/>
      <c r="AK303" s="26"/>
      <c r="AL303" s="26"/>
      <c r="AM303" s="26"/>
      <c r="AN303" s="26"/>
      <c r="AO303" s="26"/>
      <c r="AP303" s="26"/>
      <c r="AQ303" s="26"/>
      <c r="AR303" s="26"/>
      <c r="AS303" s="26"/>
      <c r="AT303" s="26"/>
      <c r="AU303" s="26"/>
      <c r="AV303" s="26"/>
      <c r="AW303" s="26"/>
      <c r="AX303" s="26"/>
      <c r="AY303" s="26"/>
      <c r="AZ303" s="26"/>
      <c r="BA303" s="26"/>
      <c r="BB303" s="26"/>
      <c r="BC303" s="26"/>
      <c r="BD303" s="26"/>
      <c r="BE303" s="26"/>
      <c r="BF303" s="26"/>
      <c r="BG303" s="26"/>
      <c r="BH303" s="26"/>
      <c r="BI303" s="26"/>
      <c r="BJ303" s="26"/>
      <c r="BK303" s="26"/>
    </row>
    <row r="304" ht="14.25" customHeight="1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  <c r="AG304" s="26"/>
      <c r="AH304" s="26"/>
      <c r="AI304" s="26"/>
      <c r="AJ304" s="26"/>
      <c r="AK304" s="26"/>
      <c r="AL304" s="26"/>
      <c r="AM304" s="26"/>
      <c r="AN304" s="26"/>
      <c r="AO304" s="26"/>
      <c r="AP304" s="26"/>
      <c r="AQ304" s="26"/>
      <c r="AR304" s="26"/>
      <c r="AS304" s="26"/>
      <c r="AT304" s="26"/>
      <c r="AU304" s="26"/>
      <c r="AV304" s="26"/>
      <c r="AW304" s="26"/>
      <c r="AX304" s="26"/>
      <c r="AY304" s="26"/>
      <c r="AZ304" s="26"/>
      <c r="BA304" s="26"/>
      <c r="BB304" s="26"/>
      <c r="BC304" s="26"/>
      <c r="BD304" s="26"/>
      <c r="BE304" s="26"/>
      <c r="BF304" s="26"/>
      <c r="BG304" s="26"/>
      <c r="BH304" s="26"/>
      <c r="BI304" s="26"/>
      <c r="BJ304" s="26"/>
      <c r="BK304" s="26"/>
    </row>
    <row r="305" ht="14.25" customHeight="1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  <c r="AF305" s="26"/>
      <c r="AG305" s="26"/>
      <c r="AH305" s="26"/>
      <c r="AI305" s="26"/>
      <c r="AJ305" s="26"/>
      <c r="AK305" s="26"/>
      <c r="AL305" s="26"/>
      <c r="AM305" s="26"/>
      <c r="AN305" s="26"/>
      <c r="AO305" s="26"/>
      <c r="AP305" s="26"/>
      <c r="AQ305" s="26"/>
      <c r="AR305" s="26"/>
      <c r="AS305" s="26"/>
      <c r="AT305" s="26"/>
      <c r="AU305" s="26"/>
      <c r="AV305" s="26"/>
      <c r="AW305" s="26"/>
      <c r="AX305" s="26"/>
      <c r="AY305" s="26"/>
      <c r="AZ305" s="26"/>
      <c r="BA305" s="26"/>
      <c r="BB305" s="26"/>
      <c r="BC305" s="26"/>
      <c r="BD305" s="26"/>
      <c r="BE305" s="26"/>
      <c r="BF305" s="26"/>
      <c r="BG305" s="26"/>
      <c r="BH305" s="26"/>
      <c r="BI305" s="26"/>
      <c r="BJ305" s="26"/>
      <c r="BK305" s="26"/>
    </row>
    <row r="306" ht="14.25" customHeight="1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  <c r="AF306" s="26"/>
      <c r="AG306" s="26"/>
      <c r="AH306" s="26"/>
      <c r="AI306" s="26"/>
      <c r="AJ306" s="26"/>
      <c r="AK306" s="26"/>
      <c r="AL306" s="26"/>
      <c r="AM306" s="26"/>
      <c r="AN306" s="26"/>
      <c r="AO306" s="26"/>
      <c r="AP306" s="26"/>
      <c r="AQ306" s="26"/>
      <c r="AR306" s="26"/>
      <c r="AS306" s="26"/>
      <c r="AT306" s="26"/>
      <c r="AU306" s="26"/>
      <c r="AV306" s="26"/>
      <c r="AW306" s="26"/>
      <c r="AX306" s="26"/>
      <c r="AY306" s="26"/>
      <c r="AZ306" s="26"/>
      <c r="BA306" s="26"/>
      <c r="BB306" s="26"/>
      <c r="BC306" s="26"/>
      <c r="BD306" s="26"/>
      <c r="BE306" s="26"/>
      <c r="BF306" s="26"/>
      <c r="BG306" s="26"/>
      <c r="BH306" s="26"/>
      <c r="BI306" s="26"/>
      <c r="BJ306" s="26"/>
      <c r="BK306" s="26"/>
    </row>
    <row r="307" ht="14.25" customHeight="1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  <c r="AE307" s="26"/>
      <c r="AF307" s="26"/>
      <c r="AG307" s="26"/>
      <c r="AH307" s="26"/>
      <c r="AI307" s="26"/>
      <c r="AJ307" s="26"/>
      <c r="AK307" s="26"/>
      <c r="AL307" s="26"/>
      <c r="AM307" s="26"/>
      <c r="AN307" s="26"/>
      <c r="AO307" s="26"/>
      <c r="AP307" s="26"/>
      <c r="AQ307" s="26"/>
      <c r="AR307" s="26"/>
      <c r="AS307" s="26"/>
      <c r="AT307" s="26"/>
      <c r="AU307" s="26"/>
      <c r="AV307" s="26"/>
      <c r="AW307" s="26"/>
      <c r="AX307" s="26"/>
      <c r="AY307" s="26"/>
      <c r="AZ307" s="26"/>
      <c r="BA307" s="26"/>
      <c r="BB307" s="26"/>
      <c r="BC307" s="26"/>
      <c r="BD307" s="26"/>
      <c r="BE307" s="26"/>
      <c r="BF307" s="26"/>
      <c r="BG307" s="26"/>
      <c r="BH307" s="26"/>
      <c r="BI307" s="26"/>
      <c r="BJ307" s="26"/>
      <c r="BK307" s="26"/>
    </row>
    <row r="308" ht="14.25" customHeight="1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  <c r="AE308" s="26"/>
      <c r="AF308" s="26"/>
      <c r="AG308" s="26"/>
      <c r="AH308" s="26"/>
      <c r="AI308" s="26"/>
      <c r="AJ308" s="26"/>
      <c r="AK308" s="26"/>
      <c r="AL308" s="26"/>
      <c r="AM308" s="26"/>
      <c r="AN308" s="26"/>
      <c r="AO308" s="26"/>
      <c r="AP308" s="26"/>
      <c r="AQ308" s="26"/>
      <c r="AR308" s="26"/>
      <c r="AS308" s="26"/>
      <c r="AT308" s="26"/>
      <c r="AU308" s="26"/>
      <c r="AV308" s="26"/>
      <c r="AW308" s="26"/>
      <c r="AX308" s="26"/>
      <c r="AY308" s="26"/>
      <c r="AZ308" s="26"/>
      <c r="BA308" s="26"/>
      <c r="BB308" s="26"/>
      <c r="BC308" s="26"/>
      <c r="BD308" s="26"/>
      <c r="BE308" s="26"/>
      <c r="BF308" s="26"/>
      <c r="BG308" s="26"/>
      <c r="BH308" s="26"/>
      <c r="BI308" s="26"/>
      <c r="BJ308" s="26"/>
      <c r="BK308" s="26"/>
    </row>
    <row r="309" ht="14.25" customHeight="1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  <c r="AE309" s="26"/>
      <c r="AF309" s="26"/>
      <c r="AG309" s="26"/>
      <c r="AH309" s="26"/>
      <c r="AI309" s="26"/>
      <c r="AJ309" s="26"/>
      <c r="AK309" s="26"/>
      <c r="AL309" s="26"/>
      <c r="AM309" s="26"/>
      <c r="AN309" s="26"/>
      <c r="AO309" s="26"/>
      <c r="AP309" s="26"/>
      <c r="AQ309" s="26"/>
      <c r="AR309" s="26"/>
      <c r="AS309" s="26"/>
      <c r="AT309" s="26"/>
      <c r="AU309" s="26"/>
      <c r="AV309" s="26"/>
      <c r="AW309" s="26"/>
      <c r="AX309" s="26"/>
      <c r="AY309" s="26"/>
      <c r="AZ309" s="26"/>
      <c r="BA309" s="26"/>
      <c r="BB309" s="26"/>
      <c r="BC309" s="26"/>
      <c r="BD309" s="26"/>
      <c r="BE309" s="26"/>
      <c r="BF309" s="26"/>
      <c r="BG309" s="26"/>
      <c r="BH309" s="26"/>
      <c r="BI309" s="26"/>
      <c r="BJ309" s="26"/>
      <c r="BK309" s="26"/>
    </row>
    <row r="310" ht="14.25" customHeight="1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  <c r="AE310" s="26"/>
      <c r="AF310" s="26"/>
      <c r="AG310" s="26"/>
      <c r="AH310" s="26"/>
      <c r="AI310" s="26"/>
      <c r="AJ310" s="26"/>
      <c r="AK310" s="26"/>
      <c r="AL310" s="26"/>
      <c r="AM310" s="26"/>
      <c r="AN310" s="26"/>
      <c r="AO310" s="26"/>
      <c r="AP310" s="26"/>
      <c r="AQ310" s="26"/>
      <c r="AR310" s="26"/>
      <c r="AS310" s="26"/>
      <c r="AT310" s="26"/>
      <c r="AU310" s="26"/>
      <c r="AV310" s="26"/>
      <c r="AW310" s="26"/>
      <c r="AX310" s="26"/>
      <c r="AY310" s="26"/>
      <c r="AZ310" s="26"/>
      <c r="BA310" s="26"/>
      <c r="BB310" s="26"/>
      <c r="BC310" s="26"/>
      <c r="BD310" s="26"/>
      <c r="BE310" s="26"/>
      <c r="BF310" s="26"/>
      <c r="BG310" s="26"/>
      <c r="BH310" s="26"/>
      <c r="BI310" s="26"/>
      <c r="BJ310" s="26"/>
      <c r="BK310" s="26"/>
    </row>
    <row r="311" ht="14.25" customHeight="1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  <c r="AE311" s="26"/>
      <c r="AF311" s="26"/>
      <c r="AG311" s="26"/>
      <c r="AH311" s="26"/>
      <c r="AI311" s="26"/>
      <c r="AJ311" s="26"/>
      <c r="AK311" s="26"/>
      <c r="AL311" s="26"/>
      <c r="AM311" s="26"/>
      <c r="AN311" s="26"/>
      <c r="AO311" s="26"/>
      <c r="AP311" s="26"/>
      <c r="AQ311" s="26"/>
      <c r="AR311" s="26"/>
      <c r="AS311" s="26"/>
      <c r="AT311" s="26"/>
      <c r="AU311" s="26"/>
      <c r="AV311" s="26"/>
      <c r="AW311" s="26"/>
      <c r="AX311" s="26"/>
      <c r="AY311" s="26"/>
      <c r="AZ311" s="26"/>
      <c r="BA311" s="26"/>
      <c r="BB311" s="26"/>
      <c r="BC311" s="26"/>
      <c r="BD311" s="26"/>
      <c r="BE311" s="26"/>
      <c r="BF311" s="26"/>
      <c r="BG311" s="26"/>
      <c r="BH311" s="26"/>
      <c r="BI311" s="26"/>
      <c r="BJ311" s="26"/>
      <c r="BK311" s="26"/>
    </row>
    <row r="312" ht="14.25" customHeight="1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26"/>
      <c r="AF312" s="26"/>
      <c r="AG312" s="26"/>
      <c r="AH312" s="26"/>
      <c r="AI312" s="26"/>
      <c r="AJ312" s="26"/>
      <c r="AK312" s="26"/>
      <c r="AL312" s="26"/>
      <c r="AM312" s="26"/>
      <c r="AN312" s="26"/>
      <c r="AO312" s="26"/>
      <c r="AP312" s="26"/>
      <c r="AQ312" s="26"/>
      <c r="AR312" s="26"/>
      <c r="AS312" s="26"/>
      <c r="AT312" s="26"/>
      <c r="AU312" s="26"/>
      <c r="AV312" s="26"/>
      <c r="AW312" s="26"/>
      <c r="AX312" s="26"/>
      <c r="AY312" s="26"/>
      <c r="AZ312" s="26"/>
      <c r="BA312" s="26"/>
      <c r="BB312" s="26"/>
      <c r="BC312" s="26"/>
      <c r="BD312" s="26"/>
      <c r="BE312" s="26"/>
      <c r="BF312" s="26"/>
      <c r="BG312" s="26"/>
      <c r="BH312" s="26"/>
      <c r="BI312" s="26"/>
      <c r="BJ312" s="26"/>
      <c r="BK312" s="26"/>
    </row>
    <row r="313" ht="14.25" customHeight="1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  <c r="AE313" s="26"/>
      <c r="AF313" s="26"/>
      <c r="AG313" s="26"/>
      <c r="AH313" s="26"/>
      <c r="AI313" s="26"/>
      <c r="AJ313" s="26"/>
      <c r="AK313" s="26"/>
      <c r="AL313" s="26"/>
      <c r="AM313" s="26"/>
      <c r="AN313" s="26"/>
      <c r="AO313" s="26"/>
      <c r="AP313" s="26"/>
      <c r="AQ313" s="26"/>
      <c r="AR313" s="26"/>
      <c r="AS313" s="26"/>
      <c r="AT313" s="26"/>
      <c r="AU313" s="26"/>
      <c r="AV313" s="26"/>
      <c r="AW313" s="26"/>
      <c r="AX313" s="26"/>
      <c r="AY313" s="26"/>
      <c r="AZ313" s="26"/>
      <c r="BA313" s="26"/>
      <c r="BB313" s="26"/>
      <c r="BC313" s="26"/>
      <c r="BD313" s="26"/>
      <c r="BE313" s="26"/>
      <c r="BF313" s="26"/>
      <c r="BG313" s="26"/>
      <c r="BH313" s="26"/>
      <c r="BI313" s="26"/>
      <c r="BJ313" s="26"/>
      <c r="BK313" s="26"/>
    </row>
    <row r="314" ht="14.25" customHeight="1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  <c r="AF314" s="26"/>
      <c r="AG314" s="26"/>
      <c r="AH314" s="26"/>
      <c r="AI314" s="26"/>
      <c r="AJ314" s="26"/>
      <c r="AK314" s="26"/>
      <c r="AL314" s="26"/>
      <c r="AM314" s="26"/>
      <c r="AN314" s="26"/>
      <c r="AO314" s="26"/>
      <c r="AP314" s="26"/>
      <c r="AQ314" s="26"/>
      <c r="AR314" s="26"/>
      <c r="AS314" s="26"/>
      <c r="AT314" s="26"/>
      <c r="AU314" s="26"/>
      <c r="AV314" s="26"/>
      <c r="AW314" s="26"/>
      <c r="AX314" s="26"/>
      <c r="AY314" s="26"/>
      <c r="AZ314" s="26"/>
      <c r="BA314" s="26"/>
      <c r="BB314" s="26"/>
      <c r="BC314" s="26"/>
      <c r="BD314" s="26"/>
      <c r="BE314" s="26"/>
      <c r="BF314" s="26"/>
      <c r="BG314" s="26"/>
      <c r="BH314" s="26"/>
      <c r="BI314" s="26"/>
      <c r="BJ314" s="26"/>
      <c r="BK314" s="26"/>
    </row>
    <row r="315" ht="14.25" customHeight="1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  <c r="AF315" s="26"/>
      <c r="AG315" s="26"/>
      <c r="AH315" s="26"/>
      <c r="AI315" s="26"/>
      <c r="AJ315" s="26"/>
      <c r="AK315" s="26"/>
      <c r="AL315" s="26"/>
      <c r="AM315" s="26"/>
      <c r="AN315" s="26"/>
      <c r="AO315" s="26"/>
      <c r="AP315" s="26"/>
      <c r="AQ315" s="26"/>
      <c r="AR315" s="26"/>
      <c r="AS315" s="26"/>
      <c r="AT315" s="26"/>
      <c r="AU315" s="26"/>
      <c r="AV315" s="26"/>
      <c r="AW315" s="26"/>
      <c r="AX315" s="26"/>
      <c r="AY315" s="26"/>
      <c r="AZ315" s="26"/>
      <c r="BA315" s="26"/>
      <c r="BB315" s="26"/>
      <c r="BC315" s="26"/>
      <c r="BD315" s="26"/>
      <c r="BE315" s="26"/>
      <c r="BF315" s="26"/>
      <c r="BG315" s="26"/>
      <c r="BH315" s="26"/>
      <c r="BI315" s="26"/>
      <c r="BJ315" s="26"/>
      <c r="BK315" s="26"/>
    </row>
    <row r="316" ht="14.25" customHeight="1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  <c r="AE316" s="26"/>
      <c r="AF316" s="26"/>
      <c r="AG316" s="26"/>
      <c r="AH316" s="26"/>
      <c r="AI316" s="26"/>
      <c r="AJ316" s="26"/>
      <c r="AK316" s="26"/>
      <c r="AL316" s="26"/>
      <c r="AM316" s="26"/>
      <c r="AN316" s="26"/>
      <c r="AO316" s="26"/>
      <c r="AP316" s="26"/>
      <c r="AQ316" s="26"/>
      <c r="AR316" s="26"/>
      <c r="AS316" s="26"/>
      <c r="AT316" s="26"/>
      <c r="AU316" s="26"/>
      <c r="AV316" s="26"/>
      <c r="AW316" s="26"/>
      <c r="AX316" s="26"/>
      <c r="AY316" s="26"/>
      <c r="AZ316" s="26"/>
      <c r="BA316" s="26"/>
      <c r="BB316" s="26"/>
      <c r="BC316" s="26"/>
      <c r="BD316" s="26"/>
      <c r="BE316" s="26"/>
      <c r="BF316" s="26"/>
      <c r="BG316" s="26"/>
      <c r="BH316" s="26"/>
      <c r="BI316" s="26"/>
      <c r="BJ316" s="26"/>
      <c r="BK316" s="26"/>
    </row>
    <row r="317" ht="14.25" customHeight="1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  <c r="AE317" s="26"/>
      <c r="AF317" s="26"/>
      <c r="AG317" s="26"/>
      <c r="AH317" s="26"/>
      <c r="AI317" s="26"/>
      <c r="AJ317" s="26"/>
      <c r="AK317" s="26"/>
      <c r="AL317" s="26"/>
      <c r="AM317" s="26"/>
      <c r="AN317" s="26"/>
      <c r="AO317" s="26"/>
      <c r="AP317" s="26"/>
      <c r="AQ317" s="26"/>
      <c r="AR317" s="26"/>
      <c r="AS317" s="26"/>
      <c r="AT317" s="26"/>
      <c r="AU317" s="26"/>
      <c r="AV317" s="26"/>
      <c r="AW317" s="26"/>
      <c r="AX317" s="26"/>
      <c r="AY317" s="26"/>
      <c r="AZ317" s="26"/>
      <c r="BA317" s="26"/>
      <c r="BB317" s="26"/>
      <c r="BC317" s="26"/>
      <c r="BD317" s="26"/>
      <c r="BE317" s="26"/>
      <c r="BF317" s="26"/>
      <c r="BG317" s="26"/>
      <c r="BH317" s="26"/>
      <c r="BI317" s="26"/>
      <c r="BJ317" s="26"/>
      <c r="BK317" s="26"/>
    </row>
    <row r="318" ht="14.25" customHeight="1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  <c r="AF318" s="26"/>
      <c r="AG318" s="26"/>
      <c r="AH318" s="26"/>
      <c r="AI318" s="26"/>
      <c r="AJ318" s="26"/>
      <c r="AK318" s="26"/>
      <c r="AL318" s="26"/>
      <c r="AM318" s="26"/>
      <c r="AN318" s="26"/>
      <c r="AO318" s="26"/>
      <c r="AP318" s="26"/>
      <c r="AQ318" s="26"/>
      <c r="AR318" s="26"/>
      <c r="AS318" s="26"/>
      <c r="AT318" s="26"/>
      <c r="AU318" s="26"/>
      <c r="AV318" s="26"/>
      <c r="AW318" s="26"/>
      <c r="AX318" s="26"/>
      <c r="AY318" s="26"/>
      <c r="AZ318" s="26"/>
      <c r="BA318" s="26"/>
      <c r="BB318" s="26"/>
      <c r="BC318" s="26"/>
      <c r="BD318" s="26"/>
      <c r="BE318" s="26"/>
      <c r="BF318" s="26"/>
      <c r="BG318" s="26"/>
      <c r="BH318" s="26"/>
      <c r="BI318" s="26"/>
      <c r="BJ318" s="26"/>
      <c r="BK318" s="26"/>
    </row>
    <row r="319" ht="14.25" customHeight="1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  <c r="AE319" s="26"/>
      <c r="AF319" s="26"/>
      <c r="AG319" s="26"/>
      <c r="AH319" s="26"/>
      <c r="AI319" s="26"/>
      <c r="AJ319" s="26"/>
      <c r="AK319" s="26"/>
      <c r="AL319" s="26"/>
      <c r="AM319" s="26"/>
      <c r="AN319" s="26"/>
      <c r="AO319" s="26"/>
      <c r="AP319" s="26"/>
      <c r="AQ319" s="26"/>
      <c r="AR319" s="26"/>
      <c r="AS319" s="26"/>
      <c r="AT319" s="26"/>
      <c r="AU319" s="26"/>
      <c r="AV319" s="26"/>
      <c r="AW319" s="26"/>
      <c r="AX319" s="26"/>
      <c r="AY319" s="26"/>
      <c r="AZ319" s="26"/>
      <c r="BA319" s="26"/>
      <c r="BB319" s="26"/>
      <c r="BC319" s="26"/>
      <c r="BD319" s="26"/>
      <c r="BE319" s="26"/>
      <c r="BF319" s="26"/>
      <c r="BG319" s="26"/>
      <c r="BH319" s="26"/>
      <c r="BI319" s="26"/>
      <c r="BJ319" s="26"/>
      <c r="BK319" s="26"/>
    </row>
    <row r="320" ht="14.25" customHeight="1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  <c r="AF320" s="26"/>
      <c r="AG320" s="26"/>
      <c r="AH320" s="26"/>
      <c r="AI320" s="26"/>
      <c r="AJ320" s="26"/>
      <c r="AK320" s="26"/>
      <c r="AL320" s="26"/>
      <c r="AM320" s="26"/>
      <c r="AN320" s="26"/>
      <c r="AO320" s="26"/>
      <c r="AP320" s="26"/>
      <c r="AQ320" s="26"/>
      <c r="AR320" s="26"/>
      <c r="AS320" s="26"/>
      <c r="AT320" s="26"/>
      <c r="AU320" s="26"/>
      <c r="AV320" s="26"/>
      <c r="AW320" s="26"/>
      <c r="AX320" s="26"/>
      <c r="AY320" s="26"/>
      <c r="AZ320" s="26"/>
      <c r="BA320" s="26"/>
      <c r="BB320" s="26"/>
      <c r="BC320" s="26"/>
      <c r="BD320" s="26"/>
      <c r="BE320" s="26"/>
      <c r="BF320" s="26"/>
      <c r="BG320" s="26"/>
      <c r="BH320" s="26"/>
      <c r="BI320" s="26"/>
      <c r="BJ320" s="26"/>
      <c r="BK320" s="26"/>
    </row>
    <row r="321" ht="14.25" customHeight="1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  <c r="AE321" s="26"/>
      <c r="AF321" s="26"/>
      <c r="AG321" s="26"/>
      <c r="AH321" s="26"/>
      <c r="AI321" s="26"/>
      <c r="AJ321" s="26"/>
      <c r="AK321" s="26"/>
      <c r="AL321" s="26"/>
      <c r="AM321" s="26"/>
      <c r="AN321" s="26"/>
      <c r="AO321" s="26"/>
      <c r="AP321" s="26"/>
      <c r="AQ321" s="26"/>
      <c r="AR321" s="26"/>
      <c r="AS321" s="26"/>
      <c r="AT321" s="26"/>
      <c r="AU321" s="26"/>
      <c r="AV321" s="26"/>
      <c r="AW321" s="26"/>
      <c r="AX321" s="26"/>
      <c r="AY321" s="26"/>
      <c r="AZ321" s="26"/>
      <c r="BA321" s="26"/>
      <c r="BB321" s="26"/>
      <c r="BC321" s="26"/>
      <c r="BD321" s="26"/>
      <c r="BE321" s="26"/>
      <c r="BF321" s="26"/>
      <c r="BG321" s="26"/>
      <c r="BH321" s="26"/>
      <c r="BI321" s="26"/>
      <c r="BJ321" s="26"/>
      <c r="BK321" s="26"/>
    </row>
    <row r="322" ht="14.25" customHeight="1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  <c r="AE322" s="26"/>
      <c r="AF322" s="26"/>
      <c r="AG322" s="26"/>
      <c r="AH322" s="26"/>
      <c r="AI322" s="26"/>
      <c r="AJ322" s="26"/>
      <c r="AK322" s="26"/>
      <c r="AL322" s="26"/>
      <c r="AM322" s="26"/>
      <c r="AN322" s="26"/>
      <c r="AO322" s="26"/>
      <c r="AP322" s="26"/>
      <c r="AQ322" s="26"/>
      <c r="AR322" s="26"/>
      <c r="AS322" s="26"/>
      <c r="AT322" s="26"/>
      <c r="AU322" s="26"/>
      <c r="AV322" s="26"/>
      <c r="AW322" s="26"/>
      <c r="AX322" s="26"/>
      <c r="AY322" s="26"/>
      <c r="AZ322" s="26"/>
      <c r="BA322" s="26"/>
      <c r="BB322" s="26"/>
      <c r="BC322" s="26"/>
      <c r="BD322" s="26"/>
      <c r="BE322" s="26"/>
      <c r="BF322" s="26"/>
      <c r="BG322" s="26"/>
      <c r="BH322" s="26"/>
      <c r="BI322" s="26"/>
      <c r="BJ322" s="26"/>
      <c r="BK322" s="26"/>
    </row>
    <row r="323" ht="14.25" customHeight="1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  <c r="AE323" s="26"/>
      <c r="AF323" s="26"/>
      <c r="AG323" s="26"/>
      <c r="AH323" s="26"/>
      <c r="AI323" s="26"/>
      <c r="AJ323" s="26"/>
      <c r="AK323" s="26"/>
      <c r="AL323" s="26"/>
      <c r="AM323" s="26"/>
      <c r="AN323" s="26"/>
      <c r="AO323" s="26"/>
      <c r="AP323" s="26"/>
      <c r="AQ323" s="26"/>
      <c r="AR323" s="26"/>
      <c r="AS323" s="26"/>
      <c r="AT323" s="26"/>
      <c r="AU323" s="26"/>
      <c r="AV323" s="26"/>
      <c r="AW323" s="26"/>
      <c r="AX323" s="26"/>
      <c r="AY323" s="26"/>
      <c r="AZ323" s="26"/>
      <c r="BA323" s="26"/>
      <c r="BB323" s="26"/>
      <c r="BC323" s="26"/>
      <c r="BD323" s="26"/>
      <c r="BE323" s="26"/>
      <c r="BF323" s="26"/>
      <c r="BG323" s="26"/>
      <c r="BH323" s="26"/>
      <c r="BI323" s="26"/>
      <c r="BJ323" s="26"/>
      <c r="BK323" s="26"/>
    </row>
    <row r="324" ht="14.25" customHeight="1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  <c r="AE324" s="26"/>
      <c r="AF324" s="26"/>
      <c r="AG324" s="26"/>
      <c r="AH324" s="26"/>
      <c r="AI324" s="26"/>
      <c r="AJ324" s="26"/>
      <c r="AK324" s="26"/>
      <c r="AL324" s="26"/>
      <c r="AM324" s="26"/>
      <c r="AN324" s="26"/>
      <c r="AO324" s="26"/>
      <c r="AP324" s="26"/>
      <c r="AQ324" s="26"/>
      <c r="AR324" s="26"/>
      <c r="AS324" s="26"/>
      <c r="AT324" s="26"/>
      <c r="AU324" s="26"/>
      <c r="AV324" s="26"/>
      <c r="AW324" s="26"/>
      <c r="AX324" s="26"/>
      <c r="AY324" s="26"/>
      <c r="AZ324" s="26"/>
      <c r="BA324" s="26"/>
      <c r="BB324" s="26"/>
      <c r="BC324" s="26"/>
      <c r="BD324" s="26"/>
      <c r="BE324" s="26"/>
      <c r="BF324" s="26"/>
      <c r="BG324" s="26"/>
      <c r="BH324" s="26"/>
      <c r="BI324" s="26"/>
      <c r="BJ324" s="26"/>
      <c r="BK324" s="26"/>
    </row>
    <row r="325" ht="14.25" customHeight="1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  <c r="AE325" s="26"/>
      <c r="AF325" s="26"/>
      <c r="AG325" s="26"/>
      <c r="AH325" s="26"/>
      <c r="AI325" s="26"/>
      <c r="AJ325" s="26"/>
      <c r="AK325" s="26"/>
      <c r="AL325" s="26"/>
      <c r="AM325" s="26"/>
      <c r="AN325" s="26"/>
      <c r="AO325" s="26"/>
      <c r="AP325" s="26"/>
      <c r="AQ325" s="26"/>
      <c r="AR325" s="26"/>
      <c r="AS325" s="26"/>
      <c r="AT325" s="26"/>
      <c r="AU325" s="26"/>
      <c r="AV325" s="26"/>
      <c r="AW325" s="26"/>
      <c r="AX325" s="26"/>
      <c r="AY325" s="26"/>
      <c r="AZ325" s="26"/>
      <c r="BA325" s="26"/>
      <c r="BB325" s="26"/>
      <c r="BC325" s="26"/>
      <c r="BD325" s="26"/>
      <c r="BE325" s="26"/>
      <c r="BF325" s="26"/>
      <c r="BG325" s="26"/>
      <c r="BH325" s="26"/>
      <c r="BI325" s="26"/>
      <c r="BJ325" s="26"/>
      <c r="BK325" s="26"/>
    </row>
    <row r="326" ht="14.25" customHeight="1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  <c r="AE326" s="26"/>
      <c r="AF326" s="26"/>
      <c r="AG326" s="26"/>
      <c r="AH326" s="26"/>
      <c r="AI326" s="26"/>
      <c r="AJ326" s="26"/>
      <c r="AK326" s="26"/>
      <c r="AL326" s="26"/>
      <c r="AM326" s="26"/>
      <c r="AN326" s="26"/>
      <c r="AO326" s="26"/>
      <c r="AP326" s="26"/>
      <c r="AQ326" s="26"/>
      <c r="AR326" s="26"/>
      <c r="AS326" s="26"/>
      <c r="AT326" s="26"/>
      <c r="AU326" s="26"/>
      <c r="AV326" s="26"/>
      <c r="AW326" s="26"/>
      <c r="AX326" s="26"/>
      <c r="AY326" s="26"/>
      <c r="AZ326" s="26"/>
      <c r="BA326" s="26"/>
      <c r="BB326" s="26"/>
      <c r="BC326" s="26"/>
      <c r="BD326" s="26"/>
      <c r="BE326" s="26"/>
      <c r="BF326" s="26"/>
      <c r="BG326" s="26"/>
      <c r="BH326" s="26"/>
      <c r="BI326" s="26"/>
      <c r="BJ326" s="26"/>
      <c r="BK326" s="26"/>
    </row>
    <row r="327" ht="14.25" customHeight="1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  <c r="AE327" s="26"/>
      <c r="AF327" s="26"/>
      <c r="AG327" s="26"/>
      <c r="AH327" s="26"/>
      <c r="AI327" s="26"/>
      <c r="AJ327" s="26"/>
      <c r="AK327" s="26"/>
      <c r="AL327" s="26"/>
      <c r="AM327" s="26"/>
      <c r="AN327" s="26"/>
      <c r="AO327" s="26"/>
      <c r="AP327" s="26"/>
      <c r="AQ327" s="26"/>
      <c r="AR327" s="26"/>
      <c r="AS327" s="26"/>
      <c r="AT327" s="26"/>
      <c r="AU327" s="26"/>
      <c r="AV327" s="26"/>
      <c r="AW327" s="26"/>
      <c r="AX327" s="26"/>
      <c r="AY327" s="26"/>
      <c r="AZ327" s="26"/>
      <c r="BA327" s="26"/>
      <c r="BB327" s="26"/>
      <c r="BC327" s="26"/>
      <c r="BD327" s="26"/>
      <c r="BE327" s="26"/>
      <c r="BF327" s="26"/>
      <c r="BG327" s="26"/>
      <c r="BH327" s="26"/>
      <c r="BI327" s="26"/>
      <c r="BJ327" s="26"/>
      <c r="BK327" s="26"/>
    </row>
    <row r="328" ht="14.25" customHeight="1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  <c r="AE328" s="26"/>
      <c r="AF328" s="26"/>
      <c r="AG328" s="26"/>
      <c r="AH328" s="26"/>
      <c r="AI328" s="26"/>
      <c r="AJ328" s="26"/>
      <c r="AK328" s="26"/>
      <c r="AL328" s="26"/>
      <c r="AM328" s="26"/>
      <c r="AN328" s="26"/>
      <c r="AO328" s="26"/>
      <c r="AP328" s="26"/>
      <c r="AQ328" s="26"/>
      <c r="AR328" s="26"/>
      <c r="AS328" s="26"/>
      <c r="AT328" s="26"/>
      <c r="AU328" s="26"/>
      <c r="AV328" s="26"/>
      <c r="AW328" s="26"/>
      <c r="AX328" s="26"/>
      <c r="AY328" s="26"/>
      <c r="AZ328" s="26"/>
      <c r="BA328" s="26"/>
      <c r="BB328" s="26"/>
      <c r="BC328" s="26"/>
      <c r="BD328" s="26"/>
      <c r="BE328" s="26"/>
      <c r="BF328" s="26"/>
      <c r="BG328" s="26"/>
      <c r="BH328" s="26"/>
      <c r="BI328" s="26"/>
      <c r="BJ328" s="26"/>
      <c r="BK328" s="26"/>
    </row>
    <row r="329" ht="14.25" customHeight="1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  <c r="AE329" s="26"/>
      <c r="AF329" s="26"/>
      <c r="AG329" s="26"/>
      <c r="AH329" s="26"/>
      <c r="AI329" s="26"/>
      <c r="AJ329" s="26"/>
      <c r="AK329" s="26"/>
      <c r="AL329" s="26"/>
      <c r="AM329" s="26"/>
      <c r="AN329" s="26"/>
      <c r="AO329" s="26"/>
      <c r="AP329" s="26"/>
      <c r="AQ329" s="26"/>
      <c r="AR329" s="26"/>
      <c r="AS329" s="26"/>
      <c r="AT329" s="26"/>
      <c r="AU329" s="26"/>
      <c r="AV329" s="26"/>
      <c r="AW329" s="26"/>
      <c r="AX329" s="26"/>
      <c r="AY329" s="26"/>
      <c r="AZ329" s="26"/>
      <c r="BA329" s="26"/>
      <c r="BB329" s="26"/>
      <c r="BC329" s="26"/>
      <c r="BD329" s="26"/>
      <c r="BE329" s="26"/>
      <c r="BF329" s="26"/>
      <c r="BG329" s="26"/>
      <c r="BH329" s="26"/>
      <c r="BI329" s="26"/>
      <c r="BJ329" s="26"/>
      <c r="BK329" s="26"/>
    </row>
    <row r="330" ht="14.25" customHeight="1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  <c r="AE330" s="26"/>
      <c r="AF330" s="26"/>
      <c r="AG330" s="26"/>
      <c r="AH330" s="26"/>
      <c r="AI330" s="26"/>
      <c r="AJ330" s="26"/>
      <c r="AK330" s="26"/>
      <c r="AL330" s="26"/>
      <c r="AM330" s="26"/>
      <c r="AN330" s="26"/>
      <c r="AO330" s="26"/>
      <c r="AP330" s="26"/>
      <c r="AQ330" s="26"/>
      <c r="AR330" s="26"/>
      <c r="AS330" s="26"/>
      <c r="AT330" s="26"/>
      <c r="AU330" s="26"/>
      <c r="AV330" s="26"/>
      <c r="AW330" s="26"/>
      <c r="AX330" s="26"/>
      <c r="AY330" s="26"/>
      <c r="AZ330" s="26"/>
      <c r="BA330" s="26"/>
      <c r="BB330" s="26"/>
      <c r="BC330" s="26"/>
      <c r="BD330" s="26"/>
      <c r="BE330" s="26"/>
      <c r="BF330" s="26"/>
      <c r="BG330" s="26"/>
      <c r="BH330" s="26"/>
      <c r="BI330" s="26"/>
      <c r="BJ330" s="26"/>
      <c r="BK330" s="26"/>
    </row>
    <row r="331" ht="14.25" customHeight="1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  <c r="AE331" s="26"/>
      <c r="AF331" s="26"/>
      <c r="AG331" s="26"/>
      <c r="AH331" s="26"/>
      <c r="AI331" s="26"/>
      <c r="AJ331" s="26"/>
      <c r="AK331" s="26"/>
      <c r="AL331" s="26"/>
      <c r="AM331" s="26"/>
      <c r="AN331" s="26"/>
      <c r="AO331" s="26"/>
      <c r="AP331" s="26"/>
      <c r="AQ331" s="26"/>
      <c r="AR331" s="26"/>
      <c r="AS331" s="26"/>
      <c r="AT331" s="26"/>
      <c r="AU331" s="26"/>
      <c r="AV331" s="26"/>
      <c r="AW331" s="26"/>
      <c r="AX331" s="26"/>
      <c r="AY331" s="26"/>
      <c r="AZ331" s="26"/>
      <c r="BA331" s="26"/>
      <c r="BB331" s="26"/>
      <c r="BC331" s="26"/>
      <c r="BD331" s="26"/>
      <c r="BE331" s="26"/>
      <c r="BF331" s="26"/>
      <c r="BG331" s="26"/>
      <c r="BH331" s="26"/>
      <c r="BI331" s="26"/>
      <c r="BJ331" s="26"/>
      <c r="BK331" s="26"/>
    </row>
    <row r="332" ht="14.25" customHeight="1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  <c r="AE332" s="26"/>
      <c r="AF332" s="26"/>
      <c r="AG332" s="26"/>
      <c r="AH332" s="26"/>
      <c r="AI332" s="26"/>
      <c r="AJ332" s="26"/>
      <c r="AK332" s="26"/>
      <c r="AL332" s="26"/>
      <c r="AM332" s="26"/>
      <c r="AN332" s="26"/>
      <c r="AO332" s="26"/>
      <c r="AP332" s="26"/>
      <c r="AQ332" s="26"/>
      <c r="AR332" s="26"/>
      <c r="AS332" s="26"/>
      <c r="AT332" s="26"/>
      <c r="AU332" s="26"/>
      <c r="AV332" s="26"/>
      <c r="AW332" s="26"/>
      <c r="AX332" s="26"/>
      <c r="AY332" s="26"/>
      <c r="AZ332" s="26"/>
      <c r="BA332" s="26"/>
      <c r="BB332" s="26"/>
      <c r="BC332" s="26"/>
      <c r="BD332" s="26"/>
      <c r="BE332" s="26"/>
      <c r="BF332" s="26"/>
      <c r="BG332" s="26"/>
      <c r="BH332" s="26"/>
      <c r="BI332" s="26"/>
      <c r="BJ332" s="26"/>
      <c r="BK332" s="26"/>
    </row>
    <row r="333" ht="14.25" customHeight="1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  <c r="AE333" s="26"/>
      <c r="AF333" s="26"/>
      <c r="AG333" s="26"/>
      <c r="AH333" s="26"/>
      <c r="AI333" s="26"/>
      <c r="AJ333" s="26"/>
      <c r="AK333" s="26"/>
      <c r="AL333" s="26"/>
      <c r="AM333" s="26"/>
      <c r="AN333" s="26"/>
      <c r="AO333" s="26"/>
      <c r="AP333" s="26"/>
      <c r="AQ333" s="26"/>
      <c r="AR333" s="26"/>
      <c r="AS333" s="26"/>
      <c r="AT333" s="26"/>
      <c r="AU333" s="26"/>
      <c r="AV333" s="26"/>
      <c r="AW333" s="26"/>
      <c r="AX333" s="26"/>
      <c r="AY333" s="26"/>
      <c r="AZ333" s="26"/>
      <c r="BA333" s="26"/>
      <c r="BB333" s="26"/>
      <c r="BC333" s="26"/>
      <c r="BD333" s="26"/>
      <c r="BE333" s="26"/>
      <c r="BF333" s="26"/>
      <c r="BG333" s="26"/>
      <c r="BH333" s="26"/>
      <c r="BI333" s="26"/>
      <c r="BJ333" s="26"/>
      <c r="BK333" s="26"/>
    </row>
    <row r="334" ht="14.25" customHeight="1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  <c r="AE334" s="26"/>
      <c r="AF334" s="26"/>
      <c r="AG334" s="26"/>
      <c r="AH334" s="26"/>
      <c r="AI334" s="26"/>
      <c r="AJ334" s="26"/>
      <c r="AK334" s="26"/>
      <c r="AL334" s="26"/>
      <c r="AM334" s="26"/>
      <c r="AN334" s="26"/>
      <c r="AO334" s="26"/>
      <c r="AP334" s="26"/>
      <c r="AQ334" s="26"/>
      <c r="AR334" s="26"/>
      <c r="AS334" s="26"/>
      <c r="AT334" s="26"/>
      <c r="AU334" s="26"/>
      <c r="AV334" s="26"/>
      <c r="AW334" s="26"/>
      <c r="AX334" s="26"/>
      <c r="AY334" s="26"/>
      <c r="AZ334" s="26"/>
      <c r="BA334" s="26"/>
      <c r="BB334" s="26"/>
      <c r="BC334" s="26"/>
      <c r="BD334" s="26"/>
      <c r="BE334" s="26"/>
      <c r="BF334" s="26"/>
      <c r="BG334" s="26"/>
      <c r="BH334" s="26"/>
      <c r="BI334" s="26"/>
      <c r="BJ334" s="26"/>
      <c r="BK334" s="26"/>
    </row>
    <row r="335" ht="14.25" customHeight="1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  <c r="AE335" s="26"/>
      <c r="AF335" s="26"/>
      <c r="AG335" s="26"/>
      <c r="AH335" s="26"/>
      <c r="AI335" s="26"/>
      <c r="AJ335" s="26"/>
      <c r="AK335" s="26"/>
      <c r="AL335" s="26"/>
      <c r="AM335" s="26"/>
      <c r="AN335" s="26"/>
      <c r="AO335" s="26"/>
      <c r="AP335" s="26"/>
      <c r="AQ335" s="26"/>
      <c r="AR335" s="26"/>
      <c r="AS335" s="26"/>
      <c r="AT335" s="26"/>
      <c r="AU335" s="26"/>
      <c r="AV335" s="26"/>
      <c r="AW335" s="26"/>
      <c r="AX335" s="26"/>
      <c r="AY335" s="26"/>
      <c r="AZ335" s="26"/>
      <c r="BA335" s="26"/>
      <c r="BB335" s="26"/>
      <c r="BC335" s="26"/>
      <c r="BD335" s="26"/>
      <c r="BE335" s="26"/>
      <c r="BF335" s="26"/>
      <c r="BG335" s="26"/>
      <c r="BH335" s="26"/>
      <c r="BI335" s="26"/>
      <c r="BJ335" s="26"/>
      <c r="BK335" s="26"/>
    </row>
    <row r="336" ht="14.25" customHeight="1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  <c r="AE336" s="26"/>
      <c r="AF336" s="26"/>
      <c r="AG336" s="26"/>
      <c r="AH336" s="26"/>
      <c r="AI336" s="26"/>
      <c r="AJ336" s="26"/>
      <c r="AK336" s="26"/>
      <c r="AL336" s="26"/>
      <c r="AM336" s="26"/>
      <c r="AN336" s="26"/>
      <c r="AO336" s="26"/>
      <c r="AP336" s="26"/>
      <c r="AQ336" s="26"/>
      <c r="AR336" s="26"/>
      <c r="AS336" s="26"/>
      <c r="AT336" s="26"/>
      <c r="AU336" s="26"/>
      <c r="AV336" s="26"/>
      <c r="AW336" s="26"/>
      <c r="AX336" s="26"/>
      <c r="AY336" s="26"/>
      <c r="AZ336" s="26"/>
      <c r="BA336" s="26"/>
      <c r="BB336" s="26"/>
      <c r="BC336" s="26"/>
      <c r="BD336" s="26"/>
      <c r="BE336" s="26"/>
      <c r="BF336" s="26"/>
      <c r="BG336" s="26"/>
      <c r="BH336" s="26"/>
      <c r="BI336" s="26"/>
      <c r="BJ336" s="26"/>
      <c r="BK336" s="26"/>
    </row>
    <row r="337" ht="14.25" customHeight="1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  <c r="AE337" s="26"/>
      <c r="AF337" s="26"/>
      <c r="AG337" s="26"/>
      <c r="AH337" s="26"/>
      <c r="AI337" s="26"/>
      <c r="AJ337" s="26"/>
      <c r="AK337" s="26"/>
      <c r="AL337" s="26"/>
      <c r="AM337" s="26"/>
      <c r="AN337" s="26"/>
      <c r="AO337" s="26"/>
      <c r="AP337" s="26"/>
      <c r="AQ337" s="26"/>
      <c r="AR337" s="26"/>
      <c r="AS337" s="26"/>
      <c r="AT337" s="26"/>
      <c r="AU337" s="26"/>
      <c r="AV337" s="26"/>
      <c r="AW337" s="26"/>
      <c r="AX337" s="26"/>
      <c r="AY337" s="26"/>
      <c r="AZ337" s="26"/>
      <c r="BA337" s="26"/>
      <c r="BB337" s="26"/>
      <c r="BC337" s="26"/>
      <c r="BD337" s="26"/>
      <c r="BE337" s="26"/>
      <c r="BF337" s="26"/>
      <c r="BG337" s="26"/>
      <c r="BH337" s="26"/>
      <c r="BI337" s="26"/>
      <c r="BJ337" s="26"/>
      <c r="BK337" s="26"/>
    </row>
    <row r="338" ht="14.25" customHeight="1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  <c r="AE338" s="26"/>
      <c r="AF338" s="26"/>
      <c r="AG338" s="26"/>
      <c r="AH338" s="26"/>
      <c r="AI338" s="26"/>
      <c r="AJ338" s="26"/>
      <c r="AK338" s="26"/>
      <c r="AL338" s="26"/>
      <c r="AM338" s="26"/>
      <c r="AN338" s="26"/>
      <c r="AO338" s="26"/>
      <c r="AP338" s="26"/>
      <c r="AQ338" s="26"/>
      <c r="AR338" s="26"/>
      <c r="AS338" s="26"/>
      <c r="AT338" s="26"/>
      <c r="AU338" s="26"/>
      <c r="AV338" s="26"/>
      <c r="AW338" s="26"/>
      <c r="AX338" s="26"/>
      <c r="AY338" s="26"/>
      <c r="AZ338" s="26"/>
      <c r="BA338" s="26"/>
      <c r="BB338" s="26"/>
      <c r="BC338" s="26"/>
      <c r="BD338" s="26"/>
      <c r="BE338" s="26"/>
      <c r="BF338" s="26"/>
      <c r="BG338" s="26"/>
      <c r="BH338" s="26"/>
      <c r="BI338" s="26"/>
      <c r="BJ338" s="26"/>
      <c r="BK338" s="26"/>
    </row>
    <row r="339" ht="14.25" customHeight="1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  <c r="AD339" s="26"/>
      <c r="AE339" s="26"/>
      <c r="AF339" s="26"/>
      <c r="AG339" s="26"/>
      <c r="AH339" s="26"/>
      <c r="AI339" s="26"/>
      <c r="AJ339" s="26"/>
      <c r="AK339" s="26"/>
      <c r="AL339" s="26"/>
      <c r="AM339" s="26"/>
      <c r="AN339" s="26"/>
      <c r="AO339" s="26"/>
      <c r="AP339" s="26"/>
      <c r="AQ339" s="26"/>
      <c r="AR339" s="26"/>
      <c r="AS339" s="26"/>
      <c r="AT339" s="26"/>
      <c r="AU339" s="26"/>
      <c r="AV339" s="26"/>
      <c r="AW339" s="26"/>
      <c r="AX339" s="26"/>
      <c r="AY339" s="26"/>
      <c r="AZ339" s="26"/>
      <c r="BA339" s="26"/>
      <c r="BB339" s="26"/>
      <c r="BC339" s="26"/>
      <c r="BD339" s="26"/>
      <c r="BE339" s="26"/>
      <c r="BF339" s="26"/>
      <c r="BG339" s="26"/>
      <c r="BH339" s="26"/>
      <c r="BI339" s="26"/>
      <c r="BJ339" s="26"/>
      <c r="BK339" s="26"/>
    </row>
    <row r="340" ht="14.25" customHeight="1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  <c r="AE340" s="26"/>
      <c r="AF340" s="26"/>
      <c r="AG340" s="26"/>
      <c r="AH340" s="26"/>
      <c r="AI340" s="26"/>
      <c r="AJ340" s="26"/>
      <c r="AK340" s="26"/>
      <c r="AL340" s="26"/>
      <c r="AM340" s="26"/>
      <c r="AN340" s="26"/>
      <c r="AO340" s="26"/>
      <c r="AP340" s="26"/>
      <c r="AQ340" s="26"/>
      <c r="AR340" s="26"/>
      <c r="AS340" s="26"/>
      <c r="AT340" s="26"/>
      <c r="AU340" s="26"/>
      <c r="AV340" s="26"/>
      <c r="AW340" s="26"/>
      <c r="AX340" s="26"/>
      <c r="AY340" s="26"/>
      <c r="AZ340" s="26"/>
      <c r="BA340" s="26"/>
      <c r="BB340" s="26"/>
      <c r="BC340" s="26"/>
      <c r="BD340" s="26"/>
      <c r="BE340" s="26"/>
      <c r="BF340" s="26"/>
      <c r="BG340" s="26"/>
      <c r="BH340" s="26"/>
      <c r="BI340" s="26"/>
      <c r="BJ340" s="26"/>
      <c r="BK340" s="26"/>
    </row>
    <row r="341" ht="14.25" customHeight="1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  <c r="AE341" s="26"/>
      <c r="AF341" s="26"/>
      <c r="AG341" s="26"/>
      <c r="AH341" s="26"/>
      <c r="AI341" s="26"/>
      <c r="AJ341" s="26"/>
      <c r="AK341" s="26"/>
      <c r="AL341" s="26"/>
      <c r="AM341" s="26"/>
      <c r="AN341" s="26"/>
      <c r="AO341" s="26"/>
      <c r="AP341" s="26"/>
      <c r="AQ341" s="26"/>
      <c r="AR341" s="26"/>
      <c r="AS341" s="26"/>
      <c r="AT341" s="26"/>
      <c r="AU341" s="26"/>
      <c r="AV341" s="26"/>
      <c r="AW341" s="26"/>
      <c r="AX341" s="26"/>
      <c r="AY341" s="26"/>
      <c r="AZ341" s="26"/>
      <c r="BA341" s="26"/>
      <c r="BB341" s="26"/>
      <c r="BC341" s="26"/>
      <c r="BD341" s="26"/>
      <c r="BE341" s="26"/>
      <c r="BF341" s="26"/>
      <c r="BG341" s="26"/>
      <c r="BH341" s="26"/>
      <c r="BI341" s="26"/>
      <c r="BJ341" s="26"/>
      <c r="BK341" s="26"/>
    </row>
    <row r="342" ht="14.25" customHeight="1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  <c r="AE342" s="26"/>
      <c r="AF342" s="26"/>
      <c r="AG342" s="26"/>
      <c r="AH342" s="26"/>
      <c r="AI342" s="26"/>
      <c r="AJ342" s="26"/>
      <c r="AK342" s="26"/>
      <c r="AL342" s="26"/>
      <c r="AM342" s="26"/>
      <c r="AN342" s="26"/>
      <c r="AO342" s="26"/>
      <c r="AP342" s="26"/>
      <c r="AQ342" s="26"/>
      <c r="AR342" s="26"/>
      <c r="AS342" s="26"/>
      <c r="AT342" s="26"/>
      <c r="AU342" s="26"/>
      <c r="AV342" s="26"/>
      <c r="AW342" s="26"/>
      <c r="AX342" s="26"/>
      <c r="AY342" s="26"/>
      <c r="AZ342" s="26"/>
      <c r="BA342" s="26"/>
      <c r="BB342" s="26"/>
      <c r="BC342" s="26"/>
      <c r="BD342" s="26"/>
      <c r="BE342" s="26"/>
      <c r="BF342" s="26"/>
      <c r="BG342" s="26"/>
      <c r="BH342" s="26"/>
      <c r="BI342" s="26"/>
      <c r="BJ342" s="26"/>
      <c r="BK342" s="26"/>
    </row>
    <row r="343" ht="14.25" customHeight="1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  <c r="AE343" s="26"/>
      <c r="AF343" s="26"/>
      <c r="AG343" s="26"/>
      <c r="AH343" s="26"/>
      <c r="AI343" s="26"/>
      <c r="AJ343" s="26"/>
      <c r="AK343" s="26"/>
      <c r="AL343" s="26"/>
      <c r="AM343" s="26"/>
      <c r="AN343" s="26"/>
      <c r="AO343" s="26"/>
      <c r="AP343" s="26"/>
      <c r="AQ343" s="26"/>
      <c r="AR343" s="26"/>
      <c r="AS343" s="26"/>
      <c r="AT343" s="26"/>
      <c r="AU343" s="26"/>
      <c r="AV343" s="26"/>
      <c r="AW343" s="26"/>
      <c r="AX343" s="26"/>
      <c r="AY343" s="26"/>
      <c r="AZ343" s="26"/>
      <c r="BA343" s="26"/>
      <c r="BB343" s="26"/>
      <c r="BC343" s="26"/>
      <c r="BD343" s="26"/>
      <c r="BE343" s="26"/>
      <c r="BF343" s="26"/>
      <c r="BG343" s="26"/>
      <c r="BH343" s="26"/>
      <c r="BI343" s="26"/>
      <c r="BJ343" s="26"/>
      <c r="BK343" s="26"/>
    </row>
    <row r="344" ht="14.25" customHeight="1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  <c r="AF344" s="26"/>
      <c r="AG344" s="26"/>
      <c r="AH344" s="26"/>
      <c r="AI344" s="26"/>
      <c r="AJ344" s="26"/>
      <c r="AK344" s="26"/>
      <c r="AL344" s="26"/>
      <c r="AM344" s="26"/>
      <c r="AN344" s="26"/>
      <c r="AO344" s="26"/>
      <c r="AP344" s="26"/>
      <c r="AQ344" s="26"/>
      <c r="AR344" s="26"/>
      <c r="AS344" s="26"/>
      <c r="AT344" s="26"/>
      <c r="AU344" s="26"/>
      <c r="AV344" s="26"/>
      <c r="AW344" s="26"/>
      <c r="AX344" s="26"/>
      <c r="AY344" s="26"/>
      <c r="AZ344" s="26"/>
      <c r="BA344" s="26"/>
      <c r="BB344" s="26"/>
      <c r="BC344" s="26"/>
      <c r="BD344" s="26"/>
      <c r="BE344" s="26"/>
      <c r="BF344" s="26"/>
      <c r="BG344" s="26"/>
      <c r="BH344" s="26"/>
      <c r="BI344" s="26"/>
      <c r="BJ344" s="26"/>
      <c r="BK344" s="26"/>
    </row>
    <row r="345" ht="14.25" customHeight="1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  <c r="AE345" s="26"/>
      <c r="AF345" s="26"/>
      <c r="AG345" s="26"/>
      <c r="AH345" s="26"/>
      <c r="AI345" s="26"/>
      <c r="AJ345" s="26"/>
      <c r="AK345" s="26"/>
      <c r="AL345" s="26"/>
      <c r="AM345" s="26"/>
      <c r="AN345" s="26"/>
      <c r="AO345" s="26"/>
      <c r="AP345" s="26"/>
      <c r="AQ345" s="26"/>
      <c r="AR345" s="26"/>
      <c r="AS345" s="26"/>
      <c r="AT345" s="26"/>
      <c r="AU345" s="26"/>
      <c r="AV345" s="26"/>
      <c r="AW345" s="26"/>
      <c r="AX345" s="26"/>
      <c r="AY345" s="26"/>
      <c r="AZ345" s="26"/>
      <c r="BA345" s="26"/>
      <c r="BB345" s="26"/>
      <c r="BC345" s="26"/>
      <c r="BD345" s="26"/>
      <c r="BE345" s="26"/>
      <c r="BF345" s="26"/>
      <c r="BG345" s="26"/>
      <c r="BH345" s="26"/>
      <c r="BI345" s="26"/>
      <c r="BJ345" s="26"/>
      <c r="BK345" s="26"/>
    </row>
    <row r="346" ht="14.25" customHeight="1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  <c r="AF346" s="26"/>
      <c r="AG346" s="26"/>
      <c r="AH346" s="26"/>
      <c r="AI346" s="26"/>
      <c r="AJ346" s="26"/>
      <c r="AK346" s="26"/>
      <c r="AL346" s="26"/>
      <c r="AM346" s="26"/>
      <c r="AN346" s="26"/>
      <c r="AO346" s="26"/>
      <c r="AP346" s="26"/>
      <c r="AQ346" s="26"/>
      <c r="AR346" s="26"/>
      <c r="AS346" s="26"/>
      <c r="AT346" s="26"/>
      <c r="AU346" s="26"/>
      <c r="AV346" s="26"/>
      <c r="AW346" s="26"/>
      <c r="AX346" s="26"/>
      <c r="AY346" s="26"/>
      <c r="AZ346" s="26"/>
      <c r="BA346" s="26"/>
      <c r="BB346" s="26"/>
      <c r="BC346" s="26"/>
      <c r="BD346" s="26"/>
      <c r="BE346" s="26"/>
      <c r="BF346" s="26"/>
      <c r="BG346" s="26"/>
      <c r="BH346" s="26"/>
      <c r="BI346" s="26"/>
      <c r="BJ346" s="26"/>
      <c r="BK346" s="26"/>
    </row>
    <row r="347" ht="14.25" customHeight="1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  <c r="AE347" s="26"/>
      <c r="AF347" s="26"/>
      <c r="AG347" s="26"/>
      <c r="AH347" s="26"/>
      <c r="AI347" s="26"/>
      <c r="AJ347" s="26"/>
      <c r="AK347" s="26"/>
      <c r="AL347" s="26"/>
      <c r="AM347" s="26"/>
      <c r="AN347" s="26"/>
      <c r="AO347" s="26"/>
      <c r="AP347" s="26"/>
      <c r="AQ347" s="26"/>
      <c r="AR347" s="26"/>
      <c r="AS347" s="26"/>
      <c r="AT347" s="26"/>
      <c r="AU347" s="26"/>
      <c r="AV347" s="26"/>
      <c r="AW347" s="26"/>
      <c r="AX347" s="26"/>
      <c r="AY347" s="26"/>
      <c r="AZ347" s="26"/>
      <c r="BA347" s="26"/>
      <c r="BB347" s="26"/>
      <c r="BC347" s="26"/>
      <c r="BD347" s="26"/>
      <c r="BE347" s="26"/>
      <c r="BF347" s="26"/>
      <c r="BG347" s="26"/>
      <c r="BH347" s="26"/>
      <c r="BI347" s="26"/>
      <c r="BJ347" s="26"/>
      <c r="BK347" s="26"/>
    </row>
    <row r="348" ht="14.25" customHeight="1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  <c r="AE348" s="26"/>
      <c r="AF348" s="26"/>
      <c r="AG348" s="26"/>
      <c r="AH348" s="26"/>
      <c r="AI348" s="26"/>
      <c r="AJ348" s="26"/>
      <c r="AK348" s="26"/>
      <c r="AL348" s="26"/>
      <c r="AM348" s="26"/>
      <c r="AN348" s="26"/>
      <c r="AO348" s="26"/>
      <c r="AP348" s="26"/>
      <c r="AQ348" s="26"/>
      <c r="AR348" s="26"/>
      <c r="AS348" s="26"/>
      <c r="AT348" s="26"/>
      <c r="AU348" s="26"/>
      <c r="AV348" s="26"/>
      <c r="AW348" s="26"/>
      <c r="AX348" s="26"/>
      <c r="AY348" s="26"/>
      <c r="AZ348" s="26"/>
      <c r="BA348" s="26"/>
      <c r="BB348" s="26"/>
      <c r="BC348" s="26"/>
      <c r="BD348" s="26"/>
      <c r="BE348" s="26"/>
      <c r="BF348" s="26"/>
      <c r="BG348" s="26"/>
      <c r="BH348" s="26"/>
      <c r="BI348" s="26"/>
      <c r="BJ348" s="26"/>
      <c r="BK348" s="26"/>
    </row>
    <row r="349" ht="14.25" customHeight="1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  <c r="AE349" s="26"/>
      <c r="AF349" s="26"/>
      <c r="AG349" s="26"/>
      <c r="AH349" s="26"/>
      <c r="AI349" s="26"/>
      <c r="AJ349" s="26"/>
      <c r="AK349" s="26"/>
      <c r="AL349" s="26"/>
      <c r="AM349" s="26"/>
      <c r="AN349" s="26"/>
      <c r="AO349" s="26"/>
      <c r="AP349" s="26"/>
      <c r="AQ349" s="26"/>
      <c r="AR349" s="26"/>
      <c r="AS349" s="26"/>
      <c r="AT349" s="26"/>
      <c r="AU349" s="26"/>
      <c r="AV349" s="26"/>
      <c r="AW349" s="26"/>
      <c r="AX349" s="26"/>
      <c r="AY349" s="26"/>
      <c r="AZ349" s="26"/>
      <c r="BA349" s="26"/>
      <c r="BB349" s="26"/>
      <c r="BC349" s="26"/>
      <c r="BD349" s="26"/>
      <c r="BE349" s="26"/>
      <c r="BF349" s="26"/>
      <c r="BG349" s="26"/>
      <c r="BH349" s="26"/>
      <c r="BI349" s="26"/>
      <c r="BJ349" s="26"/>
      <c r="BK349" s="26"/>
    </row>
    <row r="350" ht="14.25" customHeight="1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  <c r="AE350" s="26"/>
      <c r="AF350" s="26"/>
      <c r="AG350" s="26"/>
      <c r="AH350" s="26"/>
      <c r="AI350" s="26"/>
      <c r="AJ350" s="26"/>
      <c r="AK350" s="26"/>
      <c r="AL350" s="26"/>
      <c r="AM350" s="26"/>
      <c r="AN350" s="26"/>
      <c r="AO350" s="26"/>
      <c r="AP350" s="26"/>
      <c r="AQ350" s="26"/>
      <c r="AR350" s="26"/>
      <c r="AS350" s="26"/>
      <c r="AT350" s="26"/>
      <c r="AU350" s="26"/>
      <c r="AV350" s="26"/>
      <c r="AW350" s="26"/>
      <c r="AX350" s="26"/>
      <c r="AY350" s="26"/>
      <c r="AZ350" s="26"/>
      <c r="BA350" s="26"/>
      <c r="BB350" s="26"/>
      <c r="BC350" s="26"/>
      <c r="BD350" s="26"/>
      <c r="BE350" s="26"/>
      <c r="BF350" s="26"/>
      <c r="BG350" s="26"/>
      <c r="BH350" s="26"/>
      <c r="BI350" s="26"/>
      <c r="BJ350" s="26"/>
      <c r="BK350" s="26"/>
    </row>
    <row r="351" ht="14.25" customHeight="1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  <c r="AE351" s="26"/>
      <c r="AF351" s="26"/>
      <c r="AG351" s="26"/>
      <c r="AH351" s="26"/>
      <c r="AI351" s="26"/>
      <c r="AJ351" s="26"/>
      <c r="AK351" s="26"/>
      <c r="AL351" s="26"/>
      <c r="AM351" s="26"/>
      <c r="AN351" s="26"/>
      <c r="AO351" s="26"/>
      <c r="AP351" s="26"/>
      <c r="AQ351" s="26"/>
      <c r="AR351" s="26"/>
      <c r="AS351" s="26"/>
      <c r="AT351" s="26"/>
      <c r="AU351" s="26"/>
      <c r="AV351" s="26"/>
      <c r="AW351" s="26"/>
      <c r="AX351" s="26"/>
      <c r="AY351" s="26"/>
      <c r="AZ351" s="26"/>
      <c r="BA351" s="26"/>
      <c r="BB351" s="26"/>
      <c r="BC351" s="26"/>
      <c r="BD351" s="26"/>
      <c r="BE351" s="26"/>
      <c r="BF351" s="26"/>
      <c r="BG351" s="26"/>
      <c r="BH351" s="26"/>
      <c r="BI351" s="26"/>
      <c r="BJ351" s="26"/>
      <c r="BK351" s="26"/>
    </row>
    <row r="352" ht="14.25" customHeight="1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  <c r="AE352" s="26"/>
      <c r="AF352" s="26"/>
      <c r="AG352" s="26"/>
      <c r="AH352" s="26"/>
      <c r="AI352" s="26"/>
      <c r="AJ352" s="26"/>
      <c r="AK352" s="26"/>
      <c r="AL352" s="26"/>
      <c r="AM352" s="26"/>
      <c r="AN352" s="26"/>
      <c r="AO352" s="26"/>
      <c r="AP352" s="26"/>
      <c r="AQ352" s="26"/>
      <c r="AR352" s="26"/>
      <c r="AS352" s="26"/>
      <c r="AT352" s="26"/>
      <c r="AU352" s="26"/>
      <c r="AV352" s="26"/>
      <c r="AW352" s="26"/>
      <c r="AX352" s="26"/>
      <c r="AY352" s="26"/>
      <c r="AZ352" s="26"/>
      <c r="BA352" s="26"/>
      <c r="BB352" s="26"/>
      <c r="BC352" s="26"/>
      <c r="BD352" s="26"/>
      <c r="BE352" s="26"/>
      <c r="BF352" s="26"/>
      <c r="BG352" s="26"/>
      <c r="BH352" s="26"/>
      <c r="BI352" s="26"/>
      <c r="BJ352" s="26"/>
      <c r="BK352" s="26"/>
    </row>
    <row r="353" ht="14.25" customHeight="1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  <c r="AE353" s="26"/>
      <c r="AF353" s="26"/>
      <c r="AG353" s="26"/>
      <c r="AH353" s="26"/>
      <c r="AI353" s="26"/>
      <c r="AJ353" s="26"/>
      <c r="AK353" s="26"/>
      <c r="AL353" s="26"/>
      <c r="AM353" s="26"/>
      <c r="AN353" s="26"/>
      <c r="AO353" s="26"/>
      <c r="AP353" s="26"/>
      <c r="AQ353" s="26"/>
      <c r="AR353" s="26"/>
      <c r="AS353" s="26"/>
      <c r="AT353" s="26"/>
      <c r="AU353" s="26"/>
      <c r="AV353" s="26"/>
      <c r="AW353" s="26"/>
      <c r="AX353" s="26"/>
      <c r="AY353" s="26"/>
      <c r="AZ353" s="26"/>
      <c r="BA353" s="26"/>
      <c r="BB353" s="26"/>
      <c r="BC353" s="26"/>
      <c r="BD353" s="26"/>
      <c r="BE353" s="26"/>
      <c r="BF353" s="26"/>
      <c r="BG353" s="26"/>
      <c r="BH353" s="26"/>
      <c r="BI353" s="26"/>
      <c r="BJ353" s="26"/>
      <c r="BK353" s="26"/>
    </row>
    <row r="354" ht="14.25" customHeight="1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  <c r="AE354" s="26"/>
      <c r="AF354" s="26"/>
      <c r="AG354" s="26"/>
      <c r="AH354" s="26"/>
      <c r="AI354" s="26"/>
      <c r="AJ354" s="26"/>
      <c r="AK354" s="26"/>
      <c r="AL354" s="26"/>
      <c r="AM354" s="26"/>
      <c r="AN354" s="26"/>
      <c r="AO354" s="26"/>
      <c r="AP354" s="26"/>
      <c r="AQ354" s="26"/>
      <c r="AR354" s="26"/>
      <c r="AS354" s="26"/>
      <c r="AT354" s="26"/>
      <c r="AU354" s="26"/>
      <c r="AV354" s="26"/>
      <c r="AW354" s="26"/>
      <c r="AX354" s="26"/>
      <c r="AY354" s="26"/>
      <c r="AZ354" s="26"/>
      <c r="BA354" s="26"/>
      <c r="BB354" s="26"/>
      <c r="BC354" s="26"/>
      <c r="BD354" s="26"/>
      <c r="BE354" s="26"/>
      <c r="BF354" s="26"/>
      <c r="BG354" s="26"/>
      <c r="BH354" s="26"/>
      <c r="BI354" s="26"/>
      <c r="BJ354" s="26"/>
      <c r="BK354" s="26"/>
    </row>
    <row r="355" ht="14.25" customHeight="1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  <c r="AE355" s="26"/>
      <c r="AF355" s="26"/>
      <c r="AG355" s="26"/>
      <c r="AH355" s="26"/>
      <c r="AI355" s="26"/>
      <c r="AJ355" s="26"/>
      <c r="AK355" s="26"/>
      <c r="AL355" s="26"/>
      <c r="AM355" s="26"/>
      <c r="AN355" s="26"/>
      <c r="AO355" s="26"/>
      <c r="AP355" s="26"/>
      <c r="AQ355" s="26"/>
      <c r="AR355" s="26"/>
      <c r="AS355" s="26"/>
      <c r="AT355" s="26"/>
      <c r="AU355" s="26"/>
      <c r="AV355" s="26"/>
      <c r="AW355" s="26"/>
      <c r="AX355" s="26"/>
      <c r="AY355" s="26"/>
      <c r="AZ355" s="26"/>
      <c r="BA355" s="26"/>
      <c r="BB355" s="26"/>
      <c r="BC355" s="26"/>
      <c r="BD355" s="26"/>
      <c r="BE355" s="26"/>
      <c r="BF355" s="26"/>
      <c r="BG355" s="26"/>
      <c r="BH355" s="26"/>
      <c r="BI355" s="26"/>
      <c r="BJ355" s="26"/>
      <c r="BK355" s="26"/>
    </row>
    <row r="356" ht="14.25" customHeight="1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  <c r="AE356" s="26"/>
      <c r="AF356" s="26"/>
      <c r="AG356" s="26"/>
      <c r="AH356" s="26"/>
      <c r="AI356" s="26"/>
      <c r="AJ356" s="26"/>
      <c r="AK356" s="26"/>
      <c r="AL356" s="26"/>
      <c r="AM356" s="26"/>
      <c r="AN356" s="26"/>
      <c r="AO356" s="26"/>
      <c r="AP356" s="26"/>
      <c r="AQ356" s="26"/>
      <c r="AR356" s="26"/>
      <c r="AS356" s="26"/>
      <c r="AT356" s="26"/>
      <c r="AU356" s="26"/>
      <c r="AV356" s="26"/>
      <c r="AW356" s="26"/>
      <c r="AX356" s="26"/>
      <c r="AY356" s="26"/>
      <c r="AZ356" s="26"/>
      <c r="BA356" s="26"/>
      <c r="BB356" s="26"/>
      <c r="BC356" s="26"/>
      <c r="BD356" s="26"/>
      <c r="BE356" s="26"/>
      <c r="BF356" s="26"/>
      <c r="BG356" s="26"/>
      <c r="BH356" s="26"/>
      <c r="BI356" s="26"/>
      <c r="BJ356" s="26"/>
      <c r="BK356" s="26"/>
    </row>
    <row r="357" ht="14.25" customHeight="1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  <c r="AE357" s="26"/>
      <c r="AF357" s="26"/>
      <c r="AG357" s="26"/>
      <c r="AH357" s="26"/>
      <c r="AI357" s="26"/>
      <c r="AJ357" s="26"/>
      <c r="AK357" s="26"/>
      <c r="AL357" s="26"/>
      <c r="AM357" s="26"/>
      <c r="AN357" s="26"/>
      <c r="AO357" s="26"/>
      <c r="AP357" s="26"/>
      <c r="AQ357" s="26"/>
      <c r="AR357" s="26"/>
      <c r="AS357" s="26"/>
      <c r="AT357" s="26"/>
      <c r="AU357" s="26"/>
      <c r="AV357" s="26"/>
      <c r="AW357" s="26"/>
      <c r="AX357" s="26"/>
      <c r="AY357" s="26"/>
      <c r="AZ357" s="26"/>
      <c r="BA357" s="26"/>
      <c r="BB357" s="26"/>
      <c r="BC357" s="26"/>
      <c r="BD357" s="26"/>
      <c r="BE357" s="26"/>
      <c r="BF357" s="26"/>
      <c r="BG357" s="26"/>
      <c r="BH357" s="26"/>
      <c r="BI357" s="26"/>
      <c r="BJ357" s="26"/>
      <c r="BK357" s="26"/>
    </row>
    <row r="358" ht="14.25" customHeight="1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  <c r="AF358" s="26"/>
      <c r="AG358" s="26"/>
      <c r="AH358" s="26"/>
      <c r="AI358" s="26"/>
      <c r="AJ358" s="26"/>
      <c r="AK358" s="26"/>
      <c r="AL358" s="26"/>
      <c r="AM358" s="26"/>
      <c r="AN358" s="26"/>
      <c r="AO358" s="26"/>
      <c r="AP358" s="26"/>
      <c r="AQ358" s="26"/>
      <c r="AR358" s="26"/>
      <c r="AS358" s="26"/>
      <c r="AT358" s="26"/>
      <c r="AU358" s="26"/>
      <c r="AV358" s="26"/>
      <c r="AW358" s="26"/>
      <c r="AX358" s="26"/>
      <c r="AY358" s="26"/>
      <c r="AZ358" s="26"/>
      <c r="BA358" s="26"/>
      <c r="BB358" s="26"/>
      <c r="BC358" s="26"/>
      <c r="BD358" s="26"/>
      <c r="BE358" s="26"/>
      <c r="BF358" s="26"/>
      <c r="BG358" s="26"/>
      <c r="BH358" s="26"/>
      <c r="BI358" s="26"/>
      <c r="BJ358" s="26"/>
      <c r="BK358" s="26"/>
    </row>
    <row r="359" ht="14.25" customHeight="1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  <c r="AE359" s="26"/>
      <c r="AF359" s="26"/>
      <c r="AG359" s="26"/>
      <c r="AH359" s="26"/>
      <c r="AI359" s="26"/>
      <c r="AJ359" s="26"/>
      <c r="AK359" s="26"/>
      <c r="AL359" s="26"/>
      <c r="AM359" s="26"/>
      <c r="AN359" s="26"/>
      <c r="AO359" s="26"/>
      <c r="AP359" s="26"/>
      <c r="AQ359" s="26"/>
      <c r="AR359" s="26"/>
      <c r="AS359" s="26"/>
      <c r="AT359" s="26"/>
      <c r="AU359" s="26"/>
      <c r="AV359" s="26"/>
      <c r="AW359" s="26"/>
      <c r="AX359" s="26"/>
      <c r="AY359" s="26"/>
      <c r="AZ359" s="26"/>
      <c r="BA359" s="26"/>
      <c r="BB359" s="26"/>
      <c r="BC359" s="26"/>
      <c r="BD359" s="26"/>
      <c r="BE359" s="26"/>
      <c r="BF359" s="26"/>
      <c r="BG359" s="26"/>
      <c r="BH359" s="26"/>
      <c r="BI359" s="26"/>
      <c r="BJ359" s="26"/>
      <c r="BK359" s="26"/>
    </row>
    <row r="360" ht="14.25" customHeight="1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  <c r="AE360" s="26"/>
      <c r="AF360" s="26"/>
      <c r="AG360" s="26"/>
      <c r="AH360" s="26"/>
      <c r="AI360" s="26"/>
      <c r="AJ360" s="26"/>
      <c r="AK360" s="26"/>
      <c r="AL360" s="26"/>
      <c r="AM360" s="26"/>
      <c r="AN360" s="26"/>
      <c r="AO360" s="26"/>
      <c r="AP360" s="26"/>
      <c r="AQ360" s="26"/>
      <c r="AR360" s="26"/>
      <c r="AS360" s="26"/>
      <c r="AT360" s="26"/>
      <c r="AU360" s="26"/>
      <c r="AV360" s="26"/>
      <c r="AW360" s="26"/>
      <c r="AX360" s="26"/>
      <c r="AY360" s="26"/>
      <c r="AZ360" s="26"/>
      <c r="BA360" s="26"/>
      <c r="BB360" s="26"/>
      <c r="BC360" s="26"/>
      <c r="BD360" s="26"/>
      <c r="BE360" s="26"/>
      <c r="BF360" s="26"/>
      <c r="BG360" s="26"/>
      <c r="BH360" s="26"/>
      <c r="BI360" s="26"/>
      <c r="BJ360" s="26"/>
      <c r="BK360" s="26"/>
    </row>
    <row r="361" ht="14.25" customHeight="1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  <c r="AE361" s="26"/>
      <c r="AF361" s="26"/>
      <c r="AG361" s="26"/>
      <c r="AH361" s="26"/>
      <c r="AI361" s="26"/>
      <c r="AJ361" s="26"/>
      <c r="AK361" s="26"/>
      <c r="AL361" s="26"/>
      <c r="AM361" s="26"/>
      <c r="AN361" s="26"/>
      <c r="AO361" s="26"/>
      <c r="AP361" s="26"/>
      <c r="AQ361" s="26"/>
      <c r="AR361" s="26"/>
      <c r="AS361" s="26"/>
      <c r="AT361" s="26"/>
      <c r="AU361" s="26"/>
      <c r="AV361" s="26"/>
      <c r="AW361" s="26"/>
      <c r="AX361" s="26"/>
      <c r="AY361" s="26"/>
      <c r="AZ361" s="26"/>
      <c r="BA361" s="26"/>
      <c r="BB361" s="26"/>
      <c r="BC361" s="26"/>
      <c r="BD361" s="26"/>
      <c r="BE361" s="26"/>
      <c r="BF361" s="26"/>
      <c r="BG361" s="26"/>
      <c r="BH361" s="26"/>
      <c r="BI361" s="26"/>
      <c r="BJ361" s="26"/>
      <c r="BK361" s="26"/>
    </row>
    <row r="362" ht="14.25" customHeight="1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  <c r="AE362" s="26"/>
      <c r="AF362" s="26"/>
      <c r="AG362" s="26"/>
      <c r="AH362" s="26"/>
      <c r="AI362" s="26"/>
      <c r="AJ362" s="26"/>
      <c r="AK362" s="26"/>
      <c r="AL362" s="26"/>
      <c r="AM362" s="26"/>
      <c r="AN362" s="26"/>
      <c r="AO362" s="26"/>
      <c r="AP362" s="26"/>
      <c r="AQ362" s="26"/>
      <c r="AR362" s="26"/>
      <c r="AS362" s="26"/>
      <c r="AT362" s="26"/>
      <c r="AU362" s="26"/>
      <c r="AV362" s="26"/>
      <c r="AW362" s="26"/>
      <c r="AX362" s="26"/>
      <c r="AY362" s="26"/>
      <c r="AZ362" s="26"/>
      <c r="BA362" s="26"/>
      <c r="BB362" s="26"/>
      <c r="BC362" s="26"/>
      <c r="BD362" s="26"/>
      <c r="BE362" s="26"/>
      <c r="BF362" s="26"/>
      <c r="BG362" s="26"/>
      <c r="BH362" s="26"/>
      <c r="BI362" s="26"/>
      <c r="BJ362" s="26"/>
      <c r="BK362" s="26"/>
    </row>
    <row r="363" ht="14.25" customHeight="1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  <c r="AE363" s="26"/>
      <c r="AF363" s="26"/>
      <c r="AG363" s="26"/>
      <c r="AH363" s="26"/>
      <c r="AI363" s="26"/>
      <c r="AJ363" s="26"/>
      <c r="AK363" s="26"/>
      <c r="AL363" s="26"/>
      <c r="AM363" s="26"/>
      <c r="AN363" s="26"/>
      <c r="AO363" s="26"/>
      <c r="AP363" s="26"/>
      <c r="AQ363" s="26"/>
      <c r="AR363" s="26"/>
      <c r="AS363" s="26"/>
      <c r="AT363" s="26"/>
      <c r="AU363" s="26"/>
      <c r="AV363" s="26"/>
      <c r="AW363" s="26"/>
      <c r="AX363" s="26"/>
      <c r="AY363" s="26"/>
      <c r="AZ363" s="26"/>
      <c r="BA363" s="26"/>
      <c r="BB363" s="26"/>
      <c r="BC363" s="26"/>
      <c r="BD363" s="26"/>
      <c r="BE363" s="26"/>
      <c r="BF363" s="26"/>
      <c r="BG363" s="26"/>
      <c r="BH363" s="26"/>
      <c r="BI363" s="26"/>
      <c r="BJ363" s="26"/>
      <c r="BK363" s="26"/>
    </row>
    <row r="364" ht="14.25" customHeight="1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  <c r="AE364" s="26"/>
      <c r="AF364" s="26"/>
      <c r="AG364" s="26"/>
      <c r="AH364" s="26"/>
      <c r="AI364" s="26"/>
      <c r="AJ364" s="26"/>
      <c r="AK364" s="26"/>
      <c r="AL364" s="26"/>
      <c r="AM364" s="26"/>
      <c r="AN364" s="26"/>
      <c r="AO364" s="26"/>
      <c r="AP364" s="26"/>
      <c r="AQ364" s="26"/>
      <c r="AR364" s="26"/>
      <c r="AS364" s="26"/>
      <c r="AT364" s="26"/>
      <c r="AU364" s="26"/>
      <c r="AV364" s="26"/>
      <c r="AW364" s="26"/>
      <c r="AX364" s="26"/>
      <c r="AY364" s="26"/>
      <c r="AZ364" s="26"/>
      <c r="BA364" s="26"/>
      <c r="BB364" s="26"/>
      <c r="BC364" s="26"/>
      <c r="BD364" s="26"/>
      <c r="BE364" s="26"/>
      <c r="BF364" s="26"/>
      <c r="BG364" s="26"/>
      <c r="BH364" s="26"/>
      <c r="BI364" s="26"/>
      <c r="BJ364" s="26"/>
      <c r="BK364" s="26"/>
    </row>
    <row r="365" ht="14.25" customHeight="1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  <c r="AE365" s="26"/>
      <c r="AF365" s="26"/>
      <c r="AG365" s="26"/>
      <c r="AH365" s="26"/>
      <c r="AI365" s="26"/>
      <c r="AJ365" s="26"/>
      <c r="AK365" s="26"/>
      <c r="AL365" s="26"/>
      <c r="AM365" s="26"/>
      <c r="AN365" s="26"/>
      <c r="AO365" s="26"/>
      <c r="AP365" s="26"/>
      <c r="AQ365" s="26"/>
      <c r="AR365" s="26"/>
      <c r="AS365" s="26"/>
      <c r="AT365" s="26"/>
      <c r="AU365" s="26"/>
      <c r="AV365" s="26"/>
      <c r="AW365" s="26"/>
      <c r="AX365" s="26"/>
      <c r="AY365" s="26"/>
      <c r="AZ365" s="26"/>
      <c r="BA365" s="26"/>
      <c r="BB365" s="26"/>
      <c r="BC365" s="26"/>
      <c r="BD365" s="26"/>
      <c r="BE365" s="26"/>
      <c r="BF365" s="26"/>
      <c r="BG365" s="26"/>
      <c r="BH365" s="26"/>
      <c r="BI365" s="26"/>
      <c r="BJ365" s="26"/>
      <c r="BK365" s="26"/>
    </row>
    <row r="366" ht="14.25" customHeight="1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  <c r="AF366" s="26"/>
      <c r="AG366" s="26"/>
      <c r="AH366" s="26"/>
      <c r="AI366" s="26"/>
      <c r="AJ366" s="26"/>
      <c r="AK366" s="26"/>
      <c r="AL366" s="26"/>
      <c r="AM366" s="26"/>
      <c r="AN366" s="26"/>
      <c r="AO366" s="26"/>
      <c r="AP366" s="26"/>
      <c r="AQ366" s="26"/>
      <c r="AR366" s="26"/>
      <c r="AS366" s="26"/>
      <c r="AT366" s="26"/>
      <c r="AU366" s="26"/>
      <c r="AV366" s="26"/>
      <c r="AW366" s="26"/>
      <c r="AX366" s="26"/>
      <c r="AY366" s="26"/>
      <c r="AZ366" s="26"/>
      <c r="BA366" s="26"/>
      <c r="BB366" s="26"/>
      <c r="BC366" s="26"/>
      <c r="BD366" s="26"/>
      <c r="BE366" s="26"/>
      <c r="BF366" s="26"/>
      <c r="BG366" s="26"/>
      <c r="BH366" s="26"/>
      <c r="BI366" s="26"/>
      <c r="BJ366" s="26"/>
      <c r="BK366" s="26"/>
    </row>
    <row r="367" ht="14.25" customHeight="1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  <c r="AE367" s="26"/>
      <c r="AF367" s="26"/>
      <c r="AG367" s="26"/>
      <c r="AH367" s="26"/>
      <c r="AI367" s="26"/>
      <c r="AJ367" s="26"/>
      <c r="AK367" s="26"/>
      <c r="AL367" s="26"/>
      <c r="AM367" s="26"/>
      <c r="AN367" s="26"/>
      <c r="AO367" s="26"/>
      <c r="AP367" s="26"/>
      <c r="AQ367" s="26"/>
      <c r="AR367" s="26"/>
      <c r="AS367" s="26"/>
      <c r="AT367" s="26"/>
      <c r="AU367" s="26"/>
      <c r="AV367" s="26"/>
      <c r="AW367" s="26"/>
      <c r="AX367" s="26"/>
      <c r="AY367" s="26"/>
      <c r="AZ367" s="26"/>
      <c r="BA367" s="26"/>
      <c r="BB367" s="26"/>
      <c r="BC367" s="26"/>
      <c r="BD367" s="26"/>
      <c r="BE367" s="26"/>
      <c r="BF367" s="26"/>
      <c r="BG367" s="26"/>
      <c r="BH367" s="26"/>
      <c r="BI367" s="26"/>
      <c r="BJ367" s="26"/>
      <c r="BK367" s="26"/>
    </row>
    <row r="368" ht="14.25" customHeight="1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  <c r="AE368" s="26"/>
      <c r="AF368" s="26"/>
      <c r="AG368" s="26"/>
      <c r="AH368" s="26"/>
      <c r="AI368" s="26"/>
      <c r="AJ368" s="26"/>
      <c r="AK368" s="26"/>
      <c r="AL368" s="26"/>
      <c r="AM368" s="26"/>
      <c r="AN368" s="26"/>
      <c r="AO368" s="26"/>
      <c r="AP368" s="26"/>
      <c r="AQ368" s="26"/>
      <c r="AR368" s="26"/>
      <c r="AS368" s="26"/>
      <c r="AT368" s="26"/>
      <c r="AU368" s="26"/>
      <c r="AV368" s="26"/>
      <c r="AW368" s="26"/>
      <c r="AX368" s="26"/>
      <c r="AY368" s="26"/>
      <c r="AZ368" s="26"/>
      <c r="BA368" s="26"/>
      <c r="BB368" s="26"/>
      <c r="BC368" s="26"/>
      <c r="BD368" s="26"/>
      <c r="BE368" s="26"/>
      <c r="BF368" s="26"/>
      <c r="BG368" s="26"/>
      <c r="BH368" s="26"/>
      <c r="BI368" s="26"/>
      <c r="BJ368" s="26"/>
      <c r="BK368" s="26"/>
    </row>
    <row r="369" ht="14.25" customHeight="1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  <c r="AE369" s="26"/>
      <c r="AF369" s="26"/>
      <c r="AG369" s="26"/>
      <c r="AH369" s="26"/>
      <c r="AI369" s="26"/>
      <c r="AJ369" s="26"/>
      <c r="AK369" s="26"/>
      <c r="AL369" s="26"/>
      <c r="AM369" s="26"/>
      <c r="AN369" s="26"/>
      <c r="AO369" s="26"/>
      <c r="AP369" s="26"/>
      <c r="AQ369" s="26"/>
      <c r="AR369" s="26"/>
      <c r="AS369" s="26"/>
      <c r="AT369" s="26"/>
      <c r="AU369" s="26"/>
      <c r="AV369" s="26"/>
      <c r="AW369" s="26"/>
      <c r="AX369" s="26"/>
      <c r="AY369" s="26"/>
      <c r="AZ369" s="26"/>
      <c r="BA369" s="26"/>
      <c r="BB369" s="26"/>
      <c r="BC369" s="26"/>
      <c r="BD369" s="26"/>
      <c r="BE369" s="26"/>
      <c r="BF369" s="26"/>
      <c r="BG369" s="26"/>
      <c r="BH369" s="26"/>
      <c r="BI369" s="26"/>
      <c r="BJ369" s="26"/>
      <c r="BK369" s="26"/>
    </row>
    <row r="370" ht="14.25" customHeight="1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  <c r="AF370" s="26"/>
      <c r="AG370" s="26"/>
      <c r="AH370" s="26"/>
      <c r="AI370" s="26"/>
      <c r="AJ370" s="26"/>
      <c r="AK370" s="26"/>
      <c r="AL370" s="26"/>
      <c r="AM370" s="26"/>
      <c r="AN370" s="26"/>
      <c r="AO370" s="26"/>
      <c r="AP370" s="26"/>
      <c r="AQ370" s="26"/>
      <c r="AR370" s="26"/>
      <c r="AS370" s="26"/>
      <c r="AT370" s="26"/>
      <c r="AU370" s="26"/>
      <c r="AV370" s="26"/>
      <c r="AW370" s="26"/>
      <c r="AX370" s="26"/>
      <c r="AY370" s="26"/>
      <c r="AZ370" s="26"/>
      <c r="BA370" s="26"/>
      <c r="BB370" s="26"/>
      <c r="BC370" s="26"/>
      <c r="BD370" s="26"/>
      <c r="BE370" s="26"/>
      <c r="BF370" s="26"/>
      <c r="BG370" s="26"/>
      <c r="BH370" s="26"/>
      <c r="BI370" s="26"/>
      <c r="BJ370" s="26"/>
      <c r="BK370" s="26"/>
    </row>
    <row r="371" ht="14.25" customHeight="1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  <c r="AE371" s="26"/>
      <c r="AF371" s="26"/>
      <c r="AG371" s="26"/>
      <c r="AH371" s="26"/>
      <c r="AI371" s="26"/>
      <c r="AJ371" s="26"/>
      <c r="AK371" s="26"/>
      <c r="AL371" s="26"/>
      <c r="AM371" s="26"/>
      <c r="AN371" s="26"/>
      <c r="AO371" s="26"/>
      <c r="AP371" s="26"/>
      <c r="AQ371" s="26"/>
      <c r="AR371" s="26"/>
      <c r="AS371" s="26"/>
      <c r="AT371" s="26"/>
      <c r="AU371" s="26"/>
      <c r="AV371" s="26"/>
      <c r="AW371" s="26"/>
      <c r="AX371" s="26"/>
      <c r="AY371" s="26"/>
      <c r="AZ371" s="26"/>
      <c r="BA371" s="26"/>
      <c r="BB371" s="26"/>
      <c r="BC371" s="26"/>
      <c r="BD371" s="26"/>
      <c r="BE371" s="26"/>
      <c r="BF371" s="26"/>
      <c r="BG371" s="26"/>
      <c r="BH371" s="26"/>
      <c r="BI371" s="26"/>
      <c r="BJ371" s="26"/>
      <c r="BK371" s="26"/>
    </row>
    <row r="372" ht="14.25" customHeight="1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  <c r="AE372" s="26"/>
      <c r="AF372" s="26"/>
      <c r="AG372" s="26"/>
      <c r="AH372" s="26"/>
      <c r="AI372" s="26"/>
      <c r="AJ372" s="26"/>
      <c r="AK372" s="26"/>
      <c r="AL372" s="26"/>
      <c r="AM372" s="26"/>
      <c r="AN372" s="26"/>
      <c r="AO372" s="26"/>
      <c r="AP372" s="26"/>
      <c r="AQ372" s="26"/>
      <c r="AR372" s="26"/>
      <c r="AS372" s="26"/>
      <c r="AT372" s="26"/>
      <c r="AU372" s="26"/>
      <c r="AV372" s="26"/>
      <c r="AW372" s="26"/>
      <c r="AX372" s="26"/>
      <c r="AY372" s="26"/>
      <c r="AZ372" s="26"/>
      <c r="BA372" s="26"/>
      <c r="BB372" s="26"/>
      <c r="BC372" s="26"/>
      <c r="BD372" s="26"/>
      <c r="BE372" s="26"/>
      <c r="BF372" s="26"/>
      <c r="BG372" s="26"/>
      <c r="BH372" s="26"/>
      <c r="BI372" s="26"/>
      <c r="BJ372" s="26"/>
      <c r="BK372" s="26"/>
    </row>
    <row r="373" ht="14.25" customHeight="1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  <c r="AE373" s="26"/>
      <c r="AF373" s="26"/>
      <c r="AG373" s="26"/>
      <c r="AH373" s="26"/>
      <c r="AI373" s="26"/>
      <c r="AJ373" s="26"/>
      <c r="AK373" s="26"/>
      <c r="AL373" s="26"/>
      <c r="AM373" s="26"/>
      <c r="AN373" s="26"/>
      <c r="AO373" s="26"/>
      <c r="AP373" s="26"/>
      <c r="AQ373" s="26"/>
      <c r="AR373" s="26"/>
      <c r="AS373" s="26"/>
      <c r="AT373" s="26"/>
      <c r="AU373" s="26"/>
      <c r="AV373" s="26"/>
      <c r="AW373" s="26"/>
      <c r="AX373" s="26"/>
      <c r="AY373" s="26"/>
      <c r="AZ373" s="26"/>
      <c r="BA373" s="26"/>
      <c r="BB373" s="26"/>
      <c r="BC373" s="26"/>
      <c r="BD373" s="26"/>
      <c r="BE373" s="26"/>
      <c r="BF373" s="26"/>
      <c r="BG373" s="26"/>
      <c r="BH373" s="26"/>
      <c r="BI373" s="26"/>
      <c r="BJ373" s="26"/>
      <c r="BK373" s="26"/>
    </row>
    <row r="374" ht="14.25" customHeight="1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  <c r="AE374" s="26"/>
      <c r="AF374" s="26"/>
      <c r="AG374" s="26"/>
      <c r="AH374" s="26"/>
      <c r="AI374" s="26"/>
      <c r="AJ374" s="26"/>
      <c r="AK374" s="26"/>
      <c r="AL374" s="26"/>
      <c r="AM374" s="26"/>
      <c r="AN374" s="26"/>
      <c r="AO374" s="26"/>
      <c r="AP374" s="26"/>
      <c r="AQ374" s="26"/>
      <c r="AR374" s="26"/>
      <c r="AS374" s="26"/>
      <c r="AT374" s="26"/>
      <c r="AU374" s="26"/>
      <c r="AV374" s="26"/>
      <c r="AW374" s="26"/>
      <c r="AX374" s="26"/>
      <c r="AY374" s="26"/>
      <c r="AZ374" s="26"/>
      <c r="BA374" s="26"/>
      <c r="BB374" s="26"/>
      <c r="BC374" s="26"/>
      <c r="BD374" s="26"/>
      <c r="BE374" s="26"/>
      <c r="BF374" s="26"/>
      <c r="BG374" s="26"/>
      <c r="BH374" s="26"/>
      <c r="BI374" s="26"/>
      <c r="BJ374" s="26"/>
      <c r="BK374" s="26"/>
    </row>
    <row r="375" ht="14.25" customHeight="1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  <c r="AE375" s="26"/>
      <c r="AF375" s="26"/>
      <c r="AG375" s="26"/>
      <c r="AH375" s="26"/>
      <c r="AI375" s="26"/>
      <c r="AJ375" s="26"/>
      <c r="AK375" s="26"/>
      <c r="AL375" s="26"/>
      <c r="AM375" s="26"/>
      <c r="AN375" s="26"/>
      <c r="AO375" s="26"/>
      <c r="AP375" s="26"/>
      <c r="AQ375" s="26"/>
      <c r="AR375" s="26"/>
      <c r="AS375" s="26"/>
      <c r="AT375" s="26"/>
      <c r="AU375" s="26"/>
      <c r="AV375" s="26"/>
      <c r="AW375" s="26"/>
      <c r="AX375" s="26"/>
      <c r="AY375" s="26"/>
      <c r="AZ375" s="26"/>
      <c r="BA375" s="26"/>
      <c r="BB375" s="26"/>
      <c r="BC375" s="26"/>
      <c r="BD375" s="26"/>
      <c r="BE375" s="26"/>
      <c r="BF375" s="26"/>
      <c r="BG375" s="26"/>
      <c r="BH375" s="26"/>
      <c r="BI375" s="26"/>
      <c r="BJ375" s="26"/>
      <c r="BK375" s="26"/>
    </row>
    <row r="376" ht="14.25" customHeight="1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26"/>
      <c r="AF376" s="26"/>
      <c r="AG376" s="26"/>
      <c r="AH376" s="26"/>
      <c r="AI376" s="26"/>
      <c r="AJ376" s="26"/>
      <c r="AK376" s="26"/>
      <c r="AL376" s="26"/>
      <c r="AM376" s="26"/>
      <c r="AN376" s="26"/>
      <c r="AO376" s="26"/>
      <c r="AP376" s="26"/>
      <c r="AQ376" s="26"/>
      <c r="AR376" s="26"/>
      <c r="AS376" s="26"/>
      <c r="AT376" s="26"/>
      <c r="AU376" s="26"/>
      <c r="AV376" s="26"/>
      <c r="AW376" s="26"/>
      <c r="AX376" s="26"/>
      <c r="AY376" s="26"/>
      <c r="AZ376" s="26"/>
      <c r="BA376" s="26"/>
      <c r="BB376" s="26"/>
      <c r="BC376" s="26"/>
      <c r="BD376" s="26"/>
      <c r="BE376" s="26"/>
      <c r="BF376" s="26"/>
      <c r="BG376" s="26"/>
      <c r="BH376" s="26"/>
      <c r="BI376" s="26"/>
      <c r="BJ376" s="26"/>
      <c r="BK376" s="26"/>
    </row>
    <row r="377" ht="14.25" customHeight="1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  <c r="AE377" s="26"/>
      <c r="AF377" s="26"/>
      <c r="AG377" s="26"/>
      <c r="AH377" s="26"/>
      <c r="AI377" s="26"/>
      <c r="AJ377" s="26"/>
      <c r="AK377" s="26"/>
      <c r="AL377" s="26"/>
      <c r="AM377" s="26"/>
      <c r="AN377" s="26"/>
      <c r="AO377" s="26"/>
      <c r="AP377" s="26"/>
      <c r="AQ377" s="26"/>
      <c r="AR377" s="26"/>
      <c r="AS377" s="26"/>
      <c r="AT377" s="26"/>
      <c r="AU377" s="26"/>
      <c r="AV377" s="26"/>
      <c r="AW377" s="26"/>
      <c r="AX377" s="26"/>
      <c r="AY377" s="26"/>
      <c r="AZ377" s="26"/>
      <c r="BA377" s="26"/>
      <c r="BB377" s="26"/>
      <c r="BC377" s="26"/>
      <c r="BD377" s="26"/>
      <c r="BE377" s="26"/>
      <c r="BF377" s="26"/>
      <c r="BG377" s="26"/>
      <c r="BH377" s="26"/>
      <c r="BI377" s="26"/>
      <c r="BJ377" s="26"/>
      <c r="BK377" s="26"/>
    </row>
    <row r="378" ht="14.25" customHeight="1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  <c r="AE378" s="26"/>
      <c r="AF378" s="26"/>
      <c r="AG378" s="26"/>
      <c r="AH378" s="26"/>
      <c r="AI378" s="26"/>
      <c r="AJ378" s="26"/>
      <c r="AK378" s="26"/>
      <c r="AL378" s="26"/>
      <c r="AM378" s="26"/>
      <c r="AN378" s="26"/>
      <c r="AO378" s="26"/>
      <c r="AP378" s="26"/>
      <c r="AQ378" s="26"/>
      <c r="AR378" s="26"/>
      <c r="AS378" s="26"/>
      <c r="AT378" s="26"/>
      <c r="AU378" s="26"/>
      <c r="AV378" s="26"/>
      <c r="AW378" s="26"/>
      <c r="AX378" s="26"/>
      <c r="AY378" s="26"/>
      <c r="AZ378" s="26"/>
      <c r="BA378" s="26"/>
      <c r="BB378" s="26"/>
      <c r="BC378" s="26"/>
      <c r="BD378" s="26"/>
      <c r="BE378" s="26"/>
      <c r="BF378" s="26"/>
      <c r="BG378" s="26"/>
      <c r="BH378" s="26"/>
      <c r="BI378" s="26"/>
      <c r="BJ378" s="26"/>
      <c r="BK378" s="26"/>
    </row>
    <row r="379" ht="14.25" customHeight="1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  <c r="AE379" s="26"/>
      <c r="AF379" s="26"/>
      <c r="AG379" s="26"/>
      <c r="AH379" s="26"/>
      <c r="AI379" s="26"/>
      <c r="AJ379" s="26"/>
      <c r="AK379" s="26"/>
      <c r="AL379" s="26"/>
      <c r="AM379" s="26"/>
      <c r="AN379" s="26"/>
      <c r="AO379" s="26"/>
      <c r="AP379" s="26"/>
      <c r="AQ379" s="26"/>
      <c r="AR379" s="26"/>
      <c r="AS379" s="26"/>
      <c r="AT379" s="26"/>
      <c r="AU379" s="26"/>
      <c r="AV379" s="26"/>
      <c r="AW379" s="26"/>
      <c r="AX379" s="26"/>
      <c r="AY379" s="26"/>
      <c r="AZ379" s="26"/>
      <c r="BA379" s="26"/>
      <c r="BB379" s="26"/>
      <c r="BC379" s="26"/>
      <c r="BD379" s="26"/>
      <c r="BE379" s="26"/>
      <c r="BF379" s="26"/>
      <c r="BG379" s="26"/>
      <c r="BH379" s="26"/>
      <c r="BI379" s="26"/>
      <c r="BJ379" s="26"/>
      <c r="BK379" s="26"/>
    </row>
    <row r="380" ht="14.25" customHeight="1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  <c r="AF380" s="26"/>
      <c r="AG380" s="26"/>
      <c r="AH380" s="26"/>
      <c r="AI380" s="26"/>
      <c r="AJ380" s="26"/>
      <c r="AK380" s="26"/>
      <c r="AL380" s="26"/>
      <c r="AM380" s="26"/>
      <c r="AN380" s="26"/>
      <c r="AO380" s="26"/>
      <c r="AP380" s="26"/>
      <c r="AQ380" s="26"/>
      <c r="AR380" s="26"/>
      <c r="AS380" s="26"/>
      <c r="AT380" s="26"/>
      <c r="AU380" s="26"/>
      <c r="AV380" s="26"/>
      <c r="AW380" s="26"/>
      <c r="AX380" s="26"/>
      <c r="AY380" s="26"/>
      <c r="AZ380" s="26"/>
      <c r="BA380" s="26"/>
      <c r="BB380" s="26"/>
      <c r="BC380" s="26"/>
      <c r="BD380" s="26"/>
      <c r="BE380" s="26"/>
      <c r="BF380" s="26"/>
      <c r="BG380" s="26"/>
      <c r="BH380" s="26"/>
      <c r="BI380" s="26"/>
      <c r="BJ380" s="26"/>
      <c r="BK380" s="26"/>
    </row>
    <row r="381" ht="14.25" customHeight="1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  <c r="AE381" s="26"/>
      <c r="AF381" s="26"/>
      <c r="AG381" s="26"/>
      <c r="AH381" s="26"/>
      <c r="AI381" s="26"/>
      <c r="AJ381" s="26"/>
      <c r="AK381" s="26"/>
      <c r="AL381" s="26"/>
      <c r="AM381" s="26"/>
      <c r="AN381" s="26"/>
      <c r="AO381" s="26"/>
      <c r="AP381" s="26"/>
      <c r="AQ381" s="26"/>
      <c r="AR381" s="26"/>
      <c r="AS381" s="26"/>
      <c r="AT381" s="26"/>
      <c r="AU381" s="26"/>
      <c r="AV381" s="26"/>
      <c r="AW381" s="26"/>
      <c r="AX381" s="26"/>
      <c r="AY381" s="26"/>
      <c r="AZ381" s="26"/>
      <c r="BA381" s="26"/>
      <c r="BB381" s="26"/>
      <c r="BC381" s="26"/>
      <c r="BD381" s="26"/>
      <c r="BE381" s="26"/>
      <c r="BF381" s="26"/>
      <c r="BG381" s="26"/>
      <c r="BH381" s="26"/>
      <c r="BI381" s="26"/>
      <c r="BJ381" s="26"/>
      <c r="BK381" s="26"/>
    </row>
    <row r="382" ht="14.25" customHeight="1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  <c r="AE382" s="26"/>
      <c r="AF382" s="26"/>
      <c r="AG382" s="26"/>
      <c r="AH382" s="26"/>
      <c r="AI382" s="26"/>
      <c r="AJ382" s="26"/>
      <c r="AK382" s="26"/>
      <c r="AL382" s="26"/>
      <c r="AM382" s="26"/>
      <c r="AN382" s="26"/>
      <c r="AO382" s="26"/>
      <c r="AP382" s="26"/>
      <c r="AQ382" s="26"/>
      <c r="AR382" s="26"/>
      <c r="AS382" s="26"/>
      <c r="AT382" s="26"/>
      <c r="AU382" s="26"/>
      <c r="AV382" s="26"/>
      <c r="AW382" s="26"/>
      <c r="AX382" s="26"/>
      <c r="AY382" s="26"/>
      <c r="AZ382" s="26"/>
      <c r="BA382" s="26"/>
      <c r="BB382" s="26"/>
      <c r="BC382" s="26"/>
      <c r="BD382" s="26"/>
      <c r="BE382" s="26"/>
      <c r="BF382" s="26"/>
      <c r="BG382" s="26"/>
      <c r="BH382" s="26"/>
      <c r="BI382" s="26"/>
      <c r="BJ382" s="26"/>
      <c r="BK382" s="26"/>
    </row>
    <row r="383" ht="14.25" customHeight="1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  <c r="AE383" s="26"/>
      <c r="AF383" s="26"/>
      <c r="AG383" s="26"/>
      <c r="AH383" s="26"/>
      <c r="AI383" s="26"/>
      <c r="AJ383" s="26"/>
      <c r="AK383" s="26"/>
      <c r="AL383" s="26"/>
      <c r="AM383" s="26"/>
      <c r="AN383" s="26"/>
      <c r="AO383" s="26"/>
      <c r="AP383" s="26"/>
      <c r="AQ383" s="26"/>
      <c r="AR383" s="26"/>
      <c r="AS383" s="26"/>
      <c r="AT383" s="26"/>
      <c r="AU383" s="26"/>
      <c r="AV383" s="26"/>
      <c r="AW383" s="26"/>
      <c r="AX383" s="26"/>
      <c r="AY383" s="26"/>
      <c r="AZ383" s="26"/>
      <c r="BA383" s="26"/>
      <c r="BB383" s="26"/>
      <c r="BC383" s="26"/>
      <c r="BD383" s="26"/>
      <c r="BE383" s="26"/>
      <c r="BF383" s="26"/>
      <c r="BG383" s="26"/>
      <c r="BH383" s="26"/>
      <c r="BI383" s="26"/>
      <c r="BJ383" s="26"/>
      <c r="BK383" s="26"/>
    </row>
    <row r="384" ht="14.25" customHeight="1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  <c r="AE384" s="26"/>
      <c r="AF384" s="26"/>
      <c r="AG384" s="26"/>
      <c r="AH384" s="26"/>
      <c r="AI384" s="26"/>
      <c r="AJ384" s="26"/>
      <c r="AK384" s="26"/>
      <c r="AL384" s="26"/>
      <c r="AM384" s="26"/>
      <c r="AN384" s="26"/>
      <c r="AO384" s="26"/>
      <c r="AP384" s="26"/>
      <c r="AQ384" s="26"/>
      <c r="AR384" s="26"/>
      <c r="AS384" s="26"/>
      <c r="AT384" s="26"/>
      <c r="AU384" s="26"/>
      <c r="AV384" s="26"/>
      <c r="AW384" s="26"/>
      <c r="AX384" s="26"/>
      <c r="AY384" s="26"/>
      <c r="AZ384" s="26"/>
      <c r="BA384" s="26"/>
      <c r="BB384" s="26"/>
      <c r="BC384" s="26"/>
      <c r="BD384" s="26"/>
      <c r="BE384" s="26"/>
      <c r="BF384" s="26"/>
      <c r="BG384" s="26"/>
      <c r="BH384" s="26"/>
      <c r="BI384" s="26"/>
      <c r="BJ384" s="26"/>
      <c r="BK384" s="26"/>
    </row>
    <row r="385" ht="14.25" customHeight="1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  <c r="AE385" s="26"/>
      <c r="AF385" s="26"/>
      <c r="AG385" s="26"/>
      <c r="AH385" s="26"/>
      <c r="AI385" s="26"/>
      <c r="AJ385" s="26"/>
      <c r="AK385" s="26"/>
      <c r="AL385" s="26"/>
      <c r="AM385" s="26"/>
      <c r="AN385" s="26"/>
      <c r="AO385" s="26"/>
      <c r="AP385" s="26"/>
      <c r="AQ385" s="26"/>
      <c r="AR385" s="26"/>
      <c r="AS385" s="26"/>
      <c r="AT385" s="26"/>
      <c r="AU385" s="26"/>
      <c r="AV385" s="26"/>
      <c r="AW385" s="26"/>
      <c r="AX385" s="26"/>
      <c r="AY385" s="26"/>
      <c r="AZ385" s="26"/>
      <c r="BA385" s="26"/>
      <c r="BB385" s="26"/>
      <c r="BC385" s="26"/>
      <c r="BD385" s="26"/>
      <c r="BE385" s="26"/>
      <c r="BF385" s="26"/>
      <c r="BG385" s="26"/>
      <c r="BH385" s="26"/>
      <c r="BI385" s="26"/>
      <c r="BJ385" s="26"/>
      <c r="BK385" s="26"/>
    </row>
    <row r="386" ht="14.25" customHeight="1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  <c r="AE386" s="26"/>
      <c r="AF386" s="26"/>
      <c r="AG386" s="26"/>
      <c r="AH386" s="26"/>
      <c r="AI386" s="26"/>
      <c r="AJ386" s="26"/>
      <c r="AK386" s="26"/>
      <c r="AL386" s="26"/>
      <c r="AM386" s="26"/>
      <c r="AN386" s="26"/>
      <c r="AO386" s="26"/>
      <c r="AP386" s="26"/>
      <c r="AQ386" s="26"/>
      <c r="AR386" s="26"/>
      <c r="AS386" s="26"/>
      <c r="AT386" s="26"/>
      <c r="AU386" s="26"/>
      <c r="AV386" s="26"/>
      <c r="AW386" s="26"/>
      <c r="AX386" s="26"/>
      <c r="AY386" s="26"/>
      <c r="AZ386" s="26"/>
      <c r="BA386" s="26"/>
      <c r="BB386" s="26"/>
      <c r="BC386" s="26"/>
      <c r="BD386" s="26"/>
      <c r="BE386" s="26"/>
      <c r="BF386" s="26"/>
      <c r="BG386" s="26"/>
      <c r="BH386" s="26"/>
      <c r="BI386" s="26"/>
      <c r="BJ386" s="26"/>
      <c r="BK386" s="26"/>
    </row>
    <row r="387" ht="14.25" customHeight="1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  <c r="AD387" s="26"/>
      <c r="AE387" s="26"/>
      <c r="AF387" s="26"/>
      <c r="AG387" s="26"/>
      <c r="AH387" s="26"/>
      <c r="AI387" s="26"/>
      <c r="AJ387" s="26"/>
      <c r="AK387" s="26"/>
      <c r="AL387" s="26"/>
      <c r="AM387" s="26"/>
      <c r="AN387" s="26"/>
      <c r="AO387" s="26"/>
      <c r="AP387" s="26"/>
      <c r="AQ387" s="26"/>
      <c r="AR387" s="26"/>
      <c r="AS387" s="26"/>
      <c r="AT387" s="26"/>
      <c r="AU387" s="26"/>
      <c r="AV387" s="26"/>
      <c r="AW387" s="26"/>
      <c r="AX387" s="26"/>
      <c r="AY387" s="26"/>
      <c r="AZ387" s="26"/>
      <c r="BA387" s="26"/>
      <c r="BB387" s="26"/>
      <c r="BC387" s="26"/>
      <c r="BD387" s="26"/>
      <c r="BE387" s="26"/>
      <c r="BF387" s="26"/>
      <c r="BG387" s="26"/>
      <c r="BH387" s="26"/>
      <c r="BI387" s="26"/>
      <c r="BJ387" s="26"/>
      <c r="BK387" s="26"/>
    </row>
    <row r="388" ht="14.25" customHeight="1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  <c r="AE388" s="26"/>
      <c r="AF388" s="26"/>
      <c r="AG388" s="26"/>
      <c r="AH388" s="26"/>
      <c r="AI388" s="26"/>
      <c r="AJ388" s="26"/>
      <c r="AK388" s="26"/>
      <c r="AL388" s="26"/>
      <c r="AM388" s="26"/>
      <c r="AN388" s="26"/>
      <c r="AO388" s="26"/>
      <c r="AP388" s="26"/>
      <c r="AQ388" s="26"/>
      <c r="AR388" s="26"/>
      <c r="AS388" s="26"/>
      <c r="AT388" s="26"/>
      <c r="AU388" s="26"/>
      <c r="AV388" s="26"/>
      <c r="AW388" s="26"/>
      <c r="AX388" s="26"/>
      <c r="AY388" s="26"/>
      <c r="AZ388" s="26"/>
      <c r="BA388" s="26"/>
      <c r="BB388" s="26"/>
      <c r="BC388" s="26"/>
      <c r="BD388" s="26"/>
      <c r="BE388" s="26"/>
      <c r="BF388" s="26"/>
      <c r="BG388" s="26"/>
      <c r="BH388" s="26"/>
      <c r="BI388" s="26"/>
      <c r="BJ388" s="26"/>
      <c r="BK388" s="26"/>
    </row>
    <row r="389" ht="14.25" customHeight="1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26"/>
      <c r="AE389" s="26"/>
      <c r="AF389" s="26"/>
      <c r="AG389" s="26"/>
      <c r="AH389" s="26"/>
      <c r="AI389" s="26"/>
      <c r="AJ389" s="26"/>
      <c r="AK389" s="26"/>
      <c r="AL389" s="26"/>
      <c r="AM389" s="26"/>
      <c r="AN389" s="26"/>
      <c r="AO389" s="26"/>
      <c r="AP389" s="26"/>
      <c r="AQ389" s="26"/>
      <c r="AR389" s="26"/>
      <c r="AS389" s="26"/>
      <c r="AT389" s="26"/>
      <c r="AU389" s="26"/>
      <c r="AV389" s="26"/>
      <c r="AW389" s="26"/>
      <c r="AX389" s="26"/>
      <c r="AY389" s="26"/>
      <c r="AZ389" s="26"/>
      <c r="BA389" s="26"/>
      <c r="BB389" s="26"/>
      <c r="BC389" s="26"/>
      <c r="BD389" s="26"/>
      <c r="BE389" s="26"/>
      <c r="BF389" s="26"/>
      <c r="BG389" s="26"/>
      <c r="BH389" s="26"/>
      <c r="BI389" s="26"/>
      <c r="BJ389" s="26"/>
      <c r="BK389" s="26"/>
    </row>
    <row r="390" ht="14.25" customHeight="1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  <c r="AE390" s="26"/>
      <c r="AF390" s="26"/>
      <c r="AG390" s="26"/>
      <c r="AH390" s="26"/>
      <c r="AI390" s="26"/>
      <c r="AJ390" s="26"/>
      <c r="AK390" s="26"/>
      <c r="AL390" s="26"/>
      <c r="AM390" s="26"/>
      <c r="AN390" s="26"/>
      <c r="AO390" s="26"/>
      <c r="AP390" s="26"/>
      <c r="AQ390" s="26"/>
      <c r="AR390" s="26"/>
      <c r="AS390" s="26"/>
      <c r="AT390" s="26"/>
      <c r="AU390" s="26"/>
      <c r="AV390" s="26"/>
      <c r="AW390" s="26"/>
      <c r="AX390" s="26"/>
      <c r="AY390" s="26"/>
      <c r="AZ390" s="26"/>
      <c r="BA390" s="26"/>
      <c r="BB390" s="26"/>
      <c r="BC390" s="26"/>
      <c r="BD390" s="26"/>
      <c r="BE390" s="26"/>
      <c r="BF390" s="26"/>
      <c r="BG390" s="26"/>
      <c r="BH390" s="26"/>
      <c r="BI390" s="26"/>
      <c r="BJ390" s="26"/>
      <c r="BK390" s="26"/>
    </row>
    <row r="391" ht="14.25" customHeight="1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  <c r="AD391" s="26"/>
      <c r="AE391" s="26"/>
      <c r="AF391" s="26"/>
      <c r="AG391" s="26"/>
      <c r="AH391" s="26"/>
      <c r="AI391" s="26"/>
      <c r="AJ391" s="26"/>
      <c r="AK391" s="26"/>
      <c r="AL391" s="26"/>
      <c r="AM391" s="26"/>
      <c r="AN391" s="26"/>
      <c r="AO391" s="26"/>
      <c r="AP391" s="26"/>
      <c r="AQ391" s="26"/>
      <c r="AR391" s="26"/>
      <c r="AS391" s="26"/>
      <c r="AT391" s="26"/>
      <c r="AU391" s="26"/>
      <c r="AV391" s="26"/>
      <c r="AW391" s="26"/>
      <c r="AX391" s="26"/>
      <c r="AY391" s="26"/>
      <c r="AZ391" s="26"/>
      <c r="BA391" s="26"/>
      <c r="BB391" s="26"/>
      <c r="BC391" s="26"/>
      <c r="BD391" s="26"/>
      <c r="BE391" s="26"/>
      <c r="BF391" s="26"/>
      <c r="BG391" s="26"/>
      <c r="BH391" s="26"/>
      <c r="BI391" s="26"/>
      <c r="BJ391" s="26"/>
      <c r="BK391" s="26"/>
    </row>
    <row r="392" ht="14.25" customHeight="1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  <c r="AE392" s="26"/>
      <c r="AF392" s="26"/>
      <c r="AG392" s="26"/>
      <c r="AH392" s="26"/>
      <c r="AI392" s="26"/>
      <c r="AJ392" s="26"/>
      <c r="AK392" s="26"/>
      <c r="AL392" s="26"/>
      <c r="AM392" s="26"/>
      <c r="AN392" s="26"/>
      <c r="AO392" s="26"/>
      <c r="AP392" s="26"/>
      <c r="AQ392" s="26"/>
      <c r="AR392" s="26"/>
      <c r="AS392" s="26"/>
      <c r="AT392" s="26"/>
      <c r="AU392" s="26"/>
      <c r="AV392" s="26"/>
      <c r="AW392" s="26"/>
      <c r="AX392" s="26"/>
      <c r="AY392" s="26"/>
      <c r="AZ392" s="26"/>
      <c r="BA392" s="26"/>
      <c r="BB392" s="26"/>
      <c r="BC392" s="26"/>
      <c r="BD392" s="26"/>
      <c r="BE392" s="26"/>
      <c r="BF392" s="26"/>
      <c r="BG392" s="26"/>
      <c r="BH392" s="26"/>
      <c r="BI392" s="26"/>
      <c r="BJ392" s="26"/>
      <c r="BK392" s="26"/>
    </row>
    <row r="393" ht="14.25" customHeight="1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  <c r="AE393" s="26"/>
      <c r="AF393" s="26"/>
      <c r="AG393" s="26"/>
      <c r="AH393" s="26"/>
      <c r="AI393" s="26"/>
      <c r="AJ393" s="26"/>
      <c r="AK393" s="26"/>
      <c r="AL393" s="26"/>
      <c r="AM393" s="26"/>
      <c r="AN393" s="26"/>
      <c r="AO393" s="26"/>
      <c r="AP393" s="26"/>
      <c r="AQ393" s="26"/>
      <c r="AR393" s="26"/>
      <c r="AS393" s="26"/>
      <c r="AT393" s="26"/>
      <c r="AU393" s="26"/>
      <c r="AV393" s="26"/>
      <c r="AW393" s="26"/>
      <c r="AX393" s="26"/>
      <c r="AY393" s="26"/>
      <c r="AZ393" s="26"/>
      <c r="BA393" s="26"/>
      <c r="BB393" s="26"/>
      <c r="BC393" s="26"/>
      <c r="BD393" s="26"/>
      <c r="BE393" s="26"/>
      <c r="BF393" s="26"/>
      <c r="BG393" s="26"/>
      <c r="BH393" s="26"/>
      <c r="BI393" s="26"/>
      <c r="BJ393" s="26"/>
      <c r="BK393" s="26"/>
    </row>
    <row r="394" ht="14.25" customHeight="1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  <c r="AE394" s="26"/>
      <c r="AF394" s="26"/>
      <c r="AG394" s="26"/>
      <c r="AH394" s="26"/>
      <c r="AI394" s="26"/>
      <c r="AJ394" s="26"/>
      <c r="AK394" s="26"/>
      <c r="AL394" s="26"/>
      <c r="AM394" s="26"/>
      <c r="AN394" s="26"/>
      <c r="AO394" s="26"/>
      <c r="AP394" s="26"/>
      <c r="AQ394" s="26"/>
      <c r="AR394" s="26"/>
      <c r="AS394" s="26"/>
      <c r="AT394" s="26"/>
      <c r="AU394" s="26"/>
      <c r="AV394" s="26"/>
      <c r="AW394" s="26"/>
      <c r="AX394" s="26"/>
      <c r="AY394" s="26"/>
      <c r="AZ394" s="26"/>
      <c r="BA394" s="26"/>
      <c r="BB394" s="26"/>
      <c r="BC394" s="26"/>
      <c r="BD394" s="26"/>
      <c r="BE394" s="26"/>
      <c r="BF394" s="26"/>
      <c r="BG394" s="26"/>
      <c r="BH394" s="26"/>
      <c r="BI394" s="26"/>
      <c r="BJ394" s="26"/>
      <c r="BK394" s="26"/>
    </row>
    <row r="395" ht="14.25" customHeight="1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  <c r="AE395" s="26"/>
      <c r="AF395" s="26"/>
      <c r="AG395" s="26"/>
      <c r="AH395" s="26"/>
      <c r="AI395" s="26"/>
      <c r="AJ395" s="26"/>
      <c r="AK395" s="26"/>
      <c r="AL395" s="26"/>
      <c r="AM395" s="26"/>
      <c r="AN395" s="26"/>
      <c r="AO395" s="26"/>
      <c r="AP395" s="26"/>
      <c r="AQ395" s="26"/>
      <c r="AR395" s="26"/>
      <c r="AS395" s="26"/>
      <c r="AT395" s="26"/>
      <c r="AU395" s="26"/>
      <c r="AV395" s="26"/>
      <c r="AW395" s="26"/>
      <c r="AX395" s="26"/>
      <c r="AY395" s="26"/>
      <c r="AZ395" s="26"/>
      <c r="BA395" s="26"/>
      <c r="BB395" s="26"/>
      <c r="BC395" s="26"/>
      <c r="BD395" s="26"/>
      <c r="BE395" s="26"/>
      <c r="BF395" s="26"/>
      <c r="BG395" s="26"/>
      <c r="BH395" s="26"/>
      <c r="BI395" s="26"/>
      <c r="BJ395" s="26"/>
      <c r="BK395" s="26"/>
    </row>
    <row r="396" ht="14.25" customHeight="1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  <c r="AE396" s="26"/>
      <c r="AF396" s="26"/>
      <c r="AG396" s="26"/>
      <c r="AH396" s="26"/>
      <c r="AI396" s="26"/>
      <c r="AJ396" s="26"/>
      <c r="AK396" s="26"/>
      <c r="AL396" s="26"/>
      <c r="AM396" s="26"/>
      <c r="AN396" s="26"/>
      <c r="AO396" s="26"/>
      <c r="AP396" s="26"/>
      <c r="AQ396" s="26"/>
      <c r="AR396" s="26"/>
      <c r="AS396" s="26"/>
      <c r="AT396" s="26"/>
      <c r="AU396" s="26"/>
      <c r="AV396" s="26"/>
      <c r="AW396" s="26"/>
      <c r="AX396" s="26"/>
      <c r="AY396" s="26"/>
      <c r="AZ396" s="26"/>
      <c r="BA396" s="26"/>
      <c r="BB396" s="26"/>
      <c r="BC396" s="26"/>
      <c r="BD396" s="26"/>
      <c r="BE396" s="26"/>
      <c r="BF396" s="26"/>
      <c r="BG396" s="26"/>
      <c r="BH396" s="26"/>
      <c r="BI396" s="26"/>
      <c r="BJ396" s="26"/>
      <c r="BK396" s="26"/>
    </row>
    <row r="397" ht="14.25" customHeight="1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  <c r="AE397" s="26"/>
      <c r="AF397" s="26"/>
      <c r="AG397" s="26"/>
      <c r="AH397" s="26"/>
      <c r="AI397" s="26"/>
      <c r="AJ397" s="26"/>
      <c r="AK397" s="26"/>
      <c r="AL397" s="26"/>
      <c r="AM397" s="26"/>
      <c r="AN397" s="26"/>
      <c r="AO397" s="26"/>
      <c r="AP397" s="26"/>
      <c r="AQ397" s="26"/>
      <c r="AR397" s="26"/>
      <c r="AS397" s="26"/>
      <c r="AT397" s="26"/>
      <c r="AU397" s="26"/>
      <c r="AV397" s="26"/>
      <c r="AW397" s="26"/>
      <c r="AX397" s="26"/>
      <c r="AY397" s="26"/>
      <c r="AZ397" s="26"/>
      <c r="BA397" s="26"/>
      <c r="BB397" s="26"/>
      <c r="BC397" s="26"/>
      <c r="BD397" s="26"/>
      <c r="BE397" s="26"/>
      <c r="BF397" s="26"/>
      <c r="BG397" s="26"/>
      <c r="BH397" s="26"/>
      <c r="BI397" s="26"/>
      <c r="BJ397" s="26"/>
      <c r="BK397" s="26"/>
    </row>
    <row r="398" ht="14.25" customHeight="1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  <c r="AE398" s="26"/>
      <c r="AF398" s="26"/>
      <c r="AG398" s="26"/>
      <c r="AH398" s="26"/>
      <c r="AI398" s="26"/>
      <c r="AJ398" s="26"/>
      <c r="AK398" s="26"/>
      <c r="AL398" s="26"/>
      <c r="AM398" s="26"/>
      <c r="AN398" s="26"/>
      <c r="AO398" s="26"/>
      <c r="AP398" s="26"/>
      <c r="AQ398" s="26"/>
      <c r="AR398" s="26"/>
      <c r="AS398" s="26"/>
      <c r="AT398" s="26"/>
      <c r="AU398" s="26"/>
      <c r="AV398" s="26"/>
      <c r="AW398" s="26"/>
      <c r="AX398" s="26"/>
      <c r="AY398" s="26"/>
      <c r="AZ398" s="26"/>
      <c r="BA398" s="26"/>
      <c r="BB398" s="26"/>
      <c r="BC398" s="26"/>
      <c r="BD398" s="26"/>
      <c r="BE398" s="26"/>
      <c r="BF398" s="26"/>
      <c r="BG398" s="26"/>
      <c r="BH398" s="26"/>
      <c r="BI398" s="26"/>
      <c r="BJ398" s="26"/>
      <c r="BK398" s="26"/>
    </row>
    <row r="399" ht="14.25" customHeight="1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  <c r="AE399" s="26"/>
      <c r="AF399" s="26"/>
      <c r="AG399" s="26"/>
      <c r="AH399" s="26"/>
      <c r="AI399" s="26"/>
      <c r="AJ399" s="26"/>
      <c r="AK399" s="26"/>
      <c r="AL399" s="26"/>
      <c r="AM399" s="26"/>
      <c r="AN399" s="26"/>
      <c r="AO399" s="26"/>
      <c r="AP399" s="26"/>
      <c r="AQ399" s="26"/>
      <c r="AR399" s="26"/>
      <c r="AS399" s="26"/>
      <c r="AT399" s="26"/>
      <c r="AU399" s="26"/>
      <c r="AV399" s="26"/>
      <c r="AW399" s="26"/>
      <c r="AX399" s="26"/>
      <c r="AY399" s="26"/>
      <c r="AZ399" s="26"/>
      <c r="BA399" s="26"/>
      <c r="BB399" s="26"/>
      <c r="BC399" s="26"/>
      <c r="BD399" s="26"/>
      <c r="BE399" s="26"/>
      <c r="BF399" s="26"/>
      <c r="BG399" s="26"/>
      <c r="BH399" s="26"/>
      <c r="BI399" s="26"/>
      <c r="BJ399" s="26"/>
      <c r="BK399" s="26"/>
    </row>
    <row r="400" ht="14.25" customHeight="1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  <c r="AE400" s="26"/>
      <c r="AF400" s="26"/>
      <c r="AG400" s="26"/>
      <c r="AH400" s="26"/>
      <c r="AI400" s="26"/>
      <c r="AJ400" s="26"/>
      <c r="AK400" s="26"/>
      <c r="AL400" s="26"/>
      <c r="AM400" s="26"/>
      <c r="AN400" s="26"/>
      <c r="AO400" s="26"/>
      <c r="AP400" s="26"/>
      <c r="AQ400" s="26"/>
      <c r="AR400" s="26"/>
      <c r="AS400" s="26"/>
      <c r="AT400" s="26"/>
      <c r="AU400" s="26"/>
      <c r="AV400" s="26"/>
      <c r="AW400" s="26"/>
      <c r="AX400" s="26"/>
      <c r="AY400" s="26"/>
      <c r="AZ400" s="26"/>
      <c r="BA400" s="26"/>
      <c r="BB400" s="26"/>
      <c r="BC400" s="26"/>
      <c r="BD400" s="26"/>
      <c r="BE400" s="26"/>
      <c r="BF400" s="26"/>
      <c r="BG400" s="26"/>
      <c r="BH400" s="26"/>
      <c r="BI400" s="26"/>
      <c r="BJ400" s="26"/>
      <c r="BK400" s="26"/>
    </row>
    <row r="401" ht="14.25" customHeight="1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  <c r="AD401" s="26"/>
      <c r="AE401" s="26"/>
      <c r="AF401" s="26"/>
      <c r="AG401" s="26"/>
      <c r="AH401" s="26"/>
      <c r="AI401" s="26"/>
      <c r="AJ401" s="26"/>
      <c r="AK401" s="26"/>
      <c r="AL401" s="26"/>
      <c r="AM401" s="26"/>
      <c r="AN401" s="26"/>
      <c r="AO401" s="26"/>
      <c r="AP401" s="26"/>
      <c r="AQ401" s="26"/>
      <c r="AR401" s="26"/>
      <c r="AS401" s="26"/>
      <c r="AT401" s="26"/>
      <c r="AU401" s="26"/>
      <c r="AV401" s="26"/>
      <c r="AW401" s="26"/>
      <c r="AX401" s="26"/>
      <c r="AY401" s="26"/>
      <c r="AZ401" s="26"/>
      <c r="BA401" s="26"/>
      <c r="BB401" s="26"/>
      <c r="BC401" s="26"/>
      <c r="BD401" s="26"/>
      <c r="BE401" s="26"/>
      <c r="BF401" s="26"/>
      <c r="BG401" s="26"/>
      <c r="BH401" s="26"/>
      <c r="BI401" s="26"/>
      <c r="BJ401" s="26"/>
      <c r="BK401" s="26"/>
    </row>
    <row r="402" ht="14.25" customHeight="1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  <c r="AD402" s="26"/>
      <c r="AE402" s="26"/>
      <c r="AF402" s="26"/>
      <c r="AG402" s="26"/>
      <c r="AH402" s="26"/>
      <c r="AI402" s="26"/>
      <c r="AJ402" s="26"/>
      <c r="AK402" s="26"/>
      <c r="AL402" s="26"/>
      <c r="AM402" s="26"/>
      <c r="AN402" s="26"/>
      <c r="AO402" s="26"/>
      <c r="AP402" s="26"/>
      <c r="AQ402" s="26"/>
      <c r="AR402" s="26"/>
      <c r="AS402" s="26"/>
      <c r="AT402" s="26"/>
      <c r="AU402" s="26"/>
      <c r="AV402" s="26"/>
      <c r="AW402" s="26"/>
      <c r="AX402" s="26"/>
      <c r="AY402" s="26"/>
      <c r="AZ402" s="26"/>
      <c r="BA402" s="26"/>
      <c r="BB402" s="26"/>
      <c r="BC402" s="26"/>
      <c r="BD402" s="26"/>
      <c r="BE402" s="26"/>
      <c r="BF402" s="26"/>
      <c r="BG402" s="26"/>
      <c r="BH402" s="26"/>
      <c r="BI402" s="26"/>
      <c r="BJ402" s="26"/>
      <c r="BK402" s="26"/>
    </row>
    <row r="403" ht="14.25" customHeight="1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  <c r="AD403" s="26"/>
      <c r="AE403" s="26"/>
      <c r="AF403" s="26"/>
      <c r="AG403" s="26"/>
      <c r="AH403" s="26"/>
      <c r="AI403" s="26"/>
      <c r="AJ403" s="26"/>
      <c r="AK403" s="26"/>
      <c r="AL403" s="26"/>
      <c r="AM403" s="26"/>
      <c r="AN403" s="26"/>
      <c r="AO403" s="26"/>
      <c r="AP403" s="26"/>
      <c r="AQ403" s="26"/>
      <c r="AR403" s="26"/>
      <c r="AS403" s="26"/>
      <c r="AT403" s="26"/>
      <c r="AU403" s="26"/>
      <c r="AV403" s="26"/>
      <c r="AW403" s="26"/>
      <c r="AX403" s="26"/>
      <c r="AY403" s="26"/>
      <c r="AZ403" s="26"/>
      <c r="BA403" s="26"/>
      <c r="BB403" s="26"/>
      <c r="BC403" s="26"/>
      <c r="BD403" s="26"/>
      <c r="BE403" s="26"/>
      <c r="BF403" s="26"/>
      <c r="BG403" s="26"/>
      <c r="BH403" s="26"/>
      <c r="BI403" s="26"/>
      <c r="BJ403" s="26"/>
      <c r="BK403" s="26"/>
    </row>
    <row r="404" ht="14.25" customHeight="1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  <c r="AE404" s="26"/>
      <c r="AF404" s="26"/>
      <c r="AG404" s="26"/>
      <c r="AH404" s="26"/>
      <c r="AI404" s="26"/>
      <c r="AJ404" s="26"/>
      <c r="AK404" s="26"/>
      <c r="AL404" s="26"/>
      <c r="AM404" s="26"/>
      <c r="AN404" s="26"/>
      <c r="AO404" s="26"/>
      <c r="AP404" s="26"/>
      <c r="AQ404" s="26"/>
      <c r="AR404" s="26"/>
      <c r="AS404" s="26"/>
      <c r="AT404" s="26"/>
      <c r="AU404" s="26"/>
      <c r="AV404" s="26"/>
      <c r="AW404" s="26"/>
      <c r="AX404" s="26"/>
      <c r="AY404" s="26"/>
      <c r="AZ404" s="26"/>
      <c r="BA404" s="26"/>
      <c r="BB404" s="26"/>
      <c r="BC404" s="26"/>
      <c r="BD404" s="26"/>
      <c r="BE404" s="26"/>
      <c r="BF404" s="26"/>
      <c r="BG404" s="26"/>
      <c r="BH404" s="26"/>
      <c r="BI404" s="26"/>
      <c r="BJ404" s="26"/>
      <c r="BK404" s="26"/>
    </row>
    <row r="405" ht="14.25" customHeight="1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  <c r="AD405" s="26"/>
      <c r="AE405" s="26"/>
      <c r="AF405" s="26"/>
      <c r="AG405" s="26"/>
      <c r="AH405" s="26"/>
      <c r="AI405" s="26"/>
      <c r="AJ405" s="26"/>
      <c r="AK405" s="26"/>
      <c r="AL405" s="26"/>
      <c r="AM405" s="26"/>
      <c r="AN405" s="26"/>
      <c r="AO405" s="26"/>
      <c r="AP405" s="26"/>
      <c r="AQ405" s="26"/>
      <c r="AR405" s="26"/>
      <c r="AS405" s="26"/>
      <c r="AT405" s="26"/>
      <c r="AU405" s="26"/>
      <c r="AV405" s="26"/>
      <c r="AW405" s="26"/>
      <c r="AX405" s="26"/>
      <c r="AY405" s="26"/>
      <c r="AZ405" s="26"/>
      <c r="BA405" s="26"/>
      <c r="BB405" s="26"/>
      <c r="BC405" s="26"/>
      <c r="BD405" s="26"/>
      <c r="BE405" s="26"/>
      <c r="BF405" s="26"/>
      <c r="BG405" s="26"/>
      <c r="BH405" s="26"/>
      <c r="BI405" s="26"/>
      <c r="BJ405" s="26"/>
      <c r="BK405" s="26"/>
    </row>
    <row r="406" ht="14.25" customHeight="1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  <c r="AE406" s="26"/>
      <c r="AF406" s="26"/>
      <c r="AG406" s="26"/>
      <c r="AH406" s="26"/>
      <c r="AI406" s="26"/>
      <c r="AJ406" s="26"/>
      <c r="AK406" s="26"/>
      <c r="AL406" s="26"/>
      <c r="AM406" s="26"/>
      <c r="AN406" s="26"/>
      <c r="AO406" s="26"/>
      <c r="AP406" s="26"/>
      <c r="AQ406" s="26"/>
      <c r="AR406" s="26"/>
      <c r="AS406" s="26"/>
      <c r="AT406" s="26"/>
      <c r="AU406" s="26"/>
      <c r="AV406" s="26"/>
      <c r="AW406" s="26"/>
      <c r="AX406" s="26"/>
      <c r="AY406" s="26"/>
      <c r="AZ406" s="26"/>
      <c r="BA406" s="26"/>
      <c r="BB406" s="26"/>
      <c r="BC406" s="26"/>
      <c r="BD406" s="26"/>
      <c r="BE406" s="26"/>
      <c r="BF406" s="26"/>
      <c r="BG406" s="26"/>
      <c r="BH406" s="26"/>
      <c r="BI406" s="26"/>
      <c r="BJ406" s="26"/>
      <c r="BK406" s="26"/>
    </row>
    <row r="407" ht="14.25" customHeight="1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  <c r="AD407" s="26"/>
      <c r="AE407" s="26"/>
      <c r="AF407" s="26"/>
      <c r="AG407" s="26"/>
      <c r="AH407" s="26"/>
      <c r="AI407" s="26"/>
      <c r="AJ407" s="26"/>
      <c r="AK407" s="26"/>
      <c r="AL407" s="26"/>
      <c r="AM407" s="26"/>
      <c r="AN407" s="26"/>
      <c r="AO407" s="26"/>
      <c r="AP407" s="26"/>
      <c r="AQ407" s="26"/>
      <c r="AR407" s="26"/>
      <c r="AS407" s="26"/>
      <c r="AT407" s="26"/>
      <c r="AU407" s="26"/>
      <c r="AV407" s="26"/>
      <c r="AW407" s="26"/>
      <c r="AX407" s="26"/>
      <c r="AY407" s="26"/>
      <c r="AZ407" s="26"/>
      <c r="BA407" s="26"/>
      <c r="BB407" s="26"/>
      <c r="BC407" s="26"/>
      <c r="BD407" s="26"/>
      <c r="BE407" s="26"/>
      <c r="BF407" s="26"/>
      <c r="BG407" s="26"/>
      <c r="BH407" s="26"/>
      <c r="BI407" s="26"/>
      <c r="BJ407" s="26"/>
      <c r="BK407" s="26"/>
    </row>
    <row r="408" ht="14.25" customHeight="1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  <c r="AD408" s="26"/>
      <c r="AE408" s="26"/>
      <c r="AF408" s="26"/>
      <c r="AG408" s="26"/>
      <c r="AH408" s="26"/>
      <c r="AI408" s="26"/>
      <c r="AJ408" s="26"/>
      <c r="AK408" s="26"/>
      <c r="AL408" s="26"/>
      <c r="AM408" s="26"/>
      <c r="AN408" s="26"/>
      <c r="AO408" s="26"/>
      <c r="AP408" s="26"/>
      <c r="AQ408" s="26"/>
      <c r="AR408" s="26"/>
      <c r="AS408" s="26"/>
      <c r="AT408" s="26"/>
      <c r="AU408" s="26"/>
      <c r="AV408" s="26"/>
      <c r="AW408" s="26"/>
      <c r="AX408" s="26"/>
      <c r="AY408" s="26"/>
      <c r="AZ408" s="26"/>
      <c r="BA408" s="26"/>
      <c r="BB408" s="26"/>
      <c r="BC408" s="26"/>
      <c r="BD408" s="26"/>
      <c r="BE408" s="26"/>
      <c r="BF408" s="26"/>
      <c r="BG408" s="26"/>
      <c r="BH408" s="26"/>
      <c r="BI408" s="26"/>
      <c r="BJ408" s="26"/>
      <c r="BK408" s="26"/>
    </row>
    <row r="409" ht="14.25" customHeight="1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  <c r="AD409" s="26"/>
      <c r="AE409" s="26"/>
      <c r="AF409" s="26"/>
      <c r="AG409" s="26"/>
      <c r="AH409" s="26"/>
      <c r="AI409" s="26"/>
      <c r="AJ409" s="26"/>
      <c r="AK409" s="26"/>
      <c r="AL409" s="26"/>
      <c r="AM409" s="26"/>
      <c r="AN409" s="26"/>
      <c r="AO409" s="26"/>
      <c r="AP409" s="26"/>
      <c r="AQ409" s="26"/>
      <c r="AR409" s="26"/>
      <c r="AS409" s="26"/>
      <c r="AT409" s="26"/>
      <c r="AU409" s="26"/>
      <c r="AV409" s="26"/>
      <c r="AW409" s="26"/>
      <c r="AX409" s="26"/>
      <c r="AY409" s="26"/>
      <c r="AZ409" s="26"/>
      <c r="BA409" s="26"/>
      <c r="BB409" s="26"/>
      <c r="BC409" s="26"/>
      <c r="BD409" s="26"/>
      <c r="BE409" s="26"/>
      <c r="BF409" s="26"/>
      <c r="BG409" s="26"/>
      <c r="BH409" s="26"/>
      <c r="BI409" s="26"/>
      <c r="BJ409" s="26"/>
      <c r="BK409" s="26"/>
    </row>
    <row r="410" ht="14.25" customHeight="1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  <c r="AE410" s="26"/>
      <c r="AF410" s="26"/>
      <c r="AG410" s="26"/>
      <c r="AH410" s="26"/>
      <c r="AI410" s="26"/>
      <c r="AJ410" s="26"/>
      <c r="AK410" s="26"/>
      <c r="AL410" s="26"/>
      <c r="AM410" s="26"/>
      <c r="AN410" s="26"/>
      <c r="AO410" s="26"/>
      <c r="AP410" s="26"/>
      <c r="AQ410" s="26"/>
      <c r="AR410" s="26"/>
      <c r="AS410" s="26"/>
      <c r="AT410" s="26"/>
      <c r="AU410" s="26"/>
      <c r="AV410" s="26"/>
      <c r="AW410" s="26"/>
      <c r="AX410" s="26"/>
      <c r="AY410" s="26"/>
      <c r="AZ410" s="26"/>
      <c r="BA410" s="26"/>
      <c r="BB410" s="26"/>
      <c r="BC410" s="26"/>
      <c r="BD410" s="26"/>
      <c r="BE410" s="26"/>
      <c r="BF410" s="26"/>
      <c r="BG410" s="26"/>
      <c r="BH410" s="26"/>
      <c r="BI410" s="26"/>
      <c r="BJ410" s="26"/>
      <c r="BK410" s="26"/>
    </row>
    <row r="411" ht="14.25" customHeight="1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  <c r="AD411" s="26"/>
      <c r="AE411" s="26"/>
      <c r="AF411" s="26"/>
      <c r="AG411" s="26"/>
      <c r="AH411" s="26"/>
      <c r="AI411" s="26"/>
      <c r="AJ411" s="26"/>
      <c r="AK411" s="26"/>
      <c r="AL411" s="26"/>
      <c r="AM411" s="26"/>
      <c r="AN411" s="26"/>
      <c r="AO411" s="26"/>
      <c r="AP411" s="26"/>
      <c r="AQ411" s="26"/>
      <c r="AR411" s="26"/>
      <c r="AS411" s="26"/>
      <c r="AT411" s="26"/>
      <c r="AU411" s="26"/>
      <c r="AV411" s="26"/>
      <c r="AW411" s="26"/>
      <c r="AX411" s="26"/>
      <c r="AY411" s="26"/>
      <c r="AZ411" s="26"/>
      <c r="BA411" s="26"/>
      <c r="BB411" s="26"/>
      <c r="BC411" s="26"/>
      <c r="BD411" s="26"/>
      <c r="BE411" s="26"/>
      <c r="BF411" s="26"/>
      <c r="BG411" s="26"/>
      <c r="BH411" s="26"/>
      <c r="BI411" s="26"/>
      <c r="BJ411" s="26"/>
      <c r="BK411" s="26"/>
    </row>
    <row r="412" ht="14.25" customHeight="1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  <c r="AD412" s="26"/>
      <c r="AE412" s="26"/>
      <c r="AF412" s="26"/>
      <c r="AG412" s="26"/>
      <c r="AH412" s="26"/>
      <c r="AI412" s="26"/>
      <c r="AJ412" s="26"/>
      <c r="AK412" s="26"/>
      <c r="AL412" s="26"/>
      <c r="AM412" s="26"/>
      <c r="AN412" s="26"/>
      <c r="AO412" s="26"/>
      <c r="AP412" s="26"/>
      <c r="AQ412" s="26"/>
      <c r="AR412" s="26"/>
      <c r="AS412" s="26"/>
      <c r="AT412" s="26"/>
      <c r="AU412" s="26"/>
      <c r="AV412" s="26"/>
      <c r="AW412" s="26"/>
      <c r="AX412" s="26"/>
      <c r="AY412" s="26"/>
      <c r="AZ412" s="26"/>
      <c r="BA412" s="26"/>
      <c r="BB412" s="26"/>
      <c r="BC412" s="26"/>
      <c r="BD412" s="26"/>
      <c r="BE412" s="26"/>
      <c r="BF412" s="26"/>
      <c r="BG412" s="26"/>
      <c r="BH412" s="26"/>
      <c r="BI412" s="26"/>
      <c r="BJ412" s="26"/>
      <c r="BK412" s="26"/>
    </row>
    <row r="413" ht="14.25" customHeight="1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  <c r="AD413" s="26"/>
      <c r="AE413" s="26"/>
      <c r="AF413" s="26"/>
      <c r="AG413" s="26"/>
      <c r="AH413" s="26"/>
      <c r="AI413" s="26"/>
      <c r="AJ413" s="26"/>
      <c r="AK413" s="26"/>
      <c r="AL413" s="26"/>
      <c r="AM413" s="26"/>
      <c r="AN413" s="26"/>
      <c r="AO413" s="26"/>
      <c r="AP413" s="26"/>
      <c r="AQ413" s="26"/>
      <c r="AR413" s="26"/>
      <c r="AS413" s="26"/>
      <c r="AT413" s="26"/>
      <c r="AU413" s="26"/>
      <c r="AV413" s="26"/>
      <c r="AW413" s="26"/>
      <c r="AX413" s="26"/>
      <c r="AY413" s="26"/>
      <c r="AZ413" s="26"/>
      <c r="BA413" s="26"/>
      <c r="BB413" s="26"/>
      <c r="BC413" s="26"/>
      <c r="BD413" s="26"/>
      <c r="BE413" s="26"/>
      <c r="BF413" s="26"/>
      <c r="BG413" s="26"/>
      <c r="BH413" s="26"/>
      <c r="BI413" s="26"/>
      <c r="BJ413" s="26"/>
      <c r="BK413" s="26"/>
    </row>
    <row r="414" ht="14.25" customHeight="1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  <c r="AE414" s="26"/>
      <c r="AF414" s="26"/>
      <c r="AG414" s="26"/>
      <c r="AH414" s="26"/>
      <c r="AI414" s="26"/>
      <c r="AJ414" s="26"/>
      <c r="AK414" s="26"/>
      <c r="AL414" s="26"/>
      <c r="AM414" s="26"/>
      <c r="AN414" s="26"/>
      <c r="AO414" s="26"/>
      <c r="AP414" s="26"/>
      <c r="AQ414" s="26"/>
      <c r="AR414" s="26"/>
      <c r="AS414" s="26"/>
      <c r="AT414" s="26"/>
      <c r="AU414" s="26"/>
      <c r="AV414" s="26"/>
      <c r="AW414" s="26"/>
      <c r="AX414" s="26"/>
      <c r="AY414" s="26"/>
      <c r="AZ414" s="26"/>
      <c r="BA414" s="26"/>
      <c r="BB414" s="26"/>
      <c r="BC414" s="26"/>
      <c r="BD414" s="26"/>
      <c r="BE414" s="26"/>
      <c r="BF414" s="26"/>
      <c r="BG414" s="26"/>
      <c r="BH414" s="26"/>
      <c r="BI414" s="26"/>
      <c r="BJ414" s="26"/>
      <c r="BK414" s="26"/>
    </row>
    <row r="415" ht="14.25" customHeight="1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  <c r="AD415" s="26"/>
      <c r="AE415" s="26"/>
      <c r="AF415" s="26"/>
      <c r="AG415" s="26"/>
      <c r="AH415" s="26"/>
      <c r="AI415" s="26"/>
      <c r="AJ415" s="26"/>
      <c r="AK415" s="26"/>
      <c r="AL415" s="26"/>
      <c r="AM415" s="26"/>
      <c r="AN415" s="26"/>
      <c r="AO415" s="26"/>
      <c r="AP415" s="26"/>
      <c r="AQ415" s="26"/>
      <c r="AR415" s="26"/>
      <c r="AS415" s="26"/>
      <c r="AT415" s="26"/>
      <c r="AU415" s="26"/>
      <c r="AV415" s="26"/>
      <c r="AW415" s="26"/>
      <c r="AX415" s="26"/>
      <c r="AY415" s="26"/>
      <c r="AZ415" s="26"/>
      <c r="BA415" s="26"/>
      <c r="BB415" s="26"/>
      <c r="BC415" s="26"/>
      <c r="BD415" s="26"/>
      <c r="BE415" s="26"/>
      <c r="BF415" s="26"/>
      <c r="BG415" s="26"/>
      <c r="BH415" s="26"/>
      <c r="BI415" s="26"/>
      <c r="BJ415" s="26"/>
      <c r="BK415" s="26"/>
    </row>
    <row r="416" ht="14.25" customHeight="1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  <c r="AE416" s="26"/>
      <c r="AF416" s="26"/>
      <c r="AG416" s="26"/>
      <c r="AH416" s="26"/>
      <c r="AI416" s="26"/>
      <c r="AJ416" s="26"/>
      <c r="AK416" s="26"/>
      <c r="AL416" s="26"/>
      <c r="AM416" s="26"/>
      <c r="AN416" s="26"/>
      <c r="AO416" s="26"/>
      <c r="AP416" s="26"/>
      <c r="AQ416" s="26"/>
      <c r="AR416" s="26"/>
      <c r="AS416" s="26"/>
      <c r="AT416" s="26"/>
      <c r="AU416" s="26"/>
      <c r="AV416" s="26"/>
      <c r="AW416" s="26"/>
      <c r="AX416" s="26"/>
      <c r="AY416" s="26"/>
      <c r="AZ416" s="26"/>
      <c r="BA416" s="26"/>
      <c r="BB416" s="26"/>
      <c r="BC416" s="26"/>
      <c r="BD416" s="26"/>
      <c r="BE416" s="26"/>
      <c r="BF416" s="26"/>
      <c r="BG416" s="26"/>
      <c r="BH416" s="26"/>
      <c r="BI416" s="26"/>
      <c r="BJ416" s="26"/>
      <c r="BK416" s="26"/>
    </row>
    <row r="417" ht="14.25" customHeight="1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  <c r="AD417" s="26"/>
      <c r="AE417" s="26"/>
      <c r="AF417" s="26"/>
      <c r="AG417" s="26"/>
      <c r="AH417" s="26"/>
      <c r="AI417" s="26"/>
      <c r="AJ417" s="26"/>
      <c r="AK417" s="26"/>
      <c r="AL417" s="26"/>
      <c r="AM417" s="26"/>
      <c r="AN417" s="26"/>
      <c r="AO417" s="26"/>
      <c r="AP417" s="26"/>
      <c r="AQ417" s="26"/>
      <c r="AR417" s="26"/>
      <c r="AS417" s="26"/>
      <c r="AT417" s="26"/>
      <c r="AU417" s="26"/>
      <c r="AV417" s="26"/>
      <c r="AW417" s="26"/>
      <c r="AX417" s="26"/>
      <c r="AY417" s="26"/>
      <c r="AZ417" s="26"/>
      <c r="BA417" s="26"/>
      <c r="BB417" s="26"/>
      <c r="BC417" s="26"/>
      <c r="BD417" s="26"/>
      <c r="BE417" s="26"/>
      <c r="BF417" s="26"/>
      <c r="BG417" s="26"/>
      <c r="BH417" s="26"/>
      <c r="BI417" s="26"/>
      <c r="BJ417" s="26"/>
      <c r="BK417" s="26"/>
    </row>
    <row r="418" ht="14.25" customHeight="1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  <c r="AD418" s="26"/>
      <c r="AE418" s="26"/>
      <c r="AF418" s="26"/>
      <c r="AG418" s="26"/>
      <c r="AH418" s="26"/>
      <c r="AI418" s="26"/>
      <c r="AJ418" s="26"/>
      <c r="AK418" s="26"/>
      <c r="AL418" s="26"/>
      <c r="AM418" s="26"/>
      <c r="AN418" s="26"/>
      <c r="AO418" s="26"/>
      <c r="AP418" s="26"/>
      <c r="AQ418" s="26"/>
      <c r="AR418" s="26"/>
      <c r="AS418" s="26"/>
      <c r="AT418" s="26"/>
      <c r="AU418" s="26"/>
      <c r="AV418" s="26"/>
      <c r="AW418" s="26"/>
      <c r="AX418" s="26"/>
      <c r="AY418" s="26"/>
      <c r="AZ418" s="26"/>
      <c r="BA418" s="26"/>
      <c r="BB418" s="26"/>
      <c r="BC418" s="26"/>
      <c r="BD418" s="26"/>
      <c r="BE418" s="26"/>
      <c r="BF418" s="26"/>
      <c r="BG418" s="26"/>
      <c r="BH418" s="26"/>
      <c r="BI418" s="26"/>
      <c r="BJ418" s="26"/>
      <c r="BK418" s="26"/>
    </row>
    <row r="419" ht="14.25" customHeight="1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  <c r="AC419" s="26"/>
      <c r="AD419" s="26"/>
      <c r="AE419" s="26"/>
      <c r="AF419" s="26"/>
      <c r="AG419" s="26"/>
      <c r="AH419" s="26"/>
      <c r="AI419" s="26"/>
      <c r="AJ419" s="26"/>
      <c r="AK419" s="26"/>
      <c r="AL419" s="26"/>
      <c r="AM419" s="26"/>
      <c r="AN419" s="26"/>
      <c r="AO419" s="26"/>
      <c r="AP419" s="26"/>
      <c r="AQ419" s="26"/>
      <c r="AR419" s="26"/>
      <c r="AS419" s="26"/>
      <c r="AT419" s="26"/>
      <c r="AU419" s="26"/>
      <c r="AV419" s="26"/>
      <c r="AW419" s="26"/>
      <c r="AX419" s="26"/>
      <c r="AY419" s="26"/>
      <c r="AZ419" s="26"/>
      <c r="BA419" s="26"/>
      <c r="BB419" s="26"/>
      <c r="BC419" s="26"/>
      <c r="BD419" s="26"/>
      <c r="BE419" s="26"/>
      <c r="BF419" s="26"/>
      <c r="BG419" s="26"/>
      <c r="BH419" s="26"/>
      <c r="BI419" s="26"/>
      <c r="BJ419" s="26"/>
      <c r="BK419" s="26"/>
    </row>
    <row r="420" ht="14.25" customHeight="1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  <c r="AD420" s="26"/>
      <c r="AE420" s="26"/>
      <c r="AF420" s="26"/>
      <c r="AG420" s="26"/>
      <c r="AH420" s="26"/>
      <c r="AI420" s="26"/>
      <c r="AJ420" s="26"/>
      <c r="AK420" s="26"/>
      <c r="AL420" s="26"/>
      <c r="AM420" s="26"/>
      <c r="AN420" s="26"/>
      <c r="AO420" s="26"/>
      <c r="AP420" s="26"/>
      <c r="AQ420" s="26"/>
      <c r="AR420" s="26"/>
      <c r="AS420" s="26"/>
      <c r="AT420" s="26"/>
      <c r="AU420" s="26"/>
      <c r="AV420" s="26"/>
      <c r="AW420" s="26"/>
      <c r="AX420" s="26"/>
      <c r="AY420" s="26"/>
      <c r="AZ420" s="26"/>
      <c r="BA420" s="26"/>
      <c r="BB420" s="26"/>
      <c r="BC420" s="26"/>
      <c r="BD420" s="26"/>
      <c r="BE420" s="26"/>
      <c r="BF420" s="26"/>
      <c r="BG420" s="26"/>
      <c r="BH420" s="26"/>
      <c r="BI420" s="26"/>
      <c r="BJ420" s="26"/>
      <c r="BK420" s="26"/>
    </row>
    <row r="421" ht="14.25" customHeight="1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  <c r="AC421" s="26"/>
      <c r="AD421" s="26"/>
      <c r="AE421" s="26"/>
      <c r="AF421" s="26"/>
      <c r="AG421" s="26"/>
      <c r="AH421" s="26"/>
      <c r="AI421" s="26"/>
      <c r="AJ421" s="26"/>
      <c r="AK421" s="26"/>
      <c r="AL421" s="26"/>
      <c r="AM421" s="26"/>
      <c r="AN421" s="26"/>
      <c r="AO421" s="26"/>
      <c r="AP421" s="26"/>
      <c r="AQ421" s="26"/>
      <c r="AR421" s="26"/>
      <c r="AS421" s="26"/>
      <c r="AT421" s="26"/>
      <c r="AU421" s="26"/>
      <c r="AV421" s="26"/>
      <c r="AW421" s="26"/>
      <c r="AX421" s="26"/>
      <c r="AY421" s="26"/>
      <c r="AZ421" s="26"/>
      <c r="BA421" s="26"/>
      <c r="BB421" s="26"/>
      <c r="BC421" s="26"/>
      <c r="BD421" s="26"/>
      <c r="BE421" s="26"/>
      <c r="BF421" s="26"/>
      <c r="BG421" s="26"/>
      <c r="BH421" s="26"/>
      <c r="BI421" s="26"/>
      <c r="BJ421" s="26"/>
      <c r="BK421" s="26"/>
    </row>
    <row r="422" ht="14.25" customHeight="1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6"/>
      <c r="AD422" s="26"/>
      <c r="AE422" s="26"/>
      <c r="AF422" s="26"/>
      <c r="AG422" s="26"/>
      <c r="AH422" s="26"/>
      <c r="AI422" s="26"/>
      <c r="AJ422" s="26"/>
      <c r="AK422" s="26"/>
      <c r="AL422" s="26"/>
      <c r="AM422" s="26"/>
      <c r="AN422" s="26"/>
      <c r="AO422" s="26"/>
      <c r="AP422" s="26"/>
      <c r="AQ422" s="26"/>
      <c r="AR422" s="26"/>
      <c r="AS422" s="26"/>
      <c r="AT422" s="26"/>
      <c r="AU422" s="26"/>
      <c r="AV422" s="26"/>
      <c r="AW422" s="26"/>
      <c r="AX422" s="26"/>
      <c r="AY422" s="26"/>
      <c r="AZ422" s="26"/>
      <c r="BA422" s="26"/>
      <c r="BB422" s="26"/>
      <c r="BC422" s="26"/>
      <c r="BD422" s="26"/>
      <c r="BE422" s="26"/>
      <c r="BF422" s="26"/>
      <c r="BG422" s="26"/>
      <c r="BH422" s="26"/>
      <c r="BI422" s="26"/>
      <c r="BJ422" s="26"/>
      <c r="BK422" s="26"/>
    </row>
    <row r="423" ht="14.25" customHeight="1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  <c r="AD423" s="26"/>
      <c r="AE423" s="26"/>
      <c r="AF423" s="26"/>
      <c r="AG423" s="26"/>
      <c r="AH423" s="26"/>
      <c r="AI423" s="26"/>
      <c r="AJ423" s="26"/>
      <c r="AK423" s="26"/>
      <c r="AL423" s="26"/>
      <c r="AM423" s="26"/>
      <c r="AN423" s="26"/>
      <c r="AO423" s="26"/>
      <c r="AP423" s="26"/>
      <c r="AQ423" s="26"/>
      <c r="AR423" s="26"/>
      <c r="AS423" s="26"/>
      <c r="AT423" s="26"/>
      <c r="AU423" s="26"/>
      <c r="AV423" s="26"/>
      <c r="AW423" s="26"/>
      <c r="AX423" s="26"/>
      <c r="AY423" s="26"/>
      <c r="AZ423" s="26"/>
      <c r="BA423" s="26"/>
      <c r="BB423" s="26"/>
      <c r="BC423" s="26"/>
      <c r="BD423" s="26"/>
      <c r="BE423" s="26"/>
      <c r="BF423" s="26"/>
      <c r="BG423" s="26"/>
      <c r="BH423" s="26"/>
      <c r="BI423" s="26"/>
      <c r="BJ423" s="26"/>
      <c r="BK423" s="26"/>
    </row>
    <row r="424" ht="14.25" customHeight="1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  <c r="AD424" s="26"/>
      <c r="AE424" s="26"/>
      <c r="AF424" s="26"/>
      <c r="AG424" s="26"/>
      <c r="AH424" s="26"/>
      <c r="AI424" s="26"/>
      <c r="AJ424" s="26"/>
      <c r="AK424" s="26"/>
      <c r="AL424" s="26"/>
      <c r="AM424" s="26"/>
      <c r="AN424" s="26"/>
      <c r="AO424" s="26"/>
      <c r="AP424" s="26"/>
      <c r="AQ424" s="26"/>
      <c r="AR424" s="26"/>
      <c r="AS424" s="26"/>
      <c r="AT424" s="26"/>
      <c r="AU424" s="26"/>
      <c r="AV424" s="26"/>
      <c r="AW424" s="26"/>
      <c r="AX424" s="26"/>
      <c r="AY424" s="26"/>
      <c r="AZ424" s="26"/>
      <c r="BA424" s="26"/>
      <c r="BB424" s="26"/>
      <c r="BC424" s="26"/>
      <c r="BD424" s="26"/>
      <c r="BE424" s="26"/>
      <c r="BF424" s="26"/>
      <c r="BG424" s="26"/>
      <c r="BH424" s="26"/>
      <c r="BI424" s="26"/>
      <c r="BJ424" s="26"/>
      <c r="BK424" s="26"/>
    </row>
    <row r="425" ht="14.25" customHeight="1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  <c r="AD425" s="26"/>
      <c r="AE425" s="26"/>
      <c r="AF425" s="26"/>
      <c r="AG425" s="26"/>
      <c r="AH425" s="26"/>
      <c r="AI425" s="26"/>
      <c r="AJ425" s="26"/>
      <c r="AK425" s="26"/>
      <c r="AL425" s="26"/>
      <c r="AM425" s="26"/>
      <c r="AN425" s="26"/>
      <c r="AO425" s="26"/>
      <c r="AP425" s="26"/>
      <c r="AQ425" s="26"/>
      <c r="AR425" s="26"/>
      <c r="AS425" s="26"/>
      <c r="AT425" s="26"/>
      <c r="AU425" s="26"/>
      <c r="AV425" s="26"/>
      <c r="AW425" s="26"/>
      <c r="AX425" s="26"/>
      <c r="AY425" s="26"/>
      <c r="AZ425" s="26"/>
      <c r="BA425" s="26"/>
      <c r="BB425" s="26"/>
      <c r="BC425" s="26"/>
      <c r="BD425" s="26"/>
      <c r="BE425" s="26"/>
      <c r="BF425" s="26"/>
      <c r="BG425" s="26"/>
      <c r="BH425" s="26"/>
      <c r="BI425" s="26"/>
      <c r="BJ425" s="26"/>
      <c r="BK425" s="26"/>
    </row>
    <row r="426" ht="14.25" customHeight="1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  <c r="AD426" s="26"/>
      <c r="AE426" s="26"/>
      <c r="AF426" s="26"/>
      <c r="AG426" s="26"/>
      <c r="AH426" s="26"/>
      <c r="AI426" s="26"/>
      <c r="AJ426" s="26"/>
      <c r="AK426" s="26"/>
      <c r="AL426" s="26"/>
      <c r="AM426" s="26"/>
      <c r="AN426" s="26"/>
      <c r="AO426" s="26"/>
      <c r="AP426" s="26"/>
      <c r="AQ426" s="26"/>
      <c r="AR426" s="26"/>
      <c r="AS426" s="26"/>
      <c r="AT426" s="26"/>
      <c r="AU426" s="26"/>
      <c r="AV426" s="26"/>
      <c r="AW426" s="26"/>
      <c r="AX426" s="26"/>
      <c r="AY426" s="26"/>
      <c r="AZ426" s="26"/>
      <c r="BA426" s="26"/>
      <c r="BB426" s="26"/>
      <c r="BC426" s="26"/>
      <c r="BD426" s="26"/>
      <c r="BE426" s="26"/>
      <c r="BF426" s="26"/>
      <c r="BG426" s="26"/>
      <c r="BH426" s="26"/>
      <c r="BI426" s="26"/>
      <c r="BJ426" s="26"/>
      <c r="BK426" s="26"/>
    </row>
    <row r="427" ht="14.25" customHeight="1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  <c r="AD427" s="26"/>
      <c r="AE427" s="26"/>
      <c r="AF427" s="26"/>
      <c r="AG427" s="26"/>
      <c r="AH427" s="26"/>
      <c r="AI427" s="26"/>
      <c r="AJ427" s="26"/>
      <c r="AK427" s="26"/>
      <c r="AL427" s="26"/>
      <c r="AM427" s="26"/>
      <c r="AN427" s="26"/>
      <c r="AO427" s="26"/>
      <c r="AP427" s="26"/>
      <c r="AQ427" s="26"/>
      <c r="AR427" s="26"/>
      <c r="AS427" s="26"/>
      <c r="AT427" s="26"/>
      <c r="AU427" s="26"/>
      <c r="AV427" s="26"/>
      <c r="AW427" s="26"/>
      <c r="AX427" s="26"/>
      <c r="AY427" s="26"/>
      <c r="AZ427" s="26"/>
      <c r="BA427" s="26"/>
      <c r="BB427" s="26"/>
      <c r="BC427" s="26"/>
      <c r="BD427" s="26"/>
      <c r="BE427" s="26"/>
      <c r="BF427" s="26"/>
      <c r="BG427" s="26"/>
      <c r="BH427" s="26"/>
      <c r="BI427" s="26"/>
      <c r="BJ427" s="26"/>
      <c r="BK427" s="26"/>
    </row>
    <row r="428" ht="14.25" customHeight="1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  <c r="AD428" s="26"/>
      <c r="AE428" s="26"/>
      <c r="AF428" s="26"/>
      <c r="AG428" s="26"/>
      <c r="AH428" s="26"/>
      <c r="AI428" s="26"/>
      <c r="AJ428" s="26"/>
      <c r="AK428" s="26"/>
      <c r="AL428" s="26"/>
      <c r="AM428" s="26"/>
      <c r="AN428" s="26"/>
      <c r="AO428" s="26"/>
      <c r="AP428" s="26"/>
      <c r="AQ428" s="26"/>
      <c r="AR428" s="26"/>
      <c r="AS428" s="26"/>
      <c r="AT428" s="26"/>
      <c r="AU428" s="26"/>
      <c r="AV428" s="26"/>
      <c r="AW428" s="26"/>
      <c r="AX428" s="26"/>
      <c r="AY428" s="26"/>
      <c r="AZ428" s="26"/>
      <c r="BA428" s="26"/>
      <c r="BB428" s="26"/>
      <c r="BC428" s="26"/>
      <c r="BD428" s="26"/>
      <c r="BE428" s="26"/>
      <c r="BF428" s="26"/>
      <c r="BG428" s="26"/>
      <c r="BH428" s="26"/>
      <c r="BI428" s="26"/>
      <c r="BJ428" s="26"/>
      <c r="BK428" s="26"/>
    </row>
    <row r="429" ht="14.25" customHeight="1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  <c r="AD429" s="26"/>
      <c r="AE429" s="26"/>
      <c r="AF429" s="26"/>
      <c r="AG429" s="26"/>
      <c r="AH429" s="26"/>
      <c r="AI429" s="26"/>
      <c r="AJ429" s="26"/>
      <c r="AK429" s="26"/>
      <c r="AL429" s="26"/>
      <c r="AM429" s="26"/>
      <c r="AN429" s="26"/>
      <c r="AO429" s="26"/>
      <c r="AP429" s="26"/>
      <c r="AQ429" s="26"/>
      <c r="AR429" s="26"/>
      <c r="AS429" s="26"/>
      <c r="AT429" s="26"/>
      <c r="AU429" s="26"/>
      <c r="AV429" s="26"/>
      <c r="AW429" s="26"/>
      <c r="AX429" s="26"/>
      <c r="AY429" s="26"/>
      <c r="AZ429" s="26"/>
      <c r="BA429" s="26"/>
      <c r="BB429" s="26"/>
      <c r="BC429" s="26"/>
      <c r="BD429" s="26"/>
      <c r="BE429" s="26"/>
      <c r="BF429" s="26"/>
      <c r="BG429" s="26"/>
      <c r="BH429" s="26"/>
      <c r="BI429" s="26"/>
      <c r="BJ429" s="26"/>
      <c r="BK429" s="26"/>
    </row>
    <row r="430" ht="14.25" customHeight="1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  <c r="AD430" s="26"/>
      <c r="AE430" s="26"/>
      <c r="AF430" s="26"/>
      <c r="AG430" s="26"/>
      <c r="AH430" s="26"/>
      <c r="AI430" s="26"/>
      <c r="AJ430" s="26"/>
      <c r="AK430" s="26"/>
      <c r="AL430" s="26"/>
      <c r="AM430" s="26"/>
      <c r="AN430" s="26"/>
      <c r="AO430" s="26"/>
      <c r="AP430" s="26"/>
      <c r="AQ430" s="26"/>
      <c r="AR430" s="26"/>
      <c r="AS430" s="26"/>
      <c r="AT430" s="26"/>
      <c r="AU430" s="26"/>
      <c r="AV430" s="26"/>
      <c r="AW430" s="26"/>
      <c r="AX430" s="26"/>
      <c r="AY430" s="26"/>
      <c r="AZ430" s="26"/>
      <c r="BA430" s="26"/>
      <c r="BB430" s="26"/>
      <c r="BC430" s="26"/>
      <c r="BD430" s="26"/>
      <c r="BE430" s="26"/>
      <c r="BF430" s="26"/>
      <c r="BG430" s="26"/>
      <c r="BH430" s="26"/>
      <c r="BI430" s="26"/>
      <c r="BJ430" s="26"/>
      <c r="BK430" s="26"/>
    </row>
    <row r="431" ht="14.25" customHeight="1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  <c r="AD431" s="26"/>
      <c r="AE431" s="26"/>
      <c r="AF431" s="26"/>
      <c r="AG431" s="26"/>
      <c r="AH431" s="26"/>
      <c r="AI431" s="26"/>
      <c r="AJ431" s="26"/>
      <c r="AK431" s="26"/>
      <c r="AL431" s="26"/>
      <c r="AM431" s="26"/>
      <c r="AN431" s="26"/>
      <c r="AO431" s="26"/>
      <c r="AP431" s="26"/>
      <c r="AQ431" s="26"/>
      <c r="AR431" s="26"/>
      <c r="AS431" s="26"/>
      <c r="AT431" s="26"/>
      <c r="AU431" s="26"/>
      <c r="AV431" s="26"/>
      <c r="AW431" s="26"/>
      <c r="AX431" s="26"/>
      <c r="AY431" s="26"/>
      <c r="AZ431" s="26"/>
      <c r="BA431" s="26"/>
      <c r="BB431" s="26"/>
      <c r="BC431" s="26"/>
      <c r="BD431" s="26"/>
      <c r="BE431" s="26"/>
      <c r="BF431" s="26"/>
      <c r="BG431" s="26"/>
      <c r="BH431" s="26"/>
      <c r="BI431" s="26"/>
      <c r="BJ431" s="26"/>
      <c r="BK431" s="26"/>
    </row>
    <row r="432" ht="14.25" customHeight="1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  <c r="AC432" s="26"/>
      <c r="AD432" s="26"/>
      <c r="AE432" s="26"/>
      <c r="AF432" s="26"/>
      <c r="AG432" s="26"/>
      <c r="AH432" s="26"/>
      <c r="AI432" s="26"/>
      <c r="AJ432" s="26"/>
      <c r="AK432" s="26"/>
      <c r="AL432" s="26"/>
      <c r="AM432" s="26"/>
      <c r="AN432" s="26"/>
      <c r="AO432" s="26"/>
      <c r="AP432" s="26"/>
      <c r="AQ432" s="26"/>
      <c r="AR432" s="26"/>
      <c r="AS432" s="26"/>
      <c r="AT432" s="26"/>
      <c r="AU432" s="26"/>
      <c r="AV432" s="26"/>
      <c r="AW432" s="26"/>
      <c r="AX432" s="26"/>
      <c r="AY432" s="26"/>
      <c r="AZ432" s="26"/>
      <c r="BA432" s="26"/>
      <c r="BB432" s="26"/>
      <c r="BC432" s="26"/>
      <c r="BD432" s="26"/>
      <c r="BE432" s="26"/>
      <c r="BF432" s="26"/>
      <c r="BG432" s="26"/>
      <c r="BH432" s="26"/>
      <c r="BI432" s="26"/>
      <c r="BJ432" s="26"/>
      <c r="BK432" s="26"/>
    </row>
    <row r="433" ht="14.25" customHeight="1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  <c r="AC433" s="26"/>
      <c r="AD433" s="26"/>
      <c r="AE433" s="26"/>
      <c r="AF433" s="26"/>
      <c r="AG433" s="26"/>
      <c r="AH433" s="26"/>
      <c r="AI433" s="26"/>
      <c r="AJ433" s="26"/>
      <c r="AK433" s="26"/>
      <c r="AL433" s="26"/>
      <c r="AM433" s="26"/>
      <c r="AN433" s="26"/>
      <c r="AO433" s="26"/>
      <c r="AP433" s="26"/>
      <c r="AQ433" s="26"/>
      <c r="AR433" s="26"/>
      <c r="AS433" s="26"/>
      <c r="AT433" s="26"/>
      <c r="AU433" s="26"/>
      <c r="AV433" s="26"/>
      <c r="AW433" s="26"/>
      <c r="AX433" s="26"/>
      <c r="AY433" s="26"/>
      <c r="AZ433" s="26"/>
      <c r="BA433" s="26"/>
      <c r="BB433" s="26"/>
      <c r="BC433" s="26"/>
      <c r="BD433" s="26"/>
      <c r="BE433" s="26"/>
      <c r="BF433" s="26"/>
      <c r="BG433" s="26"/>
      <c r="BH433" s="26"/>
      <c r="BI433" s="26"/>
      <c r="BJ433" s="26"/>
      <c r="BK433" s="26"/>
    </row>
    <row r="434" ht="14.25" customHeight="1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  <c r="AC434" s="26"/>
      <c r="AD434" s="26"/>
      <c r="AE434" s="26"/>
      <c r="AF434" s="26"/>
      <c r="AG434" s="26"/>
      <c r="AH434" s="26"/>
      <c r="AI434" s="26"/>
      <c r="AJ434" s="26"/>
      <c r="AK434" s="26"/>
      <c r="AL434" s="26"/>
      <c r="AM434" s="26"/>
      <c r="AN434" s="26"/>
      <c r="AO434" s="26"/>
      <c r="AP434" s="26"/>
      <c r="AQ434" s="26"/>
      <c r="AR434" s="26"/>
      <c r="AS434" s="26"/>
      <c r="AT434" s="26"/>
      <c r="AU434" s="26"/>
      <c r="AV434" s="26"/>
      <c r="AW434" s="26"/>
      <c r="AX434" s="26"/>
      <c r="AY434" s="26"/>
      <c r="AZ434" s="26"/>
      <c r="BA434" s="26"/>
      <c r="BB434" s="26"/>
      <c r="BC434" s="26"/>
      <c r="BD434" s="26"/>
      <c r="BE434" s="26"/>
      <c r="BF434" s="26"/>
      <c r="BG434" s="26"/>
      <c r="BH434" s="26"/>
      <c r="BI434" s="26"/>
      <c r="BJ434" s="26"/>
      <c r="BK434" s="26"/>
    </row>
    <row r="435" ht="14.25" customHeight="1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  <c r="AC435" s="26"/>
      <c r="AD435" s="26"/>
      <c r="AE435" s="26"/>
      <c r="AF435" s="26"/>
      <c r="AG435" s="26"/>
      <c r="AH435" s="26"/>
      <c r="AI435" s="26"/>
      <c r="AJ435" s="26"/>
      <c r="AK435" s="26"/>
      <c r="AL435" s="26"/>
      <c r="AM435" s="26"/>
      <c r="AN435" s="26"/>
      <c r="AO435" s="26"/>
      <c r="AP435" s="26"/>
      <c r="AQ435" s="26"/>
      <c r="AR435" s="26"/>
      <c r="AS435" s="26"/>
      <c r="AT435" s="26"/>
      <c r="AU435" s="26"/>
      <c r="AV435" s="26"/>
      <c r="AW435" s="26"/>
      <c r="AX435" s="26"/>
      <c r="AY435" s="26"/>
      <c r="AZ435" s="26"/>
      <c r="BA435" s="26"/>
      <c r="BB435" s="26"/>
      <c r="BC435" s="26"/>
      <c r="BD435" s="26"/>
      <c r="BE435" s="26"/>
      <c r="BF435" s="26"/>
      <c r="BG435" s="26"/>
      <c r="BH435" s="26"/>
      <c r="BI435" s="26"/>
      <c r="BJ435" s="26"/>
      <c r="BK435" s="26"/>
    </row>
    <row r="436" ht="14.25" customHeight="1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  <c r="AC436" s="26"/>
      <c r="AD436" s="26"/>
      <c r="AE436" s="26"/>
      <c r="AF436" s="26"/>
      <c r="AG436" s="26"/>
      <c r="AH436" s="26"/>
      <c r="AI436" s="26"/>
      <c r="AJ436" s="26"/>
      <c r="AK436" s="26"/>
      <c r="AL436" s="26"/>
      <c r="AM436" s="26"/>
      <c r="AN436" s="26"/>
      <c r="AO436" s="26"/>
      <c r="AP436" s="26"/>
      <c r="AQ436" s="26"/>
      <c r="AR436" s="26"/>
      <c r="AS436" s="26"/>
      <c r="AT436" s="26"/>
      <c r="AU436" s="26"/>
      <c r="AV436" s="26"/>
      <c r="AW436" s="26"/>
      <c r="AX436" s="26"/>
      <c r="AY436" s="26"/>
      <c r="AZ436" s="26"/>
      <c r="BA436" s="26"/>
      <c r="BB436" s="26"/>
      <c r="BC436" s="26"/>
      <c r="BD436" s="26"/>
      <c r="BE436" s="26"/>
      <c r="BF436" s="26"/>
      <c r="BG436" s="26"/>
      <c r="BH436" s="26"/>
      <c r="BI436" s="26"/>
      <c r="BJ436" s="26"/>
      <c r="BK436" s="26"/>
    </row>
    <row r="437" ht="14.25" customHeight="1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  <c r="AC437" s="26"/>
      <c r="AD437" s="26"/>
      <c r="AE437" s="26"/>
      <c r="AF437" s="26"/>
      <c r="AG437" s="26"/>
      <c r="AH437" s="26"/>
      <c r="AI437" s="26"/>
      <c r="AJ437" s="26"/>
      <c r="AK437" s="26"/>
      <c r="AL437" s="26"/>
      <c r="AM437" s="26"/>
      <c r="AN437" s="26"/>
      <c r="AO437" s="26"/>
      <c r="AP437" s="26"/>
      <c r="AQ437" s="26"/>
      <c r="AR437" s="26"/>
      <c r="AS437" s="26"/>
      <c r="AT437" s="26"/>
      <c r="AU437" s="26"/>
      <c r="AV437" s="26"/>
      <c r="AW437" s="26"/>
      <c r="AX437" s="26"/>
      <c r="AY437" s="26"/>
      <c r="AZ437" s="26"/>
      <c r="BA437" s="26"/>
      <c r="BB437" s="26"/>
      <c r="BC437" s="26"/>
      <c r="BD437" s="26"/>
      <c r="BE437" s="26"/>
      <c r="BF437" s="26"/>
      <c r="BG437" s="26"/>
      <c r="BH437" s="26"/>
      <c r="BI437" s="26"/>
      <c r="BJ437" s="26"/>
      <c r="BK437" s="26"/>
    </row>
    <row r="438" ht="14.25" customHeight="1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  <c r="AC438" s="26"/>
      <c r="AD438" s="26"/>
      <c r="AE438" s="26"/>
      <c r="AF438" s="26"/>
      <c r="AG438" s="26"/>
      <c r="AH438" s="26"/>
      <c r="AI438" s="26"/>
      <c r="AJ438" s="26"/>
      <c r="AK438" s="26"/>
      <c r="AL438" s="26"/>
      <c r="AM438" s="26"/>
      <c r="AN438" s="26"/>
      <c r="AO438" s="26"/>
      <c r="AP438" s="26"/>
      <c r="AQ438" s="26"/>
      <c r="AR438" s="26"/>
      <c r="AS438" s="26"/>
      <c r="AT438" s="26"/>
      <c r="AU438" s="26"/>
      <c r="AV438" s="26"/>
      <c r="AW438" s="26"/>
      <c r="AX438" s="26"/>
      <c r="AY438" s="26"/>
      <c r="AZ438" s="26"/>
      <c r="BA438" s="26"/>
      <c r="BB438" s="26"/>
      <c r="BC438" s="26"/>
      <c r="BD438" s="26"/>
      <c r="BE438" s="26"/>
      <c r="BF438" s="26"/>
      <c r="BG438" s="26"/>
      <c r="BH438" s="26"/>
      <c r="BI438" s="26"/>
      <c r="BJ438" s="26"/>
      <c r="BK438" s="26"/>
    </row>
    <row r="439" ht="14.25" customHeight="1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  <c r="AC439" s="26"/>
      <c r="AD439" s="26"/>
      <c r="AE439" s="26"/>
      <c r="AF439" s="26"/>
      <c r="AG439" s="26"/>
      <c r="AH439" s="26"/>
      <c r="AI439" s="26"/>
      <c r="AJ439" s="26"/>
      <c r="AK439" s="26"/>
      <c r="AL439" s="26"/>
      <c r="AM439" s="26"/>
      <c r="AN439" s="26"/>
      <c r="AO439" s="26"/>
      <c r="AP439" s="26"/>
      <c r="AQ439" s="26"/>
      <c r="AR439" s="26"/>
      <c r="AS439" s="26"/>
      <c r="AT439" s="26"/>
      <c r="AU439" s="26"/>
      <c r="AV439" s="26"/>
      <c r="AW439" s="26"/>
      <c r="AX439" s="26"/>
      <c r="AY439" s="26"/>
      <c r="AZ439" s="26"/>
      <c r="BA439" s="26"/>
      <c r="BB439" s="26"/>
      <c r="BC439" s="26"/>
      <c r="BD439" s="26"/>
      <c r="BE439" s="26"/>
      <c r="BF439" s="26"/>
      <c r="BG439" s="26"/>
      <c r="BH439" s="26"/>
      <c r="BI439" s="26"/>
      <c r="BJ439" s="26"/>
      <c r="BK439" s="26"/>
    </row>
    <row r="440" ht="14.25" customHeight="1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  <c r="AC440" s="26"/>
      <c r="AD440" s="26"/>
      <c r="AE440" s="26"/>
      <c r="AF440" s="26"/>
      <c r="AG440" s="26"/>
      <c r="AH440" s="26"/>
      <c r="AI440" s="26"/>
      <c r="AJ440" s="26"/>
      <c r="AK440" s="26"/>
      <c r="AL440" s="26"/>
      <c r="AM440" s="26"/>
      <c r="AN440" s="26"/>
      <c r="AO440" s="26"/>
      <c r="AP440" s="26"/>
      <c r="AQ440" s="26"/>
      <c r="AR440" s="26"/>
      <c r="AS440" s="26"/>
      <c r="AT440" s="26"/>
      <c r="AU440" s="26"/>
      <c r="AV440" s="26"/>
      <c r="AW440" s="26"/>
      <c r="AX440" s="26"/>
      <c r="AY440" s="26"/>
      <c r="AZ440" s="26"/>
      <c r="BA440" s="26"/>
      <c r="BB440" s="26"/>
      <c r="BC440" s="26"/>
      <c r="BD440" s="26"/>
      <c r="BE440" s="26"/>
      <c r="BF440" s="26"/>
      <c r="BG440" s="26"/>
      <c r="BH440" s="26"/>
      <c r="BI440" s="26"/>
      <c r="BJ440" s="26"/>
      <c r="BK440" s="26"/>
    </row>
    <row r="441" ht="14.25" customHeight="1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  <c r="AC441" s="26"/>
      <c r="AD441" s="26"/>
      <c r="AE441" s="26"/>
      <c r="AF441" s="26"/>
      <c r="AG441" s="26"/>
      <c r="AH441" s="26"/>
      <c r="AI441" s="26"/>
      <c r="AJ441" s="26"/>
      <c r="AK441" s="26"/>
      <c r="AL441" s="26"/>
      <c r="AM441" s="26"/>
      <c r="AN441" s="26"/>
      <c r="AO441" s="26"/>
      <c r="AP441" s="26"/>
      <c r="AQ441" s="26"/>
      <c r="AR441" s="26"/>
      <c r="AS441" s="26"/>
      <c r="AT441" s="26"/>
      <c r="AU441" s="26"/>
      <c r="AV441" s="26"/>
      <c r="AW441" s="26"/>
      <c r="AX441" s="26"/>
      <c r="AY441" s="26"/>
      <c r="AZ441" s="26"/>
      <c r="BA441" s="26"/>
      <c r="BB441" s="26"/>
      <c r="BC441" s="26"/>
      <c r="BD441" s="26"/>
      <c r="BE441" s="26"/>
      <c r="BF441" s="26"/>
      <c r="BG441" s="26"/>
      <c r="BH441" s="26"/>
      <c r="BI441" s="26"/>
      <c r="BJ441" s="26"/>
      <c r="BK441" s="26"/>
    </row>
    <row r="442" ht="14.25" customHeight="1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  <c r="AC442" s="26"/>
      <c r="AD442" s="26"/>
      <c r="AE442" s="26"/>
      <c r="AF442" s="26"/>
      <c r="AG442" s="26"/>
      <c r="AH442" s="26"/>
      <c r="AI442" s="26"/>
      <c r="AJ442" s="26"/>
      <c r="AK442" s="26"/>
      <c r="AL442" s="26"/>
      <c r="AM442" s="26"/>
      <c r="AN442" s="26"/>
      <c r="AO442" s="26"/>
      <c r="AP442" s="26"/>
      <c r="AQ442" s="26"/>
      <c r="AR442" s="26"/>
      <c r="AS442" s="26"/>
      <c r="AT442" s="26"/>
      <c r="AU442" s="26"/>
      <c r="AV442" s="26"/>
      <c r="AW442" s="26"/>
      <c r="AX442" s="26"/>
      <c r="AY442" s="26"/>
      <c r="AZ442" s="26"/>
      <c r="BA442" s="26"/>
      <c r="BB442" s="26"/>
      <c r="BC442" s="26"/>
      <c r="BD442" s="26"/>
      <c r="BE442" s="26"/>
      <c r="BF442" s="26"/>
      <c r="BG442" s="26"/>
      <c r="BH442" s="26"/>
      <c r="BI442" s="26"/>
      <c r="BJ442" s="26"/>
      <c r="BK442" s="26"/>
    </row>
    <row r="443" ht="14.25" customHeight="1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  <c r="AC443" s="26"/>
      <c r="AD443" s="26"/>
      <c r="AE443" s="26"/>
      <c r="AF443" s="26"/>
      <c r="AG443" s="26"/>
      <c r="AH443" s="26"/>
      <c r="AI443" s="26"/>
      <c r="AJ443" s="26"/>
      <c r="AK443" s="26"/>
      <c r="AL443" s="26"/>
      <c r="AM443" s="26"/>
      <c r="AN443" s="26"/>
      <c r="AO443" s="26"/>
      <c r="AP443" s="26"/>
      <c r="AQ443" s="26"/>
      <c r="AR443" s="26"/>
      <c r="AS443" s="26"/>
      <c r="AT443" s="26"/>
      <c r="AU443" s="26"/>
      <c r="AV443" s="26"/>
      <c r="AW443" s="26"/>
      <c r="AX443" s="26"/>
      <c r="AY443" s="26"/>
      <c r="AZ443" s="26"/>
      <c r="BA443" s="26"/>
      <c r="BB443" s="26"/>
      <c r="BC443" s="26"/>
      <c r="BD443" s="26"/>
      <c r="BE443" s="26"/>
      <c r="BF443" s="26"/>
      <c r="BG443" s="26"/>
      <c r="BH443" s="26"/>
      <c r="BI443" s="26"/>
      <c r="BJ443" s="26"/>
      <c r="BK443" s="26"/>
    </row>
    <row r="444" ht="14.25" customHeight="1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  <c r="AC444" s="26"/>
      <c r="AD444" s="26"/>
      <c r="AE444" s="26"/>
      <c r="AF444" s="26"/>
      <c r="AG444" s="26"/>
      <c r="AH444" s="26"/>
      <c r="AI444" s="26"/>
      <c r="AJ444" s="26"/>
      <c r="AK444" s="26"/>
      <c r="AL444" s="26"/>
      <c r="AM444" s="26"/>
      <c r="AN444" s="26"/>
      <c r="AO444" s="26"/>
      <c r="AP444" s="26"/>
      <c r="AQ444" s="26"/>
      <c r="AR444" s="26"/>
      <c r="AS444" s="26"/>
      <c r="AT444" s="26"/>
      <c r="AU444" s="26"/>
      <c r="AV444" s="26"/>
      <c r="AW444" s="26"/>
      <c r="AX444" s="26"/>
      <c r="AY444" s="26"/>
      <c r="AZ444" s="26"/>
      <c r="BA444" s="26"/>
      <c r="BB444" s="26"/>
      <c r="BC444" s="26"/>
      <c r="BD444" s="26"/>
      <c r="BE444" s="26"/>
      <c r="BF444" s="26"/>
      <c r="BG444" s="26"/>
      <c r="BH444" s="26"/>
      <c r="BI444" s="26"/>
      <c r="BJ444" s="26"/>
      <c r="BK444" s="26"/>
    </row>
    <row r="445" ht="14.25" customHeight="1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  <c r="AC445" s="26"/>
      <c r="AD445" s="26"/>
      <c r="AE445" s="26"/>
      <c r="AF445" s="26"/>
      <c r="AG445" s="26"/>
      <c r="AH445" s="26"/>
      <c r="AI445" s="26"/>
      <c r="AJ445" s="26"/>
      <c r="AK445" s="26"/>
      <c r="AL445" s="26"/>
      <c r="AM445" s="26"/>
      <c r="AN445" s="26"/>
      <c r="AO445" s="26"/>
      <c r="AP445" s="26"/>
      <c r="AQ445" s="26"/>
      <c r="AR445" s="26"/>
      <c r="AS445" s="26"/>
      <c r="AT445" s="26"/>
      <c r="AU445" s="26"/>
      <c r="AV445" s="26"/>
      <c r="AW445" s="26"/>
      <c r="AX445" s="26"/>
      <c r="AY445" s="26"/>
      <c r="AZ445" s="26"/>
      <c r="BA445" s="26"/>
      <c r="BB445" s="26"/>
      <c r="BC445" s="26"/>
      <c r="BD445" s="26"/>
      <c r="BE445" s="26"/>
      <c r="BF445" s="26"/>
      <c r="BG445" s="26"/>
      <c r="BH445" s="26"/>
      <c r="BI445" s="26"/>
      <c r="BJ445" s="26"/>
      <c r="BK445" s="26"/>
    </row>
    <row r="446" ht="14.25" customHeight="1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  <c r="AC446" s="26"/>
      <c r="AD446" s="26"/>
      <c r="AE446" s="26"/>
      <c r="AF446" s="26"/>
      <c r="AG446" s="26"/>
      <c r="AH446" s="26"/>
      <c r="AI446" s="26"/>
      <c r="AJ446" s="26"/>
      <c r="AK446" s="26"/>
      <c r="AL446" s="26"/>
      <c r="AM446" s="26"/>
      <c r="AN446" s="26"/>
      <c r="AO446" s="26"/>
      <c r="AP446" s="26"/>
      <c r="AQ446" s="26"/>
      <c r="AR446" s="26"/>
      <c r="AS446" s="26"/>
      <c r="AT446" s="26"/>
      <c r="AU446" s="26"/>
      <c r="AV446" s="26"/>
      <c r="AW446" s="26"/>
      <c r="AX446" s="26"/>
      <c r="AY446" s="26"/>
      <c r="AZ446" s="26"/>
      <c r="BA446" s="26"/>
      <c r="BB446" s="26"/>
      <c r="BC446" s="26"/>
      <c r="BD446" s="26"/>
      <c r="BE446" s="26"/>
      <c r="BF446" s="26"/>
      <c r="BG446" s="26"/>
      <c r="BH446" s="26"/>
      <c r="BI446" s="26"/>
      <c r="BJ446" s="26"/>
      <c r="BK446" s="26"/>
    </row>
    <row r="447" ht="14.25" customHeight="1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  <c r="AC447" s="26"/>
      <c r="AD447" s="26"/>
      <c r="AE447" s="26"/>
      <c r="AF447" s="26"/>
      <c r="AG447" s="26"/>
      <c r="AH447" s="26"/>
      <c r="AI447" s="26"/>
      <c r="AJ447" s="26"/>
      <c r="AK447" s="26"/>
      <c r="AL447" s="26"/>
      <c r="AM447" s="26"/>
      <c r="AN447" s="26"/>
      <c r="AO447" s="26"/>
      <c r="AP447" s="26"/>
      <c r="AQ447" s="26"/>
      <c r="AR447" s="26"/>
      <c r="AS447" s="26"/>
      <c r="AT447" s="26"/>
      <c r="AU447" s="26"/>
      <c r="AV447" s="26"/>
      <c r="AW447" s="26"/>
      <c r="AX447" s="26"/>
      <c r="AY447" s="26"/>
      <c r="AZ447" s="26"/>
      <c r="BA447" s="26"/>
      <c r="BB447" s="26"/>
      <c r="BC447" s="26"/>
      <c r="BD447" s="26"/>
      <c r="BE447" s="26"/>
      <c r="BF447" s="26"/>
      <c r="BG447" s="26"/>
      <c r="BH447" s="26"/>
      <c r="BI447" s="26"/>
      <c r="BJ447" s="26"/>
      <c r="BK447" s="26"/>
    </row>
    <row r="448" ht="14.25" customHeight="1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  <c r="AC448" s="26"/>
      <c r="AD448" s="26"/>
      <c r="AE448" s="26"/>
      <c r="AF448" s="26"/>
      <c r="AG448" s="26"/>
      <c r="AH448" s="26"/>
      <c r="AI448" s="26"/>
      <c r="AJ448" s="26"/>
      <c r="AK448" s="26"/>
      <c r="AL448" s="26"/>
      <c r="AM448" s="26"/>
      <c r="AN448" s="26"/>
      <c r="AO448" s="26"/>
      <c r="AP448" s="26"/>
      <c r="AQ448" s="26"/>
      <c r="AR448" s="26"/>
      <c r="AS448" s="26"/>
      <c r="AT448" s="26"/>
      <c r="AU448" s="26"/>
      <c r="AV448" s="26"/>
      <c r="AW448" s="26"/>
      <c r="AX448" s="26"/>
      <c r="AY448" s="26"/>
      <c r="AZ448" s="26"/>
      <c r="BA448" s="26"/>
      <c r="BB448" s="26"/>
      <c r="BC448" s="26"/>
      <c r="BD448" s="26"/>
      <c r="BE448" s="26"/>
      <c r="BF448" s="26"/>
      <c r="BG448" s="26"/>
      <c r="BH448" s="26"/>
      <c r="BI448" s="26"/>
      <c r="BJ448" s="26"/>
      <c r="BK448" s="26"/>
    </row>
    <row r="449" ht="14.25" customHeight="1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  <c r="AC449" s="26"/>
      <c r="AD449" s="26"/>
      <c r="AE449" s="26"/>
      <c r="AF449" s="26"/>
      <c r="AG449" s="26"/>
      <c r="AH449" s="26"/>
      <c r="AI449" s="26"/>
      <c r="AJ449" s="26"/>
      <c r="AK449" s="26"/>
      <c r="AL449" s="26"/>
      <c r="AM449" s="26"/>
      <c r="AN449" s="26"/>
      <c r="AO449" s="26"/>
      <c r="AP449" s="26"/>
      <c r="AQ449" s="26"/>
      <c r="AR449" s="26"/>
      <c r="AS449" s="26"/>
      <c r="AT449" s="26"/>
      <c r="AU449" s="26"/>
      <c r="AV449" s="26"/>
      <c r="AW449" s="26"/>
      <c r="AX449" s="26"/>
      <c r="AY449" s="26"/>
      <c r="AZ449" s="26"/>
      <c r="BA449" s="26"/>
      <c r="BB449" s="26"/>
      <c r="BC449" s="26"/>
      <c r="BD449" s="26"/>
      <c r="BE449" s="26"/>
      <c r="BF449" s="26"/>
      <c r="BG449" s="26"/>
      <c r="BH449" s="26"/>
      <c r="BI449" s="26"/>
      <c r="BJ449" s="26"/>
      <c r="BK449" s="26"/>
    </row>
    <row r="450" ht="14.25" customHeight="1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  <c r="AC450" s="26"/>
      <c r="AD450" s="26"/>
      <c r="AE450" s="26"/>
      <c r="AF450" s="26"/>
      <c r="AG450" s="26"/>
      <c r="AH450" s="26"/>
      <c r="AI450" s="26"/>
      <c r="AJ450" s="26"/>
      <c r="AK450" s="26"/>
      <c r="AL450" s="26"/>
      <c r="AM450" s="26"/>
      <c r="AN450" s="26"/>
      <c r="AO450" s="26"/>
      <c r="AP450" s="26"/>
      <c r="AQ450" s="26"/>
      <c r="AR450" s="26"/>
      <c r="AS450" s="26"/>
      <c r="AT450" s="26"/>
      <c r="AU450" s="26"/>
      <c r="AV450" s="26"/>
      <c r="AW450" s="26"/>
      <c r="AX450" s="26"/>
      <c r="AY450" s="26"/>
      <c r="AZ450" s="26"/>
      <c r="BA450" s="26"/>
      <c r="BB450" s="26"/>
      <c r="BC450" s="26"/>
      <c r="BD450" s="26"/>
      <c r="BE450" s="26"/>
      <c r="BF450" s="26"/>
      <c r="BG450" s="26"/>
      <c r="BH450" s="26"/>
      <c r="BI450" s="26"/>
      <c r="BJ450" s="26"/>
      <c r="BK450" s="26"/>
    </row>
    <row r="451" ht="14.25" customHeight="1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  <c r="AC451" s="26"/>
      <c r="AD451" s="26"/>
      <c r="AE451" s="26"/>
      <c r="AF451" s="26"/>
      <c r="AG451" s="26"/>
      <c r="AH451" s="26"/>
      <c r="AI451" s="26"/>
      <c r="AJ451" s="26"/>
      <c r="AK451" s="26"/>
      <c r="AL451" s="26"/>
      <c r="AM451" s="26"/>
      <c r="AN451" s="26"/>
      <c r="AO451" s="26"/>
      <c r="AP451" s="26"/>
      <c r="AQ451" s="26"/>
      <c r="AR451" s="26"/>
      <c r="AS451" s="26"/>
      <c r="AT451" s="26"/>
      <c r="AU451" s="26"/>
      <c r="AV451" s="26"/>
      <c r="AW451" s="26"/>
      <c r="AX451" s="26"/>
      <c r="AY451" s="26"/>
      <c r="AZ451" s="26"/>
      <c r="BA451" s="26"/>
      <c r="BB451" s="26"/>
      <c r="BC451" s="26"/>
      <c r="BD451" s="26"/>
      <c r="BE451" s="26"/>
      <c r="BF451" s="26"/>
      <c r="BG451" s="26"/>
      <c r="BH451" s="26"/>
      <c r="BI451" s="26"/>
      <c r="BJ451" s="26"/>
      <c r="BK451" s="26"/>
    </row>
    <row r="452" ht="14.25" customHeight="1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  <c r="AC452" s="26"/>
      <c r="AD452" s="26"/>
      <c r="AE452" s="26"/>
      <c r="AF452" s="26"/>
      <c r="AG452" s="26"/>
      <c r="AH452" s="26"/>
      <c r="AI452" s="26"/>
      <c r="AJ452" s="26"/>
      <c r="AK452" s="26"/>
      <c r="AL452" s="26"/>
      <c r="AM452" s="26"/>
      <c r="AN452" s="26"/>
      <c r="AO452" s="26"/>
      <c r="AP452" s="26"/>
      <c r="AQ452" s="26"/>
      <c r="AR452" s="26"/>
      <c r="AS452" s="26"/>
      <c r="AT452" s="26"/>
      <c r="AU452" s="26"/>
      <c r="AV452" s="26"/>
      <c r="AW452" s="26"/>
      <c r="AX452" s="26"/>
      <c r="AY452" s="26"/>
      <c r="AZ452" s="26"/>
      <c r="BA452" s="26"/>
      <c r="BB452" s="26"/>
      <c r="BC452" s="26"/>
      <c r="BD452" s="26"/>
      <c r="BE452" s="26"/>
      <c r="BF452" s="26"/>
      <c r="BG452" s="26"/>
      <c r="BH452" s="26"/>
      <c r="BI452" s="26"/>
      <c r="BJ452" s="26"/>
      <c r="BK452" s="26"/>
    </row>
    <row r="453" ht="14.25" customHeight="1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  <c r="AC453" s="26"/>
      <c r="AD453" s="26"/>
      <c r="AE453" s="26"/>
      <c r="AF453" s="26"/>
      <c r="AG453" s="26"/>
      <c r="AH453" s="26"/>
      <c r="AI453" s="26"/>
      <c r="AJ453" s="26"/>
      <c r="AK453" s="26"/>
      <c r="AL453" s="26"/>
      <c r="AM453" s="26"/>
      <c r="AN453" s="26"/>
      <c r="AO453" s="26"/>
      <c r="AP453" s="26"/>
      <c r="AQ453" s="26"/>
      <c r="AR453" s="26"/>
      <c r="AS453" s="26"/>
      <c r="AT453" s="26"/>
      <c r="AU453" s="26"/>
      <c r="AV453" s="26"/>
      <c r="AW453" s="26"/>
      <c r="AX453" s="26"/>
      <c r="AY453" s="26"/>
      <c r="AZ453" s="26"/>
      <c r="BA453" s="26"/>
      <c r="BB453" s="26"/>
      <c r="BC453" s="26"/>
      <c r="BD453" s="26"/>
      <c r="BE453" s="26"/>
      <c r="BF453" s="26"/>
      <c r="BG453" s="26"/>
      <c r="BH453" s="26"/>
      <c r="BI453" s="26"/>
      <c r="BJ453" s="26"/>
      <c r="BK453" s="26"/>
    </row>
    <row r="454" ht="14.25" customHeight="1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  <c r="AC454" s="26"/>
      <c r="AD454" s="26"/>
      <c r="AE454" s="26"/>
      <c r="AF454" s="26"/>
      <c r="AG454" s="26"/>
      <c r="AH454" s="26"/>
      <c r="AI454" s="26"/>
      <c r="AJ454" s="26"/>
      <c r="AK454" s="26"/>
      <c r="AL454" s="26"/>
      <c r="AM454" s="26"/>
      <c r="AN454" s="26"/>
      <c r="AO454" s="26"/>
      <c r="AP454" s="26"/>
      <c r="AQ454" s="26"/>
      <c r="AR454" s="26"/>
      <c r="AS454" s="26"/>
      <c r="AT454" s="26"/>
      <c r="AU454" s="26"/>
      <c r="AV454" s="26"/>
      <c r="AW454" s="26"/>
      <c r="AX454" s="26"/>
      <c r="AY454" s="26"/>
      <c r="AZ454" s="26"/>
      <c r="BA454" s="26"/>
      <c r="BB454" s="26"/>
      <c r="BC454" s="26"/>
      <c r="BD454" s="26"/>
      <c r="BE454" s="26"/>
      <c r="BF454" s="26"/>
      <c r="BG454" s="26"/>
      <c r="BH454" s="26"/>
      <c r="BI454" s="26"/>
      <c r="BJ454" s="26"/>
      <c r="BK454" s="26"/>
    </row>
    <row r="455" ht="14.25" customHeight="1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  <c r="AC455" s="26"/>
      <c r="AD455" s="26"/>
      <c r="AE455" s="26"/>
      <c r="AF455" s="26"/>
      <c r="AG455" s="26"/>
      <c r="AH455" s="26"/>
      <c r="AI455" s="26"/>
      <c r="AJ455" s="26"/>
      <c r="AK455" s="26"/>
      <c r="AL455" s="26"/>
      <c r="AM455" s="26"/>
      <c r="AN455" s="26"/>
      <c r="AO455" s="26"/>
      <c r="AP455" s="26"/>
      <c r="AQ455" s="26"/>
      <c r="AR455" s="26"/>
      <c r="AS455" s="26"/>
      <c r="AT455" s="26"/>
      <c r="AU455" s="26"/>
      <c r="AV455" s="26"/>
      <c r="AW455" s="26"/>
      <c r="AX455" s="26"/>
      <c r="AY455" s="26"/>
      <c r="AZ455" s="26"/>
      <c r="BA455" s="26"/>
      <c r="BB455" s="26"/>
      <c r="BC455" s="26"/>
      <c r="BD455" s="26"/>
      <c r="BE455" s="26"/>
      <c r="BF455" s="26"/>
      <c r="BG455" s="26"/>
      <c r="BH455" s="26"/>
      <c r="BI455" s="26"/>
      <c r="BJ455" s="26"/>
      <c r="BK455" s="26"/>
    </row>
    <row r="456" ht="14.25" customHeight="1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  <c r="AC456" s="26"/>
      <c r="AD456" s="26"/>
      <c r="AE456" s="26"/>
      <c r="AF456" s="26"/>
      <c r="AG456" s="26"/>
      <c r="AH456" s="26"/>
      <c r="AI456" s="26"/>
      <c r="AJ456" s="26"/>
      <c r="AK456" s="26"/>
      <c r="AL456" s="26"/>
      <c r="AM456" s="26"/>
      <c r="AN456" s="26"/>
      <c r="AO456" s="26"/>
      <c r="AP456" s="26"/>
      <c r="AQ456" s="26"/>
      <c r="AR456" s="26"/>
      <c r="AS456" s="26"/>
      <c r="AT456" s="26"/>
      <c r="AU456" s="26"/>
      <c r="AV456" s="26"/>
      <c r="AW456" s="26"/>
      <c r="AX456" s="26"/>
      <c r="AY456" s="26"/>
      <c r="AZ456" s="26"/>
      <c r="BA456" s="26"/>
      <c r="BB456" s="26"/>
      <c r="BC456" s="26"/>
      <c r="BD456" s="26"/>
      <c r="BE456" s="26"/>
      <c r="BF456" s="26"/>
      <c r="BG456" s="26"/>
      <c r="BH456" s="26"/>
      <c r="BI456" s="26"/>
      <c r="BJ456" s="26"/>
      <c r="BK456" s="26"/>
    </row>
    <row r="457" ht="14.25" customHeight="1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  <c r="AC457" s="26"/>
      <c r="AD457" s="26"/>
      <c r="AE457" s="26"/>
      <c r="AF457" s="26"/>
      <c r="AG457" s="26"/>
      <c r="AH457" s="26"/>
      <c r="AI457" s="26"/>
      <c r="AJ457" s="26"/>
      <c r="AK457" s="26"/>
      <c r="AL457" s="26"/>
      <c r="AM457" s="26"/>
      <c r="AN457" s="26"/>
      <c r="AO457" s="26"/>
      <c r="AP457" s="26"/>
      <c r="AQ457" s="26"/>
      <c r="AR457" s="26"/>
      <c r="AS457" s="26"/>
      <c r="AT457" s="26"/>
      <c r="AU457" s="26"/>
      <c r="AV457" s="26"/>
      <c r="AW457" s="26"/>
      <c r="AX457" s="26"/>
      <c r="AY457" s="26"/>
      <c r="AZ457" s="26"/>
      <c r="BA457" s="26"/>
      <c r="BB457" s="26"/>
      <c r="BC457" s="26"/>
      <c r="BD457" s="26"/>
      <c r="BE457" s="26"/>
      <c r="BF457" s="26"/>
      <c r="BG457" s="26"/>
      <c r="BH457" s="26"/>
      <c r="BI457" s="26"/>
      <c r="BJ457" s="26"/>
      <c r="BK457" s="26"/>
    </row>
    <row r="458" ht="14.25" customHeight="1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  <c r="AC458" s="26"/>
      <c r="AD458" s="26"/>
      <c r="AE458" s="26"/>
      <c r="AF458" s="26"/>
      <c r="AG458" s="26"/>
      <c r="AH458" s="26"/>
      <c r="AI458" s="26"/>
      <c r="AJ458" s="26"/>
      <c r="AK458" s="26"/>
      <c r="AL458" s="26"/>
      <c r="AM458" s="26"/>
      <c r="AN458" s="26"/>
      <c r="AO458" s="26"/>
      <c r="AP458" s="26"/>
      <c r="AQ458" s="26"/>
      <c r="AR458" s="26"/>
      <c r="AS458" s="26"/>
      <c r="AT458" s="26"/>
      <c r="AU458" s="26"/>
      <c r="AV458" s="26"/>
      <c r="AW458" s="26"/>
      <c r="AX458" s="26"/>
      <c r="AY458" s="26"/>
      <c r="AZ458" s="26"/>
      <c r="BA458" s="26"/>
      <c r="BB458" s="26"/>
      <c r="BC458" s="26"/>
      <c r="BD458" s="26"/>
      <c r="BE458" s="26"/>
      <c r="BF458" s="26"/>
      <c r="BG458" s="26"/>
      <c r="BH458" s="26"/>
      <c r="BI458" s="26"/>
      <c r="BJ458" s="26"/>
      <c r="BK458" s="26"/>
    </row>
    <row r="459" ht="14.25" customHeight="1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  <c r="AC459" s="26"/>
      <c r="AD459" s="26"/>
      <c r="AE459" s="26"/>
      <c r="AF459" s="26"/>
      <c r="AG459" s="26"/>
      <c r="AH459" s="26"/>
      <c r="AI459" s="26"/>
      <c r="AJ459" s="26"/>
      <c r="AK459" s="26"/>
      <c r="AL459" s="26"/>
      <c r="AM459" s="26"/>
      <c r="AN459" s="26"/>
      <c r="AO459" s="26"/>
      <c r="AP459" s="26"/>
      <c r="AQ459" s="26"/>
      <c r="AR459" s="26"/>
      <c r="AS459" s="26"/>
      <c r="AT459" s="26"/>
      <c r="AU459" s="26"/>
      <c r="AV459" s="26"/>
      <c r="AW459" s="26"/>
      <c r="AX459" s="26"/>
      <c r="AY459" s="26"/>
      <c r="AZ459" s="26"/>
      <c r="BA459" s="26"/>
      <c r="BB459" s="26"/>
      <c r="BC459" s="26"/>
      <c r="BD459" s="26"/>
      <c r="BE459" s="26"/>
      <c r="BF459" s="26"/>
      <c r="BG459" s="26"/>
      <c r="BH459" s="26"/>
      <c r="BI459" s="26"/>
      <c r="BJ459" s="26"/>
      <c r="BK459" s="26"/>
    </row>
    <row r="460" ht="14.25" customHeight="1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  <c r="AC460" s="26"/>
      <c r="AD460" s="26"/>
      <c r="AE460" s="26"/>
      <c r="AF460" s="26"/>
      <c r="AG460" s="26"/>
      <c r="AH460" s="26"/>
      <c r="AI460" s="26"/>
      <c r="AJ460" s="26"/>
      <c r="AK460" s="26"/>
      <c r="AL460" s="26"/>
      <c r="AM460" s="26"/>
      <c r="AN460" s="26"/>
      <c r="AO460" s="26"/>
      <c r="AP460" s="26"/>
      <c r="AQ460" s="26"/>
      <c r="AR460" s="26"/>
      <c r="AS460" s="26"/>
      <c r="AT460" s="26"/>
      <c r="AU460" s="26"/>
      <c r="AV460" s="26"/>
      <c r="AW460" s="26"/>
      <c r="AX460" s="26"/>
      <c r="AY460" s="26"/>
      <c r="AZ460" s="26"/>
      <c r="BA460" s="26"/>
      <c r="BB460" s="26"/>
      <c r="BC460" s="26"/>
      <c r="BD460" s="26"/>
      <c r="BE460" s="26"/>
      <c r="BF460" s="26"/>
      <c r="BG460" s="26"/>
      <c r="BH460" s="26"/>
      <c r="BI460" s="26"/>
      <c r="BJ460" s="26"/>
      <c r="BK460" s="26"/>
    </row>
    <row r="461" ht="14.25" customHeight="1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  <c r="AC461" s="26"/>
      <c r="AD461" s="26"/>
      <c r="AE461" s="26"/>
      <c r="AF461" s="26"/>
      <c r="AG461" s="26"/>
      <c r="AH461" s="26"/>
      <c r="AI461" s="26"/>
      <c r="AJ461" s="26"/>
      <c r="AK461" s="26"/>
      <c r="AL461" s="26"/>
      <c r="AM461" s="26"/>
      <c r="AN461" s="26"/>
      <c r="AO461" s="26"/>
      <c r="AP461" s="26"/>
      <c r="AQ461" s="26"/>
      <c r="AR461" s="26"/>
      <c r="AS461" s="26"/>
      <c r="AT461" s="26"/>
      <c r="AU461" s="26"/>
      <c r="AV461" s="26"/>
      <c r="AW461" s="26"/>
      <c r="AX461" s="26"/>
      <c r="AY461" s="26"/>
      <c r="AZ461" s="26"/>
      <c r="BA461" s="26"/>
      <c r="BB461" s="26"/>
      <c r="BC461" s="26"/>
      <c r="BD461" s="26"/>
      <c r="BE461" s="26"/>
      <c r="BF461" s="26"/>
      <c r="BG461" s="26"/>
      <c r="BH461" s="26"/>
      <c r="BI461" s="26"/>
      <c r="BJ461" s="26"/>
      <c r="BK461" s="26"/>
    </row>
    <row r="462" ht="14.25" customHeight="1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  <c r="AC462" s="26"/>
      <c r="AD462" s="26"/>
      <c r="AE462" s="26"/>
      <c r="AF462" s="26"/>
      <c r="AG462" s="26"/>
      <c r="AH462" s="26"/>
      <c r="AI462" s="26"/>
      <c r="AJ462" s="26"/>
      <c r="AK462" s="26"/>
      <c r="AL462" s="26"/>
      <c r="AM462" s="26"/>
      <c r="AN462" s="26"/>
      <c r="AO462" s="26"/>
      <c r="AP462" s="26"/>
      <c r="AQ462" s="26"/>
      <c r="AR462" s="26"/>
      <c r="AS462" s="26"/>
      <c r="AT462" s="26"/>
      <c r="AU462" s="26"/>
      <c r="AV462" s="26"/>
      <c r="AW462" s="26"/>
      <c r="AX462" s="26"/>
      <c r="AY462" s="26"/>
      <c r="AZ462" s="26"/>
      <c r="BA462" s="26"/>
      <c r="BB462" s="26"/>
      <c r="BC462" s="26"/>
      <c r="BD462" s="26"/>
      <c r="BE462" s="26"/>
      <c r="BF462" s="26"/>
      <c r="BG462" s="26"/>
      <c r="BH462" s="26"/>
      <c r="BI462" s="26"/>
      <c r="BJ462" s="26"/>
      <c r="BK462" s="26"/>
    </row>
    <row r="463" ht="14.25" customHeight="1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  <c r="AC463" s="26"/>
      <c r="AD463" s="26"/>
      <c r="AE463" s="26"/>
      <c r="AF463" s="26"/>
      <c r="AG463" s="26"/>
      <c r="AH463" s="26"/>
      <c r="AI463" s="26"/>
      <c r="AJ463" s="26"/>
      <c r="AK463" s="26"/>
      <c r="AL463" s="26"/>
      <c r="AM463" s="26"/>
      <c r="AN463" s="26"/>
      <c r="AO463" s="26"/>
      <c r="AP463" s="26"/>
      <c r="AQ463" s="26"/>
      <c r="AR463" s="26"/>
      <c r="AS463" s="26"/>
      <c r="AT463" s="26"/>
      <c r="AU463" s="26"/>
      <c r="AV463" s="26"/>
      <c r="AW463" s="26"/>
      <c r="AX463" s="26"/>
      <c r="AY463" s="26"/>
      <c r="AZ463" s="26"/>
      <c r="BA463" s="26"/>
      <c r="BB463" s="26"/>
      <c r="BC463" s="26"/>
      <c r="BD463" s="26"/>
      <c r="BE463" s="26"/>
      <c r="BF463" s="26"/>
      <c r="BG463" s="26"/>
      <c r="BH463" s="26"/>
      <c r="BI463" s="26"/>
      <c r="BJ463" s="26"/>
      <c r="BK463" s="26"/>
    </row>
    <row r="464" ht="14.25" customHeight="1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  <c r="AC464" s="26"/>
      <c r="AD464" s="26"/>
      <c r="AE464" s="26"/>
      <c r="AF464" s="26"/>
      <c r="AG464" s="26"/>
      <c r="AH464" s="26"/>
      <c r="AI464" s="26"/>
      <c r="AJ464" s="26"/>
      <c r="AK464" s="26"/>
      <c r="AL464" s="26"/>
      <c r="AM464" s="26"/>
      <c r="AN464" s="26"/>
      <c r="AO464" s="26"/>
      <c r="AP464" s="26"/>
      <c r="AQ464" s="26"/>
      <c r="AR464" s="26"/>
      <c r="AS464" s="26"/>
      <c r="AT464" s="26"/>
      <c r="AU464" s="26"/>
      <c r="AV464" s="26"/>
      <c r="AW464" s="26"/>
      <c r="AX464" s="26"/>
      <c r="AY464" s="26"/>
      <c r="AZ464" s="26"/>
      <c r="BA464" s="26"/>
      <c r="BB464" s="26"/>
      <c r="BC464" s="26"/>
      <c r="BD464" s="26"/>
      <c r="BE464" s="26"/>
      <c r="BF464" s="26"/>
      <c r="BG464" s="26"/>
      <c r="BH464" s="26"/>
      <c r="BI464" s="26"/>
      <c r="BJ464" s="26"/>
      <c r="BK464" s="26"/>
    </row>
    <row r="465" ht="14.25" customHeight="1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  <c r="AC465" s="26"/>
      <c r="AD465" s="26"/>
      <c r="AE465" s="26"/>
      <c r="AF465" s="26"/>
      <c r="AG465" s="26"/>
      <c r="AH465" s="26"/>
      <c r="AI465" s="26"/>
      <c r="AJ465" s="26"/>
      <c r="AK465" s="26"/>
      <c r="AL465" s="26"/>
      <c r="AM465" s="26"/>
      <c r="AN465" s="26"/>
      <c r="AO465" s="26"/>
      <c r="AP465" s="26"/>
      <c r="AQ465" s="26"/>
      <c r="AR465" s="26"/>
      <c r="AS465" s="26"/>
      <c r="AT465" s="26"/>
      <c r="AU465" s="26"/>
      <c r="AV465" s="26"/>
      <c r="AW465" s="26"/>
      <c r="AX465" s="26"/>
      <c r="AY465" s="26"/>
      <c r="AZ465" s="26"/>
      <c r="BA465" s="26"/>
      <c r="BB465" s="26"/>
      <c r="BC465" s="26"/>
      <c r="BD465" s="26"/>
      <c r="BE465" s="26"/>
      <c r="BF465" s="26"/>
      <c r="BG465" s="26"/>
      <c r="BH465" s="26"/>
      <c r="BI465" s="26"/>
      <c r="BJ465" s="26"/>
      <c r="BK465" s="26"/>
    </row>
    <row r="466" ht="14.25" customHeight="1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  <c r="AC466" s="26"/>
      <c r="AD466" s="26"/>
      <c r="AE466" s="26"/>
      <c r="AF466" s="26"/>
      <c r="AG466" s="26"/>
      <c r="AH466" s="26"/>
      <c r="AI466" s="26"/>
      <c r="AJ466" s="26"/>
      <c r="AK466" s="26"/>
      <c r="AL466" s="26"/>
      <c r="AM466" s="26"/>
      <c r="AN466" s="26"/>
      <c r="AO466" s="26"/>
      <c r="AP466" s="26"/>
      <c r="AQ466" s="26"/>
      <c r="AR466" s="26"/>
      <c r="AS466" s="26"/>
      <c r="AT466" s="26"/>
      <c r="AU466" s="26"/>
      <c r="AV466" s="26"/>
      <c r="AW466" s="26"/>
      <c r="AX466" s="26"/>
      <c r="AY466" s="26"/>
      <c r="AZ466" s="26"/>
      <c r="BA466" s="26"/>
      <c r="BB466" s="26"/>
      <c r="BC466" s="26"/>
      <c r="BD466" s="26"/>
      <c r="BE466" s="26"/>
      <c r="BF466" s="26"/>
      <c r="BG466" s="26"/>
      <c r="BH466" s="26"/>
      <c r="BI466" s="26"/>
      <c r="BJ466" s="26"/>
      <c r="BK466" s="26"/>
    </row>
    <row r="467" ht="14.25" customHeight="1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  <c r="AC467" s="26"/>
      <c r="AD467" s="26"/>
      <c r="AE467" s="26"/>
      <c r="AF467" s="26"/>
      <c r="AG467" s="26"/>
      <c r="AH467" s="26"/>
      <c r="AI467" s="26"/>
      <c r="AJ467" s="26"/>
      <c r="AK467" s="26"/>
      <c r="AL467" s="26"/>
      <c r="AM467" s="26"/>
      <c r="AN467" s="26"/>
      <c r="AO467" s="26"/>
      <c r="AP467" s="26"/>
      <c r="AQ467" s="26"/>
      <c r="AR467" s="26"/>
      <c r="AS467" s="26"/>
      <c r="AT467" s="26"/>
      <c r="AU467" s="26"/>
      <c r="AV467" s="26"/>
      <c r="AW467" s="26"/>
      <c r="AX467" s="26"/>
      <c r="AY467" s="26"/>
      <c r="AZ467" s="26"/>
      <c r="BA467" s="26"/>
      <c r="BB467" s="26"/>
      <c r="BC467" s="26"/>
      <c r="BD467" s="26"/>
      <c r="BE467" s="26"/>
      <c r="BF467" s="26"/>
      <c r="BG467" s="26"/>
      <c r="BH467" s="26"/>
      <c r="BI467" s="26"/>
      <c r="BJ467" s="26"/>
      <c r="BK467" s="26"/>
    </row>
    <row r="468" ht="14.25" customHeight="1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  <c r="AC468" s="26"/>
      <c r="AD468" s="26"/>
      <c r="AE468" s="26"/>
      <c r="AF468" s="26"/>
      <c r="AG468" s="26"/>
      <c r="AH468" s="26"/>
      <c r="AI468" s="26"/>
      <c r="AJ468" s="26"/>
      <c r="AK468" s="26"/>
      <c r="AL468" s="26"/>
      <c r="AM468" s="26"/>
      <c r="AN468" s="26"/>
      <c r="AO468" s="26"/>
      <c r="AP468" s="26"/>
      <c r="AQ468" s="26"/>
      <c r="AR468" s="26"/>
      <c r="AS468" s="26"/>
      <c r="AT468" s="26"/>
      <c r="AU468" s="26"/>
      <c r="AV468" s="26"/>
      <c r="AW468" s="26"/>
      <c r="AX468" s="26"/>
      <c r="AY468" s="26"/>
      <c r="AZ468" s="26"/>
      <c r="BA468" s="26"/>
      <c r="BB468" s="26"/>
      <c r="BC468" s="26"/>
      <c r="BD468" s="26"/>
      <c r="BE468" s="26"/>
      <c r="BF468" s="26"/>
      <c r="BG468" s="26"/>
      <c r="BH468" s="26"/>
      <c r="BI468" s="26"/>
      <c r="BJ468" s="26"/>
      <c r="BK468" s="26"/>
    </row>
    <row r="469" ht="14.25" customHeight="1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  <c r="AC469" s="26"/>
      <c r="AD469" s="26"/>
      <c r="AE469" s="26"/>
      <c r="AF469" s="26"/>
      <c r="AG469" s="26"/>
      <c r="AH469" s="26"/>
      <c r="AI469" s="26"/>
      <c r="AJ469" s="26"/>
      <c r="AK469" s="26"/>
      <c r="AL469" s="26"/>
      <c r="AM469" s="26"/>
      <c r="AN469" s="26"/>
      <c r="AO469" s="26"/>
      <c r="AP469" s="26"/>
      <c r="AQ469" s="26"/>
      <c r="AR469" s="26"/>
      <c r="AS469" s="26"/>
      <c r="AT469" s="26"/>
      <c r="AU469" s="26"/>
      <c r="AV469" s="26"/>
      <c r="AW469" s="26"/>
      <c r="AX469" s="26"/>
      <c r="AY469" s="26"/>
      <c r="AZ469" s="26"/>
      <c r="BA469" s="26"/>
      <c r="BB469" s="26"/>
      <c r="BC469" s="26"/>
      <c r="BD469" s="26"/>
      <c r="BE469" s="26"/>
      <c r="BF469" s="26"/>
      <c r="BG469" s="26"/>
      <c r="BH469" s="26"/>
      <c r="BI469" s="26"/>
      <c r="BJ469" s="26"/>
      <c r="BK469" s="26"/>
    </row>
    <row r="470" ht="14.25" customHeight="1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  <c r="AC470" s="26"/>
      <c r="AD470" s="26"/>
      <c r="AE470" s="26"/>
      <c r="AF470" s="26"/>
      <c r="AG470" s="26"/>
      <c r="AH470" s="26"/>
      <c r="AI470" s="26"/>
      <c r="AJ470" s="26"/>
      <c r="AK470" s="26"/>
      <c r="AL470" s="26"/>
      <c r="AM470" s="26"/>
      <c r="AN470" s="26"/>
      <c r="AO470" s="26"/>
      <c r="AP470" s="26"/>
      <c r="AQ470" s="26"/>
      <c r="AR470" s="26"/>
      <c r="AS470" s="26"/>
      <c r="AT470" s="26"/>
      <c r="AU470" s="26"/>
      <c r="AV470" s="26"/>
      <c r="AW470" s="26"/>
      <c r="AX470" s="26"/>
      <c r="AY470" s="26"/>
      <c r="AZ470" s="26"/>
      <c r="BA470" s="26"/>
      <c r="BB470" s="26"/>
      <c r="BC470" s="26"/>
      <c r="BD470" s="26"/>
      <c r="BE470" s="26"/>
      <c r="BF470" s="26"/>
      <c r="BG470" s="26"/>
      <c r="BH470" s="26"/>
      <c r="BI470" s="26"/>
      <c r="BJ470" s="26"/>
      <c r="BK470" s="26"/>
    </row>
    <row r="471" ht="14.25" customHeight="1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  <c r="AC471" s="26"/>
      <c r="AD471" s="26"/>
      <c r="AE471" s="26"/>
      <c r="AF471" s="26"/>
      <c r="AG471" s="26"/>
      <c r="AH471" s="26"/>
      <c r="AI471" s="26"/>
      <c r="AJ471" s="26"/>
      <c r="AK471" s="26"/>
      <c r="AL471" s="26"/>
      <c r="AM471" s="26"/>
      <c r="AN471" s="26"/>
      <c r="AO471" s="26"/>
      <c r="AP471" s="26"/>
      <c r="AQ471" s="26"/>
      <c r="AR471" s="26"/>
      <c r="AS471" s="26"/>
      <c r="AT471" s="26"/>
      <c r="AU471" s="26"/>
      <c r="AV471" s="26"/>
      <c r="AW471" s="26"/>
      <c r="AX471" s="26"/>
      <c r="AY471" s="26"/>
      <c r="AZ471" s="26"/>
      <c r="BA471" s="26"/>
      <c r="BB471" s="26"/>
      <c r="BC471" s="26"/>
      <c r="BD471" s="26"/>
      <c r="BE471" s="26"/>
      <c r="BF471" s="26"/>
      <c r="BG471" s="26"/>
      <c r="BH471" s="26"/>
      <c r="BI471" s="26"/>
      <c r="BJ471" s="26"/>
      <c r="BK471" s="26"/>
    </row>
    <row r="472" ht="14.25" customHeight="1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  <c r="AC472" s="26"/>
      <c r="AD472" s="26"/>
      <c r="AE472" s="26"/>
      <c r="AF472" s="26"/>
      <c r="AG472" s="26"/>
      <c r="AH472" s="26"/>
      <c r="AI472" s="26"/>
      <c r="AJ472" s="26"/>
      <c r="AK472" s="26"/>
      <c r="AL472" s="26"/>
      <c r="AM472" s="26"/>
      <c r="AN472" s="26"/>
      <c r="AO472" s="26"/>
      <c r="AP472" s="26"/>
      <c r="AQ472" s="26"/>
      <c r="AR472" s="26"/>
      <c r="AS472" s="26"/>
      <c r="AT472" s="26"/>
      <c r="AU472" s="26"/>
      <c r="AV472" s="26"/>
      <c r="AW472" s="26"/>
      <c r="AX472" s="26"/>
      <c r="AY472" s="26"/>
      <c r="AZ472" s="26"/>
      <c r="BA472" s="26"/>
      <c r="BB472" s="26"/>
      <c r="BC472" s="26"/>
      <c r="BD472" s="26"/>
      <c r="BE472" s="26"/>
      <c r="BF472" s="26"/>
      <c r="BG472" s="26"/>
      <c r="BH472" s="26"/>
      <c r="BI472" s="26"/>
      <c r="BJ472" s="26"/>
      <c r="BK472" s="26"/>
    </row>
    <row r="473" ht="14.25" customHeight="1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  <c r="AC473" s="26"/>
      <c r="AD473" s="26"/>
      <c r="AE473" s="26"/>
      <c r="AF473" s="26"/>
      <c r="AG473" s="26"/>
      <c r="AH473" s="26"/>
      <c r="AI473" s="26"/>
      <c r="AJ473" s="26"/>
      <c r="AK473" s="26"/>
      <c r="AL473" s="26"/>
      <c r="AM473" s="26"/>
      <c r="AN473" s="26"/>
      <c r="AO473" s="26"/>
      <c r="AP473" s="26"/>
      <c r="AQ473" s="26"/>
      <c r="AR473" s="26"/>
      <c r="AS473" s="26"/>
      <c r="AT473" s="26"/>
      <c r="AU473" s="26"/>
      <c r="AV473" s="26"/>
      <c r="AW473" s="26"/>
      <c r="AX473" s="26"/>
      <c r="AY473" s="26"/>
      <c r="AZ473" s="26"/>
      <c r="BA473" s="26"/>
      <c r="BB473" s="26"/>
      <c r="BC473" s="26"/>
      <c r="BD473" s="26"/>
      <c r="BE473" s="26"/>
      <c r="BF473" s="26"/>
      <c r="BG473" s="26"/>
      <c r="BH473" s="26"/>
      <c r="BI473" s="26"/>
      <c r="BJ473" s="26"/>
      <c r="BK473" s="26"/>
    </row>
    <row r="474" ht="14.25" customHeight="1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  <c r="AC474" s="26"/>
      <c r="AD474" s="26"/>
      <c r="AE474" s="26"/>
      <c r="AF474" s="26"/>
      <c r="AG474" s="26"/>
      <c r="AH474" s="26"/>
      <c r="AI474" s="26"/>
      <c r="AJ474" s="26"/>
      <c r="AK474" s="26"/>
      <c r="AL474" s="26"/>
      <c r="AM474" s="26"/>
      <c r="AN474" s="26"/>
      <c r="AO474" s="26"/>
      <c r="AP474" s="26"/>
      <c r="AQ474" s="26"/>
      <c r="AR474" s="26"/>
      <c r="AS474" s="26"/>
      <c r="AT474" s="26"/>
      <c r="AU474" s="26"/>
      <c r="AV474" s="26"/>
      <c r="AW474" s="26"/>
      <c r="AX474" s="26"/>
      <c r="AY474" s="26"/>
      <c r="AZ474" s="26"/>
      <c r="BA474" s="26"/>
      <c r="BB474" s="26"/>
      <c r="BC474" s="26"/>
      <c r="BD474" s="26"/>
      <c r="BE474" s="26"/>
      <c r="BF474" s="26"/>
      <c r="BG474" s="26"/>
      <c r="BH474" s="26"/>
      <c r="BI474" s="26"/>
      <c r="BJ474" s="26"/>
      <c r="BK474" s="26"/>
    </row>
    <row r="475" ht="14.25" customHeight="1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  <c r="AC475" s="26"/>
      <c r="AD475" s="26"/>
      <c r="AE475" s="26"/>
      <c r="AF475" s="26"/>
      <c r="AG475" s="26"/>
      <c r="AH475" s="26"/>
      <c r="AI475" s="26"/>
      <c r="AJ475" s="26"/>
      <c r="AK475" s="26"/>
      <c r="AL475" s="26"/>
      <c r="AM475" s="26"/>
      <c r="AN475" s="26"/>
      <c r="AO475" s="26"/>
      <c r="AP475" s="26"/>
      <c r="AQ475" s="26"/>
      <c r="AR475" s="26"/>
      <c r="AS475" s="26"/>
      <c r="AT475" s="26"/>
      <c r="AU475" s="26"/>
      <c r="AV475" s="26"/>
      <c r="AW475" s="26"/>
      <c r="AX475" s="26"/>
      <c r="AY475" s="26"/>
      <c r="AZ475" s="26"/>
      <c r="BA475" s="26"/>
      <c r="BB475" s="26"/>
      <c r="BC475" s="26"/>
      <c r="BD475" s="26"/>
      <c r="BE475" s="26"/>
      <c r="BF475" s="26"/>
      <c r="BG475" s="26"/>
      <c r="BH475" s="26"/>
      <c r="BI475" s="26"/>
      <c r="BJ475" s="26"/>
      <c r="BK475" s="26"/>
    </row>
    <row r="476" ht="14.25" customHeight="1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  <c r="AC476" s="26"/>
      <c r="AD476" s="26"/>
      <c r="AE476" s="26"/>
      <c r="AF476" s="26"/>
      <c r="AG476" s="26"/>
      <c r="AH476" s="26"/>
      <c r="AI476" s="26"/>
      <c r="AJ476" s="26"/>
      <c r="AK476" s="26"/>
      <c r="AL476" s="26"/>
      <c r="AM476" s="26"/>
      <c r="AN476" s="26"/>
      <c r="AO476" s="26"/>
      <c r="AP476" s="26"/>
      <c r="AQ476" s="26"/>
      <c r="AR476" s="26"/>
      <c r="AS476" s="26"/>
      <c r="AT476" s="26"/>
      <c r="AU476" s="26"/>
      <c r="AV476" s="26"/>
      <c r="AW476" s="26"/>
      <c r="AX476" s="26"/>
      <c r="AY476" s="26"/>
      <c r="AZ476" s="26"/>
      <c r="BA476" s="26"/>
      <c r="BB476" s="26"/>
      <c r="BC476" s="26"/>
      <c r="BD476" s="26"/>
      <c r="BE476" s="26"/>
      <c r="BF476" s="26"/>
      <c r="BG476" s="26"/>
      <c r="BH476" s="26"/>
      <c r="BI476" s="26"/>
      <c r="BJ476" s="26"/>
      <c r="BK476" s="26"/>
    </row>
    <row r="477" ht="14.25" customHeight="1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  <c r="AC477" s="26"/>
      <c r="AD477" s="26"/>
      <c r="AE477" s="26"/>
      <c r="AF477" s="26"/>
      <c r="AG477" s="26"/>
      <c r="AH477" s="26"/>
      <c r="AI477" s="26"/>
      <c r="AJ477" s="26"/>
      <c r="AK477" s="26"/>
      <c r="AL477" s="26"/>
      <c r="AM477" s="26"/>
      <c r="AN477" s="26"/>
      <c r="AO477" s="26"/>
      <c r="AP477" s="26"/>
      <c r="AQ477" s="26"/>
      <c r="AR477" s="26"/>
      <c r="AS477" s="26"/>
      <c r="AT477" s="26"/>
      <c r="AU477" s="26"/>
      <c r="AV477" s="26"/>
      <c r="AW477" s="26"/>
      <c r="AX477" s="26"/>
      <c r="AY477" s="26"/>
      <c r="AZ477" s="26"/>
      <c r="BA477" s="26"/>
      <c r="BB477" s="26"/>
      <c r="BC477" s="26"/>
      <c r="BD477" s="26"/>
      <c r="BE477" s="26"/>
      <c r="BF477" s="26"/>
      <c r="BG477" s="26"/>
      <c r="BH477" s="26"/>
      <c r="BI477" s="26"/>
      <c r="BJ477" s="26"/>
      <c r="BK477" s="26"/>
    </row>
    <row r="478" ht="14.25" customHeight="1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  <c r="AC478" s="26"/>
      <c r="AD478" s="26"/>
      <c r="AE478" s="26"/>
      <c r="AF478" s="26"/>
      <c r="AG478" s="26"/>
      <c r="AH478" s="26"/>
      <c r="AI478" s="26"/>
      <c r="AJ478" s="26"/>
      <c r="AK478" s="26"/>
      <c r="AL478" s="26"/>
      <c r="AM478" s="26"/>
      <c r="AN478" s="26"/>
      <c r="AO478" s="26"/>
      <c r="AP478" s="26"/>
      <c r="AQ478" s="26"/>
      <c r="AR478" s="26"/>
      <c r="AS478" s="26"/>
      <c r="AT478" s="26"/>
      <c r="AU478" s="26"/>
      <c r="AV478" s="26"/>
      <c r="AW478" s="26"/>
      <c r="AX478" s="26"/>
      <c r="AY478" s="26"/>
      <c r="AZ478" s="26"/>
      <c r="BA478" s="26"/>
      <c r="BB478" s="26"/>
      <c r="BC478" s="26"/>
      <c r="BD478" s="26"/>
      <c r="BE478" s="26"/>
      <c r="BF478" s="26"/>
      <c r="BG478" s="26"/>
      <c r="BH478" s="26"/>
      <c r="BI478" s="26"/>
      <c r="BJ478" s="26"/>
      <c r="BK478" s="26"/>
    </row>
    <row r="479" ht="14.25" customHeight="1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  <c r="AC479" s="26"/>
      <c r="AD479" s="26"/>
      <c r="AE479" s="26"/>
      <c r="AF479" s="26"/>
      <c r="AG479" s="26"/>
      <c r="AH479" s="26"/>
      <c r="AI479" s="26"/>
      <c r="AJ479" s="26"/>
      <c r="AK479" s="26"/>
      <c r="AL479" s="26"/>
      <c r="AM479" s="26"/>
      <c r="AN479" s="26"/>
      <c r="AO479" s="26"/>
      <c r="AP479" s="26"/>
      <c r="AQ479" s="26"/>
      <c r="AR479" s="26"/>
      <c r="AS479" s="26"/>
      <c r="AT479" s="26"/>
      <c r="AU479" s="26"/>
      <c r="AV479" s="26"/>
      <c r="AW479" s="26"/>
      <c r="AX479" s="26"/>
      <c r="AY479" s="26"/>
      <c r="AZ479" s="26"/>
      <c r="BA479" s="26"/>
      <c r="BB479" s="26"/>
      <c r="BC479" s="26"/>
      <c r="BD479" s="26"/>
      <c r="BE479" s="26"/>
      <c r="BF479" s="26"/>
      <c r="BG479" s="26"/>
      <c r="BH479" s="26"/>
      <c r="BI479" s="26"/>
      <c r="BJ479" s="26"/>
      <c r="BK479" s="26"/>
    </row>
    <row r="480" ht="14.25" customHeight="1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  <c r="AC480" s="26"/>
      <c r="AD480" s="26"/>
      <c r="AE480" s="26"/>
      <c r="AF480" s="26"/>
      <c r="AG480" s="26"/>
      <c r="AH480" s="26"/>
      <c r="AI480" s="26"/>
      <c r="AJ480" s="26"/>
      <c r="AK480" s="26"/>
      <c r="AL480" s="26"/>
      <c r="AM480" s="26"/>
      <c r="AN480" s="26"/>
      <c r="AO480" s="26"/>
      <c r="AP480" s="26"/>
      <c r="AQ480" s="26"/>
      <c r="AR480" s="26"/>
      <c r="AS480" s="26"/>
      <c r="AT480" s="26"/>
      <c r="AU480" s="26"/>
      <c r="AV480" s="26"/>
      <c r="AW480" s="26"/>
      <c r="AX480" s="26"/>
      <c r="AY480" s="26"/>
      <c r="AZ480" s="26"/>
      <c r="BA480" s="26"/>
      <c r="BB480" s="26"/>
      <c r="BC480" s="26"/>
      <c r="BD480" s="26"/>
      <c r="BE480" s="26"/>
      <c r="BF480" s="26"/>
      <c r="BG480" s="26"/>
      <c r="BH480" s="26"/>
      <c r="BI480" s="26"/>
      <c r="BJ480" s="26"/>
      <c r="BK480" s="26"/>
    </row>
    <row r="481" ht="14.25" customHeight="1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  <c r="AC481" s="26"/>
      <c r="AD481" s="26"/>
      <c r="AE481" s="26"/>
      <c r="AF481" s="26"/>
      <c r="AG481" s="26"/>
      <c r="AH481" s="26"/>
      <c r="AI481" s="26"/>
      <c r="AJ481" s="26"/>
      <c r="AK481" s="26"/>
      <c r="AL481" s="26"/>
      <c r="AM481" s="26"/>
      <c r="AN481" s="26"/>
      <c r="AO481" s="26"/>
      <c r="AP481" s="26"/>
      <c r="AQ481" s="26"/>
      <c r="AR481" s="26"/>
      <c r="AS481" s="26"/>
      <c r="AT481" s="26"/>
      <c r="AU481" s="26"/>
      <c r="AV481" s="26"/>
      <c r="AW481" s="26"/>
      <c r="AX481" s="26"/>
      <c r="AY481" s="26"/>
      <c r="AZ481" s="26"/>
      <c r="BA481" s="26"/>
      <c r="BB481" s="26"/>
      <c r="BC481" s="26"/>
      <c r="BD481" s="26"/>
      <c r="BE481" s="26"/>
      <c r="BF481" s="26"/>
      <c r="BG481" s="26"/>
      <c r="BH481" s="26"/>
      <c r="BI481" s="26"/>
      <c r="BJ481" s="26"/>
      <c r="BK481" s="26"/>
    </row>
    <row r="482" ht="14.25" customHeight="1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  <c r="AC482" s="26"/>
      <c r="AD482" s="26"/>
      <c r="AE482" s="26"/>
      <c r="AF482" s="26"/>
      <c r="AG482" s="26"/>
      <c r="AH482" s="26"/>
      <c r="AI482" s="26"/>
      <c r="AJ482" s="26"/>
      <c r="AK482" s="26"/>
      <c r="AL482" s="26"/>
      <c r="AM482" s="26"/>
      <c r="AN482" s="26"/>
      <c r="AO482" s="26"/>
      <c r="AP482" s="26"/>
      <c r="AQ482" s="26"/>
      <c r="AR482" s="26"/>
      <c r="AS482" s="26"/>
      <c r="AT482" s="26"/>
      <c r="AU482" s="26"/>
      <c r="AV482" s="26"/>
      <c r="AW482" s="26"/>
      <c r="AX482" s="26"/>
      <c r="AY482" s="26"/>
      <c r="AZ482" s="26"/>
      <c r="BA482" s="26"/>
      <c r="BB482" s="26"/>
      <c r="BC482" s="26"/>
      <c r="BD482" s="26"/>
      <c r="BE482" s="26"/>
      <c r="BF482" s="26"/>
      <c r="BG482" s="26"/>
      <c r="BH482" s="26"/>
      <c r="BI482" s="26"/>
      <c r="BJ482" s="26"/>
      <c r="BK482" s="26"/>
    </row>
    <row r="483" ht="14.25" customHeight="1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  <c r="AC483" s="26"/>
      <c r="AD483" s="26"/>
      <c r="AE483" s="26"/>
      <c r="AF483" s="26"/>
      <c r="AG483" s="26"/>
      <c r="AH483" s="26"/>
      <c r="AI483" s="26"/>
      <c r="AJ483" s="26"/>
      <c r="AK483" s="26"/>
      <c r="AL483" s="26"/>
      <c r="AM483" s="26"/>
      <c r="AN483" s="26"/>
      <c r="AO483" s="26"/>
      <c r="AP483" s="26"/>
      <c r="AQ483" s="26"/>
      <c r="AR483" s="26"/>
      <c r="AS483" s="26"/>
      <c r="AT483" s="26"/>
      <c r="AU483" s="26"/>
      <c r="AV483" s="26"/>
      <c r="AW483" s="26"/>
      <c r="AX483" s="26"/>
      <c r="AY483" s="26"/>
      <c r="AZ483" s="26"/>
      <c r="BA483" s="26"/>
      <c r="BB483" s="26"/>
      <c r="BC483" s="26"/>
      <c r="BD483" s="26"/>
      <c r="BE483" s="26"/>
      <c r="BF483" s="26"/>
      <c r="BG483" s="26"/>
      <c r="BH483" s="26"/>
      <c r="BI483" s="26"/>
      <c r="BJ483" s="26"/>
      <c r="BK483" s="26"/>
    </row>
    <row r="484" ht="14.25" customHeight="1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  <c r="AC484" s="26"/>
      <c r="AD484" s="26"/>
      <c r="AE484" s="26"/>
      <c r="AF484" s="26"/>
      <c r="AG484" s="26"/>
      <c r="AH484" s="26"/>
      <c r="AI484" s="26"/>
      <c r="AJ484" s="26"/>
      <c r="AK484" s="26"/>
      <c r="AL484" s="26"/>
      <c r="AM484" s="26"/>
      <c r="AN484" s="26"/>
      <c r="AO484" s="26"/>
      <c r="AP484" s="26"/>
      <c r="AQ484" s="26"/>
      <c r="AR484" s="26"/>
      <c r="AS484" s="26"/>
      <c r="AT484" s="26"/>
      <c r="AU484" s="26"/>
      <c r="AV484" s="26"/>
      <c r="AW484" s="26"/>
      <c r="AX484" s="26"/>
      <c r="AY484" s="26"/>
      <c r="AZ484" s="26"/>
      <c r="BA484" s="26"/>
      <c r="BB484" s="26"/>
      <c r="BC484" s="26"/>
      <c r="BD484" s="26"/>
      <c r="BE484" s="26"/>
      <c r="BF484" s="26"/>
      <c r="BG484" s="26"/>
      <c r="BH484" s="26"/>
      <c r="BI484" s="26"/>
      <c r="BJ484" s="26"/>
      <c r="BK484" s="26"/>
    </row>
    <row r="485" ht="14.25" customHeight="1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  <c r="AC485" s="26"/>
      <c r="AD485" s="26"/>
      <c r="AE485" s="26"/>
      <c r="AF485" s="26"/>
      <c r="AG485" s="26"/>
      <c r="AH485" s="26"/>
      <c r="AI485" s="26"/>
      <c r="AJ485" s="26"/>
      <c r="AK485" s="26"/>
      <c r="AL485" s="26"/>
      <c r="AM485" s="26"/>
      <c r="AN485" s="26"/>
      <c r="AO485" s="26"/>
      <c r="AP485" s="26"/>
      <c r="AQ485" s="26"/>
      <c r="AR485" s="26"/>
      <c r="AS485" s="26"/>
      <c r="AT485" s="26"/>
      <c r="AU485" s="26"/>
      <c r="AV485" s="26"/>
      <c r="AW485" s="26"/>
      <c r="AX485" s="26"/>
      <c r="AY485" s="26"/>
      <c r="AZ485" s="26"/>
      <c r="BA485" s="26"/>
      <c r="BB485" s="26"/>
      <c r="BC485" s="26"/>
      <c r="BD485" s="26"/>
      <c r="BE485" s="26"/>
      <c r="BF485" s="26"/>
      <c r="BG485" s="26"/>
      <c r="BH485" s="26"/>
      <c r="BI485" s="26"/>
      <c r="BJ485" s="26"/>
      <c r="BK485" s="26"/>
    </row>
    <row r="486" ht="14.25" customHeight="1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  <c r="AC486" s="26"/>
      <c r="AD486" s="26"/>
      <c r="AE486" s="26"/>
      <c r="AF486" s="26"/>
      <c r="AG486" s="26"/>
      <c r="AH486" s="26"/>
      <c r="AI486" s="26"/>
      <c r="AJ486" s="26"/>
      <c r="AK486" s="26"/>
      <c r="AL486" s="26"/>
      <c r="AM486" s="26"/>
      <c r="AN486" s="26"/>
      <c r="AO486" s="26"/>
      <c r="AP486" s="26"/>
      <c r="AQ486" s="26"/>
      <c r="AR486" s="26"/>
      <c r="AS486" s="26"/>
      <c r="AT486" s="26"/>
      <c r="AU486" s="26"/>
      <c r="AV486" s="26"/>
      <c r="AW486" s="26"/>
      <c r="AX486" s="26"/>
      <c r="AY486" s="26"/>
      <c r="AZ486" s="26"/>
      <c r="BA486" s="26"/>
      <c r="BB486" s="26"/>
      <c r="BC486" s="26"/>
      <c r="BD486" s="26"/>
      <c r="BE486" s="26"/>
      <c r="BF486" s="26"/>
      <c r="BG486" s="26"/>
      <c r="BH486" s="26"/>
      <c r="BI486" s="26"/>
      <c r="BJ486" s="26"/>
      <c r="BK486" s="26"/>
    </row>
    <row r="487" ht="14.25" customHeight="1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  <c r="AC487" s="26"/>
      <c r="AD487" s="26"/>
      <c r="AE487" s="26"/>
      <c r="AF487" s="26"/>
      <c r="AG487" s="26"/>
      <c r="AH487" s="26"/>
      <c r="AI487" s="26"/>
      <c r="AJ487" s="26"/>
      <c r="AK487" s="26"/>
      <c r="AL487" s="26"/>
      <c r="AM487" s="26"/>
      <c r="AN487" s="26"/>
      <c r="AO487" s="26"/>
      <c r="AP487" s="26"/>
      <c r="AQ487" s="26"/>
      <c r="AR487" s="26"/>
      <c r="AS487" s="26"/>
      <c r="AT487" s="26"/>
      <c r="AU487" s="26"/>
      <c r="AV487" s="26"/>
      <c r="AW487" s="26"/>
      <c r="AX487" s="26"/>
      <c r="AY487" s="26"/>
      <c r="AZ487" s="26"/>
      <c r="BA487" s="26"/>
      <c r="BB487" s="26"/>
      <c r="BC487" s="26"/>
      <c r="BD487" s="26"/>
      <c r="BE487" s="26"/>
      <c r="BF487" s="26"/>
      <c r="BG487" s="26"/>
      <c r="BH487" s="26"/>
      <c r="BI487" s="26"/>
      <c r="BJ487" s="26"/>
      <c r="BK487" s="26"/>
    </row>
    <row r="488" ht="14.25" customHeight="1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  <c r="AC488" s="26"/>
      <c r="AD488" s="26"/>
      <c r="AE488" s="26"/>
      <c r="AF488" s="26"/>
      <c r="AG488" s="26"/>
      <c r="AH488" s="26"/>
      <c r="AI488" s="26"/>
      <c r="AJ488" s="26"/>
      <c r="AK488" s="26"/>
      <c r="AL488" s="26"/>
      <c r="AM488" s="26"/>
      <c r="AN488" s="26"/>
      <c r="AO488" s="26"/>
      <c r="AP488" s="26"/>
      <c r="AQ488" s="26"/>
      <c r="AR488" s="26"/>
      <c r="AS488" s="26"/>
      <c r="AT488" s="26"/>
      <c r="AU488" s="26"/>
      <c r="AV488" s="26"/>
      <c r="AW488" s="26"/>
      <c r="AX488" s="26"/>
      <c r="AY488" s="26"/>
      <c r="AZ488" s="26"/>
      <c r="BA488" s="26"/>
      <c r="BB488" s="26"/>
      <c r="BC488" s="26"/>
      <c r="BD488" s="26"/>
      <c r="BE488" s="26"/>
      <c r="BF488" s="26"/>
      <c r="BG488" s="26"/>
      <c r="BH488" s="26"/>
      <c r="BI488" s="26"/>
      <c r="BJ488" s="26"/>
      <c r="BK488" s="26"/>
    </row>
    <row r="489" ht="14.25" customHeight="1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  <c r="AC489" s="26"/>
      <c r="AD489" s="26"/>
      <c r="AE489" s="26"/>
      <c r="AF489" s="26"/>
      <c r="AG489" s="26"/>
      <c r="AH489" s="26"/>
      <c r="AI489" s="26"/>
      <c r="AJ489" s="26"/>
      <c r="AK489" s="26"/>
      <c r="AL489" s="26"/>
      <c r="AM489" s="26"/>
      <c r="AN489" s="26"/>
      <c r="AO489" s="26"/>
      <c r="AP489" s="26"/>
      <c r="AQ489" s="26"/>
      <c r="AR489" s="26"/>
      <c r="AS489" s="26"/>
      <c r="AT489" s="26"/>
      <c r="AU489" s="26"/>
      <c r="AV489" s="26"/>
      <c r="AW489" s="26"/>
      <c r="AX489" s="26"/>
      <c r="AY489" s="26"/>
      <c r="AZ489" s="26"/>
      <c r="BA489" s="26"/>
      <c r="BB489" s="26"/>
      <c r="BC489" s="26"/>
      <c r="BD489" s="26"/>
      <c r="BE489" s="26"/>
      <c r="BF489" s="26"/>
      <c r="BG489" s="26"/>
      <c r="BH489" s="26"/>
      <c r="BI489" s="26"/>
      <c r="BJ489" s="26"/>
      <c r="BK489" s="26"/>
    </row>
    <row r="490" ht="14.25" customHeight="1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  <c r="AC490" s="26"/>
      <c r="AD490" s="26"/>
      <c r="AE490" s="26"/>
      <c r="AF490" s="26"/>
      <c r="AG490" s="26"/>
      <c r="AH490" s="26"/>
      <c r="AI490" s="26"/>
      <c r="AJ490" s="26"/>
      <c r="AK490" s="26"/>
      <c r="AL490" s="26"/>
      <c r="AM490" s="26"/>
      <c r="AN490" s="26"/>
      <c r="AO490" s="26"/>
      <c r="AP490" s="26"/>
      <c r="AQ490" s="26"/>
      <c r="AR490" s="26"/>
      <c r="AS490" s="26"/>
      <c r="AT490" s="26"/>
      <c r="AU490" s="26"/>
      <c r="AV490" s="26"/>
      <c r="AW490" s="26"/>
      <c r="AX490" s="26"/>
      <c r="AY490" s="26"/>
      <c r="AZ490" s="26"/>
      <c r="BA490" s="26"/>
      <c r="BB490" s="26"/>
      <c r="BC490" s="26"/>
      <c r="BD490" s="26"/>
      <c r="BE490" s="26"/>
      <c r="BF490" s="26"/>
      <c r="BG490" s="26"/>
      <c r="BH490" s="26"/>
      <c r="BI490" s="26"/>
      <c r="BJ490" s="26"/>
      <c r="BK490" s="26"/>
    </row>
    <row r="491" ht="14.25" customHeight="1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  <c r="AC491" s="26"/>
      <c r="AD491" s="26"/>
      <c r="AE491" s="26"/>
      <c r="AF491" s="26"/>
      <c r="AG491" s="26"/>
      <c r="AH491" s="26"/>
      <c r="AI491" s="26"/>
      <c r="AJ491" s="26"/>
      <c r="AK491" s="26"/>
      <c r="AL491" s="26"/>
      <c r="AM491" s="26"/>
      <c r="AN491" s="26"/>
      <c r="AO491" s="26"/>
      <c r="AP491" s="26"/>
      <c r="AQ491" s="26"/>
      <c r="AR491" s="26"/>
      <c r="AS491" s="26"/>
      <c r="AT491" s="26"/>
      <c r="AU491" s="26"/>
      <c r="AV491" s="26"/>
      <c r="AW491" s="26"/>
      <c r="AX491" s="26"/>
      <c r="AY491" s="26"/>
      <c r="AZ491" s="26"/>
      <c r="BA491" s="26"/>
      <c r="BB491" s="26"/>
      <c r="BC491" s="26"/>
      <c r="BD491" s="26"/>
      <c r="BE491" s="26"/>
      <c r="BF491" s="26"/>
      <c r="BG491" s="26"/>
      <c r="BH491" s="26"/>
      <c r="BI491" s="26"/>
      <c r="BJ491" s="26"/>
      <c r="BK491" s="26"/>
    </row>
    <row r="492" ht="14.25" customHeight="1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  <c r="AC492" s="26"/>
      <c r="AD492" s="26"/>
      <c r="AE492" s="26"/>
      <c r="AF492" s="26"/>
      <c r="AG492" s="26"/>
      <c r="AH492" s="26"/>
      <c r="AI492" s="26"/>
      <c r="AJ492" s="26"/>
      <c r="AK492" s="26"/>
      <c r="AL492" s="26"/>
      <c r="AM492" s="26"/>
      <c r="AN492" s="26"/>
      <c r="AO492" s="26"/>
      <c r="AP492" s="26"/>
      <c r="AQ492" s="26"/>
      <c r="AR492" s="26"/>
      <c r="AS492" s="26"/>
      <c r="AT492" s="26"/>
      <c r="AU492" s="26"/>
      <c r="AV492" s="26"/>
      <c r="AW492" s="26"/>
      <c r="AX492" s="26"/>
      <c r="AY492" s="26"/>
      <c r="AZ492" s="26"/>
      <c r="BA492" s="26"/>
      <c r="BB492" s="26"/>
      <c r="BC492" s="26"/>
      <c r="BD492" s="26"/>
      <c r="BE492" s="26"/>
      <c r="BF492" s="26"/>
      <c r="BG492" s="26"/>
      <c r="BH492" s="26"/>
      <c r="BI492" s="26"/>
      <c r="BJ492" s="26"/>
      <c r="BK492" s="26"/>
    </row>
    <row r="493" ht="14.25" customHeight="1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  <c r="AC493" s="26"/>
      <c r="AD493" s="26"/>
      <c r="AE493" s="26"/>
      <c r="AF493" s="26"/>
      <c r="AG493" s="26"/>
      <c r="AH493" s="26"/>
      <c r="AI493" s="26"/>
      <c r="AJ493" s="26"/>
      <c r="AK493" s="26"/>
      <c r="AL493" s="26"/>
      <c r="AM493" s="26"/>
      <c r="AN493" s="26"/>
      <c r="AO493" s="26"/>
      <c r="AP493" s="26"/>
      <c r="AQ493" s="26"/>
      <c r="AR493" s="26"/>
      <c r="AS493" s="26"/>
      <c r="AT493" s="26"/>
      <c r="AU493" s="26"/>
      <c r="AV493" s="26"/>
      <c r="AW493" s="26"/>
      <c r="AX493" s="26"/>
      <c r="AY493" s="26"/>
      <c r="AZ493" s="26"/>
      <c r="BA493" s="26"/>
      <c r="BB493" s="26"/>
      <c r="BC493" s="26"/>
      <c r="BD493" s="26"/>
      <c r="BE493" s="26"/>
      <c r="BF493" s="26"/>
      <c r="BG493" s="26"/>
      <c r="BH493" s="26"/>
      <c r="BI493" s="26"/>
      <c r="BJ493" s="26"/>
      <c r="BK493" s="26"/>
    </row>
    <row r="494" ht="14.25" customHeight="1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  <c r="AC494" s="26"/>
      <c r="AD494" s="26"/>
      <c r="AE494" s="26"/>
      <c r="AF494" s="26"/>
      <c r="AG494" s="26"/>
      <c r="AH494" s="26"/>
      <c r="AI494" s="26"/>
      <c r="AJ494" s="26"/>
      <c r="AK494" s="26"/>
      <c r="AL494" s="26"/>
      <c r="AM494" s="26"/>
      <c r="AN494" s="26"/>
      <c r="AO494" s="26"/>
      <c r="AP494" s="26"/>
      <c r="AQ494" s="26"/>
      <c r="AR494" s="26"/>
      <c r="AS494" s="26"/>
      <c r="AT494" s="26"/>
      <c r="AU494" s="26"/>
      <c r="AV494" s="26"/>
      <c r="AW494" s="26"/>
      <c r="AX494" s="26"/>
      <c r="AY494" s="26"/>
      <c r="AZ494" s="26"/>
      <c r="BA494" s="26"/>
      <c r="BB494" s="26"/>
      <c r="BC494" s="26"/>
      <c r="BD494" s="26"/>
      <c r="BE494" s="26"/>
      <c r="BF494" s="26"/>
      <c r="BG494" s="26"/>
      <c r="BH494" s="26"/>
      <c r="BI494" s="26"/>
      <c r="BJ494" s="26"/>
      <c r="BK494" s="26"/>
    </row>
    <row r="495" ht="14.25" customHeight="1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  <c r="AC495" s="26"/>
      <c r="AD495" s="26"/>
      <c r="AE495" s="26"/>
      <c r="AF495" s="26"/>
      <c r="AG495" s="26"/>
      <c r="AH495" s="26"/>
      <c r="AI495" s="26"/>
      <c r="AJ495" s="26"/>
      <c r="AK495" s="26"/>
      <c r="AL495" s="26"/>
      <c r="AM495" s="26"/>
      <c r="AN495" s="26"/>
      <c r="AO495" s="26"/>
      <c r="AP495" s="26"/>
      <c r="AQ495" s="26"/>
      <c r="AR495" s="26"/>
      <c r="AS495" s="26"/>
      <c r="AT495" s="26"/>
      <c r="AU495" s="26"/>
      <c r="AV495" s="26"/>
      <c r="AW495" s="26"/>
      <c r="AX495" s="26"/>
      <c r="AY495" s="26"/>
      <c r="AZ495" s="26"/>
      <c r="BA495" s="26"/>
      <c r="BB495" s="26"/>
      <c r="BC495" s="26"/>
      <c r="BD495" s="26"/>
      <c r="BE495" s="26"/>
      <c r="BF495" s="26"/>
      <c r="BG495" s="26"/>
      <c r="BH495" s="26"/>
      <c r="BI495" s="26"/>
      <c r="BJ495" s="26"/>
      <c r="BK495" s="26"/>
    </row>
    <row r="496" ht="14.25" customHeight="1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  <c r="AC496" s="26"/>
      <c r="AD496" s="26"/>
      <c r="AE496" s="26"/>
      <c r="AF496" s="26"/>
      <c r="AG496" s="26"/>
      <c r="AH496" s="26"/>
      <c r="AI496" s="26"/>
      <c r="AJ496" s="26"/>
      <c r="AK496" s="26"/>
      <c r="AL496" s="26"/>
      <c r="AM496" s="26"/>
      <c r="AN496" s="26"/>
      <c r="AO496" s="26"/>
      <c r="AP496" s="26"/>
      <c r="AQ496" s="26"/>
      <c r="AR496" s="26"/>
      <c r="AS496" s="26"/>
      <c r="AT496" s="26"/>
      <c r="AU496" s="26"/>
      <c r="AV496" s="26"/>
      <c r="AW496" s="26"/>
      <c r="AX496" s="26"/>
      <c r="AY496" s="26"/>
      <c r="AZ496" s="26"/>
      <c r="BA496" s="26"/>
      <c r="BB496" s="26"/>
      <c r="BC496" s="26"/>
      <c r="BD496" s="26"/>
      <c r="BE496" s="26"/>
      <c r="BF496" s="26"/>
      <c r="BG496" s="26"/>
      <c r="BH496" s="26"/>
      <c r="BI496" s="26"/>
      <c r="BJ496" s="26"/>
      <c r="BK496" s="26"/>
    </row>
    <row r="497" ht="14.25" customHeight="1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  <c r="AC497" s="26"/>
      <c r="AD497" s="26"/>
      <c r="AE497" s="26"/>
      <c r="AF497" s="26"/>
      <c r="AG497" s="26"/>
      <c r="AH497" s="26"/>
      <c r="AI497" s="26"/>
      <c r="AJ497" s="26"/>
      <c r="AK497" s="26"/>
      <c r="AL497" s="26"/>
      <c r="AM497" s="26"/>
      <c r="AN497" s="26"/>
      <c r="AO497" s="26"/>
      <c r="AP497" s="26"/>
      <c r="AQ497" s="26"/>
      <c r="AR497" s="26"/>
      <c r="AS497" s="26"/>
      <c r="AT497" s="26"/>
      <c r="AU497" s="26"/>
      <c r="AV497" s="26"/>
      <c r="AW497" s="26"/>
      <c r="AX497" s="26"/>
      <c r="AY497" s="26"/>
      <c r="AZ497" s="26"/>
      <c r="BA497" s="26"/>
      <c r="BB497" s="26"/>
      <c r="BC497" s="26"/>
      <c r="BD497" s="26"/>
      <c r="BE497" s="26"/>
      <c r="BF497" s="26"/>
      <c r="BG497" s="26"/>
      <c r="BH497" s="26"/>
      <c r="BI497" s="26"/>
      <c r="BJ497" s="26"/>
      <c r="BK497" s="26"/>
    </row>
    <row r="498" ht="14.25" customHeight="1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  <c r="AC498" s="26"/>
      <c r="AD498" s="26"/>
      <c r="AE498" s="26"/>
      <c r="AF498" s="26"/>
      <c r="AG498" s="26"/>
      <c r="AH498" s="26"/>
      <c r="AI498" s="26"/>
      <c r="AJ498" s="26"/>
      <c r="AK498" s="26"/>
      <c r="AL498" s="26"/>
      <c r="AM498" s="26"/>
      <c r="AN498" s="26"/>
      <c r="AO498" s="26"/>
      <c r="AP498" s="26"/>
      <c r="AQ498" s="26"/>
      <c r="AR498" s="26"/>
      <c r="AS498" s="26"/>
      <c r="AT498" s="26"/>
      <c r="AU498" s="26"/>
      <c r="AV498" s="26"/>
      <c r="AW498" s="26"/>
      <c r="AX498" s="26"/>
      <c r="AY498" s="26"/>
      <c r="AZ498" s="26"/>
      <c r="BA498" s="26"/>
      <c r="BB498" s="26"/>
      <c r="BC498" s="26"/>
      <c r="BD498" s="26"/>
      <c r="BE498" s="26"/>
      <c r="BF498" s="26"/>
      <c r="BG498" s="26"/>
      <c r="BH498" s="26"/>
      <c r="BI498" s="26"/>
      <c r="BJ498" s="26"/>
      <c r="BK498" s="26"/>
    </row>
    <row r="499" ht="14.25" customHeight="1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  <c r="AC499" s="26"/>
      <c r="AD499" s="26"/>
      <c r="AE499" s="26"/>
      <c r="AF499" s="26"/>
      <c r="AG499" s="26"/>
      <c r="AH499" s="26"/>
      <c r="AI499" s="26"/>
      <c r="AJ499" s="26"/>
      <c r="AK499" s="26"/>
      <c r="AL499" s="26"/>
      <c r="AM499" s="26"/>
      <c r="AN499" s="26"/>
      <c r="AO499" s="26"/>
      <c r="AP499" s="26"/>
      <c r="AQ499" s="26"/>
      <c r="AR499" s="26"/>
      <c r="AS499" s="26"/>
      <c r="AT499" s="26"/>
      <c r="AU499" s="26"/>
      <c r="AV499" s="26"/>
      <c r="AW499" s="26"/>
      <c r="AX499" s="26"/>
      <c r="AY499" s="26"/>
      <c r="AZ499" s="26"/>
      <c r="BA499" s="26"/>
      <c r="BB499" s="26"/>
      <c r="BC499" s="26"/>
      <c r="BD499" s="26"/>
      <c r="BE499" s="26"/>
      <c r="BF499" s="26"/>
      <c r="BG499" s="26"/>
      <c r="BH499" s="26"/>
      <c r="BI499" s="26"/>
      <c r="BJ499" s="26"/>
      <c r="BK499" s="26"/>
    </row>
    <row r="500" ht="14.25" customHeight="1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  <c r="AC500" s="26"/>
      <c r="AD500" s="26"/>
      <c r="AE500" s="26"/>
      <c r="AF500" s="26"/>
      <c r="AG500" s="26"/>
      <c r="AH500" s="26"/>
      <c r="AI500" s="26"/>
      <c r="AJ500" s="26"/>
      <c r="AK500" s="26"/>
      <c r="AL500" s="26"/>
      <c r="AM500" s="26"/>
      <c r="AN500" s="26"/>
      <c r="AO500" s="26"/>
      <c r="AP500" s="26"/>
      <c r="AQ500" s="26"/>
      <c r="AR500" s="26"/>
      <c r="AS500" s="26"/>
      <c r="AT500" s="26"/>
      <c r="AU500" s="26"/>
      <c r="AV500" s="26"/>
      <c r="AW500" s="26"/>
      <c r="AX500" s="26"/>
      <c r="AY500" s="26"/>
      <c r="AZ500" s="26"/>
      <c r="BA500" s="26"/>
      <c r="BB500" s="26"/>
      <c r="BC500" s="26"/>
      <c r="BD500" s="26"/>
      <c r="BE500" s="26"/>
      <c r="BF500" s="26"/>
      <c r="BG500" s="26"/>
      <c r="BH500" s="26"/>
      <c r="BI500" s="26"/>
      <c r="BJ500" s="26"/>
      <c r="BK500" s="26"/>
    </row>
    <row r="501" ht="14.25" customHeight="1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  <c r="AC501" s="26"/>
      <c r="AD501" s="26"/>
      <c r="AE501" s="26"/>
      <c r="AF501" s="26"/>
      <c r="AG501" s="26"/>
      <c r="AH501" s="26"/>
      <c r="AI501" s="26"/>
      <c r="AJ501" s="26"/>
      <c r="AK501" s="26"/>
      <c r="AL501" s="26"/>
      <c r="AM501" s="26"/>
      <c r="AN501" s="26"/>
      <c r="AO501" s="26"/>
      <c r="AP501" s="26"/>
      <c r="AQ501" s="26"/>
      <c r="AR501" s="26"/>
      <c r="AS501" s="26"/>
      <c r="AT501" s="26"/>
      <c r="AU501" s="26"/>
      <c r="AV501" s="26"/>
      <c r="AW501" s="26"/>
      <c r="AX501" s="26"/>
      <c r="AY501" s="26"/>
      <c r="AZ501" s="26"/>
      <c r="BA501" s="26"/>
      <c r="BB501" s="26"/>
      <c r="BC501" s="26"/>
      <c r="BD501" s="26"/>
      <c r="BE501" s="26"/>
      <c r="BF501" s="26"/>
      <c r="BG501" s="26"/>
      <c r="BH501" s="26"/>
      <c r="BI501" s="26"/>
      <c r="BJ501" s="26"/>
      <c r="BK501" s="26"/>
    </row>
    <row r="502" ht="14.25" customHeight="1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  <c r="AC502" s="26"/>
      <c r="AD502" s="26"/>
      <c r="AE502" s="26"/>
      <c r="AF502" s="26"/>
      <c r="AG502" s="26"/>
      <c r="AH502" s="26"/>
      <c r="AI502" s="26"/>
      <c r="AJ502" s="26"/>
      <c r="AK502" s="26"/>
      <c r="AL502" s="26"/>
      <c r="AM502" s="26"/>
      <c r="AN502" s="26"/>
      <c r="AO502" s="26"/>
      <c r="AP502" s="26"/>
      <c r="AQ502" s="26"/>
      <c r="AR502" s="26"/>
      <c r="AS502" s="26"/>
      <c r="AT502" s="26"/>
      <c r="AU502" s="26"/>
      <c r="AV502" s="26"/>
      <c r="AW502" s="26"/>
      <c r="AX502" s="26"/>
      <c r="AY502" s="26"/>
      <c r="AZ502" s="26"/>
      <c r="BA502" s="26"/>
      <c r="BB502" s="26"/>
      <c r="BC502" s="26"/>
      <c r="BD502" s="26"/>
      <c r="BE502" s="26"/>
      <c r="BF502" s="26"/>
      <c r="BG502" s="26"/>
      <c r="BH502" s="26"/>
      <c r="BI502" s="26"/>
      <c r="BJ502" s="26"/>
      <c r="BK502" s="26"/>
    </row>
    <row r="503" ht="14.25" customHeight="1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  <c r="AC503" s="26"/>
      <c r="AD503" s="26"/>
      <c r="AE503" s="26"/>
      <c r="AF503" s="26"/>
      <c r="AG503" s="26"/>
      <c r="AH503" s="26"/>
      <c r="AI503" s="26"/>
      <c r="AJ503" s="26"/>
      <c r="AK503" s="26"/>
      <c r="AL503" s="26"/>
      <c r="AM503" s="26"/>
      <c r="AN503" s="26"/>
      <c r="AO503" s="26"/>
      <c r="AP503" s="26"/>
      <c r="AQ503" s="26"/>
      <c r="AR503" s="26"/>
      <c r="AS503" s="26"/>
      <c r="AT503" s="26"/>
      <c r="AU503" s="26"/>
      <c r="AV503" s="26"/>
      <c r="AW503" s="26"/>
      <c r="AX503" s="26"/>
      <c r="AY503" s="26"/>
      <c r="AZ503" s="26"/>
      <c r="BA503" s="26"/>
      <c r="BB503" s="26"/>
      <c r="BC503" s="26"/>
      <c r="BD503" s="26"/>
      <c r="BE503" s="26"/>
      <c r="BF503" s="26"/>
      <c r="BG503" s="26"/>
      <c r="BH503" s="26"/>
      <c r="BI503" s="26"/>
      <c r="BJ503" s="26"/>
      <c r="BK503" s="26"/>
    </row>
    <row r="504" ht="14.25" customHeight="1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  <c r="AC504" s="26"/>
      <c r="AD504" s="26"/>
      <c r="AE504" s="26"/>
      <c r="AF504" s="26"/>
      <c r="AG504" s="26"/>
      <c r="AH504" s="26"/>
      <c r="AI504" s="26"/>
      <c r="AJ504" s="26"/>
      <c r="AK504" s="26"/>
      <c r="AL504" s="26"/>
      <c r="AM504" s="26"/>
      <c r="AN504" s="26"/>
      <c r="AO504" s="26"/>
      <c r="AP504" s="26"/>
      <c r="AQ504" s="26"/>
      <c r="AR504" s="26"/>
      <c r="AS504" s="26"/>
      <c r="AT504" s="26"/>
      <c r="AU504" s="26"/>
      <c r="AV504" s="26"/>
      <c r="AW504" s="26"/>
      <c r="AX504" s="26"/>
      <c r="AY504" s="26"/>
      <c r="AZ504" s="26"/>
      <c r="BA504" s="26"/>
      <c r="BB504" s="26"/>
      <c r="BC504" s="26"/>
      <c r="BD504" s="26"/>
      <c r="BE504" s="26"/>
      <c r="BF504" s="26"/>
      <c r="BG504" s="26"/>
      <c r="BH504" s="26"/>
      <c r="BI504" s="26"/>
      <c r="BJ504" s="26"/>
      <c r="BK504" s="26"/>
    </row>
    <row r="505" ht="14.25" customHeight="1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  <c r="AC505" s="26"/>
      <c r="AD505" s="26"/>
      <c r="AE505" s="26"/>
      <c r="AF505" s="26"/>
      <c r="AG505" s="26"/>
      <c r="AH505" s="26"/>
      <c r="AI505" s="26"/>
      <c r="AJ505" s="26"/>
      <c r="AK505" s="26"/>
      <c r="AL505" s="26"/>
      <c r="AM505" s="26"/>
      <c r="AN505" s="26"/>
      <c r="AO505" s="26"/>
      <c r="AP505" s="26"/>
      <c r="AQ505" s="26"/>
      <c r="AR505" s="26"/>
      <c r="AS505" s="26"/>
      <c r="AT505" s="26"/>
      <c r="AU505" s="26"/>
      <c r="AV505" s="26"/>
      <c r="AW505" s="26"/>
      <c r="AX505" s="26"/>
      <c r="AY505" s="26"/>
      <c r="AZ505" s="26"/>
      <c r="BA505" s="26"/>
      <c r="BB505" s="26"/>
      <c r="BC505" s="26"/>
      <c r="BD505" s="26"/>
      <c r="BE505" s="26"/>
      <c r="BF505" s="26"/>
      <c r="BG505" s="26"/>
      <c r="BH505" s="26"/>
      <c r="BI505" s="26"/>
      <c r="BJ505" s="26"/>
      <c r="BK505" s="26"/>
    </row>
    <row r="506" ht="14.25" customHeight="1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  <c r="AC506" s="26"/>
      <c r="AD506" s="26"/>
      <c r="AE506" s="26"/>
      <c r="AF506" s="26"/>
      <c r="AG506" s="26"/>
      <c r="AH506" s="26"/>
      <c r="AI506" s="26"/>
      <c r="AJ506" s="26"/>
      <c r="AK506" s="26"/>
      <c r="AL506" s="26"/>
      <c r="AM506" s="26"/>
      <c r="AN506" s="26"/>
      <c r="AO506" s="26"/>
      <c r="AP506" s="26"/>
      <c r="AQ506" s="26"/>
      <c r="AR506" s="26"/>
      <c r="AS506" s="26"/>
      <c r="AT506" s="26"/>
      <c r="AU506" s="26"/>
      <c r="AV506" s="26"/>
      <c r="AW506" s="26"/>
      <c r="AX506" s="26"/>
      <c r="AY506" s="26"/>
      <c r="AZ506" s="26"/>
      <c r="BA506" s="26"/>
      <c r="BB506" s="26"/>
      <c r="BC506" s="26"/>
      <c r="BD506" s="26"/>
      <c r="BE506" s="26"/>
      <c r="BF506" s="26"/>
      <c r="BG506" s="26"/>
      <c r="BH506" s="26"/>
      <c r="BI506" s="26"/>
      <c r="BJ506" s="26"/>
      <c r="BK506" s="26"/>
    </row>
    <row r="507" ht="14.25" customHeight="1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  <c r="AC507" s="26"/>
      <c r="AD507" s="26"/>
      <c r="AE507" s="26"/>
      <c r="AF507" s="26"/>
      <c r="AG507" s="26"/>
      <c r="AH507" s="26"/>
      <c r="AI507" s="26"/>
      <c r="AJ507" s="26"/>
      <c r="AK507" s="26"/>
      <c r="AL507" s="26"/>
      <c r="AM507" s="26"/>
      <c r="AN507" s="26"/>
      <c r="AO507" s="26"/>
      <c r="AP507" s="26"/>
      <c r="AQ507" s="26"/>
      <c r="AR507" s="26"/>
      <c r="AS507" s="26"/>
      <c r="AT507" s="26"/>
      <c r="AU507" s="26"/>
      <c r="AV507" s="26"/>
      <c r="AW507" s="26"/>
      <c r="AX507" s="26"/>
      <c r="AY507" s="26"/>
      <c r="AZ507" s="26"/>
      <c r="BA507" s="26"/>
      <c r="BB507" s="26"/>
      <c r="BC507" s="26"/>
      <c r="BD507" s="26"/>
      <c r="BE507" s="26"/>
      <c r="BF507" s="26"/>
      <c r="BG507" s="26"/>
      <c r="BH507" s="26"/>
      <c r="BI507" s="26"/>
      <c r="BJ507" s="26"/>
      <c r="BK507" s="26"/>
    </row>
    <row r="508" ht="14.25" customHeight="1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  <c r="AC508" s="26"/>
      <c r="AD508" s="26"/>
      <c r="AE508" s="26"/>
      <c r="AF508" s="26"/>
      <c r="AG508" s="26"/>
      <c r="AH508" s="26"/>
      <c r="AI508" s="26"/>
      <c r="AJ508" s="26"/>
      <c r="AK508" s="26"/>
      <c r="AL508" s="26"/>
      <c r="AM508" s="26"/>
      <c r="AN508" s="26"/>
      <c r="AO508" s="26"/>
      <c r="AP508" s="26"/>
      <c r="AQ508" s="26"/>
      <c r="AR508" s="26"/>
      <c r="AS508" s="26"/>
      <c r="AT508" s="26"/>
      <c r="AU508" s="26"/>
      <c r="AV508" s="26"/>
      <c r="AW508" s="26"/>
      <c r="AX508" s="26"/>
      <c r="AY508" s="26"/>
      <c r="AZ508" s="26"/>
      <c r="BA508" s="26"/>
      <c r="BB508" s="26"/>
      <c r="BC508" s="26"/>
      <c r="BD508" s="26"/>
      <c r="BE508" s="26"/>
      <c r="BF508" s="26"/>
      <c r="BG508" s="26"/>
      <c r="BH508" s="26"/>
      <c r="BI508" s="26"/>
      <c r="BJ508" s="26"/>
      <c r="BK508" s="26"/>
    </row>
    <row r="509" ht="14.25" customHeight="1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  <c r="AC509" s="26"/>
      <c r="AD509" s="26"/>
      <c r="AE509" s="26"/>
      <c r="AF509" s="26"/>
      <c r="AG509" s="26"/>
      <c r="AH509" s="26"/>
      <c r="AI509" s="26"/>
      <c r="AJ509" s="26"/>
      <c r="AK509" s="26"/>
      <c r="AL509" s="26"/>
      <c r="AM509" s="26"/>
      <c r="AN509" s="26"/>
      <c r="AO509" s="26"/>
      <c r="AP509" s="26"/>
      <c r="AQ509" s="26"/>
      <c r="AR509" s="26"/>
      <c r="AS509" s="26"/>
      <c r="AT509" s="26"/>
      <c r="AU509" s="26"/>
      <c r="AV509" s="26"/>
      <c r="AW509" s="26"/>
      <c r="AX509" s="26"/>
      <c r="AY509" s="26"/>
      <c r="AZ509" s="26"/>
      <c r="BA509" s="26"/>
      <c r="BB509" s="26"/>
      <c r="BC509" s="26"/>
      <c r="BD509" s="26"/>
      <c r="BE509" s="26"/>
      <c r="BF509" s="26"/>
      <c r="BG509" s="26"/>
      <c r="BH509" s="26"/>
      <c r="BI509" s="26"/>
      <c r="BJ509" s="26"/>
      <c r="BK509" s="26"/>
    </row>
    <row r="510" ht="14.25" customHeight="1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  <c r="AC510" s="26"/>
      <c r="AD510" s="26"/>
      <c r="AE510" s="26"/>
      <c r="AF510" s="26"/>
      <c r="AG510" s="26"/>
      <c r="AH510" s="26"/>
      <c r="AI510" s="26"/>
      <c r="AJ510" s="26"/>
      <c r="AK510" s="26"/>
      <c r="AL510" s="26"/>
      <c r="AM510" s="26"/>
      <c r="AN510" s="26"/>
      <c r="AO510" s="26"/>
      <c r="AP510" s="26"/>
      <c r="AQ510" s="26"/>
      <c r="AR510" s="26"/>
      <c r="AS510" s="26"/>
      <c r="AT510" s="26"/>
      <c r="AU510" s="26"/>
      <c r="AV510" s="26"/>
      <c r="AW510" s="26"/>
      <c r="AX510" s="26"/>
      <c r="AY510" s="26"/>
      <c r="AZ510" s="26"/>
      <c r="BA510" s="26"/>
      <c r="BB510" s="26"/>
      <c r="BC510" s="26"/>
      <c r="BD510" s="26"/>
      <c r="BE510" s="26"/>
      <c r="BF510" s="26"/>
      <c r="BG510" s="26"/>
      <c r="BH510" s="26"/>
      <c r="BI510" s="26"/>
      <c r="BJ510" s="26"/>
      <c r="BK510" s="26"/>
    </row>
    <row r="511" ht="14.25" customHeight="1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  <c r="AC511" s="26"/>
      <c r="AD511" s="26"/>
      <c r="AE511" s="26"/>
      <c r="AF511" s="26"/>
      <c r="AG511" s="26"/>
      <c r="AH511" s="26"/>
      <c r="AI511" s="26"/>
      <c r="AJ511" s="26"/>
      <c r="AK511" s="26"/>
      <c r="AL511" s="26"/>
      <c r="AM511" s="26"/>
      <c r="AN511" s="26"/>
      <c r="AO511" s="26"/>
      <c r="AP511" s="26"/>
      <c r="AQ511" s="26"/>
      <c r="AR511" s="26"/>
      <c r="AS511" s="26"/>
      <c r="AT511" s="26"/>
      <c r="AU511" s="26"/>
      <c r="AV511" s="26"/>
      <c r="AW511" s="26"/>
      <c r="AX511" s="26"/>
      <c r="AY511" s="26"/>
      <c r="AZ511" s="26"/>
      <c r="BA511" s="26"/>
      <c r="BB511" s="26"/>
      <c r="BC511" s="26"/>
      <c r="BD511" s="26"/>
      <c r="BE511" s="26"/>
      <c r="BF511" s="26"/>
      <c r="BG511" s="26"/>
      <c r="BH511" s="26"/>
      <c r="BI511" s="26"/>
      <c r="BJ511" s="26"/>
      <c r="BK511" s="26"/>
    </row>
    <row r="512" ht="14.25" customHeight="1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  <c r="AC512" s="26"/>
      <c r="AD512" s="26"/>
      <c r="AE512" s="26"/>
      <c r="AF512" s="26"/>
      <c r="AG512" s="26"/>
      <c r="AH512" s="26"/>
      <c r="AI512" s="26"/>
      <c r="AJ512" s="26"/>
      <c r="AK512" s="26"/>
      <c r="AL512" s="26"/>
      <c r="AM512" s="26"/>
      <c r="AN512" s="26"/>
      <c r="AO512" s="26"/>
      <c r="AP512" s="26"/>
      <c r="AQ512" s="26"/>
      <c r="AR512" s="26"/>
      <c r="AS512" s="26"/>
      <c r="AT512" s="26"/>
      <c r="AU512" s="26"/>
      <c r="AV512" s="26"/>
      <c r="AW512" s="26"/>
      <c r="AX512" s="26"/>
      <c r="AY512" s="26"/>
      <c r="AZ512" s="26"/>
      <c r="BA512" s="26"/>
      <c r="BB512" s="26"/>
      <c r="BC512" s="26"/>
      <c r="BD512" s="26"/>
      <c r="BE512" s="26"/>
      <c r="BF512" s="26"/>
      <c r="BG512" s="26"/>
      <c r="BH512" s="26"/>
      <c r="BI512" s="26"/>
      <c r="BJ512" s="26"/>
      <c r="BK512" s="26"/>
    </row>
    <row r="513" ht="14.25" customHeight="1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  <c r="AC513" s="26"/>
      <c r="AD513" s="26"/>
      <c r="AE513" s="26"/>
      <c r="AF513" s="26"/>
      <c r="AG513" s="26"/>
      <c r="AH513" s="26"/>
      <c r="AI513" s="26"/>
      <c r="AJ513" s="26"/>
      <c r="AK513" s="26"/>
      <c r="AL513" s="26"/>
      <c r="AM513" s="26"/>
      <c r="AN513" s="26"/>
      <c r="AO513" s="26"/>
      <c r="AP513" s="26"/>
      <c r="AQ513" s="26"/>
      <c r="AR513" s="26"/>
      <c r="AS513" s="26"/>
      <c r="AT513" s="26"/>
      <c r="AU513" s="26"/>
      <c r="AV513" s="26"/>
      <c r="AW513" s="26"/>
      <c r="AX513" s="26"/>
      <c r="AY513" s="26"/>
      <c r="AZ513" s="26"/>
      <c r="BA513" s="26"/>
      <c r="BB513" s="26"/>
      <c r="BC513" s="26"/>
      <c r="BD513" s="26"/>
      <c r="BE513" s="26"/>
      <c r="BF513" s="26"/>
      <c r="BG513" s="26"/>
      <c r="BH513" s="26"/>
      <c r="BI513" s="26"/>
      <c r="BJ513" s="26"/>
      <c r="BK513" s="26"/>
    </row>
    <row r="514" ht="14.25" customHeight="1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  <c r="AC514" s="26"/>
      <c r="AD514" s="26"/>
      <c r="AE514" s="26"/>
      <c r="AF514" s="26"/>
      <c r="AG514" s="26"/>
      <c r="AH514" s="26"/>
      <c r="AI514" s="26"/>
      <c r="AJ514" s="26"/>
      <c r="AK514" s="26"/>
      <c r="AL514" s="26"/>
      <c r="AM514" s="26"/>
      <c r="AN514" s="26"/>
      <c r="AO514" s="26"/>
      <c r="AP514" s="26"/>
      <c r="AQ514" s="26"/>
      <c r="AR514" s="26"/>
      <c r="AS514" s="26"/>
      <c r="AT514" s="26"/>
      <c r="AU514" s="26"/>
      <c r="AV514" s="26"/>
      <c r="AW514" s="26"/>
      <c r="AX514" s="26"/>
      <c r="AY514" s="26"/>
      <c r="AZ514" s="26"/>
      <c r="BA514" s="26"/>
      <c r="BB514" s="26"/>
      <c r="BC514" s="26"/>
      <c r="BD514" s="26"/>
      <c r="BE514" s="26"/>
      <c r="BF514" s="26"/>
      <c r="BG514" s="26"/>
      <c r="BH514" s="26"/>
      <c r="BI514" s="26"/>
      <c r="BJ514" s="26"/>
      <c r="BK514" s="26"/>
    </row>
    <row r="515" ht="14.25" customHeight="1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  <c r="AC515" s="26"/>
      <c r="AD515" s="26"/>
      <c r="AE515" s="26"/>
      <c r="AF515" s="26"/>
      <c r="AG515" s="26"/>
      <c r="AH515" s="26"/>
      <c r="AI515" s="26"/>
      <c r="AJ515" s="26"/>
      <c r="AK515" s="26"/>
      <c r="AL515" s="26"/>
      <c r="AM515" s="26"/>
      <c r="AN515" s="26"/>
      <c r="AO515" s="26"/>
      <c r="AP515" s="26"/>
      <c r="AQ515" s="26"/>
      <c r="AR515" s="26"/>
      <c r="AS515" s="26"/>
      <c r="AT515" s="26"/>
      <c r="AU515" s="26"/>
      <c r="AV515" s="26"/>
      <c r="AW515" s="26"/>
      <c r="AX515" s="26"/>
      <c r="AY515" s="26"/>
      <c r="AZ515" s="26"/>
      <c r="BA515" s="26"/>
      <c r="BB515" s="26"/>
      <c r="BC515" s="26"/>
      <c r="BD515" s="26"/>
      <c r="BE515" s="26"/>
      <c r="BF515" s="26"/>
      <c r="BG515" s="26"/>
      <c r="BH515" s="26"/>
      <c r="BI515" s="26"/>
      <c r="BJ515" s="26"/>
      <c r="BK515" s="26"/>
    </row>
    <row r="516" ht="14.25" customHeight="1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  <c r="AC516" s="26"/>
      <c r="AD516" s="26"/>
      <c r="AE516" s="26"/>
      <c r="AF516" s="26"/>
      <c r="AG516" s="26"/>
      <c r="AH516" s="26"/>
      <c r="AI516" s="26"/>
      <c r="AJ516" s="26"/>
      <c r="AK516" s="26"/>
      <c r="AL516" s="26"/>
      <c r="AM516" s="26"/>
      <c r="AN516" s="26"/>
      <c r="AO516" s="26"/>
      <c r="AP516" s="26"/>
      <c r="AQ516" s="26"/>
      <c r="AR516" s="26"/>
      <c r="AS516" s="26"/>
      <c r="AT516" s="26"/>
      <c r="AU516" s="26"/>
      <c r="AV516" s="26"/>
      <c r="AW516" s="26"/>
      <c r="AX516" s="26"/>
      <c r="AY516" s="26"/>
      <c r="AZ516" s="26"/>
      <c r="BA516" s="26"/>
      <c r="BB516" s="26"/>
      <c r="BC516" s="26"/>
      <c r="BD516" s="26"/>
      <c r="BE516" s="26"/>
      <c r="BF516" s="26"/>
      <c r="BG516" s="26"/>
      <c r="BH516" s="26"/>
      <c r="BI516" s="26"/>
      <c r="BJ516" s="26"/>
      <c r="BK516" s="26"/>
    </row>
    <row r="517" ht="14.25" customHeight="1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  <c r="AC517" s="26"/>
      <c r="AD517" s="26"/>
      <c r="AE517" s="26"/>
      <c r="AF517" s="26"/>
      <c r="AG517" s="26"/>
      <c r="AH517" s="26"/>
      <c r="AI517" s="26"/>
      <c r="AJ517" s="26"/>
      <c r="AK517" s="26"/>
      <c r="AL517" s="26"/>
      <c r="AM517" s="26"/>
      <c r="AN517" s="26"/>
      <c r="AO517" s="26"/>
      <c r="AP517" s="26"/>
      <c r="AQ517" s="26"/>
      <c r="AR517" s="26"/>
      <c r="AS517" s="26"/>
      <c r="AT517" s="26"/>
      <c r="AU517" s="26"/>
      <c r="AV517" s="26"/>
      <c r="AW517" s="26"/>
      <c r="AX517" s="26"/>
      <c r="AY517" s="26"/>
      <c r="AZ517" s="26"/>
      <c r="BA517" s="26"/>
      <c r="BB517" s="26"/>
      <c r="BC517" s="26"/>
      <c r="BD517" s="26"/>
      <c r="BE517" s="26"/>
      <c r="BF517" s="26"/>
      <c r="BG517" s="26"/>
      <c r="BH517" s="26"/>
      <c r="BI517" s="26"/>
      <c r="BJ517" s="26"/>
      <c r="BK517" s="26"/>
    </row>
    <row r="518" ht="14.25" customHeight="1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  <c r="AC518" s="26"/>
      <c r="AD518" s="26"/>
      <c r="AE518" s="26"/>
      <c r="AF518" s="26"/>
      <c r="AG518" s="26"/>
      <c r="AH518" s="26"/>
      <c r="AI518" s="26"/>
      <c r="AJ518" s="26"/>
      <c r="AK518" s="26"/>
      <c r="AL518" s="26"/>
      <c r="AM518" s="26"/>
      <c r="AN518" s="26"/>
      <c r="AO518" s="26"/>
      <c r="AP518" s="26"/>
      <c r="AQ518" s="26"/>
      <c r="AR518" s="26"/>
      <c r="AS518" s="26"/>
      <c r="AT518" s="26"/>
      <c r="AU518" s="26"/>
      <c r="AV518" s="26"/>
      <c r="AW518" s="26"/>
      <c r="AX518" s="26"/>
      <c r="AY518" s="26"/>
      <c r="AZ518" s="26"/>
      <c r="BA518" s="26"/>
      <c r="BB518" s="26"/>
      <c r="BC518" s="26"/>
      <c r="BD518" s="26"/>
      <c r="BE518" s="26"/>
      <c r="BF518" s="26"/>
      <c r="BG518" s="26"/>
      <c r="BH518" s="26"/>
      <c r="BI518" s="26"/>
      <c r="BJ518" s="26"/>
      <c r="BK518" s="26"/>
    </row>
    <row r="519" ht="14.25" customHeight="1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  <c r="AC519" s="26"/>
      <c r="AD519" s="26"/>
      <c r="AE519" s="26"/>
      <c r="AF519" s="26"/>
      <c r="AG519" s="26"/>
      <c r="AH519" s="26"/>
      <c r="AI519" s="26"/>
      <c r="AJ519" s="26"/>
      <c r="AK519" s="26"/>
      <c r="AL519" s="26"/>
      <c r="AM519" s="26"/>
      <c r="AN519" s="26"/>
      <c r="AO519" s="26"/>
      <c r="AP519" s="26"/>
      <c r="AQ519" s="26"/>
      <c r="AR519" s="26"/>
      <c r="AS519" s="26"/>
      <c r="AT519" s="26"/>
      <c r="AU519" s="26"/>
      <c r="AV519" s="26"/>
      <c r="AW519" s="26"/>
      <c r="AX519" s="26"/>
      <c r="AY519" s="26"/>
      <c r="AZ519" s="26"/>
      <c r="BA519" s="26"/>
      <c r="BB519" s="26"/>
      <c r="BC519" s="26"/>
      <c r="BD519" s="26"/>
      <c r="BE519" s="26"/>
      <c r="BF519" s="26"/>
      <c r="BG519" s="26"/>
      <c r="BH519" s="26"/>
      <c r="BI519" s="26"/>
      <c r="BJ519" s="26"/>
      <c r="BK519" s="26"/>
    </row>
    <row r="520" ht="14.25" customHeight="1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  <c r="AC520" s="26"/>
      <c r="AD520" s="26"/>
      <c r="AE520" s="26"/>
      <c r="AF520" s="26"/>
      <c r="AG520" s="26"/>
      <c r="AH520" s="26"/>
      <c r="AI520" s="26"/>
      <c r="AJ520" s="26"/>
      <c r="AK520" s="26"/>
      <c r="AL520" s="26"/>
      <c r="AM520" s="26"/>
      <c r="AN520" s="26"/>
      <c r="AO520" s="26"/>
      <c r="AP520" s="26"/>
      <c r="AQ520" s="26"/>
      <c r="AR520" s="26"/>
      <c r="AS520" s="26"/>
      <c r="AT520" s="26"/>
      <c r="AU520" s="26"/>
      <c r="AV520" s="26"/>
      <c r="AW520" s="26"/>
      <c r="AX520" s="26"/>
      <c r="AY520" s="26"/>
      <c r="AZ520" s="26"/>
      <c r="BA520" s="26"/>
      <c r="BB520" s="26"/>
      <c r="BC520" s="26"/>
      <c r="BD520" s="26"/>
      <c r="BE520" s="26"/>
      <c r="BF520" s="26"/>
      <c r="BG520" s="26"/>
      <c r="BH520" s="26"/>
      <c r="BI520" s="26"/>
      <c r="BJ520" s="26"/>
      <c r="BK520" s="26"/>
    </row>
    <row r="521" ht="14.25" customHeight="1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  <c r="AC521" s="26"/>
      <c r="AD521" s="26"/>
      <c r="AE521" s="26"/>
      <c r="AF521" s="26"/>
      <c r="AG521" s="26"/>
      <c r="AH521" s="26"/>
      <c r="AI521" s="26"/>
      <c r="AJ521" s="26"/>
      <c r="AK521" s="26"/>
      <c r="AL521" s="26"/>
      <c r="AM521" s="26"/>
      <c r="AN521" s="26"/>
      <c r="AO521" s="26"/>
      <c r="AP521" s="26"/>
      <c r="AQ521" s="26"/>
      <c r="AR521" s="26"/>
      <c r="AS521" s="26"/>
      <c r="AT521" s="26"/>
      <c r="AU521" s="26"/>
      <c r="AV521" s="26"/>
      <c r="AW521" s="26"/>
      <c r="AX521" s="26"/>
      <c r="AY521" s="26"/>
      <c r="AZ521" s="26"/>
      <c r="BA521" s="26"/>
      <c r="BB521" s="26"/>
      <c r="BC521" s="26"/>
      <c r="BD521" s="26"/>
      <c r="BE521" s="26"/>
      <c r="BF521" s="26"/>
      <c r="BG521" s="26"/>
      <c r="BH521" s="26"/>
      <c r="BI521" s="26"/>
      <c r="BJ521" s="26"/>
      <c r="BK521" s="26"/>
    </row>
    <row r="522" ht="14.25" customHeight="1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  <c r="AC522" s="26"/>
      <c r="AD522" s="26"/>
      <c r="AE522" s="26"/>
      <c r="AF522" s="26"/>
      <c r="AG522" s="26"/>
      <c r="AH522" s="26"/>
      <c r="AI522" s="26"/>
      <c r="AJ522" s="26"/>
      <c r="AK522" s="26"/>
      <c r="AL522" s="26"/>
      <c r="AM522" s="26"/>
      <c r="AN522" s="26"/>
      <c r="AO522" s="26"/>
      <c r="AP522" s="26"/>
      <c r="AQ522" s="26"/>
      <c r="AR522" s="26"/>
      <c r="AS522" s="26"/>
      <c r="AT522" s="26"/>
      <c r="AU522" s="26"/>
      <c r="AV522" s="26"/>
      <c r="AW522" s="26"/>
      <c r="AX522" s="26"/>
      <c r="AY522" s="26"/>
      <c r="AZ522" s="26"/>
      <c r="BA522" s="26"/>
      <c r="BB522" s="26"/>
      <c r="BC522" s="26"/>
      <c r="BD522" s="26"/>
      <c r="BE522" s="26"/>
      <c r="BF522" s="26"/>
      <c r="BG522" s="26"/>
      <c r="BH522" s="26"/>
      <c r="BI522" s="26"/>
      <c r="BJ522" s="26"/>
      <c r="BK522" s="26"/>
    </row>
    <row r="523" ht="14.25" customHeight="1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  <c r="AC523" s="26"/>
      <c r="AD523" s="26"/>
      <c r="AE523" s="26"/>
      <c r="AF523" s="26"/>
      <c r="AG523" s="26"/>
      <c r="AH523" s="26"/>
      <c r="AI523" s="26"/>
      <c r="AJ523" s="26"/>
      <c r="AK523" s="26"/>
      <c r="AL523" s="26"/>
      <c r="AM523" s="26"/>
      <c r="AN523" s="26"/>
      <c r="AO523" s="26"/>
      <c r="AP523" s="26"/>
      <c r="AQ523" s="26"/>
      <c r="AR523" s="26"/>
      <c r="AS523" s="26"/>
      <c r="AT523" s="26"/>
      <c r="AU523" s="26"/>
      <c r="AV523" s="26"/>
      <c r="AW523" s="26"/>
      <c r="AX523" s="26"/>
      <c r="AY523" s="26"/>
      <c r="AZ523" s="26"/>
      <c r="BA523" s="26"/>
      <c r="BB523" s="26"/>
      <c r="BC523" s="26"/>
      <c r="BD523" s="26"/>
      <c r="BE523" s="26"/>
      <c r="BF523" s="26"/>
      <c r="BG523" s="26"/>
      <c r="BH523" s="26"/>
      <c r="BI523" s="26"/>
      <c r="BJ523" s="26"/>
      <c r="BK523" s="26"/>
    </row>
    <row r="524" ht="14.25" customHeight="1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  <c r="AC524" s="26"/>
      <c r="AD524" s="26"/>
      <c r="AE524" s="26"/>
      <c r="AF524" s="26"/>
      <c r="AG524" s="26"/>
      <c r="AH524" s="26"/>
      <c r="AI524" s="26"/>
      <c r="AJ524" s="26"/>
      <c r="AK524" s="26"/>
      <c r="AL524" s="26"/>
      <c r="AM524" s="26"/>
      <c r="AN524" s="26"/>
      <c r="AO524" s="26"/>
      <c r="AP524" s="26"/>
      <c r="AQ524" s="26"/>
      <c r="AR524" s="26"/>
      <c r="AS524" s="26"/>
      <c r="AT524" s="26"/>
      <c r="AU524" s="26"/>
      <c r="AV524" s="26"/>
      <c r="AW524" s="26"/>
      <c r="AX524" s="26"/>
      <c r="AY524" s="26"/>
      <c r="AZ524" s="26"/>
      <c r="BA524" s="26"/>
      <c r="BB524" s="26"/>
      <c r="BC524" s="26"/>
      <c r="BD524" s="26"/>
      <c r="BE524" s="26"/>
      <c r="BF524" s="26"/>
      <c r="BG524" s="26"/>
      <c r="BH524" s="26"/>
      <c r="BI524" s="26"/>
      <c r="BJ524" s="26"/>
      <c r="BK524" s="26"/>
    </row>
    <row r="525" ht="14.25" customHeight="1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  <c r="AC525" s="26"/>
      <c r="AD525" s="26"/>
      <c r="AE525" s="26"/>
      <c r="AF525" s="26"/>
      <c r="AG525" s="26"/>
      <c r="AH525" s="26"/>
      <c r="AI525" s="26"/>
      <c r="AJ525" s="26"/>
      <c r="AK525" s="26"/>
      <c r="AL525" s="26"/>
      <c r="AM525" s="26"/>
      <c r="AN525" s="26"/>
      <c r="AO525" s="26"/>
      <c r="AP525" s="26"/>
      <c r="AQ525" s="26"/>
      <c r="AR525" s="26"/>
      <c r="AS525" s="26"/>
      <c r="AT525" s="26"/>
      <c r="AU525" s="26"/>
      <c r="AV525" s="26"/>
      <c r="AW525" s="26"/>
      <c r="AX525" s="26"/>
      <c r="AY525" s="26"/>
      <c r="AZ525" s="26"/>
      <c r="BA525" s="26"/>
      <c r="BB525" s="26"/>
      <c r="BC525" s="26"/>
      <c r="BD525" s="26"/>
      <c r="BE525" s="26"/>
      <c r="BF525" s="26"/>
      <c r="BG525" s="26"/>
      <c r="BH525" s="26"/>
      <c r="BI525" s="26"/>
      <c r="BJ525" s="26"/>
      <c r="BK525" s="26"/>
    </row>
    <row r="526" ht="14.25" customHeight="1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  <c r="AC526" s="26"/>
      <c r="AD526" s="26"/>
      <c r="AE526" s="26"/>
      <c r="AF526" s="26"/>
      <c r="AG526" s="26"/>
      <c r="AH526" s="26"/>
      <c r="AI526" s="26"/>
      <c r="AJ526" s="26"/>
      <c r="AK526" s="26"/>
      <c r="AL526" s="26"/>
      <c r="AM526" s="26"/>
      <c r="AN526" s="26"/>
      <c r="AO526" s="26"/>
      <c r="AP526" s="26"/>
      <c r="AQ526" s="26"/>
      <c r="AR526" s="26"/>
      <c r="AS526" s="26"/>
      <c r="AT526" s="26"/>
      <c r="AU526" s="26"/>
      <c r="AV526" s="26"/>
      <c r="AW526" s="26"/>
      <c r="AX526" s="26"/>
      <c r="AY526" s="26"/>
      <c r="AZ526" s="26"/>
      <c r="BA526" s="26"/>
      <c r="BB526" s="26"/>
      <c r="BC526" s="26"/>
      <c r="BD526" s="26"/>
      <c r="BE526" s="26"/>
      <c r="BF526" s="26"/>
      <c r="BG526" s="26"/>
      <c r="BH526" s="26"/>
      <c r="BI526" s="26"/>
      <c r="BJ526" s="26"/>
      <c r="BK526" s="26"/>
    </row>
    <row r="527" ht="14.25" customHeight="1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  <c r="AC527" s="26"/>
      <c r="AD527" s="26"/>
      <c r="AE527" s="26"/>
      <c r="AF527" s="26"/>
      <c r="AG527" s="26"/>
      <c r="AH527" s="26"/>
      <c r="AI527" s="26"/>
      <c r="AJ527" s="26"/>
      <c r="AK527" s="26"/>
      <c r="AL527" s="26"/>
      <c r="AM527" s="26"/>
      <c r="AN527" s="26"/>
      <c r="AO527" s="26"/>
      <c r="AP527" s="26"/>
      <c r="AQ527" s="26"/>
      <c r="AR527" s="26"/>
      <c r="AS527" s="26"/>
      <c r="AT527" s="26"/>
      <c r="AU527" s="26"/>
      <c r="AV527" s="26"/>
      <c r="AW527" s="26"/>
      <c r="AX527" s="26"/>
      <c r="AY527" s="26"/>
      <c r="AZ527" s="26"/>
      <c r="BA527" s="26"/>
      <c r="BB527" s="26"/>
      <c r="BC527" s="26"/>
      <c r="BD527" s="26"/>
      <c r="BE527" s="26"/>
      <c r="BF527" s="26"/>
      <c r="BG527" s="26"/>
      <c r="BH527" s="26"/>
      <c r="BI527" s="26"/>
      <c r="BJ527" s="26"/>
      <c r="BK527" s="26"/>
    </row>
    <row r="528" ht="14.25" customHeight="1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  <c r="AC528" s="26"/>
      <c r="AD528" s="26"/>
      <c r="AE528" s="26"/>
      <c r="AF528" s="26"/>
      <c r="AG528" s="26"/>
      <c r="AH528" s="26"/>
      <c r="AI528" s="26"/>
      <c r="AJ528" s="26"/>
      <c r="AK528" s="26"/>
      <c r="AL528" s="26"/>
      <c r="AM528" s="26"/>
      <c r="AN528" s="26"/>
      <c r="AO528" s="26"/>
      <c r="AP528" s="26"/>
      <c r="AQ528" s="26"/>
      <c r="AR528" s="26"/>
      <c r="AS528" s="26"/>
      <c r="AT528" s="26"/>
      <c r="AU528" s="26"/>
      <c r="AV528" s="26"/>
      <c r="AW528" s="26"/>
      <c r="AX528" s="26"/>
      <c r="AY528" s="26"/>
      <c r="AZ528" s="26"/>
      <c r="BA528" s="26"/>
      <c r="BB528" s="26"/>
      <c r="BC528" s="26"/>
      <c r="BD528" s="26"/>
      <c r="BE528" s="26"/>
      <c r="BF528" s="26"/>
      <c r="BG528" s="26"/>
      <c r="BH528" s="26"/>
      <c r="BI528" s="26"/>
      <c r="BJ528" s="26"/>
      <c r="BK528" s="26"/>
    </row>
    <row r="529" ht="14.25" customHeight="1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  <c r="AC529" s="26"/>
      <c r="AD529" s="26"/>
      <c r="AE529" s="26"/>
      <c r="AF529" s="26"/>
      <c r="AG529" s="26"/>
      <c r="AH529" s="26"/>
      <c r="AI529" s="26"/>
      <c r="AJ529" s="26"/>
      <c r="AK529" s="26"/>
      <c r="AL529" s="26"/>
      <c r="AM529" s="26"/>
      <c r="AN529" s="26"/>
      <c r="AO529" s="26"/>
      <c r="AP529" s="26"/>
      <c r="AQ529" s="26"/>
      <c r="AR529" s="26"/>
      <c r="AS529" s="26"/>
      <c r="AT529" s="26"/>
      <c r="AU529" s="26"/>
      <c r="AV529" s="26"/>
      <c r="AW529" s="26"/>
      <c r="AX529" s="26"/>
      <c r="AY529" s="26"/>
      <c r="AZ529" s="26"/>
      <c r="BA529" s="26"/>
      <c r="BB529" s="26"/>
      <c r="BC529" s="26"/>
      <c r="BD529" s="26"/>
      <c r="BE529" s="26"/>
      <c r="BF529" s="26"/>
      <c r="BG529" s="26"/>
      <c r="BH529" s="26"/>
      <c r="BI529" s="26"/>
      <c r="BJ529" s="26"/>
      <c r="BK529" s="26"/>
    </row>
    <row r="530" ht="14.25" customHeight="1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  <c r="AC530" s="26"/>
      <c r="AD530" s="26"/>
      <c r="AE530" s="26"/>
      <c r="AF530" s="26"/>
      <c r="AG530" s="26"/>
      <c r="AH530" s="26"/>
      <c r="AI530" s="26"/>
      <c r="AJ530" s="26"/>
      <c r="AK530" s="26"/>
      <c r="AL530" s="26"/>
      <c r="AM530" s="26"/>
      <c r="AN530" s="26"/>
      <c r="AO530" s="26"/>
      <c r="AP530" s="26"/>
      <c r="AQ530" s="26"/>
      <c r="AR530" s="26"/>
      <c r="AS530" s="26"/>
      <c r="AT530" s="26"/>
      <c r="AU530" s="26"/>
      <c r="AV530" s="26"/>
      <c r="AW530" s="26"/>
      <c r="AX530" s="26"/>
      <c r="AY530" s="26"/>
      <c r="AZ530" s="26"/>
      <c r="BA530" s="26"/>
      <c r="BB530" s="26"/>
      <c r="BC530" s="26"/>
      <c r="BD530" s="26"/>
      <c r="BE530" s="26"/>
      <c r="BF530" s="26"/>
      <c r="BG530" s="26"/>
      <c r="BH530" s="26"/>
      <c r="BI530" s="26"/>
      <c r="BJ530" s="26"/>
      <c r="BK530" s="26"/>
    </row>
    <row r="531" ht="14.25" customHeight="1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  <c r="AC531" s="26"/>
      <c r="AD531" s="26"/>
      <c r="AE531" s="26"/>
      <c r="AF531" s="26"/>
      <c r="AG531" s="26"/>
      <c r="AH531" s="26"/>
      <c r="AI531" s="26"/>
      <c r="AJ531" s="26"/>
      <c r="AK531" s="26"/>
      <c r="AL531" s="26"/>
      <c r="AM531" s="26"/>
      <c r="AN531" s="26"/>
      <c r="AO531" s="26"/>
      <c r="AP531" s="26"/>
      <c r="AQ531" s="26"/>
      <c r="AR531" s="26"/>
      <c r="AS531" s="26"/>
      <c r="AT531" s="26"/>
      <c r="AU531" s="26"/>
      <c r="AV531" s="26"/>
      <c r="AW531" s="26"/>
      <c r="AX531" s="26"/>
      <c r="AY531" s="26"/>
      <c r="AZ531" s="26"/>
      <c r="BA531" s="26"/>
      <c r="BB531" s="26"/>
      <c r="BC531" s="26"/>
      <c r="BD531" s="26"/>
      <c r="BE531" s="26"/>
      <c r="BF531" s="26"/>
      <c r="BG531" s="26"/>
      <c r="BH531" s="26"/>
      <c r="BI531" s="26"/>
      <c r="BJ531" s="26"/>
      <c r="BK531" s="26"/>
    </row>
    <row r="532" ht="14.25" customHeight="1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  <c r="AC532" s="26"/>
      <c r="AD532" s="26"/>
      <c r="AE532" s="26"/>
      <c r="AF532" s="26"/>
      <c r="AG532" s="26"/>
      <c r="AH532" s="26"/>
      <c r="AI532" s="26"/>
      <c r="AJ532" s="26"/>
      <c r="AK532" s="26"/>
      <c r="AL532" s="26"/>
      <c r="AM532" s="26"/>
      <c r="AN532" s="26"/>
      <c r="AO532" s="26"/>
      <c r="AP532" s="26"/>
      <c r="AQ532" s="26"/>
      <c r="AR532" s="26"/>
      <c r="AS532" s="26"/>
      <c r="AT532" s="26"/>
      <c r="AU532" s="26"/>
      <c r="AV532" s="26"/>
      <c r="AW532" s="26"/>
      <c r="AX532" s="26"/>
      <c r="AY532" s="26"/>
      <c r="AZ532" s="26"/>
      <c r="BA532" s="26"/>
      <c r="BB532" s="26"/>
      <c r="BC532" s="26"/>
      <c r="BD532" s="26"/>
      <c r="BE532" s="26"/>
      <c r="BF532" s="26"/>
      <c r="BG532" s="26"/>
      <c r="BH532" s="26"/>
      <c r="BI532" s="26"/>
      <c r="BJ532" s="26"/>
      <c r="BK532" s="26"/>
    </row>
    <row r="533" ht="14.25" customHeight="1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  <c r="AC533" s="26"/>
      <c r="AD533" s="26"/>
      <c r="AE533" s="26"/>
      <c r="AF533" s="26"/>
      <c r="AG533" s="26"/>
      <c r="AH533" s="26"/>
      <c r="AI533" s="26"/>
      <c r="AJ533" s="26"/>
      <c r="AK533" s="26"/>
      <c r="AL533" s="26"/>
      <c r="AM533" s="26"/>
      <c r="AN533" s="26"/>
      <c r="AO533" s="26"/>
      <c r="AP533" s="26"/>
      <c r="AQ533" s="26"/>
      <c r="AR533" s="26"/>
      <c r="AS533" s="26"/>
      <c r="AT533" s="26"/>
      <c r="AU533" s="26"/>
      <c r="AV533" s="26"/>
      <c r="AW533" s="26"/>
      <c r="AX533" s="26"/>
      <c r="AY533" s="26"/>
      <c r="AZ533" s="26"/>
      <c r="BA533" s="26"/>
      <c r="BB533" s="26"/>
      <c r="BC533" s="26"/>
      <c r="BD533" s="26"/>
      <c r="BE533" s="26"/>
      <c r="BF533" s="26"/>
      <c r="BG533" s="26"/>
      <c r="BH533" s="26"/>
      <c r="BI533" s="26"/>
      <c r="BJ533" s="26"/>
      <c r="BK533" s="26"/>
    </row>
    <row r="534" ht="14.25" customHeight="1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  <c r="AC534" s="26"/>
      <c r="AD534" s="26"/>
      <c r="AE534" s="26"/>
      <c r="AF534" s="26"/>
      <c r="AG534" s="26"/>
      <c r="AH534" s="26"/>
      <c r="AI534" s="26"/>
      <c r="AJ534" s="26"/>
      <c r="AK534" s="26"/>
      <c r="AL534" s="26"/>
      <c r="AM534" s="26"/>
      <c r="AN534" s="26"/>
      <c r="AO534" s="26"/>
      <c r="AP534" s="26"/>
      <c r="AQ534" s="26"/>
      <c r="AR534" s="26"/>
      <c r="AS534" s="26"/>
      <c r="AT534" s="26"/>
      <c r="AU534" s="26"/>
      <c r="AV534" s="26"/>
      <c r="AW534" s="26"/>
      <c r="AX534" s="26"/>
      <c r="AY534" s="26"/>
      <c r="AZ534" s="26"/>
      <c r="BA534" s="26"/>
      <c r="BB534" s="26"/>
      <c r="BC534" s="26"/>
      <c r="BD534" s="26"/>
      <c r="BE534" s="26"/>
      <c r="BF534" s="26"/>
      <c r="BG534" s="26"/>
      <c r="BH534" s="26"/>
      <c r="BI534" s="26"/>
      <c r="BJ534" s="26"/>
      <c r="BK534" s="26"/>
    </row>
    <row r="535" ht="14.25" customHeight="1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  <c r="AC535" s="26"/>
      <c r="AD535" s="26"/>
      <c r="AE535" s="26"/>
      <c r="AF535" s="26"/>
      <c r="AG535" s="26"/>
      <c r="AH535" s="26"/>
      <c r="AI535" s="26"/>
      <c r="AJ535" s="26"/>
      <c r="AK535" s="26"/>
      <c r="AL535" s="26"/>
      <c r="AM535" s="26"/>
      <c r="AN535" s="26"/>
      <c r="AO535" s="26"/>
      <c r="AP535" s="26"/>
      <c r="AQ535" s="26"/>
      <c r="AR535" s="26"/>
      <c r="AS535" s="26"/>
      <c r="AT535" s="26"/>
      <c r="AU535" s="26"/>
      <c r="AV535" s="26"/>
      <c r="AW535" s="26"/>
      <c r="AX535" s="26"/>
      <c r="AY535" s="26"/>
      <c r="AZ535" s="26"/>
      <c r="BA535" s="26"/>
      <c r="BB535" s="26"/>
      <c r="BC535" s="26"/>
      <c r="BD535" s="26"/>
      <c r="BE535" s="26"/>
      <c r="BF535" s="26"/>
      <c r="BG535" s="26"/>
      <c r="BH535" s="26"/>
      <c r="BI535" s="26"/>
      <c r="BJ535" s="26"/>
      <c r="BK535" s="26"/>
    </row>
    <row r="536" ht="14.25" customHeight="1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  <c r="AC536" s="26"/>
      <c r="AD536" s="26"/>
      <c r="AE536" s="26"/>
      <c r="AF536" s="26"/>
      <c r="AG536" s="26"/>
      <c r="AH536" s="26"/>
      <c r="AI536" s="26"/>
      <c r="AJ536" s="26"/>
      <c r="AK536" s="26"/>
      <c r="AL536" s="26"/>
      <c r="AM536" s="26"/>
      <c r="AN536" s="26"/>
      <c r="AO536" s="26"/>
      <c r="AP536" s="26"/>
      <c r="AQ536" s="26"/>
      <c r="AR536" s="26"/>
      <c r="AS536" s="26"/>
      <c r="AT536" s="26"/>
      <c r="AU536" s="26"/>
      <c r="AV536" s="26"/>
      <c r="AW536" s="26"/>
      <c r="AX536" s="26"/>
      <c r="AY536" s="26"/>
      <c r="AZ536" s="26"/>
      <c r="BA536" s="26"/>
      <c r="BB536" s="26"/>
      <c r="BC536" s="26"/>
      <c r="BD536" s="26"/>
      <c r="BE536" s="26"/>
      <c r="BF536" s="26"/>
      <c r="BG536" s="26"/>
      <c r="BH536" s="26"/>
      <c r="BI536" s="26"/>
      <c r="BJ536" s="26"/>
      <c r="BK536" s="26"/>
    </row>
    <row r="537" ht="14.25" customHeight="1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  <c r="AC537" s="26"/>
      <c r="AD537" s="26"/>
      <c r="AE537" s="26"/>
      <c r="AF537" s="26"/>
      <c r="AG537" s="26"/>
      <c r="AH537" s="26"/>
      <c r="AI537" s="26"/>
      <c r="AJ537" s="26"/>
      <c r="AK537" s="26"/>
      <c r="AL537" s="26"/>
      <c r="AM537" s="26"/>
      <c r="AN537" s="26"/>
      <c r="AO537" s="26"/>
      <c r="AP537" s="26"/>
      <c r="AQ537" s="26"/>
      <c r="AR537" s="26"/>
      <c r="AS537" s="26"/>
      <c r="AT537" s="26"/>
      <c r="AU537" s="26"/>
      <c r="AV537" s="26"/>
      <c r="AW537" s="26"/>
      <c r="AX537" s="26"/>
      <c r="AY537" s="26"/>
      <c r="AZ537" s="26"/>
      <c r="BA537" s="26"/>
      <c r="BB537" s="26"/>
      <c r="BC537" s="26"/>
      <c r="BD537" s="26"/>
      <c r="BE537" s="26"/>
      <c r="BF537" s="26"/>
      <c r="BG537" s="26"/>
      <c r="BH537" s="26"/>
      <c r="BI537" s="26"/>
      <c r="BJ537" s="26"/>
      <c r="BK537" s="26"/>
    </row>
    <row r="538" ht="14.25" customHeight="1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  <c r="AC538" s="26"/>
      <c r="AD538" s="26"/>
      <c r="AE538" s="26"/>
      <c r="AF538" s="26"/>
      <c r="AG538" s="26"/>
      <c r="AH538" s="26"/>
      <c r="AI538" s="26"/>
      <c r="AJ538" s="26"/>
      <c r="AK538" s="26"/>
      <c r="AL538" s="26"/>
      <c r="AM538" s="26"/>
      <c r="AN538" s="26"/>
      <c r="AO538" s="26"/>
      <c r="AP538" s="26"/>
      <c r="AQ538" s="26"/>
      <c r="AR538" s="26"/>
      <c r="AS538" s="26"/>
      <c r="AT538" s="26"/>
      <c r="AU538" s="26"/>
      <c r="AV538" s="26"/>
      <c r="AW538" s="26"/>
      <c r="AX538" s="26"/>
      <c r="AY538" s="26"/>
      <c r="AZ538" s="26"/>
      <c r="BA538" s="26"/>
      <c r="BB538" s="26"/>
      <c r="BC538" s="26"/>
      <c r="BD538" s="26"/>
      <c r="BE538" s="26"/>
      <c r="BF538" s="26"/>
      <c r="BG538" s="26"/>
      <c r="BH538" s="26"/>
      <c r="BI538" s="26"/>
      <c r="BJ538" s="26"/>
      <c r="BK538" s="26"/>
    </row>
    <row r="539" ht="14.25" customHeight="1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  <c r="AC539" s="26"/>
      <c r="AD539" s="26"/>
      <c r="AE539" s="26"/>
      <c r="AF539" s="26"/>
      <c r="AG539" s="26"/>
      <c r="AH539" s="26"/>
      <c r="AI539" s="26"/>
      <c r="AJ539" s="26"/>
      <c r="AK539" s="26"/>
      <c r="AL539" s="26"/>
      <c r="AM539" s="26"/>
      <c r="AN539" s="26"/>
      <c r="AO539" s="26"/>
      <c r="AP539" s="26"/>
      <c r="AQ539" s="26"/>
      <c r="AR539" s="26"/>
      <c r="AS539" s="26"/>
      <c r="AT539" s="26"/>
      <c r="AU539" s="26"/>
      <c r="AV539" s="26"/>
      <c r="AW539" s="26"/>
      <c r="AX539" s="26"/>
      <c r="AY539" s="26"/>
      <c r="AZ539" s="26"/>
      <c r="BA539" s="26"/>
      <c r="BB539" s="26"/>
      <c r="BC539" s="26"/>
      <c r="BD539" s="26"/>
      <c r="BE539" s="26"/>
      <c r="BF539" s="26"/>
      <c r="BG539" s="26"/>
      <c r="BH539" s="26"/>
      <c r="BI539" s="26"/>
      <c r="BJ539" s="26"/>
      <c r="BK539" s="26"/>
    </row>
    <row r="540" ht="14.25" customHeight="1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  <c r="AC540" s="26"/>
      <c r="AD540" s="26"/>
      <c r="AE540" s="26"/>
      <c r="AF540" s="26"/>
      <c r="AG540" s="26"/>
      <c r="AH540" s="26"/>
      <c r="AI540" s="26"/>
      <c r="AJ540" s="26"/>
      <c r="AK540" s="26"/>
      <c r="AL540" s="26"/>
      <c r="AM540" s="26"/>
      <c r="AN540" s="26"/>
      <c r="AO540" s="26"/>
      <c r="AP540" s="26"/>
      <c r="AQ540" s="26"/>
      <c r="AR540" s="26"/>
      <c r="AS540" s="26"/>
      <c r="AT540" s="26"/>
      <c r="AU540" s="26"/>
      <c r="AV540" s="26"/>
      <c r="AW540" s="26"/>
      <c r="AX540" s="26"/>
      <c r="AY540" s="26"/>
      <c r="AZ540" s="26"/>
      <c r="BA540" s="26"/>
      <c r="BB540" s="26"/>
      <c r="BC540" s="26"/>
      <c r="BD540" s="26"/>
      <c r="BE540" s="26"/>
      <c r="BF540" s="26"/>
      <c r="BG540" s="26"/>
      <c r="BH540" s="26"/>
      <c r="BI540" s="26"/>
      <c r="BJ540" s="26"/>
      <c r="BK540" s="26"/>
    </row>
    <row r="541" ht="14.25" customHeight="1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  <c r="AC541" s="26"/>
      <c r="AD541" s="26"/>
      <c r="AE541" s="26"/>
      <c r="AF541" s="26"/>
      <c r="AG541" s="26"/>
      <c r="AH541" s="26"/>
      <c r="AI541" s="26"/>
      <c r="AJ541" s="26"/>
      <c r="AK541" s="26"/>
      <c r="AL541" s="26"/>
      <c r="AM541" s="26"/>
      <c r="AN541" s="26"/>
      <c r="AO541" s="26"/>
      <c r="AP541" s="26"/>
      <c r="AQ541" s="26"/>
      <c r="AR541" s="26"/>
      <c r="AS541" s="26"/>
      <c r="AT541" s="26"/>
      <c r="AU541" s="26"/>
      <c r="AV541" s="26"/>
      <c r="AW541" s="26"/>
      <c r="AX541" s="26"/>
      <c r="AY541" s="26"/>
      <c r="AZ541" s="26"/>
      <c r="BA541" s="26"/>
      <c r="BB541" s="26"/>
      <c r="BC541" s="26"/>
      <c r="BD541" s="26"/>
      <c r="BE541" s="26"/>
      <c r="BF541" s="26"/>
      <c r="BG541" s="26"/>
      <c r="BH541" s="26"/>
      <c r="BI541" s="26"/>
      <c r="BJ541" s="26"/>
      <c r="BK541" s="26"/>
    </row>
    <row r="542" ht="14.25" customHeight="1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  <c r="AC542" s="26"/>
      <c r="AD542" s="26"/>
      <c r="AE542" s="26"/>
      <c r="AF542" s="26"/>
      <c r="AG542" s="26"/>
      <c r="AH542" s="26"/>
      <c r="AI542" s="26"/>
      <c r="AJ542" s="26"/>
      <c r="AK542" s="26"/>
      <c r="AL542" s="26"/>
      <c r="AM542" s="26"/>
      <c r="AN542" s="26"/>
      <c r="AO542" s="26"/>
      <c r="AP542" s="26"/>
      <c r="AQ542" s="26"/>
      <c r="AR542" s="26"/>
      <c r="AS542" s="26"/>
      <c r="AT542" s="26"/>
      <c r="AU542" s="26"/>
      <c r="AV542" s="26"/>
      <c r="AW542" s="26"/>
      <c r="AX542" s="26"/>
      <c r="AY542" s="26"/>
      <c r="AZ542" s="26"/>
      <c r="BA542" s="26"/>
      <c r="BB542" s="26"/>
      <c r="BC542" s="26"/>
      <c r="BD542" s="26"/>
      <c r="BE542" s="26"/>
      <c r="BF542" s="26"/>
      <c r="BG542" s="26"/>
      <c r="BH542" s="26"/>
      <c r="BI542" s="26"/>
      <c r="BJ542" s="26"/>
      <c r="BK542" s="26"/>
    </row>
    <row r="543" ht="14.25" customHeight="1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  <c r="AC543" s="26"/>
      <c r="AD543" s="26"/>
      <c r="AE543" s="26"/>
      <c r="AF543" s="26"/>
      <c r="AG543" s="26"/>
      <c r="AH543" s="26"/>
      <c r="AI543" s="26"/>
      <c r="AJ543" s="26"/>
      <c r="AK543" s="26"/>
      <c r="AL543" s="26"/>
      <c r="AM543" s="26"/>
      <c r="AN543" s="26"/>
      <c r="AO543" s="26"/>
      <c r="AP543" s="26"/>
      <c r="AQ543" s="26"/>
      <c r="AR543" s="26"/>
      <c r="AS543" s="26"/>
      <c r="AT543" s="26"/>
      <c r="AU543" s="26"/>
      <c r="AV543" s="26"/>
      <c r="AW543" s="26"/>
      <c r="AX543" s="26"/>
      <c r="AY543" s="26"/>
      <c r="AZ543" s="26"/>
      <c r="BA543" s="26"/>
      <c r="BB543" s="26"/>
      <c r="BC543" s="26"/>
      <c r="BD543" s="26"/>
      <c r="BE543" s="26"/>
      <c r="BF543" s="26"/>
      <c r="BG543" s="26"/>
      <c r="BH543" s="26"/>
      <c r="BI543" s="26"/>
      <c r="BJ543" s="26"/>
      <c r="BK543" s="26"/>
    </row>
    <row r="544" ht="14.25" customHeight="1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  <c r="AC544" s="26"/>
      <c r="AD544" s="26"/>
      <c r="AE544" s="26"/>
      <c r="AF544" s="26"/>
      <c r="AG544" s="26"/>
      <c r="AH544" s="26"/>
      <c r="AI544" s="26"/>
      <c r="AJ544" s="26"/>
      <c r="AK544" s="26"/>
      <c r="AL544" s="26"/>
      <c r="AM544" s="26"/>
      <c r="AN544" s="26"/>
      <c r="AO544" s="26"/>
      <c r="AP544" s="26"/>
      <c r="AQ544" s="26"/>
      <c r="AR544" s="26"/>
      <c r="AS544" s="26"/>
      <c r="AT544" s="26"/>
      <c r="AU544" s="26"/>
      <c r="AV544" s="26"/>
      <c r="AW544" s="26"/>
      <c r="AX544" s="26"/>
      <c r="AY544" s="26"/>
      <c r="AZ544" s="26"/>
      <c r="BA544" s="26"/>
      <c r="BB544" s="26"/>
      <c r="BC544" s="26"/>
      <c r="BD544" s="26"/>
      <c r="BE544" s="26"/>
      <c r="BF544" s="26"/>
      <c r="BG544" s="26"/>
      <c r="BH544" s="26"/>
      <c r="BI544" s="26"/>
      <c r="BJ544" s="26"/>
      <c r="BK544" s="26"/>
    </row>
    <row r="545" ht="14.25" customHeight="1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  <c r="AC545" s="26"/>
      <c r="AD545" s="26"/>
      <c r="AE545" s="26"/>
      <c r="AF545" s="26"/>
      <c r="AG545" s="26"/>
      <c r="AH545" s="26"/>
      <c r="AI545" s="26"/>
      <c r="AJ545" s="26"/>
      <c r="AK545" s="26"/>
      <c r="AL545" s="26"/>
      <c r="AM545" s="26"/>
      <c r="AN545" s="26"/>
      <c r="AO545" s="26"/>
      <c r="AP545" s="26"/>
      <c r="AQ545" s="26"/>
      <c r="AR545" s="26"/>
      <c r="AS545" s="26"/>
      <c r="AT545" s="26"/>
      <c r="AU545" s="26"/>
      <c r="AV545" s="26"/>
      <c r="AW545" s="26"/>
      <c r="AX545" s="26"/>
      <c r="AY545" s="26"/>
      <c r="AZ545" s="26"/>
      <c r="BA545" s="26"/>
      <c r="BB545" s="26"/>
      <c r="BC545" s="26"/>
      <c r="BD545" s="26"/>
      <c r="BE545" s="26"/>
      <c r="BF545" s="26"/>
      <c r="BG545" s="26"/>
      <c r="BH545" s="26"/>
      <c r="BI545" s="26"/>
      <c r="BJ545" s="26"/>
      <c r="BK545" s="26"/>
    </row>
    <row r="546" ht="14.25" customHeight="1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  <c r="AC546" s="26"/>
      <c r="AD546" s="26"/>
      <c r="AE546" s="26"/>
      <c r="AF546" s="26"/>
      <c r="AG546" s="26"/>
      <c r="AH546" s="26"/>
      <c r="AI546" s="26"/>
      <c r="AJ546" s="26"/>
      <c r="AK546" s="26"/>
      <c r="AL546" s="26"/>
      <c r="AM546" s="26"/>
      <c r="AN546" s="26"/>
      <c r="AO546" s="26"/>
      <c r="AP546" s="26"/>
      <c r="AQ546" s="26"/>
      <c r="AR546" s="26"/>
      <c r="AS546" s="26"/>
      <c r="AT546" s="26"/>
      <c r="AU546" s="26"/>
      <c r="AV546" s="26"/>
      <c r="AW546" s="26"/>
      <c r="AX546" s="26"/>
      <c r="AY546" s="26"/>
      <c r="AZ546" s="26"/>
      <c r="BA546" s="26"/>
      <c r="BB546" s="26"/>
      <c r="BC546" s="26"/>
      <c r="BD546" s="26"/>
      <c r="BE546" s="26"/>
      <c r="BF546" s="26"/>
      <c r="BG546" s="26"/>
      <c r="BH546" s="26"/>
      <c r="BI546" s="26"/>
      <c r="BJ546" s="26"/>
      <c r="BK546" s="26"/>
    </row>
    <row r="547" ht="14.25" customHeight="1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  <c r="AC547" s="26"/>
      <c r="AD547" s="26"/>
      <c r="AE547" s="26"/>
      <c r="AF547" s="26"/>
      <c r="AG547" s="26"/>
      <c r="AH547" s="26"/>
      <c r="AI547" s="26"/>
      <c r="AJ547" s="26"/>
      <c r="AK547" s="26"/>
      <c r="AL547" s="26"/>
      <c r="AM547" s="26"/>
      <c r="AN547" s="26"/>
      <c r="AO547" s="26"/>
      <c r="AP547" s="26"/>
      <c r="AQ547" s="26"/>
      <c r="AR547" s="26"/>
      <c r="AS547" s="26"/>
      <c r="AT547" s="26"/>
      <c r="AU547" s="26"/>
      <c r="AV547" s="26"/>
      <c r="AW547" s="26"/>
      <c r="AX547" s="26"/>
      <c r="AY547" s="26"/>
      <c r="AZ547" s="26"/>
      <c r="BA547" s="26"/>
      <c r="BB547" s="26"/>
      <c r="BC547" s="26"/>
      <c r="BD547" s="26"/>
      <c r="BE547" s="26"/>
      <c r="BF547" s="26"/>
      <c r="BG547" s="26"/>
      <c r="BH547" s="26"/>
      <c r="BI547" s="26"/>
      <c r="BJ547" s="26"/>
      <c r="BK547" s="26"/>
    </row>
    <row r="548" ht="14.25" customHeight="1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  <c r="AC548" s="26"/>
      <c r="AD548" s="26"/>
      <c r="AE548" s="26"/>
      <c r="AF548" s="26"/>
      <c r="AG548" s="26"/>
      <c r="AH548" s="26"/>
      <c r="AI548" s="26"/>
      <c r="AJ548" s="26"/>
      <c r="AK548" s="26"/>
      <c r="AL548" s="26"/>
      <c r="AM548" s="26"/>
      <c r="AN548" s="26"/>
      <c r="AO548" s="26"/>
      <c r="AP548" s="26"/>
      <c r="AQ548" s="26"/>
      <c r="AR548" s="26"/>
      <c r="AS548" s="26"/>
      <c r="AT548" s="26"/>
      <c r="AU548" s="26"/>
      <c r="AV548" s="26"/>
      <c r="AW548" s="26"/>
      <c r="AX548" s="26"/>
      <c r="AY548" s="26"/>
      <c r="AZ548" s="26"/>
      <c r="BA548" s="26"/>
      <c r="BB548" s="26"/>
      <c r="BC548" s="26"/>
      <c r="BD548" s="26"/>
      <c r="BE548" s="26"/>
      <c r="BF548" s="26"/>
      <c r="BG548" s="26"/>
      <c r="BH548" s="26"/>
      <c r="BI548" s="26"/>
      <c r="BJ548" s="26"/>
      <c r="BK548" s="26"/>
    </row>
    <row r="549" ht="14.25" customHeight="1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  <c r="AC549" s="26"/>
      <c r="AD549" s="26"/>
      <c r="AE549" s="26"/>
      <c r="AF549" s="26"/>
      <c r="AG549" s="26"/>
      <c r="AH549" s="26"/>
      <c r="AI549" s="26"/>
      <c r="AJ549" s="26"/>
      <c r="AK549" s="26"/>
      <c r="AL549" s="26"/>
      <c r="AM549" s="26"/>
      <c r="AN549" s="26"/>
      <c r="AO549" s="26"/>
      <c r="AP549" s="26"/>
      <c r="AQ549" s="26"/>
      <c r="AR549" s="26"/>
      <c r="AS549" s="26"/>
      <c r="AT549" s="26"/>
      <c r="AU549" s="26"/>
      <c r="AV549" s="26"/>
      <c r="AW549" s="26"/>
      <c r="AX549" s="26"/>
      <c r="AY549" s="26"/>
      <c r="AZ549" s="26"/>
      <c r="BA549" s="26"/>
      <c r="BB549" s="26"/>
      <c r="BC549" s="26"/>
      <c r="BD549" s="26"/>
      <c r="BE549" s="26"/>
      <c r="BF549" s="26"/>
      <c r="BG549" s="26"/>
      <c r="BH549" s="26"/>
      <c r="BI549" s="26"/>
      <c r="BJ549" s="26"/>
      <c r="BK549" s="26"/>
    </row>
    <row r="550" ht="14.25" customHeight="1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  <c r="AC550" s="26"/>
      <c r="AD550" s="26"/>
      <c r="AE550" s="26"/>
      <c r="AF550" s="26"/>
      <c r="AG550" s="26"/>
      <c r="AH550" s="26"/>
      <c r="AI550" s="26"/>
      <c r="AJ550" s="26"/>
      <c r="AK550" s="26"/>
      <c r="AL550" s="26"/>
      <c r="AM550" s="26"/>
      <c r="AN550" s="26"/>
      <c r="AO550" s="26"/>
      <c r="AP550" s="26"/>
      <c r="AQ550" s="26"/>
      <c r="AR550" s="26"/>
      <c r="AS550" s="26"/>
      <c r="AT550" s="26"/>
      <c r="AU550" s="26"/>
      <c r="AV550" s="26"/>
      <c r="AW550" s="26"/>
      <c r="AX550" s="26"/>
      <c r="AY550" s="26"/>
      <c r="AZ550" s="26"/>
      <c r="BA550" s="26"/>
      <c r="BB550" s="26"/>
      <c r="BC550" s="26"/>
      <c r="BD550" s="26"/>
      <c r="BE550" s="26"/>
      <c r="BF550" s="26"/>
      <c r="BG550" s="26"/>
      <c r="BH550" s="26"/>
      <c r="BI550" s="26"/>
      <c r="BJ550" s="26"/>
      <c r="BK550" s="26"/>
    </row>
    <row r="551" ht="14.25" customHeight="1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  <c r="AC551" s="26"/>
      <c r="AD551" s="26"/>
      <c r="AE551" s="26"/>
      <c r="AF551" s="26"/>
      <c r="AG551" s="26"/>
      <c r="AH551" s="26"/>
      <c r="AI551" s="26"/>
      <c r="AJ551" s="26"/>
      <c r="AK551" s="26"/>
      <c r="AL551" s="26"/>
      <c r="AM551" s="26"/>
      <c r="AN551" s="26"/>
      <c r="AO551" s="26"/>
      <c r="AP551" s="26"/>
      <c r="AQ551" s="26"/>
      <c r="AR551" s="26"/>
      <c r="AS551" s="26"/>
      <c r="AT551" s="26"/>
      <c r="AU551" s="26"/>
      <c r="AV551" s="26"/>
      <c r="AW551" s="26"/>
      <c r="AX551" s="26"/>
      <c r="AY551" s="26"/>
      <c r="AZ551" s="26"/>
      <c r="BA551" s="26"/>
      <c r="BB551" s="26"/>
      <c r="BC551" s="26"/>
      <c r="BD551" s="26"/>
      <c r="BE551" s="26"/>
      <c r="BF551" s="26"/>
      <c r="BG551" s="26"/>
      <c r="BH551" s="26"/>
      <c r="BI551" s="26"/>
      <c r="BJ551" s="26"/>
      <c r="BK551" s="26"/>
    </row>
    <row r="552" ht="14.25" customHeight="1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  <c r="AC552" s="26"/>
      <c r="AD552" s="26"/>
      <c r="AE552" s="26"/>
      <c r="AF552" s="26"/>
      <c r="AG552" s="26"/>
      <c r="AH552" s="26"/>
      <c r="AI552" s="26"/>
      <c r="AJ552" s="26"/>
      <c r="AK552" s="26"/>
      <c r="AL552" s="26"/>
      <c r="AM552" s="26"/>
      <c r="AN552" s="26"/>
      <c r="AO552" s="26"/>
      <c r="AP552" s="26"/>
      <c r="AQ552" s="26"/>
      <c r="AR552" s="26"/>
      <c r="AS552" s="26"/>
      <c r="AT552" s="26"/>
      <c r="AU552" s="26"/>
      <c r="AV552" s="26"/>
      <c r="AW552" s="26"/>
      <c r="AX552" s="26"/>
      <c r="AY552" s="26"/>
      <c r="AZ552" s="26"/>
      <c r="BA552" s="26"/>
      <c r="BB552" s="26"/>
      <c r="BC552" s="26"/>
      <c r="BD552" s="26"/>
      <c r="BE552" s="26"/>
      <c r="BF552" s="26"/>
      <c r="BG552" s="26"/>
      <c r="BH552" s="26"/>
      <c r="BI552" s="26"/>
      <c r="BJ552" s="26"/>
      <c r="BK552" s="26"/>
    </row>
    <row r="553" ht="14.25" customHeight="1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  <c r="AC553" s="26"/>
      <c r="AD553" s="26"/>
      <c r="AE553" s="26"/>
      <c r="AF553" s="26"/>
      <c r="AG553" s="26"/>
      <c r="AH553" s="26"/>
      <c r="AI553" s="26"/>
      <c r="AJ553" s="26"/>
      <c r="AK553" s="26"/>
      <c r="AL553" s="26"/>
      <c r="AM553" s="26"/>
      <c r="AN553" s="26"/>
      <c r="AO553" s="26"/>
      <c r="AP553" s="26"/>
      <c r="AQ553" s="26"/>
      <c r="AR553" s="26"/>
      <c r="AS553" s="26"/>
      <c r="AT553" s="26"/>
      <c r="AU553" s="26"/>
      <c r="AV553" s="26"/>
      <c r="AW553" s="26"/>
      <c r="AX553" s="26"/>
      <c r="AY553" s="26"/>
      <c r="AZ553" s="26"/>
      <c r="BA553" s="26"/>
      <c r="BB553" s="26"/>
      <c r="BC553" s="26"/>
      <c r="BD553" s="26"/>
      <c r="BE553" s="26"/>
      <c r="BF553" s="26"/>
      <c r="BG553" s="26"/>
      <c r="BH553" s="26"/>
      <c r="BI553" s="26"/>
      <c r="BJ553" s="26"/>
      <c r="BK553" s="26"/>
    </row>
    <row r="554" ht="14.25" customHeight="1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  <c r="AC554" s="26"/>
      <c r="AD554" s="26"/>
      <c r="AE554" s="26"/>
      <c r="AF554" s="26"/>
      <c r="AG554" s="26"/>
      <c r="AH554" s="26"/>
      <c r="AI554" s="26"/>
      <c r="AJ554" s="26"/>
      <c r="AK554" s="26"/>
      <c r="AL554" s="26"/>
      <c r="AM554" s="26"/>
      <c r="AN554" s="26"/>
      <c r="AO554" s="26"/>
      <c r="AP554" s="26"/>
      <c r="AQ554" s="26"/>
      <c r="AR554" s="26"/>
      <c r="AS554" s="26"/>
      <c r="AT554" s="26"/>
      <c r="AU554" s="26"/>
      <c r="AV554" s="26"/>
      <c r="AW554" s="26"/>
      <c r="AX554" s="26"/>
      <c r="AY554" s="26"/>
      <c r="AZ554" s="26"/>
      <c r="BA554" s="26"/>
      <c r="BB554" s="26"/>
      <c r="BC554" s="26"/>
      <c r="BD554" s="26"/>
      <c r="BE554" s="26"/>
      <c r="BF554" s="26"/>
      <c r="BG554" s="26"/>
      <c r="BH554" s="26"/>
      <c r="BI554" s="26"/>
      <c r="BJ554" s="26"/>
      <c r="BK554" s="26"/>
    </row>
    <row r="555" ht="14.25" customHeight="1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  <c r="AC555" s="26"/>
      <c r="AD555" s="26"/>
      <c r="AE555" s="26"/>
      <c r="AF555" s="26"/>
      <c r="AG555" s="26"/>
      <c r="AH555" s="26"/>
      <c r="AI555" s="26"/>
      <c r="AJ555" s="26"/>
      <c r="AK555" s="26"/>
      <c r="AL555" s="26"/>
      <c r="AM555" s="26"/>
      <c r="AN555" s="26"/>
      <c r="AO555" s="26"/>
      <c r="AP555" s="26"/>
      <c r="AQ555" s="26"/>
      <c r="AR555" s="26"/>
      <c r="AS555" s="26"/>
      <c r="AT555" s="26"/>
      <c r="AU555" s="26"/>
      <c r="AV555" s="26"/>
      <c r="AW555" s="26"/>
      <c r="AX555" s="26"/>
      <c r="AY555" s="26"/>
      <c r="AZ555" s="26"/>
      <c r="BA555" s="26"/>
      <c r="BB555" s="26"/>
      <c r="BC555" s="26"/>
      <c r="BD555" s="26"/>
      <c r="BE555" s="26"/>
      <c r="BF555" s="26"/>
      <c r="BG555" s="26"/>
      <c r="BH555" s="26"/>
      <c r="BI555" s="26"/>
      <c r="BJ555" s="26"/>
      <c r="BK555" s="26"/>
    </row>
    <row r="556" ht="14.25" customHeight="1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  <c r="AC556" s="26"/>
      <c r="AD556" s="26"/>
      <c r="AE556" s="26"/>
      <c r="AF556" s="26"/>
      <c r="AG556" s="26"/>
      <c r="AH556" s="26"/>
      <c r="AI556" s="26"/>
      <c r="AJ556" s="26"/>
      <c r="AK556" s="26"/>
      <c r="AL556" s="26"/>
      <c r="AM556" s="26"/>
      <c r="AN556" s="26"/>
      <c r="AO556" s="26"/>
      <c r="AP556" s="26"/>
      <c r="AQ556" s="26"/>
      <c r="AR556" s="26"/>
      <c r="AS556" s="26"/>
      <c r="AT556" s="26"/>
      <c r="AU556" s="26"/>
      <c r="AV556" s="26"/>
      <c r="AW556" s="26"/>
      <c r="AX556" s="26"/>
      <c r="AY556" s="26"/>
      <c r="AZ556" s="26"/>
      <c r="BA556" s="26"/>
      <c r="BB556" s="26"/>
      <c r="BC556" s="26"/>
      <c r="BD556" s="26"/>
      <c r="BE556" s="26"/>
      <c r="BF556" s="26"/>
      <c r="BG556" s="26"/>
      <c r="BH556" s="26"/>
      <c r="BI556" s="26"/>
      <c r="BJ556" s="26"/>
      <c r="BK556" s="26"/>
    </row>
    <row r="557" ht="14.25" customHeight="1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  <c r="AC557" s="26"/>
      <c r="AD557" s="26"/>
      <c r="AE557" s="26"/>
      <c r="AF557" s="26"/>
      <c r="AG557" s="26"/>
      <c r="AH557" s="26"/>
      <c r="AI557" s="26"/>
      <c r="AJ557" s="26"/>
      <c r="AK557" s="26"/>
      <c r="AL557" s="26"/>
      <c r="AM557" s="26"/>
      <c r="AN557" s="26"/>
      <c r="AO557" s="26"/>
      <c r="AP557" s="26"/>
      <c r="AQ557" s="26"/>
      <c r="AR557" s="26"/>
      <c r="AS557" s="26"/>
      <c r="AT557" s="26"/>
      <c r="AU557" s="26"/>
      <c r="AV557" s="26"/>
      <c r="AW557" s="26"/>
      <c r="AX557" s="26"/>
      <c r="AY557" s="26"/>
      <c r="AZ557" s="26"/>
      <c r="BA557" s="26"/>
      <c r="BB557" s="26"/>
      <c r="BC557" s="26"/>
      <c r="BD557" s="26"/>
      <c r="BE557" s="26"/>
      <c r="BF557" s="26"/>
      <c r="BG557" s="26"/>
      <c r="BH557" s="26"/>
      <c r="BI557" s="26"/>
      <c r="BJ557" s="26"/>
      <c r="BK557" s="26"/>
    </row>
    <row r="558" ht="14.25" customHeight="1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  <c r="AC558" s="26"/>
      <c r="AD558" s="26"/>
      <c r="AE558" s="26"/>
      <c r="AF558" s="26"/>
      <c r="AG558" s="26"/>
      <c r="AH558" s="26"/>
      <c r="AI558" s="26"/>
      <c r="AJ558" s="26"/>
      <c r="AK558" s="26"/>
      <c r="AL558" s="26"/>
      <c r="AM558" s="26"/>
      <c r="AN558" s="26"/>
      <c r="AO558" s="26"/>
      <c r="AP558" s="26"/>
      <c r="AQ558" s="26"/>
      <c r="AR558" s="26"/>
      <c r="AS558" s="26"/>
      <c r="AT558" s="26"/>
      <c r="AU558" s="26"/>
      <c r="AV558" s="26"/>
      <c r="AW558" s="26"/>
      <c r="AX558" s="26"/>
      <c r="AY558" s="26"/>
      <c r="AZ558" s="26"/>
      <c r="BA558" s="26"/>
      <c r="BB558" s="26"/>
      <c r="BC558" s="26"/>
      <c r="BD558" s="26"/>
      <c r="BE558" s="26"/>
      <c r="BF558" s="26"/>
      <c r="BG558" s="26"/>
      <c r="BH558" s="26"/>
      <c r="BI558" s="26"/>
      <c r="BJ558" s="26"/>
      <c r="BK558" s="26"/>
    </row>
    <row r="559" ht="14.25" customHeight="1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  <c r="AB559" s="26"/>
      <c r="AC559" s="26"/>
      <c r="AD559" s="26"/>
      <c r="AE559" s="26"/>
      <c r="AF559" s="26"/>
      <c r="AG559" s="26"/>
      <c r="AH559" s="26"/>
      <c r="AI559" s="26"/>
      <c r="AJ559" s="26"/>
      <c r="AK559" s="26"/>
      <c r="AL559" s="26"/>
      <c r="AM559" s="26"/>
      <c r="AN559" s="26"/>
      <c r="AO559" s="26"/>
      <c r="AP559" s="26"/>
      <c r="AQ559" s="26"/>
      <c r="AR559" s="26"/>
      <c r="AS559" s="26"/>
      <c r="AT559" s="26"/>
      <c r="AU559" s="26"/>
      <c r="AV559" s="26"/>
      <c r="AW559" s="26"/>
      <c r="AX559" s="26"/>
      <c r="AY559" s="26"/>
      <c r="AZ559" s="26"/>
      <c r="BA559" s="26"/>
      <c r="BB559" s="26"/>
      <c r="BC559" s="26"/>
      <c r="BD559" s="26"/>
      <c r="BE559" s="26"/>
      <c r="BF559" s="26"/>
      <c r="BG559" s="26"/>
      <c r="BH559" s="26"/>
      <c r="BI559" s="26"/>
      <c r="BJ559" s="26"/>
      <c r="BK559" s="26"/>
    </row>
    <row r="560" ht="14.25" customHeight="1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  <c r="AC560" s="26"/>
      <c r="AD560" s="26"/>
      <c r="AE560" s="26"/>
      <c r="AF560" s="26"/>
      <c r="AG560" s="26"/>
      <c r="AH560" s="26"/>
      <c r="AI560" s="26"/>
      <c r="AJ560" s="26"/>
      <c r="AK560" s="26"/>
      <c r="AL560" s="26"/>
      <c r="AM560" s="26"/>
      <c r="AN560" s="26"/>
      <c r="AO560" s="26"/>
      <c r="AP560" s="26"/>
      <c r="AQ560" s="26"/>
      <c r="AR560" s="26"/>
      <c r="AS560" s="26"/>
      <c r="AT560" s="26"/>
      <c r="AU560" s="26"/>
      <c r="AV560" s="26"/>
      <c r="AW560" s="26"/>
      <c r="AX560" s="26"/>
      <c r="AY560" s="26"/>
      <c r="AZ560" s="26"/>
      <c r="BA560" s="26"/>
      <c r="BB560" s="26"/>
      <c r="BC560" s="26"/>
      <c r="BD560" s="26"/>
      <c r="BE560" s="26"/>
      <c r="BF560" s="26"/>
      <c r="BG560" s="26"/>
      <c r="BH560" s="26"/>
      <c r="BI560" s="26"/>
      <c r="BJ560" s="26"/>
      <c r="BK560" s="26"/>
    </row>
    <row r="561" ht="14.25" customHeight="1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  <c r="AC561" s="26"/>
      <c r="AD561" s="26"/>
      <c r="AE561" s="26"/>
      <c r="AF561" s="26"/>
      <c r="AG561" s="26"/>
      <c r="AH561" s="26"/>
      <c r="AI561" s="26"/>
      <c r="AJ561" s="26"/>
      <c r="AK561" s="26"/>
      <c r="AL561" s="26"/>
      <c r="AM561" s="26"/>
      <c r="AN561" s="26"/>
      <c r="AO561" s="26"/>
      <c r="AP561" s="26"/>
      <c r="AQ561" s="26"/>
      <c r="AR561" s="26"/>
      <c r="AS561" s="26"/>
      <c r="AT561" s="26"/>
      <c r="AU561" s="26"/>
      <c r="AV561" s="26"/>
      <c r="AW561" s="26"/>
      <c r="AX561" s="26"/>
      <c r="AY561" s="26"/>
      <c r="AZ561" s="26"/>
      <c r="BA561" s="26"/>
      <c r="BB561" s="26"/>
      <c r="BC561" s="26"/>
      <c r="BD561" s="26"/>
      <c r="BE561" s="26"/>
      <c r="BF561" s="26"/>
      <c r="BG561" s="26"/>
      <c r="BH561" s="26"/>
      <c r="BI561" s="26"/>
      <c r="BJ561" s="26"/>
      <c r="BK561" s="26"/>
    </row>
    <row r="562" ht="14.25" customHeight="1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  <c r="AC562" s="26"/>
      <c r="AD562" s="26"/>
      <c r="AE562" s="26"/>
      <c r="AF562" s="26"/>
      <c r="AG562" s="26"/>
      <c r="AH562" s="26"/>
      <c r="AI562" s="26"/>
      <c r="AJ562" s="26"/>
      <c r="AK562" s="26"/>
      <c r="AL562" s="26"/>
      <c r="AM562" s="26"/>
      <c r="AN562" s="26"/>
      <c r="AO562" s="26"/>
      <c r="AP562" s="26"/>
      <c r="AQ562" s="26"/>
      <c r="AR562" s="26"/>
      <c r="AS562" s="26"/>
      <c r="AT562" s="26"/>
      <c r="AU562" s="26"/>
      <c r="AV562" s="26"/>
      <c r="AW562" s="26"/>
      <c r="AX562" s="26"/>
      <c r="AY562" s="26"/>
      <c r="AZ562" s="26"/>
      <c r="BA562" s="26"/>
      <c r="BB562" s="26"/>
      <c r="BC562" s="26"/>
      <c r="BD562" s="26"/>
      <c r="BE562" s="26"/>
      <c r="BF562" s="26"/>
      <c r="BG562" s="26"/>
      <c r="BH562" s="26"/>
      <c r="BI562" s="26"/>
      <c r="BJ562" s="26"/>
      <c r="BK562" s="26"/>
    </row>
    <row r="563" ht="14.25" customHeight="1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  <c r="AC563" s="26"/>
      <c r="AD563" s="26"/>
      <c r="AE563" s="26"/>
      <c r="AF563" s="26"/>
      <c r="AG563" s="26"/>
      <c r="AH563" s="26"/>
      <c r="AI563" s="26"/>
      <c r="AJ563" s="26"/>
      <c r="AK563" s="26"/>
      <c r="AL563" s="26"/>
      <c r="AM563" s="26"/>
      <c r="AN563" s="26"/>
      <c r="AO563" s="26"/>
      <c r="AP563" s="26"/>
      <c r="AQ563" s="26"/>
      <c r="AR563" s="26"/>
      <c r="AS563" s="26"/>
      <c r="AT563" s="26"/>
      <c r="AU563" s="26"/>
      <c r="AV563" s="26"/>
      <c r="AW563" s="26"/>
      <c r="AX563" s="26"/>
      <c r="AY563" s="26"/>
      <c r="AZ563" s="26"/>
      <c r="BA563" s="26"/>
      <c r="BB563" s="26"/>
      <c r="BC563" s="26"/>
      <c r="BD563" s="26"/>
      <c r="BE563" s="26"/>
      <c r="BF563" s="26"/>
      <c r="BG563" s="26"/>
      <c r="BH563" s="26"/>
      <c r="BI563" s="26"/>
      <c r="BJ563" s="26"/>
      <c r="BK563" s="26"/>
    </row>
    <row r="564" ht="14.25" customHeight="1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  <c r="AC564" s="26"/>
      <c r="AD564" s="26"/>
      <c r="AE564" s="26"/>
      <c r="AF564" s="26"/>
      <c r="AG564" s="26"/>
      <c r="AH564" s="26"/>
      <c r="AI564" s="26"/>
      <c r="AJ564" s="26"/>
      <c r="AK564" s="26"/>
      <c r="AL564" s="26"/>
      <c r="AM564" s="26"/>
      <c r="AN564" s="26"/>
      <c r="AO564" s="26"/>
      <c r="AP564" s="26"/>
      <c r="AQ564" s="26"/>
      <c r="AR564" s="26"/>
      <c r="AS564" s="26"/>
      <c r="AT564" s="26"/>
      <c r="AU564" s="26"/>
      <c r="AV564" s="26"/>
      <c r="AW564" s="26"/>
      <c r="AX564" s="26"/>
      <c r="AY564" s="26"/>
      <c r="AZ564" s="26"/>
      <c r="BA564" s="26"/>
      <c r="BB564" s="26"/>
      <c r="BC564" s="26"/>
      <c r="BD564" s="26"/>
      <c r="BE564" s="26"/>
      <c r="BF564" s="26"/>
      <c r="BG564" s="26"/>
      <c r="BH564" s="26"/>
      <c r="BI564" s="26"/>
      <c r="BJ564" s="26"/>
      <c r="BK564" s="26"/>
    </row>
    <row r="565" ht="14.25" customHeight="1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  <c r="AC565" s="26"/>
      <c r="AD565" s="26"/>
      <c r="AE565" s="26"/>
      <c r="AF565" s="26"/>
      <c r="AG565" s="26"/>
      <c r="AH565" s="26"/>
      <c r="AI565" s="26"/>
      <c r="AJ565" s="26"/>
      <c r="AK565" s="26"/>
      <c r="AL565" s="26"/>
      <c r="AM565" s="26"/>
      <c r="AN565" s="26"/>
      <c r="AO565" s="26"/>
      <c r="AP565" s="26"/>
      <c r="AQ565" s="26"/>
      <c r="AR565" s="26"/>
      <c r="AS565" s="26"/>
      <c r="AT565" s="26"/>
      <c r="AU565" s="26"/>
      <c r="AV565" s="26"/>
      <c r="AW565" s="26"/>
      <c r="AX565" s="26"/>
      <c r="AY565" s="26"/>
      <c r="AZ565" s="26"/>
      <c r="BA565" s="26"/>
      <c r="BB565" s="26"/>
      <c r="BC565" s="26"/>
      <c r="BD565" s="26"/>
      <c r="BE565" s="26"/>
      <c r="BF565" s="26"/>
      <c r="BG565" s="26"/>
      <c r="BH565" s="26"/>
      <c r="BI565" s="26"/>
      <c r="BJ565" s="26"/>
      <c r="BK565" s="26"/>
    </row>
    <row r="566" ht="14.25" customHeight="1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  <c r="AC566" s="26"/>
      <c r="AD566" s="26"/>
      <c r="AE566" s="26"/>
      <c r="AF566" s="26"/>
      <c r="AG566" s="26"/>
      <c r="AH566" s="26"/>
      <c r="AI566" s="26"/>
      <c r="AJ566" s="26"/>
      <c r="AK566" s="26"/>
      <c r="AL566" s="26"/>
      <c r="AM566" s="26"/>
      <c r="AN566" s="26"/>
      <c r="AO566" s="26"/>
      <c r="AP566" s="26"/>
      <c r="AQ566" s="26"/>
      <c r="AR566" s="26"/>
      <c r="AS566" s="26"/>
      <c r="AT566" s="26"/>
      <c r="AU566" s="26"/>
      <c r="AV566" s="26"/>
      <c r="AW566" s="26"/>
      <c r="AX566" s="26"/>
      <c r="AY566" s="26"/>
      <c r="AZ566" s="26"/>
      <c r="BA566" s="26"/>
      <c r="BB566" s="26"/>
      <c r="BC566" s="26"/>
      <c r="BD566" s="26"/>
      <c r="BE566" s="26"/>
      <c r="BF566" s="26"/>
      <c r="BG566" s="26"/>
      <c r="BH566" s="26"/>
      <c r="BI566" s="26"/>
      <c r="BJ566" s="26"/>
      <c r="BK566" s="26"/>
    </row>
    <row r="567" ht="14.25" customHeight="1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26"/>
      <c r="AB567" s="26"/>
      <c r="AC567" s="26"/>
      <c r="AD567" s="26"/>
      <c r="AE567" s="26"/>
      <c r="AF567" s="26"/>
      <c r="AG567" s="26"/>
      <c r="AH567" s="26"/>
      <c r="AI567" s="26"/>
      <c r="AJ567" s="26"/>
      <c r="AK567" s="26"/>
      <c r="AL567" s="26"/>
      <c r="AM567" s="26"/>
      <c r="AN567" s="26"/>
      <c r="AO567" s="26"/>
      <c r="AP567" s="26"/>
      <c r="AQ567" s="26"/>
      <c r="AR567" s="26"/>
      <c r="AS567" s="26"/>
      <c r="AT567" s="26"/>
      <c r="AU567" s="26"/>
      <c r="AV567" s="26"/>
      <c r="AW567" s="26"/>
      <c r="AX567" s="26"/>
      <c r="AY567" s="26"/>
      <c r="AZ567" s="26"/>
      <c r="BA567" s="26"/>
      <c r="BB567" s="26"/>
      <c r="BC567" s="26"/>
      <c r="BD567" s="26"/>
      <c r="BE567" s="26"/>
      <c r="BF567" s="26"/>
      <c r="BG567" s="26"/>
      <c r="BH567" s="26"/>
      <c r="BI567" s="26"/>
      <c r="BJ567" s="26"/>
      <c r="BK567" s="26"/>
    </row>
    <row r="568" ht="14.25" customHeight="1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  <c r="AC568" s="26"/>
      <c r="AD568" s="26"/>
      <c r="AE568" s="26"/>
      <c r="AF568" s="26"/>
      <c r="AG568" s="26"/>
      <c r="AH568" s="26"/>
      <c r="AI568" s="26"/>
      <c r="AJ568" s="26"/>
      <c r="AK568" s="26"/>
      <c r="AL568" s="26"/>
      <c r="AM568" s="26"/>
      <c r="AN568" s="26"/>
      <c r="AO568" s="26"/>
      <c r="AP568" s="26"/>
      <c r="AQ568" s="26"/>
      <c r="AR568" s="26"/>
      <c r="AS568" s="26"/>
      <c r="AT568" s="26"/>
      <c r="AU568" s="26"/>
      <c r="AV568" s="26"/>
      <c r="AW568" s="26"/>
      <c r="AX568" s="26"/>
      <c r="AY568" s="26"/>
      <c r="AZ568" s="26"/>
      <c r="BA568" s="26"/>
      <c r="BB568" s="26"/>
      <c r="BC568" s="26"/>
      <c r="BD568" s="26"/>
      <c r="BE568" s="26"/>
      <c r="BF568" s="26"/>
      <c r="BG568" s="26"/>
      <c r="BH568" s="26"/>
      <c r="BI568" s="26"/>
      <c r="BJ568" s="26"/>
      <c r="BK568" s="26"/>
    </row>
    <row r="569" ht="14.25" customHeight="1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A569" s="26"/>
      <c r="AB569" s="26"/>
      <c r="AC569" s="26"/>
      <c r="AD569" s="26"/>
      <c r="AE569" s="26"/>
      <c r="AF569" s="26"/>
      <c r="AG569" s="26"/>
      <c r="AH569" s="26"/>
      <c r="AI569" s="26"/>
      <c r="AJ569" s="26"/>
      <c r="AK569" s="26"/>
      <c r="AL569" s="26"/>
      <c r="AM569" s="26"/>
      <c r="AN569" s="26"/>
      <c r="AO569" s="26"/>
      <c r="AP569" s="26"/>
      <c r="AQ569" s="26"/>
      <c r="AR569" s="26"/>
      <c r="AS569" s="26"/>
      <c r="AT569" s="26"/>
      <c r="AU569" s="26"/>
      <c r="AV569" s="26"/>
      <c r="AW569" s="26"/>
      <c r="AX569" s="26"/>
      <c r="AY569" s="26"/>
      <c r="AZ569" s="26"/>
      <c r="BA569" s="26"/>
      <c r="BB569" s="26"/>
      <c r="BC569" s="26"/>
      <c r="BD569" s="26"/>
      <c r="BE569" s="26"/>
      <c r="BF569" s="26"/>
      <c r="BG569" s="26"/>
      <c r="BH569" s="26"/>
      <c r="BI569" s="26"/>
      <c r="BJ569" s="26"/>
      <c r="BK569" s="26"/>
    </row>
    <row r="570" ht="14.25" customHeight="1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  <c r="AC570" s="26"/>
      <c r="AD570" s="26"/>
      <c r="AE570" s="26"/>
      <c r="AF570" s="26"/>
      <c r="AG570" s="26"/>
      <c r="AH570" s="26"/>
      <c r="AI570" s="26"/>
      <c r="AJ570" s="26"/>
      <c r="AK570" s="26"/>
      <c r="AL570" s="26"/>
      <c r="AM570" s="26"/>
      <c r="AN570" s="26"/>
      <c r="AO570" s="26"/>
      <c r="AP570" s="26"/>
      <c r="AQ570" s="26"/>
      <c r="AR570" s="26"/>
      <c r="AS570" s="26"/>
      <c r="AT570" s="26"/>
      <c r="AU570" s="26"/>
      <c r="AV570" s="26"/>
      <c r="AW570" s="26"/>
      <c r="AX570" s="26"/>
      <c r="AY570" s="26"/>
      <c r="AZ570" s="26"/>
      <c r="BA570" s="26"/>
      <c r="BB570" s="26"/>
      <c r="BC570" s="26"/>
      <c r="BD570" s="26"/>
      <c r="BE570" s="26"/>
      <c r="BF570" s="26"/>
      <c r="BG570" s="26"/>
      <c r="BH570" s="26"/>
      <c r="BI570" s="26"/>
      <c r="BJ570" s="26"/>
      <c r="BK570" s="26"/>
    </row>
    <row r="571" ht="14.25" customHeight="1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  <c r="AC571" s="26"/>
      <c r="AD571" s="26"/>
      <c r="AE571" s="26"/>
      <c r="AF571" s="26"/>
      <c r="AG571" s="26"/>
      <c r="AH571" s="26"/>
      <c r="AI571" s="26"/>
      <c r="AJ571" s="26"/>
      <c r="AK571" s="26"/>
      <c r="AL571" s="26"/>
      <c r="AM571" s="26"/>
      <c r="AN571" s="26"/>
      <c r="AO571" s="26"/>
      <c r="AP571" s="26"/>
      <c r="AQ571" s="26"/>
      <c r="AR571" s="26"/>
      <c r="AS571" s="26"/>
      <c r="AT571" s="26"/>
      <c r="AU571" s="26"/>
      <c r="AV571" s="26"/>
      <c r="AW571" s="26"/>
      <c r="AX571" s="26"/>
      <c r="AY571" s="26"/>
      <c r="AZ571" s="26"/>
      <c r="BA571" s="26"/>
      <c r="BB571" s="26"/>
      <c r="BC571" s="26"/>
      <c r="BD571" s="26"/>
      <c r="BE571" s="26"/>
      <c r="BF571" s="26"/>
      <c r="BG571" s="26"/>
      <c r="BH571" s="26"/>
      <c r="BI571" s="26"/>
      <c r="BJ571" s="26"/>
      <c r="BK571" s="26"/>
    </row>
    <row r="572" ht="14.25" customHeight="1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  <c r="AC572" s="26"/>
      <c r="AD572" s="26"/>
      <c r="AE572" s="26"/>
      <c r="AF572" s="26"/>
      <c r="AG572" s="26"/>
      <c r="AH572" s="26"/>
      <c r="AI572" s="26"/>
      <c r="AJ572" s="26"/>
      <c r="AK572" s="26"/>
      <c r="AL572" s="26"/>
      <c r="AM572" s="26"/>
      <c r="AN572" s="26"/>
      <c r="AO572" s="26"/>
      <c r="AP572" s="26"/>
      <c r="AQ572" s="26"/>
      <c r="AR572" s="26"/>
      <c r="AS572" s="26"/>
      <c r="AT572" s="26"/>
      <c r="AU572" s="26"/>
      <c r="AV572" s="26"/>
      <c r="AW572" s="26"/>
      <c r="AX572" s="26"/>
      <c r="AY572" s="26"/>
      <c r="AZ572" s="26"/>
      <c r="BA572" s="26"/>
      <c r="BB572" s="26"/>
      <c r="BC572" s="26"/>
      <c r="BD572" s="26"/>
      <c r="BE572" s="26"/>
      <c r="BF572" s="26"/>
      <c r="BG572" s="26"/>
      <c r="BH572" s="26"/>
      <c r="BI572" s="26"/>
      <c r="BJ572" s="26"/>
      <c r="BK572" s="26"/>
    </row>
    <row r="573" ht="14.25" customHeight="1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26"/>
      <c r="AB573" s="26"/>
      <c r="AC573" s="26"/>
      <c r="AD573" s="26"/>
      <c r="AE573" s="26"/>
      <c r="AF573" s="26"/>
      <c r="AG573" s="26"/>
      <c r="AH573" s="26"/>
      <c r="AI573" s="26"/>
      <c r="AJ573" s="26"/>
      <c r="AK573" s="26"/>
      <c r="AL573" s="26"/>
      <c r="AM573" s="26"/>
      <c r="AN573" s="26"/>
      <c r="AO573" s="26"/>
      <c r="AP573" s="26"/>
      <c r="AQ573" s="26"/>
      <c r="AR573" s="26"/>
      <c r="AS573" s="26"/>
      <c r="AT573" s="26"/>
      <c r="AU573" s="26"/>
      <c r="AV573" s="26"/>
      <c r="AW573" s="26"/>
      <c r="AX573" s="26"/>
      <c r="AY573" s="26"/>
      <c r="AZ573" s="26"/>
      <c r="BA573" s="26"/>
      <c r="BB573" s="26"/>
      <c r="BC573" s="26"/>
      <c r="BD573" s="26"/>
      <c r="BE573" s="26"/>
      <c r="BF573" s="26"/>
      <c r="BG573" s="26"/>
      <c r="BH573" s="26"/>
      <c r="BI573" s="26"/>
      <c r="BJ573" s="26"/>
      <c r="BK573" s="26"/>
    </row>
    <row r="574" ht="14.25" customHeight="1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  <c r="AC574" s="26"/>
      <c r="AD574" s="26"/>
      <c r="AE574" s="26"/>
      <c r="AF574" s="26"/>
      <c r="AG574" s="26"/>
      <c r="AH574" s="26"/>
      <c r="AI574" s="26"/>
      <c r="AJ574" s="26"/>
      <c r="AK574" s="26"/>
      <c r="AL574" s="26"/>
      <c r="AM574" s="26"/>
      <c r="AN574" s="26"/>
      <c r="AO574" s="26"/>
      <c r="AP574" s="26"/>
      <c r="AQ574" s="26"/>
      <c r="AR574" s="26"/>
      <c r="AS574" s="26"/>
      <c r="AT574" s="26"/>
      <c r="AU574" s="26"/>
      <c r="AV574" s="26"/>
      <c r="AW574" s="26"/>
      <c r="AX574" s="26"/>
      <c r="AY574" s="26"/>
      <c r="AZ574" s="26"/>
      <c r="BA574" s="26"/>
      <c r="BB574" s="26"/>
      <c r="BC574" s="26"/>
      <c r="BD574" s="26"/>
      <c r="BE574" s="26"/>
      <c r="BF574" s="26"/>
      <c r="BG574" s="26"/>
      <c r="BH574" s="26"/>
      <c r="BI574" s="26"/>
      <c r="BJ574" s="26"/>
      <c r="BK574" s="26"/>
    </row>
    <row r="575" ht="14.25" customHeight="1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26"/>
      <c r="AB575" s="26"/>
      <c r="AC575" s="26"/>
      <c r="AD575" s="26"/>
      <c r="AE575" s="26"/>
      <c r="AF575" s="26"/>
      <c r="AG575" s="26"/>
      <c r="AH575" s="26"/>
      <c r="AI575" s="26"/>
      <c r="AJ575" s="26"/>
      <c r="AK575" s="26"/>
      <c r="AL575" s="26"/>
      <c r="AM575" s="26"/>
      <c r="AN575" s="26"/>
      <c r="AO575" s="26"/>
      <c r="AP575" s="26"/>
      <c r="AQ575" s="26"/>
      <c r="AR575" s="26"/>
      <c r="AS575" s="26"/>
      <c r="AT575" s="26"/>
      <c r="AU575" s="26"/>
      <c r="AV575" s="26"/>
      <c r="AW575" s="26"/>
      <c r="AX575" s="26"/>
      <c r="AY575" s="26"/>
      <c r="AZ575" s="26"/>
      <c r="BA575" s="26"/>
      <c r="BB575" s="26"/>
      <c r="BC575" s="26"/>
      <c r="BD575" s="26"/>
      <c r="BE575" s="26"/>
      <c r="BF575" s="26"/>
      <c r="BG575" s="26"/>
      <c r="BH575" s="26"/>
      <c r="BI575" s="26"/>
      <c r="BJ575" s="26"/>
      <c r="BK575" s="26"/>
    </row>
    <row r="576" ht="14.25" customHeight="1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  <c r="AC576" s="26"/>
      <c r="AD576" s="26"/>
      <c r="AE576" s="26"/>
      <c r="AF576" s="26"/>
      <c r="AG576" s="26"/>
      <c r="AH576" s="26"/>
      <c r="AI576" s="26"/>
      <c r="AJ576" s="26"/>
      <c r="AK576" s="26"/>
      <c r="AL576" s="26"/>
      <c r="AM576" s="26"/>
      <c r="AN576" s="26"/>
      <c r="AO576" s="26"/>
      <c r="AP576" s="26"/>
      <c r="AQ576" s="26"/>
      <c r="AR576" s="26"/>
      <c r="AS576" s="26"/>
      <c r="AT576" s="26"/>
      <c r="AU576" s="26"/>
      <c r="AV576" s="26"/>
      <c r="AW576" s="26"/>
      <c r="AX576" s="26"/>
      <c r="AY576" s="26"/>
      <c r="AZ576" s="26"/>
      <c r="BA576" s="26"/>
      <c r="BB576" s="26"/>
      <c r="BC576" s="26"/>
      <c r="BD576" s="26"/>
      <c r="BE576" s="26"/>
      <c r="BF576" s="26"/>
      <c r="BG576" s="26"/>
      <c r="BH576" s="26"/>
      <c r="BI576" s="26"/>
      <c r="BJ576" s="26"/>
      <c r="BK576" s="26"/>
    </row>
    <row r="577" ht="14.25" customHeight="1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  <c r="AA577" s="26"/>
      <c r="AB577" s="26"/>
      <c r="AC577" s="26"/>
      <c r="AD577" s="26"/>
      <c r="AE577" s="26"/>
      <c r="AF577" s="26"/>
      <c r="AG577" s="26"/>
      <c r="AH577" s="26"/>
      <c r="AI577" s="26"/>
      <c r="AJ577" s="26"/>
      <c r="AK577" s="26"/>
      <c r="AL577" s="26"/>
      <c r="AM577" s="26"/>
      <c r="AN577" s="26"/>
      <c r="AO577" s="26"/>
      <c r="AP577" s="26"/>
      <c r="AQ577" s="26"/>
      <c r="AR577" s="26"/>
      <c r="AS577" s="26"/>
      <c r="AT577" s="26"/>
      <c r="AU577" s="26"/>
      <c r="AV577" s="26"/>
      <c r="AW577" s="26"/>
      <c r="AX577" s="26"/>
      <c r="AY577" s="26"/>
      <c r="AZ577" s="26"/>
      <c r="BA577" s="26"/>
      <c r="BB577" s="26"/>
      <c r="BC577" s="26"/>
      <c r="BD577" s="26"/>
      <c r="BE577" s="26"/>
      <c r="BF577" s="26"/>
      <c r="BG577" s="26"/>
      <c r="BH577" s="26"/>
      <c r="BI577" s="26"/>
      <c r="BJ577" s="26"/>
      <c r="BK577" s="26"/>
    </row>
    <row r="578" ht="14.25" customHeight="1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  <c r="AC578" s="26"/>
      <c r="AD578" s="26"/>
      <c r="AE578" s="26"/>
      <c r="AF578" s="26"/>
      <c r="AG578" s="26"/>
      <c r="AH578" s="26"/>
      <c r="AI578" s="26"/>
      <c r="AJ578" s="26"/>
      <c r="AK578" s="26"/>
      <c r="AL578" s="26"/>
      <c r="AM578" s="26"/>
      <c r="AN578" s="26"/>
      <c r="AO578" s="26"/>
      <c r="AP578" s="26"/>
      <c r="AQ578" s="26"/>
      <c r="AR578" s="26"/>
      <c r="AS578" s="26"/>
      <c r="AT578" s="26"/>
      <c r="AU578" s="26"/>
      <c r="AV578" s="26"/>
      <c r="AW578" s="26"/>
      <c r="AX578" s="26"/>
      <c r="AY578" s="26"/>
      <c r="AZ578" s="26"/>
      <c r="BA578" s="26"/>
      <c r="BB578" s="26"/>
      <c r="BC578" s="26"/>
      <c r="BD578" s="26"/>
      <c r="BE578" s="26"/>
      <c r="BF578" s="26"/>
      <c r="BG578" s="26"/>
      <c r="BH578" s="26"/>
      <c r="BI578" s="26"/>
      <c r="BJ578" s="26"/>
      <c r="BK578" s="26"/>
    </row>
    <row r="579" ht="14.25" customHeight="1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  <c r="AC579" s="26"/>
      <c r="AD579" s="26"/>
      <c r="AE579" s="26"/>
      <c r="AF579" s="26"/>
      <c r="AG579" s="26"/>
      <c r="AH579" s="26"/>
      <c r="AI579" s="26"/>
      <c r="AJ579" s="26"/>
      <c r="AK579" s="26"/>
      <c r="AL579" s="26"/>
      <c r="AM579" s="26"/>
      <c r="AN579" s="26"/>
      <c r="AO579" s="26"/>
      <c r="AP579" s="26"/>
      <c r="AQ579" s="26"/>
      <c r="AR579" s="26"/>
      <c r="AS579" s="26"/>
      <c r="AT579" s="26"/>
      <c r="AU579" s="26"/>
      <c r="AV579" s="26"/>
      <c r="AW579" s="26"/>
      <c r="AX579" s="26"/>
      <c r="AY579" s="26"/>
      <c r="AZ579" s="26"/>
      <c r="BA579" s="26"/>
      <c r="BB579" s="26"/>
      <c r="BC579" s="26"/>
      <c r="BD579" s="26"/>
      <c r="BE579" s="26"/>
      <c r="BF579" s="26"/>
      <c r="BG579" s="26"/>
      <c r="BH579" s="26"/>
      <c r="BI579" s="26"/>
      <c r="BJ579" s="26"/>
      <c r="BK579" s="26"/>
    </row>
    <row r="580" ht="14.25" customHeight="1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  <c r="AC580" s="26"/>
      <c r="AD580" s="26"/>
      <c r="AE580" s="26"/>
      <c r="AF580" s="26"/>
      <c r="AG580" s="26"/>
      <c r="AH580" s="26"/>
      <c r="AI580" s="26"/>
      <c r="AJ580" s="26"/>
      <c r="AK580" s="26"/>
      <c r="AL580" s="26"/>
      <c r="AM580" s="26"/>
      <c r="AN580" s="26"/>
      <c r="AO580" s="26"/>
      <c r="AP580" s="26"/>
      <c r="AQ580" s="26"/>
      <c r="AR580" s="26"/>
      <c r="AS580" s="26"/>
      <c r="AT580" s="26"/>
      <c r="AU580" s="26"/>
      <c r="AV580" s="26"/>
      <c r="AW580" s="26"/>
      <c r="AX580" s="26"/>
      <c r="AY580" s="26"/>
      <c r="AZ580" s="26"/>
      <c r="BA580" s="26"/>
      <c r="BB580" s="26"/>
      <c r="BC580" s="26"/>
      <c r="BD580" s="26"/>
      <c r="BE580" s="26"/>
      <c r="BF580" s="26"/>
      <c r="BG580" s="26"/>
      <c r="BH580" s="26"/>
      <c r="BI580" s="26"/>
      <c r="BJ580" s="26"/>
      <c r="BK580" s="26"/>
    </row>
    <row r="581" ht="14.25" customHeight="1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  <c r="AC581" s="26"/>
      <c r="AD581" s="26"/>
      <c r="AE581" s="26"/>
      <c r="AF581" s="26"/>
      <c r="AG581" s="26"/>
      <c r="AH581" s="26"/>
      <c r="AI581" s="26"/>
      <c r="AJ581" s="26"/>
      <c r="AK581" s="26"/>
      <c r="AL581" s="26"/>
      <c r="AM581" s="26"/>
      <c r="AN581" s="26"/>
      <c r="AO581" s="26"/>
      <c r="AP581" s="26"/>
      <c r="AQ581" s="26"/>
      <c r="AR581" s="26"/>
      <c r="AS581" s="26"/>
      <c r="AT581" s="26"/>
      <c r="AU581" s="26"/>
      <c r="AV581" s="26"/>
      <c r="AW581" s="26"/>
      <c r="AX581" s="26"/>
      <c r="AY581" s="26"/>
      <c r="AZ581" s="26"/>
      <c r="BA581" s="26"/>
      <c r="BB581" s="26"/>
      <c r="BC581" s="26"/>
      <c r="BD581" s="26"/>
      <c r="BE581" s="26"/>
      <c r="BF581" s="26"/>
      <c r="BG581" s="26"/>
      <c r="BH581" s="26"/>
      <c r="BI581" s="26"/>
      <c r="BJ581" s="26"/>
      <c r="BK581" s="26"/>
    </row>
    <row r="582" ht="14.25" customHeight="1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  <c r="AC582" s="26"/>
      <c r="AD582" s="26"/>
      <c r="AE582" s="26"/>
      <c r="AF582" s="26"/>
      <c r="AG582" s="26"/>
      <c r="AH582" s="26"/>
      <c r="AI582" s="26"/>
      <c r="AJ582" s="26"/>
      <c r="AK582" s="26"/>
      <c r="AL582" s="26"/>
      <c r="AM582" s="26"/>
      <c r="AN582" s="26"/>
      <c r="AO582" s="26"/>
      <c r="AP582" s="26"/>
      <c r="AQ582" s="26"/>
      <c r="AR582" s="26"/>
      <c r="AS582" s="26"/>
      <c r="AT582" s="26"/>
      <c r="AU582" s="26"/>
      <c r="AV582" s="26"/>
      <c r="AW582" s="26"/>
      <c r="AX582" s="26"/>
      <c r="AY582" s="26"/>
      <c r="AZ582" s="26"/>
      <c r="BA582" s="26"/>
      <c r="BB582" s="26"/>
      <c r="BC582" s="26"/>
      <c r="BD582" s="26"/>
      <c r="BE582" s="26"/>
      <c r="BF582" s="26"/>
      <c r="BG582" s="26"/>
      <c r="BH582" s="26"/>
      <c r="BI582" s="26"/>
      <c r="BJ582" s="26"/>
      <c r="BK582" s="26"/>
    </row>
    <row r="583" ht="14.25" customHeight="1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  <c r="AB583" s="26"/>
      <c r="AC583" s="26"/>
      <c r="AD583" s="26"/>
      <c r="AE583" s="26"/>
      <c r="AF583" s="26"/>
      <c r="AG583" s="26"/>
      <c r="AH583" s="26"/>
      <c r="AI583" s="26"/>
      <c r="AJ583" s="26"/>
      <c r="AK583" s="26"/>
      <c r="AL583" s="26"/>
      <c r="AM583" s="26"/>
      <c r="AN583" s="26"/>
      <c r="AO583" s="26"/>
      <c r="AP583" s="26"/>
      <c r="AQ583" s="26"/>
      <c r="AR583" s="26"/>
      <c r="AS583" s="26"/>
      <c r="AT583" s="26"/>
      <c r="AU583" s="26"/>
      <c r="AV583" s="26"/>
      <c r="AW583" s="26"/>
      <c r="AX583" s="26"/>
      <c r="AY583" s="26"/>
      <c r="AZ583" s="26"/>
      <c r="BA583" s="26"/>
      <c r="BB583" s="26"/>
      <c r="BC583" s="26"/>
      <c r="BD583" s="26"/>
      <c r="BE583" s="26"/>
      <c r="BF583" s="26"/>
      <c r="BG583" s="26"/>
      <c r="BH583" s="26"/>
      <c r="BI583" s="26"/>
      <c r="BJ583" s="26"/>
      <c r="BK583" s="26"/>
    </row>
    <row r="584" ht="14.25" customHeight="1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  <c r="AC584" s="26"/>
      <c r="AD584" s="26"/>
      <c r="AE584" s="26"/>
      <c r="AF584" s="26"/>
      <c r="AG584" s="26"/>
      <c r="AH584" s="26"/>
      <c r="AI584" s="26"/>
      <c r="AJ584" s="26"/>
      <c r="AK584" s="26"/>
      <c r="AL584" s="26"/>
      <c r="AM584" s="26"/>
      <c r="AN584" s="26"/>
      <c r="AO584" s="26"/>
      <c r="AP584" s="26"/>
      <c r="AQ584" s="26"/>
      <c r="AR584" s="26"/>
      <c r="AS584" s="26"/>
      <c r="AT584" s="26"/>
      <c r="AU584" s="26"/>
      <c r="AV584" s="26"/>
      <c r="AW584" s="26"/>
      <c r="AX584" s="26"/>
      <c r="AY584" s="26"/>
      <c r="AZ584" s="26"/>
      <c r="BA584" s="26"/>
      <c r="BB584" s="26"/>
      <c r="BC584" s="26"/>
      <c r="BD584" s="26"/>
      <c r="BE584" s="26"/>
      <c r="BF584" s="26"/>
      <c r="BG584" s="26"/>
      <c r="BH584" s="26"/>
      <c r="BI584" s="26"/>
      <c r="BJ584" s="26"/>
      <c r="BK584" s="26"/>
    </row>
    <row r="585" ht="14.25" customHeight="1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/>
      <c r="AB585" s="26"/>
      <c r="AC585" s="26"/>
      <c r="AD585" s="26"/>
      <c r="AE585" s="26"/>
      <c r="AF585" s="26"/>
      <c r="AG585" s="26"/>
      <c r="AH585" s="26"/>
      <c r="AI585" s="26"/>
      <c r="AJ585" s="26"/>
      <c r="AK585" s="26"/>
      <c r="AL585" s="26"/>
      <c r="AM585" s="26"/>
      <c r="AN585" s="26"/>
      <c r="AO585" s="26"/>
      <c r="AP585" s="26"/>
      <c r="AQ585" s="26"/>
      <c r="AR585" s="26"/>
      <c r="AS585" s="26"/>
      <c r="AT585" s="26"/>
      <c r="AU585" s="26"/>
      <c r="AV585" s="26"/>
      <c r="AW585" s="26"/>
      <c r="AX585" s="26"/>
      <c r="AY585" s="26"/>
      <c r="AZ585" s="26"/>
      <c r="BA585" s="26"/>
      <c r="BB585" s="26"/>
      <c r="BC585" s="26"/>
      <c r="BD585" s="26"/>
      <c r="BE585" s="26"/>
      <c r="BF585" s="26"/>
      <c r="BG585" s="26"/>
      <c r="BH585" s="26"/>
      <c r="BI585" s="26"/>
      <c r="BJ585" s="26"/>
      <c r="BK585" s="26"/>
    </row>
    <row r="586" ht="14.25" customHeight="1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  <c r="AC586" s="26"/>
      <c r="AD586" s="26"/>
      <c r="AE586" s="26"/>
      <c r="AF586" s="26"/>
      <c r="AG586" s="26"/>
      <c r="AH586" s="26"/>
      <c r="AI586" s="26"/>
      <c r="AJ586" s="26"/>
      <c r="AK586" s="26"/>
      <c r="AL586" s="26"/>
      <c r="AM586" s="26"/>
      <c r="AN586" s="26"/>
      <c r="AO586" s="26"/>
      <c r="AP586" s="26"/>
      <c r="AQ586" s="26"/>
      <c r="AR586" s="26"/>
      <c r="AS586" s="26"/>
      <c r="AT586" s="26"/>
      <c r="AU586" s="26"/>
      <c r="AV586" s="26"/>
      <c r="AW586" s="26"/>
      <c r="AX586" s="26"/>
      <c r="AY586" s="26"/>
      <c r="AZ586" s="26"/>
      <c r="BA586" s="26"/>
      <c r="BB586" s="26"/>
      <c r="BC586" s="26"/>
      <c r="BD586" s="26"/>
      <c r="BE586" s="26"/>
      <c r="BF586" s="26"/>
      <c r="BG586" s="26"/>
      <c r="BH586" s="26"/>
      <c r="BI586" s="26"/>
      <c r="BJ586" s="26"/>
      <c r="BK586" s="26"/>
    </row>
    <row r="587" ht="14.25" customHeight="1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  <c r="AC587" s="26"/>
      <c r="AD587" s="26"/>
      <c r="AE587" s="26"/>
      <c r="AF587" s="26"/>
      <c r="AG587" s="26"/>
      <c r="AH587" s="26"/>
      <c r="AI587" s="26"/>
      <c r="AJ587" s="26"/>
      <c r="AK587" s="26"/>
      <c r="AL587" s="26"/>
      <c r="AM587" s="26"/>
      <c r="AN587" s="26"/>
      <c r="AO587" s="26"/>
      <c r="AP587" s="26"/>
      <c r="AQ587" s="26"/>
      <c r="AR587" s="26"/>
      <c r="AS587" s="26"/>
      <c r="AT587" s="26"/>
      <c r="AU587" s="26"/>
      <c r="AV587" s="26"/>
      <c r="AW587" s="26"/>
      <c r="AX587" s="26"/>
      <c r="AY587" s="26"/>
      <c r="AZ587" s="26"/>
      <c r="BA587" s="26"/>
      <c r="BB587" s="26"/>
      <c r="BC587" s="26"/>
      <c r="BD587" s="26"/>
      <c r="BE587" s="26"/>
      <c r="BF587" s="26"/>
      <c r="BG587" s="26"/>
      <c r="BH587" s="26"/>
      <c r="BI587" s="26"/>
      <c r="BJ587" s="26"/>
      <c r="BK587" s="26"/>
    </row>
    <row r="588" ht="14.25" customHeight="1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  <c r="AC588" s="26"/>
      <c r="AD588" s="26"/>
      <c r="AE588" s="26"/>
      <c r="AF588" s="26"/>
      <c r="AG588" s="26"/>
      <c r="AH588" s="26"/>
      <c r="AI588" s="26"/>
      <c r="AJ588" s="26"/>
      <c r="AK588" s="26"/>
      <c r="AL588" s="26"/>
      <c r="AM588" s="26"/>
      <c r="AN588" s="26"/>
      <c r="AO588" s="26"/>
      <c r="AP588" s="26"/>
      <c r="AQ588" s="26"/>
      <c r="AR588" s="26"/>
      <c r="AS588" s="26"/>
      <c r="AT588" s="26"/>
      <c r="AU588" s="26"/>
      <c r="AV588" s="26"/>
      <c r="AW588" s="26"/>
      <c r="AX588" s="26"/>
      <c r="AY588" s="26"/>
      <c r="AZ588" s="26"/>
      <c r="BA588" s="26"/>
      <c r="BB588" s="26"/>
      <c r="BC588" s="26"/>
      <c r="BD588" s="26"/>
      <c r="BE588" s="26"/>
      <c r="BF588" s="26"/>
      <c r="BG588" s="26"/>
      <c r="BH588" s="26"/>
      <c r="BI588" s="26"/>
      <c r="BJ588" s="26"/>
      <c r="BK588" s="26"/>
    </row>
    <row r="589" ht="14.25" customHeight="1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/>
      <c r="AB589" s="26"/>
      <c r="AC589" s="26"/>
      <c r="AD589" s="26"/>
      <c r="AE589" s="26"/>
      <c r="AF589" s="26"/>
      <c r="AG589" s="26"/>
      <c r="AH589" s="26"/>
      <c r="AI589" s="26"/>
      <c r="AJ589" s="26"/>
      <c r="AK589" s="26"/>
      <c r="AL589" s="26"/>
      <c r="AM589" s="26"/>
      <c r="AN589" s="26"/>
      <c r="AO589" s="26"/>
      <c r="AP589" s="26"/>
      <c r="AQ589" s="26"/>
      <c r="AR589" s="26"/>
      <c r="AS589" s="26"/>
      <c r="AT589" s="26"/>
      <c r="AU589" s="26"/>
      <c r="AV589" s="26"/>
      <c r="AW589" s="26"/>
      <c r="AX589" s="26"/>
      <c r="AY589" s="26"/>
      <c r="AZ589" s="26"/>
      <c r="BA589" s="26"/>
      <c r="BB589" s="26"/>
      <c r="BC589" s="26"/>
      <c r="BD589" s="26"/>
      <c r="BE589" s="26"/>
      <c r="BF589" s="26"/>
      <c r="BG589" s="26"/>
      <c r="BH589" s="26"/>
      <c r="BI589" s="26"/>
      <c r="BJ589" s="26"/>
      <c r="BK589" s="26"/>
    </row>
    <row r="590" ht="14.25" customHeight="1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  <c r="AC590" s="26"/>
      <c r="AD590" s="26"/>
      <c r="AE590" s="26"/>
      <c r="AF590" s="26"/>
      <c r="AG590" s="26"/>
      <c r="AH590" s="26"/>
      <c r="AI590" s="26"/>
      <c r="AJ590" s="26"/>
      <c r="AK590" s="26"/>
      <c r="AL590" s="26"/>
      <c r="AM590" s="26"/>
      <c r="AN590" s="26"/>
      <c r="AO590" s="26"/>
      <c r="AP590" s="26"/>
      <c r="AQ590" s="26"/>
      <c r="AR590" s="26"/>
      <c r="AS590" s="26"/>
      <c r="AT590" s="26"/>
      <c r="AU590" s="26"/>
      <c r="AV590" s="26"/>
      <c r="AW590" s="26"/>
      <c r="AX590" s="26"/>
      <c r="AY590" s="26"/>
      <c r="AZ590" s="26"/>
      <c r="BA590" s="26"/>
      <c r="BB590" s="26"/>
      <c r="BC590" s="26"/>
      <c r="BD590" s="26"/>
      <c r="BE590" s="26"/>
      <c r="BF590" s="26"/>
      <c r="BG590" s="26"/>
      <c r="BH590" s="26"/>
      <c r="BI590" s="26"/>
      <c r="BJ590" s="26"/>
      <c r="BK590" s="26"/>
    </row>
    <row r="591" ht="14.25" customHeight="1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  <c r="AB591" s="26"/>
      <c r="AC591" s="26"/>
      <c r="AD591" s="26"/>
      <c r="AE591" s="26"/>
      <c r="AF591" s="26"/>
      <c r="AG591" s="26"/>
      <c r="AH591" s="26"/>
      <c r="AI591" s="26"/>
      <c r="AJ591" s="26"/>
      <c r="AK591" s="26"/>
      <c r="AL591" s="26"/>
      <c r="AM591" s="26"/>
      <c r="AN591" s="26"/>
      <c r="AO591" s="26"/>
      <c r="AP591" s="26"/>
      <c r="AQ591" s="26"/>
      <c r="AR591" s="26"/>
      <c r="AS591" s="26"/>
      <c r="AT591" s="26"/>
      <c r="AU591" s="26"/>
      <c r="AV591" s="26"/>
      <c r="AW591" s="26"/>
      <c r="AX591" s="26"/>
      <c r="AY591" s="26"/>
      <c r="AZ591" s="26"/>
      <c r="BA591" s="26"/>
      <c r="BB591" s="26"/>
      <c r="BC591" s="26"/>
      <c r="BD591" s="26"/>
      <c r="BE591" s="26"/>
      <c r="BF591" s="26"/>
      <c r="BG591" s="26"/>
      <c r="BH591" s="26"/>
      <c r="BI591" s="26"/>
      <c r="BJ591" s="26"/>
      <c r="BK591" s="26"/>
    </row>
    <row r="592" ht="14.25" customHeight="1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  <c r="AC592" s="26"/>
      <c r="AD592" s="26"/>
      <c r="AE592" s="26"/>
      <c r="AF592" s="26"/>
      <c r="AG592" s="26"/>
      <c r="AH592" s="26"/>
      <c r="AI592" s="26"/>
      <c r="AJ592" s="26"/>
      <c r="AK592" s="26"/>
      <c r="AL592" s="26"/>
      <c r="AM592" s="26"/>
      <c r="AN592" s="26"/>
      <c r="AO592" s="26"/>
      <c r="AP592" s="26"/>
      <c r="AQ592" s="26"/>
      <c r="AR592" s="26"/>
      <c r="AS592" s="26"/>
      <c r="AT592" s="26"/>
      <c r="AU592" s="26"/>
      <c r="AV592" s="26"/>
      <c r="AW592" s="26"/>
      <c r="AX592" s="26"/>
      <c r="AY592" s="26"/>
      <c r="AZ592" s="26"/>
      <c r="BA592" s="26"/>
      <c r="BB592" s="26"/>
      <c r="BC592" s="26"/>
      <c r="BD592" s="26"/>
      <c r="BE592" s="26"/>
      <c r="BF592" s="26"/>
      <c r="BG592" s="26"/>
      <c r="BH592" s="26"/>
      <c r="BI592" s="26"/>
      <c r="BJ592" s="26"/>
      <c r="BK592" s="26"/>
    </row>
    <row r="593" ht="14.25" customHeight="1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26"/>
      <c r="AB593" s="26"/>
      <c r="AC593" s="26"/>
      <c r="AD593" s="26"/>
      <c r="AE593" s="26"/>
      <c r="AF593" s="26"/>
      <c r="AG593" s="26"/>
      <c r="AH593" s="26"/>
      <c r="AI593" s="26"/>
      <c r="AJ593" s="26"/>
      <c r="AK593" s="26"/>
      <c r="AL593" s="26"/>
      <c r="AM593" s="26"/>
      <c r="AN593" s="26"/>
      <c r="AO593" s="26"/>
      <c r="AP593" s="26"/>
      <c r="AQ593" s="26"/>
      <c r="AR593" s="26"/>
      <c r="AS593" s="26"/>
      <c r="AT593" s="26"/>
      <c r="AU593" s="26"/>
      <c r="AV593" s="26"/>
      <c r="AW593" s="26"/>
      <c r="AX593" s="26"/>
      <c r="AY593" s="26"/>
      <c r="AZ593" s="26"/>
      <c r="BA593" s="26"/>
      <c r="BB593" s="26"/>
      <c r="BC593" s="26"/>
      <c r="BD593" s="26"/>
      <c r="BE593" s="26"/>
      <c r="BF593" s="26"/>
      <c r="BG593" s="26"/>
      <c r="BH593" s="26"/>
      <c r="BI593" s="26"/>
      <c r="BJ593" s="26"/>
      <c r="BK593" s="26"/>
    </row>
    <row r="594" ht="14.25" customHeight="1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  <c r="AC594" s="26"/>
      <c r="AD594" s="26"/>
      <c r="AE594" s="26"/>
      <c r="AF594" s="26"/>
      <c r="AG594" s="26"/>
      <c r="AH594" s="26"/>
      <c r="AI594" s="26"/>
      <c r="AJ594" s="26"/>
      <c r="AK594" s="26"/>
      <c r="AL594" s="26"/>
      <c r="AM594" s="26"/>
      <c r="AN594" s="26"/>
      <c r="AO594" s="26"/>
      <c r="AP594" s="26"/>
      <c r="AQ594" s="26"/>
      <c r="AR594" s="26"/>
      <c r="AS594" s="26"/>
      <c r="AT594" s="26"/>
      <c r="AU594" s="26"/>
      <c r="AV594" s="26"/>
      <c r="AW594" s="26"/>
      <c r="AX594" s="26"/>
      <c r="AY594" s="26"/>
      <c r="AZ594" s="26"/>
      <c r="BA594" s="26"/>
      <c r="BB594" s="26"/>
      <c r="BC594" s="26"/>
      <c r="BD594" s="26"/>
      <c r="BE594" s="26"/>
      <c r="BF594" s="26"/>
      <c r="BG594" s="26"/>
      <c r="BH594" s="26"/>
      <c r="BI594" s="26"/>
      <c r="BJ594" s="26"/>
      <c r="BK594" s="26"/>
    </row>
    <row r="595" ht="14.25" customHeight="1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26"/>
      <c r="AB595" s="26"/>
      <c r="AC595" s="26"/>
      <c r="AD595" s="26"/>
      <c r="AE595" s="26"/>
      <c r="AF595" s="26"/>
      <c r="AG595" s="26"/>
      <c r="AH595" s="26"/>
      <c r="AI595" s="26"/>
      <c r="AJ595" s="26"/>
      <c r="AK595" s="26"/>
      <c r="AL595" s="26"/>
      <c r="AM595" s="26"/>
      <c r="AN595" s="26"/>
      <c r="AO595" s="26"/>
      <c r="AP595" s="26"/>
      <c r="AQ595" s="26"/>
      <c r="AR595" s="26"/>
      <c r="AS595" s="26"/>
      <c r="AT595" s="26"/>
      <c r="AU595" s="26"/>
      <c r="AV595" s="26"/>
      <c r="AW595" s="26"/>
      <c r="AX595" s="26"/>
      <c r="AY595" s="26"/>
      <c r="AZ595" s="26"/>
      <c r="BA595" s="26"/>
      <c r="BB595" s="26"/>
      <c r="BC595" s="26"/>
      <c r="BD595" s="26"/>
      <c r="BE595" s="26"/>
      <c r="BF595" s="26"/>
      <c r="BG595" s="26"/>
      <c r="BH595" s="26"/>
      <c r="BI595" s="26"/>
      <c r="BJ595" s="26"/>
      <c r="BK595" s="26"/>
    </row>
    <row r="596" ht="14.25" customHeight="1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  <c r="AC596" s="26"/>
      <c r="AD596" s="26"/>
      <c r="AE596" s="26"/>
      <c r="AF596" s="26"/>
      <c r="AG596" s="26"/>
      <c r="AH596" s="26"/>
      <c r="AI596" s="26"/>
      <c r="AJ596" s="26"/>
      <c r="AK596" s="26"/>
      <c r="AL596" s="26"/>
      <c r="AM596" s="26"/>
      <c r="AN596" s="26"/>
      <c r="AO596" s="26"/>
      <c r="AP596" s="26"/>
      <c r="AQ596" s="26"/>
      <c r="AR596" s="26"/>
      <c r="AS596" s="26"/>
      <c r="AT596" s="26"/>
      <c r="AU596" s="26"/>
      <c r="AV596" s="26"/>
      <c r="AW596" s="26"/>
      <c r="AX596" s="26"/>
      <c r="AY596" s="26"/>
      <c r="AZ596" s="26"/>
      <c r="BA596" s="26"/>
      <c r="BB596" s="26"/>
      <c r="BC596" s="26"/>
      <c r="BD596" s="26"/>
      <c r="BE596" s="26"/>
      <c r="BF596" s="26"/>
      <c r="BG596" s="26"/>
      <c r="BH596" s="26"/>
      <c r="BI596" s="26"/>
      <c r="BJ596" s="26"/>
      <c r="BK596" s="26"/>
    </row>
    <row r="597" ht="14.25" customHeight="1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  <c r="AC597" s="26"/>
      <c r="AD597" s="26"/>
      <c r="AE597" s="26"/>
      <c r="AF597" s="26"/>
      <c r="AG597" s="26"/>
      <c r="AH597" s="26"/>
      <c r="AI597" s="26"/>
      <c r="AJ597" s="26"/>
      <c r="AK597" s="26"/>
      <c r="AL597" s="26"/>
      <c r="AM597" s="26"/>
      <c r="AN597" s="26"/>
      <c r="AO597" s="26"/>
      <c r="AP597" s="26"/>
      <c r="AQ597" s="26"/>
      <c r="AR597" s="26"/>
      <c r="AS597" s="26"/>
      <c r="AT597" s="26"/>
      <c r="AU597" s="26"/>
      <c r="AV597" s="26"/>
      <c r="AW597" s="26"/>
      <c r="AX597" s="26"/>
      <c r="AY597" s="26"/>
      <c r="AZ597" s="26"/>
      <c r="BA597" s="26"/>
      <c r="BB597" s="26"/>
      <c r="BC597" s="26"/>
      <c r="BD597" s="26"/>
      <c r="BE597" s="26"/>
      <c r="BF597" s="26"/>
      <c r="BG597" s="26"/>
      <c r="BH597" s="26"/>
      <c r="BI597" s="26"/>
      <c r="BJ597" s="26"/>
      <c r="BK597" s="26"/>
    </row>
    <row r="598" ht="14.25" customHeight="1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  <c r="AC598" s="26"/>
      <c r="AD598" s="26"/>
      <c r="AE598" s="26"/>
      <c r="AF598" s="26"/>
      <c r="AG598" s="26"/>
      <c r="AH598" s="26"/>
      <c r="AI598" s="26"/>
      <c r="AJ598" s="26"/>
      <c r="AK598" s="26"/>
      <c r="AL598" s="26"/>
      <c r="AM598" s="26"/>
      <c r="AN598" s="26"/>
      <c r="AO598" s="26"/>
      <c r="AP598" s="26"/>
      <c r="AQ598" s="26"/>
      <c r="AR598" s="26"/>
      <c r="AS598" s="26"/>
      <c r="AT598" s="26"/>
      <c r="AU598" s="26"/>
      <c r="AV598" s="26"/>
      <c r="AW598" s="26"/>
      <c r="AX598" s="26"/>
      <c r="AY598" s="26"/>
      <c r="AZ598" s="26"/>
      <c r="BA598" s="26"/>
      <c r="BB598" s="26"/>
      <c r="BC598" s="26"/>
      <c r="BD598" s="26"/>
      <c r="BE598" s="26"/>
      <c r="BF598" s="26"/>
      <c r="BG598" s="26"/>
      <c r="BH598" s="26"/>
      <c r="BI598" s="26"/>
      <c r="BJ598" s="26"/>
      <c r="BK598" s="26"/>
    </row>
    <row r="599" ht="14.25" customHeight="1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  <c r="AB599" s="26"/>
      <c r="AC599" s="26"/>
      <c r="AD599" s="26"/>
      <c r="AE599" s="26"/>
      <c r="AF599" s="26"/>
      <c r="AG599" s="26"/>
      <c r="AH599" s="26"/>
      <c r="AI599" s="26"/>
      <c r="AJ599" s="26"/>
      <c r="AK599" s="26"/>
      <c r="AL599" s="26"/>
      <c r="AM599" s="26"/>
      <c r="AN599" s="26"/>
      <c r="AO599" s="26"/>
      <c r="AP599" s="26"/>
      <c r="AQ599" s="26"/>
      <c r="AR599" s="26"/>
      <c r="AS599" s="26"/>
      <c r="AT599" s="26"/>
      <c r="AU599" s="26"/>
      <c r="AV599" s="26"/>
      <c r="AW599" s="26"/>
      <c r="AX599" s="26"/>
      <c r="AY599" s="26"/>
      <c r="AZ599" s="26"/>
      <c r="BA599" s="26"/>
      <c r="BB599" s="26"/>
      <c r="BC599" s="26"/>
      <c r="BD599" s="26"/>
      <c r="BE599" s="26"/>
      <c r="BF599" s="26"/>
      <c r="BG599" s="26"/>
      <c r="BH599" s="26"/>
      <c r="BI599" s="26"/>
      <c r="BJ599" s="26"/>
      <c r="BK599" s="26"/>
    </row>
    <row r="600" ht="14.25" customHeight="1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  <c r="AC600" s="26"/>
      <c r="AD600" s="26"/>
      <c r="AE600" s="26"/>
      <c r="AF600" s="26"/>
      <c r="AG600" s="26"/>
      <c r="AH600" s="26"/>
      <c r="AI600" s="26"/>
      <c r="AJ600" s="26"/>
      <c r="AK600" s="26"/>
      <c r="AL600" s="26"/>
      <c r="AM600" s="26"/>
      <c r="AN600" s="26"/>
      <c r="AO600" s="26"/>
      <c r="AP600" s="26"/>
      <c r="AQ600" s="26"/>
      <c r="AR600" s="26"/>
      <c r="AS600" s="26"/>
      <c r="AT600" s="26"/>
      <c r="AU600" s="26"/>
      <c r="AV600" s="26"/>
      <c r="AW600" s="26"/>
      <c r="AX600" s="26"/>
      <c r="AY600" s="26"/>
      <c r="AZ600" s="26"/>
      <c r="BA600" s="26"/>
      <c r="BB600" s="26"/>
      <c r="BC600" s="26"/>
      <c r="BD600" s="26"/>
      <c r="BE600" s="26"/>
      <c r="BF600" s="26"/>
      <c r="BG600" s="26"/>
      <c r="BH600" s="26"/>
      <c r="BI600" s="26"/>
      <c r="BJ600" s="26"/>
      <c r="BK600" s="26"/>
    </row>
    <row r="601" ht="14.25" customHeight="1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26"/>
      <c r="AB601" s="26"/>
      <c r="AC601" s="26"/>
      <c r="AD601" s="26"/>
      <c r="AE601" s="26"/>
      <c r="AF601" s="26"/>
      <c r="AG601" s="26"/>
      <c r="AH601" s="26"/>
      <c r="AI601" s="26"/>
      <c r="AJ601" s="26"/>
      <c r="AK601" s="26"/>
      <c r="AL601" s="26"/>
      <c r="AM601" s="26"/>
      <c r="AN601" s="26"/>
      <c r="AO601" s="26"/>
      <c r="AP601" s="26"/>
      <c r="AQ601" s="26"/>
      <c r="AR601" s="26"/>
      <c r="AS601" s="26"/>
      <c r="AT601" s="26"/>
      <c r="AU601" s="26"/>
      <c r="AV601" s="26"/>
      <c r="AW601" s="26"/>
      <c r="AX601" s="26"/>
      <c r="AY601" s="26"/>
      <c r="AZ601" s="26"/>
      <c r="BA601" s="26"/>
      <c r="BB601" s="26"/>
      <c r="BC601" s="26"/>
      <c r="BD601" s="26"/>
      <c r="BE601" s="26"/>
      <c r="BF601" s="26"/>
      <c r="BG601" s="26"/>
      <c r="BH601" s="26"/>
      <c r="BI601" s="26"/>
      <c r="BJ601" s="26"/>
      <c r="BK601" s="26"/>
    </row>
    <row r="602" ht="14.25" customHeight="1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  <c r="AB602" s="26"/>
      <c r="AC602" s="26"/>
      <c r="AD602" s="26"/>
      <c r="AE602" s="26"/>
      <c r="AF602" s="26"/>
      <c r="AG602" s="26"/>
      <c r="AH602" s="26"/>
      <c r="AI602" s="26"/>
      <c r="AJ602" s="26"/>
      <c r="AK602" s="26"/>
      <c r="AL602" s="26"/>
      <c r="AM602" s="26"/>
      <c r="AN602" s="26"/>
      <c r="AO602" s="26"/>
      <c r="AP602" s="26"/>
      <c r="AQ602" s="26"/>
      <c r="AR602" s="26"/>
      <c r="AS602" s="26"/>
      <c r="AT602" s="26"/>
      <c r="AU602" s="26"/>
      <c r="AV602" s="26"/>
      <c r="AW602" s="26"/>
      <c r="AX602" s="26"/>
      <c r="AY602" s="26"/>
      <c r="AZ602" s="26"/>
      <c r="BA602" s="26"/>
      <c r="BB602" s="26"/>
      <c r="BC602" s="26"/>
      <c r="BD602" s="26"/>
      <c r="BE602" s="26"/>
      <c r="BF602" s="26"/>
      <c r="BG602" s="26"/>
      <c r="BH602" s="26"/>
      <c r="BI602" s="26"/>
      <c r="BJ602" s="26"/>
      <c r="BK602" s="26"/>
    </row>
    <row r="603" ht="14.25" customHeight="1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  <c r="AB603" s="26"/>
      <c r="AC603" s="26"/>
      <c r="AD603" s="26"/>
      <c r="AE603" s="26"/>
      <c r="AF603" s="26"/>
      <c r="AG603" s="26"/>
      <c r="AH603" s="26"/>
      <c r="AI603" s="26"/>
      <c r="AJ603" s="26"/>
      <c r="AK603" s="26"/>
      <c r="AL603" s="26"/>
      <c r="AM603" s="26"/>
      <c r="AN603" s="26"/>
      <c r="AO603" s="26"/>
      <c r="AP603" s="26"/>
      <c r="AQ603" s="26"/>
      <c r="AR603" s="26"/>
      <c r="AS603" s="26"/>
      <c r="AT603" s="26"/>
      <c r="AU603" s="26"/>
      <c r="AV603" s="26"/>
      <c r="AW603" s="26"/>
      <c r="AX603" s="26"/>
      <c r="AY603" s="26"/>
      <c r="AZ603" s="26"/>
      <c r="BA603" s="26"/>
      <c r="BB603" s="26"/>
      <c r="BC603" s="26"/>
      <c r="BD603" s="26"/>
      <c r="BE603" s="26"/>
      <c r="BF603" s="26"/>
      <c r="BG603" s="26"/>
      <c r="BH603" s="26"/>
      <c r="BI603" s="26"/>
      <c r="BJ603" s="26"/>
      <c r="BK603" s="26"/>
    </row>
    <row r="604" ht="14.25" customHeight="1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  <c r="AC604" s="26"/>
      <c r="AD604" s="26"/>
      <c r="AE604" s="26"/>
      <c r="AF604" s="26"/>
      <c r="AG604" s="26"/>
      <c r="AH604" s="26"/>
      <c r="AI604" s="26"/>
      <c r="AJ604" s="26"/>
      <c r="AK604" s="26"/>
      <c r="AL604" s="26"/>
      <c r="AM604" s="26"/>
      <c r="AN604" s="26"/>
      <c r="AO604" s="26"/>
      <c r="AP604" s="26"/>
      <c r="AQ604" s="26"/>
      <c r="AR604" s="26"/>
      <c r="AS604" s="26"/>
      <c r="AT604" s="26"/>
      <c r="AU604" s="26"/>
      <c r="AV604" s="26"/>
      <c r="AW604" s="26"/>
      <c r="AX604" s="26"/>
      <c r="AY604" s="26"/>
      <c r="AZ604" s="26"/>
      <c r="BA604" s="26"/>
      <c r="BB604" s="26"/>
      <c r="BC604" s="26"/>
      <c r="BD604" s="26"/>
      <c r="BE604" s="26"/>
      <c r="BF604" s="26"/>
      <c r="BG604" s="26"/>
      <c r="BH604" s="26"/>
      <c r="BI604" s="26"/>
      <c r="BJ604" s="26"/>
      <c r="BK604" s="26"/>
    </row>
    <row r="605" ht="14.25" customHeight="1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  <c r="AB605" s="26"/>
      <c r="AC605" s="26"/>
      <c r="AD605" s="26"/>
      <c r="AE605" s="26"/>
      <c r="AF605" s="26"/>
      <c r="AG605" s="26"/>
      <c r="AH605" s="26"/>
      <c r="AI605" s="26"/>
      <c r="AJ605" s="26"/>
      <c r="AK605" s="26"/>
      <c r="AL605" s="26"/>
      <c r="AM605" s="26"/>
      <c r="AN605" s="26"/>
      <c r="AO605" s="26"/>
      <c r="AP605" s="26"/>
      <c r="AQ605" s="26"/>
      <c r="AR605" s="26"/>
      <c r="AS605" s="26"/>
      <c r="AT605" s="26"/>
      <c r="AU605" s="26"/>
      <c r="AV605" s="26"/>
      <c r="AW605" s="26"/>
      <c r="AX605" s="26"/>
      <c r="AY605" s="26"/>
      <c r="AZ605" s="26"/>
      <c r="BA605" s="26"/>
      <c r="BB605" s="26"/>
      <c r="BC605" s="26"/>
      <c r="BD605" s="26"/>
      <c r="BE605" s="26"/>
      <c r="BF605" s="26"/>
      <c r="BG605" s="26"/>
      <c r="BH605" s="26"/>
      <c r="BI605" s="26"/>
      <c r="BJ605" s="26"/>
      <c r="BK605" s="26"/>
    </row>
    <row r="606" ht="14.25" customHeight="1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  <c r="AC606" s="26"/>
      <c r="AD606" s="26"/>
      <c r="AE606" s="26"/>
      <c r="AF606" s="26"/>
      <c r="AG606" s="26"/>
      <c r="AH606" s="26"/>
      <c r="AI606" s="26"/>
      <c r="AJ606" s="26"/>
      <c r="AK606" s="26"/>
      <c r="AL606" s="26"/>
      <c r="AM606" s="26"/>
      <c r="AN606" s="26"/>
      <c r="AO606" s="26"/>
      <c r="AP606" s="26"/>
      <c r="AQ606" s="26"/>
      <c r="AR606" s="26"/>
      <c r="AS606" s="26"/>
      <c r="AT606" s="26"/>
      <c r="AU606" s="26"/>
      <c r="AV606" s="26"/>
      <c r="AW606" s="26"/>
      <c r="AX606" s="26"/>
      <c r="AY606" s="26"/>
      <c r="AZ606" s="26"/>
      <c r="BA606" s="26"/>
      <c r="BB606" s="26"/>
      <c r="BC606" s="26"/>
      <c r="BD606" s="26"/>
      <c r="BE606" s="26"/>
      <c r="BF606" s="26"/>
      <c r="BG606" s="26"/>
      <c r="BH606" s="26"/>
      <c r="BI606" s="26"/>
      <c r="BJ606" s="26"/>
      <c r="BK606" s="26"/>
    </row>
    <row r="607" ht="14.25" customHeight="1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/>
      <c r="AB607" s="26"/>
      <c r="AC607" s="26"/>
      <c r="AD607" s="26"/>
      <c r="AE607" s="26"/>
      <c r="AF607" s="26"/>
      <c r="AG607" s="26"/>
      <c r="AH607" s="26"/>
      <c r="AI607" s="26"/>
      <c r="AJ607" s="26"/>
      <c r="AK607" s="26"/>
      <c r="AL607" s="26"/>
      <c r="AM607" s="26"/>
      <c r="AN607" s="26"/>
      <c r="AO607" s="26"/>
      <c r="AP607" s="26"/>
      <c r="AQ607" s="26"/>
      <c r="AR607" s="26"/>
      <c r="AS607" s="26"/>
      <c r="AT607" s="26"/>
      <c r="AU607" s="26"/>
      <c r="AV607" s="26"/>
      <c r="AW607" s="26"/>
      <c r="AX607" s="26"/>
      <c r="AY607" s="26"/>
      <c r="AZ607" s="26"/>
      <c r="BA607" s="26"/>
      <c r="BB607" s="26"/>
      <c r="BC607" s="26"/>
      <c r="BD607" s="26"/>
      <c r="BE607" s="26"/>
      <c r="BF607" s="26"/>
      <c r="BG607" s="26"/>
      <c r="BH607" s="26"/>
      <c r="BI607" s="26"/>
      <c r="BJ607" s="26"/>
      <c r="BK607" s="26"/>
    </row>
    <row r="608" ht="14.25" customHeight="1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  <c r="AC608" s="26"/>
      <c r="AD608" s="26"/>
      <c r="AE608" s="26"/>
      <c r="AF608" s="26"/>
      <c r="AG608" s="26"/>
      <c r="AH608" s="26"/>
      <c r="AI608" s="26"/>
      <c r="AJ608" s="26"/>
      <c r="AK608" s="26"/>
      <c r="AL608" s="26"/>
      <c r="AM608" s="26"/>
      <c r="AN608" s="26"/>
      <c r="AO608" s="26"/>
      <c r="AP608" s="26"/>
      <c r="AQ608" s="26"/>
      <c r="AR608" s="26"/>
      <c r="AS608" s="26"/>
      <c r="AT608" s="26"/>
      <c r="AU608" s="26"/>
      <c r="AV608" s="26"/>
      <c r="AW608" s="26"/>
      <c r="AX608" s="26"/>
      <c r="AY608" s="26"/>
      <c r="AZ608" s="26"/>
      <c r="BA608" s="26"/>
      <c r="BB608" s="26"/>
      <c r="BC608" s="26"/>
      <c r="BD608" s="26"/>
      <c r="BE608" s="26"/>
      <c r="BF608" s="26"/>
      <c r="BG608" s="26"/>
      <c r="BH608" s="26"/>
      <c r="BI608" s="26"/>
      <c r="BJ608" s="26"/>
      <c r="BK608" s="26"/>
    </row>
    <row r="609" ht="14.25" customHeight="1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  <c r="AA609" s="26"/>
      <c r="AB609" s="26"/>
      <c r="AC609" s="26"/>
      <c r="AD609" s="26"/>
      <c r="AE609" s="26"/>
      <c r="AF609" s="26"/>
      <c r="AG609" s="26"/>
      <c r="AH609" s="26"/>
      <c r="AI609" s="26"/>
      <c r="AJ609" s="26"/>
      <c r="AK609" s="26"/>
      <c r="AL609" s="26"/>
      <c r="AM609" s="26"/>
      <c r="AN609" s="26"/>
      <c r="AO609" s="26"/>
      <c r="AP609" s="26"/>
      <c r="AQ609" s="26"/>
      <c r="AR609" s="26"/>
      <c r="AS609" s="26"/>
      <c r="AT609" s="26"/>
      <c r="AU609" s="26"/>
      <c r="AV609" s="26"/>
      <c r="AW609" s="26"/>
      <c r="AX609" s="26"/>
      <c r="AY609" s="26"/>
      <c r="AZ609" s="26"/>
      <c r="BA609" s="26"/>
      <c r="BB609" s="26"/>
      <c r="BC609" s="26"/>
      <c r="BD609" s="26"/>
      <c r="BE609" s="26"/>
      <c r="BF609" s="26"/>
      <c r="BG609" s="26"/>
      <c r="BH609" s="26"/>
      <c r="BI609" s="26"/>
      <c r="BJ609" s="26"/>
      <c r="BK609" s="26"/>
    </row>
    <row r="610" ht="14.25" customHeight="1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  <c r="AC610" s="26"/>
      <c r="AD610" s="26"/>
      <c r="AE610" s="26"/>
      <c r="AF610" s="26"/>
      <c r="AG610" s="26"/>
      <c r="AH610" s="26"/>
      <c r="AI610" s="26"/>
      <c r="AJ610" s="26"/>
      <c r="AK610" s="26"/>
      <c r="AL610" s="26"/>
      <c r="AM610" s="26"/>
      <c r="AN610" s="26"/>
      <c r="AO610" s="26"/>
      <c r="AP610" s="26"/>
      <c r="AQ610" s="26"/>
      <c r="AR610" s="26"/>
      <c r="AS610" s="26"/>
      <c r="AT610" s="26"/>
      <c r="AU610" s="26"/>
      <c r="AV610" s="26"/>
      <c r="AW610" s="26"/>
      <c r="AX610" s="26"/>
      <c r="AY610" s="26"/>
      <c r="AZ610" s="26"/>
      <c r="BA610" s="26"/>
      <c r="BB610" s="26"/>
      <c r="BC610" s="26"/>
      <c r="BD610" s="26"/>
      <c r="BE610" s="26"/>
      <c r="BF610" s="26"/>
      <c r="BG610" s="26"/>
      <c r="BH610" s="26"/>
      <c r="BI610" s="26"/>
      <c r="BJ610" s="26"/>
      <c r="BK610" s="26"/>
    </row>
    <row r="611" ht="14.25" customHeight="1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A611" s="26"/>
      <c r="AB611" s="26"/>
      <c r="AC611" s="26"/>
      <c r="AD611" s="26"/>
      <c r="AE611" s="26"/>
      <c r="AF611" s="26"/>
      <c r="AG611" s="26"/>
      <c r="AH611" s="26"/>
      <c r="AI611" s="26"/>
      <c r="AJ611" s="26"/>
      <c r="AK611" s="26"/>
      <c r="AL611" s="26"/>
      <c r="AM611" s="26"/>
      <c r="AN611" s="26"/>
      <c r="AO611" s="26"/>
      <c r="AP611" s="26"/>
      <c r="AQ611" s="26"/>
      <c r="AR611" s="26"/>
      <c r="AS611" s="26"/>
      <c r="AT611" s="26"/>
      <c r="AU611" s="26"/>
      <c r="AV611" s="26"/>
      <c r="AW611" s="26"/>
      <c r="AX611" s="26"/>
      <c r="AY611" s="26"/>
      <c r="AZ611" s="26"/>
      <c r="BA611" s="26"/>
      <c r="BB611" s="26"/>
      <c r="BC611" s="26"/>
      <c r="BD611" s="26"/>
      <c r="BE611" s="26"/>
      <c r="BF611" s="26"/>
      <c r="BG611" s="26"/>
      <c r="BH611" s="26"/>
      <c r="BI611" s="26"/>
      <c r="BJ611" s="26"/>
      <c r="BK611" s="26"/>
    </row>
    <row r="612" ht="14.25" customHeight="1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  <c r="AC612" s="26"/>
      <c r="AD612" s="26"/>
      <c r="AE612" s="26"/>
      <c r="AF612" s="26"/>
      <c r="AG612" s="26"/>
      <c r="AH612" s="26"/>
      <c r="AI612" s="26"/>
      <c r="AJ612" s="26"/>
      <c r="AK612" s="26"/>
      <c r="AL612" s="26"/>
      <c r="AM612" s="26"/>
      <c r="AN612" s="26"/>
      <c r="AO612" s="26"/>
      <c r="AP612" s="26"/>
      <c r="AQ612" s="26"/>
      <c r="AR612" s="26"/>
      <c r="AS612" s="26"/>
      <c r="AT612" s="26"/>
      <c r="AU612" s="26"/>
      <c r="AV612" s="26"/>
      <c r="AW612" s="26"/>
      <c r="AX612" s="26"/>
      <c r="AY612" s="26"/>
      <c r="AZ612" s="26"/>
      <c r="BA612" s="26"/>
      <c r="BB612" s="26"/>
      <c r="BC612" s="26"/>
      <c r="BD612" s="26"/>
      <c r="BE612" s="26"/>
      <c r="BF612" s="26"/>
      <c r="BG612" s="26"/>
      <c r="BH612" s="26"/>
      <c r="BI612" s="26"/>
      <c r="BJ612" s="26"/>
      <c r="BK612" s="26"/>
    </row>
    <row r="613" ht="14.25" customHeight="1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26"/>
      <c r="AB613" s="26"/>
      <c r="AC613" s="26"/>
      <c r="AD613" s="26"/>
      <c r="AE613" s="26"/>
      <c r="AF613" s="26"/>
      <c r="AG613" s="26"/>
      <c r="AH613" s="26"/>
      <c r="AI613" s="26"/>
      <c r="AJ613" s="26"/>
      <c r="AK613" s="26"/>
      <c r="AL613" s="26"/>
      <c r="AM613" s="26"/>
      <c r="AN613" s="26"/>
      <c r="AO613" s="26"/>
      <c r="AP613" s="26"/>
      <c r="AQ613" s="26"/>
      <c r="AR613" s="26"/>
      <c r="AS613" s="26"/>
      <c r="AT613" s="26"/>
      <c r="AU613" s="26"/>
      <c r="AV613" s="26"/>
      <c r="AW613" s="26"/>
      <c r="AX613" s="26"/>
      <c r="AY613" s="26"/>
      <c r="AZ613" s="26"/>
      <c r="BA613" s="26"/>
      <c r="BB613" s="26"/>
      <c r="BC613" s="26"/>
      <c r="BD613" s="26"/>
      <c r="BE613" s="26"/>
      <c r="BF613" s="26"/>
      <c r="BG613" s="26"/>
      <c r="BH613" s="26"/>
      <c r="BI613" s="26"/>
      <c r="BJ613" s="26"/>
      <c r="BK613" s="26"/>
    </row>
    <row r="614" ht="14.25" customHeight="1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  <c r="AC614" s="26"/>
      <c r="AD614" s="26"/>
      <c r="AE614" s="26"/>
      <c r="AF614" s="26"/>
      <c r="AG614" s="26"/>
      <c r="AH614" s="26"/>
      <c r="AI614" s="26"/>
      <c r="AJ614" s="26"/>
      <c r="AK614" s="26"/>
      <c r="AL614" s="26"/>
      <c r="AM614" s="26"/>
      <c r="AN614" s="26"/>
      <c r="AO614" s="26"/>
      <c r="AP614" s="26"/>
      <c r="AQ614" s="26"/>
      <c r="AR614" s="26"/>
      <c r="AS614" s="26"/>
      <c r="AT614" s="26"/>
      <c r="AU614" s="26"/>
      <c r="AV614" s="26"/>
      <c r="AW614" s="26"/>
      <c r="AX614" s="26"/>
      <c r="AY614" s="26"/>
      <c r="AZ614" s="26"/>
      <c r="BA614" s="26"/>
      <c r="BB614" s="26"/>
      <c r="BC614" s="26"/>
      <c r="BD614" s="26"/>
      <c r="BE614" s="26"/>
      <c r="BF614" s="26"/>
      <c r="BG614" s="26"/>
      <c r="BH614" s="26"/>
      <c r="BI614" s="26"/>
      <c r="BJ614" s="26"/>
      <c r="BK614" s="26"/>
    </row>
    <row r="615" ht="14.25" customHeight="1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A615" s="26"/>
      <c r="AB615" s="26"/>
      <c r="AC615" s="26"/>
      <c r="AD615" s="26"/>
      <c r="AE615" s="26"/>
      <c r="AF615" s="26"/>
      <c r="AG615" s="26"/>
      <c r="AH615" s="26"/>
      <c r="AI615" s="26"/>
      <c r="AJ615" s="26"/>
      <c r="AK615" s="26"/>
      <c r="AL615" s="26"/>
      <c r="AM615" s="26"/>
      <c r="AN615" s="26"/>
      <c r="AO615" s="26"/>
      <c r="AP615" s="26"/>
      <c r="AQ615" s="26"/>
      <c r="AR615" s="26"/>
      <c r="AS615" s="26"/>
      <c r="AT615" s="26"/>
      <c r="AU615" s="26"/>
      <c r="AV615" s="26"/>
      <c r="AW615" s="26"/>
      <c r="AX615" s="26"/>
      <c r="AY615" s="26"/>
      <c r="AZ615" s="26"/>
      <c r="BA615" s="26"/>
      <c r="BB615" s="26"/>
      <c r="BC615" s="26"/>
      <c r="BD615" s="26"/>
      <c r="BE615" s="26"/>
      <c r="BF615" s="26"/>
      <c r="BG615" s="26"/>
      <c r="BH615" s="26"/>
      <c r="BI615" s="26"/>
      <c r="BJ615" s="26"/>
      <c r="BK615" s="26"/>
    </row>
    <row r="616" ht="14.25" customHeight="1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  <c r="AC616" s="26"/>
      <c r="AD616" s="26"/>
      <c r="AE616" s="26"/>
      <c r="AF616" s="26"/>
      <c r="AG616" s="26"/>
      <c r="AH616" s="26"/>
      <c r="AI616" s="26"/>
      <c r="AJ616" s="26"/>
      <c r="AK616" s="26"/>
      <c r="AL616" s="26"/>
      <c r="AM616" s="26"/>
      <c r="AN616" s="26"/>
      <c r="AO616" s="26"/>
      <c r="AP616" s="26"/>
      <c r="AQ616" s="26"/>
      <c r="AR616" s="26"/>
      <c r="AS616" s="26"/>
      <c r="AT616" s="26"/>
      <c r="AU616" s="26"/>
      <c r="AV616" s="26"/>
      <c r="AW616" s="26"/>
      <c r="AX616" s="26"/>
      <c r="AY616" s="26"/>
      <c r="AZ616" s="26"/>
      <c r="BA616" s="26"/>
      <c r="BB616" s="26"/>
      <c r="BC616" s="26"/>
      <c r="BD616" s="26"/>
      <c r="BE616" s="26"/>
      <c r="BF616" s="26"/>
      <c r="BG616" s="26"/>
      <c r="BH616" s="26"/>
      <c r="BI616" s="26"/>
      <c r="BJ616" s="26"/>
      <c r="BK616" s="26"/>
    </row>
    <row r="617" ht="14.25" customHeight="1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  <c r="AB617" s="26"/>
      <c r="AC617" s="26"/>
      <c r="AD617" s="26"/>
      <c r="AE617" s="26"/>
      <c r="AF617" s="26"/>
      <c r="AG617" s="26"/>
      <c r="AH617" s="26"/>
      <c r="AI617" s="26"/>
      <c r="AJ617" s="26"/>
      <c r="AK617" s="26"/>
      <c r="AL617" s="26"/>
      <c r="AM617" s="26"/>
      <c r="AN617" s="26"/>
      <c r="AO617" s="26"/>
      <c r="AP617" s="26"/>
      <c r="AQ617" s="26"/>
      <c r="AR617" s="26"/>
      <c r="AS617" s="26"/>
      <c r="AT617" s="26"/>
      <c r="AU617" s="26"/>
      <c r="AV617" s="26"/>
      <c r="AW617" s="26"/>
      <c r="AX617" s="26"/>
      <c r="AY617" s="26"/>
      <c r="AZ617" s="26"/>
      <c r="BA617" s="26"/>
      <c r="BB617" s="26"/>
      <c r="BC617" s="26"/>
      <c r="BD617" s="26"/>
      <c r="BE617" s="26"/>
      <c r="BF617" s="26"/>
      <c r="BG617" s="26"/>
      <c r="BH617" s="26"/>
      <c r="BI617" s="26"/>
      <c r="BJ617" s="26"/>
      <c r="BK617" s="26"/>
    </row>
    <row r="618" ht="14.25" customHeight="1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  <c r="AC618" s="26"/>
      <c r="AD618" s="26"/>
      <c r="AE618" s="26"/>
      <c r="AF618" s="26"/>
      <c r="AG618" s="26"/>
      <c r="AH618" s="26"/>
      <c r="AI618" s="26"/>
      <c r="AJ618" s="26"/>
      <c r="AK618" s="26"/>
      <c r="AL618" s="26"/>
      <c r="AM618" s="26"/>
      <c r="AN618" s="26"/>
      <c r="AO618" s="26"/>
      <c r="AP618" s="26"/>
      <c r="AQ618" s="26"/>
      <c r="AR618" s="26"/>
      <c r="AS618" s="26"/>
      <c r="AT618" s="26"/>
      <c r="AU618" s="26"/>
      <c r="AV618" s="26"/>
      <c r="AW618" s="26"/>
      <c r="AX618" s="26"/>
      <c r="AY618" s="26"/>
      <c r="AZ618" s="26"/>
      <c r="BA618" s="26"/>
      <c r="BB618" s="26"/>
      <c r="BC618" s="26"/>
      <c r="BD618" s="26"/>
      <c r="BE618" s="26"/>
      <c r="BF618" s="26"/>
      <c r="BG618" s="26"/>
      <c r="BH618" s="26"/>
      <c r="BI618" s="26"/>
      <c r="BJ618" s="26"/>
      <c r="BK618" s="26"/>
    </row>
    <row r="619" ht="14.25" customHeight="1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  <c r="AB619" s="26"/>
      <c r="AC619" s="26"/>
      <c r="AD619" s="26"/>
      <c r="AE619" s="26"/>
      <c r="AF619" s="26"/>
      <c r="AG619" s="26"/>
      <c r="AH619" s="26"/>
      <c r="AI619" s="26"/>
      <c r="AJ619" s="26"/>
      <c r="AK619" s="26"/>
      <c r="AL619" s="26"/>
      <c r="AM619" s="26"/>
      <c r="AN619" s="26"/>
      <c r="AO619" s="26"/>
      <c r="AP619" s="26"/>
      <c r="AQ619" s="26"/>
      <c r="AR619" s="26"/>
      <c r="AS619" s="26"/>
      <c r="AT619" s="26"/>
      <c r="AU619" s="26"/>
      <c r="AV619" s="26"/>
      <c r="AW619" s="26"/>
      <c r="AX619" s="26"/>
      <c r="AY619" s="26"/>
      <c r="AZ619" s="26"/>
      <c r="BA619" s="26"/>
      <c r="BB619" s="26"/>
      <c r="BC619" s="26"/>
      <c r="BD619" s="26"/>
      <c r="BE619" s="26"/>
      <c r="BF619" s="26"/>
      <c r="BG619" s="26"/>
      <c r="BH619" s="26"/>
      <c r="BI619" s="26"/>
      <c r="BJ619" s="26"/>
      <c r="BK619" s="26"/>
    </row>
    <row r="620" ht="14.25" customHeight="1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  <c r="AC620" s="26"/>
      <c r="AD620" s="26"/>
      <c r="AE620" s="26"/>
      <c r="AF620" s="26"/>
      <c r="AG620" s="26"/>
      <c r="AH620" s="26"/>
      <c r="AI620" s="26"/>
      <c r="AJ620" s="26"/>
      <c r="AK620" s="26"/>
      <c r="AL620" s="26"/>
      <c r="AM620" s="26"/>
      <c r="AN620" s="26"/>
      <c r="AO620" s="26"/>
      <c r="AP620" s="26"/>
      <c r="AQ620" s="26"/>
      <c r="AR620" s="26"/>
      <c r="AS620" s="26"/>
      <c r="AT620" s="26"/>
      <c r="AU620" s="26"/>
      <c r="AV620" s="26"/>
      <c r="AW620" s="26"/>
      <c r="AX620" s="26"/>
      <c r="AY620" s="26"/>
      <c r="AZ620" s="26"/>
      <c r="BA620" s="26"/>
      <c r="BB620" s="26"/>
      <c r="BC620" s="26"/>
      <c r="BD620" s="26"/>
      <c r="BE620" s="26"/>
      <c r="BF620" s="26"/>
      <c r="BG620" s="26"/>
      <c r="BH620" s="26"/>
      <c r="BI620" s="26"/>
      <c r="BJ620" s="26"/>
      <c r="BK620" s="26"/>
    </row>
    <row r="621" ht="14.25" customHeight="1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  <c r="AB621" s="26"/>
      <c r="AC621" s="26"/>
      <c r="AD621" s="26"/>
      <c r="AE621" s="26"/>
      <c r="AF621" s="26"/>
      <c r="AG621" s="26"/>
      <c r="AH621" s="26"/>
      <c r="AI621" s="26"/>
      <c r="AJ621" s="26"/>
      <c r="AK621" s="26"/>
      <c r="AL621" s="26"/>
      <c r="AM621" s="26"/>
      <c r="AN621" s="26"/>
      <c r="AO621" s="26"/>
      <c r="AP621" s="26"/>
      <c r="AQ621" s="26"/>
      <c r="AR621" s="26"/>
      <c r="AS621" s="26"/>
      <c r="AT621" s="26"/>
      <c r="AU621" s="26"/>
      <c r="AV621" s="26"/>
      <c r="AW621" s="26"/>
      <c r="AX621" s="26"/>
      <c r="AY621" s="26"/>
      <c r="AZ621" s="26"/>
      <c r="BA621" s="26"/>
      <c r="BB621" s="26"/>
      <c r="BC621" s="26"/>
      <c r="BD621" s="26"/>
      <c r="BE621" s="26"/>
      <c r="BF621" s="26"/>
      <c r="BG621" s="26"/>
      <c r="BH621" s="26"/>
      <c r="BI621" s="26"/>
      <c r="BJ621" s="26"/>
      <c r="BK621" s="26"/>
    </row>
    <row r="622" ht="14.25" customHeight="1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  <c r="AC622" s="26"/>
      <c r="AD622" s="26"/>
      <c r="AE622" s="26"/>
      <c r="AF622" s="26"/>
      <c r="AG622" s="26"/>
      <c r="AH622" s="26"/>
      <c r="AI622" s="26"/>
      <c r="AJ622" s="26"/>
      <c r="AK622" s="26"/>
      <c r="AL622" s="26"/>
      <c r="AM622" s="26"/>
      <c r="AN622" s="26"/>
      <c r="AO622" s="26"/>
      <c r="AP622" s="26"/>
      <c r="AQ622" s="26"/>
      <c r="AR622" s="26"/>
      <c r="AS622" s="26"/>
      <c r="AT622" s="26"/>
      <c r="AU622" s="26"/>
      <c r="AV622" s="26"/>
      <c r="AW622" s="26"/>
      <c r="AX622" s="26"/>
      <c r="AY622" s="26"/>
      <c r="AZ622" s="26"/>
      <c r="BA622" s="26"/>
      <c r="BB622" s="26"/>
      <c r="BC622" s="26"/>
      <c r="BD622" s="26"/>
      <c r="BE622" s="26"/>
      <c r="BF622" s="26"/>
      <c r="BG622" s="26"/>
      <c r="BH622" s="26"/>
      <c r="BI622" s="26"/>
      <c r="BJ622" s="26"/>
      <c r="BK622" s="26"/>
    </row>
    <row r="623" ht="14.25" customHeight="1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26"/>
      <c r="AB623" s="26"/>
      <c r="AC623" s="26"/>
      <c r="AD623" s="26"/>
      <c r="AE623" s="26"/>
      <c r="AF623" s="26"/>
      <c r="AG623" s="26"/>
      <c r="AH623" s="26"/>
      <c r="AI623" s="26"/>
      <c r="AJ623" s="26"/>
      <c r="AK623" s="26"/>
      <c r="AL623" s="26"/>
      <c r="AM623" s="26"/>
      <c r="AN623" s="26"/>
      <c r="AO623" s="26"/>
      <c r="AP623" s="26"/>
      <c r="AQ623" s="26"/>
      <c r="AR623" s="26"/>
      <c r="AS623" s="26"/>
      <c r="AT623" s="26"/>
      <c r="AU623" s="26"/>
      <c r="AV623" s="26"/>
      <c r="AW623" s="26"/>
      <c r="AX623" s="26"/>
      <c r="AY623" s="26"/>
      <c r="AZ623" s="26"/>
      <c r="BA623" s="26"/>
      <c r="BB623" s="26"/>
      <c r="BC623" s="26"/>
      <c r="BD623" s="26"/>
      <c r="BE623" s="26"/>
      <c r="BF623" s="26"/>
      <c r="BG623" s="26"/>
      <c r="BH623" s="26"/>
      <c r="BI623" s="26"/>
      <c r="BJ623" s="26"/>
      <c r="BK623" s="26"/>
    </row>
    <row r="624" ht="14.25" customHeight="1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  <c r="AC624" s="26"/>
      <c r="AD624" s="26"/>
      <c r="AE624" s="26"/>
      <c r="AF624" s="26"/>
      <c r="AG624" s="26"/>
      <c r="AH624" s="26"/>
      <c r="AI624" s="26"/>
      <c r="AJ624" s="26"/>
      <c r="AK624" s="26"/>
      <c r="AL624" s="26"/>
      <c r="AM624" s="26"/>
      <c r="AN624" s="26"/>
      <c r="AO624" s="26"/>
      <c r="AP624" s="26"/>
      <c r="AQ624" s="26"/>
      <c r="AR624" s="26"/>
      <c r="AS624" s="26"/>
      <c r="AT624" s="26"/>
      <c r="AU624" s="26"/>
      <c r="AV624" s="26"/>
      <c r="AW624" s="26"/>
      <c r="AX624" s="26"/>
      <c r="AY624" s="26"/>
      <c r="AZ624" s="26"/>
      <c r="BA624" s="26"/>
      <c r="BB624" s="26"/>
      <c r="BC624" s="26"/>
      <c r="BD624" s="26"/>
      <c r="BE624" s="26"/>
      <c r="BF624" s="26"/>
      <c r="BG624" s="26"/>
      <c r="BH624" s="26"/>
      <c r="BI624" s="26"/>
      <c r="BJ624" s="26"/>
      <c r="BK624" s="26"/>
    </row>
    <row r="625" ht="14.25" customHeight="1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  <c r="AC625" s="26"/>
      <c r="AD625" s="26"/>
      <c r="AE625" s="26"/>
      <c r="AF625" s="26"/>
      <c r="AG625" s="26"/>
      <c r="AH625" s="26"/>
      <c r="AI625" s="26"/>
      <c r="AJ625" s="26"/>
      <c r="AK625" s="26"/>
      <c r="AL625" s="26"/>
      <c r="AM625" s="26"/>
      <c r="AN625" s="26"/>
      <c r="AO625" s="26"/>
      <c r="AP625" s="26"/>
      <c r="AQ625" s="26"/>
      <c r="AR625" s="26"/>
      <c r="AS625" s="26"/>
      <c r="AT625" s="26"/>
      <c r="AU625" s="26"/>
      <c r="AV625" s="26"/>
      <c r="AW625" s="26"/>
      <c r="AX625" s="26"/>
      <c r="AY625" s="26"/>
      <c r="AZ625" s="26"/>
      <c r="BA625" s="26"/>
      <c r="BB625" s="26"/>
      <c r="BC625" s="26"/>
      <c r="BD625" s="26"/>
      <c r="BE625" s="26"/>
      <c r="BF625" s="26"/>
      <c r="BG625" s="26"/>
      <c r="BH625" s="26"/>
      <c r="BI625" s="26"/>
      <c r="BJ625" s="26"/>
      <c r="BK625" s="26"/>
    </row>
    <row r="626" ht="14.25" customHeight="1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  <c r="AC626" s="26"/>
      <c r="AD626" s="26"/>
      <c r="AE626" s="26"/>
      <c r="AF626" s="26"/>
      <c r="AG626" s="26"/>
      <c r="AH626" s="26"/>
      <c r="AI626" s="26"/>
      <c r="AJ626" s="26"/>
      <c r="AK626" s="26"/>
      <c r="AL626" s="26"/>
      <c r="AM626" s="26"/>
      <c r="AN626" s="26"/>
      <c r="AO626" s="26"/>
      <c r="AP626" s="26"/>
      <c r="AQ626" s="26"/>
      <c r="AR626" s="26"/>
      <c r="AS626" s="26"/>
      <c r="AT626" s="26"/>
      <c r="AU626" s="26"/>
      <c r="AV626" s="26"/>
      <c r="AW626" s="26"/>
      <c r="AX626" s="26"/>
      <c r="AY626" s="26"/>
      <c r="AZ626" s="26"/>
      <c r="BA626" s="26"/>
      <c r="BB626" s="26"/>
      <c r="BC626" s="26"/>
      <c r="BD626" s="26"/>
      <c r="BE626" s="26"/>
      <c r="BF626" s="26"/>
      <c r="BG626" s="26"/>
      <c r="BH626" s="26"/>
      <c r="BI626" s="26"/>
      <c r="BJ626" s="26"/>
      <c r="BK626" s="26"/>
    </row>
    <row r="627" ht="14.25" customHeight="1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  <c r="AC627" s="26"/>
      <c r="AD627" s="26"/>
      <c r="AE627" s="26"/>
      <c r="AF627" s="26"/>
      <c r="AG627" s="26"/>
      <c r="AH627" s="26"/>
      <c r="AI627" s="26"/>
      <c r="AJ627" s="26"/>
      <c r="AK627" s="26"/>
      <c r="AL627" s="26"/>
      <c r="AM627" s="26"/>
      <c r="AN627" s="26"/>
      <c r="AO627" s="26"/>
      <c r="AP627" s="26"/>
      <c r="AQ627" s="26"/>
      <c r="AR627" s="26"/>
      <c r="AS627" s="26"/>
      <c r="AT627" s="26"/>
      <c r="AU627" s="26"/>
      <c r="AV627" s="26"/>
      <c r="AW627" s="26"/>
      <c r="AX627" s="26"/>
      <c r="AY627" s="26"/>
      <c r="AZ627" s="26"/>
      <c r="BA627" s="26"/>
      <c r="BB627" s="26"/>
      <c r="BC627" s="26"/>
      <c r="BD627" s="26"/>
      <c r="BE627" s="26"/>
      <c r="BF627" s="26"/>
      <c r="BG627" s="26"/>
      <c r="BH627" s="26"/>
      <c r="BI627" s="26"/>
      <c r="BJ627" s="26"/>
      <c r="BK627" s="26"/>
    </row>
    <row r="628" ht="14.25" customHeight="1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  <c r="AC628" s="26"/>
      <c r="AD628" s="26"/>
      <c r="AE628" s="26"/>
      <c r="AF628" s="26"/>
      <c r="AG628" s="26"/>
      <c r="AH628" s="26"/>
      <c r="AI628" s="26"/>
      <c r="AJ628" s="26"/>
      <c r="AK628" s="26"/>
      <c r="AL628" s="26"/>
      <c r="AM628" s="26"/>
      <c r="AN628" s="26"/>
      <c r="AO628" s="26"/>
      <c r="AP628" s="26"/>
      <c r="AQ628" s="26"/>
      <c r="AR628" s="26"/>
      <c r="AS628" s="26"/>
      <c r="AT628" s="26"/>
      <c r="AU628" s="26"/>
      <c r="AV628" s="26"/>
      <c r="AW628" s="26"/>
      <c r="AX628" s="26"/>
      <c r="AY628" s="26"/>
      <c r="AZ628" s="26"/>
      <c r="BA628" s="26"/>
      <c r="BB628" s="26"/>
      <c r="BC628" s="26"/>
      <c r="BD628" s="26"/>
      <c r="BE628" s="26"/>
      <c r="BF628" s="26"/>
      <c r="BG628" s="26"/>
      <c r="BH628" s="26"/>
      <c r="BI628" s="26"/>
      <c r="BJ628" s="26"/>
      <c r="BK628" s="26"/>
    </row>
    <row r="629" ht="14.25" customHeight="1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  <c r="AB629" s="26"/>
      <c r="AC629" s="26"/>
      <c r="AD629" s="26"/>
      <c r="AE629" s="26"/>
      <c r="AF629" s="26"/>
      <c r="AG629" s="26"/>
      <c r="AH629" s="26"/>
      <c r="AI629" s="26"/>
      <c r="AJ629" s="26"/>
      <c r="AK629" s="26"/>
      <c r="AL629" s="26"/>
      <c r="AM629" s="26"/>
      <c r="AN629" s="26"/>
      <c r="AO629" s="26"/>
      <c r="AP629" s="26"/>
      <c r="AQ629" s="26"/>
      <c r="AR629" s="26"/>
      <c r="AS629" s="26"/>
      <c r="AT629" s="26"/>
      <c r="AU629" s="26"/>
      <c r="AV629" s="26"/>
      <c r="AW629" s="26"/>
      <c r="AX629" s="26"/>
      <c r="AY629" s="26"/>
      <c r="AZ629" s="26"/>
      <c r="BA629" s="26"/>
      <c r="BB629" s="26"/>
      <c r="BC629" s="26"/>
      <c r="BD629" s="26"/>
      <c r="BE629" s="26"/>
      <c r="BF629" s="26"/>
      <c r="BG629" s="26"/>
      <c r="BH629" s="26"/>
      <c r="BI629" s="26"/>
      <c r="BJ629" s="26"/>
      <c r="BK629" s="26"/>
    </row>
    <row r="630" ht="14.25" customHeight="1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  <c r="AC630" s="26"/>
      <c r="AD630" s="26"/>
      <c r="AE630" s="26"/>
      <c r="AF630" s="26"/>
      <c r="AG630" s="26"/>
      <c r="AH630" s="26"/>
      <c r="AI630" s="26"/>
      <c r="AJ630" s="26"/>
      <c r="AK630" s="26"/>
      <c r="AL630" s="26"/>
      <c r="AM630" s="26"/>
      <c r="AN630" s="26"/>
      <c r="AO630" s="26"/>
      <c r="AP630" s="26"/>
      <c r="AQ630" s="26"/>
      <c r="AR630" s="26"/>
      <c r="AS630" s="26"/>
      <c r="AT630" s="26"/>
      <c r="AU630" s="26"/>
      <c r="AV630" s="26"/>
      <c r="AW630" s="26"/>
      <c r="AX630" s="26"/>
      <c r="AY630" s="26"/>
      <c r="AZ630" s="26"/>
      <c r="BA630" s="26"/>
      <c r="BB630" s="26"/>
      <c r="BC630" s="26"/>
      <c r="BD630" s="26"/>
      <c r="BE630" s="26"/>
      <c r="BF630" s="26"/>
      <c r="BG630" s="26"/>
      <c r="BH630" s="26"/>
      <c r="BI630" s="26"/>
      <c r="BJ630" s="26"/>
      <c r="BK630" s="26"/>
    </row>
    <row r="631" ht="14.25" customHeight="1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A631" s="26"/>
      <c r="AB631" s="26"/>
      <c r="AC631" s="26"/>
      <c r="AD631" s="26"/>
      <c r="AE631" s="26"/>
      <c r="AF631" s="26"/>
      <c r="AG631" s="26"/>
      <c r="AH631" s="26"/>
      <c r="AI631" s="26"/>
      <c r="AJ631" s="26"/>
      <c r="AK631" s="26"/>
      <c r="AL631" s="26"/>
      <c r="AM631" s="26"/>
      <c r="AN631" s="26"/>
      <c r="AO631" s="26"/>
      <c r="AP631" s="26"/>
      <c r="AQ631" s="26"/>
      <c r="AR631" s="26"/>
      <c r="AS631" s="26"/>
      <c r="AT631" s="26"/>
      <c r="AU631" s="26"/>
      <c r="AV631" s="26"/>
      <c r="AW631" s="26"/>
      <c r="AX631" s="26"/>
      <c r="AY631" s="26"/>
      <c r="AZ631" s="26"/>
      <c r="BA631" s="26"/>
      <c r="BB631" s="26"/>
      <c r="BC631" s="26"/>
      <c r="BD631" s="26"/>
      <c r="BE631" s="26"/>
      <c r="BF631" s="26"/>
      <c r="BG631" s="26"/>
      <c r="BH631" s="26"/>
      <c r="BI631" s="26"/>
      <c r="BJ631" s="26"/>
      <c r="BK631" s="26"/>
    </row>
    <row r="632" ht="14.25" customHeight="1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  <c r="AC632" s="26"/>
      <c r="AD632" s="26"/>
      <c r="AE632" s="26"/>
      <c r="AF632" s="26"/>
      <c r="AG632" s="26"/>
      <c r="AH632" s="26"/>
      <c r="AI632" s="26"/>
      <c r="AJ632" s="26"/>
      <c r="AK632" s="26"/>
      <c r="AL632" s="26"/>
      <c r="AM632" s="26"/>
      <c r="AN632" s="26"/>
      <c r="AO632" s="26"/>
      <c r="AP632" s="26"/>
      <c r="AQ632" s="26"/>
      <c r="AR632" s="26"/>
      <c r="AS632" s="26"/>
      <c r="AT632" s="26"/>
      <c r="AU632" s="26"/>
      <c r="AV632" s="26"/>
      <c r="AW632" s="26"/>
      <c r="AX632" s="26"/>
      <c r="AY632" s="26"/>
      <c r="AZ632" s="26"/>
      <c r="BA632" s="26"/>
      <c r="BB632" s="26"/>
      <c r="BC632" s="26"/>
      <c r="BD632" s="26"/>
      <c r="BE632" s="26"/>
      <c r="BF632" s="26"/>
      <c r="BG632" s="26"/>
      <c r="BH632" s="26"/>
      <c r="BI632" s="26"/>
      <c r="BJ632" s="26"/>
      <c r="BK632" s="26"/>
    </row>
    <row r="633" ht="14.25" customHeight="1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26"/>
      <c r="AB633" s="26"/>
      <c r="AC633" s="26"/>
      <c r="AD633" s="26"/>
      <c r="AE633" s="26"/>
      <c r="AF633" s="26"/>
      <c r="AG633" s="26"/>
      <c r="AH633" s="26"/>
      <c r="AI633" s="26"/>
      <c r="AJ633" s="26"/>
      <c r="AK633" s="26"/>
      <c r="AL633" s="26"/>
      <c r="AM633" s="26"/>
      <c r="AN633" s="26"/>
      <c r="AO633" s="26"/>
      <c r="AP633" s="26"/>
      <c r="AQ633" s="26"/>
      <c r="AR633" s="26"/>
      <c r="AS633" s="26"/>
      <c r="AT633" s="26"/>
      <c r="AU633" s="26"/>
      <c r="AV633" s="26"/>
      <c r="AW633" s="26"/>
      <c r="AX633" s="26"/>
      <c r="AY633" s="26"/>
      <c r="AZ633" s="26"/>
      <c r="BA633" s="26"/>
      <c r="BB633" s="26"/>
      <c r="BC633" s="26"/>
      <c r="BD633" s="26"/>
      <c r="BE633" s="26"/>
      <c r="BF633" s="26"/>
      <c r="BG633" s="26"/>
      <c r="BH633" s="26"/>
      <c r="BI633" s="26"/>
      <c r="BJ633" s="26"/>
      <c r="BK633" s="26"/>
    </row>
    <row r="634" ht="14.25" customHeight="1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  <c r="AC634" s="26"/>
      <c r="AD634" s="26"/>
      <c r="AE634" s="26"/>
      <c r="AF634" s="26"/>
      <c r="AG634" s="26"/>
      <c r="AH634" s="26"/>
      <c r="AI634" s="26"/>
      <c r="AJ634" s="26"/>
      <c r="AK634" s="26"/>
      <c r="AL634" s="26"/>
      <c r="AM634" s="26"/>
      <c r="AN634" s="26"/>
      <c r="AO634" s="26"/>
      <c r="AP634" s="26"/>
      <c r="AQ634" s="26"/>
      <c r="AR634" s="26"/>
      <c r="AS634" s="26"/>
      <c r="AT634" s="26"/>
      <c r="AU634" s="26"/>
      <c r="AV634" s="26"/>
      <c r="AW634" s="26"/>
      <c r="AX634" s="26"/>
      <c r="AY634" s="26"/>
      <c r="AZ634" s="26"/>
      <c r="BA634" s="26"/>
      <c r="BB634" s="26"/>
      <c r="BC634" s="26"/>
      <c r="BD634" s="26"/>
      <c r="BE634" s="26"/>
      <c r="BF634" s="26"/>
      <c r="BG634" s="26"/>
      <c r="BH634" s="26"/>
      <c r="BI634" s="26"/>
      <c r="BJ634" s="26"/>
      <c r="BK634" s="26"/>
    </row>
    <row r="635" ht="14.25" customHeight="1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  <c r="AC635" s="26"/>
      <c r="AD635" s="26"/>
      <c r="AE635" s="26"/>
      <c r="AF635" s="26"/>
      <c r="AG635" s="26"/>
      <c r="AH635" s="26"/>
      <c r="AI635" s="26"/>
      <c r="AJ635" s="26"/>
      <c r="AK635" s="26"/>
      <c r="AL635" s="26"/>
      <c r="AM635" s="26"/>
      <c r="AN635" s="26"/>
      <c r="AO635" s="26"/>
      <c r="AP635" s="26"/>
      <c r="AQ635" s="26"/>
      <c r="AR635" s="26"/>
      <c r="AS635" s="26"/>
      <c r="AT635" s="26"/>
      <c r="AU635" s="26"/>
      <c r="AV635" s="26"/>
      <c r="AW635" s="26"/>
      <c r="AX635" s="26"/>
      <c r="AY635" s="26"/>
      <c r="AZ635" s="26"/>
      <c r="BA635" s="26"/>
      <c r="BB635" s="26"/>
      <c r="BC635" s="26"/>
      <c r="BD635" s="26"/>
      <c r="BE635" s="26"/>
      <c r="BF635" s="26"/>
      <c r="BG635" s="26"/>
      <c r="BH635" s="26"/>
      <c r="BI635" s="26"/>
      <c r="BJ635" s="26"/>
      <c r="BK635" s="26"/>
    </row>
    <row r="636" ht="14.25" customHeight="1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  <c r="AC636" s="26"/>
      <c r="AD636" s="26"/>
      <c r="AE636" s="26"/>
      <c r="AF636" s="26"/>
      <c r="AG636" s="26"/>
      <c r="AH636" s="26"/>
      <c r="AI636" s="26"/>
      <c r="AJ636" s="26"/>
      <c r="AK636" s="26"/>
      <c r="AL636" s="26"/>
      <c r="AM636" s="26"/>
      <c r="AN636" s="26"/>
      <c r="AO636" s="26"/>
      <c r="AP636" s="26"/>
      <c r="AQ636" s="26"/>
      <c r="AR636" s="26"/>
      <c r="AS636" s="26"/>
      <c r="AT636" s="26"/>
      <c r="AU636" s="26"/>
      <c r="AV636" s="26"/>
      <c r="AW636" s="26"/>
      <c r="AX636" s="26"/>
      <c r="AY636" s="26"/>
      <c r="AZ636" s="26"/>
      <c r="BA636" s="26"/>
      <c r="BB636" s="26"/>
      <c r="BC636" s="26"/>
      <c r="BD636" s="26"/>
      <c r="BE636" s="26"/>
      <c r="BF636" s="26"/>
      <c r="BG636" s="26"/>
      <c r="BH636" s="26"/>
      <c r="BI636" s="26"/>
      <c r="BJ636" s="26"/>
      <c r="BK636" s="26"/>
    </row>
    <row r="637" ht="14.25" customHeight="1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  <c r="AC637" s="26"/>
      <c r="AD637" s="26"/>
      <c r="AE637" s="26"/>
      <c r="AF637" s="26"/>
      <c r="AG637" s="26"/>
      <c r="AH637" s="26"/>
      <c r="AI637" s="26"/>
      <c r="AJ637" s="26"/>
      <c r="AK637" s="26"/>
      <c r="AL637" s="26"/>
      <c r="AM637" s="26"/>
      <c r="AN637" s="26"/>
      <c r="AO637" s="26"/>
      <c r="AP637" s="26"/>
      <c r="AQ637" s="26"/>
      <c r="AR637" s="26"/>
      <c r="AS637" s="26"/>
      <c r="AT637" s="26"/>
      <c r="AU637" s="26"/>
      <c r="AV637" s="26"/>
      <c r="AW637" s="26"/>
      <c r="AX637" s="26"/>
      <c r="AY637" s="26"/>
      <c r="AZ637" s="26"/>
      <c r="BA637" s="26"/>
      <c r="BB637" s="26"/>
      <c r="BC637" s="26"/>
      <c r="BD637" s="26"/>
      <c r="BE637" s="26"/>
      <c r="BF637" s="26"/>
      <c r="BG637" s="26"/>
      <c r="BH637" s="26"/>
      <c r="BI637" s="26"/>
      <c r="BJ637" s="26"/>
      <c r="BK637" s="26"/>
    </row>
    <row r="638" ht="14.25" customHeight="1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  <c r="AC638" s="26"/>
      <c r="AD638" s="26"/>
      <c r="AE638" s="26"/>
      <c r="AF638" s="26"/>
      <c r="AG638" s="26"/>
      <c r="AH638" s="26"/>
      <c r="AI638" s="26"/>
      <c r="AJ638" s="26"/>
      <c r="AK638" s="26"/>
      <c r="AL638" s="26"/>
      <c r="AM638" s="26"/>
      <c r="AN638" s="26"/>
      <c r="AO638" s="26"/>
      <c r="AP638" s="26"/>
      <c r="AQ638" s="26"/>
      <c r="AR638" s="26"/>
      <c r="AS638" s="26"/>
      <c r="AT638" s="26"/>
      <c r="AU638" s="26"/>
      <c r="AV638" s="26"/>
      <c r="AW638" s="26"/>
      <c r="AX638" s="26"/>
      <c r="AY638" s="26"/>
      <c r="AZ638" s="26"/>
      <c r="BA638" s="26"/>
      <c r="BB638" s="26"/>
      <c r="BC638" s="26"/>
      <c r="BD638" s="26"/>
      <c r="BE638" s="26"/>
      <c r="BF638" s="26"/>
      <c r="BG638" s="26"/>
      <c r="BH638" s="26"/>
      <c r="BI638" s="26"/>
      <c r="BJ638" s="26"/>
      <c r="BK638" s="26"/>
    </row>
    <row r="639" ht="14.25" customHeight="1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  <c r="AC639" s="26"/>
      <c r="AD639" s="26"/>
      <c r="AE639" s="26"/>
      <c r="AF639" s="26"/>
      <c r="AG639" s="26"/>
      <c r="AH639" s="26"/>
      <c r="AI639" s="26"/>
      <c r="AJ639" s="26"/>
      <c r="AK639" s="26"/>
      <c r="AL639" s="26"/>
      <c r="AM639" s="26"/>
      <c r="AN639" s="26"/>
      <c r="AO639" s="26"/>
      <c r="AP639" s="26"/>
      <c r="AQ639" s="26"/>
      <c r="AR639" s="26"/>
      <c r="AS639" s="26"/>
      <c r="AT639" s="26"/>
      <c r="AU639" s="26"/>
      <c r="AV639" s="26"/>
      <c r="AW639" s="26"/>
      <c r="AX639" s="26"/>
      <c r="AY639" s="26"/>
      <c r="AZ639" s="26"/>
      <c r="BA639" s="26"/>
      <c r="BB639" s="26"/>
      <c r="BC639" s="26"/>
      <c r="BD639" s="26"/>
      <c r="BE639" s="26"/>
      <c r="BF639" s="26"/>
      <c r="BG639" s="26"/>
      <c r="BH639" s="26"/>
      <c r="BI639" s="26"/>
      <c r="BJ639" s="26"/>
      <c r="BK639" s="26"/>
    </row>
    <row r="640" ht="14.25" customHeight="1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  <c r="AC640" s="26"/>
      <c r="AD640" s="26"/>
      <c r="AE640" s="26"/>
      <c r="AF640" s="26"/>
      <c r="AG640" s="26"/>
      <c r="AH640" s="26"/>
      <c r="AI640" s="26"/>
      <c r="AJ640" s="26"/>
      <c r="AK640" s="26"/>
      <c r="AL640" s="26"/>
      <c r="AM640" s="26"/>
      <c r="AN640" s="26"/>
      <c r="AO640" s="26"/>
      <c r="AP640" s="26"/>
      <c r="AQ640" s="26"/>
      <c r="AR640" s="26"/>
      <c r="AS640" s="26"/>
      <c r="AT640" s="26"/>
      <c r="AU640" s="26"/>
      <c r="AV640" s="26"/>
      <c r="AW640" s="26"/>
      <c r="AX640" s="26"/>
      <c r="AY640" s="26"/>
      <c r="AZ640" s="26"/>
      <c r="BA640" s="26"/>
      <c r="BB640" s="26"/>
      <c r="BC640" s="26"/>
      <c r="BD640" s="26"/>
      <c r="BE640" s="26"/>
      <c r="BF640" s="26"/>
      <c r="BG640" s="26"/>
      <c r="BH640" s="26"/>
      <c r="BI640" s="26"/>
      <c r="BJ640" s="26"/>
      <c r="BK640" s="26"/>
    </row>
    <row r="641" ht="14.25" customHeight="1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  <c r="AC641" s="26"/>
      <c r="AD641" s="26"/>
      <c r="AE641" s="26"/>
      <c r="AF641" s="26"/>
      <c r="AG641" s="26"/>
      <c r="AH641" s="26"/>
      <c r="AI641" s="26"/>
      <c r="AJ641" s="26"/>
      <c r="AK641" s="26"/>
      <c r="AL641" s="26"/>
      <c r="AM641" s="26"/>
      <c r="AN641" s="26"/>
      <c r="AO641" s="26"/>
      <c r="AP641" s="26"/>
      <c r="AQ641" s="26"/>
      <c r="AR641" s="26"/>
      <c r="AS641" s="26"/>
      <c r="AT641" s="26"/>
      <c r="AU641" s="26"/>
      <c r="AV641" s="26"/>
      <c r="AW641" s="26"/>
      <c r="AX641" s="26"/>
      <c r="AY641" s="26"/>
      <c r="AZ641" s="26"/>
      <c r="BA641" s="26"/>
      <c r="BB641" s="26"/>
      <c r="BC641" s="26"/>
      <c r="BD641" s="26"/>
      <c r="BE641" s="26"/>
      <c r="BF641" s="26"/>
      <c r="BG641" s="26"/>
      <c r="BH641" s="26"/>
      <c r="BI641" s="26"/>
      <c r="BJ641" s="26"/>
      <c r="BK641" s="26"/>
    </row>
    <row r="642" ht="14.25" customHeight="1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  <c r="AC642" s="26"/>
      <c r="AD642" s="26"/>
      <c r="AE642" s="26"/>
      <c r="AF642" s="26"/>
      <c r="AG642" s="26"/>
      <c r="AH642" s="26"/>
      <c r="AI642" s="26"/>
      <c r="AJ642" s="26"/>
      <c r="AK642" s="26"/>
      <c r="AL642" s="26"/>
      <c r="AM642" s="26"/>
      <c r="AN642" s="26"/>
      <c r="AO642" s="26"/>
      <c r="AP642" s="26"/>
      <c r="AQ642" s="26"/>
      <c r="AR642" s="26"/>
      <c r="AS642" s="26"/>
      <c r="AT642" s="26"/>
      <c r="AU642" s="26"/>
      <c r="AV642" s="26"/>
      <c r="AW642" s="26"/>
      <c r="AX642" s="26"/>
      <c r="AY642" s="26"/>
      <c r="AZ642" s="26"/>
      <c r="BA642" s="26"/>
      <c r="BB642" s="26"/>
      <c r="BC642" s="26"/>
      <c r="BD642" s="26"/>
      <c r="BE642" s="26"/>
      <c r="BF642" s="26"/>
      <c r="BG642" s="26"/>
      <c r="BH642" s="26"/>
      <c r="BI642" s="26"/>
      <c r="BJ642" s="26"/>
      <c r="BK642" s="26"/>
    </row>
    <row r="643" ht="14.25" customHeight="1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  <c r="AB643" s="26"/>
      <c r="AC643" s="26"/>
      <c r="AD643" s="26"/>
      <c r="AE643" s="26"/>
      <c r="AF643" s="26"/>
      <c r="AG643" s="26"/>
      <c r="AH643" s="26"/>
      <c r="AI643" s="26"/>
      <c r="AJ643" s="26"/>
      <c r="AK643" s="26"/>
      <c r="AL643" s="26"/>
      <c r="AM643" s="26"/>
      <c r="AN643" s="26"/>
      <c r="AO643" s="26"/>
      <c r="AP643" s="26"/>
      <c r="AQ643" s="26"/>
      <c r="AR643" s="26"/>
      <c r="AS643" s="26"/>
      <c r="AT643" s="26"/>
      <c r="AU643" s="26"/>
      <c r="AV643" s="26"/>
      <c r="AW643" s="26"/>
      <c r="AX643" s="26"/>
      <c r="AY643" s="26"/>
      <c r="AZ643" s="26"/>
      <c r="BA643" s="26"/>
      <c r="BB643" s="26"/>
      <c r="BC643" s="26"/>
      <c r="BD643" s="26"/>
      <c r="BE643" s="26"/>
      <c r="BF643" s="26"/>
      <c r="BG643" s="26"/>
      <c r="BH643" s="26"/>
      <c r="BI643" s="26"/>
      <c r="BJ643" s="26"/>
      <c r="BK643" s="26"/>
    </row>
    <row r="644" ht="14.25" customHeight="1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  <c r="AC644" s="26"/>
      <c r="AD644" s="26"/>
      <c r="AE644" s="26"/>
      <c r="AF644" s="26"/>
      <c r="AG644" s="26"/>
      <c r="AH644" s="26"/>
      <c r="AI644" s="26"/>
      <c r="AJ644" s="26"/>
      <c r="AK644" s="26"/>
      <c r="AL644" s="26"/>
      <c r="AM644" s="26"/>
      <c r="AN644" s="26"/>
      <c r="AO644" s="26"/>
      <c r="AP644" s="26"/>
      <c r="AQ644" s="26"/>
      <c r="AR644" s="26"/>
      <c r="AS644" s="26"/>
      <c r="AT644" s="26"/>
      <c r="AU644" s="26"/>
      <c r="AV644" s="26"/>
      <c r="AW644" s="26"/>
      <c r="AX644" s="26"/>
      <c r="AY644" s="26"/>
      <c r="AZ644" s="26"/>
      <c r="BA644" s="26"/>
      <c r="BB644" s="26"/>
      <c r="BC644" s="26"/>
      <c r="BD644" s="26"/>
      <c r="BE644" s="26"/>
      <c r="BF644" s="26"/>
      <c r="BG644" s="26"/>
      <c r="BH644" s="26"/>
      <c r="BI644" s="26"/>
      <c r="BJ644" s="26"/>
      <c r="BK644" s="26"/>
    </row>
    <row r="645" ht="14.25" customHeight="1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  <c r="AB645" s="26"/>
      <c r="AC645" s="26"/>
      <c r="AD645" s="26"/>
      <c r="AE645" s="26"/>
      <c r="AF645" s="26"/>
      <c r="AG645" s="26"/>
      <c r="AH645" s="26"/>
      <c r="AI645" s="26"/>
      <c r="AJ645" s="26"/>
      <c r="AK645" s="26"/>
      <c r="AL645" s="26"/>
      <c r="AM645" s="26"/>
      <c r="AN645" s="26"/>
      <c r="AO645" s="26"/>
      <c r="AP645" s="26"/>
      <c r="AQ645" s="26"/>
      <c r="AR645" s="26"/>
      <c r="AS645" s="26"/>
      <c r="AT645" s="26"/>
      <c r="AU645" s="26"/>
      <c r="AV645" s="26"/>
      <c r="AW645" s="26"/>
      <c r="AX645" s="26"/>
      <c r="AY645" s="26"/>
      <c r="AZ645" s="26"/>
      <c r="BA645" s="26"/>
      <c r="BB645" s="26"/>
      <c r="BC645" s="26"/>
      <c r="BD645" s="26"/>
      <c r="BE645" s="26"/>
      <c r="BF645" s="26"/>
      <c r="BG645" s="26"/>
      <c r="BH645" s="26"/>
      <c r="BI645" s="26"/>
      <c r="BJ645" s="26"/>
      <c r="BK645" s="26"/>
    </row>
    <row r="646" ht="14.25" customHeight="1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  <c r="AC646" s="26"/>
      <c r="AD646" s="26"/>
      <c r="AE646" s="26"/>
      <c r="AF646" s="26"/>
      <c r="AG646" s="26"/>
      <c r="AH646" s="26"/>
      <c r="AI646" s="26"/>
      <c r="AJ646" s="26"/>
      <c r="AK646" s="26"/>
      <c r="AL646" s="26"/>
      <c r="AM646" s="26"/>
      <c r="AN646" s="26"/>
      <c r="AO646" s="26"/>
      <c r="AP646" s="26"/>
      <c r="AQ646" s="26"/>
      <c r="AR646" s="26"/>
      <c r="AS646" s="26"/>
      <c r="AT646" s="26"/>
      <c r="AU646" s="26"/>
      <c r="AV646" s="26"/>
      <c r="AW646" s="26"/>
      <c r="AX646" s="26"/>
      <c r="AY646" s="26"/>
      <c r="AZ646" s="26"/>
      <c r="BA646" s="26"/>
      <c r="BB646" s="26"/>
      <c r="BC646" s="26"/>
      <c r="BD646" s="26"/>
      <c r="BE646" s="26"/>
      <c r="BF646" s="26"/>
      <c r="BG646" s="26"/>
      <c r="BH646" s="26"/>
      <c r="BI646" s="26"/>
      <c r="BJ646" s="26"/>
      <c r="BK646" s="26"/>
    </row>
    <row r="647" ht="14.25" customHeight="1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  <c r="AB647" s="26"/>
      <c r="AC647" s="26"/>
      <c r="AD647" s="26"/>
      <c r="AE647" s="26"/>
      <c r="AF647" s="26"/>
      <c r="AG647" s="26"/>
      <c r="AH647" s="26"/>
      <c r="AI647" s="26"/>
      <c r="AJ647" s="26"/>
      <c r="AK647" s="26"/>
      <c r="AL647" s="26"/>
      <c r="AM647" s="26"/>
      <c r="AN647" s="26"/>
      <c r="AO647" s="26"/>
      <c r="AP647" s="26"/>
      <c r="AQ647" s="26"/>
      <c r="AR647" s="26"/>
      <c r="AS647" s="26"/>
      <c r="AT647" s="26"/>
      <c r="AU647" s="26"/>
      <c r="AV647" s="26"/>
      <c r="AW647" s="26"/>
      <c r="AX647" s="26"/>
      <c r="AY647" s="26"/>
      <c r="AZ647" s="26"/>
      <c r="BA647" s="26"/>
      <c r="BB647" s="26"/>
      <c r="BC647" s="26"/>
      <c r="BD647" s="26"/>
      <c r="BE647" s="26"/>
      <c r="BF647" s="26"/>
      <c r="BG647" s="26"/>
      <c r="BH647" s="26"/>
      <c r="BI647" s="26"/>
      <c r="BJ647" s="26"/>
      <c r="BK647" s="26"/>
    </row>
    <row r="648" ht="14.25" customHeight="1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  <c r="AC648" s="26"/>
      <c r="AD648" s="26"/>
      <c r="AE648" s="26"/>
      <c r="AF648" s="26"/>
      <c r="AG648" s="26"/>
      <c r="AH648" s="26"/>
      <c r="AI648" s="26"/>
      <c r="AJ648" s="26"/>
      <c r="AK648" s="26"/>
      <c r="AL648" s="26"/>
      <c r="AM648" s="26"/>
      <c r="AN648" s="26"/>
      <c r="AO648" s="26"/>
      <c r="AP648" s="26"/>
      <c r="AQ648" s="26"/>
      <c r="AR648" s="26"/>
      <c r="AS648" s="26"/>
      <c r="AT648" s="26"/>
      <c r="AU648" s="26"/>
      <c r="AV648" s="26"/>
      <c r="AW648" s="26"/>
      <c r="AX648" s="26"/>
      <c r="AY648" s="26"/>
      <c r="AZ648" s="26"/>
      <c r="BA648" s="26"/>
      <c r="BB648" s="26"/>
      <c r="BC648" s="26"/>
      <c r="BD648" s="26"/>
      <c r="BE648" s="26"/>
      <c r="BF648" s="26"/>
      <c r="BG648" s="26"/>
      <c r="BH648" s="26"/>
      <c r="BI648" s="26"/>
      <c r="BJ648" s="26"/>
      <c r="BK648" s="26"/>
    </row>
    <row r="649" ht="14.25" customHeight="1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  <c r="AB649" s="26"/>
      <c r="AC649" s="26"/>
      <c r="AD649" s="26"/>
      <c r="AE649" s="26"/>
      <c r="AF649" s="26"/>
      <c r="AG649" s="26"/>
      <c r="AH649" s="26"/>
      <c r="AI649" s="26"/>
      <c r="AJ649" s="26"/>
      <c r="AK649" s="26"/>
      <c r="AL649" s="26"/>
      <c r="AM649" s="26"/>
      <c r="AN649" s="26"/>
      <c r="AO649" s="26"/>
      <c r="AP649" s="26"/>
      <c r="AQ649" s="26"/>
      <c r="AR649" s="26"/>
      <c r="AS649" s="26"/>
      <c r="AT649" s="26"/>
      <c r="AU649" s="26"/>
      <c r="AV649" s="26"/>
      <c r="AW649" s="26"/>
      <c r="AX649" s="26"/>
      <c r="AY649" s="26"/>
      <c r="AZ649" s="26"/>
      <c r="BA649" s="26"/>
      <c r="BB649" s="26"/>
      <c r="BC649" s="26"/>
      <c r="BD649" s="26"/>
      <c r="BE649" s="26"/>
      <c r="BF649" s="26"/>
      <c r="BG649" s="26"/>
      <c r="BH649" s="26"/>
      <c r="BI649" s="26"/>
      <c r="BJ649" s="26"/>
      <c r="BK649" s="26"/>
    </row>
    <row r="650" ht="14.25" customHeight="1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  <c r="AC650" s="26"/>
      <c r="AD650" s="26"/>
      <c r="AE650" s="26"/>
      <c r="AF650" s="26"/>
      <c r="AG650" s="26"/>
      <c r="AH650" s="26"/>
      <c r="AI650" s="26"/>
      <c r="AJ650" s="26"/>
      <c r="AK650" s="26"/>
      <c r="AL650" s="26"/>
      <c r="AM650" s="26"/>
      <c r="AN650" s="26"/>
      <c r="AO650" s="26"/>
      <c r="AP650" s="26"/>
      <c r="AQ650" s="26"/>
      <c r="AR650" s="26"/>
      <c r="AS650" s="26"/>
      <c r="AT650" s="26"/>
      <c r="AU650" s="26"/>
      <c r="AV650" s="26"/>
      <c r="AW650" s="26"/>
      <c r="AX650" s="26"/>
      <c r="AY650" s="26"/>
      <c r="AZ650" s="26"/>
      <c r="BA650" s="26"/>
      <c r="BB650" s="26"/>
      <c r="BC650" s="26"/>
      <c r="BD650" s="26"/>
      <c r="BE650" s="26"/>
      <c r="BF650" s="26"/>
      <c r="BG650" s="26"/>
      <c r="BH650" s="26"/>
      <c r="BI650" s="26"/>
      <c r="BJ650" s="26"/>
      <c r="BK650" s="26"/>
    </row>
    <row r="651" ht="14.25" customHeight="1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A651" s="26"/>
      <c r="AB651" s="26"/>
      <c r="AC651" s="26"/>
      <c r="AD651" s="26"/>
      <c r="AE651" s="26"/>
      <c r="AF651" s="26"/>
      <c r="AG651" s="26"/>
      <c r="AH651" s="26"/>
      <c r="AI651" s="26"/>
      <c r="AJ651" s="26"/>
      <c r="AK651" s="26"/>
      <c r="AL651" s="26"/>
      <c r="AM651" s="26"/>
      <c r="AN651" s="26"/>
      <c r="AO651" s="26"/>
      <c r="AP651" s="26"/>
      <c r="AQ651" s="26"/>
      <c r="AR651" s="26"/>
      <c r="AS651" s="26"/>
      <c r="AT651" s="26"/>
      <c r="AU651" s="26"/>
      <c r="AV651" s="26"/>
      <c r="AW651" s="26"/>
      <c r="AX651" s="26"/>
      <c r="AY651" s="26"/>
      <c r="AZ651" s="26"/>
      <c r="BA651" s="26"/>
      <c r="BB651" s="26"/>
      <c r="BC651" s="26"/>
      <c r="BD651" s="26"/>
      <c r="BE651" s="26"/>
      <c r="BF651" s="26"/>
      <c r="BG651" s="26"/>
      <c r="BH651" s="26"/>
      <c r="BI651" s="26"/>
      <c r="BJ651" s="26"/>
      <c r="BK651" s="26"/>
    </row>
    <row r="652" ht="14.25" customHeight="1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  <c r="AC652" s="26"/>
      <c r="AD652" s="26"/>
      <c r="AE652" s="26"/>
      <c r="AF652" s="26"/>
      <c r="AG652" s="26"/>
      <c r="AH652" s="26"/>
      <c r="AI652" s="26"/>
      <c r="AJ652" s="26"/>
      <c r="AK652" s="26"/>
      <c r="AL652" s="26"/>
      <c r="AM652" s="26"/>
      <c r="AN652" s="26"/>
      <c r="AO652" s="26"/>
      <c r="AP652" s="26"/>
      <c r="AQ652" s="26"/>
      <c r="AR652" s="26"/>
      <c r="AS652" s="26"/>
      <c r="AT652" s="26"/>
      <c r="AU652" s="26"/>
      <c r="AV652" s="26"/>
      <c r="AW652" s="26"/>
      <c r="AX652" s="26"/>
      <c r="AY652" s="26"/>
      <c r="AZ652" s="26"/>
      <c r="BA652" s="26"/>
      <c r="BB652" s="26"/>
      <c r="BC652" s="26"/>
      <c r="BD652" s="26"/>
      <c r="BE652" s="26"/>
      <c r="BF652" s="26"/>
      <c r="BG652" s="26"/>
      <c r="BH652" s="26"/>
      <c r="BI652" s="26"/>
      <c r="BJ652" s="26"/>
      <c r="BK652" s="26"/>
    </row>
    <row r="653" ht="14.25" customHeight="1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  <c r="AB653" s="26"/>
      <c r="AC653" s="26"/>
      <c r="AD653" s="26"/>
      <c r="AE653" s="26"/>
      <c r="AF653" s="26"/>
      <c r="AG653" s="26"/>
      <c r="AH653" s="26"/>
      <c r="AI653" s="26"/>
      <c r="AJ653" s="26"/>
      <c r="AK653" s="26"/>
      <c r="AL653" s="26"/>
      <c r="AM653" s="26"/>
      <c r="AN653" s="26"/>
      <c r="AO653" s="26"/>
      <c r="AP653" s="26"/>
      <c r="AQ653" s="26"/>
      <c r="AR653" s="26"/>
      <c r="AS653" s="26"/>
      <c r="AT653" s="26"/>
      <c r="AU653" s="26"/>
      <c r="AV653" s="26"/>
      <c r="AW653" s="26"/>
      <c r="AX653" s="26"/>
      <c r="AY653" s="26"/>
      <c r="AZ653" s="26"/>
      <c r="BA653" s="26"/>
      <c r="BB653" s="26"/>
      <c r="BC653" s="26"/>
      <c r="BD653" s="26"/>
      <c r="BE653" s="26"/>
      <c r="BF653" s="26"/>
      <c r="BG653" s="26"/>
      <c r="BH653" s="26"/>
      <c r="BI653" s="26"/>
      <c r="BJ653" s="26"/>
      <c r="BK653" s="26"/>
    </row>
    <row r="654" ht="14.25" customHeight="1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  <c r="AC654" s="26"/>
      <c r="AD654" s="26"/>
      <c r="AE654" s="26"/>
      <c r="AF654" s="26"/>
      <c r="AG654" s="26"/>
      <c r="AH654" s="26"/>
      <c r="AI654" s="26"/>
      <c r="AJ654" s="26"/>
      <c r="AK654" s="26"/>
      <c r="AL654" s="26"/>
      <c r="AM654" s="26"/>
      <c r="AN654" s="26"/>
      <c r="AO654" s="26"/>
      <c r="AP654" s="26"/>
      <c r="AQ654" s="26"/>
      <c r="AR654" s="26"/>
      <c r="AS654" s="26"/>
      <c r="AT654" s="26"/>
      <c r="AU654" s="26"/>
      <c r="AV654" s="26"/>
      <c r="AW654" s="26"/>
      <c r="AX654" s="26"/>
      <c r="AY654" s="26"/>
      <c r="AZ654" s="26"/>
      <c r="BA654" s="26"/>
      <c r="BB654" s="26"/>
      <c r="BC654" s="26"/>
      <c r="BD654" s="26"/>
      <c r="BE654" s="26"/>
      <c r="BF654" s="26"/>
      <c r="BG654" s="26"/>
      <c r="BH654" s="26"/>
      <c r="BI654" s="26"/>
      <c r="BJ654" s="26"/>
      <c r="BK654" s="26"/>
    </row>
    <row r="655" ht="14.25" customHeight="1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  <c r="AB655" s="26"/>
      <c r="AC655" s="26"/>
      <c r="AD655" s="26"/>
      <c r="AE655" s="26"/>
      <c r="AF655" s="26"/>
      <c r="AG655" s="26"/>
      <c r="AH655" s="26"/>
      <c r="AI655" s="26"/>
      <c r="AJ655" s="26"/>
      <c r="AK655" s="26"/>
      <c r="AL655" s="26"/>
      <c r="AM655" s="26"/>
      <c r="AN655" s="26"/>
      <c r="AO655" s="26"/>
      <c r="AP655" s="26"/>
      <c r="AQ655" s="26"/>
      <c r="AR655" s="26"/>
      <c r="AS655" s="26"/>
      <c r="AT655" s="26"/>
      <c r="AU655" s="26"/>
      <c r="AV655" s="26"/>
      <c r="AW655" s="26"/>
      <c r="AX655" s="26"/>
      <c r="AY655" s="26"/>
      <c r="AZ655" s="26"/>
      <c r="BA655" s="26"/>
      <c r="BB655" s="26"/>
      <c r="BC655" s="26"/>
      <c r="BD655" s="26"/>
      <c r="BE655" s="26"/>
      <c r="BF655" s="26"/>
      <c r="BG655" s="26"/>
      <c r="BH655" s="26"/>
      <c r="BI655" s="26"/>
      <c r="BJ655" s="26"/>
      <c r="BK655" s="26"/>
    </row>
    <row r="656" ht="14.25" customHeight="1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  <c r="AC656" s="26"/>
      <c r="AD656" s="26"/>
      <c r="AE656" s="26"/>
      <c r="AF656" s="26"/>
      <c r="AG656" s="26"/>
      <c r="AH656" s="26"/>
      <c r="AI656" s="26"/>
      <c r="AJ656" s="26"/>
      <c r="AK656" s="26"/>
      <c r="AL656" s="26"/>
      <c r="AM656" s="26"/>
      <c r="AN656" s="26"/>
      <c r="AO656" s="26"/>
      <c r="AP656" s="26"/>
      <c r="AQ656" s="26"/>
      <c r="AR656" s="26"/>
      <c r="AS656" s="26"/>
      <c r="AT656" s="26"/>
      <c r="AU656" s="26"/>
      <c r="AV656" s="26"/>
      <c r="AW656" s="26"/>
      <c r="AX656" s="26"/>
      <c r="AY656" s="26"/>
      <c r="AZ656" s="26"/>
      <c r="BA656" s="26"/>
      <c r="BB656" s="26"/>
      <c r="BC656" s="26"/>
      <c r="BD656" s="26"/>
      <c r="BE656" s="26"/>
      <c r="BF656" s="26"/>
      <c r="BG656" s="26"/>
      <c r="BH656" s="26"/>
      <c r="BI656" s="26"/>
      <c r="BJ656" s="26"/>
      <c r="BK656" s="26"/>
    </row>
    <row r="657" ht="14.25" customHeight="1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  <c r="AB657" s="26"/>
      <c r="AC657" s="26"/>
      <c r="AD657" s="26"/>
      <c r="AE657" s="26"/>
      <c r="AF657" s="26"/>
      <c r="AG657" s="26"/>
      <c r="AH657" s="26"/>
      <c r="AI657" s="26"/>
      <c r="AJ657" s="26"/>
      <c r="AK657" s="26"/>
      <c r="AL657" s="26"/>
      <c r="AM657" s="26"/>
      <c r="AN657" s="26"/>
      <c r="AO657" s="26"/>
      <c r="AP657" s="26"/>
      <c r="AQ657" s="26"/>
      <c r="AR657" s="26"/>
      <c r="AS657" s="26"/>
      <c r="AT657" s="26"/>
      <c r="AU657" s="26"/>
      <c r="AV657" s="26"/>
      <c r="AW657" s="26"/>
      <c r="AX657" s="26"/>
      <c r="AY657" s="26"/>
      <c r="AZ657" s="26"/>
      <c r="BA657" s="26"/>
      <c r="BB657" s="26"/>
      <c r="BC657" s="26"/>
      <c r="BD657" s="26"/>
      <c r="BE657" s="26"/>
      <c r="BF657" s="26"/>
      <c r="BG657" s="26"/>
      <c r="BH657" s="26"/>
      <c r="BI657" s="26"/>
      <c r="BJ657" s="26"/>
      <c r="BK657" s="26"/>
    </row>
    <row r="658" ht="14.25" customHeight="1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  <c r="AC658" s="26"/>
      <c r="AD658" s="26"/>
      <c r="AE658" s="26"/>
      <c r="AF658" s="26"/>
      <c r="AG658" s="26"/>
      <c r="AH658" s="26"/>
      <c r="AI658" s="26"/>
      <c r="AJ658" s="26"/>
      <c r="AK658" s="26"/>
      <c r="AL658" s="26"/>
      <c r="AM658" s="26"/>
      <c r="AN658" s="26"/>
      <c r="AO658" s="26"/>
      <c r="AP658" s="26"/>
      <c r="AQ658" s="26"/>
      <c r="AR658" s="26"/>
      <c r="AS658" s="26"/>
      <c r="AT658" s="26"/>
      <c r="AU658" s="26"/>
      <c r="AV658" s="26"/>
      <c r="AW658" s="26"/>
      <c r="AX658" s="26"/>
      <c r="AY658" s="26"/>
      <c r="AZ658" s="26"/>
      <c r="BA658" s="26"/>
      <c r="BB658" s="26"/>
      <c r="BC658" s="26"/>
      <c r="BD658" s="26"/>
      <c r="BE658" s="26"/>
      <c r="BF658" s="26"/>
      <c r="BG658" s="26"/>
      <c r="BH658" s="26"/>
      <c r="BI658" s="26"/>
      <c r="BJ658" s="26"/>
      <c r="BK658" s="26"/>
    </row>
    <row r="659" ht="14.25" customHeight="1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26"/>
      <c r="AB659" s="26"/>
      <c r="AC659" s="26"/>
      <c r="AD659" s="26"/>
      <c r="AE659" s="26"/>
      <c r="AF659" s="26"/>
      <c r="AG659" s="26"/>
      <c r="AH659" s="26"/>
      <c r="AI659" s="26"/>
      <c r="AJ659" s="26"/>
      <c r="AK659" s="26"/>
      <c r="AL659" s="26"/>
      <c r="AM659" s="26"/>
      <c r="AN659" s="26"/>
      <c r="AO659" s="26"/>
      <c r="AP659" s="26"/>
      <c r="AQ659" s="26"/>
      <c r="AR659" s="26"/>
      <c r="AS659" s="26"/>
      <c r="AT659" s="26"/>
      <c r="AU659" s="26"/>
      <c r="AV659" s="26"/>
      <c r="AW659" s="26"/>
      <c r="AX659" s="26"/>
      <c r="AY659" s="26"/>
      <c r="AZ659" s="26"/>
      <c r="BA659" s="26"/>
      <c r="BB659" s="26"/>
      <c r="BC659" s="26"/>
      <c r="BD659" s="26"/>
      <c r="BE659" s="26"/>
      <c r="BF659" s="26"/>
      <c r="BG659" s="26"/>
      <c r="BH659" s="26"/>
      <c r="BI659" s="26"/>
      <c r="BJ659" s="26"/>
      <c r="BK659" s="26"/>
    </row>
    <row r="660" ht="14.25" customHeight="1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  <c r="AC660" s="26"/>
      <c r="AD660" s="26"/>
      <c r="AE660" s="26"/>
      <c r="AF660" s="26"/>
      <c r="AG660" s="26"/>
      <c r="AH660" s="26"/>
      <c r="AI660" s="26"/>
      <c r="AJ660" s="26"/>
      <c r="AK660" s="26"/>
      <c r="AL660" s="26"/>
      <c r="AM660" s="26"/>
      <c r="AN660" s="26"/>
      <c r="AO660" s="26"/>
      <c r="AP660" s="26"/>
      <c r="AQ660" s="26"/>
      <c r="AR660" s="26"/>
      <c r="AS660" s="26"/>
      <c r="AT660" s="26"/>
      <c r="AU660" s="26"/>
      <c r="AV660" s="26"/>
      <c r="AW660" s="26"/>
      <c r="AX660" s="26"/>
      <c r="AY660" s="26"/>
      <c r="AZ660" s="26"/>
      <c r="BA660" s="26"/>
      <c r="BB660" s="26"/>
      <c r="BC660" s="26"/>
      <c r="BD660" s="26"/>
      <c r="BE660" s="26"/>
      <c r="BF660" s="26"/>
      <c r="BG660" s="26"/>
      <c r="BH660" s="26"/>
      <c r="BI660" s="26"/>
      <c r="BJ660" s="26"/>
      <c r="BK660" s="26"/>
    </row>
    <row r="661" ht="14.25" customHeight="1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  <c r="AB661" s="26"/>
      <c r="AC661" s="26"/>
      <c r="AD661" s="26"/>
      <c r="AE661" s="26"/>
      <c r="AF661" s="26"/>
      <c r="AG661" s="26"/>
      <c r="AH661" s="26"/>
      <c r="AI661" s="26"/>
      <c r="AJ661" s="26"/>
      <c r="AK661" s="26"/>
      <c r="AL661" s="26"/>
      <c r="AM661" s="26"/>
      <c r="AN661" s="26"/>
      <c r="AO661" s="26"/>
      <c r="AP661" s="26"/>
      <c r="AQ661" s="26"/>
      <c r="AR661" s="26"/>
      <c r="AS661" s="26"/>
      <c r="AT661" s="26"/>
      <c r="AU661" s="26"/>
      <c r="AV661" s="26"/>
      <c r="AW661" s="26"/>
      <c r="AX661" s="26"/>
      <c r="AY661" s="26"/>
      <c r="AZ661" s="26"/>
      <c r="BA661" s="26"/>
      <c r="BB661" s="26"/>
      <c r="BC661" s="26"/>
      <c r="BD661" s="26"/>
      <c r="BE661" s="26"/>
      <c r="BF661" s="26"/>
      <c r="BG661" s="26"/>
      <c r="BH661" s="26"/>
      <c r="BI661" s="26"/>
      <c r="BJ661" s="26"/>
      <c r="BK661" s="26"/>
    </row>
    <row r="662" ht="14.25" customHeight="1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  <c r="AC662" s="26"/>
      <c r="AD662" s="26"/>
      <c r="AE662" s="26"/>
      <c r="AF662" s="26"/>
      <c r="AG662" s="26"/>
      <c r="AH662" s="26"/>
      <c r="AI662" s="26"/>
      <c r="AJ662" s="26"/>
      <c r="AK662" s="26"/>
      <c r="AL662" s="26"/>
      <c r="AM662" s="26"/>
      <c r="AN662" s="26"/>
      <c r="AO662" s="26"/>
      <c r="AP662" s="26"/>
      <c r="AQ662" s="26"/>
      <c r="AR662" s="26"/>
      <c r="AS662" s="26"/>
      <c r="AT662" s="26"/>
      <c r="AU662" s="26"/>
      <c r="AV662" s="26"/>
      <c r="AW662" s="26"/>
      <c r="AX662" s="26"/>
      <c r="AY662" s="26"/>
      <c r="AZ662" s="26"/>
      <c r="BA662" s="26"/>
      <c r="BB662" s="26"/>
      <c r="BC662" s="26"/>
      <c r="BD662" s="26"/>
      <c r="BE662" s="26"/>
      <c r="BF662" s="26"/>
      <c r="BG662" s="26"/>
      <c r="BH662" s="26"/>
      <c r="BI662" s="26"/>
      <c r="BJ662" s="26"/>
      <c r="BK662" s="26"/>
    </row>
    <row r="663" ht="14.25" customHeight="1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26"/>
      <c r="AB663" s="26"/>
      <c r="AC663" s="26"/>
      <c r="AD663" s="26"/>
      <c r="AE663" s="26"/>
      <c r="AF663" s="26"/>
      <c r="AG663" s="26"/>
      <c r="AH663" s="26"/>
      <c r="AI663" s="26"/>
      <c r="AJ663" s="26"/>
      <c r="AK663" s="26"/>
      <c r="AL663" s="26"/>
      <c r="AM663" s="26"/>
      <c r="AN663" s="26"/>
      <c r="AO663" s="26"/>
      <c r="AP663" s="26"/>
      <c r="AQ663" s="26"/>
      <c r="AR663" s="26"/>
      <c r="AS663" s="26"/>
      <c r="AT663" s="26"/>
      <c r="AU663" s="26"/>
      <c r="AV663" s="26"/>
      <c r="AW663" s="26"/>
      <c r="AX663" s="26"/>
      <c r="AY663" s="26"/>
      <c r="AZ663" s="26"/>
      <c r="BA663" s="26"/>
      <c r="BB663" s="26"/>
      <c r="BC663" s="26"/>
      <c r="BD663" s="26"/>
      <c r="BE663" s="26"/>
      <c r="BF663" s="26"/>
      <c r="BG663" s="26"/>
      <c r="BH663" s="26"/>
      <c r="BI663" s="26"/>
      <c r="BJ663" s="26"/>
      <c r="BK663" s="26"/>
    </row>
    <row r="664" ht="14.25" customHeight="1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  <c r="AC664" s="26"/>
      <c r="AD664" s="26"/>
      <c r="AE664" s="26"/>
      <c r="AF664" s="26"/>
      <c r="AG664" s="26"/>
      <c r="AH664" s="26"/>
      <c r="AI664" s="26"/>
      <c r="AJ664" s="26"/>
      <c r="AK664" s="26"/>
      <c r="AL664" s="26"/>
      <c r="AM664" s="26"/>
      <c r="AN664" s="26"/>
      <c r="AO664" s="26"/>
      <c r="AP664" s="26"/>
      <c r="AQ664" s="26"/>
      <c r="AR664" s="26"/>
      <c r="AS664" s="26"/>
      <c r="AT664" s="26"/>
      <c r="AU664" s="26"/>
      <c r="AV664" s="26"/>
      <c r="AW664" s="26"/>
      <c r="AX664" s="26"/>
      <c r="AY664" s="26"/>
      <c r="AZ664" s="26"/>
      <c r="BA664" s="26"/>
      <c r="BB664" s="26"/>
      <c r="BC664" s="26"/>
      <c r="BD664" s="26"/>
      <c r="BE664" s="26"/>
      <c r="BF664" s="26"/>
      <c r="BG664" s="26"/>
      <c r="BH664" s="26"/>
      <c r="BI664" s="26"/>
      <c r="BJ664" s="26"/>
      <c r="BK664" s="26"/>
    </row>
    <row r="665" ht="14.25" customHeight="1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/>
      <c r="AB665" s="26"/>
      <c r="AC665" s="26"/>
      <c r="AD665" s="26"/>
      <c r="AE665" s="26"/>
      <c r="AF665" s="26"/>
      <c r="AG665" s="26"/>
      <c r="AH665" s="26"/>
      <c r="AI665" s="26"/>
      <c r="AJ665" s="26"/>
      <c r="AK665" s="26"/>
      <c r="AL665" s="26"/>
      <c r="AM665" s="26"/>
      <c r="AN665" s="26"/>
      <c r="AO665" s="26"/>
      <c r="AP665" s="26"/>
      <c r="AQ665" s="26"/>
      <c r="AR665" s="26"/>
      <c r="AS665" s="26"/>
      <c r="AT665" s="26"/>
      <c r="AU665" s="26"/>
      <c r="AV665" s="26"/>
      <c r="AW665" s="26"/>
      <c r="AX665" s="26"/>
      <c r="AY665" s="26"/>
      <c r="AZ665" s="26"/>
      <c r="BA665" s="26"/>
      <c r="BB665" s="26"/>
      <c r="BC665" s="26"/>
      <c r="BD665" s="26"/>
      <c r="BE665" s="26"/>
      <c r="BF665" s="26"/>
      <c r="BG665" s="26"/>
      <c r="BH665" s="26"/>
      <c r="BI665" s="26"/>
      <c r="BJ665" s="26"/>
      <c r="BK665" s="26"/>
    </row>
    <row r="666" ht="14.25" customHeight="1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  <c r="AC666" s="26"/>
      <c r="AD666" s="26"/>
      <c r="AE666" s="26"/>
      <c r="AF666" s="26"/>
      <c r="AG666" s="26"/>
      <c r="AH666" s="26"/>
      <c r="AI666" s="26"/>
      <c r="AJ666" s="26"/>
      <c r="AK666" s="26"/>
      <c r="AL666" s="26"/>
      <c r="AM666" s="26"/>
      <c r="AN666" s="26"/>
      <c r="AO666" s="26"/>
      <c r="AP666" s="26"/>
      <c r="AQ666" s="26"/>
      <c r="AR666" s="26"/>
      <c r="AS666" s="26"/>
      <c r="AT666" s="26"/>
      <c r="AU666" s="26"/>
      <c r="AV666" s="26"/>
      <c r="AW666" s="26"/>
      <c r="AX666" s="26"/>
      <c r="AY666" s="26"/>
      <c r="AZ666" s="26"/>
      <c r="BA666" s="26"/>
      <c r="BB666" s="26"/>
      <c r="BC666" s="26"/>
      <c r="BD666" s="26"/>
      <c r="BE666" s="26"/>
      <c r="BF666" s="26"/>
      <c r="BG666" s="26"/>
      <c r="BH666" s="26"/>
      <c r="BI666" s="26"/>
      <c r="BJ666" s="26"/>
      <c r="BK666" s="26"/>
    </row>
    <row r="667" ht="14.25" customHeight="1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/>
      <c r="AB667" s="26"/>
      <c r="AC667" s="26"/>
      <c r="AD667" s="26"/>
      <c r="AE667" s="26"/>
      <c r="AF667" s="26"/>
      <c r="AG667" s="26"/>
      <c r="AH667" s="26"/>
      <c r="AI667" s="26"/>
      <c r="AJ667" s="26"/>
      <c r="AK667" s="26"/>
      <c r="AL667" s="26"/>
      <c r="AM667" s="26"/>
      <c r="AN667" s="26"/>
      <c r="AO667" s="26"/>
      <c r="AP667" s="26"/>
      <c r="AQ667" s="26"/>
      <c r="AR667" s="26"/>
      <c r="AS667" s="26"/>
      <c r="AT667" s="26"/>
      <c r="AU667" s="26"/>
      <c r="AV667" s="26"/>
      <c r="AW667" s="26"/>
      <c r="AX667" s="26"/>
      <c r="AY667" s="26"/>
      <c r="AZ667" s="26"/>
      <c r="BA667" s="26"/>
      <c r="BB667" s="26"/>
      <c r="BC667" s="26"/>
      <c r="BD667" s="26"/>
      <c r="BE667" s="26"/>
      <c r="BF667" s="26"/>
      <c r="BG667" s="26"/>
      <c r="BH667" s="26"/>
      <c r="BI667" s="26"/>
      <c r="BJ667" s="26"/>
      <c r="BK667" s="26"/>
    </row>
    <row r="668" ht="14.25" customHeight="1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  <c r="AC668" s="26"/>
      <c r="AD668" s="26"/>
      <c r="AE668" s="26"/>
      <c r="AF668" s="26"/>
      <c r="AG668" s="26"/>
      <c r="AH668" s="26"/>
      <c r="AI668" s="26"/>
      <c r="AJ668" s="26"/>
      <c r="AK668" s="26"/>
      <c r="AL668" s="26"/>
      <c r="AM668" s="26"/>
      <c r="AN668" s="26"/>
      <c r="AO668" s="26"/>
      <c r="AP668" s="26"/>
      <c r="AQ668" s="26"/>
      <c r="AR668" s="26"/>
      <c r="AS668" s="26"/>
      <c r="AT668" s="26"/>
      <c r="AU668" s="26"/>
      <c r="AV668" s="26"/>
      <c r="AW668" s="26"/>
      <c r="AX668" s="26"/>
      <c r="AY668" s="26"/>
      <c r="AZ668" s="26"/>
      <c r="BA668" s="26"/>
      <c r="BB668" s="26"/>
      <c r="BC668" s="26"/>
      <c r="BD668" s="26"/>
      <c r="BE668" s="26"/>
      <c r="BF668" s="26"/>
      <c r="BG668" s="26"/>
      <c r="BH668" s="26"/>
      <c r="BI668" s="26"/>
      <c r="BJ668" s="26"/>
      <c r="BK668" s="26"/>
    </row>
    <row r="669" ht="14.25" customHeight="1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/>
      <c r="AB669" s="26"/>
      <c r="AC669" s="26"/>
      <c r="AD669" s="26"/>
      <c r="AE669" s="26"/>
      <c r="AF669" s="26"/>
      <c r="AG669" s="26"/>
      <c r="AH669" s="26"/>
      <c r="AI669" s="26"/>
      <c r="AJ669" s="26"/>
      <c r="AK669" s="26"/>
      <c r="AL669" s="26"/>
      <c r="AM669" s="26"/>
      <c r="AN669" s="26"/>
      <c r="AO669" s="26"/>
      <c r="AP669" s="26"/>
      <c r="AQ669" s="26"/>
      <c r="AR669" s="26"/>
      <c r="AS669" s="26"/>
      <c r="AT669" s="26"/>
      <c r="AU669" s="26"/>
      <c r="AV669" s="26"/>
      <c r="AW669" s="26"/>
      <c r="AX669" s="26"/>
      <c r="AY669" s="26"/>
      <c r="AZ669" s="26"/>
      <c r="BA669" s="26"/>
      <c r="BB669" s="26"/>
      <c r="BC669" s="26"/>
      <c r="BD669" s="26"/>
      <c r="BE669" s="26"/>
      <c r="BF669" s="26"/>
      <c r="BG669" s="26"/>
      <c r="BH669" s="26"/>
      <c r="BI669" s="26"/>
      <c r="BJ669" s="26"/>
      <c r="BK669" s="26"/>
    </row>
    <row r="670" ht="14.25" customHeight="1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  <c r="AC670" s="26"/>
      <c r="AD670" s="26"/>
      <c r="AE670" s="26"/>
      <c r="AF670" s="26"/>
      <c r="AG670" s="26"/>
      <c r="AH670" s="26"/>
      <c r="AI670" s="26"/>
      <c r="AJ670" s="26"/>
      <c r="AK670" s="26"/>
      <c r="AL670" s="26"/>
      <c r="AM670" s="26"/>
      <c r="AN670" s="26"/>
      <c r="AO670" s="26"/>
      <c r="AP670" s="26"/>
      <c r="AQ670" s="26"/>
      <c r="AR670" s="26"/>
      <c r="AS670" s="26"/>
      <c r="AT670" s="26"/>
      <c r="AU670" s="26"/>
      <c r="AV670" s="26"/>
      <c r="AW670" s="26"/>
      <c r="AX670" s="26"/>
      <c r="AY670" s="26"/>
      <c r="AZ670" s="26"/>
      <c r="BA670" s="26"/>
      <c r="BB670" s="26"/>
      <c r="BC670" s="26"/>
      <c r="BD670" s="26"/>
      <c r="BE670" s="26"/>
      <c r="BF670" s="26"/>
      <c r="BG670" s="26"/>
      <c r="BH670" s="26"/>
      <c r="BI670" s="26"/>
      <c r="BJ670" s="26"/>
      <c r="BK670" s="26"/>
    </row>
    <row r="671" ht="14.25" customHeight="1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A671" s="26"/>
      <c r="AB671" s="26"/>
      <c r="AC671" s="26"/>
      <c r="AD671" s="26"/>
      <c r="AE671" s="26"/>
      <c r="AF671" s="26"/>
      <c r="AG671" s="26"/>
      <c r="AH671" s="26"/>
      <c r="AI671" s="26"/>
      <c r="AJ671" s="26"/>
      <c r="AK671" s="26"/>
      <c r="AL671" s="26"/>
      <c r="AM671" s="26"/>
      <c r="AN671" s="26"/>
      <c r="AO671" s="26"/>
      <c r="AP671" s="26"/>
      <c r="AQ671" s="26"/>
      <c r="AR671" s="26"/>
      <c r="AS671" s="26"/>
      <c r="AT671" s="26"/>
      <c r="AU671" s="26"/>
      <c r="AV671" s="26"/>
      <c r="AW671" s="26"/>
      <c r="AX671" s="26"/>
      <c r="AY671" s="26"/>
      <c r="AZ671" s="26"/>
      <c r="BA671" s="26"/>
      <c r="BB671" s="26"/>
      <c r="BC671" s="26"/>
      <c r="BD671" s="26"/>
      <c r="BE671" s="26"/>
      <c r="BF671" s="26"/>
      <c r="BG671" s="26"/>
      <c r="BH671" s="26"/>
      <c r="BI671" s="26"/>
      <c r="BJ671" s="26"/>
      <c r="BK671" s="26"/>
    </row>
    <row r="672" ht="14.25" customHeight="1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  <c r="AC672" s="26"/>
      <c r="AD672" s="26"/>
      <c r="AE672" s="26"/>
      <c r="AF672" s="26"/>
      <c r="AG672" s="26"/>
      <c r="AH672" s="26"/>
      <c r="AI672" s="26"/>
      <c r="AJ672" s="26"/>
      <c r="AK672" s="26"/>
      <c r="AL672" s="26"/>
      <c r="AM672" s="26"/>
      <c r="AN672" s="26"/>
      <c r="AO672" s="26"/>
      <c r="AP672" s="26"/>
      <c r="AQ672" s="26"/>
      <c r="AR672" s="26"/>
      <c r="AS672" s="26"/>
      <c r="AT672" s="26"/>
      <c r="AU672" s="26"/>
      <c r="AV672" s="26"/>
      <c r="AW672" s="26"/>
      <c r="AX672" s="26"/>
      <c r="AY672" s="26"/>
      <c r="AZ672" s="26"/>
      <c r="BA672" s="26"/>
      <c r="BB672" s="26"/>
      <c r="BC672" s="26"/>
      <c r="BD672" s="26"/>
      <c r="BE672" s="26"/>
      <c r="BF672" s="26"/>
      <c r="BG672" s="26"/>
      <c r="BH672" s="26"/>
      <c r="BI672" s="26"/>
      <c r="BJ672" s="26"/>
      <c r="BK672" s="26"/>
    </row>
    <row r="673" ht="14.25" customHeight="1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  <c r="AB673" s="26"/>
      <c r="AC673" s="26"/>
      <c r="AD673" s="26"/>
      <c r="AE673" s="26"/>
      <c r="AF673" s="26"/>
      <c r="AG673" s="26"/>
      <c r="AH673" s="26"/>
      <c r="AI673" s="26"/>
      <c r="AJ673" s="26"/>
      <c r="AK673" s="26"/>
      <c r="AL673" s="26"/>
      <c r="AM673" s="26"/>
      <c r="AN673" s="26"/>
      <c r="AO673" s="26"/>
      <c r="AP673" s="26"/>
      <c r="AQ673" s="26"/>
      <c r="AR673" s="26"/>
      <c r="AS673" s="26"/>
      <c r="AT673" s="26"/>
      <c r="AU673" s="26"/>
      <c r="AV673" s="26"/>
      <c r="AW673" s="26"/>
      <c r="AX673" s="26"/>
      <c r="AY673" s="26"/>
      <c r="AZ673" s="26"/>
      <c r="BA673" s="26"/>
      <c r="BB673" s="26"/>
      <c r="BC673" s="26"/>
      <c r="BD673" s="26"/>
      <c r="BE673" s="26"/>
      <c r="BF673" s="26"/>
      <c r="BG673" s="26"/>
      <c r="BH673" s="26"/>
      <c r="BI673" s="26"/>
      <c r="BJ673" s="26"/>
      <c r="BK673" s="26"/>
    </row>
    <row r="674" ht="14.25" customHeight="1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  <c r="AC674" s="26"/>
      <c r="AD674" s="26"/>
      <c r="AE674" s="26"/>
      <c r="AF674" s="26"/>
      <c r="AG674" s="26"/>
      <c r="AH674" s="26"/>
      <c r="AI674" s="26"/>
      <c r="AJ674" s="26"/>
      <c r="AK674" s="26"/>
      <c r="AL674" s="26"/>
      <c r="AM674" s="26"/>
      <c r="AN674" s="26"/>
      <c r="AO674" s="26"/>
      <c r="AP674" s="26"/>
      <c r="AQ674" s="26"/>
      <c r="AR674" s="26"/>
      <c r="AS674" s="26"/>
      <c r="AT674" s="26"/>
      <c r="AU674" s="26"/>
      <c r="AV674" s="26"/>
      <c r="AW674" s="26"/>
      <c r="AX674" s="26"/>
      <c r="AY674" s="26"/>
      <c r="AZ674" s="26"/>
      <c r="BA674" s="26"/>
      <c r="BB674" s="26"/>
      <c r="BC674" s="26"/>
      <c r="BD674" s="26"/>
      <c r="BE674" s="26"/>
      <c r="BF674" s="26"/>
      <c r="BG674" s="26"/>
      <c r="BH674" s="26"/>
      <c r="BI674" s="26"/>
      <c r="BJ674" s="26"/>
      <c r="BK674" s="26"/>
    </row>
    <row r="675" ht="14.25" customHeight="1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/>
      <c r="AB675" s="26"/>
      <c r="AC675" s="26"/>
      <c r="AD675" s="26"/>
      <c r="AE675" s="26"/>
      <c r="AF675" s="26"/>
      <c r="AG675" s="26"/>
      <c r="AH675" s="26"/>
      <c r="AI675" s="26"/>
      <c r="AJ675" s="26"/>
      <c r="AK675" s="26"/>
      <c r="AL675" s="26"/>
      <c r="AM675" s="26"/>
      <c r="AN675" s="26"/>
      <c r="AO675" s="26"/>
      <c r="AP675" s="26"/>
      <c r="AQ675" s="26"/>
      <c r="AR675" s="26"/>
      <c r="AS675" s="26"/>
      <c r="AT675" s="26"/>
      <c r="AU675" s="26"/>
      <c r="AV675" s="26"/>
      <c r="AW675" s="26"/>
      <c r="AX675" s="26"/>
      <c r="AY675" s="26"/>
      <c r="AZ675" s="26"/>
      <c r="BA675" s="26"/>
      <c r="BB675" s="26"/>
      <c r="BC675" s="26"/>
      <c r="BD675" s="26"/>
      <c r="BE675" s="26"/>
      <c r="BF675" s="26"/>
      <c r="BG675" s="26"/>
      <c r="BH675" s="26"/>
      <c r="BI675" s="26"/>
      <c r="BJ675" s="26"/>
      <c r="BK675" s="26"/>
    </row>
    <row r="676" ht="14.25" customHeight="1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  <c r="AC676" s="26"/>
      <c r="AD676" s="26"/>
      <c r="AE676" s="26"/>
      <c r="AF676" s="26"/>
      <c r="AG676" s="26"/>
      <c r="AH676" s="26"/>
      <c r="AI676" s="26"/>
      <c r="AJ676" s="26"/>
      <c r="AK676" s="26"/>
      <c r="AL676" s="26"/>
      <c r="AM676" s="26"/>
      <c r="AN676" s="26"/>
      <c r="AO676" s="26"/>
      <c r="AP676" s="26"/>
      <c r="AQ676" s="26"/>
      <c r="AR676" s="26"/>
      <c r="AS676" s="26"/>
      <c r="AT676" s="26"/>
      <c r="AU676" s="26"/>
      <c r="AV676" s="26"/>
      <c r="AW676" s="26"/>
      <c r="AX676" s="26"/>
      <c r="AY676" s="26"/>
      <c r="AZ676" s="26"/>
      <c r="BA676" s="26"/>
      <c r="BB676" s="26"/>
      <c r="BC676" s="26"/>
      <c r="BD676" s="26"/>
      <c r="BE676" s="26"/>
      <c r="BF676" s="26"/>
      <c r="BG676" s="26"/>
      <c r="BH676" s="26"/>
      <c r="BI676" s="26"/>
      <c r="BJ676" s="26"/>
      <c r="BK676" s="26"/>
    </row>
    <row r="677" ht="14.25" customHeight="1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A677" s="26"/>
      <c r="AB677" s="26"/>
      <c r="AC677" s="26"/>
      <c r="AD677" s="26"/>
      <c r="AE677" s="26"/>
      <c r="AF677" s="26"/>
      <c r="AG677" s="26"/>
      <c r="AH677" s="26"/>
      <c r="AI677" s="26"/>
      <c r="AJ677" s="26"/>
      <c r="AK677" s="26"/>
      <c r="AL677" s="26"/>
      <c r="AM677" s="26"/>
      <c r="AN677" s="26"/>
      <c r="AO677" s="26"/>
      <c r="AP677" s="26"/>
      <c r="AQ677" s="26"/>
      <c r="AR677" s="26"/>
      <c r="AS677" s="26"/>
      <c r="AT677" s="26"/>
      <c r="AU677" s="26"/>
      <c r="AV677" s="26"/>
      <c r="AW677" s="26"/>
      <c r="AX677" s="26"/>
      <c r="AY677" s="26"/>
      <c r="AZ677" s="26"/>
      <c r="BA677" s="26"/>
      <c r="BB677" s="26"/>
      <c r="BC677" s="26"/>
      <c r="BD677" s="26"/>
      <c r="BE677" s="26"/>
      <c r="BF677" s="26"/>
      <c r="BG677" s="26"/>
      <c r="BH677" s="26"/>
      <c r="BI677" s="26"/>
      <c r="BJ677" s="26"/>
      <c r="BK677" s="26"/>
    </row>
    <row r="678" ht="14.25" customHeight="1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  <c r="AC678" s="26"/>
      <c r="AD678" s="26"/>
      <c r="AE678" s="26"/>
      <c r="AF678" s="26"/>
      <c r="AG678" s="26"/>
      <c r="AH678" s="26"/>
      <c r="AI678" s="26"/>
      <c r="AJ678" s="26"/>
      <c r="AK678" s="26"/>
      <c r="AL678" s="26"/>
      <c r="AM678" s="26"/>
      <c r="AN678" s="26"/>
      <c r="AO678" s="26"/>
      <c r="AP678" s="26"/>
      <c r="AQ678" s="26"/>
      <c r="AR678" s="26"/>
      <c r="AS678" s="26"/>
      <c r="AT678" s="26"/>
      <c r="AU678" s="26"/>
      <c r="AV678" s="26"/>
      <c r="AW678" s="26"/>
      <c r="AX678" s="26"/>
      <c r="AY678" s="26"/>
      <c r="AZ678" s="26"/>
      <c r="BA678" s="26"/>
      <c r="BB678" s="26"/>
      <c r="BC678" s="26"/>
      <c r="BD678" s="26"/>
      <c r="BE678" s="26"/>
      <c r="BF678" s="26"/>
      <c r="BG678" s="26"/>
      <c r="BH678" s="26"/>
      <c r="BI678" s="26"/>
      <c r="BJ678" s="26"/>
      <c r="BK678" s="26"/>
    </row>
    <row r="679" ht="14.25" customHeight="1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  <c r="AA679" s="26"/>
      <c r="AB679" s="26"/>
      <c r="AC679" s="26"/>
      <c r="AD679" s="26"/>
      <c r="AE679" s="26"/>
      <c r="AF679" s="26"/>
      <c r="AG679" s="26"/>
      <c r="AH679" s="26"/>
      <c r="AI679" s="26"/>
      <c r="AJ679" s="26"/>
      <c r="AK679" s="26"/>
      <c r="AL679" s="26"/>
      <c r="AM679" s="26"/>
      <c r="AN679" s="26"/>
      <c r="AO679" s="26"/>
      <c r="AP679" s="26"/>
      <c r="AQ679" s="26"/>
      <c r="AR679" s="26"/>
      <c r="AS679" s="26"/>
      <c r="AT679" s="26"/>
      <c r="AU679" s="26"/>
      <c r="AV679" s="26"/>
      <c r="AW679" s="26"/>
      <c r="AX679" s="26"/>
      <c r="AY679" s="26"/>
      <c r="AZ679" s="26"/>
      <c r="BA679" s="26"/>
      <c r="BB679" s="26"/>
      <c r="BC679" s="26"/>
      <c r="BD679" s="26"/>
      <c r="BE679" s="26"/>
      <c r="BF679" s="26"/>
      <c r="BG679" s="26"/>
      <c r="BH679" s="26"/>
      <c r="BI679" s="26"/>
      <c r="BJ679" s="26"/>
      <c r="BK679" s="26"/>
    </row>
    <row r="680" ht="14.25" customHeight="1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  <c r="AC680" s="26"/>
      <c r="AD680" s="26"/>
      <c r="AE680" s="26"/>
      <c r="AF680" s="26"/>
      <c r="AG680" s="26"/>
      <c r="AH680" s="26"/>
      <c r="AI680" s="26"/>
      <c r="AJ680" s="26"/>
      <c r="AK680" s="26"/>
      <c r="AL680" s="26"/>
      <c r="AM680" s="26"/>
      <c r="AN680" s="26"/>
      <c r="AO680" s="26"/>
      <c r="AP680" s="26"/>
      <c r="AQ680" s="26"/>
      <c r="AR680" s="26"/>
      <c r="AS680" s="26"/>
      <c r="AT680" s="26"/>
      <c r="AU680" s="26"/>
      <c r="AV680" s="26"/>
      <c r="AW680" s="26"/>
      <c r="AX680" s="26"/>
      <c r="AY680" s="26"/>
      <c r="AZ680" s="26"/>
      <c r="BA680" s="26"/>
      <c r="BB680" s="26"/>
      <c r="BC680" s="26"/>
      <c r="BD680" s="26"/>
      <c r="BE680" s="26"/>
      <c r="BF680" s="26"/>
      <c r="BG680" s="26"/>
      <c r="BH680" s="26"/>
      <c r="BI680" s="26"/>
      <c r="BJ680" s="26"/>
      <c r="BK680" s="26"/>
    </row>
    <row r="681" ht="14.25" customHeight="1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  <c r="AA681" s="26"/>
      <c r="AB681" s="26"/>
      <c r="AC681" s="26"/>
      <c r="AD681" s="26"/>
      <c r="AE681" s="26"/>
      <c r="AF681" s="26"/>
      <c r="AG681" s="26"/>
      <c r="AH681" s="26"/>
      <c r="AI681" s="26"/>
      <c r="AJ681" s="26"/>
      <c r="AK681" s="26"/>
      <c r="AL681" s="26"/>
      <c r="AM681" s="26"/>
      <c r="AN681" s="26"/>
      <c r="AO681" s="26"/>
      <c r="AP681" s="26"/>
      <c r="AQ681" s="26"/>
      <c r="AR681" s="26"/>
      <c r="AS681" s="26"/>
      <c r="AT681" s="26"/>
      <c r="AU681" s="26"/>
      <c r="AV681" s="26"/>
      <c r="AW681" s="26"/>
      <c r="AX681" s="26"/>
      <c r="AY681" s="26"/>
      <c r="AZ681" s="26"/>
      <c r="BA681" s="26"/>
      <c r="BB681" s="26"/>
      <c r="BC681" s="26"/>
      <c r="BD681" s="26"/>
      <c r="BE681" s="26"/>
      <c r="BF681" s="26"/>
      <c r="BG681" s="26"/>
      <c r="BH681" s="26"/>
      <c r="BI681" s="26"/>
      <c r="BJ681" s="26"/>
      <c r="BK681" s="26"/>
    </row>
    <row r="682" ht="14.25" customHeight="1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  <c r="AC682" s="26"/>
      <c r="AD682" s="26"/>
      <c r="AE682" s="26"/>
      <c r="AF682" s="26"/>
      <c r="AG682" s="26"/>
      <c r="AH682" s="26"/>
      <c r="AI682" s="26"/>
      <c r="AJ682" s="26"/>
      <c r="AK682" s="26"/>
      <c r="AL682" s="26"/>
      <c r="AM682" s="26"/>
      <c r="AN682" s="26"/>
      <c r="AO682" s="26"/>
      <c r="AP682" s="26"/>
      <c r="AQ682" s="26"/>
      <c r="AR682" s="26"/>
      <c r="AS682" s="26"/>
      <c r="AT682" s="26"/>
      <c r="AU682" s="26"/>
      <c r="AV682" s="26"/>
      <c r="AW682" s="26"/>
      <c r="AX682" s="26"/>
      <c r="AY682" s="26"/>
      <c r="AZ682" s="26"/>
      <c r="BA682" s="26"/>
      <c r="BB682" s="26"/>
      <c r="BC682" s="26"/>
      <c r="BD682" s="26"/>
      <c r="BE682" s="26"/>
      <c r="BF682" s="26"/>
      <c r="BG682" s="26"/>
      <c r="BH682" s="26"/>
      <c r="BI682" s="26"/>
      <c r="BJ682" s="26"/>
      <c r="BK682" s="26"/>
    </row>
    <row r="683" ht="14.25" customHeight="1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  <c r="AB683" s="26"/>
      <c r="AC683" s="26"/>
      <c r="AD683" s="26"/>
      <c r="AE683" s="26"/>
      <c r="AF683" s="26"/>
      <c r="AG683" s="26"/>
      <c r="AH683" s="26"/>
      <c r="AI683" s="26"/>
      <c r="AJ683" s="26"/>
      <c r="AK683" s="26"/>
      <c r="AL683" s="26"/>
      <c r="AM683" s="26"/>
      <c r="AN683" s="26"/>
      <c r="AO683" s="26"/>
      <c r="AP683" s="26"/>
      <c r="AQ683" s="26"/>
      <c r="AR683" s="26"/>
      <c r="AS683" s="26"/>
      <c r="AT683" s="26"/>
      <c r="AU683" s="26"/>
      <c r="AV683" s="26"/>
      <c r="AW683" s="26"/>
      <c r="AX683" s="26"/>
      <c r="AY683" s="26"/>
      <c r="AZ683" s="26"/>
      <c r="BA683" s="26"/>
      <c r="BB683" s="26"/>
      <c r="BC683" s="26"/>
      <c r="BD683" s="26"/>
      <c r="BE683" s="26"/>
      <c r="BF683" s="26"/>
      <c r="BG683" s="26"/>
      <c r="BH683" s="26"/>
      <c r="BI683" s="26"/>
      <c r="BJ683" s="26"/>
      <c r="BK683" s="26"/>
    </row>
    <row r="684" ht="14.25" customHeight="1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  <c r="AC684" s="26"/>
      <c r="AD684" s="26"/>
      <c r="AE684" s="26"/>
      <c r="AF684" s="26"/>
      <c r="AG684" s="26"/>
      <c r="AH684" s="26"/>
      <c r="AI684" s="26"/>
      <c r="AJ684" s="26"/>
      <c r="AK684" s="26"/>
      <c r="AL684" s="26"/>
      <c r="AM684" s="26"/>
      <c r="AN684" s="26"/>
      <c r="AO684" s="26"/>
      <c r="AP684" s="26"/>
      <c r="AQ684" s="26"/>
      <c r="AR684" s="26"/>
      <c r="AS684" s="26"/>
      <c r="AT684" s="26"/>
      <c r="AU684" s="26"/>
      <c r="AV684" s="26"/>
      <c r="AW684" s="26"/>
      <c r="AX684" s="26"/>
      <c r="AY684" s="26"/>
      <c r="AZ684" s="26"/>
      <c r="BA684" s="26"/>
      <c r="BB684" s="26"/>
      <c r="BC684" s="26"/>
      <c r="BD684" s="26"/>
      <c r="BE684" s="26"/>
      <c r="BF684" s="26"/>
      <c r="BG684" s="26"/>
      <c r="BH684" s="26"/>
      <c r="BI684" s="26"/>
      <c r="BJ684" s="26"/>
      <c r="BK684" s="26"/>
    </row>
    <row r="685" ht="14.25" customHeight="1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A685" s="26"/>
      <c r="AB685" s="26"/>
      <c r="AC685" s="26"/>
      <c r="AD685" s="26"/>
      <c r="AE685" s="26"/>
      <c r="AF685" s="26"/>
      <c r="AG685" s="26"/>
      <c r="AH685" s="26"/>
      <c r="AI685" s="26"/>
      <c r="AJ685" s="26"/>
      <c r="AK685" s="26"/>
      <c r="AL685" s="26"/>
      <c r="AM685" s="26"/>
      <c r="AN685" s="26"/>
      <c r="AO685" s="26"/>
      <c r="AP685" s="26"/>
      <c r="AQ685" s="26"/>
      <c r="AR685" s="26"/>
      <c r="AS685" s="26"/>
      <c r="AT685" s="26"/>
      <c r="AU685" s="26"/>
      <c r="AV685" s="26"/>
      <c r="AW685" s="26"/>
      <c r="AX685" s="26"/>
      <c r="AY685" s="26"/>
      <c r="AZ685" s="26"/>
      <c r="BA685" s="26"/>
      <c r="BB685" s="26"/>
      <c r="BC685" s="26"/>
      <c r="BD685" s="26"/>
      <c r="BE685" s="26"/>
      <c r="BF685" s="26"/>
      <c r="BG685" s="26"/>
      <c r="BH685" s="26"/>
      <c r="BI685" s="26"/>
      <c r="BJ685" s="26"/>
      <c r="BK685" s="26"/>
    </row>
    <row r="686" ht="14.25" customHeight="1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  <c r="AC686" s="26"/>
      <c r="AD686" s="26"/>
      <c r="AE686" s="26"/>
      <c r="AF686" s="26"/>
      <c r="AG686" s="26"/>
      <c r="AH686" s="26"/>
      <c r="AI686" s="26"/>
      <c r="AJ686" s="26"/>
      <c r="AK686" s="26"/>
      <c r="AL686" s="26"/>
      <c r="AM686" s="26"/>
      <c r="AN686" s="26"/>
      <c r="AO686" s="26"/>
      <c r="AP686" s="26"/>
      <c r="AQ686" s="26"/>
      <c r="AR686" s="26"/>
      <c r="AS686" s="26"/>
      <c r="AT686" s="26"/>
      <c r="AU686" s="26"/>
      <c r="AV686" s="26"/>
      <c r="AW686" s="26"/>
      <c r="AX686" s="26"/>
      <c r="AY686" s="26"/>
      <c r="AZ686" s="26"/>
      <c r="BA686" s="26"/>
      <c r="BB686" s="26"/>
      <c r="BC686" s="26"/>
      <c r="BD686" s="26"/>
      <c r="BE686" s="26"/>
      <c r="BF686" s="26"/>
      <c r="BG686" s="26"/>
      <c r="BH686" s="26"/>
      <c r="BI686" s="26"/>
      <c r="BJ686" s="26"/>
      <c r="BK686" s="26"/>
    </row>
    <row r="687" ht="14.25" customHeight="1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  <c r="AA687" s="26"/>
      <c r="AB687" s="26"/>
      <c r="AC687" s="26"/>
      <c r="AD687" s="26"/>
      <c r="AE687" s="26"/>
      <c r="AF687" s="26"/>
      <c r="AG687" s="26"/>
      <c r="AH687" s="26"/>
      <c r="AI687" s="26"/>
      <c r="AJ687" s="26"/>
      <c r="AK687" s="26"/>
      <c r="AL687" s="26"/>
      <c r="AM687" s="26"/>
      <c r="AN687" s="26"/>
      <c r="AO687" s="26"/>
      <c r="AP687" s="26"/>
      <c r="AQ687" s="26"/>
      <c r="AR687" s="26"/>
      <c r="AS687" s="26"/>
      <c r="AT687" s="26"/>
      <c r="AU687" s="26"/>
      <c r="AV687" s="26"/>
      <c r="AW687" s="26"/>
      <c r="AX687" s="26"/>
      <c r="AY687" s="26"/>
      <c r="AZ687" s="26"/>
      <c r="BA687" s="26"/>
      <c r="BB687" s="26"/>
      <c r="BC687" s="26"/>
      <c r="BD687" s="26"/>
      <c r="BE687" s="26"/>
      <c r="BF687" s="26"/>
      <c r="BG687" s="26"/>
      <c r="BH687" s="26"/>
      <c r="BI687" s="26"/>
      <c r="BJ687" s="26"/>
      <c r="BK687" s="26"/>
    </row>
    <row r="688" ht="14.25" customHeight="1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  <c r="AB688" s="26"/>
      <c r="AC688" s="26"/>
      <c r="AD688" s="26"/>
      <c r="AE688" s="26"/>
      <c r="AF688" s="26"/>
      <c r="AG688" s="26"/>
      <c r="AH688" s="26"/>
      <c r="AI688" s="26"/>
      <c r="AJ688" s="26"/>
      <c r="AK688" s="26"/>
      <c r="AL688" s="26"/>
      <c r="AM688" s="26"/>
      <c r="AN688" s="26"/>
      <c r="AO688" s="26"/>
      <c r="AP688" s="26"/>
      <c r="AQ688" s="26"/>
      <c r="AR688" s="26"/>
      <c r="AS688" s="26"/>
      <c r="AT688" s="26"/>
      <c r="AU688" s="26"/>
      <c r="AV688" s="26"/>
      <c r="AW688" s="26"/>
      <c r="AX688" s="26"/>
      <c r="AY688" s="26"/>
      <c r="AZ688" s="26"/>
      <c r="BA688" s="26"/>
      <c r="BB688" s="26"/>
      <c r="BC688" s="26"/>
      <c r="BD688" s="26"/>
      <c r="BE688" s="26"/>
      <c r="BF688" s="26"/>
      <c r="BG688" s="26"/>
      <c r="BH688" s="26"/>
      <c r="BI688" s="26"/>
      <c r="BJ688" s="26"/>
      <c r="BK688" s="26"/>
    </row>
    <row r="689" ht="14.25" customHeight="1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A689" s="26"/>
      <c r="AB689" s="26"/>
      <c r="AC689" s="26"/>
      <c r="AD689" s="26"/>
      <c r="AE689" s="26"/>
      <c r="AF689" s="26"/>
      <c r="AG689" s="26"/>
      <c r="AH689" s="26"/>
      <c r="AI689" s="26"/>
      <c r="AJ689" s="26"/>
      <c r="AK689" s="26"/>
      <c r="AL689" s="26"/>
      <c r="AM689" s="26"/>
      <c r="AN689" s="26"/>
      <c r="AO689" s="26"/>
      <c r="AP689" s="26"/>
      <c r="AQ689" s="26"/>
      <c r="AR689" s="26"/>
      <c r="AS689" s="26"/>
      <c r="AT689" s="26"/>
      <c r="AU689" s="26"/>
      <c r="AV689" s="26"/>
      <c r="AW689" s="26"/>
      <c r="AX689" s="26"/>
      <c r="AY689" s="26"/>
      <c r="AZ689" s="26"/>
      <c r="BA689" s="26"/>
      <c r="BB689" s="26"/>
      <c r="BC689" s="26"/>
      <c r="BD689" s="26"/>
      <c r="BE689" s="26"/>
      <c r="BF689" s="26"/>
      <c r="BG689" s="26"/>
      <c r="BH689" s="26"/>
      <c r="BI689" s="26"/>
      <c r="BJ689" s="26"/>
      <c r="BK689" s="26"/>
    </row>
    <row r="690" ht="14.25" customHeight="1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  <c r="AC690" s="26"/>
      <c r="AD690" s="26"/>
      <c r="AE690" s="26"/>
      <c r="AF690" s="26"/>
      <c r="AG690" s="26"/>
      <c r="AH690" s="26"/>
      <c r="AI690" s="26"/>
      <c r="AJ690" s="26"/>
      <c r="AK690" s="26"/>
      <c r="AL690" s="26"/>
      <c r="AM690" s="26"/>
      <c r="AN690" s="26"/>
      <c r="AO690" s="26"/>
      <c r="AP690" s="26"/>
      <c r="AQ690" s="26"/>
      <c r="AR690" s="26"/>
      <c r="AS690" s="26"/>
      <c r="AT690" s="26"/>
      <c r="AU690" s="26"/>
      <c r="AV690" s="26"/>
      <c r="AW690" s="26"/>
      <c r="AX690" s="26"/>
      <c r="AY690" s="26"/>
      <c r="AZ690" s="26"/>
      <c r="BA690" s="26"/>
      <c r="BB690" s="26"/>
      <c r="BC690" s="26"/>
      <c r="BD690" s="26"/>
      <c r="BE690" s="26"/>
      <c r="BF690" s="26"/>
      <c r="BG690" s="26"/>
      <c r="BH690" s="26"/>
      <c r="BI690" s="26"/>
      <c r="BJ690" s="26"/>
      <c r="BK690" s="26"/>
    </row>
    <row r="691" ht="14.25" customHeight="1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  <c r="AA691" s="26"/>
      <c r="AB691" s="26"/>
      <c r="AC691" s="26"/>
      <c r="AD691" s="26"/>
      <c r="AE691" s="26"/>
      <c r="AF691" s="26"/>
      <c r="AG691" s="26"/>
      <c r="AH691" s="26"/>
      <c r="AI691" s="26"/>
      <c r="AJ691" s="26"/>
      <c r="AK691" s="26"/>
      <c r="AL691" s="26"/>
      <c r="AM691" s="26"/>
      <c r="AN691" s="26"/>
      <c r="AO691" s="26"/>
      <c r="AP691" s="26"/>
      <c r="AQ691" s="26"/>
      <c r="AR691" s="26"/>
      <c r="AS691" s="26"/>
      <c r="AT691" s="26"/>
      <c r="AU691" s="26"/>
      <c r="AV691" s="26"/>
      <c r="AW691" s="26"/>
      <c r="AX691" s="26"/>
      <c r="AY691" s="26"/>
      <c r="AZ691" s="26"/>
      <c r="BA691" s="26"/>
      <c r="BB691" s="26"/>
      <c r="BC691" s="26"/>
      <c r="BD691" s="26"/>
      <c r="BE691" s="26"/>
      <c r="BF691" s="26"/>
      <c r="BG691" s="26"/>
      <c r="BH691" s="26"/>
      <c r="BI691" s="26"/>
      <c r="BJ691" s="26"/>
      <c r="BK691" s="26"/>
    </row>
    <row r="692" ht="14.25" customHeight="1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  <c r="AB692" s="26"/>
      <c r="AC692" s="26"/>
      <c r="AD692" s="26"/>
      <c r="AE692" s="26"/>
      <c r="AF692" s="26"/>
      <c r="AG692" s="26"/>
      <c r="AH692" s="26"/>
      <c r="AI692" s="26"/>
      <c r="AJ692" s="26"/>
      <c r="AK692" s="26"/>
      <c r="AL692" s="26"/>
      <c r="AM692" s="26"/>
      <c r="AN692" s="26"/>
      <c r="AO692" s="26"/>
      <c r="AP692" s="26"/>
      <c r="AQ692" s="26"/>
      <c r="AR692" s="26"/>
      <c r="AS692" s="26"/>
      <c r="AT692" s="26"/>
      <c r="AU692" s="26"/>
      <c r="AV692" s="26"/>
      <c r="AW692" s="26"/>
      <c r="AX692" s="26"/>
      <c r="AY692" s="26"/>
      <c r="AZ692" s="26"/>
      <c r="BA692" s="26"/>
      <c r="BB692" s="26"/>
      <c r="BC692" s="26"/>
      <c r="BD692" s="26"/>
      <c r="BE692" s="26"/>
      <c r="BF692" s="26"/>
      <c r="BG692" s="26"/>
      <c r="BH692" s="26"/>
      <c r="BI692" s="26"/>
      <c r="BJ692" s="26"/>
      <c r="BK692" s="26"/>
    </row>
    <row r="693" ht="14.25" customHeight="1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  <c r="AA693" s="26"/>
      <c r="AB693" s="26"/>
      <c r="AC693" s="26"/>
      <c r="AD693" s="26"/>
      <c r="AE693" s="26"/>
      <c r="AF693" s="26"/>
      <c r="AG693" s="26"/>
      <c r="AH693" s="26"/>
      <c r="AI693" s="26"/>
      <c r="AJ693" s="26"/>
      <c r="AK693" s="26"/>
      <c r="AL693" s="26"/>
      <c r="AM693" s="26"/>
      <c r="AN693" s="26"/>
      <c r="AO693" s="26"/>
      <c r="AP693" s="26"/>
      <c r="AQ693" s="26"/>
      <c r="AR693" s="26"/>
      <c r="AS693" s="26"/>
      <c r="AT693" s="26"/>
      <c r="AU693" s="26"/>
      <c r="AV693" s="26"/>
      <c r="AW693" s="26"/>
      <c r="AX693" s="26"/>
      <c r="AY693" s="26"/>
      <c r="AZ693" s="26"/>
      <c r="BA693" s="26"/>
      <c r="BB693" s="26"/>
      <c r="BC693" s="26"/>
      <c r="BD693" s="26"/>
      <c r="BE693" s="26"/>
      <c r="BF693" s="26"/>
      <c r="BG693" s="26"/>
      <c r="BH693" s="26"/>
      <c r="BI693" s="26"/>
      <c r="BJ693" s="26"/>
      <c r="BK693" s="26"/>
    </row>
    <row r="694" ht="14.25" customHeight="1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  <c r="AB694" s="26"/>
      <c r="AC694" s="26"/>
      <c r="AD694" s="26"/>
      <c r="AE694" s="26"/>
      <c r="AF694" s="26"/>
      <c r="AG694" s="26"/>
      <c r="AH694" s="26"/>
      <c r="AI694" s="26"/>
      <c r="AJ694" s="26"/>
      <c r="AK694" s="26"/>
      <c r="AL694" s="26"/>
      <c r="AM694" s="26"/>
      <c r="AN694" s="26"/>
      <c r="AO694" s="26"/>
      <c r="AP694" s="26"/>
      <c r="AQ694" s="26"/>
      <c r="AR694" s="26"/>
      <c r="AS694" s="26"/>
      <c r="AT694" s="26"/>
      <c r="AU694" s="26"/>
      <c r="AV694" s="26"/>
      <c r="AW694" s="26"/>
      <c r="AX694" s="26"/>
      <c r="AY694" s="26"/>
      <c r="AZ694" s="26"/>
      <c r="BA694" s="26"/>
      <c r="BB694" s="26"/>
      <c r="BC694" s="26"/>
      <c r="BD694" s="26"/>
      <c r="BE694" s="26"/>
      <c r="BF694" s="26"/>
      <c r="BG694" s="26"/>
      <c r="BH694" s="26"/>
      <c r="BI694" s="26"/>
      <c r="BJ694" s="26"/>
      <c r="BK694" s="26"/>
    </row>
    <row r="695" ht="14.25" customHeight="1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A695" s="26"/>
      <c r="AB695" s="26"/>
      <c r="AC695" s="26"/>
      <c r="AD695" s="26"/>
      <c r="AE695" s="26"/>
      <c r="AF695" s="26"/>
      <c r="AG695" s="26"/>
      <c r="AH695" s="26"/>
      <c r="AI695" s="26"/>
      <c r="AJ695" s="26"/>
      <c r="AK695" s="26"/>
      <c r="AL695" s="26"/>
      <c r="AM695" s="26"/>
      <c r="AN695" s="26"/>
      <c r="AO695" s="26"/>
      <c r="AP695" s="26"/>
      <c r="AQ695" s="26"/>
      <c r="AR695" s="26"/>
      <c r="AS695" s="26"/>
      <c r="AT695" s="26"/>
      <c r="AU695" s="26"/>
      <c r="AV695" s="26"/>
      <c r="AW695" s="26"/>
      <c r="AX695" s="26"/>
      <c r="AY695" s="26"/>
      <c r="AZ695" s="26"/>
      <c r="BA695" s="26"/>
      <c r="BB695" s="26"/>
      <c r="BC695" s="26"/>
      <c r="BD695" s="26"/>
      <c r="BE695" s="26"/>
      <c r="BF695" s="26"/>
      <c r="BG695" s="26"/>
      <c r="BH695" s="26"/>
      <c r="BI695" s="26"/>
      <c r="BJ695" s="26"/>
      <c r="BK695" s="26"/>
    </row>
    <row r="696" ht="14.25" customHeight="1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  <c r="AC696" s="26"/>
      <c r="AD696" s="26"/>
      <c r="AE696" s="26"/>
      <c r="AF696" s="26"/>
      <c r="AG696" s="26"/>
      <c r="AH696" s="26"/>
      <c r="AI696" s="26"/>
      <c r="AJ696" s="26"/>
      <c r="AK696" s="26"/>
      <c r="AL696" s="26"/>
      <c r="AM696" s="26"/>
      <c r="AN696" s="26"/>
      <c r="AO696" s="26"/>
      <c r="AP696" s="26"/>
      <c r="AQ696" s="26"/>
      <c r="AR696" s="26"/>
      <c r="AS696" s="26"/>
      <c r="AT696" s="26"/>
      <c r="AU696" s="26"/>
      <c r="AV696" s="26"/>
      <c r="AW696" s="26"/>
      <c r="AX696" s="26"/>
      <c r="AY696" s="26"/>
      <c r="AZ696" s="26"/>
      <c r="BA696" s="26"/>
      <c r="BB696" s="26"/>
      <c r="BC696" s="26"/>
      <c r="BD696" s="26"/>
      <c r="BE696" s="26"/>
      <c r="BF696" s="26"/>
      <c r="BG696" s="26"/>
      <c r="BH696" s="26"/>
      <c r="BI696" s="26"/>
      <c r="BJ696" s="26"/>
      <c r="BK696" s="26"/>
    </row>
    <row r="697" ht="14.25" customHeight="1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A697" s="26"/>
      <c r="AB697" s="26"/>
      <c r="AC697" s="26"/>
      <c r="AD697" s="26"/>
      <c r="AE697" s="26"/>
      <c r="AF697" s="26"/>
      <c r="AG697" s="26"/>
      <c r="AH697" s="26"/>
      <c r="AI697" s="26"/>
      <c r="AJ697" s="26"/>
      <c r="AK697" s="26"/>
      <c r="AL697" s="26"/>
      <c r="AM697" s="26"/>
      <c r="AN697" s="26"/>
      <c r="AO697" s="26"/>
      <c r="AP697" s="26"/>
      <c r="AQ697" s="26"/>
      <c r="AR697" s="26"/>
      <c r="AS697" s="26"/>
      <c r="AT697" s="26"/>
      <c r="AU697" s="26"/>
      <c r="AV697" s="26"/>
      <c r="AW697" s="26"/>
      <c r="AX697" s="26"/>
      <c r="AY697" s="26"/>
      <c r="AZ697" s="26"/>
      <c r="BA697" s="26"/>
      <c r="BB697" s="26"/>
      <c r="BC697" s="26"/>
      <c r="BD697" s="26"/>
      <c r="BE697" s="26"/>
      <c r="BF697" s="26"/>
      <c r="BG697" s="26"/>
      <c r="BH697" s="26"/>
      <c r="BI697" s="26"/>
      <c r="BJ697" s="26"/>
      <c r="BK697" s="26"/>
    </row>
    <row r="698" ht="14.25" customHeight="1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  <c r="AC698" s="26"/>
      <c r="AD698" s="26"/>
      <c r="AE698" s="26"/>
      <c r="AF698" s="26"/>
      <c r="AG698" s="26"/>
      <c r="AH698" s="26"/>
      <c r="AI698" s="26"/>
      <c r="AJ698" s="26"/>
      <c r="AK698" s="26"/>
      <c r="AL698" s="26"/>
      <c r="AM698" s="26"/>
      <c r="AN698" s="26"/>
      <c r="AO698" s="26"/>
      <c r="AP698" s="26"/>
      <c r="AQ698" s="26"/>
      <c r="AR698" s="26"/>
      <c r="AS698" s="26"/>
      <c r="AT698" s="26"/>
      <c r="AU698" s="26"/>
      <c r="AV698" s="26"/>
      <c r="AW698" s="26"/>
      <c r="AX698" s="26"/>
      <c r="AY698" s="26"/>
      <c r="AZ698" s="26"/>
      <c r="BA698" s="26"/>
      <c r="BB698" s="26"/>
      <c r="BC698" s="26"/>
      <c r="BD698" s="26"/>
      <c r="BE698" s="26"/>
      <c r="BF698" s="26"/>
      <c r="BG698" s="26"/>
      <c r="BH698" s="26"/>
      <c r="BI698" s="26"/>
      <c r="BJ698" s="26"/>
      <c r="BK698" s="26"/>
    </row>
    <row r="699" ht="14.25" customHeight="1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  <c r="AB699" s="26"/>
      <c r="AC699" s="26"/>
      <c r="AD699" s="26"/>
      <c r="AE699" s="26"/>
      <c r="AF699" s="26"/>
      <c r="AG699" s="26"/>
      <c r="AH699" s="26"/>
      <c r="AI699" s="26"/>
      <c r="AJ699" s="26"/>
      <c r="AK699" s="26"/>
      <c r="AL699" s="26"/>
      <c r="AM699" s="26"/>
      <c r="AN699" s="26"/>
      <c r="AO699" s="26"/>
      <c r="AP699" s="26"/>
      <c r="AQ699" s="26"/>
      <c r="AR699" s="26"/>
      <c r="AS699" s="26"/>
      <c r="AT699" s="26"/>
      <c r="AU699" s="26"/>
      <c r="AV699" s="26"/>
      <c r="AW699" s="26"/>
      <c r="AX699" s="26"/>
      <c r="AY699" s="26"/>
      <c r="AZ699" s="26"/>
      <c r="BA699" s="26"/>
      <c r="BB699" s="26"/>
      <c r="BC699" s="26"/>
      <c r="BD699" s="26"/>
      <c r="BE699" s="26"/>
      <c r="BF699" s="26"/>
      <c r="BG699" s="26"/>
      <c r="BH699" s="26"/>
      <c r="BI699" s="26"/>
      <c r="BJ699" s="26"/>
      <c r="BK699" s="26"/>
    </row>
    <row r="700" ht="14.25" customHeight="1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  <c r="AC700" s="26"/>
      <c r="AD700" s="26"/>
      <c r="AE700" s="26"/>
      <c r="AF700" s="26"/>
      <c r="AG700" s="26"/>
      <c r="AH700" s="26"/>
      <c r="AI700" s="26"/>
      <c r="AJ700" s="26"/>
      <c r="AK700" s="26"/>
      <c r="AL700" s="26"/>
      <c r="AM700" s="26"/>
      <c r="AN700" s="26"/>
      <c r="AO700" s="26"/>
      <c r="AP700" s="26"/>
      <c r="AQ700" s="26"/>
      <c r="AR700" s="26"/>
      <c r="AS700" s="26"/>
      <c r="AT700" s="26"/>
      <c r="AU700" s="26"/>
      <c r="AV700" s="26"/>
      <c r="AW700" s="26"/>
      <c r="AX700" s="26"/>
      <c r="AY700" s="26"/>
      <c r="AZ700" s="26"/>
      <c r="BA700" s="26"/>
      <c r="BB700" s="26"/>
      <c r="BC700" s="26"/>
      <c r="BD700" s="26"/>
      <c r="BE700" s="26"/>
      <c r="BF700" s="26"/>
      <c r="BG700" s="26"/>
      <c r="BH700" s="26"/>
      <c r="BI700" s="26"/>
      <c r="BJ700" s="26"/>
      <c r="BK700" s="26"/>
    </row>
    <row r="701" ht="14.25" customHeight="1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  <c r="AA701" s="26"/>
      <c r="AB701" s="26"/>
      <c r="AC701" s="26"/>
      <c r="AD701" s="26"/>
      <c r="AE701" s="26"/>
      <c r="AF701" s="26"/>
      <c r="AG701" s="26"/>
      <c r="AH701" s="26"/>
      <c r="AI701" s="26"/>
      <c r="AJ701" s="26"/>
      <c r="AK701" s="26"/>
      <c r="AL701" s="26"/>
      <c r="AM701" s="26"/>
      <c r="AN701" s="26"/>
      <c r="AO701" s="26"/>
      <c r="AP701" s="26"/>
      <c r="AQ701" s="26"/>
      <c r="AR701" s="26"/>
      <c r="AS701" s="26"/>
      <c r="AT701" s="26"/>
      <c r="AU701" s="26"/>
      <c r="AV701" s="26"/>
      <c r="AW701" s="26"/>
      <c r="AX701" s="26"/>
      <c r="AY701" s="26"/>
      <c r="AZ701" s="26"/>
      <c r="BA701" s="26"/>
      <c r="BB701" s="26"/>
      <c r="BC701" s="26"/>
      <c r="BD701" s="26"/>
      <c r="BE701" s="26"/>
      <c r="BF701" s="26"/>
      <c r="BG701" s="26"/>
      <c r="BH701" s="26"/>
      <c r="BI701" s="26"/>
      <c r="BJ701" s="26"/>
      <c r="BK701" s="26"/>
    </row>
    <row r="702" ht="14.25" customHeight="1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  <c r="AC702" s="26"/>
      <c r="AD702" s="26"/>
      <c r="AE702" s="26"/>
      <c r="AF702" s="26"/>
      <c r="AG702" s="26"/>
      <c r="AH702" s="26"/>
      <c r="AI702" s="26"/>
      <c r="AJ702" s="26"/>
      <c r="AK702" s="26"/>
      <c r="AL702" s="26"/>
      <c r="AM702" s="26"/>
      <c r="AN702" s="26"/>
      <c r="AO702" s="26"/>
      <c r="AP702" s="26"/>
      <c r="AQ702" s="26"/>
      <c r="AR702" s="26"/>
      <c r="AS702" s="26"/>
      <c r="AT702" s="26"/>
      <c r="AU702" s="26"/>
      <c r="AV702" s="26"/>
      <c r="AW702" s="26"/>
      <c r="AX702" s="26"/>
      <c r="AY702" s="26"/>
      <c r="AZ702" s="26"/>
      <c r="BA702" s="26"/>
      <c r="BB702" s="26"/>
      <c r="BC702" s="26"/>
      <c r="BD702" s="26"/>
      <c r="BE702" s="26"/>
      <c r="BF702" s="26"/>
      <c r="BG702" s="26"/>
      <c r="BH702" s="26"/>
      <c r="BI702" s="26"/>
      <c r="BJ702" s="26"/>
      <c r="BK702" s="26"/>
    </row>
    <row r="703" ht="14.25" customHeight="1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  <c r="AA703" s="26"/>
      <c r="AB703" s="26"/>
      <c r="AC703" s="26"/>
      <c r="AD703" s="26"/>
      <c r="AE703" s="26"/>
      <c r="AF703" s="26"/>
      <c r="AG703" s="26"/>
      <c r="AH703" s="26"/>
      <c r="AI703" s="26"/>
      <c r="AJ703" s="26"/>
      <c r="AK703" s="26"/>
      <c r="AL703" s="26"/>
      <c r="AM703" s="26"/>
      <c r="AN703" s="26"/>
      <c r="AO703" s="26"/>
      <c r="AP703" s="26"/>
      <c r="AQ703" s="26"/>
      <c r="AR703" s="26"/>
      <c r="AS703" s="26"/>
      <c r="AT703" s="26"/>
      <c r="AU703" s="26"/>
      <c r="AV703" s="26"/>
      <c r="AW703" s="26"/>
      <c r="AX703" s="26"/>
      <c r="AY703" s="26"/>
      <c r="AZ703" s="26"/>
      <c r="BA703" s="26"/>
      <c r="BB703" s="26"/>
      <c r="BC703" s="26"/>
      <c r="BD703" s="26"/>
      <c r="BE703" s="26"/>
      <c r="BF703" s="26"/>
      <c r="BG703" s="26"/>
      <c r="BH703" s="26"/>
      <c r="BI703" s="26"/>
      <c r="BJ703" s="26"/>
      <c r="BK703" s="26"/>
    </row>
    <row r="704" ht="14.25" customHeight="1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  <c r="AB704" s="26"/>
      <c r="AC704" s="26"/>
      <c r="AD704" s="26"/>
      <c r="AE704" s="26"/>
      <c r="AF704" s="26"/>
      <c r="AG704" s="26"/>
      <c r="AH704" s="26"/>
      <c r="AI704" s="26"/>
      <c r="AJ704" s="26"/>
      <c r="AK704" s="26"/>
      <c r="AL704" s="26"/>
      <c r="AM704" s="26"/>
      <c r="AN704" s="26"/>
      <c r="AO704" s="26"/>
      <c r="AP704" s="26"/>
      <c r="AQ704" s="26"/>
      <c r="AR704" s="26"/>
      <c r="AS704" s="26"/>
      <c r="AT704" s="26"/>
      <c r="AU704" s="26"/>
      <c r="AV704" s="26"/>
      <c r="AW704" s="26"/>
      <c r="AX704" s="26"/>
      <c r="AY704" s="26"/>
      <c r="AZ704" s="26"/>
      <c r="BA704" s="26"/>
      <c r="BB704" s="26"/>
      <c r="BC704" s="26"/>
      <c r="BD704" s="26"/>
      <c r="BE704" s="26"/>
      <c r="BF704" s="26"/>
      <c r="BG704" s="26"/>
      <c r="BH704" s="26"/>
      <c r="BI704" s="26"/>
      <c r="BJ704" s="26"/>
      <c r="BK704" s="26"/>
    </row>
    <row r="705" ht="14.25" customHeight="1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  <c r="AA705" s="26"/>
      <c r="AB705" s="26"/>
      <c r="AC705" s="26"/>
      <c r="AD705" s="26"/>
      <c r="AE705" s="26"/>
      <c r="AF705" s="26"/>
      <c r="AG705" s="26"/>
      <c r="AH705" s="26"/>
      <c r="AI705" s="26"/>
      <c r="AJ705" s="26"/>
      <c r="AK705" s="26"/>
      <c r="AL705" s="26"/>
      <c r="AM705" s="26"/>
      <c r="AN705" s="26"/>
      <c r="AO705" s="26"/>
      <c r="AP705" s="26"/>
      <c r="AQ705" s="26"/>
      <c r="AR705" s="26"/>
      <c r="AS705" s="26"/>
      <c r="AT705" s="26"/>
      <c r="AU705" s="26"/>
      <c r="AV705" s="26"/>
      <c r="AW705" s="26"/>
      <c r="AX705" s="26"/>
      <c r="AY705" s="26"/>
      <c r="AZ705" s="26"/>
      <c r="BA705" s="26"/>
      <c r="BB705" s="26"/>
      <c r="BC705" s="26"/>
      <c r="BD705" s="26"/>
      <c r="BE705" s="26"/>
      <c r="BF705" s="26"/>
      <c r="BG705" s="26"/>
      <c r="BH705" s="26"/>
      <c r="BI705" s="26"/>
      <c r="BJ705" s="26"/>
      <c r="BK705" s="26"/>
    </row>
    <row r="706" ht="14.25" customHeight="1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  <c r="AB706" s="26"/>
      <c r="AC706" s="26"/>
      <c r="AD706" s="26"/>
      <c r="AE706" s="26"/>
      <c r="AF706" s="26"/>
      <c r="AG706" s="26"/>
      <c r="AH706" s="26"/>
      <c r="AI706" s="26"/>
      <c r="AJ706" s="26"/>
      <c r="AK706" s="26"/>
      <c r="AL706" s="26"/>
      <c r="AM706" s="26"/>
      <c r="AN706" s="26"/>
      <c r="AO706" s="26"/>
      <c r="AP706" s="26"/>
      <c r="AQ706" s="26"/>
      <c r="AR706" s="26"/>
      <c r="AS706" s="26"/>
      <c r="AT706" s="26"/>
      <c r="AU706" s="26"/>
      <c r="AV706" s="26"/>
      <c r="AW706" s="26"/>
      <c r="AX706" s="26"/>
      <c r="AY706" s="26"/>
      <c r="AZ706" s="26"/>
      <c r="BA706" s="26"/>
      <c r="BB706" s="26"/>
      <c r="BC706" s="26"/>
      <c r="BD706" s="26"/>
      <c r="BE706" s="26"/>
      <c r="BF706" s="26"/>
      <c r="BG706" s="26"/>
      <c r="BH706" s="26"/>
      <c r="BI706" s="26"/>
      <c r="BJ706" s="26"/>
      <c r="BK706" s="26"/>
    </row>
    <row r="707" ht="14.25" customHeight="1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  <c r="AA707" s="26"/>
      <c r="AB707" s="26"/>
      <c r="AC707" s="26"/>
      <c r="AD707" s="26"/>
      <c r="AE707" s="26"/>
      <c r="AF707" s="26"/>
      <c r="AG707" s="26"/>
      <c r="AH707" s="26"/>
      <c r="AI707" s="26"/>
      <c r="AJ707" s="26"/>
      <c r="AK707" s="26"/>
      <c r="AL707" s="26"/>
      <c r="AM707" s="26"/>
      <c r="AN707" s="26"/>
      <c r="AO707" s="26"/>
      <c r="AP707" s="26"/>
      <c r="AQ707" s="26"/>
      <c r="AR707" s="26"/>
      <c r="AS707" s="26"/>
      <c r="AT707" s="26"/>
      <c r="AU707" s="26"/>
      <c r="AV707" s="26"/>
      <c r="AW707" s="26"/>
      <c r="AX707" s="26"/>
      <c r="AY707" s="26"/>
      <c r="AZ707" s="26"/>
      <c r="BA707" s="26"/>
      <c r="BB707" s="26"/>
      <c r="BC707" s="26"/>
      <c r="BD707" s="26"/>
      <c r="BE707" s="26"/>
      <c r="BF707" s="26"/>
      <c r="BG707" s="26"/>
      <c r="BH707" s="26"/>
      <c r="BI707" s="26"/>
      <c r="BJ707" s="26"/>
      <c r="BK707" s="26"/>
    </row>
    <row r="708" ht="14.25" customHeight="1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  <c r="AB708" s="26"/>
      <c r="AC708" s="26"/>
      <c r="AD708" s="26"/>
      <c r="AE708" s="26"/>
      <c r="AF708" s="26"/>
      <c r="AG708" s="26"/>
      <c r="AH708" s="26"/>
      <c r="AI708" s="26"/>
      <c r="AJ708" s="26"/>
      <c r="AK708" s="26"/>
      <c r="AL708" s="26"/>
      <c r="AM708" s="26"/>
      <c r="AN708" s="26"/>
      <c r="AO708" s="26"/>
      <c r="AP708" s="26"/>
      <c r="AQ708" s="26"/>
      <c r="AR708" s="26"/>
      <c r="AS708" s="26"/>
      <c r="AT708" s="26"/>
      <c r="AU708" s="26"/>
      <c r="AV708" s="26"/>
      <c r="AW708" s="26"/>
      <c r="AX708" s="26"/>
      <c r="AY708" s="26"/>
      <c r="AZ708" s="26"/>
      <c r="BA708" s="26"/>
      <c r="BB708" s="26"/>
      <c r="BC708" s="26"/>
      <c r="BD708" s="26"/>
      <c r="BE708" s="26"/>
      <c r="BF708" s="26"/>
      <c r="BG708" s="26"/>
      <c r="BH708" s="26"/>
      <c r="BI708" s="26"/>
      <c r="BJ708" s="26"/>
      <c r="BK708" s="26"/>
    </row>
    <row r="709" ht="14.25" customHeight="1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/>
      <c r="AB709" s="26"/>
      <c r="AC709" s="26"/>
      <c r="AD709" s="26"/>
      <c r="AE709" s="26"/>
      <c r="AF709" s="26"/>
      <c r="AG709" s="26"/>
      <c r="AH709" s="26"/>
      <c r="AI709" s="26"/>
      <c r="AJ709" s="26"/>
      <c r="AK709" s="26"/>
      <c r="AL709" s="26"/>
      <c r="AM709" s="26"/>
      <c r="AN709" s="26"/>
      <c r="AO709" s="26"/>
      <c r="AP709" s="26"/>
      <c r="AQ709" s="26"/>
      <c r="AR709" s="26"/>
      <c r="AS709" s="26"/>
      <c r="AT709" s="26"/>
      <c r="AU709" s="26"/>
      <c r="AV709" s="26"/>
      <c r="AW709" s="26"/>
      <c r="AX709" s="26"/>
      <c r="AY709" s="26"/>
      <c r="AZ709" s="26"/>
      <c r="BA709" s="26"/>
      <c r="BB709" s="26"/>
      <c r="BC709" s="26"/>
      <c r="BD709" s="26"/>
      <c r="BE709" s="26"/>
      <c r="BF709" s="26"/>
      <c r="BG709" s="26"/>
      <c r="BH709" s="26"/>
      <c r="BI709" s="26"/>
      <c r="BJ709" s="26"/>
      <c r="BK709" s="26"/>
    </row>
    <row r="710" ht="14.25" customHeight="1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  <c r="AB710" s="26"/>
      <c r="AC710" s="26"/>
      <c r="AD710" s="26"/>
      <c r="AE710" s="26"/>
      <c r="AF710" s="26"/>
      <c r="AG710" s="26"/>
      <c r="AH710" s="26"/>
      <c r="AI710" s="26"/>
      <c r="AJ710" s="26"/>
      <c r="AK710" s="26"/>
      <c r="AL710" s="26"/>
      <c r="AM710" s="26"/>
      <c r="AN710" s="26"/>
      <c r="AO710" s="26"/>
      <c r="AP710" s="26"/>
      <c r="AQ710" s="26"/>
      <c r="AR710" s="26"/>
      <c r="AS710" s="26"/>
      <c r="AT710" s="26"/>
      <c r="AU710" s="26"/>
      <c r="AV710" s="26"/>
      <c r="AW710" s="26"/>
      <c r="AX710" s="26"/>
      <c r="AY710" s="26"/>
      <c r="AZ710" s="26"/>
      <c r="BA710" s="26"/>
      <c r="BB710" s="26"/>
      <c r="BC710" s="26"/>
      <c r="BD710" s="26"/>
      <c r="BE710" s="26"/>
      <c r="BF710" s="26"/>
      <c r="BG710" s="26"/>
      <c r="BH710" s="26"/>
      <c r="BI710" s="26"/>
      <c r="BJ710" s="26"/>
      <c r="BK710" s="26"/>
    </row>
    <row r="711" ht="14.25" customHeight="1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  <c r="AA711" s="26"/>
      <c r="AB711" s="26"/>
      <c r="AC711" s="26"/>
      <c r="AD711" s="26"/>
      <c r="AE711" s="26"/>
      <c r="AF711" s="26"/>
      <c r="AG711" s="26"/>
      <c r="AH711" s="26"/>
      <c r="AI711" s="26"/>
      <c r="AJ711" s="26"/>
      <c r="AK711" s="26"/>
      <c r="AL711" s="26"/>
      <c r="AM711" s="26"/>
      <c r="AN711" s="26"/>
      <c r="AO711" s="26"/>
      <c r="AP711" s="26"/>
      <c r="AQ711" s="26"/>
      <c r="AR711" s="26"/>
      <c r="AS711" s="26"/>
      <c r="AT711" s="26"/>
      <c r="AU711" s="26"/>
      <c r="AV711" s="26"/>
      <c r="AW711" s="26"/>
      <c r="AX711" s="26"/>
      <c r="AY711" s="26"/>
      <c r="AZ711" s="26"/>
      <c r="BA711" s="26"/>
      <c r="BB711" s="26"/>
      <c r="BC711" s="26"/>
      <c r="BD711" s="26"/>
      <c r="BE711" s="26"/>
      <c r="BF711" s="26"/>
      <c r="BG711" s="26"/>
      <c r="BH711" s="26"/>
      <c r="BI711" s="26"/>
      <c r="BJ711" s="26"/>
      <c r="BK711" s="26"/>
    </row>
    <row r="712" ht="14.25" customHeight="1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  <c r="AB712" s="26"/>
      <c r="AC712" s="26"/>
      <c r="AD712" s="26"/>
      <c r="AE712" s="26"/>
      <c r="AF712" s="26"/>
      <c r="AG712" s="26"/>
      <c r="AH712" s="26"/>
      <c r="AI712" s="26"/>
      <c r="AJ712" s="26"/>
      <c r="AK712" s="26"/>
      <c r="AL712" s="26"/>
      <c r="AM712" s="26"/>
      <c r="AN712" s="26"/>
      <c r="AO712" s="26"/>
      <c r="AP712" s="26"/>
      <c r="AQ712" s="26"/>
      <c r="AR712" s="26"/>
      <c r="AS712" s="26"/>
      <c r="AT712" s="26"/>
      <c r="AU712" s="26"/>
      <c r="AV712" s="26"/>
      <c r="AW712" s="26"/>
      <c r="AX712" s="26"/>
      <c r="AY712" s="26"/>
      <c r="AZ712" s="26"/>
      <c r="BA712" s="26"/>
      <c r="BB712" s="26"/>
      <c r="BC712" s="26"/>
      <c r="BD712" s="26"/>
      <c r="BE712" s="26"/>
      <c r="BF712" s="26"/>
      <c r="BG712" s="26"/>
      <c r="BH712" s="26"/>
      <c r="BI712" s="26"/>
      <c r="BJ712" s="26"/>
      <c r="BK712" s="26"/>
    </row>
    <row r="713" ht="14.25" customHeight="1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  <c r="AA713" s="26"/>
      <c r="AB713" s="26"/>
      <c r="AC713" s="26"/>
      <c r="AD713" s="26"/>
      <c r="AE713" s="26"/>
      <c r="AF713" s="26"/>
      <c r="AG713" s="26"/>
      <c r="AH713" s="26"/>
      <c r="AI713" s="26"/>
      <c r="AJ713" s="26"/>
      <c r="AK713" s="26"/>
      <c r="AL713" s="26"/>
      <c r="AM713" s="26"/>
      <c r="AN713" s="26"/>
      <c r="AO713" s="26"/>
      <c r="AP713" s="26"/>
      <c r="AQ713" s="26"/>
      <c r="AR713" s="26"/>
      <c r="AS713" s="26"/>
      <c r="AT713" s="26"/>
      <c r="AU713" s="26"/>
      <c r="AV713" s="26"/>
      <c r="AW713" s="26"/>
      <c r="AX713" s="26"/>
      <c r="AY713" s="26"/>
      <c r="AZ713" s="26"/>
      <c r="BA713" s="26"/>
      <c r="BB713" s="26"/>
      <c r="BC713" s="26"/>
      <c r="BD713" s="26"/>
      <c r="BE713" s="26"/>
      <c r="BF713" s="26"/>
      <c r="BG713" s="26"/>
      <c r="BH713" s="26"/>
      <c r="BI713" s="26"/>
      <c r="BJ713" s="26"/>
      <c r="BK713" s="26"/>
    </row>
    <row r="714" ht="14.25" customHeight="1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  <c r="AC714" s="26"/>
      <c r="AD714" s="26"/>
      <c r="AE714" s="26"/>
      <c r="AF714" s="26"/>
      <c r="AG714" s="26"/>
      <c r="AH714" s="26"/>
      <c r="AI714" s="26"/>
      <c r="AJ714" s="26"/>
      <c r="AK714" s="26"/>
      <c r="AL714" s="26"/>
      <c r="AM714" s="26"/>
      <c r="AN714" s="26"/>
      <c r="AO714" s="26"/>
      <c r="AP714" s="26"/>
      <c r="AQ714" s="26"/>
      <c r="AR714" s="26"/>
      <c r="AS714" s="26"/>
      <c r="AT714" s="26"/>
      <c r="AU714" s="26"/>
      <c r="AV714" s="26"/>
      <c r="AW714" s="26"/>
      <c r="AX714" s="26"/>
      <c r="AY714" s="26"/>
      <c r="AZ714" s="26"/>
      <c r="BA714" s="26"/>
      <c r="BB714" s="26"/>
      <c r="BC714" s="26"/>
      <c r="BD714" s="26"/>
      <c r="BE714" s="26"/>
      <c r="BF714" s="26"/>
      <c r="BG714" s="26"/>
      <c r="BH714" s="26"/>
      <c r="BI714" s="26"/>
      <c r="BJ714" s="26"/>
      <c r="BK714" s="26"/>
    </row>
    <row r="715" ht="14.25" customHeight="1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  <c r="AA715" s="26"/>
      <c r="AB715" s="26"/>
      <c r="AC715" s="26"/>
      <c r="AD715" s="26"/>
      <c r="AE715" s="26"/>
      <c r="AF715" s="26"/>
      <c r="AG715" s="26"/>
      <c r="AH715" s="26"/>
      <c r="AI715" s="26"/>
      <c r="AJ715" s="26"/>
      <c r="AK715" s="26"/>
      <c r="AL715" s="26"/>
      <c r="AM715" s="26"/>
      <c r="AN715" s="26"/>
      <c r="AO715" s="26"/>
      <c r="AP715" s="26"/>
      <c r="AQ715" s="26"/>
      <c r="AR715" s="26"/>
      <c r="AS715" s="26"/>
      <c r="AT715" s="26"/>
      <c r="AU715" s="26"/>
      <c r="AV715" s="26"/>
      <c r="AW715" s="26"/>
      <c r="AX715" s="26"/>
      <c r="AY715" s="26"/>
      <c r="AZ715" s="26"/>
      <c r="BA715" s="26"/>
      <c r="BB715" s="26"/>
      <c r="BC715" s="26"/>
      <c r="BD715" s="26"/>
      <c r="BE715" s="26"/>
      <c r="BF715" s="26"/>
      <c r="BG715" s="26"/>
      <c r="BH715" s="26"/>
      <c r="BI715" s="26"/>
      <c r="BJ715" s="26"/>
      <c r="BK715" s="26"/>
    </row>
    <row r="716" ht="14.25" customHeight="1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  <c r="AC716" s="26"/>
      <c r="AD716" s="26"/>
      <c r="AE716" s="26"/>
      <c r="AF716" s="26"/>
      <c r="AG716" s="26"/>
      <c r="AH716" s="26"/>
      <c r="AI716" s="26"/>
      <c r="AJ716" s="26"/>
      <c r="AK716" s="26"/>
      <c r="AL716" s="26"/>
      <c r="AM716" s="26"/>
      <c r="AN716" s="26"/>
      <c r="AO716" s="26"/>
      <c r="AP716" s="26"/>
      <c r="AQ716" s="26"/>
      <c r="AR716" s="26"/>
      <c r="AS716" s="26"/>
      <c r="AT716" s="26"/>
      <c r="AU716" s="26"/>
      <c r="AV716" s="26"/>
      <c r="AW716" s="26"/>
      <c r="AX716" s="26"/>
      <c r="AY716" s="26"/>
      <c r="AZ716" s="26"/>
      <c r="BA716" s="26"/>
      <c r="BB716" s="26"/>
      <c r="BC716" s="26"/>
      <c r="BD716" s="26"/>
      <c r="BE716" s="26"/>
      <c r="BF716" s="26"/>
      <c r="BG716" s="26"/>
      <c r="BH716" s="26"/>
      <c r="BI716" s="26"/>
      <c r="BJ716" s="26"/>
      <c r="BK716" s="26"/>
    </row>
    <row r="717" ht="14.25" customHeight="1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6"/>
      <c r="AB717" s="26"/>
      <c r="AC717" s="26"/>
      <c r="AD717" s="26"/>
      <c r="AE717" s="26"/>
      <c r="AF717" s="26"/>
      <c r="AG717" s="26"/>
      <c r="AH717" s="26"/>
      <c r="AI717" s="26"/>
      <c r="AJ717" s="26"/>
      <c r="AK717" s="26"/>
      <c r="AL717" s="26"/>
      <c r="AM717" s="26"/>
      <c r="AN717" s="26"/>
      <c r="AO717" s="26"/>
      <c r="AP717" s="26"/>
      <c r="AQ717" s="26"/>
      <c r="AR717" s="26"/>
      <c r="AS717" s="26"/>
      <c r="AT717" s="26"/>
      <c r="AU717" s="26"/>
      <c r="AV717" s="26"/>
      <c r="AW717" s="26"/>
      <c r="AX717" s="26"/>
      <c r="AY717" s="26"/>
      <c r="AZ717" s="26"/>
      <c r="BA717" s="26"/>
      <c r="BB717" s="26"/>
      <c r="BC717" s="26"/>
      <c r="BD717" s="26"/>
      <c r="BE717" s="26"/>
      <c r="BF717" s="26"/>
      <c r="BG717" s="26"/>
      <c r="BH717" s="26"/>
      <c r="BI717" s="26"/>
      <c r="BJ717" s="26"/>
      <c r="BK717" s="26"/>
    </row>
    <row r="718" ht="14.25" customHeight="1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  <c r="AB718" s="26"/>
      <c r="AC718" s="26"/>
      <c r="AD718" s="26"/>
      <c r="AE718" s="26"/>
      <c r="AF718" s="26"/>
      <c r="AG718" s="26"/>
      <c r="AH718" s="26"/>
      <c r="AI718" s="26"/>
      <c r="AJ718" s="26"/>
      <c r="AK718" s="26"/>
      <c r="AL718" s="26"/>
      <c r="AM718" s="26"/>
      <c r="AN718" s="26"/>
      <c r="AO718" s="26"/>
      <c r="AP718" s="26"/>
      <c r="AQ718" s="26"/>
      <c r="AR718" s="26"/>
      <c r="AS718" s="26"/>
      <c r="AT718" s="26"/>
      <c r="AU718" s="26"/>
      <c r="AV718" s="26"/>
      <c r="AW718" s="26"/>
      <c r="AX718" s="26"/>
      <c r="AY718" s="26"/>
      <c r="AZ718" s="26"/>
      <c r="BA718" s="26"/>
      <c r="BB718" s="26"/>
      <c r="BC718" s="26"/>
      <c r="BD718" s="26"/>
      <c r="BE718" s="26"/>
      <c r="BF718" s="26"/>
      <c r="BG718" s="26"/>
      <c r="BH718" s="26"/>
      <c r="BI718" s="26"/>
      <c r="BJ718" s="26"/>
      <c r="BK718" s="26"/>
    </row>
    <row r="719" ht="14.25" customHeight="1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  <c r="AA719" s="26"/>
      <c r="AB719" s="26"/>
      <c r="AC719" s="26"/>
      <c r="AD719" s="26"/>
      <c r="AE719" s="26"/>
      <c r="AF719" s="26"/>
      <c r="AG719" s="26"/>
      <c r="AH719" s="26"/>
      <c r="AI719" s="26"/>
      <c r="AJ719" s="26"/>
      <c r="AK719" s="26"/>
      <c r="AL719" s="26"/>
      <c r="AM719" s="26"/>
      <c r="AN719" s="26"/>
      <c r="AO719" s="26"/>
      <c r="AP719" s="26"/>
      <c r="AQ719" s="26"/>
      <c r="AR719" s="26"/>
      <c r="AS719" s="26"/>
      <c r="AT719" s="26"/>
      <c r="AU719" s="26"/>
      <c r="AV719" s="26"/>
      <c r="AW719" s="26"/>
      <c r="AX719" s="26"/>
      <c r="AY719" s="26"/>
      <c r="AZ719" s="26"/>
      <c r="BA719" s="26"/>
      <c r="BB719" s="26"/>
      <c r="BC719" s="26"/>
      <c r="BD719" s="26"/>
      <c r="BE719" s="26"/>
      <c r="BF719" s="26"/>
      <c r="BG719" s="26"/>
      <c r="BH719" s="26"/>
      <c r="BI719" s="26"/>
      <c r="BJ719" s="26"/>
      <c r="BK719" s="26"/>
    </row>
    <row r="720" ht="14.25" customHeight="1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  <c r="AB720" s="26"/>
      <c r="AC720" s="26"/>
      <c r="AD720" s="26"/>
      <c r="AE720" s="26"/>
      <c r="AF720" s="26"/>
      <c r="AG720" s="26"/>
      <c r="AH720" s="26"/>
      <c r="AI720" s="26"/>
      <c r="AJ720" s="26"/>
      <c r="AK720" s="26"/>
      <c r="AL720" s="26"/>
      <c r="AM720" s="26"/>
      <c r="AN720" s="26"/>
      <c r="AO720" s="26"/>
      <c r="AP720" s="26"/>
      <c r="AQ720" s="26"/>
      <c r="AR720" s="26"/>
      <c r="AS720" s="26"/>
      <c r="AT720" s="26"/>
      <c r="AU720" s="26"/>
      <c r="AV720" s="26"/>
      <c r="AW720" s="26"/>
      <c r="AX720" s="26"/>
      <c r="AY720" s="26"/>
      <c r="AZ720" s="26"/>
      <c r="BA720" s="26"/>
      <c r="BB720" s="26"/>
      <c r="BC720" s="26"/>
      <c r="BD720" s="26"/>
      <c r="BE720" s="26"/>
      <c r="BF720" s="26"/>
      <c r="BG720" s="26"/>
      <c r="BH720" s="26"/>
      <c r="BI720" s="26"/>
      <c r="BJ720" s="26"/>
      <c r="BK720" s="26"/>
    </row>
    <row r="721" ht="14.25" customHeight="1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  <c r="AA721" s="26"/>
      <c r="AB721" s="26"/>
      <c r="AC721" s="26"/>
      <c r="AD721" s="26"/>
      <c r="AE721" s="26"/>
      <c r="AF721" s="26"/>
      <c r="AG721" s="26"/>
      <c r="AH721" s="26"/>
      <c r="AI721" s="26"/>
      <c r="AJ721" s="26"/>
      <c r="AK721" s="26"/>
      <c r="AL721" s="26"/>
      <c r="AM721" s="26"/>
      <c r="AN721" s="26"/>
      <c r="AO721" s="26"/>
      <c r="AP721" s="26"/>
      <c r="AQ721" s="26"/>
      <c r="AR721" s="26"/>
      <c r="AS721" s="26"/>
      <c r="AT721" s="26"/>
      <c r="AU721" s="26"/>
      <c r="AV721" s="26"/>
      <c r="AW721" s="26"/>
      <c r="AX721" s="26"/>
      <c r="AY721" s="26"/>
      <c r="AZ721" s="26"/>
      <c r="BA721" s="26"/>
      <c r="BB721" s="26"/>
      <c r="BC721" s="26"/>
      <c r="BD721" s="26"/>
      <c r="BE721" s="26"/>
      <c r="BF721" s="26"/>
      <c r="BG721" s="26"/>
      <c r="BH721" s="26"/>
      <c r="BI721" s="26"/>
      <c r="BJ721" s="26"/>
      <c r="BK721" s="26"/>
    </row>
    <row r="722" ht="14.25" customHeight="1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  <c r="AC722" s="26"/>
      <c r="AD722" s="26"/>
      <c r="AE722" s="26"/>
      <c r="AF722" s="26"/>
      <c r="AG722" s="26"/>
      <c r="AH722" s="26"/>
      <c r="AI722" s="26"/>
      <c r="AJ722" s="26"/>
      <c r="AK722" s="26"/>
      <c r="AL722" s="26"/>
      <c r="AM722" s="26"/>
      <c r="AN722" s="26"/>
      <c r="AO722" s="26"/>
      <c r="AP722" s="26"/>
      <c r="AQ722" s="26"/>
      <c r="AR722" s="26"/>
      <c r="AS722" s="26"/>
      <c r="AT722" s="26"/>
      <c r="AU722" s="26"/>
      <c r="AV722" s="26"/>
      <c r="AW722" s="26"/>
      <c r="AX722" s="26"/>
      <c r="AY722" s="26"/>
      <c r="AZ722" s="26"/>
      <c r="BA722" s="26"/>
      <c r="BB722" s="26"/>
      <c r="BC722" s="26"/>
      <c r="BD722" s="26"/>
      <c r="BE722" s="26"/>
      <c r="BF722" s="26"/>
      <c r="BG722" s="26"/>
      <c r="BH722" s="26"/>
      <c r="BI722" s="26"/>
      <c r="BJ722" s="26"/>
      <c r="BK722" s="26"/>
    </row>
    <row r="723" ht="14.25" customHeight="1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  <c r="AA723" s="26"/>
      <c r="AB723" s="26"/>
      <c r="AC723" s="26"/>
      <c r="AD723" s="26"/>
      <c r="AE723" s="26"/>
      <c r="AF723" s="26"/>
      <c r="AG723" s="26"/>
      <c r="AH723" s="26"/>
      <c r="AI723" s="26"/>
      <c r="AJ723" s="26"/>
      <c r="AK723" s="26"/>
      <c r="AL723" s="26"/>
      <c r="AM723" s="26"/>
      <c r="AN723" s="26"/>
      <c r="AO723" s="26"/>
      <c r="AP723" s="26"/>
      <c r="AQ723" s="26"/>
      <c r="AR723" s="26"/>
      <c r="AS723" s="26"/>
      <c r="AT723" s="26"/>
      <c r="AU723" s="26"/>
      <c r="AV723" s="26"/>
      <c r="AW723" s="26"/>
      <c r="AX723" s="26"/>
      <c r="AY723" s="26"/>
      <c r="AZ723" s="26"/>
      <c r="BA723" s="26"/>
      <c r="BB723" s="26"/>
      <c r="BC723" s="26"/>
      <c r="BD723" s="26"/>
      <c r="BE723" s="26"/>
      <c r="BF723" s="26"/>
      <c r="BG723" s="26"/>
      <c r="BH723" s="26"/>
      <c r="BI723" s="26"/>
      <c r="BJ723" s="26"/>
      <c r="BK723" s="26"/>
    </row>
    <row r="724" ht="14.25" customHeight="1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  <c r="AC724" s="26"/>
      <c r="AD724" s="26"/>
      <c r="AE724" s="26"/>
      <c r="AF724" s="26"/>
      <c r="AG724" s="26"/>
      <c r="AH724" s="26"/>
      <c r="AI724" s="26"/>
      <c r="AJ724" s="26"/>
      <c r="AK724" s="26"/>
      <c r="AL724" s="26"/>
      <c r="AM724" s="26"/>
      <c r="AN724" s="26"/>
      <c r="AO724" s="26"/>
      <c r="AP724" s="26"/>
      <c r="AQ724" s="26"/>
      <c r="AR724" s="26"/>
      <c r="AS724" s="26"/>
      <c r="AT724" s="26"/>
      <c r="AU724" s="26"/>
      <c r="AV724" s="26"/>
      <c r="AW724" s="26"/>
      <c r="AX724" s="26"/>
      <c r="AY724" s="26"/>
      <c r="AZ724" s="26"/>
      <c r="BA724" s="26"/>
      <c r="BB724" s="26"/>
      <c r="BC724" s="26"/>
      <c r="BD724" s="26"/>
      <c r="BE724" s="26"/>
      <c r="BF724" s="26"/>
      <c r="BG724" s="26"/>
      <c r="BH724" s="26"/>
      <c r="BI724" s="26"/>
      <c r="BJ724" s="26"/>
      <c r="BK724" s="26"/>
    </row>
    <row r="725" ht="14.25" customHeight="1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  <c r="AA725" s="26"/>
      <c r="AB725" s="26"/>
      <c r="AC725" s="26"/>
      <c r="AD725" s="26"/>
      <c r="AE725" s="26"/>
      <c r="AF725" s="26"/>
      <c r="AG725" s="26"/>
      <c r="AH725" s="26"/>
      <c r="AI725" s="26"/>
      <c r="AJ725" s="26"/>
      <c r="AK725" s="26"/>
      <c r="AL725" s="26"/>
      <c r="AM725" s="26"/>
      <c r="AN725" s="26"/>
      <c r="AO725" s="26"/>
      <c r="AP725" s="26"/>
      <c r="AQ725" s="26"/>
      <c r="AR725" s="26"/>
      <c r="AS725" s="26"/>
      <c r="AT725" s="26"/>
      <c r="AU725" s="26"/>
      <c r="AV725" s="26"/>
      <c r="AW725" s="26"/>
      <c r="AX725" s="26"/>
      <c r="AY725" s="26"/>
      <c r="AZ725" s="26"/>
      <c r="BA725" s="26"/>
      <c r="BB725" s="26"/>
      <c r="BC725" s="26"/>
      <c r="BD725" s="26"/>
      <c r="BE725" s="26"/>
      <c r="BF725" s="26"/>
      <c r="BG725" s="26"/>
      <c r="BH725" s="26"/>
      <c r="BI725" s="26"/>
      <c r="BJ725" s="26"/>
      <c r="BK725" s="26"/>
    </row>
    <row r="726" ht="14.25" customHeight="1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  <c r="AC726" s="26"/>
      <c r="AD726" s="26"/>
      <c r="AE726" s="26"/>
      <c r="AF726" s="26"/>
      <c r="AG726" s="26"/>
      <c r="AH726" s="26"/>
      <c r="AI726" s="26"/>
      <c r="AJ726" s="26"/>
      <c r="AK726" s="26"/>
      <c r="AL726" s="26"/>
      <c r="AM726" s="26"/>
      <c r="AN726" s="26"/>
      <c r="AO726" s="26"/>
      <c r="AP726" s="26"/>
      <c r="AQ726" s="26"/>
      <c r="AR726" s="26"/>
      <c r="AS726" s="26"/>
      <c r="AT726" s="26"/>
      <c r="AU726" s="26"/>
      <c r="AV726" s="26"/>
      <c r="AW726" s="26"/>
      <c r="AX726" s="26"/>
      <c r="AY726" s="26"/>
      <c r="AZ726" s="26"/>
      <c r="BA726" s="26"/>
      <c r="BB726" s="26"/>
      <c r="BC726" s="26"/>
      <c r="BD726" s="26"/>
      <c r="BE726" s="26"/>
      <c r="BF726" s="26"/>
      <c r="BG726" s="26"/>
      <c r="BH726" s="26"/>
      <c r="BI726" s="26"/>
      <c r="BJ726" s="26"/>
      <c r="BK726" s="26"/>
    </row>
    <row r="727" ht="14.25" customHeight="1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  <c r="AA727" s="26"/>
      <c r="AB727" s="26"/>
      <c r="AC727" s="26"/>
      <c r="AD727" s="26"/>
      <c r="AE727" s="26"/>
      <c r="AF727" s="26"/>
      <c r="AG727" s="26"/>
      <c r="AH727" s="26"/>
      <c r="AI727" s="26"/>
      <c r="AJ727" s="26"/>
      <c r="AK727" s="26"/>
      <c r="AL727" s="26"/>
      <c r="AM727" s="26"/>
      <c r="AN727" s="26"/>
      <c r="AO727" s="26"/>
      <c r="AP727" s="26"/>
      <c r="AQ727" s="26"/>
      <c r="AR727" s="26"/>
      <c r="AS727" s="26"/>
      <c r="AT727" s="26"/>
      <c r="AU727" s="26"/>
      <c r="AV727" s="26"/>
      <c r="AW727" s="26"/>
      <c r="AX727" s="26"/>
      <c r="AY727" s="26"/>
      <c r="AZ727" s="26"/>
      <c r="BA727" s="26"/>
      <c r="BB727" s="26"/>
      <c r="BC727" s="26"/>
      <c r="BD727" s="26"/>
      <c r="BE727" s="26"/>
      <c r="BF727" s="26"/>
      <c r="BG727" s="26"/>
      <c r="BH727" s="26"/>
      <c r="BI727" s="26"/>
      <c r="BJ727" s="26"/>
      <c r="BK727" s="26"/>
    </row>
    <row r="728" ht="14.25" customHeight="1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  <c r="AC728" s="26"/>
      <c r="AD728" s="26"/>
      <c r="AE728" s="26"/>
      <c r="AF728" s="26"/>
      <c r="AG728" s="26"/>
      <c r="AH728" s="26"/>
      <c r="AI728" s="26"/>
      <c r="AJ728" s="26"/>
      <c r="AK728" s="26"/>
      <c r="AL728" s="26"/>
      <c r="AM728" s="26"/>
      <c r="AN728" s="26"/>
      <c r="AO728" s="26"/>
      <c r="AP728" s="26"/>
      <c r="AQ728" s="26"/>
      <c r="AR728" s="26"/>
      <c r="AS728" s="26"/>
      <c r="AT728" s="26"/>
      <c r="AU728" s="26"/>
      <c r="AV728" s="26"/>
      <c r="AW728" s="26"/>
      <c r="AX728" s="26"/>
      <c r="AY728" s="26"/>
      <c r="AZ728" s="26"/>
      <c r="BA728" s="26"/>
      <c r="BB728" s="26"/>
      <c r="BC728" s="26"/>
      <c r="BD728" s="26"/>
      <c r="BE728" s="26"/>
      <c r="BF728" s="26"/>
      <c r="BG728" s="26"/>
      <c r="BH728" s="26"/>
      <c r="BI728" s="26"/>
      <c r="BJ728" s="26"/>
      <c r="BK728" s="26"/>
    </row>
    <row r="729" ht="14.25" customHeight="1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  <c r="AA729" s="26"/>
      <c r="AB729" s="26"/>
      <c r="AC729" s="26"/>
      <c r="AD729" s="26"/>
      <c r="AE729" s="26"/>
      <c r="AF729" s="26"/>
      <c r="AG729" s="26"/>
      <c r="AH729" s="26"/>
      <c r="AI729" s="26"/>
      <c r="AJ729" s="26"/>
      <c r="AK729" s="26"/>
      <c r="AL729" s="26"/>
      <c r="AM729" s="26"/>
      <c r="AN729" s="26"/>
      <c r="AO729" s="26"/>
      <c r="AP729" s="26"/>
      <c r="AQ729" s="26"/>
      <c r="AR729" s="26"/>
      <c r="AS729" s="26"/>
      <c r="AT729" s="26"/>
      <c r="AU729" s="26"/>
      <c r="AV729" s="26"/>
      <c r="AW729" s="26"/>
      <c r="AX729" s="26"/>
      <c r="AY729" s="26"/>
      <c r="AZ729" s="26"/>
      <c r="BA729" s="26"/>
      <c r="BB729" s="26"/>
      <c r="BC729" s="26"/>
      <c r="BD729" s="26"/>
      <c r="BE729" s="26"/>
      <c r="BF729" s="26"/>
      <c r="BG729" s="26"/>
      <c r="BH729" s="26"/>
      <c r="BI729" s="26"/>
      <c r="BJ729" s="26"/>
      <c r="BK729" s="26"/>
    </row>
    <row r="730" ht="14.25" customHeight="1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  <c r="AC730" s="26"/>
      <c r="AD730" s="26"/>
      <c r="AE730" s="26"/>
      <c r="AF730" s="26"/>
      <c r="AG730" s="26"/>
      <c r="AH730" s="26"/>
      <c r="AI730" s="26"/>
      <c r="AJ730" s="26"/>
      <c r="AK730" s="26"/>
      <c r="AL730" s="26"/>
      <c r="AM730" s="26"/>
      <c r="AN730" s="26"/>
      <c r="AO730" s="26"/>
      <c r="AP730" s="26"/>
      <c r="AQ730" s="26"/>
      <c r="AR730" s="26"/>
      <c r="AS730" s="26"/>
      <c r="AT730" s="26"/>
      <c r="AU730" s="26"/>
      <c r="AV730" s="26"/>
      <c r="AW730" s="26"/>
      <c r="AX730" s="26"/>
      <c r="AY730" s="26"/>
      <c r="AZ730" s="26"/>
      <c r="BA730" s="26"/>
      <c r="BB730" s="26"/>
      <c r="BC730" s="26"/>
      <c r="BD730" s="26"/>
      <c r="BE730" s="26"/>
      <c r="BF730" s="26"/>
      <c r="BG730" s="26"/>
      <c r="BH730" s="26"/>
      <c r="BI730" s="26"/>
      <c r="BJ730" s="26"/>
      <c r="BK730" s="26"/>
    </row>
    <row r="731" ht="14.25" customHeight="1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  <c r="AA731" s="26"/>
      <c r="AB731" s="26"/>
      <c r="AC731" s="26"/>
      <c r="AD731" s="26"/>
      <c r="AE731" s="26"/>
      <c r="AF731" s="26"/>
      <c r="AG731" s="26"/>
      <c r="AH731" s="26"/>
      <c r="AI731" s="26"/>
      <c r="AJ731" s="26"/>
      <c r="AK731" s="26"/>
      <c r="AL731" s="26"/>
      <c r="AM731" s="26"/>
      <c r="AN731" s="26"/>
      <c r="AO731" s="26"/>
      <c r="AP731" s="26"/>
      <c r="AQ731" s="26"/>
      <c r="AR731" s="26"/>
      <c r="AS731" s="26"/>
      <c r="AT731" s="26"/>
      <c r="AU731" s="26"/>
      <c r="AV731" s="26"/>
      <c r="AW731" s="26"/>
      <c r="AX731" s="26"/>
      <c r="AY731" s="26"/>
      <c r="AZ731" s="26"/>
      <c r="BA731" s="26"/>
      <c r="BB731" s="26"/>
      <c r="BC731" s="26"/>
      <c r="BD731" s="26"/>
      <c r="BE731" s="26"/>
      <c r="BF731" s="26"/>
      <c r="BG731" s="26"/>
      <c r="BH731" s="26"/>
      <c r="BI731" s="26"/>
      <c r="BJ731" s="26"/>
      <c r="BK731" s="26"/>
    </row>
    <row r="732" ht="14.25" customHeight="1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  <c r="AB732" s="26"/>
      <c r="AC732" s="26"/>
      <c r="AD732" s="26"/>
      <c r="AE732" s="26"/>
      <c r="AF732" s="26"/>
      <c r="AG732" s="26"/>
      <c r="AH732" s="26"/>
      <c r="AI732" s="26"/>
      <c r="AJ732" s="26"/>
      <c r="AK732" s="26"/>
      <c r="AL732" s="26"/>
      <c r="AM732" s="26"/>
      <c r="AN732" s="26"/>
      <c r="AO732" s="26"/>
      <c r="AP732" s="26"/>
      <c r="AQ732" s="26"/>
      <c r="AR732" s="26"/>
      <c r="AS732" s="26"/>
      <c r="AT732" s="26"/>
      <c r="AU732" s="26"/>
      <c r="AV732" s="26"/>
      <c r="AW732" s="26"/>
      <c r="AX732" s="26"/>
      <c r="AY732" s="26"/>
      <c r="AZ732" s="26"/>
      <c r="BA732" s="26"/>
      <c r="BB732" s="26"/>
      <c r="BC732" s="26"/>
      <c r="BD732" s="26"/>
      <c r="BE732" s="26"/>
      <c r="BF732" s="26"/>
      <c r="BG732" s="26"/>
      <c r="BH732" s="26"/>
      <c r="BI732" s="26"/>
      <c r="BJ732" s="26"/>
      <c r="BK732" s="26"/>
    </row>
    <row r="733" ht="14.25" customHeight="1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  <c r="AA733" s="26"/>
      <c r="AB733" s="26"/>
      <c r="AC733" s="26"/>
      <c r="AD733" s="26"/>
      <c r="AE733" s="26"/>
      <c r="AF733" s="26"/>
      <c r="AG733" s="26"/>
      <c r="AH733" s="26"/>
      <c r="AI733" s="26"/>
      <c r="AJ733" s="26"/>
      <c r="AK733" s="26"/>
      <c r="AL733" s="26"/>
      <c r="AM733" s="26"/>
      <c r="AN733" s="26"/>
      <c r="AO733" s="26"/>
      <c r="AP733" s="26"/>
      <c r="AQ733" s="26"/>
      <c r="AR733" s="26"/>
      <c r="AS733" s="26"/>
      <c r="AT733" s="26"/>
      <c r="AU733" s="26"/>
      <c r="AV733" s="26"/>
      <c r="AW733" s="26"/>
      <c r="AX733" s="26"/>
      <c r="AY733" s="26"/>
      <c r="AZ733" s="26"/>
      <c r="BA733" s="26"/>
      <c r="BB733" s="26"/>
      <c r="BC733" s="26"/>
      <c r="BD733" s="26"/>
      <c r="BE733" s="26"/>
      <c r="BF733" s="26"/>
      <c r="BG733" s="26"/>
      <c r="BH733" s="26"/>
      <c r="BI733" s="26"/>
      <c r="BJ733" s="26"/>
      <c r="BK733" s="26"/>
    </row>
    <row r="734" ht="14.25" customHeight="1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  <c r="AB734" s="26"/>
      <c r="AC734" s="26"/>
      <c r="AD734" s="26"/>
      <c r="AE734" s="26"/>
      <c r="AF734" s="26"/>
      <c r="AG734" s="26"/>
      <c r="AH734" s="26"/>
      <c r="AI734" s="26"/>
      <c r="AJ734" s="26"/>
      <c r="AK734" s="26"/>
      <c r="AL734" s="26"/>
      <c r="AM734" s="26"/>
      <c r="AN734" s="26"/>
      <c r="AO734" s="26"/>
      <c r="AP734" s="26"/>
      <c r="AQ734" s="26"/>
      <c r="AR734" s="26"/>
      <c r="AS734" s="26"/>
      <c r="AT734" s="26"/>
      <c r="AU734" s="26"/>
      <c r="AV734" s="26"/>
      <c r="AW734" s="26"/>
      <c r="AX734" s="26"/>
      <c r="AY734" s="26"/>
      <c r="AZ734" s="26"/>
      <c r="BA734" s="26"/>
      <c r="BB734" s="26"/>
      <c r="BC734" s="26"/>
      <c r="BD734" s="26"/>
      <c r="BE734" s="26"/>
      <c r="BF734" s="26"/>
      <c r="BG734" s="26"/>
      <c r="BH734" s="26"/>
      <c r="BI734" s="26"/>
      <c r="BJ734" s="26"/>
      <c r="BK734" s="26"/>
    </row>
    <row r="735" ht="14.25" customHeight="1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  <c r="AA735" s="26"/>
      <c r="AB735" s="26"/>
      <c r="AC735" s="26"/>
      <c r="AD735" s="26"/>
      <c r="AE735" s="26"/>
      <c r="AF735" s="26"/>
      <c r="AG735" s="26"/>
      <c r="AH735" s="26"/>
      <c r="AI735" s="26"/>
      <c r="AJ735" s="26"/>
      <c r="AK735" s="26"/>
      <c r="AL735" s="26"/>
      <c r="AM735" s="26"/>
      <c r="AN735" s="26"/>
      <c r="AO735" s="26"/>
      <c r="AP735" s="26"/>
      <c r="AQ735" s="26"/>
      <c r="AR735" s="26"/>
      <c r="AS735" s="26"/>
      <c r="AT735" s="26"/>
      <c r="AU735" s="26"/>
      <c r="AV735" s="26"/>
      <c r="AW735" s="26"/>
      <c r="AX735" s="26"/>
      <c r="AY735" s="26"/>
      <c r="AZ735" s="26"/>
      <c r="BA735" s="26"/>
      <c r="BB735" s="26"/>
      <c r="BC735" s="26"/>
      <c r="BD735" s="26"/>
      <c r="BE735" s="26"/>
      <c r="BF735" s="26"/>
      <c r="BG735" s="26"/>
      <c r="BH735" s="26"/>
      <c r="BI735" s="26"/>
      <c r="BJ735" s="26"/>
      <c r="BK735" s="26"/>
    </row>
    <row r="736" ht="14.25" customHeight="1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  <c r="AC736" s="26"/>
      <c r="AD736" s="26"/>
      <c r="AE736" s="26"/>
      <c r="AF736" s="26"/>
      <c r="AG736" s="26"/>
      <c r="AH736" s="26"/>
      <c r="AI736" s="26"/>
      <c r="AJ736" s="26"/>
      <c r="AK736" s="26"/>
      <c r="AL736" s="26"/>
      <c r="AM736" s="26"/>
      <c r="AN736" s="26"/>
      <c r="AO736" s="26"/>
      <c r="AP736" s="26"/>
      <c r="AQ736" s="26"/>
      <c r="AR736" s="26"/>
      <c r="AS736" s="26"/>
      <c r="AT736" s="26"/>
      <c r="AU736" s="26"/>
      <c r="AV736" s="26"/>
      <c r="AW736" s="26"/>
      <c r="AX736" s="26"/>
      <c r="AY736" s="26"/>
      <c r="AZ736" s="26"/>
      <c r="BA736" s="26"/>
      <c r="BB736" s="26"/>
      <c r="BC736" s="26"/>
      <c r="BD736" s="26"/>
      <c r="BE736" s="26"/>
      <c r="BF736" s="26"/>
      <c r="BG736" s="26"/>
      <c r="BH736" s="26"/>
      <c r="BI736" s="26"/>
      <c r="BJ736" s="26"/>
      <c r="BK736" s="26"/>
    </row>
    <row r="737" ht="14.25" customHeight="1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  <c r="AA737" s="26"/>
      <c r="AB737" s="26"/>
      <c r="AC737" s="26"/>
      <c r="AD737" s="26"/>
      <c r="AE737" s="26"/>
      <c r="AF737" s="26"/>
      <c r="AG737" s="26"/>
      <c r="AH737" s="26"/>
      <c r="AI737" s="26"/>
      <c r="AJ737" s="26"/>
      <c r="AK737" s="26"/>
      <c r="AL737" s="26"/>
      <c r="AM737" s="26"/>
      <c r="AN737" s="26"/>
      <c r="AO737" s="26"/>
      <c r="AP737" s="26"/>
      <c r="AQ737" s="26"/>
      <c r="AR737" s="26"/>
      <c r="AS737" s="26"/>
      <c r="AT737" s="26"/>
      <c r="AU737" s="26"/>
      <c r="AV737" s="26"/>
      <c r="AW737" s="26"/>
      <c r="AX737" s="26"/>
      <c r="AY737" s="26"/>
      <c r="AZ737" s="26"/>
      <c r="BA737" s="26"/>
      <c r="BB737" s="26"/>
      <c r="BC737" s="26"/>
      <c r="BD737" s="26"/>
      <c r="BE737" s="26"/>
      <c r="BF737" s="26"/>
      <c r="BG737" s="26"/>
      <c r="BH737" s="26"/>
      <c r="BI737" s="26"/>
      <c r="BJ737" s="26"/>
      <c r="BK737" s="26"/>
    </row>
    <row r="738" ht="14.25" customHeight="1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  <c r="AB738" s="26"/>
      <c r="AC738" s="26"/>
      <c r="AD738" s="26"/>
      <c r="AE738" s="26"/>
      <c r="AF738" s="26"/>
      <c r="AG738" s="26"/>
      <c r="AH738" s="26"/>
      <c r="AI738" s="26"/>
      <c r="AJ738" s="26"/>
      <c r="AK738" s="26"/>
      <c r="AL738" s="26"/>
      <c r="AM738" s="26"/>
      <c r="AN738" s="26"/>
      <c r="AO738" s="26"/>
      <c r="AP738" s="26"/>
      <c r="AQ738" s="26"/>
      <c r="AR738" s="26"/>
      <c r="AS738" s="26"/>
      <c r="AT738" s="26"/>
      <c r="AU738" s="26"/>
      <c r="AV738" s="26"/>
      <c r="AW738" s="26"/>
      <c r="AX738" s="26"/>
      <c r="AY738" s="26"/>
      <c r="AZ738" s="26"/>
      <c r="BA738" s="26"/>
      <c r="BB738" s="26"/>
      <c r="BC738" s="26"/>
      <c r="BD738" s="26"/>
      <c r="BE738" s="26"/>
      <c r="BF738" s="26"/>
      <c r="BG738" s="26"/>
      <c r="BH738" s="26"/>
      <c r="BI738" s="26"/>
      <c r="BJ738" s="26"/>
      <c r="BK738" s="26"/>
    </row>
    <row r="739" ht="14.25" customHeight="1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  <c r="AA739" s="26"/>
      <c r="AB739" s="26"/>
      <c r="AC739" s="26"/>
      <c r="AD739" s="26"/>
      <c r="AE739" s="26"/>
      <c r="AF739" s="26"/>
      <c r="AG739" s="26"/>
      <c r="AH739" s="26"/>
      <c r="AI739" s="26"/>
      <c r="AJ739" s="26"/>
      <c r="AK739" s="26"/>
      <c r="AL739" s="26"/>
      <c r="AM739" s="26"/>
      <c r="AN739" s="26"/>
      <c r="AO739" s="26"/>
      <c r="AP739" s="26"/>
      <c r="AQ739" s="26"/>
      <c r="AR739" s="26"/>
      <c r="AS739" s="26"/>
      <c r="AT739" s="26"/>
      <c r="AU739" s="26"/>
      <c r="AV739" s="26"/>
      <c r="AW739" s="26"/>
      <c r="AX739" s="26"/>
      <c r="AY739" s="26"/>
      <c r="AZ739" s="26"/>
      <c r="BA739" s="26"/>
      <c r="BB739" s="26"/>
      <c r="BC739" s="26"/>
      <c r="BD739" s="26"/>
      <c r="BE739" s="26"/>
      <c r="BF739" s="26"/>
      <c r="BG739" s="26"/>
      <c r="BH739" s="26"/>
      <c r="BI739" s="26"/>
      <c r="BJ739" s="26"/>
      <c r="BK739" s="26"/>
    </row>
    <row r="740" ht="14.25" customHeight="1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  <c r="AB740" s="26"/>
      <c r="AC740" s="26"/>
      <c r="AD740" s="26"/>
      <c r="AE740" s="26"/>
      <c r="AF740" s="26"/>
      <c r="AG740" s="26"/>
      <c r="AH740" s="26"/>
      <c r="AI740" s="26"/>
      <c r="AJ740" s="26"/>
      <c r="AK740" s="26"/>
      <c r="AL740" s="26"/>
      <c r="AM740" s="26"/>
      <c r="AN740" s="26"/>
      <c r="AO740" s="26"/>
      <c r="AP740" s="26"/>
      <c r="AQ740" s="26"/>
      <c r="AR740" s="26"/>
      <c r="AS740" s="26"/>
      <c r="AT740" s="26"/>
      <c r="AU740" s="26"/>
      <c r="AV740" s="26"/>
      <c r="AW740" s="26"/>
      <c r="AX740" s="26"/>
      <c r="AY740" s="26"/>
      <c r="AZ740" s="26"/>
      <c r="BA740" s="26"/>
      <c r="BB740" s="26"/>
      <c r="BC740" s="26"/>
      <c r="BD740" s="26"/>
      <c r="BE740" s="26"/>
      <c r="BF740" s="26"/>
      <c r="BG740" s="26"/>
      <c r="BH740" s="26"/>
      <c r="BI740" s="26"/>
      <c r="BJ740" s="26"/>
      <c r="BK740" s="26"/>
    </row>
    <row r="741" ht="14.25" customHeight="1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  <c r="AA741" s="26"/>
      <c r="AB741" s="26"/>
      <c r="AC741" s="26"/>
      <c r="AD741" s="26"/>
      <c r="AE741" s="26"/>
      <c r="AF741" s="26"/>
      <c r="AG741" s="26"/>
      <c r="AH741" s="26"/>
      <c r="AI741" s="26"/>
      <c r="AJ741" s="26"/>
      <c r="AK741" s="26"/>
      <c r="AL741" s="26"/>
      <c r="AM741" s="26"/>
      <c r="AN741" s="26"/>
      <c r="AO741" s="26"/>
      <c r="AP741" s="26"/>
      <c r="AQ741" s="26"/>
      <c r="AR741" s="26"/>
      <c r="AS741" s="26"/>
      <c r="AT741" s="26"/>
      <c r="AU741" s="26"/>
      <c r="AV741" s="26"/>
      <c r="AW741" s="26"/>
      <c r="AX741" s="26"/>
      <c r="AY741" s="26"/>
      <c r="AZ741" s="26"/>
      <c r="BA741" s="26"/>
      <c r="BB741" s="26"/>
      <c r="BC741" s="26"/>
      <c r="BD741" s="26"/>
      <c r="BE741" s="26"/>
      <c r="BF741" s="26"/>
      <c r="BG741" s="26"/>
      <c r="BH741" s="26"/>
      <c r="BI741" s="26"/>
      <c r="BJ741" s="26"/>
      <c r="BK741" s="26"/>
    </row>
    <row r="742" ht="14.25" customHeight="1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  <c r="AB742" s="26"/>
      <c r="AC742" s="26"/>
      <c r="AD742" s="26"/>
      <c r="AE742" s="26"/>
      <c r="AF742" s="26"/>
      <c r="AG742" s="26"/>
      <c r="AH742" s="26"/>
      <c r="AI742" s="26"/>
      <c r="AJ742" s="26"/>
      <c r="AK742" s="26"/>
      <c r="AL742" s="26"/>
      <c r="AM742" s="26"/>
      <c r="AN742" s="26"/>
      <c r="AO742" s="26"/>
      <c r="AP742" s="26"/>
      <c r="AQ742" s="26"/>
      <c r="AR742" s="26"/>
      <c r="AS742" s="26"/>
      <c r="AT742" s="26"/>
      <c r="AU742" s="26"/>
      <c r="AV742" s="26"/>
      <c r="AW742" s="26"/>
      <c r="AX742" s="26"/>
      <c r="AY742" s="26"/>
      <c r="AZ742" s="26"/>
      <c r="BA742" s="26"/>
      <c r="BB742" s="26"/>
      <c r="BC742" s="26"/>
      <c r="BD742" s="26"/>
      <c r="BE742" s="26"/>
      <c r="BF742" s="26"/>
      <c r="BG742" s="26"/>
      <c r="BH742" s="26"/>
      <c r="BI742" s="26"/>
      <c r="BJ742" s="26"/>
      <c r="BK742" s="26"/>
    </row>
    <row r="743" ht="14.25" customHeight="1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  <c r="AA743" s="26"/>
      <c r="AB743" s="26"/>
      <c r="AC743" s="26"/>
      <c r="AD743" s="26"/>
      <c r="AE743" s="26"/>
      <c r="AF743" s="26"/>
      <c r="AG743" s="26"/>
      <c r="AH743" s="26"/>
      <c r="AI743" s="26"/>
      <c r="AJ743" s="26"/>
      <c r="AK743" s="26"/>
      <c r="AL743" s="26"/>
      <c r="AM743" s="26"/>
      <c r="AN743" s="26"/>
      <c r="AO743" s="26"/>
      <c r="AP743" s="26"/>
      <c r="AQ743" s="26"/>
      <c r="AR743" s="26"/>
      <c r="AS743" s="26"/>
      <c r="AT743" s="26"/>
      <c r="AU743" s="26"/>
      <c r="AV743" s="26"/>
      <c r="AW743" s="26"/>
      <c r="AX743" s="26"/>
      <c r="AY743" s="26"/>
      <c r="AZ743" s="26"/>
      <c r="BA743" s="26"/>
      <c r="BB743" s="26"/>
      <c r="BC743" s="26"/>
      <c r="BD743" s="26"/>
      <c r="BE743" s="26"/>
      <c r="BF743" s="26"/>
      <c r="BG743" s="26"/>
      <c r="BH743" s="26"/>
      <c r="BI743" s="26"/>
      <c r="BJ743" s="26"/>
      <c r="BK743" s="26"/>
    </row>
    <row r="744" ht="14.25" customHeight="1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  <c r="AA744" s="26"/>
      <c r="AB744" s="26"/>
      <c r="AC744" s="26"/>
      <c r="AD744" s="26"/>
      <c r="AE744" s="26"/>
      <c r="AF744" s="26"/>
      <c r="AG744" s="26"/>
      <c r="AH744" s="26"/>
      <c r="AI744" s="26"/>
      <c r="AJ744" s="26"/>
      <c r="AK744" s="26"/>
      <c r="AL744" s="26"/>
      <c r="AM744" s="26"/>
      <c r="AN744" s="26"/>
      <c r="AO744" s="26"/>
      <c r="AP744" s="26"/>
      <c r="AQ744" s="26"/>
      <c r="AR744" s="26"/>
      <c r="AS744" s="26"/>
      <c r="AT744" s="26"/>
      <c r="AU744" s="26"/>
      <c r="AV744" s="26"/>
      <c r="AW744" s="26"/>
      <c r="AX744" s="26"/>
      <c r="AY744" s="26"/>
      <c r="AZ744" s="26"/>
      <c r="BA744" s="26"/>
      <c r="BB744" s="26"/>
      <c r="BC744" s="26"/>
      <c r="BD744" s="26"/>
      <c r="BE744" s="26"/>
      <c r="BF744" s="26"/>
      <c r="BG744" s="26"/>
      <c r="BH744" s="26"/>
      <c r="BI744" s="26"/>
      <c r="BJ744" s="26"/>
      <c r="BK744" s="26"/>
    </row>
    <row r="745" ht="14.25" customHeight="1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  <c r="AA745" s="26"/>
      <c r="AB745" s="26"/>
      <c r="AC745" s="26"/>
      <c r="AD745" s="26"/>
      <c r="AE745" s="26"/>
      <c r="AF745" s="26"/>
      <c r="AG745" s="26"/>
      <c r="AH745" s="26"/>
      <c r="AI745" s="26"/>
      <c r="AJ745" s="26"/>
      <c r="AK745" s="26"/>
      <c r="AL745" s="26"/>
      <c r="AM745" s="26"/>
      <c r="AN745" s="26"/>
      <c r="AO745" s="26"/>
      <c r="AP745" s="26"/>
      <c r="AQ745" s="26"/>
      <c r="AR745" s="26"/>
      <c r="AS745" s="26"/>
      <c r="AT745" s="26"/>
      <c r="AU745" s="26"/>
      <c r="AV745" s="26"/>
      <c r="AW745" s="26"/>
      <c r="AX745" s="26"/>
      <c r="AY745" s="26"/>
      <c r="AZ745" s="26"/>
      <c r="BA745" s="26"/>
      <c r="BB745" s="26"/>
      <c r="BC745" s="26"/>
      <c r="BD745" s="26"/>
      <c r="BE745" s="26"/>
      <c r="BF745" s="26"/>
      <c r="BG745" s="26"/>
      <c r="BH745" s="26"/>
      <c r="BI745" s="26"/>
      <c r="BJ745" s="26"/>
      <c r="BK745" s="26"/>
    </row>
    <row r="746" ht="14.25" customHeight="1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  <c r="AA746" s="26"/>
      <c r="AB746" s="26"/>
      <c r="AC746" s="26"/>
      <c r="AD746" s="26"/>
      <c r="AE746" s="26"/>
      <c r="AF746" s="26"/>
      <c r="AG746" s="26"/>
      <c r="AH746" s="26"/>
      <c r="AI746" s="26"/>
      <c r="AJ746" s="26"/>
      <c r="AK746" s="26"/>
      <c r="AL746" s="26"/>
      <c r="AM746" s="26"/>
      <c r="AN746" s="26"/>
      <c r="AO746" s="26"/>
      <c r="AP746" s="26"/>
      <c r="AQ746" s="26"/>
      <c r="AR746" s="26"/>
      <c r="AS746" s="26"/>
      <c r="AT746" s="26"/>
      <c r="AU746" s="26"/>
      <c r="AV746" s="26"/>
      <c r="AW746" s="26"/>
      <c r="AX746" s="26"/>
      <c r="AY746" s="26"/>
      <c r="AZ746" s="26"/>
      <c r="BA746" s="26"/>
      <c r="BB746" s="26"/>
      <c r="BC746" s="26"/>
      <c r="BD746" s="26"/>
      <c r="BE746" s="26"/>
      <c r="BF746" s="26"/>
      <c r="BG746" s="26"/>
      <c r="BH746" s="26"/>
      <c r="BI746" s="26"/>
      <c r="BJ746" s="26"/>
      <c r="BK746" s="26"/>
    </row>
    <row r="747" ht="14.25" customHeight="1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  <c r="AA747" s="26"/>
      <c r="AB747" s="26"/>
      <c r="AC747" s="26"/>
      <c r="AD747" s="26"/>
      <c r="AE747" s="26"/>
      <c r="AF747" s="26"/>
      <c r="AG747" s="26"/>
      <c r="AH747" s="26"/>
      <c r="AI747" s="26"/>
      <c r="AJ747" s="26"/>
      <c r="AK747" s="26"/>
      <c r="AL747" s="26"/>
      <c r="AM747" s="26"/>
      <c r="AN747" s="26"/>
      <c r="AO747" s="26"/>
      <c r="AP747" s="26"/>
      <c r="AQ747" s="26"/>
      <c r="AR747" s="26"/>
      <c r="AS747" s="26"/>
      <c r="AT747" s="26"/>
      <c r="AU747" s="26"/>
      <c r="AV747" s="26"/>
      <c r="AW747" s="26"/>
      <c r="AX747" s="26"/>
      <c r="AY747" s="26"/>
      <c r="AZ747" s="26"/>
      <c r="BA747" s="26"/>
      <c r="BB747" s="26"/>
      <c r="BC747" s="26"/>
      <c r="BD747" s="26"/>
      <c r="BE747" s="26"/>
      <c r="BF747" s="26"/>
      <c r="BG747" s="26"/>
      <c r="BH747" s="26"/>
      <c r="BI747" s="26"/>
      <c r="BJ747" s="26"/>
      <c r="BK747" s="26"/>
    </row>
    <row r="748" ht="14.25" customHeight="1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  <c r="AA748" s="26"/>
      <c r="AB748" s="26"/>
      <c r="AC748" s="26"/>
      <c r="AD748" s="26"/>
      <c r="AE748" s="26"/>
      <c r="AF748" s="26"/>
      <c r="AG748" s="26"/>
      <c r="AH748" s="26"/>
      <c r="AI748" s="26"/>
      <c r="AJ748" s="26"/>
      <c r="AK748" s="26"/>
      <c r="AL748" s="26"/>
      <c r="AM748" s="26"/>
      <c r="AN748" s="26"/>
      <c r="AO748" s="26"/>
      <c r="AP748" s="26"/>
      <c r="AQ748" s="26"/>
      <c r="AR748" s="26"/>
      <c r="AS748" s="26"/>
      <c r="AT748" s="26"/>
      <c r="AU748" s="26"/>
      <c r="AV748" s="26"/>
      <c r="AW748" s="26"/>
      <c r="AX748" s="26"/>
      <c r="AY748" s="26"/>
      <c r="AZ748" s="26"/>
      <c r="BA748" s="26"/>
      <c r="BB748" s="26"/>
      <c r="BC748" s="26"/>
      <c r="BD748" s="26"/>
      <c r="BE748" s="26"/>
      <c r="BF748" s="26"/>
      <c r="BG748" s="26"/>
      <c r="BH748" s="26"/>
      <c r="BI748" s="26"/>
      <c r="BJ748" s="26"/>
      <c r="BK748" s="26"/>
    </row>
    <row r="749" ht="14.25" customHeight="1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  <c r="AA749" s="26"/>
      <c r="AB749" s="26"/>
      <c r="AC749" s="26"/>
      <c r="AD749" s="26"/>
      <c r="AE749" s="26"/>
      <c r="AF749" s="26"/>
      <c r="AG749" s="26"/>
      <c r="AH749" s="26"/>
      <c r="AI749" s="26"/>
      <c r="AJ749" s="26"/>
      <c r="AK749" s="26"/>
      <c r="AL749" s="26"/>
      <c r="AM749" s="26"/>
      <c r="AN749" s="26"/>
      <c r="AO749" s="26"/>
      <c r="AP749" s="26"/>
      <c r="AQ749" s="26"/>
      <c r="AR749" s="26"/>
      <c r="AS749" s="26"/>
      <c r="AT749" s="26"/>
      <c r="AU749" s="26"/>
      <c r="AV749" s="26"/>
      <c r="AW749" s="26"/>
      <c r="AX749" s="26"/>
      <c r="AY749" s="26"/>
      <c r="AZ749" s="26"/>
      <c r="BA749" s="26"/>
      <c r="BB749" s="26"/>
      <c r="BC749" s="26"/>
      <c r="BD749" s="26"/>
      <c r="BE749" s="26"/>
      <c r="BF749" s="26"/>
      <c r="BG749" s="26"/>
      <c r="BH749" s="26"/>
      <c r="BI749" s="26"/>
      <c r="BJ749" s="26"/>
      <c r="BK749" s="26"/>
    </row>
    <row r="750" ht="14.25" customHeight="1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  <c r="AB750" s="26"/>
      <c r="AC750" s="26"/>
      <c r="AD750" s="26"/>
      <c r="AE750" s="26"/>
      <c r="AF750" s="26"/>
      <c r="AG750" s="26"/>
      <c r="AH750" s="26"/>
      <c r="AI750" s="26"/>
      <c r="AJ750" s="26"/>
      <c r="AK750" s="26"/>
      <c r="AL750" s="26"/>
      <c r="AM750" s="26"/>
      <c r="AN750" s="26"/>
      <c r="AO750" s="26"/>
      <c r="AP750" s="26"/>
      <c r="AQ750" s="26"/>
      <c r="AR750" s="26"/>
      <c r="AS750" s="26"/>
      <c r="AT750" s="26"/>
      <c r="AU750" s="26"/>
      <c r="AV750" s="26"/>
      <c r="AW750" s="26"/>
      <c r="AX750" s="26"/>
      <c r="AY750" s="26"/>
      <c r="AZ750" s="26"/>
      <c r="BA750" s="26"/>
      <c r="BB750" s="26"/>
      <c r="BC750" s="26"/>
      <c r="BD750" s="26"/>
      <c r="BE750" s="26"/>
      <c r="BF750" s="26"/>
      <c r="BG750" s="26"/>
      <c r="BH750" s="26"/>
      <c r="BI750" s="26"/>
      <c r="BJ750" s="26"/>
      <c r="BK750" s="26"/>
    </row>
    <row r="751" ht="14.25" customHeight="1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  <c r="AA751" s="26"/>
      <c r="AB751" s="26"/>
      <c r="AC751" s="26"/>
      <c r="AD751" s="26"/>
      <c r="AE751" s="26"/>
      <c r="AF751" s="26"/>
      <c r="AG751" s="26"/>
      <c r="AH751" s="26"/>
      <c r="AI751" s="26"/>
      <c r="AJ751" s="26"/>
      <c r="AK751" s="26"/>
      <c r="AL751" s="26"/>
      <c r="AM751" s="26"/>
      <c r="AN751" s="26"/>
      <c r="AO751" s="26"/>
      <c r="AP751" s="26"/>
      <c r="AQ751" s="26"/>
      <c r="AR751" s="26"/>
      <c r="AS751" s="26"/>
      <c r="AT751" s="26"/>
      <c r="AU751" s="26"/>
      <c r="AV751" s="26"/>
      <c r="AW751" s="26"/>
      <c r="AX751" s="26"/>
      <c r="AY751" s="26"/>
      <c r="AZ751" s="26"/>
      <c r="BA751" s="26"/>
      <c r="BB751" s="26"/>
      <c r="BC751" s="26"/>
      <c r="BD751" s="26"/>
      <c r="BE751" s="26"/>
      <c r="BF751" s="26"/>
      <c r="BG751" s="26"/>
      <c r="BH751" s="26"/>
      <c r="BI751" s="26"/>
      <c r="BJ751" s="26"/>
      <c r="BK751" s="26"/>
    </row>
    <row r="752" ht="14.25" customHeight="1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  <c r="AA752" s="26"/>
      <c r="AB752" s="26"/>
      <c r="AC752" s="26"/>
      <c r="AD752" s="26"/>
      <c r="AE752" s="26"/>
      <c r="AF752" s="26"/>
      <c r="AG752" s="26"/>
      <c r="AH752" s="26"/>
      <c r="AI752" s="26"/>
      <c r="AJ752" s="26"/>
      <c r="AK752" s="26"/>
      <c r="AL752" s="26"/>
      <c r="AM752" s="26"/>
      <c r="AN752" s="26"/>
      <c r="AO752" s="26"/>
      <c r="AP752" s="26"/>
      <c r="AQ752" s="26"/>
      <c r="AR752" s="26"/>
      <c r="AS752" s="26"/>
      <c r="AT752" s="26"/>
      <c r="AU752" s="26"/>
      <c r="AV752" s="26"/>
      <c r="AW752" s="26"/>
      <c r="AX752" s="26"/>
      <c r="AY752" s="26"/>
      <c r="AZ752" s="26"/>
      <c r="BA752" s="26"/>
      <c r="BB752" s="26"/>
      <c r="BC752" s="26"/>
      <c r="BD752" s="26"/>
      <c r="BE752" s="26"/>
      <c r="BF752" s="26"/>
      <c r="BG752" s="26"/>
      <c r="BH752" s="26"/>
      <c r="BI752" s="26"/>
      <c r="BJ752" s="26"/>
      <c r="BK752" s="26"/>
    </row>
    <row r="753" ht="14.25" customHeight="1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  <c r="AA753" s="26"/>
      <c r="AB753" s="26"/>
      <c r="AC753" s="26"/>
      <c r="AD753" s="26"/>
      <c r="AE753" s="26"/>
      <c r="AF753" s="26"/>
      <c r="AG753" s="26"/>
      <c r="AH753" s="26"/>
      <c r="AI753" s="26"/>
      <c r="AJ753" s="26"/>
      <c r="AK753" s="26"/>
      <c r="AL753" s="26"/>
      <c r="AM753" s="26"/>
      <c r="AN753" s="26"/>
      <c r="AO753" s="26"/>
      <c r="AP753" s="26"/>
      <c r="AQ753" s="26"/>
      <c r="AR753" s="26"/>
      <c r="AS753" s="26"/>
      <c r="AT753" s="26"/>
      <c r="AU753" s="26"/>
      <c r="AV753" s="26"/>
      <c r="AW753" s="26"/>
      <c r="AX753" s="26"/>
      <c r="AY753" s="26"/>
      <c r="AZ753" s="26"/>
      <c r="BA753" s="26"/>
      <c r="BB753" s="26"/>
      <c r="BC753" s="26"/>
      <c r="BD753" s="26"/>
      <c r="BE753" s="26"/>
      <c r="BF753" s="26"/>
      <c r="BG753" s="26"/>
      <c r="BH753" s="26"/>
      <c r="BI753" s="26"/>
      <c r="BJ753" s="26"/>
      <c r="BK753" s="26"/>
    </row>
    <row r="754" ht="14.25" customHeight="1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  <c r="AA754" s="26"/>
      <c r="AB754" s="26"/>
      <c r="AC754" s="26"/>
      <c r="AD754" s="26"/>
      <c r="AE754" s="26"/>
      <c r="AF754" s="26"/>
      <c r="AG754" s="26"/>
      <c r="AH754" s="26"/>
      <c r="AI754" s="26"/>
      <c r="AJ754" s="26"/>
      <c r="AK754" s="26"/>
      <c r="AL754" s="26"/>
      <c r="AM754" s="26"/>
      <c r="AN754" s="26"/>
      <c r="AO754" s="26"/>
      <c r="AP754" s="26"/>
      <c r="AQ754" s="26"/>
      <c r="AR754" s="26"/>
      <c r="AS754" s="26"/>
      <c r="AT754" s="26"/>
      <c r="AU754" s="26"/>
      <c r="AV754" s="26"/>
      <c r="AW754" s="26"/>
      <c r="AX754" s="26"/>
      <c r="AY754" s="26"/>
      <c r="AZ754" s="26"/>
      <c r="BA754" s="26"/>
      <c r="BB754" s="26"/>
      <c r="BC754" s="26"/>
      <c r="BD754" s="26"/>
      <c r="BE754" s="26"/>
      <c r="BF754" s="26"/>
      <c r="BG754" s="26"/>
      <c r="BH754" s="26"/>
      <c r="BI754" s="26"/>
      <c r="BJ754" s="26"/>
      <c r="BK754" s="26"/>
    </row>
    <row r="755" ht="14.25" customHeight="1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  <c r="AA755" s="26"/>
      <c r="AB755" s="26"/>
      <c r="AC755" s="26"/>
      <c r="AD755" s="26"/>
      <c r="AE755" s="26"/>
      <c r="AF755" s="26"/>
      <c r="AG755" s="26"/>
      <c r="AH755" s="26"/>
      <c r="AI755" s="26"/>
      <c r="AJ755" s="26"/>
      <c r="AK755" s="26"/>
      <c r="AL755" s="26"/>
      <c r="AM755" s="26"/>
      <c r="AN755" s="26"/>
      <c r="AO755" s="26"/>
      <c r="AP755" s="26"/>
      <c r="AQ755" s="26"/>
      <c r="AR755" s="26"/>
      <c r="AS755" s="26"/>
      <c r="AT755" s="26"/>
      <c r="AU755" s="26"/>
      <c r="AV755" s="26"/>
      <c r="AW755" s="26"/>
      <c r="AX755" s="26"/>
      <c r="AY755" s="26"/>
      <c r="AZ755" s="26"/>
      <c r="BA755" s="26"/>
      <c r="BB755" s="26"/>
      <c r="BC755" s="26"/>
      <c r="BD755" s="26"/>
      <c r="BE755" s="26"/>
      <c r="BF755" s="26"/>
      <c r="BG755" s="26"/>
      <c r="BH755" s="26"/>
      <c r="BI755" s="26"/>
      <c r="BJ755" s="26"/>
      <c r="BK755" s="26"/>
    </row>
    <row r="756" ht="14.25" customHeight="1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  <c r="AA756" s="26"/>
      <c r="AB756" s="26"/>
      <c r="AC756" s="26"/>
      <c r="AD756" s="26"/>
      <c r="AE756" s="26"/>
      <c r="AF756" s="26"/>
      <c r="AG756" s="26"/>
      <c r="AH756" s="26"/>
      <c r="AI756" s="26"/>
      <c r="AJ756" s="26"/>
      <c r="AK756" s="26"/>
      <c r="AL756" s="26"/>
      <c r="AM756" s="26"/>
      <c r="AN756" s="26"/>
      <c r="AO756" s="26"/>
      <c r="AP756" s="26"/>
      <c r="AQ756" s="26"/>
      <c r="AR756" s="26"/>
      <c r="AS756" s="26"/>
      <c r="AT756" s="26"/>
      <c r="AU756" s="26"/>
      <c r="AV756" s="26"/>
      <c r="AW756" s="26"/>
      <c r="AX756" s="26"/>
      <c r="AY756" s="26"/>
      <c r="AZ756" s="26"/>
      <c r="BA756" s="26"/>
      <c r="BB756" s="26"/>
      <c r="BC756" s="26"/>
      <c r="BD756" s="26"/>
      <c r="BE756" s="26"/>
      <c r="BF756" s="26"/>
      <c r="BG756" s="26"/>
      <c r="BH756" s="26"/>
      <c r="BI756" s="26"/>
      <c r="BJ756" s="26"/>
      <c r="BK756" s="26"/>
    </row>
    <row r="757" ht="14.25" customHeight="1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  <c r="AA757" s="26"/>
      <c r="AB757" s="26"/>
      <c r="AC757" s="26"/>
      <c r="AD757" s="26"/>
      <c r="AE757" s="26"/>
      <c r="AF757" s="26"/>
      <c r="AG757" s="26"/>
      <c r="AH757" s="26"/>
      <c r="AI757" s="26"/>
      <c r="AJ757" s="26"/>
      <c r="AK757" s="26"/>
      <c r="AL757" s="26"/>
      <c r="AM757" s="26"/>
      <c r="AN757" s="26"/>
      <c r="AO757" s="26"/>
      <c r="AP757" s="26"/>
      <c r="AQ757" s="26"/>
      <c r="AR757" s="26"/>
      <c r="AS757" s="26"/>
      <c r="AT757" s="26"/>
      <c r="AU757" s="26"/>
      <c r="AV757" s="26"/>
      <c r="AW757" s="26"/>
      <c r="AX757" s="26"/>
      <c r="AY757" s="26"/>
      <c r="AZ757" s="26"/>
      <c r="BA757" s="26"/>
      <c r="BB757" s="26"/>
      <c r="BC757" s="26"/>
      <c r="BD757" s="26"/>
      <c r="BE757" s="26"/>
      <c r="BF757" s="26"/>
      <c r="BG757" s="26"/>
      <c r="BH757" s="26"/>
      <c r="BI757" s="26"/>
      <c r="BJ757" s="26"/>
      <c r="BK757" s="26"/>
    </row>
    <row r="758" ht="14.25" customHeight="1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  <c r="AA758" s="26"/>
      <c r="AB758" s="26"/>
      <c r="AC758" s="26"/>
      <c r="AD758" s="26"/>
      <c r="AE758" s="26"/>
      <c r="AF758" s="26"/>
      <c r="AG758" s="26"/>
      <c r="AH758" s="26"/>
      <c r="AI758" s="26"/>
      <c r="AJ758" s="26"/>
      <c r="AK758" s="26"/>
      <c r="AL758" s="26"/>
      <c r="AM758" s="26"/>
      <c r="AN758" s="26"/>
      <c r="AO758" s="26"/>
      <c r="AP758" s="26"/>
      <c r="AQ758" s="26"/>
      <c r="AR758" s="26"/>
      <c r="AS758" s="26"/>
      <c r="AT758" s="26"/>
      <c r="AU758" s="26"/>
      <c r="AV758" s="26"/>
      <c r="AW758" s="26"/>
      <c r="AX758" s="26"/>
      <c r="AY758" s="26"/>
      <c r="AZ758" s="26"/>
      <c r="BA758" s="26"/>
      <c r="BB758" s="26"/>
      <c r="BC758" s="26"/>
      <c r="BD758" s="26"/>
      <c r="BE758" s="26"/>
      <c r="BF758" s="26"/>
      <c r="BG758" s="26"/>
      <c r="BH758" s="26"/>
      <c r="BI758" s="26"/>
      <c r="BJ758" s="26"/>
      <c r="BK758" s="26"/>
    </row>
    <row r="759" ht="14.25" customHeight="1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  <c r="AA759" s="26"/>
      <c r="AB759" s="26"/>
      <c r="AC759" s="26"/>
      <c r="AD759" s="26"/>
      <c r="AE759" s="26"/>
      <c r="AF759" s="26"/>
      <c r="AG759" s="26"/>
      <c r="AH759" s="26"/>
      <c r="AI759" s="26"/>
      <c r="AJ759" s="26"/>
      <c r="AK759" s="26"/>
      <c r="AL759" s="26"/>
      <c r="AM759" s="26"/>
      <c r="AN759" s="26"/>
      <c r="AO759" s="26"/>
      <c r="AP759" s="26"/>
      <c r="AQ759" s="26"/>
      <c r="AR759" s="26"/>
      <c r="AS759" s="26"/>
      <c r="AT759" s="26"/>
      <c r="AU759" s="26"/>
      <c r="AV759" s="26"/>
      <c r="AW759" s="26"/>
      <c r="AX759" s="26"/>
      <c r="AY759" s="26"/>
      <c r="AZ759" s="26"/>
      <c r="BA759" s="26"/>
      <c r="BB759" s="26"/>
      <c r="BC759" s="26"/>
      <c r="BD759" s="26"/>
      <c r="BE759" s="26"/>
      <c r="BF759" s="26"/>
      <c r="BG759" s="26"/>
      <c r="BH759" s="26"/>
      <c r="BI759" s="26"/>
      <c r="BJ759" s="26"/>
      <c r="BK759" s="26"/>
    </row>
    <row r="760" ht="14.25" customHeight="1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  <c r="AA760" s="26"/>
      <c r="AB760" s="26"/>
      <c r="AC760" s="26"/>
      <c r="AD760" s="26"/>
      <c r="AE760" s="26"/>
      <c r="AF760" s="26"/>
      <c r="AG760" s="26"/>
      <c r="AH760" s="26"/>
      <c r="AI760" s="26"/>
      <c r="AJ760" s="26"/>
      <c r="AK760" s="26"/>
      <c r="AL760" s="26"/>
      <c r="AM760" s="26"/>
      <c r="AN760" s="26"/>
      <c r="AO760" s="26"/>
      <c r="AP760" s="26"/>
      <c r="AQ760" s="26"/>
      <c r="AR760" s="26"/>
      <c r="AS760" s="26"/>
      <c r="AT760" s="26"/>
      <c r="AU760" s="26"/>
      <c r="AV760" s="26"/>
      <c r="AW760" s="26"/>
      <c r="AX760" s="26"/>
      <c r="AY760" s="26"/>
      <c r="AZ760" s="26"/>
      <c r="BA760" s="26"/>
      <c r="BB760" s="26"/>
      <c r="BC760" s="26"/>
      <c r="BD760" s="26"/>
      <c r="BE760" s="26"/>
      <c r="BF760" s="26"/>
      <c r="BG760" s="26"/>
      <c r="BH760" s="26"/>
      <c r="BI760" s="26"/>
      <c r="BJ760" s="26"/>
      <c r="BK760" s="26"/>
    </row>
    <row r="761" ht="14.25" customHeight="1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  <c r="AA761" s="26"/>
      <c r="AB761" s="26"/>
      <c r="AC761" s="26"/>
      <c r="AD761" s="26"/>
      <c r="AE761" s="26"/>
      <c r="AF761" s="26"/>
      <c r="AG761" s="26"/>
      <c r="AH761" s="26"/>
      <c r="AI761" s="26"/>
      <c r="AJ761" s="26"/>
      <c r="AK761" s="26"/>
      <c r="AL761" s="26"/>
      <c r="AM761" s="26"/>
      <c r="AN761" s="26"/>
      <c r="AO761" s="26"/>
      <c r="AP761" s="26"/>
      <c r="AQ761" s="26"/>
      <c r="AR761" s="26"/>
      <c r="AS761" s="26"/>
      <c r="AT761" s="26"/>
      <c r="AU761" s="26"/>
      <c r="AV761" s="26"/>
      <c r="AW761" s="26"/>
      <c r="AX761" s="26"/>
      <c r="AY761" s="26"/>
      <c r="AZ761" s="26"/>
      <c r="BA761" s="26"/>
      <c r="BB761" s="26"/>
      <c r="BC761" s="26"/>
      <c r="BD761" s="26"/>
      <c r="BE761" s="26"/>
      <c r="BF761" s="26"/>
      <c r="BG761" s="26"/>
      <c r="BH761" s="26"/>
      <c r="BI761" s="26"/>
      <c r="BJ761" s="26"/>
      <c r="BK761" s="26"/>
    </row>
    <row r="762" ht="14.25" customHeight="1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  <c r="AA762" s="26"/>
      <c r="AB762" s="26"/>
      <c r="AC762" s="26"/>
      <c r="AD762" s="26"/>
      <c r="AE762" s="26"/>
      <c r="AF762" s="26"/>
      <c r="AG762" s="26"/>
      <c r="AH762" s="26"/>
      <c r="AI762" s="26"/>
      <c r="AJ762" s="26"/>
      <c r="AK762" s="26"/>
      <c r="AL762" s="26"/>
      <c r="AM762" s="26"/>
      <c r="AN762" s="26"/>
      <c r="AO762" s="26"/>
      <c r="AP762" s="26"/>
      <c r="AQ762" s="26"/>
      <c r="AR762" s="26"/>
      <c r="AS762" s="26"/>
      <c r="AT762" s="26"/>
      <c r="AU762" s="26"/>
      <c r="AV762" s="26"/>
      <c r="AW762" s="26"/>
      <c r="AX762" s="26"/>
      <c r="AY762" s="26"/>
      <c r="AZ762" s="26"/>
      <c r="BA762" s="26"/>
      <c r="BB762" s="26"/>
      <c r="BC762" s="26"/>
      <c r="BD762" s="26"/>
      <c r="BE762" s="26"/>
      <c r="BF762" s="26"/>
      <c r="BG762" s="26"/>
      <c r="BH762" s="26"/>
      <c r="BI762" s="26"/>
      <c r="BJ762" s="26"/>
      <c r="BK762" s="26"/>
    </row>
    <row r="763" ht="14.25" customHeight="1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  <c r="AA763" s="26"/>
      <c r="AB763" s="26"/>
      <c r="AC763" s="26"/>
      <c r="AD763" s="26"/>
      <c r="AE763" s="26"/>
      <c r="AF763" s="26"/>
      <c r="AG763" s="26"/>
      <c r="AH763" s="26"/>
      <c r="AI763" s="26"/>
      <c r="AJ763" s="26"/>
      <c r="AK763" s="26"/>
      <c r="AL763" s="26"/>
      <c r="AM763" s="26"/>
      <c r="AN763" s="26"/>
      <c r="AO763" s="26"/>
      <c r="AP763" s="26"/>
      <c r="AQ763" s="26"/>
      <c r="AR763" s="26"/>
      <c r="AS763" s="26"/>
      <c r="AT763" s="26"/>
      <c r="AU763" s="26"/>
      <c r="AV763" s="26"/>
      <c r="AW763" s="26"/>
      <c r="AX763" s="26"/>
      <c r="AY763" s="26"/>
      <c r="AZ763" s="26"/>
      <c r="BA763" s="26"/>
      <c r="BB763" s="26"/>
      <c r="BC763" s="26"/>
      <c r="BD763" s="26"/>
      <c r="BE763" s="26"/>
      <c r="BF763" s="26"/>
      <c r="BG763" s="26"/>
      <c r="BH763" s="26"/>
      <c r="BI763" s="26"/>
      <c r="BJ763" s="26"/>
      <c r="BK763" s="26"/>
    </row>
    <row r="764" ht="14.25" customHeight="1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  <c r="AA764" s="26"/>
      <c r="AB764" s="26"/>
      <c r="AC764" s="26"/>
      <c r="AD764" s="26"/>
      <c r="AE764" s="26"/>
      <c r="AF764" s="26"/>
      <c r="AG764" s="26"/>
      <c r="AH764" s="26"/>
      <c r="AI764" s="26"/>
      <c r="AJ764" s="26"/>
      <c r="AK764" s="26"/>
      <c r="AL764" s="26"/>
      <c r="AM764" s="26"/>
      <c r="AN764" s="26"/>
      <c r="AO764" s="26"/>
      <c r="AP764" s="26"/>
      <c r="AQ764" s="26"/>
      <c r="AR764" s="26"/>
      <c r="AS764" s="26"/>
      <c r="AT764" s="26"/>
      <c r="AU764" s="26"/>
      <c r="AV764" s="26"/>
      <c r="AW764" s="26"/>
      <c r="AX764" s="26"/>
      <c r="AY764" s="26"/>
      <c r="AZ764" s="26"/>
      <c r="BA764" s="26"/>
      <c r="BB764" s="26"/>
      <c r="BC764" s="26"/>
      <c r="BD764" s="26"/>
      <c r="BE764" s="26"/>
      <c r="BF764" s="26"/>
      <c r="BG764" s="26"/>
      <c r="BH764" s="26"/>
      <c r="BI764" s="26"/>
      <c r="BJ764" s="26"/>
      <c r="BK764" s="26"/>
    </row>
    <row r="765" ht="14.25" customHeight="1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  <c r="AA765" s="26"/>
      <c r="AB765" s="26"/>
      <c r="AC765" s="26"/>
      <c r="AD765" s="26"/>
      <c r="AE765" s="26"/>
      <c r="AF765" s="26"/>
      <c r="AG765" s="26"/>
      <c r="AH765" s="26"/>
      <c r="AI765" s="26"/>
      <c r="AJ765" s="26"/>
      <c r="AK765" s="26"/>
      <c r="AL765" s="26"/>
      <c r="AM765" s="26"/>
      <c r="AN765" s="26"/>
      <c r="AO765" s="26"/>
      <c r="AP765" s="26"/>
      <c r="AQ765" s="26"/>
      <c r="AR765" s="26"/>
      <c r="AS765" s="26"/>
      <c r="AT765" s="26"/>
      <c r="AU765" s="26"/>
      <c r="AV765" s="26"/>
      <c r="AW765" s="26"/>
      <c r="AX765" s="26"/>
      <c r="AY765" s="26"/>
      <c r="AZ765" s="26"/>
      <c r="BA765" s="26"/>
      <c r="BB765" s="26"/>
      <c r="BC765" s="26"/>
      <c r="BD765" s="26"/>
      <c r="BE765" s="26"/>
      <c r="BF765" s="26"/>
      <c r="BG765" s="26"/>
      <c r="BH765" s="26"/>
      <c r="BI765" s="26"/>
      <c r="BJ765" s="26"/>
      <c r="BK765" s="26"/>
    </row>
    <row r="766" ht="14.25" customHeight="1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  <c r="AA766" s="26"/>
      <c r="AB766" s="26"/>
      <c r="AC766" s="26"/>
      <c r="AD766" s="26"/>
      <c r="AE766" s="26"/>
      <c r="AF766" s="26"/>
      <c r="AG766" s="26"/>
      <c r="AH766" s="26"/>
      <c r="AI766" s="26"/>
      <c r="AJ766" s="26"/>
      <c r="AK766" s="26"/>
      <c r="AL766" s="26"/>
      <c r="AM766" s="26"/>
      <c r="AN766" s="26"/>
      <c r="AO766" s="26"/>
      <c r="AP766" s="26"/>
      <c r="AQ766" s="26"/>
      <c r="AR766" s="26"/>
      <c r="AS766" s="26"/>
      <c r="AT766" s="26"/>
      <c r="AU766" s="26"/>
      <c r="AV766" s="26"/>
      <c r="AW766" s="26"/>
      <c r="AX766" s="26"/>
      <c r="AY766" s="26"/>
      <c r="AZ766" s="26"/>
      <c r="BA766" s="26"/>
      <c r="BB766" s="26"/>
      <c r="BC766" s="26"/>
      <c r="BD766" s="26"/>
      <c r="BE766" s="26"/>
      <c r="BF766" s="26"/>
      <c r="BG766" s="26"/>
      <c r="BH766" s="26"/>
      <c r="BI766" s="26"/>
      <c r="BJ766" s="26"/>
      <c r="BK766" s="26"/>
    </row>
    <row r="767" ht="14.25" customHeight="1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  <c r="AA767" s="26"/>
      <c r="AB767" s="26"/>
      <c r="AC767" s="26"/>
      <c r="AD767" s="26"/>
      <c r="AE767" s="26"/>
      <c r="AF767" s="26"/>
      <c r="AG767" s="26"/>
      <c r="AH767" s="26"/>
      <c r="AI767" s="26"/>
      <c r="AJ767" s="26"/>
      <c r="AK767" s="26"/>
      <c r="AL767" s="26"/>
      <c r="AM767" s="26"/>
      <c r="AN767" s="26"/>
      <c r="AO767" s="26"/>
      <c r="AP767" s="26"/>
      <c r="AQ767" s="26"/>
      <c r="AR767" s="26"/>
      <c r="AS767" s="26"/>
      <c r="AT767" s="26"/>
      <c r="AU767" s="26"/>
      <c r="AV767" s="26"/>
      <c r="AW767" s="26"/>
      <c r="AX767" s="26"/>
      <c r="AY767" s="26"/>
      <c r="AZ767" s="26"/>
      <c r="BA767" s="26"/>
      <c r="BB767" s="26"/>
      <c r="BC767" s="26"/>
      <c r="BD767" s="26"/>
      <c r="BE767" s="26"/>
      <c r="BF767" s="26"/>
      <c r="BG767" s="26"/>
      <c r="BH767" s="26"/>
      <c r="BI767" s="26"/>
      <c r="BJ767" s="26"/>
      <c r="BK767" s="26"/>
    </row>
    <row r="768" ht="14.25" customHeight="1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  <c r="AA768" s="26"/>
      <c r="AB768" s="26"/>
      <c r="AC768" s="26"/>
      <c r="AD768" s="26"/>
      <c r="AE768" s="26"/>
      <c r="AF768" s="26"/>
      <c r="AG768" s="26"/>
      <c r="AH768" s="26"/>
      <c r="AI768" s="26"/>
      <c r="AJ768" s="26"/>
      <c r="AK768" s="26"/>
      <c r="AL768" s="26"/>
      <c r="AM768" s="26"/>
      <c r="AN768" s="26"/>
      <c r="AO768" s="26"/>
      <c r="AP768" s="26"/>
      <c r="AQ768" s="26"/>
      <c r="AR768" s="26"/>
      <c r="AS768" s="26"/>
      <c r="AT768" s="26"/>
      <c r="AU768" s="26"/>
      <c r="AV768" s="26"/>
      <c r="AW768" s="26"/>
      <c r="AX768" s="26"/>
      <c r="AY768" s="26"/>
      <c r="AZ768" s="26"/>
      <c r="BA768" s="26"/>
      <c r="BB768" s="26"/>
      <c r="BC768" s="26"/>
      <c r="BD768" s="26"/>
      <c r="BE768" s="26"/>
      <c r="BF768" s="26"/>
      <c r="BG768" s="26"/>
      <c r="BH768" s="26"/>
      <c r="BI768" s="26"/>
      <c r="BJ768" s="26"/>
      <c r="BK768" s="26"/>
    </row>
    <row r="769" ht="14.25" customHeight="1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  <c r="AA769" s="26"/>
      <c r="AB769" s="26"/>
      <c r="AC769" s="26"/>
      <c r="AD769" s="26"/>
      <c r="AE769" s="26"/>
      <c r="AF769" s="26"/>
      <c r="AG769" s="26"/>
      <c r="AH769" s="26"/>
      <c r="AI769" s="26"/>
      <c r="AJ769" s="26"/>
      <c r="AK769" s="26"/>
      <c r="AL769" s="26"/>
      <c r="AM769" s="26"/>
      <c r="AN769" s="26"/>
      <c r="AO769" s="26"/>
      <c r="AP769" s="26"/>
      <c r="AQ769" s="26"/>
      <c r="AR769" s="26"/>
      <c r="AS769" s="26"/>
      <c r="AT769" s="26"/>
      <c r="AU769" s="26"/>
      <c r="AV769" s="26"/>
      <c r="AW769" s="26"/>
      <c r="AX769" s="26"/>
      <c r="AY769" s="26"/>
      <c r="AZ769" s="26"/>
      <c r="BA769" s="26"/>
      <c r="BB769" s="26"/>
      <c r="BC769" s="26"/>
      <c r="BD769" s="26"/>
      <c r="BE769" s="26"/>
      <c r="BF769" s="26"/>
      <c r="BG769" s="26"/>
      <c r="BH769" s="26"/>
      <c r="BI769" s="26"/>
      <c r="BJ769" s="26"/>
      <c r="BK769" s="26"/>
    </row>
    <row r="770" ht="14.25" customHeight="1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  <c r="AA770" s="26"/>
      <c r="AB770" s="26"/>
      <c r="AC770" s="26"/>
      <c r="AD770" s="26"/>
      <c r="AE770" s="26"/>
      <c r="AF770" s="26"/>
      <c r="AG770" s="26"/>
      <c r="AH770" s="26"/>
      <c r="AI770" s="26"/>
      <c r="AJ770" s="26"/>
      <c r="AK770" s="26"/>
      <c r="AL770" s="26"/>
      <c r="AM770" s="26"/>
      <c r="AN770" s="26"/>
      <c r="AO770" s="26"/>
      <c r="AP770" s="26"/>
      <c r="AQ770" s="26"/>
      <c r="AR770" s="26"/>
      <c r="AS770" s="26"/>
      <c r="AT770" s="26"/>
      <c r="AU770" s="26"/>
      <c r="AV770" s="26"/>
      <c r="AW770" s="26"/>
      <c r="AX770" s="26"/>
      <c r="AY770" s="26"/>
      <c r="AZ770" s="26"/>
      <c r="BA770" s="26"/>
      <c r="BB770" s="26"/>
      <c r="BC770" s="26"/>
      <c r="BD770" s="26"/>
      <c r="BE770" s="26"/>
      <c r="BF770" s="26"/>
      <c r="BG770" s="26"/>
      <c r="BH770" s="26"/>
      <c r="BI770" s="26"/>
      <c r="BJ770" s="26"/>
      <c r="BK770" s="26"/>
    </row>
    <row r="771" ht="14.25" customHeight="1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  <c r="AA771" s="26"/>
      <c r="AB771" s="26"/>
      <c r="AC771" s="26"/>
      <c r="AD771" s="26"/>
      <c r="AE771" s="26"/>
      <c r="AF771" s="26"/>
      <c r="AG771" s="26"/>
      <c r="AH771" s="26"/>
      <c r="AI771" s="26"/>
      <c r="AJ771" s="26"/>
      <c r="AK771" s="26"/>
      <c r="AL771" s="26"/>
      <c r="AM771" s="26"/>
      <c r="AN771" s="26"/>
      <c r="AO771" s="26"/>
      <c r="AP771" s="26"/>
      <c r="AQ771" s="26"/>
      <c r="AR771" s="26"/>
      <c r="AS771" s="26"/>
      <c r="AT771" s="26"/>
      <c r="AU771" s="26"/>
      <c r="AV771" s="26"/>
      <c r="AW771" s="26"/>
      <c r="AX771" s="26"/>
      <c r="AY771" s="26"/>
      <c r="AZ771" s="26"/>
      <c r="BA771" s="26"/>
      <c r="BB771" s="26"/>
      <c r="BC771" s="26"/>
      <c r="BD771" s="26"/>
      <c r="BE771" s="26"/>
      <c r="BF771" s="26"/>
      <c r="BG771" s="26"/>
      <c r="BH771" s="26"/>
      <c r="BI771" s="26"/>
      <c r="BJ771" s="26"/>
      <c r="BK771" s="26"/>
    </row>
    <row r="772" ht="14.25" customHeight="1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  <c r="AA772" s="26"/>
      <c r="AB772" s="26"/>
      <c r="AC772" s="26"/>
      <c r="AD772" s="26"/>
      <c r="AE772" s="26"/>
      <c r="AF772" s="26"/>
      <c r="AG772" s="26"/>
      <c r="AH772" s="26"/>
      <c r="AI772" s="26"/>
      <c r="AJ772" s="26"/>
      <c r="AK772" s="26"/>
      <c r="AL772" s="26"/>
      <c r="AM772" s="26"/>
      <c r="AN772" s="26"/>
      <c r="AO772" s="26"/>
      <c r="AP772" s="26"/>
      <c r="AQ772" s="26"/>
      <c r="AR772" s="26"/>
      <c r="AS772" s="26"/>
      <c r="AT772" s="26"/>
      <c r="AU772" s="26"/>
      <c r="AV772" s="26"/>
      <c r="AW772" s="26"/>
      <c r="AX772" s="26"/>
      <c r="AY772" s="26"/>
      <c r="AZ772" s="26"/>
      <c r="BA772" s="26"/>
      <c r="BB772" s="26"/>
      <c r="BC772" s="26"/>
      <c r="BD772" s="26"/>
      <c r="BE772" s="26"/>
      <c r="BF772" s="26"/>
      <c r="BG772" s="26"/>
      <c r="BH772" s="26"/>
      <c r="BI772" s="26"/>
      <c r="BJ772" s="26"/>
      <c r="BK772" s="26"/>
    </row>
    <row r="773" ht="14.25" customHeight="1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  <c r="AA773" s="26"/>
      <c r="AB773" s="26"/>
      <c r="AC773" s="26"/>
      <c r="AD773" s="26"/>
      <c r="AE773" s="26"/>
      <c r="AF773" s="26"/>
      <c r="AG773" s="26"/>
      <c r="AH773" s="26"/>
      <c r="AI773" s="26"/>
      <c r="AJ773" s="26"/>
      <c r="AK773" s="26"/>
      <c r="AL773" s="26"/>
      <c r="AM773" s="26"/>
      <c r="AN773" s="26"/>
      <c r="AO773" s="26"/>
      <c r="AP773" s="26"/>
      <c r="AQ773" s="26"/>
      <c r="AR773" s="26"/>
      <c r="AS773" s="26"/>
      <c r="AT773" s="26"/>
      <c r="AU773" s="26"/>
      <c r="AV773" s="26"/>
      <c r="AW773" s="26"/>
      <c r="AX773" s="26"/>
      <c r="AY773" s="26"/>
      <c r="AZ773" s="26"/>
      <c r="BA773" s="26"/>
      <c r="BB773" s="26"/>
      <c r="BC773" s="26"/>
      <c r="BD773" s="26"/>
      <c r="BE773" s="26"/>
      <c r="BF773" s="26"/>
      <c r="BG773" s="26"/>
      <c r="BH773" s="26"/>
      <c r="BI773" s="26"/>
      <c r="BJ773" s="26"/>
      <c r="BK773" s="26"/>
    </row>
    <row r="774" ht="14.25" customHeight="1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  <c r="AA774" s="26"/>
      <c r="AB774" s="26"/>
      <c r="AC774" s="26"/>
      <c r="AD774" s="26"/>
      <c r="AE774" s="26"/>
      <c r="AF774" s="26"/>
      <c r="AG774" s="26"/>
      <c r="AH774" s="26"/>
      <c r="AI774" s="26"/>
      <c r="AJ774" s="26"/>
      <c r="AK774" s="26"/>
      <c r="AL774" s="26"/>
      <c r="AM774" s="26"/>
      <c r="AN774" s="26"/>
      <c r="AO774" s="26"/>
      <c r="AP774" s="26"/>
      <c r="AQ774" s="26"/>
      <c r="AR774" s="26"/>
      <c r="AS774" s="26"/>
      <c r="AT774" s="26"/>
      <c r="AU774" s="26"/>
      <c r="AV774" s="26"/>
      <c r="AW774" s="26"/>
      <c r="AX774" s="26"/>
      <c r="AY774" s="26"/>
      <c r="AZ774" s="26"/>
      <c r="BA774" s="26"/>
      <c r="BB774" s="26"/>
      <c r="BC774" s="26"/>
      <c r="BD774" s="26"/>
      <c r="BE774" s="26"/>
      <c r="BF774" s="26"/>
      <c r="BG774" s="26"/>
      <c r="BH774" s="26"/>
      <c r="BI774" s="26"/>
      <c r="BJ774" s="26"/>
      <c r="BK774" s="26"/>
    </row>
    <row r="775" ht="14.25" customHeight="1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  <c r="AA775" s="26"/>
      <c r="AB775" s="26"/>
      <c r="AC775" s="26"/>
      <c r="AD775" s="26"/>
      <c r="AE775" s="26"/>
      <c r="AF775" s="26"/>
      <c r="AG775" s="26"/>
      <c r="AH775" s="26"/>
      <c r="AI775" s="26"/>
      <c r="AJ775" s="26"/>
      <c r="AK775" s="26"/>
      <c r="AL775" s="26"/>
      <c r="AM775" s="26"/>
      <c r="AN775" s="26"/>
      <c r="AO775" s="26"/>
      <c r="AP775" s="26"/>
      <c r="AQ775" s="26"/>
      <c r="AR775" s="26"/>
      <c r="AS775" s="26"/>
      <c r="AT775" s="26"/>
      <c r="AU775" s="26"/>
      <c r="AV775" s="26"/>
      <c r="AW775" s="26"/>
      <c r="AX775" s="26"/>
      <c r="AY775" s="26"/>
      <c r="AZ775" s="26"/>
      <c r="BA775" s="26"/>
      <c r="BB775" s="26"/>
      <c r="BC775" s="26"/>
      <c r="BD775" s="26"/>
      <c r="BE775" s="26"/>
      <c r="BF775" s="26"/>
      <c r="BG775" s="26"/>
      <c r="BH775" s="26"/>
      <c r="BI775" s="26"/>
      <c r="BJ775" s="26"/>
      <c r="BK775" s="26"/>
    </row>
    <row r="776" ht="14.25" customHeight="1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  <c r="AA776" s="26"/>
      <c r="AB776" s="26"/>
      <c r="AC776" s="26"/>
      <c r="AD776" s="26"/>
      <c r="AE776" s="26"/>
      <c r="AF776" s="26"/>
      <c r="AG776" s="26"/>
      <c r="AH776" s="26"/>
      <c r="AI776" s="26"/>
      <c r="AJ776" s="26"/>
      <c r="AK776" s="26"/>
      <c r="AL776" s="26"/>
      <c r="AM776" s="26"/>
      <c r="AN776" s="26"/>
      <c r="AO776" s="26"/>
      <c r="AP776" s="26"/>
      <c r="AQ776" s="26"/>
      <c r="AR776" s="26"/>
      <c r="AS776" s="26"/>
      <c r="AT776" s="26"/>
      <c r="AU776" s="26"/>
      <c r="AV776" s="26"/>
      <c r="AW776" s="26"/>
      <c r="AX776" s="26"/>
      <c r="AY776" s="26"/>
      <c r="AZ776" s="26"/>
      <c r="BA776" s="26"/>
      <c r="BB776" s="26"/>
      <c r="BC776" s="26"/>
      <c r="BD776" s="26"/>
      <c r="BE776" s="26"/>
      <c r="BF776" s="26"/>
      <c r="BG776" s="26"/>
      <c r="BH776" s="26"/>
      <c r="BI776" s="26"/>
      <c r="BJ776" s="26"/>
      <c r="BK776" s="26"/>
    </row>
    <row r="777" ht="14.25" customHeight="1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  <c r="AA777" s="26"/>
      <c r="AB777" s="26"/>
      <c r="AC777" s="26"/>
      <c r="AD777" s="26"/>
      <c r="AE777" s="26"/>
      <c r="AF777" s="26"/>
      <c r="AG777" s="26"/>
      <c r="AH777" s="26"/>
      <c r="AI777" s="26"/>
      <c r="AJ777" s="26"/>
      <c r="AK777" s="26"/>
      <c r="AL777" s="26"/>
      <c r="AM777" s="26"/>
      <c r="AN777" s="26"/>
      <c r="AO777" s="26"/>
      <c r="AP777" s="26"/>
      <c r="AQ777" s="26"/>
      <c r="AR777" s="26"/>
      <c r="AS777" s="26"/>
      <c r="AT777" s="26"/>
      <c r="AU777" s="26"/>
      <c r="AV777" s="26"/>
      <c r="AW777" s="26"/>
      <c r="AX777" s="26"/>
      <c r="AY777" s="26"/>
      <c r="AZ777" s="26"/>
      <c r="BA777" s="26"/>
      <c r="BB777" s="26"/>
      <c r="BC777" s="26"/>
      <c r="BD777" s="26"/>
      <c r="BE777" s="26"/>
      <c r="BF777" s="26"/>
      <c r="BG777" s="26"/>
      <c r="BH777" s="26"/>
      <c r="BI777" s="26"/>
      <c r="BJ777" s="26"/>
      <c r="BK777" s="26"/>
    </row>
    <row r="778" ht="14.25" customHeight="1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  <c r="AA778" s="26"/>
      <c r="AB778" s="26"/>
      <c r="AC778" s="26"/>
      <c r="AD778" s="26"/>
      <c r="AE778" s="26"/>
      <c r="AF778" s="26"/>
      <c r="AG778" s="26"/>
      <c r="AH778" s="26"/>
      <c r="AI778" s="26"/>
      <c r="AJ778" s="26"/>
      <c r="AK778" s="26"/>
      <c r="AL778" s="26"/>
      <c r="AM778" s="26"/>
      <c r="AN778" s="26"/>
      <c r="AO778" s="26"/>
      <c r="AP778" s="26"/>
      <c r="AQ778" s="26"/>
      <c r="AR778" s="26"/>
      <c r="AS778" s="26"/>
      <c r="AT778" s="26"/>
      <c r="AU778" s="26"/>
      <c r="AV778" s="26"/>
      <c r="AW778" s="26"/>
      <c r="AX778" s="26"/>
      <c r="AY778" s="26"/>
      <c r="AZ778" s="26"/>
      <c r="BA778" s="26"/>
      <c r="BB778" s="26"/>
      <c r="BC778" s="26"/>
      <c r="BD778" s="26"/>
      <c r="BE778" s="26"/>
      <c r="BF778" s="26"/>
      <c r="BG778" s="26"/>
      <c r="BH778" s="26"/>
      <c r="BI778" s="26"/>
      <c r="BJ778" s="26"/>
      <c r="BK778" s="26"/>
    </row>
    <row r="779" ht="14.25" customHeight="1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  <c r="AA779" s="26"/>
      <c r="AB779" s="26"/>
      <c r="AC779" s="26"/>
      <c r="AD779" s="26"/>
      <c r="AE779" s="26"/>
      <c r="AF779" s="26"/>
      <c r="AG779" s="26"/>
      <c r="AH779" s="26"/>
      <c r="AI779" s="26"/>
      <c r="AJ779" s="26"/>
      <c r="AK779" s="26"/>
      <c r="AL779" s="26"/>
      <c r="AM779" s="26"/>
      <c r="AN779" s="26"/>
      <c r="AO779" s="26"/>
      <c r="AP779" s="26"/>
      <c r="AQ779" s="26"/>
      <c r="AR779" s="26"/>
      <c r="AS779" s="26"/>
      <c r="AT779" s="26"/>
      <c r="AU779" s="26"/>
      <c r="AV779" s="26"/>
      <c r="AW779" s="26"/>
      <c r="AX779" s="26"/>
      <c r="AY779" s="26"/>
      <c r="AZ779" s="26"/>
      <c r="BA779" s="26"/>
      <c r="BB779" s="26"/>
      <c r="BC779" s="26"/>
      <c r="BD779" s="26"/>
      <c r="BE779" s="26"/>
      <c r="BF779" s="26"/>
      <c r="BG779" s="26"/>
      <c r="BH779" s="26"/>
      <c r="BI779" s="26"/>
      <c r="BJ779" s="26"/>
      <c r="BK779" s="26"/>
    </row>
    <row r="780" ht="14.25" customHeight="1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  <c r="AA780" s="26"/>
      <c r="AB780" s="26"/>
      <c r="AC780" s="26"/>
      <c r="AD780" s="26"/>
      <c r="AE780" s="26"/>
      <c r="AF780" s="26"/>
      <c r="AG780" s="26"/>
      <c r="AH780" s="26"/>
      <c r="AI780" s="26"/>
      <c r="AJ780" s="26"/>
      <c r="AK780" s="26"/>
      <c r="AL780" s="26"/>
      <c r="AM780" s="26"/>
      <c r="AN780" s="26"/>
      <c r="AO780" s="26"/>
      <c r="AP780" s="26"/>
      <c r="AQ780" s="26"/>
      <c r="AR780" s="26"/>
      <c r="AS780" s="26"/>
      <c r="AT780" s="26"/>
      <c r="AU780" s="26"/>
      <c r="AV780" s="26"/>
      <c r="AW780" s="26"/>
      <c r="AX780" s="26"/>
      <c r="AY780" s="26"/>
      <c r="AZ780" s="26"/>
      <c r="BA780" s="26"/>
      <c r="BB780" s="26"/>
      <c r="BC780" s="26"/>
      <c r="BD780" s="26"/>
      <c r="BE780" s="26"/>
      <c r="BF780" s="26"/>
      <c r="BG780" s="26"/>
      <c r="BH780" s="26"/>
      <c r="BI780" s="26"/>
      <c r="BJ780" s="26"/>
      <c r="BK780" s="26"/>
    </row>
    <row r="781" ht="14.25" customHeight="1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  <c r="AA781" s="26"/>
      <c r="AB781" s="26"/>
      <c r="AC781" s="26"/>
      <c r="AD781" s="26"/>
      <c r="AE781" s="26"/>
      <c r="AF781" s="26"/>
      <c r="AG781" s="26"/>
      <c r="AH781" s="26"/>
      <c r="AI781" s="26"/>
      <c r="AJ781" s="26"/>
      <c r="AK781" s="26"/>
      <c r="AL781" s="26"/>
      <c r="AM781" s="26"/>
      <c r="AN781" s="26"/>
      <c r="AO781" s="26"/>
      <c r="AP781" s="26"/>
      <c r="AQ781" s="26"/>
      <c r="AR781" s="26"/>
      <c r="AS781" s="26"/>
      <c r="AT781" s="26"/>
      <c r="AU781" s="26"/>
      <c r="AV781" s="26"/>
      <c r="AW781" s="26"/>
      <c r="AX781" s="26"/>
      <c r="AY781" s="26"/>
      <c r="AZ781" s="26"/>
      <c r="BA781" s="26"/>
      <c r="BB781" s="26"/>
      <c r="BC781" s="26"/>
      <c r="BD781" s="26"/>
      <c r="BE781" s="26"/>
      <c r="BF781" s="26"/>
      <c r="BG781" s="26"/>
      <c r="BH781" s="26"/>
      <c r="BI781" s="26"/>
      <c r="BJ781" s="26"/>
      <c r="BK781" s="26"/>
    </row>
    <row r="782" ht="14.25" customHeight="1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  <c r="AA782" s="26"/>
      <c r="AB782" s="26"/>
      <c r="AC782" s="26"/>
      <c r="AD782" s="26"/>
      <c r="AE782" s="26"/>
      <c r="AF782" s="26"/>
      <c r="AG782" s="26"/>
      <c r="AH782" s="26"/>
      <c r="AI782" s="26"/>
      <c r="AJ782" s="26"/>
      <c r="AK782" s="26"/>
      <c r="AL782" s="26"/>
      <c r="AM782" s="26"/>
      <c r="AN782" s="26"/>
      <c r="AO782" s="26"/>
      <c r="AP782" s="26"/>
      <c r="AQ782" s="26"/>
      <c r="AR782" s="26"/>
      <c r="AS782" s="26"/>
      <c r="AT782" s="26"/>
      <c r="AU782" s="26"/>
      <c r="AV782" s="26"/>
      <c r="AW782" s="26"/>
      <c r="AX782" s="26"/>
      <c r="AY782" s="26"/>
      <c r="AZ782" s="26"/>
      <c r="BA782" s="26"/>
      <c r="BB782" s="26"/>
      <c r="BC782" s="26"/>
      <c r="BD782" s="26"/>
      <c r="BE782" s="26"/>
      <c r="BF782" s="26"/>
      <c r="BG782" s="26"/>
      <c r="BH782" s="26"/>
      <c r="BI782" s="26"/>
      <c r="BJ782" s="26"/>
      <c r="BK782" s="26"/>
    </row>
    <row r="783" ht="14.25" customHeight="1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  <c r="AA783" s="26"/>
      <c r="AB783" s="26"/>
      <c r="AC783" s="26"/>
      <c r="AD783" s="26"/>
      <c r="AE783" s="26"/>
      <c r="AF783" s="26"/>
      <c r="AG783" s="26"/>
      <c r="AH783" s="26"/>
      <c r="AI783" s="26"/>
      <c r="AJ783" s="26"/>
      <c r="AK783" s="26"/>
      <c r="AL783" s="26"/>
      <c r="AM783" s="26"/>
      <c r="AN783" s="26"/>
      <c r="AO783" s="26"/>
      <c r="AP783" s="26"/>
      <c r="AQ783" s="26"/>
      <c r="AR783" s="26"/>
      <c r="AS783" s="26"/>
      <c r="AT783" s="26"/>
      <c r="AU783" s="26"/>
      <c r="AV783" s="26"/>
      <c r="AW783" s="26"/>
      <c r="AX783" s="26"/>
      <c r="AY783" s="26"/>
      <c r="AZ783" s="26"/>
      <c r="BA783" s="26"/>
      <c r="BB783" s="26"/>
      <c r="BC783" s="26"/>
      <c r="BD783" s="26"/>
      <c r="BE783" s="26"/>
      <c r="BF783" s="26"/>
      <c r="BG783" s="26"/>
      <c r="BH783" s="26"/>
      <c r="BI783" s="26"/>
      <c r="BJ783" s="26"/>
      <c r="BK783" s="26"/>
    </row>
    <row r="784" ht="14.25" customHeight="1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  <c r="AA784" s="26"/>
      <c r="AB784" s="26"/>
      <c r="AC784" s="26"/>
      <c r="AD784" s="26"/>
      <c r="AE784" s="26"/>
      <c r="AF784" s="26"/>
      <c r="AG784" s="26"/>
      <c r="AH784" s="26"/>
      <c r="AI784" s="26"/>
      <c r="AJ784" s="26"/>
      <c r="AK784" s="26"/>
      <c r="AL784" s="26"/>
      <c r="AM784" s="26"/>
      <c r="AN784" s="26"/>
      <c r="AO784" s="26"/>
      <c r="AP784" s="26"/>
      <c r="AQ784" s="26"/>
      <c r="AR784" s="26"/>
      <c r="AS784" s="26"/>
      <c r="AT784" s="26"/>
      <c r="AU784" s="26"/>
      <c r="AV784" s="26"/>
      <c r="AW784" s="26"/>
      <c r="AX784" s="26"/>
      <c r="AY784" s="26"/>
      <c r="AZ784" s="26"/>
      <c r="BA784" s="26"/>
      <c r="BB784" s="26"/>
      <c r="BC784" s="26"/>
      <c r="BD784" s="26"/>
      <c r="BE784" s="26"/>
      <c r="BF784" s="26"/>
      <c r="BG784" s="26"/>
      <c r="BH784" s="26"/>
      <c r="BI784" s="26"/>
      <c r="BJ784" s="26"/>
      <c r="BK784" s="26"/>
    </row>
    <row r="785" ht="14.25" customHeight="1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  <c r="AA785" s="26"/>
      <c r="AB785" s="26"/>
      <c r="AC785" s="26"/>
      <c r="AD785" s="26"/>
      <c r="AE785" s="26"/>
      <c r="AF785" s="26"/>
      <c r="AG785" s="26"/>
      <c r="AH785" s="26"/>
      <c r="AI785" s="26"/>
      <c r="AJ785" s="26"/>
      <c r="AK785" s="26"/>
      <c r="AL785" s="26"/>
      <c r="AM785" s="26"/>
      <c r="AN785" s="26"/>
      <c r="AO785" s="26"/>
      <c r="AP785" s="26"/>
      <c r="AQ785" s="26"/>
      <c r="AR785" s="26"/>
      <c r="AS785" s="26"/>
      <c r="AT785" s="26"/>
      <c r="AU785" s="26"/>
      <c r="AV785" s="26"/>
      <c r="AW785" s="26"/>
      <c r="AX785" s="26"/>
      <c r="AY785" s="26"/>
      <c r="AZ785" s="26"/>
      <c r="BA785" s="26"/>
      <c r="BB785" s="26"/>
      <c r="BC785" s="26"/>
      <c r="BD785" s="26"/>
      <c r="BE785" s="26"/>
      <c r="BF785" s="26"/>
      <c r="BG785" s="26"/>
      <c r="BH785" s="26"/>
      <c r="BI785" s="26"/>
      <c r="BJ785" s="26"/>
      <c r="BK785" s="26"/>
    </row>
    <row r="786" ht="14.25" customHeight="1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  <c r="AA786" s="26"/>
      <c r="AB786" s="26"/>
      <c r="AC786" s="26"/>
      <c r="AD786" s="26"/>
      <c r="AE786" s="26"/>
      <c r="AF786" s="26"/>
      <c r="AG786" s="26"/>
      <c r="AH786" s="26"/>
      <c r="AI786" s="26"/>
      <c r="AJ786" s="26"/>
      <c r="AK786" s="26"/>
      <c r="AL786" s="26"/>
      <c r="AM786" s="26"/>
      <c r="AN786" s="26"/>
      <c r="AO786" s="26"/>
      <c r="AP786" s="26"/>
      <c r="AQ786" s="26"/>
      <c r="AR786" s="26"/>
      <c r="AS786" s="26"/>
      <c r="AT786" s="26"/>
      <c r="AU786" s="26"/>
      <c r="AV786" s="26"/>
      <c r="AW786" s="26"/>
      <c r="AX786" s="26"/>
      <c r="AY786" s="26"/>
      <c r="AZ786" s="26"/>
      <c r="BA786" s="26"/>
      <c r="BB786" s="26"/>
      <c r="BC786" s="26"/>
      <c r="BD786" s="26"/>
      <c r="BE786" s="26"/>
      <c r="BF786" s="26"/>
      <c r="BG786" s="26"/>
      <c r="BH786" s="26"/>
      <c r="BI786" s="26"/>
      <c r="BJ786" s="26"/>
      <c r="BK786" s="26"/>
    </row>
    <row r="787" ht="14.25" customHeight="1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  <c r="AA787" s="26"/>
      <c r="AB787" s="26"/>
      <c r="AC787" s="26"/>
      <c r="AD787" s="26"/>
      <c r="AE787" s="26"/>
      <c r="AF787" s="26"/>
      <c r="AG787" s="26"/>
      <c r="AH787" s="26"/>
      <c r="AI787" s="26"/>
      <c r="AJ787" s="26"/>
      <c r="AK787" s="26"/>
      <c r="AL787" s="26"/>
      <c r="AM787" s="26"/>
      <c r="AN787" s="26"/>
      <c r="AO787" s="26"/>
      <c r="AP787" s="26"/>
      <c r="AQ787" s="26"/>
      <c r="AR787" s="26"/>
      <c r="AS787" s="26"/>
      <c r="AT787" s="26"/>
      <c r="AU787" s="26"/>
      <c r="AV787" s="26"/>
      <c r="AW787" s="26"/>
      <c r="AX787" s="26"/>
      <c r="AY787" s="26"/>
      <c r="AZ787" s="26"/>
      <c r="BA787" s="26"/>
      <c r="BB787" s="26"/>
      <c r="BC787" s="26"/>
      <c r="BD787" s="26"/>
      <c r="BE787" s="26"/>
      <c r="BF787" s="26"/>
      <c r="BG787" s="26"/>
      <c r="BH787" s="26"/>
      <c r="BI787" s="26"/>
      <c r="BJ787" s="26"/>
      <c r="BK787" s="26"/>
    </row>
    <row r="788" ht="14.25" customHeight="1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  <c r="AA788" s="26"/>
      <c r="AB788" s="26"/>
      <c r="AC788" s="26"/>
      <c r="AD788" s="26"/>
      <c r="AE788" s="26"/>
      <c r="AF788" s="26"/>
      <c r="AG788" s="26"/>
      <c r="AH788" s="26"/>
      <c r="AI788" s="26"/>
      <c r="AJ788" s="26"/>
      <c r="AK788" s="26"/>
      <c r="AL788" s="26"/>
      <c r="AM788" s="26"/>
      <c r="AN788" s="26"/>
      <c r="AO788" s="26"/>
      <c r="AP788" s="26"/>
      <c r="AQ788" s="26"/>
      <c r="AR788" s="26"/>
      <c r="AS788" s="26"/>
      <c r="AT788" s="26"/>
      <c r="AU788" s="26"/>
      <c r="AV788" s="26"/>
      <c r="AW788" s="26"/>
      <c r="AX788" s="26"/>
      <c r="AY788" s="26"/>
      <c r="AZ788" s="26"/>
      <c r="BA788" s="26"/>
      <c r="BB788" s="26"/>
      <c r="BC788" s="26"/>
      <c r="BD788" s="26"/>
      <c r="BE788" s="26"/>
      <c r="BF788" s="26"/>
      <c r="BG788" s="26"/>
      <c r="BH788" s="26"/>
      <c r="BI788" s="26"/>
      <c r="BJ788" s="26"/>
      <c r="BK788" s="26"/>
    </row>
    <row r="789" ht="14.25" customHeight="1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  <c r="AA789" s="26"/>
      <c r="AB789" s="26"/>
      <c r="AC789" s="26"/>
      <c r="AD789" s="26"/>
      <c r="AE789" s="26"/>
      <c r="AF789" s="26"/>
      <c r="AG789" s="26"/>
      <c r="AH789" s="26"/>
      <c r="AI789" s="26"/>
      <c r="AJ789" s="26"/>
      <c r="AK789" s="26"/>
      <c r="AL789" s="26"/>
      <c r="AM789" s="26"/>
      <c r="AN789" s="26"/>
      <c r="AO789" s="26"/>
      <c r="AP789" s="26"/>
      <c r="AQ789" s="26"/>
      <c r="AR789" s="26"/>
      <c r="AS789" s="26"/>
      <c r="AT789" s="26"/>
      <c r="AU789" s="26"/>
      <c r="AV789" s="26"/>
      <c r="AW789" s="26"/>
      <c r="AX789" s="26"/>
      <c r="AY789" s="26"/>
      <c r="AZ789" s="26"/>
      <c r="BA789" s="26"/>
      <c r="BB789" s="26"/>
      <c r="BC789" s="26"/>
      <c r="BD789" s="26"/>
      <c r="BE789" s="26"/>
      <c r="BF789" s="26"/>
      <c r="BG789" s="26"/>
      <c r="BH789" s="26"/>
      <c r="BI789" s="26"/>
      <c r="BJ789" s="26"/>
      <c r="BK789" s="26"/>
    </row>
    <row r="790" ht="14.25" customHeight="1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  <c r="AA790" s="26"/>
      <c r="AB790" s="26"/>
      <c r="AC790" s="26"/>
      <c r="AD790" s="26"/>
      <c r="AE790" s="26"/>
      <c r="AF790" s="26"/>
      <c r="AG790" s="26"/>
      <c r="AH790" s="26"/>
      <c r="AI790" s="26"/>
      <c r="AJ790" s="26"/>
      <c r="AK790" s="26"/>
      <c r="AL790" s="26"/>
      <c r="AM790" s="26"/>
      <c r="AN790" s="26"/>
      <c r="AO790" s="26"/>
      <c r="AP790" s="26"/>
      <c r="AQ790" s="26"/>
      <c r="AR790" s="26"/>
      <c r="AS790" s="26"/>
      <c r="AT790" s="26"/>
      <c r="AU790" s="26"/>
      <c r="AV790" s="26"/>
      <c r="AW790" s="26"/>
      <c r="AX790" s="26"/>
      <c r="AY790" s="26"/>
      <c r="AZ790" s="26"/>
      <c r="BA790" s="26"/>
      <c r="BB790" s="26"/>
      <c r="BC790" s="26"/>
      <c r="BD790" s="26"/>
      <c r="BE790" s="26"/>
      <c r="BF790" s="26"/>
      <c r="BG790" s="26"/>
      <c r="BH790" s="26"/>
      <c r="BI790" s="26"/>
      <c r="BJ790" s="26"/>
      <c r="BK790" s="26"/>
    </row>
    <row r="791" ht="14.25" customHeight="1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  <c r="AA791" s="26"/>
      <c r="AB791" s="26"/>
      <c r="AC791" s="26"/>
      <c r="AD791" s="26"/>
      <c r="AE791" s="26"/>
      <c r="AF791" s="26"/>
      <c r="AG791" s="26"/>
      <c r="AH791" s="26"/>
      <c r="AI791" s="26"/>
      <c r="AJ791" s="26"/>
      <c r="AK791" s="26"/>
      <c r="AL791" s="26"/>
      <c r="AM791" s="26"/>
      <c r="AN791" s="26"/>
      <c r="AO791" s="26"/>
      <c r="AP791" s="26"/>
      <c r="AQ791" s="26"/>
      <c r="AR791" s="26"/>
      <c r="AS791" s="26"/>
      <c r="AT791" s="26"/>
      <c r="AU791" s="26"/>
      <c r="AV791" s="26"/>
      <c r="AW791" s="26"/>
      <c r="AX791" s="26"/>
      <c r="AY791" s="26"/>
      <c r="AZ791" s="26"/>
      <c r="BA791" s="26"/>
      <c r="BB791" s="26"/>
      <c r="BC791" s="26"/>
      <c r="BD791" s="26"/>
      <c r="BE791" s="26"/>
      <c r="BF791" s="26"/>
      <c r="BG791" s="26"/>
      <c r="BH791" s="26"/>
      <c r="BI791" s="26"/>
      <c r="BJ791" s="26"/>
      <c r="BK791" s="26"/>
    </row>
    <row r="792" ht="14.25" customHeight="1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  <c r="AA792" s="26"/>
      <c r="AB792" s="26"/>
      <c r="AC792" s="26"/>
      <c r="AD792" s="26"/>
      <c r="AE792" s="26"/>
      <c r="AF792" s="26"/>
      <c r="AG792" s="26"/>
      <c r="AH792" s="26"/>
      <c r="AI792" s="26"/>
      <c r="AJ792" s="26"/>
      <c r="AK792" s="26"/>
      <c r="AL792" s="26"/>
      <c r="AM792" s="26"/>
      <c r="AN792" s="26"/>
      <c r="AO792" s="26"/>
      <c r="AP792" s="26"/>
      <c r="AQ792" s="26"/>
      <c r="AR792" s="26"/>
      <c r="AS792" s="26"/>
      <c r="AT792" s="26"/>
      <c r="AU792" s="26"/>
      <c r="AV792" s="26"/>
      <c r="AW792" s="26"/>
      <c r="AX792" s="26"/>
      <c r="AY792" s="26"/>
      <c r="AZ792" s="26"/>
      <c r="BA792" s="26"/>
      <c r="BB792" s="26"/>
      <c r="BC792" s="26"/>
      <c r="BD792" s="26"/>
      <c r="BE792" s="26"/>
      <c r="BF792" s="26"/>
      <c r="BG792" s="26"/>
      <c r="BH792" s="26"/>
      <c r="BI792" s="26"/>
      <c r="BJ792" s="26"/>
      <c r="BK792" s="26"/>
    </row>
    <row r="793" ht="14.25" customHeight="1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  <c r="AA793" s="26"/>
      <c r="AB793" s="26"/>
      <c r="AC793" s="26"/>
      <c r="AD793" s="26"/>
      <c r="AE793" s="26"/>
      <c r="AF793" s="26"/>
      <c r="AG793" s="26"/>
      <c r="AH793" s="26"/>
      <c r="AI793" s="26"/>
      <c r="AJ793" s="26"/>
      <c r="AK793" s="26"/>
      <c r="AL793" s="26"/>
      <c r="AM793" s="26"/>
      <c r="AN793" s="26"/>
      <c r="AO793" s="26"/>
      <c r="AP793" s="26"/>
      <c r="AQ793" s="26"/>
      <c r="AR793" s="26"/>
      <c r="AS793" s="26"/>
      <c r="AT793" s="26"/>
      <c r="AU793" s="26"/>
      <c r="AV793" s="26"/>
      <c r="AW793" s="26"/>
      <c r="AX793" s="26"/>
      <c r="AY793" s="26"/>
      <c r="AZ793" s="26"/>
      <c r="BA793" s="26"/>
      <c r="BB793" s="26"/>
      <c r="BC793" s="26"/>
      <c r="BD793" s="26"/>
      <c r="BE793" s="26"/>
      <c r="BF793" s="26"/>
      <c r="BG793" s="26"/>
      <c r="BH793" s="26"/>
      <c r="BI793" s="26"/>
      <c r="BJ793" s="26"/>
      <c r="BK793" s="26"/>
    </row>
    <row r="794" ht="14.25" customHeight="1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  <c r="AA794" s="26"/>
      <c r="AB794" s="26"/>
      <c r="AC794" s="26"/>
      <c r="AD794" s="26"/>
      <c r="AE794" s="26"/>
      <c r="AF794" s="26"/>
      <c r="AG794" s="26"/>
      <c r="AH794" s="26"/>
      <c r="AI794" s="26"/>
      <c r="AJ794" s="26"/>
      <c r="AK794" s="26"/>
      <c r="AL794" s="26"/>
      <c r="AM794" s="26"/>
      <c r="AN794" s="26"/>
      <c r="AO794" s="26"/>
      <c r="AP794" s="26"/>
      <c r="AQ794" s="26"/>
      <c r="AR794" s="26"/>
      <c r="AS794" s="26"/>
      <c r="AT794" s="26"/>
      <c r="AU794" s="26"/>
      <c r="AV794" s="26"/>
      <c r="AW794" s="26"/>
      <c r="AX794" s="26"/>
      <c r="AY794" s="26"/>
      <c r="AZ794" s="26"/>
      <c r="BA794" s="26"/>
      <c r="BB794" s="26"/>
      <c r="BC794" s="26"/>
      <c r="BD794" s="26"/>
      <c r="BE794" s="26"/>
      <c r="BF794" s="26"/>
      <c r="BG794" s="26"/>
      <c r="BH794" s="26"/>
      <c r="BI794" s="26"/>
      <c r="BJ794" s="26"/>
      <c r="BK794" s="26"/>
    </row>
    <row r="795" ht="14.25" customHeight="1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  <c r="AA795" s="26"/>
      <c r="AB795" s="26"/>
      <c r="AC795" s="26"/>
      <c r="AD795" s="26"/>
      <c r="AE795" s="26"/>
      <c r="AF795" s="26"/>
      <c r="AG795" s="26"/>
      <c r="AH795" s="26"/>
      <c r="AI795" s="26"/>
      <c r="AJ795" s="26"/>
      <c r="AK795" s="26"/>
      <c r="AL795" s="26"/>
      <c r="AM795" s="26"/>
      <c r="AN795" s="26"/>
      <c r="AO795" s="26"/>
      <c r="AP795" s="26"/>
      <c r="AQ795" s="26"/>
      <c r="AR795" s="26"/>
      <c r="AS795" s="26"/>
      <c r="AT795" s="26"/>
      <c r="AU795" s="26"/>
      <c r="AV795" s="26"/>
      <c r="AW795" s="26"/>
      <c r="AX795" s="26"/>
      <c r="AY795" s="26"/>
      <c r="AZ795" s="26"/>
      <c r="BA795" s="26"/>
      <c r="BB795" s="26"/>
      <c r="BC795" s="26"/>
      <c r="BD795" s="26"/>
      <c r="BE795" s="26"/>
      <c r="BF795" s="26"/>
      <c r="BG795" s="26"/>
      <c r="BH795" s="26"/>
      <c r="BI795" s="26"/>
      <c r="BJ795" s="26"/>
      <c r="BK795" s="26"/>
    </row>
    <row r="796" ht="14.25" customHeight="1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  <c r="AA796" s="26"/>
      <c r="AB796" s="26"/>
      <c r="AC796" s="26"/>
      <c r="AD796" s="26"/>
      <c r="AE796" s="26"/>
      <c r="AF796" s="26"/>
      <c r="AG796" s="26"/>
      <c r="AH796" s="26"/>
      <c r="AI796" s="26"/>
      <c r="AJ796" s="26"/>
      <c r="AK796" s="26"/>
      <c r="AL796" s="26"/>
      <c r="AM796" s="26"/>
      <c r="AN796" s="26"/>
      <c r="AO796" s="26"/>
      <c r="AP796" s="26"/>
      <c r="AQ796" s="26"/>
      <c r="AR796" s="26"/>
      <c r="AS796" s="26"/>
      <c r="AT796" s="26"/>
      <c r="AU796" s="26"/>
      <c r="AV796" s="26"/>
      <c r="AW796" s="26"/>
      <c r="AX796" s="26"/>
      <c r="AY796" s="26"/>
      <c r="AZ796" s="26"/>
      <c r="BA796" s="26"/>
      <c r="BB796" s="26"/>
      <c r="BC796" s="26"/>
      <c r="BD796" s="26"/>
      <c r="BE796" s="26"/>
      <c r="BF796" s="26"/>
      <c r="BG796" s="26"/>
      <c r="BH796" s="26"/>
      <c r="BI796" s="26"/>
      <c r="BJ796" s="26"/>
      <c r="BK796" s="26"/>
    </row>
    <row r="797" ht="14.25" customHeight="1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  <c r="AA797" s="26"/>
      <c r="AB797" s="26"/>
      <c r="AC797" s="26"/>
      <c r="AD797" s="26"/>
      <c r="AE797" s="26"/>
      <c r="AF797" s="26"/>
      <c r="AG797" s="26"/>
      <c r="AH797" s="26"/>
      <c r="AI797" s="26"/>
      <c r="AJ797" s="26"/>
      <c r="AK797" s="26"/>
      <c r="AL797" s="26"/>
      <c r="AM797" s="26"/>
      <c r="AN797" s="26"/>
      <c r="AO797" s="26"/>
      <c r="AP797" s="26"/>
      <c r="AQ797" s="26"/>
      <c r="AR797" s="26"/>
      <c r="AS797" s="26"/>
      <c r="AT797" s="26"/>
      <c r="AU797" s="26"/>
      <c r="AV797" s="26"/>
      <c r="AW797" s="26"/>
      <c r="AX797" s="26"/>
      <c r="AY797" s="26"/>
      <c r="AZ797" s="26"/>
      <c r="BA797" s="26"/>
      <c r="BB797" s="26"/>
      <c r="BC797" s="26"/>
      <c r="BD797" s="26"/>
      <c r="BE797" s="26"/>
      <c r="BF797" s="26"/>
      <c r="BG797" s="26"/>
      <c r="BH797" s="26"/>
      <c r="BI797" s="26"/>
      <c r="BJ797" s="26"/>
      <c r="BK797" s="26"/>
    </row>
    <row r="798" ht="14.25" customHeight="1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  <c r="AA798" s="26"/>
      <c r="AB798" s="26"/>
      <c r="AC798" s="26"/>
      <c r="AD798" s="26"/>
      <c r="AE798" s="26"/>
      <c r="AF798" s="26"/>
      <c r="AG798" s="26"/>
      <c r="AH798" s="26"/>
      <c r="AI798" s="26"/>
      <c r="AJ798" s="26"/>
      <c r="AK798" s="26"/>
      <c r="AL798" s="26"/>
      <c r="AM798" s="26"/>
      <c r="AN798" s="26"/>
      <c r="AO798" s="26"/>
      <c r="AP798" s="26"/>
      <c r="AQ798" s="26"/>
      <c r="AR798" s="26"/>
      <c r="AS798" s="26"/>
      <c r="AT798" s="26"/>
      <c r="AU798" s="26"/>
      <c r="AV798" s="26"/>
      <c r="AW798" s="26"/>
      <c r="AX798" s="26"/>
      <c r="AY798" s="26"/>
      <c r="AZ798" s="26"/>
      <c r="BA798" s="26"/>
      <c r="BB798" s="26"/>
      <c r="BC798" s="26"/>
      <c r="BD798" s="26"/>
      <c r="BE798" s="26"/>
      <c r="BF798" s="26"/>
      <c r="BG798" s="26"/>
      <c r="BH798" s="26"/>
      <c r="BI798" s="26"/>
      <c r="BJ798" s="26"/>
      <c r="BK798" s="26"/>
    </row>
    <row r="799" ht="14.25" customHeight="1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  <c r="AA799" s="26"/>
      <c r="AB799" s="26"/>
      <c r="AC799" s="26"/>
      <c r="AD799" s="26"/>
      <c r="AE799" s="26"/>
      <c r="AF799" s="26"/>
      <c r="AG799" s="26"/>
      <c r="AH799" s="26"/>
      <c r="AI799" s="26"/>
      <c r="AJ799" s="26"/>
      <c r="AK799" s="26"/>
      <c r="AL799" s="26"/>
      <c r="AM799" s="26"/>
      <c r="AN799" s="26"/>
      <c r="AO799" s="26"/>
      <c r="AP799" s="26"/>
      <c r="AQ799" s="26"/>
      <c r="AR799" s="26"/>
      <c r="AS799" s="26"/>
      <c r="AT799" s="26"/>
      <c r="AU799" s="26"/>
      <c r="AV799" s="26"/>
      <c r="AW799" s="26"/>
      <c r="AX799" s="26"/>
      <c r="AY799" s="26"/>
      <c r="AZ799" s="26"/>
      <c r="BA799" s="26"/>
      <c r="BB799" s="26"/>
      <c r="BC799" s="26"/>
      <c r="BD799" s="26"/>
      <c r="BE799" s="26"/>
      <c r="BF799" s="26"/>
      <c r="BG799" s="26"/>
      <c r="BH799" s="26"/>
      <c r="BI799" s="26"/>
      <c r="BJ799" s="26"/>
      <c r="BK799" s="26"/>
    </row>
    <row r="800" ht="14.25" customHeight="1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  <c r="AA800" s="26"/>
      <c r="AB800" s="26"/>
      <c r="AC800" s="26"/>
      <c r="AD800" s="26"/>
      <c r="AE800" s="26"/>
      <c r="AF800" s="26"/>
      <c r="AG800" s="26"/>
      <c r="AH800" s="26"/>
      <c r="AI800" s="26"/>
      <c r="AJ800" s="26"/>
      <c r="AK800" s="26"/>
      <c r="AL800" s="26"/>
      <c r="AM800" s="26"/>
      <c r="AN800" s="26"/>
      <c r="AO800" s="26"/>
      <c r="AP800" s="26"/>
      <c r="AQ800" s="26"/>
      <c r="AR800" s="26"/>
      <c r="AS800" s="26"/>
      <c r="AT800" s="26"/>
      <c r="AU800" s="26"/>
      <c r="AV800" s="26"/>
      <c r="AW800" s="26"/>
      <c r="AX800" s="26"/>
      <c r="AY800" s="26"/>
      <c r="AZ800" s="26"/>
      <c r="BA800" s="26"/>
      <c r="BB800" s="26"/>
      <c r="BC800" s="26"/>
      <c r="BD800" s="26"/>
      <c r="BE800" s="26"/>
      <c r="BF800" s="26"/>
      <c r="BG800" s="26"/>
      <c r="BH800" s="26"/>
      <c r="BI800" s="26"/>
      <c r="BJ800" s="26"/>
      <c r="BK800" s="26"/>
    </row>
    <row r="801" ht="14.25" customHeight="1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  <c r="AA801" s="26"/>
      <c r="AB801" s="26"/>
      <c r="AC801" s="26"/>
      <c r="AD801" s="26"/>
      <c r="AE801" s="26"/>
      <c r="AF801" s="26"/>
      <c r="AG801" s="26"/>
      <c r="AH801" s="26"/>
      <c r="AI801" s="26"/>
      <c r="AJ801" s="26"/>
      <c r="AK801" s="26"/>
      <c r="AL801" s="26"/>
      <c r="AM801" s="26"/>
      <c r="AN801" s="26"/>
      <c r="AO801" s="26"/>
      <c r="AP801" s="26"/>
      <c r="AQ801" s="26"/>
      <c r="AR801" s="26"/>
      <c r="AS801" s="26"/>
      <c r="AT801" s="26"/>
      <c r="AU801" s="26"/>
      <c r="AV801" s="26"/>
      <c r="AW801" s="26"/>
      <c r="AX801" s="26"/>
      <c r="AY801" s="26"/>
      <c r="AZ801" s="26"/>
      <c r="BA801" s="26"/>
      <c r="BB801" s="26"/>
      <c r="BC801" s="26"/>
      <c r="BD801" s="26"/>
      <c r="BE801" s="26"/>
      <c r="BF801" s="26"/>
      <c r="BG801" s="26"/>
      <c r="BH801" s="26"/>
      <c r="BI801" s="26"/>
      <c r="BJ801" s="26"/>
      <c r="BK801" s="26"/>
    </row>
    <row r="802" ht="14.25" customHeight="1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  <c r="AA802" s="26"/>
      <c r="AB802" s="26"/>
      <c r="AC802" s="26"/>
      <c r="AD802" s="26"/>
      <c r="AE802" s="26"/>
      <c r="AF802" s="26"/>
      <c r="AG802" s="26"/>
      <c r="AH802" s="26"/>
      <c r="AI802" s="26"/>
      <c r="AJ802" s="26"/>
      <c r="AK802" s="26"/>
      <c r="AL802" s="26"/>
      <c r="AM802" s="26"/>
      <c r="AN802" s="26"/>
      <c r="AO802" s="26"/>
      <c r="AP802" s="26"/>
      <c r="AQ802" s="26"/>
      <c r="AR802" s="26"/>
      <c r="AS802" s="26"/>
      <c r="AT802" s="26"/>
      <c r="AU802" s="26"/>
      <c r="AV802" s="26"/>
      <c r="AW802" s="26"/>
      <c r="AX802" s="26"/>
      <c r="AY802" s="26"/>
      <c r="AZ802" s="26"/>
      <c r="BA802" s="26"/>
      <c r="BB802" s="26"/>
      <c r="BC802" s="26"/>
      <c r="BD802" s="26"/>
      <c r="BE802" s="26"/>
      <c r="BF802" s="26"/>
      <c r="BG802" s="26"/>
      <c r="BH802" s="26"/>
      <c r="BI802" s="26"/>
      <c r="BJ802" s="26"/>
      <c r="BK802" s="26"/>
    </row>
    <row r="803" ht="14.25" customHeight="1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  <c r="AA803" s="26"/>
      <c r="AB803" s="26"/>
      <c r="AC803" s="26"/>
      <c r="AD803" s="26"/>
      <c r="AE803" s="26"/>
      <c r="AF803" s="26"/>
      <c r="AG803" s="26"/>
      <c r="AH803" s="26"/>
      <c r="AI803" s="26"/>
      <c r="AJ803" s="26"/>
      <c r="AK803" s="26"/>
      <c r="AL803" s="26"/>
      <c r="AM803" s="26"/>
      <c r="AN803" s="26"/>
      <c r="AO803" s="26"/>
      <c r="AP803" s="26"/>
      <c r="AQ803" s="26"/>
      <c r="AR803" s="26"/>
      <c r="AS803" s="26"/>
      <c r="AT803" s="26"/>
      <c r="AU803" s="26"/>
      <c r="AV803" s="26"/>
      <c r="AW803" s="26"/>
      <c r="AX803" s="26"/>
      <c r="AY803" s="26"/>
      <c r="AZ803" s="26"/>
      <c r="BA803" s="26"/>
      <c r="BB803" s="26"/>
      <c r="BC803" s="26"/>
      <c r="BD803" s="26"/>
      <c r="BE803" s="26"/>
      <c r="BF803" s="26"/>
      <c r="BG803" s="26"/>
      <c r="BH803" s="26"/>
      <c r="BI803" s="26"/>
      <c r="BJ803" s="26"/>
      <c r="BK803" s="26"/>
    </row>
    <row r="804" ht="14.25" customHeight="1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  <c r="AB804" s="26"/>
      <c r="AC804" s="26"/>
      <c r="AD804" s="26"/>
      <c r="AE804" s="26"/>
      <c r="AF804" s="26"/>
      <c r="AG804" s="26"/>
      <c r="AH804" s="26"/>
      <c r="AI804" s="26"/>
      <c r="AJ804" s="26"/>
      <c r="AK804" s="26"/>
      <c r="AL804" s="26"/>
      <c r="AM804" s="26"/>
      <c r="AN804" s="26"/>
      <c r="AO804" s="26"/>
      <c r="AP804" s="26"/>
      <c r="AQ804" s="26"/>
      <c r="AR804" s="26"/>
      <c r="AS804" s="26"/>
      <c r="AT804" s="26"/>
      <c r="AU804" s="26"/>
      <c r="AV804" s="26"/>
      <c r="AW804" s="26"/>
      <c r="AX804" s="26"/>
      <c r="AY804" s="26"/>
      <c r="AZ804" s="26"/>
      <c r="BA804" s="26"/>
      <c r="BB804" s="26"/>
      <c r="BC804" s="26"/>
      <c r="BD804" s="26"/>
      <c r="BE804" s="26"/>
      <c r="BF804" s="26"/>
      <c r="BG804" s="26"/>
      <c r="BH804" s="26"/>
      <c r="BI804" s="26"/>
      <c r="BJ804" s="26"/>
      <c r="BK804" s="26"/>
    </row>
    <row r="805" ht="14.25" customHeight="1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  <c r="AA805" s="26"/>
      <c r="AB805" s="26"/>
      <c r="AC805" s="26"/>
      <c r="AD805" s="26"/>
      <c r="AE805" s="26"/>
      <c r="AF805" s="26"/>
      <c r="AG805" s="26"/>
      <c r="AH805" s="26"/>
      <c r="AI805" s="26"/>
      <c r="AJ805" s="26"/>
      <c r="AK805" s="26"/>
      <c r="AL805" s="26"/>
      <c r="AM805" s="26"/>
      <c r="AN805" s="26"/>
      <c r="AO805" s="26"/>
      <c r="AP805" s="26"/>
      <c r="AQ805" s="26"/>
      <c r="AR805" s="26"/>
      <c r="AS805" s="26"/>
      <c r="AT805" s="26"/>
      <c r="AU805" s="26"/>
      <c r="AV805" s="26"/>
      <c r="AW805" s="26"/>
      <c r="AX805" s="26"/>
      <c r="AY805" s="26"/>
      <c r="AZ805" s="26"/>
      <c r="BA805" s="26"/>
      <c r="BB805" s="26"/>
      <c r="BC805" s="26"/>
      <c r="BD805" s="26"/>
      <c r="BE805" s="26"/>
      <c r="BF805" s="26"/>
      <c r="BG805" s="26"/>
      <c r="BH805" s="26"/>
      <c r="BI805" s="26"/>
      <c r="BJ805" s="26"/>
      <c r="BK805" s="26"/>
    </row>
    <row r="806" ht="14.25" customHeight="1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  <c r="AB806" s="26"/>
      <c r="AC806" s="26"/>
      <c r="AD806" s="26"/>
      <c r="AE806" s="26"/>
      <c r="AF806" s="26"/>
      <c r="AG806" s="26"/>
      <c r="AH806" s="26"/>
      <c r="AI806" s="26"/>
      <c r="AJ806" s="26"/>
      <c r="AK806" s="26"/>
      <c r="AL806" s="26"/>
      <c r="AM806" s="26"/>
      <c r="AN806" s="26"/>
      <c r="AO806" s="26"/>
      <c r="AP806" s="26"/>
      <c r="AQ806" s="26"/>
      <c r="AR806" s="26"/>
      <c r="AS806" s="26"/>
      <c r="AT806" s="26"/>
      <c r="AU806" s="26"/>
      <c r="AV806" s="26"/>
      <c r="AW806" s="26"/>
      <c r="AX806" s="26"/>
      <c r="AY806" s="26"/>
      <c r="AZ806" s="26"/>
      <c r="BA806" s="26"/>
      <c r="BB806" s="26"/>
      <c r="BC806" s="26"/>
      <c r="BD806" s="26"/>
      <c r="BE806" s="26"/>
      <c r="BF806" s="26"/>
      <c r="BG806" s="26"/>
      <c r="BH806" s="26"/>
      <c r="BI806" s="26"/>
      <c r="BJ806" s="26"/>
      <c r="BK806" s="26"/>
    </row>
    <row r="807" ht="14.25" customHeight="1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  <c r="AA807" s="26"/>
      <c r="AB807" s="26"/>
      <c r="AC807" s="26"/>
      <c r="AD807" s="26"/>
      <c r="AE807" s="26"/>
      <c r="AF807" s="26"/>
      <c r="AG807" s="26"/>
      <c r="AH807" s="26"/>
      <c r="AI807" s="26"/>
      <c r="AJ807" s="26"/>
      <c r="AK807" s="26"/>
      <c r="AL807" s="26"/>
      <c r="AM807" s="26"/>
      <c r="AN807" s="26"/>
      <c r="AO807" s="26"/>
      <c r="AP807" s="26"/>
      <c r="AQ807" s="26"/>
      <c r="AR807" s="26"/>
      <c r="AS807" s="26"/>
      <c r="AT807" s="26"/>
      <c r="AU807" s="26"/>
      <c r="AV807" s="26"/>
      <c r="AW807" s="26"/>
      <c r="AX807" s="26"/>
      <c r="AY807" s="26"/>
      <c r="AZ807" s="26"/>
      <c r="BA807" s="26"/>
      <c r="BB807" s="26"/>
      <c r="BC807" s="26"/>
      <c r="BD807" s="26"/>
      <c r="BE807" s="26"/>
      <c r="BF807" s="26"/>
      <c r="BG807" s="26"/>
      <c r="BH807" s="26"/>
      <c r="BI807" s="26"/>
      <c r="BJ807" s="26"/>
      <c r="BK807" s="26"/>
    </row>
    <row r="808" ht="14.25" customHeight="1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  <c r="AA808" s="26"/>
      <c r="AB808" s="26"/>
      <c r="AC808" s="26"/>
      <c r="AD808" s="26"/>
      <c r="AE808" s="26"/>
      <c r="AF808" s="26"/>
      <c r="AG808" s="26"/>
      <c r="AH808" s="26"/>
      <c r="AI808" s="26"/>
      <c r="AJ808" s="26"/>
      <c r="AK808" s="26"/>
      <c r="AL808" s="26"/>
      <c r="AM808" s="26"/>
      <c r="AN808" s="26"/>
      <c r="AO808" s="26"/>
      <c r="AP808" s="26"/>
      <c r="AQ808" s="26"/>
      <c r="AR808" s="26"/>
      <c r="AS808" s="26"/>
      <c r="AT808" s="26"/>
      <c r="AU808" s="26"/>
      <c r="AV808" s="26"/>
      <c r="AW808" s="26"/>
      <c r="AX808" s="26"/>
      <c r="AY808" s="26"/>
      <c r="AZ808" s="26"/>
      <c r="BA808" s="26"/>
      <c r="BB808" s="26"/>
      <c r="BC808" s="26"/>
      <c r="BD808" s="26"/>
      <c r="BE808" s="26"/>
      <c r="BF808" s="26"/>
      <c r="BG808" s="26"/>
      <c r="BH808" s="26"/>
      <c r="BI808" s="26"/>
      <c r="BJ808" s="26"/>
      <c r="BK808" s="26"/>
    </row>
    <row r="809" ht="14.25" customHeight="1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  <c r="AA809" s="26"/>
      <c r="AB809" s="26"/>
      <c r="AC809" s="26"/>
      <c r="AD809" s="26"/>
      <c r="AE809" s="26"/>
      <c r="AF809" s="26"/>
      <c r="AG809" s="26"/>
      <c r="AH809" s="26"/>
      <c r="AI809" s="26"/>
      <c r="AJ809" s="26"/>
      <c r="AK809" s="26"/>
      <c r="AL809" s="26"/>
      <c r="AM809" s="26"/>
      <c r="AN809" s="26"/>
      <c r="AO809" s="26"/>
      <c r="AP809" s="26"/>
      <c r="AQ809" s="26"/>
      <c r="AR809" s="26"/>
      <c r="AS809" s="26"/>
      <c r="AT809" s="26"/>
      <c r="AU809" s="26"/>
      <c r="AV809" s="26"/>
      <c r="AW809" s="26"/>
      <c r="AX809" s="26"/>
      <c r="AY809" s="26"/>
      <c r="AZ809" s="26"/>
      <c r="BA809" s="26"/>
      <c r="BB809" s="26"/>
      <c r="BC809" s="26"/>
      <c r="BD809" s="26"/>
      <c r="BE809" s="26"/>
      <c r="BF809" s="26"/>
      <c r="BG809" s="26"/>
      <c r="BH809" s="26"/>
      <c r="BI809" s="26"/>
      <c r="BJ809" s="26"/>
      <c r="BK809" s="26"/>
    </row>
    <row r="810" ht="14.25" customHeight="1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  <c r="AA810" s="26"/>
      <c r="AB810" s="26"/>
      <c r="AC810" s="26"/>
      <c r="AD810" s="26"/>
      <c r="AE810" s="26"/>
      <c r="AF810" s="26"/>
      <c r="AG810" s="26"/>
      <c r="AH810" s="26"/>
      <c r="AI810" s="26"/>
      <c r="AJ810" s="26"/>
      <c r="AK810" s="26"/>
      <c r="AL810" s="26"/>
      <c r="AM810" s="26"/>
      <c r="AN810" s="26"/>
      <c r="AO810" s="26"/>
      <c r="AP810" s="26"/>
      <c r="AQ810" s="26"/>
      <c r="AR810" s="26"/>
      <c r="AS810" s="26"/>
      <c r="AT810" s="26"/>
      <c r="AU810" s="26"/>
      <c r="AV810" s="26"/>
      <c r="AW810" s="26"/>
      <c r="AX810" s="26"/>
      <c r="AY810" s="26"/>
      <c r="AZ810" s="26"/>
      <c r="BA810" s="26"/>
      <c r="BB810" s="26"/>
      <c r="BC810" s="26"/>
      <c r="BD810" s="26"/>
      <c r="BE810" s="26"/>
      <c r="BF810" s="26"/>
      <c r="BG810" s="26"/>
      <c r="BH810" s="26"/>
      <c r="BI810" s="26"/>
      <c r="BJ810" s="26"/>
      <c r="BK810" s="26"/>
    </row>
    <row r="811" ht="14.25" customHeight="1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  <c r="AA811" s="26"/>
      <c r="AB811" s="26"/>
      <c r="AC811" s="26"/>
      <c r="AD811" s="26"/>
      <c r="AE811" s="26"/>
      <c r="AF811" s="26"/>
      <c r="AG811" s="26"/>
      <c r="AH811" s="26"/>
      <c r="AI811" s="26"/>
      <c r="AJ811" s="26"/>
      <c r="AK811" s="26"/>
      <c r="AL811" s="26"/>
      <c r="AM811" s="26"/>
      <c r="AN811" s="26"/>
      <c r="AO811" s="26"/>
      <c r="AP811" s="26"/>
      <c r="AQ811" s="26"/>
      <c r="AR811" s="26"/>
      <c r="AS811" s="26"/>
      <c r="AT811" s="26"/>
      <c r="AU811" s="26"/>
      <c r="AV811" s="26"/>
      <c r="AW811" s="26"/>
      <c r="AX811" s="26"/>
      <c r="AY811" s="26"/>
      <c r="AZ811" s="26"/>
      <c r="BA811" s="26"/>
      <c r="BB811" s="26"/>
      <c r="BC811" s="26"/>
      <c r="BD811" s="26"/>
      <c r="BE811" s="26"/>
      <c r="BF811" s="26"/>
      <c r="BG811" s="26"/>
      <c r="BH811" s="26"/>
      <c r="BI811" s="26"/>
      <c r="BJ811" s="26"/>
      <c r="BK811" s="26"/>
    </row>
    <row r="812" ht="14.25" customHeight="1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  <c r="AA812" s="26"/>
      <c r="AB812" s="26"/>
      <c r="AC812" s="26"/>
      <c r="AD812" s="26"/>
      <c r="AE812" s="26"/>
      <c r="AF812" s="26"/>
      <c r="AG812" s="26"/>
      <c r="AH812" s="26"/>
      <c r="AI812" s="26"/>
      <c r="AJ812" s="26"/>
      <c r="AK812" s="26"/>
      <c r="AL812" s="26"/>
      <c r="AM812" s="26"/>
      <c r="AN812" s="26"/>
      <c r="AO812" s="26"/>
      <c r="AP812" s="26"/>
      <c r="AQ812" s="26"/>
      <c r="AR812" s="26"/>
      <c r="AS812" s="26"/>
      <c r="AT812" s="26"/>
      <c r="AU812" s="26"/>
      <c r="AV812" s="26"/>
      <c r="AW812" s="26"/>
      <c r="AX812" s="26"/>
      <c r="AY812" s="26"/>
      <c r="AZ812" s="26"/>
      <c r="BA812" s="26"/>
      <c r="BB812" s="26"/>
      <c r="BC812" s="26"/>
      <c r="BD812" s="26"/>
      <c r="BE812" s="26"/>
      <c r="BF812" s="26"/>
      <c r="BG812" s="26"/>
      <c r="BH812" s="26"/>
      <c r="BI812" s="26"/>
      <c r="BJ812" s="26"/>
      <c r="BK812" s="26"/>
    </row>
    <row r="813" ht="14.25" customHeight="1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  <c r="AA813" s="26"/>
      <c r="AB813" s="26"/>
      <c r="AC813" s="26"/>
      <c r="AD813" s="26"/>
      <c r="AE813" s="26"/>
      <c r="AF813" s="26"/>
      <c r="AG813" s="26"/>
      <c r="AH813" s="26"/>
      <c r="AI813" s="26"/>
      <c r="AJ813" s="26"/>
      <c r="AK813" s="26"/>
      <c r="AL813" s="26"/>
      <c r="AM813" s="26"/>
      <c r="AN813" s="26"/>
      <c r="AO813" s="26"/>
      <c r="AP813" s="26"/>
      <c r="AQ813" s="26"/>
      <c r="AR813" s="26"/>
      <c r="AS813" s="26"/>
      <c r="AT813" s="26"/>
      <c r="AU813" s="26"/>
      <c r="AV813" s="26"/>
      <c r="AW813" s="26"/>
      <c r="AX813" s="26"/>
      <c r="AY813" s="26"/>
      <c r="AZ813" s="26"/>
      <c r="BA813" s="26"/>
      <c r="BB813" s="26"/>
      <c r="BC813" s="26"/>
      <c r="BD813" s="26"/>
      <c r="BE813" s="26"/>
      <c r="BF813" s="26"/>
      <c r="BG813" s="26"/>
      <c r="BH813" s="26"/>
      <c r="BI813" s="26"/>
      <c r="BJ813" s="26"/>
      <c r="BK813" s="26"/>
    </row>
    <row r="814" ht="14.25" customHeight="1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  <c r="AA814" s="26"/>
      <c r="AB814" s="26"/>
      <c r="AC814" s="26"/>
      <c r="AD814" s="26"/>
      <c r="AE814" s="26"/>
      <c r="AF814" s="26"/>
      <c r="AG814" s="26"/>
      <c r="AH814" s="26"/>
      <c r="AI814" s="26"/>
      <c r="AJ814" s="26"/>
      <c r="AK814" s="26"/>
      <c r="AL814" s="26"/>
      <c r="AM814" s="26"/>
      <c r="AN814" s="26"/>
      <c r="AO814" s="26"/>
      <c r="AP814" s="26"/>
      <c r="AQ814" s="26"/>
      <c r="AR814" s="26"/>
      <c r="AS814" s="26"/>
      <c r="AT814" s="26"/>
      <c r="AU814" s="26"/>
      <c r="AV814" s="26"/>
      <c r="AW814" s="26"/>
      <c r="AX814" s="26"/>
      <c r="AY814" s="26"/>
      <c r="AZ814" s="26"/>
      <c r="BA814" s="26"/>
      <c r="BB814" s="26"/>
      <c r="BC814" s="26"/>
      <c r="BD814" s="26"/>
      <c r="BE814" s="26"/>
      <c r="BF814" s="26"/>
      <c r="BG814" s="26"/>
      <c r="BH814" s="26"/>
      <c r="BI814" s="26"/>
      <c r="BJ814" s="26"/>
      <c r="BK814" s="26"/>
    </row>
    <row r="815" ht="14.25" customHeight="1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  <c r="AA815" s="26"/>
      <c r="AB815" s="26"/>
      <c r="AC815" s="26"/>
      <c r="AD815" s="26"/>
      <c r="AE815" s="26"/>
      <c r="AF815" s="26"/>
      <c r="AG815" s="26"/>
      <c r="AH815" s="26"/>
      <c r="AI815" s="26"/>
      <c r="AJ815" s="26"/>
      <c r="AK815" s="26"/>
      <c r="AL815" s="26"/>
      <c r="AM815" s="26"/>
      <c r="AN815" s="26"/>
      <c r="AO815" s="26"/>
      <c r="AP815" s="26"/>
      <c r="AQ815" s="26"/>
      <c r="AR815" s="26"/>
      <c r="AS815" s="26"/>
      <c r="AT815" s="26"/>
      <c r="AU815" s="26"/>
      <c r="AV815" s="26"/>
      <c r="AW815" s="26"/>
      <c r="AX815" s="26"/>
      <c r="AY815" s="26"/>
      <c r="AZ815" s="26"/>
      <c r="BA815" s="26"/>
      <c r="BB815" s="26"/>
      <c r="BC815" s="26"/>
      <c r="BD815" s="26"/>
      <c r="BE815" s="26"/>
      <c r="BF815" s="26"/>
      <c r="BG815" s="26"/>
      <c r="BH815" s="26"/>
      <c r="BI815" s="26"/>
      <c r="BJ815" s="26"/>
      <c r="BK815" s="26"/>
    </row>
    <row r="816" ht="14.25" customHeight="1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  <c r="AA816" s="26"/>
      <c r="AB816" s="26"/>
      <c r="AC816" s="26"/>
      <c r="AD816" s="26"/>
      <c r="AE816" s="26"/>
      <c r="AF816" s="26"/>
      <c r="AG816" s="26"/>
      <c r="AH816" s="26"/>
      <c r="AI816" s="26"/>
      <c r="AJ816" s="26"/>
      <c r="AK816" s="26"/>
      <c r="AL816" s="26"/>
      <c r="AM816" s="26"/>
      <c r="AN816" s="26"/>
      <c r="AO816" s="26"/>
      <c r="AP816" s="26"/>
      <c r="AQ816" s="26"/>
      <c r="AR816" s="26"/>
      <c r="AS816" s="26"/>
      <c r="AT816" s="26"/>
      <c r="AU816" s="26"/>
      <c r="AV816" s="26"/>
      <c r="AW816" s="26"/>
      <c r="AX816" s="26"/>
      <c r="AY816" s="26"/>
      <c r="AZ816" s="26"/>
      <c r="BA816" s="26"/>
      <c r="BB816" s="26"/>
      <c r="BC816" s="26"/>
      <c r="BD816" s="26"/>
      <c r="BE816" s="26"/>
      <c r="BF816" s="26"/>
      <c r="BG816" s="26"/>
      <c r="BH816" s="26"/>
      <c r="BI816" s="26"/>
      <c r="BJ816" s="26"/>
      <c r="BK816" s="26"/>
    </row>
    <row r="817" ht="14.25" customHeight="1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  <c r="AA817" s="26"/>
      <c r="AB817" s="26"/>
      <c r="AC817" s="26"/>
      <c r="AD817" s="26"/>
      <c r="AE817" s="26"/>
      <c r="AF817" s="26"/>
      <c r="AG817" s="26"/>
      <c r="AH817" s="26"/>
      <c r="AI817" s="26"/>
      <c r="AJ817" s="26"/>
      <c r="AK817" s="26"/>
      <c r="AL817" s="26"/>
      <c r="AM817" s="26"/>
      <c r="AN817" s="26"/>
      <c r="AO817" s="26"/>
      <c r="AP817" s="26"/>
      <c r="AQ817" s="26"/>
      <c r="AR817" s="26"/>
      <c r="AS817" s="26"/>
      <c r="AT817" s="26"/>
      <c r="AU817" s="26"/>
      <c r="AV817" s="26"/>
      <c r="AW817" s="26"/>
      <c r="AX817" s="26"/>
      <c r="AY817" s="26"/>
      <c r="AZ817" s="26"/>
      <c r="BA817" s="26"/>
      <c r="BB817" s="26"/>
      <c r="BC817" s="26"/>
      <c r="BD817" s="26"/>
      <c r="BE817" s="26"/>
      <c r="BF817" s="26"/>
      <c r="BG817" s="26"/>
      <c r="BH817" s="26"/>
      <c r="BI817" s="26"/>
      <c r="BJ817" s="26"/>
      <c r="BK817" s="26"/>
    </row>
    <row r="818" ht="14.25" customHeight="1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  <c r="AA818" s="26"/>
      <c r="AB818" s="26"/>
      <c r="AC818" s="26"/>
      <c r="AD818" s="26"/>
      <c r="AE818" s="26"/>
      <c r="AF818" s="26"/>
      <c r="AG818" s="26"/>
      <c r="AH818" s="26"/>
      <c r="AI818" s="26"/>
      <c r="AJ818" s="26"/>
      <c r="AK818" s="26"/>
      <c r="AL818" s="26"/>
      <c r="AM818" s="26"/>
      <c r="AN818" s="26"/>
      <c r="AO818" s="26"/>
      <c r="AP818" s="26"/>
      <c r="AQ818" s="26"/>
      <c r="AR818" s="26"/>
      <c r="AS818" s="26"/>
      <c r="AT818" s="26"/>
      <c r="AU818" s="26"/>
      <c r="AV818" s="26"/>
      <c r="AW818" s="26"/>
      <c r="AX818" s="26"/>
      <c r="AY818" s="26"/>
      <c r="AZ818" s="26"/>
      <c r="BA818" s="26"/>
      <c r="BB818" s="26"/>
      <c r="BC818" s="26"/>
      <c r="BD818" s="26"/>
      <c r="BE818" s="26"/>
      <c r="BF818" s="26"/>
      <c r="BG818" s="26"/>
      <c r="BH818" s="26"/>
      <c r="BI818" s="26"/>
      <c r="BJ818" s="26"/>
      <c r="BK818" s="26"/>
    </row>
    <row r="819" ht="14.25" customHeight="1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  <c r="AA819" s="26"/>
      <c r="AB819" s="26"/>
      <c r="AC819" s="26"/>
      <c r="AD819" s="26"/>
      <c r="AE819" s="26"/>
      <c r="AF819" s="26"/>
      <c r="AG819" s="26"/>
      <c r="AH819" s="26"/>
      <c r="AI819" s="26"/>
      <c r="AJ819" s="26"/>
      <c r="AK819" s="26"/>
      <c r="AL819" s="26"/>
      <c r="AM819" s="26"/>
      <c r="AN819" s="26"/>
      <c r="AO819" s="26"/>
      <c r="AP819" s="26"/>
      <c r="AQ819" s="26"/>
      <c r="AR819" s="26"/>
      <c r="AS819" s="26"/>
      <c r="AT819" s="26"/>
      <c r="AU819" s="26"/>
      <c r="AV819" s="26"/>
      <c r="AW819" s="26"/>
      <c r="AX819" s="26"/>
      <c r="AY819" s="26"/>
      <c r="AZ819" s="26"/>
      <c r="BA819" s="26"/>
      <c r="BB819" s="26"/>
      <c r="BC819" s="26"/>
      <c r="BD819" s="26"/>
      <c r="BE819" s="26"/>
      <c r="BF819" s="26"/>
      <c r="BG819" s="26"/>
      <c r="BH819" s="26"/>
      <c r="BI819" s="26"/>
      <c r="BJ819" s="26"/>
      <c r="BK819" s="26"/>
    </row>
    <row r="820" ht="14.25" customHeight="1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  <c r="AA820" s="26"/>
      <c r="AB820" s="26"/>
      <c r="AC820" s="26"/>
      <c r="AD820" s="26"/>
      <c r="AE820" s="26"/>
      <c r="AF820" s="26"/>
      <c r="AG820" s="26"/>
      <c r="AH820" s="26"/>
      <c r="AI820" s="26"/>
      <c r="AJ820" s="26"/>
      <c r="AK820" s="26"/>
      <c r="AL820" s="26"/>
      <c r="AM820" s="26"/>
      <c r="AN820" s="26"/>
      <c r="AO820" s="26"/>
      <c r="AP820" s="26"/>
      <c r="AQ820" s="26"/>
      <c r="AR820" s="26"/>
      <c r="AS820" s="26"/>
      <c r="AT820" s="26"/>
      <c r="AU820" s="26"/>
      <c r="AV820" s="26"/>
      <c r="AW820" s="26"/>
      <c r="AX820" s="26"/>
      <c r="AY820" s="26"/>
      <c r="AZ820" s="26"/>
      <c r="BA820" s="26"/>
      <c r="BB820" s="26"/>
      <c r="BC820" s="26"/>
      <c r="BD820" s="26"/>
      <c r="BE820" s="26"/>
      <c r="BF820" s="26"/>
      <c r="BG820" s="26"/>
      <c r="BH820" s="26"/>
      <c r="BI820" s="26"/>
      <c r="BJ820" s="26"/>
      <c r="BK820" s="26"/>
    </row>
    <row r="821" ht="14.25" customHeight="1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  <c r="AA821" s="26"/>
      <c r="AB821" s="26"/>
      <c r="AC821" s="26"/>
      <c r="AD821" s="26"/>
      <c r="AE821" s="26"/>
      <c r="AF821" s="26"/>
      <c r="AG821" s="26"/>
      <c r="AH821" s="26"/>
      <c r="AI821" s="26"/>
      <c r="AJ821" s="26"/>
      <c r="AK821" s="26"/>
      <c r="AL821" s="26"/>
      <c r="AM821" s="26"/>
      <c r="AN821" s="26"/>
      <c r="AO821" s="26"/>
      <c r="AP821" s="26"/>
      <c r="AQ821" s="26"/>
      <c r="AR821" s="26"/>
      <c r="AS821" s="26"/>
      <c r="AT821" s="26"/>
      <c r="AU821" s="26"/>
      <c r="AV821" s="26"/>
      <c r="AW821" s="26"/>
      <c r="AX821" s="26"/>
      <c r="AY821" s="26"/>
      <c r="AZ821" s="26"/>
      <c r="BA821" s="26"/>
      <c r="BB821" s="26"/>
      <c r="BC821" s="26"/>
      <c r="BD821" s="26"/>
      <c r="BE821" s="26"/>
      <c r="BF821" s="26"/>
      <c r="BG821" s="26"/>
      <c r="BH821" s="26"/>
      <c r="BI821" s="26"/>
      <c r="BJ821" s="26"/>
      <c r="BK821" s="26"/>
    </row>
    <row r="822" ht="14.25" customHeight="1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  <c r="AA822" s="26"/>
      <c r="AB822" s="26"/>
      <c r="AC822" s="26"/>
      <c r="AD822" s="26"/>
      <c r="AE822" s="26"/>
      <c r="AF822" s="26"/>
      <c r="AG822" s="26"/>
      <c r="AH822" s="26"/>
      <c r="AI822" s="26"/>
      <c r="AJ822" s="26"/>
      <c r="AK822" s="26"/>
      <c r="AL822" s="26"/>
      <c r="AM822" s="26"/>
      <c r="AN822" s="26"/>
      <c r="AO822" s="26"/>
      <c r="AP822" s="26"/>
      <c r="AQ822" s="26"/>
      <c r="AR822" s="26"/>
      <c r="AS822" s="26"/>
      <c r="AT822" s="26"/>
      <c r="AU822" s="26"/>
      <c r="AV822" s="26"/>
      <c r="AW822" s="26"/>
      <c r="AX822" s="26"/>
      <c r="AY822" s="26"/>
      <c r="AZ822" s="26"/>
      <c r="BA822" s="26"/>
      <c r="BB822" s="26"/>
      <c r="BC822" s="26"/>
      <c r="BD822" s="26"/>
      <c r="BE822" s="26"/>
      <c r="BF822" s="26"/>
      <c r="BG822" s="26"/>
      <c r="BH822" s="26"/>
      <c r="BI822" s="26"/>
      <c r="BJ822" s="26"/>
      <c r="BK822" s="26"/>
    </row>
    <row r="823" ht="14.25" customHeight="1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  <c r="AA823" s="26"/>
      <c r="AB823" s="26"/>
      <c r="AC823" s="26"/>
      <c r="AD823" s="26"/>
      <c r="AE823" s="26"/>
      <c r="AF823" s="26"/>
      <c r="AG823" s="26"/>
      <c r="AH823" s="26"/>
      <c r="AI823" s="26"/>
      <c r="AJ823" s="26"/>
      <c r="AK823" s="26"/>
      <c r="AL823" s="26"/>
      <c r="AM823" s="26"/>
      <c r="AN823" s="26"/>
      <c r="AO823" s="26"/>
      <c r="AP823" s="26"/>
      <c r="AQ823" s="26"/>
      <c r="AR823" s="26"/>
      <c r="AS823" s="26"/>
      <c r="AT823" s="26"/>
      <c r="AU823" s="26"/>
      <c r="AV823" s="26"/>
      <c r="AW823" s="26"/>
      <c r="AX823" s="26"/>
      <c r="AY823" s="26"/>
      <c r="AZ823" s="26"/>
      <c r="BA823" s="26"/>
      <c r="BB823" s="26"/>
      <c r="BC823" s="26"/>
      <c r="BD823" s="26"/>
      <c r="BE823" s="26"/>
      <c r="BF823" s="26"/>
      <c r="BG823" s="26"/>
      <c r="BH823" s="26"/>
      <c r="BI823" s="26"/>
      <c r="BJ823" s="26"/>
      <c r="BK823" s="26"/>
    </row>
    <row r="824" ht="14.25" customHeight="1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  <c r="AA824" s="26"/>
      <c r="AB824" s="26"/>
      <c r="AC824" s="26"/>
      <c r="AD824" s="26"/>
      <c r="AE824" s="26"/>
      <c r="AF824" s="26"/>
      <c r="AG824" s="26"/>
      <c r="AH824" s="26"/>
      <c r="AI824" s="26"/>
      <c r="AJ824" s="26"/>
      <c r="AK824" s="26"/>
      <c r="AL824" s="26"/>
      <c r="AM824" s="26"/>
      <c r="AN824" s="26"/>
      <c r="AO824" s="26"/>
      <c r="AP824" s="26"/>
      <c r="AQ824" s="26"/>
      <c r="AR824" s="26"/>
      <c r="AS824" s="26"/>
      <c r="AT824" s="26"/>
      <c r="AU824" s="26"/>
      <c r="AV824" s="26"/>
      <c r="AW824" s="26"/>
      <c r="AX824" s="26"/>
      <c r="AY824" s="26"/>
      <c r="AZ824" s="26"/>
      <c r="BA824" s="26"/>
      <c r="BB824" s="26"/>
      <c r="BC824" s="26"/>
      <c r="BD824" s="26"/>
      <c r="BE824" s="26"/>
      <c r="BF824" s="26"/>
      <c r="BG824" s="26"/>
      <c r="BH824" s="26"/>
      <c r="BI824" s="26"/>
      <c r="BJ824" s="26"/>
      <c r="BK824" s="26"/>
    </row>
    <row r="825" ht="14.25" customHeight="1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  <c r="AA825" s="26"/>
      <c r="AB825" s="26"/>
      <c r="AC825" s="26"/>
      <c r="AD825" s="26"/>
      <c r="AE825" s="26"/>
      <c r="AF825" s="26"/>
      <c r="AG825" s="26"/>
      <c r="AH825" s="26"/>
      <c r="AI825" s="26"/>
      <c r="AJ825" s="26"/>
      <c r="AK825" s="26"/>
      <c r="AL825" s="26"/>
      <c r="AM825" s="26"/>
      <c r="AN825" s="26"/>
      <c r="AO825" s="26"/>
      <c r="AP825" s="26"/>
      <c r="AQ825" s="26"/>
      <c r="AR825" s="26"/>
      <c r="AS825" s="26"/>
      <c r="AT825" s="26"/>
      <c r="AU825" s="26"/>
      <c r="AV825" s="26"/>
      <c r="AW825" s="26"/>
      <c r="AX825" s="26"/>
      <c r="AY825" s="26"/>
      <c r="AZ825" s="26"/>
      <c r="BA825" s="26"/>
      <c r="BB825" s="26"/>
      <c r="BC825" s="26"/>
      <c r="BD825" s="26"/>
      <c r="BE825" s="26"/>
      <c r="BF825" s="26"/>
      <c r="BG825" s="26"/>
      <c r="BH825" s="26"/>
      <c r="BI825" s="26"/>
      <c r="BJ825" s="26"/>
      <c r="BK825" s="26"/>
    </row>
    <row r="826" ht="14.25" customHeight="1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  <c r="AA826" s="26"/>
      <c r="AB826" s="26"/>
      <c r="AC826" s="26"/>
      <c r="AD826" s="26"/>
      <c r="AE826" s="26"/>
      <c r="AF826" s="26"/>
      <c r="AG826" s="26"/>
      <c r="AH826" s="26"/>
      <c r="AI826" s="26"/>
      <c r="AJ826" s="26"/>
      <c r="AK826" s="26"/>
      <c r="AL826" s="26"/>
      <c r="AM826" s="26"/>
      <c r="AN826" s="26"/>
      <c r="AO826" s="26"/>
      <c r="AP826" s="26"/>
      <c r="AQ826" s="26"/>
      <c r="AR826" s="26"/>
      <c r="AS826" s="26"/>
      <c r="AT826" s="26"/>
      <c r="AU826" s="26"/>
      <c r="AV826" s="26"/>
      <c r="AW826" s="26"/>
      <c r="AX826" s="26"/>
      <c r="AY826" s="26"/>
      <c r="AZ826" s="26"/>
      <c r="BA826" s="26"/>
      <c r="BB826" s="26"/>
      <c r="BC826" s="26"/>
      <c r="BD826" s="26"/>
      <c r="BE826" s="26"/>
      <c r="BF826" s="26"/>
      <c r="BG826" s="26"/>
      <c r="BH826" s="26"/>
      <c r="BI826" s="26"/>
      <c r="BJ826" s="26"/>
      <c r="BK826" s="26"/>
    </row>
    <row r="827" ht="14.25" customHeight="1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  <c r="AA827" s="26"/>
      <c r="AB827" s="26"/>
      <c r="AC827" s="26"/>
      <c r="AD827" s="26"/>
      <c r="AE827" s="26"/>
      <c r="AF827" s="26"/>
      <c r="AG827" s="26"/>
      <c r="AH827" s="26"/>
      <c r="AI827" s="26"/>
      <c r="AJ827" s="26"/>
      <c r="AK827" s="26"/>
      <c r="AL827" s="26"/>
      <c r="AM827" s="26"/>
      <c r="AN827" s="26"/>
      <c r="AO827" s="26"/>
      <c r="AP827" s="26"/>
      <c r="AQ827" s="26"/>
      <c r="AR827" s="26"/>
      <c r="AS827" s="26"/>
      <c r="AT827" s="26"/>
      <c r="AU827" s="26"/>
      <c r="AV827" s="26"/>
      <c r="AW827" s="26"/>
      <c r="AX827" s="26"/>
      <c r="AY827" s="26"/>
      <c r="AZ827" s="26"/>
      <c r="BA827" s="26"/>
      <c r="BB827" s="26"/>
      <c r="BC827" s="26"/>
      <c r="BD827" s="26"/>
      <c r="BE827" s="26"/>
      <c r="BF827" s="26"/>
      <c r="BG827" s="26"/>
      <c r="BH827" s="26"/>
      <c r="BI827" s="26"/>
      <c r="BJ827" s="26"/>
      <c r="BK827" s="26"/>
    </row>
    <row r="828" ht="14.25" customHeight="1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  <c r="AA828" s="26"/>
      <c r="AB828" s="26"/>
      <c r="AC828" s="26"/>
      <c r="AD828" s="26"/>
      <c r="AE828" s="26"/>
      <c r="AF828" s="26"/>
      <c r="AG828" s="26"/>
      <c r="AH828" s="26"/>
      <c r="AI828" s="26"/>
      <c r="AJ828" s="26"/>
      <c r="AK828" s="26"/>
      <c r="AL828" s="26"/>
      <c r="AM828" s="26"/>
      <c r="AN828" s="26"/>
      <c r="AO828" s="26"/>
      <c r="AP828" s="26"/>
      <c r="AQ828" s="26"/>
      <c r="AR828" s="26"/>
      <c r="AS828" s="26"/>
      <c r="AT828" s="26"/>
      <c r="AU828" s="26"/>
      <c r="AV828" s="26"/>
      <c r="AW828" s="26"/>
      <c r="AX828" s="26"/>
      <c r="AY828" s="26"/>
      <c r="AZ828" s="26"/>
      <c r="BA828" s="26"/>
      <c r="BB828" s="26"/>
      <c r="BC828" s="26"/>
      <c r="BD828" s="26"/>
      <c r="BE828" s="26"/>
      <c r="BF828" s="26"/>
      <c r="BG828" s="26"/>
      <c r="BH828" s="26"/>
      <c r="BI828" s="26"/>
      <c r="BJ828" s="26"/>
      <c r="BK828" s="26"/>
    </row>
    <row r="829" ht="14.25" customHeight="1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  <c r="AA829" s="26"/>
      <c r="AB829" s="26"/>
      <c r="AC829" s="26"/>
      <c r="AD829" s="26"/>
      <c r="AE829" s="26"/>
      <c r="AF829" s="26"/>
      <c r="AG829" s="26"/>
      <c r="AH829" s="26"/>
      <c r="AI829" s="26"/>
      <c r="AJ829" s="26"/>
      <c r="AK829" s="26"/>
      <c r="AL829" s="26"/>
      <c r="AM829" s="26"/>
      <c r="AN829" s="26"/>
      <c r="AO829" s="26"/>
      <c r="AP829" s="26"/>
      <c r="AQ829" s="26"/>
      <c r="AR829" s="26"/>
      <c r="AS829" s="26"/>
      <c r="AT829" s="26"/>
      <c r="AU829" s="26"/>
      <c r="AV829" s="26"/>
      <c r="AW829" s="26"/>
      <c r="AX829" s="26"/>
      <c r="AY829" s="26"/>
      <c r="AZ829" s="26"/>
      <c r="BA829" s="26"/>
      <c r="BB829" s="26"/>
      <c r="BC829" s="26"/>
      <c r="BD829" s="26"/>
      <c r="BE829" s="26"/>
      <c r="BF829" s="26"/>
      <c r="BG829" s="26"/>
      <c r="BH829" s="26"/>
      <c r="BI829" s="26"/>
      <c r="BJ829" s="26"/>
      <c r="BK829" s="26"/>
    </row>
    <row r="830" ht="14.25" customHeight="1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  <c r="AA830" s="26"/>
      <c r="AB830" s="26"/>
      <c r="AC830" s="26"/>
      <c r="AD830" s="26"/>
      <c r="AE830" s="26"/>
      <c r="AF830" s="26"/>
      <c r="AG830" s="26"/>
      <c r="AH830" s="26"/>
      <c r="AI830" s="26"/>
      <c r="AJ830" s="26"/>
      <c r="AK830" s="26"/>
      <c r="AL830" s="26"/>
      <c r="AM830" s="26"/>
      <c r="AN830" s="26"/>
      <c r="AO830" s="26"/>
      <c r="AP830" s="26"/>
      <c r="AQ830" s="26"/>
      <c r="AR830" s="26"/>
      <c r="AS830" s="26"/>
      <c r="AT830" s="26"/>
      <c r="AU830" s="26"/>
      <c r="AV830" s="26"/>
      <c r="AW830" s="26"/>
      <c r="AX830" s="26"/>
      <c r="AY830" s="26"/>
      <c r="AZ830" s="26"/>
      <c r="BA830" s="26"/>
      <c r="BB830" s="26"/>
      <c r="BC830" s="26"/>
      <c r="BD830" s="26"/>
      <c r="BE830" s="26"/>
      <c r="BF830" s="26"/>
      <c r="BG830" s="26"/>
      <c r="BH830" s="26"/>
      <c r="BI830" s="26"/>
      <c r="BJ830" s="26"/>
      <c r="BK830" s="26"/>
    </row>
    <row r="831" ht="14.25" customHeight="1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  <c r="AA831" s="26"/>
      <c r="AB831" s="26"/>
      <c r="AC831" s="26"/>
      <c r="AD831" s="26"/>
      <c r="AE831" s="26"/>
      <c r="AF831" s="26"/>
      <c r="AG831" s="26"/>
      <c r="AH831" s="26"/>
      <c r="AI831" s="26"/>
      <c r="AJ831" s="26"/>
      <c r="AK831" s="26"/>
      <c r="AL831" s="26"/>
      <c r="AM831" s="26"/>
      <c r="AN831" s="26"/>
      <c r="AO831" s="26"/>
      <c r="AP831" s="26"/>
      <c r="AQ831" s="26"/>
      <c r="AR831" s="26"/>
      <c r="AS831" s="26"/>
      <c r="AT831" s="26"/>
      <c r="AU831" s="26"/>
      <c r="AV831" s="26"/>
      <c r="AW831" s="26"/>
      <c r="AX831" s="26"/>
      <c r="AY831" s="26"/>
      <c r="AZ831" s="26"/>
      <c r="BA831" s="26"/>
      <c r="BB831" s="26"/>
      <c r="BC831" s="26"/>
      <c r="BD831" s="26"/>
      <c r="BE831" s="26"/>
      <c r="BF831" s="26"/>
      <c r="BG831" s="26"/>
      <c r="BH831" s="26"/>
      <c r="BI831" s="26"/>
      <c r="BJ831" s="26"/>
      <c r="BK831" s="26"/>
    </row>
    <row r="832" ht="14.25" customHeight="1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  <c r="AA832" s="26"/>
      <c r="AB832" s="26"/>
      <c r="AC832" s="26"/>
      <c r="AD832" s="26"/>
      <c r="AE832" s="26"/>
      <c r="AF832" s="26"/>
      <c r="AG832" s="26"/>
      <c r="AH832" s="26"/>
      <c r="AI832" s="26"/>
      <c r="AJ832" s="26"/>
      <c r="AK832" s="26"/>
      <c r="AL832" s="26"/>
      <c r="AM832" s="26"/>
      <c r="AN832" s="26"/>
      <c r="AO832" s="26"/>
      <c r="AP832" s="26"/>
      <c r="AQ832" s="26"/>
      <c r="AR832" s="26"/>
      <c r="AS832" s="26"/>
      <c r="AT832" s="26"/>
      <c r="AU832" s="26"/>
      <c r="AV832" s="26"/>
      <c r="AW832" s="26"/>
      <c r="AX832" s="26"/>
      <c r="AY832" s="26"/>
      <c r="AZ832" s="26"/>
      <c r="BA832" s="26"/>
      <c r="BB832" s="26"/>
      <c r="BC832" s="26"/>
      <c r="BD832" s="26"/>
      <c r="BE832" s="26"/>
      <c r="BF832" s="26"/>
      <c r="BG832" s="26"/>
      <c r="BH832" s="26"/>
      <c r="BI832" s="26"/>
      <c r="BJ832" s="26"/>
      <c r="BK832" s="26"/>
    </row>
    <row r="833" ht="14.25" customHeight="1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  <c r="AA833" s="26"/>
      <c r="AB833" s="26"/>
      <c r="AC833" s="26"/>
      <c r="AD833" s="26"/>
      <c r="AE833" s="26"/>
      <c r="AF833" s="26"/>
      <c r="AG833" s="26"/>
      <c r="AH833" s="26"/>
      <c r="AI833" s="26"/>
      <c r="AJ833" s="26"/>
      <c r="AK833" s="26"/>
      <c r="AL833" s="26"/>
      <c r="AM833" s="26"/>
      <c r="AN833" s="26"/>
      <c r="AO833" s="26"/>
      <c r="AP833" s="26"/>
      <c r="AQ833" s="26"/>
      <c r="AR833" s="26"/>
      <c r="AS833" s="26"/>
      <c r="AT833" s="26"/>
      <c r="AU833" s="26"/>
      <c r="AV833" s="26"/>
      <c r="AW833" s="26"/>
      <c r="AX833" s="26"/>
      <c r="AY833" s="26"/>
      <c r="AZ833" s="26"/>
      <c r="BA833" s="26"/>
      <c r="BB833" s="26"/>
      <c r="BC833" s="26"/>
      <c r="BD833" s="26"/>
      <c r="BE833" s="26"/>
      <c r="BF833" s="26"/>
      <c r="BG833" s="26"/>
      <c r="BH833" s="26"/>
      <c r="BI833" s="26"/>
      <c r="BJ833" s="26"/>
      <c r="BK833" s="26"/>
    </row>
    <row r="834" ht="14.25" customHeight="1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  <c r="AA834" s="26"/>
      <c r="AB834" s="26"/>
      <c r="AC834" s="26"/>
      <c r="AD834" s="26"/>
      <c r="AE834" s="26"/>
      <c r="AF834" s="26"/>
      <c r="AG834" s="26"/>
      <c r="AH834" s="26"/>
      <c r="AI834" s="26"/>
      <c r="AJ834" s="26"/>
      <c r="AK834" s="26"/>
      <c r="AL834" s="26"/>
      <c r="AM834" s="26"/>
      <c r="AN834" s="26"/>
      <c r="AO834" s="26"/>
      <c r="AP834" s="26"/>
      <c r="AQ834" s="26"/>
      <c r="AR834" s="26"/>
      <c r="AS834" s="26"/>
      <c r="AT834" s="26"/>
      <c r="AU834" s="26"/>
      <c r="AV834" s="26"/>
      <c r="AW834" s="26"/>
      <c r="AX834" s="26"/>
      <c r="AY834" s="26"/>
      <c r="AZ834" s="26"/>
      <c r="BA834" s="26"/>
      <c r="BB834" s="26"/>
      <c r="BC834" s="26"/>
      <c r="BD834" s="26"/>
      <c r="BE834" s="26"/>
      <c r="BF834" s="26"/>
      <c r="BG834" s="26"/>
      <c r="BH834" s="26"/>
      <c r="BI834" s="26"/>
      <c r="BJ834" s="26"/>
      <c r="BK834" s="26"/>
    </row>
    <row r="835" ht="14.25" customHeight="1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  <c r="AA835" s="26"/>
      <c r="AB835" s="26"/>
      <c r="AC835" s="26"/>
      <c r="AD835" s="26"/>
      <c r="AE835" s="26"/>
      <c r="AF835" s="26"/>
      <c r="AG835" s="26"/>
      <c r="AH835" s="26"/>
      <c r="AI835" s="26"/>
      <c r="AJ835" s="26"/>
      <c r="AK835" s="26"/>
      <c r="AL835" s="26"/>
      <c r="AM835" s="26"/>
      <c r="AN835" s="26"/>
      <c r="AO835" s="26"/>
      <c r="AP835" s="26"/>
      <c r="AQ835" s="26"/>
      <c r="AR835" s="26"/>
      <c r="AS835" s="26"/>
      <c r="AT835" s="26"/>
      <c r="AU835" s="26"/>
      <c r="AV835" s="26"/>
      <c r="AW835" s="26"/>
      <c r="AX835" s="26"/>
      <c r="AY835" s="26"/>
      <c r="AZ835" s="26"/>
      <c r="BA835" s="26"/>
      <c r="BB835" s="26"/>
      <c r="BC835" s="26"/>
      <c r="BD835" s="26"/>
      <c r="BE835" s="26"/>
      <c r="BF835" s="26"/>
      <c r="BG835" s="26"/>
      <c r="BH835" s="26"/>
      <c r="BI835" s="26"/>
      <c r="BJ835" s="26"/>
      <c r="BK835" s="26"/>
    </row>
    <row r="836" ht="14.25" customHeight="1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  <c r="AB836" s="26"/>
      <c r="AC836" s="26"/>
      <c r="AD836" s="26"/>
      <c r="AE836" s="26"/>
      <c r="AF836" s="26"/>
      <c r="AG836" s="26"/>
      <c r="AH836" s="26"/>
      <c r="AI836" s="26"/>
      <c r="AJ836" s="26"/>
      <c r="AK836" s="26"/>
      <c r="AL836" s="26"/>
      <c r="AM836" s="26"/>
      <c r="AN836" s="26"/>
      <c r="AO836" s="26"/>
      <c r="AP836" s="26"/>
      <c r="AQ836" s="26"/>
      <c r="AR836" s="26"/>
      <c r="AS836" s="26"/>
      <c r="AT836" s="26"/>
      <c r="AU836" s="26"/>
      <c r="AV836" s="26"/>
      <c r="AW836" s="26"/>
      <c r="AX836" s="26"/>
      <c r="AY836" s="26"/>
      <c r="AZ836" s="26"/>
      <c r="BA836" s="26"/>
      <c r="BB836" s="26"/>
      <c r="BC836" s="26"/>
      <c r="BD836" s="26"/>
      <c r="BE836" s="26"/>
      <c r="BF836" s="26"/>
      <c r="BG836" s="26"/>
      <c r="BH836" s="26"/>
      <c r="BI836" s="26"/>
      <c r="BJ836" s="26"/>
      <c r="BK836" s="26"/>
    </row>
    <row r="837" ht="14.25" customHeight="1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  <c r="AA837" s="26"/>
      <c r="AB837" s="26"/>
      <c r="AC837" s="26"/>
      <c r="AD837" s="26"/>
      <c r="AE837" s="26"/>
      <c r="AF837" s="26"/>
      <c r="AG837" s="26"/>
      <c r="AH837" s="26"/>
      <c r="AI837" s="26"/>
      <c r="AJ837" s="26"/>
      <c r="AK837" s="26"/>
      <c r="AL837" s="26"/>
      <c r="AM837" s="26"/>
      <c r="AN837" s="26"/>
      <c r="AO837" s="26"/>
      <c r="AP837" s="26"/>
      <c r="AQ837" s="26"/>
      <c r="AR837" s="26"/>
      <c r="AS837" s="26"/>
      <c r="AT837" s="26"/>
      <c r="AU837" s="26"/>
      <c r="AV837" s="26"/>
      <c r="AW837" s="26"/>
      <c r="AX837" s="26"/>
      <c r="AY837" s="26"/>
      <c r="AZ837" s="26"/>
      <c r="BA837" s="26"/>
      <c r="BB837" s="26"/>
      <c r="BC837" s="26"/>
      <c r="BD837" s="26"/>
      <c r="BE837" s="26"/>
      <c r="BF837" s="26"/>
      <c r="BG837" s="26"/>
      <c r="BH837" s="26"/>
      <c r="BI837" s="26"/>
      <c r="BJ837" s="26"/>
      <c r="BK837" s="26"/>
    </row>
    <row r="838" ht="14.25" customHeight="1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  <c r="AA838" s="26"/>
      <c r="AB838" s="26"/>
      <c r="AC838" s="26"/>
      <c r="AD838" s="26"/>
      <c r="AE838" s="26"/>
      <c r="AF838" s="26"/>
      <c r="AG838" s="26"/>
      <c r="AH838" s="26"/>
      <c r="AI838" s="26"/>
      <c r="AJ838" s="26"/>
      <c r="AK838" s="26"/>
      <c r="AL838" s="26"/>
      <c r="AM838" s="26"/>
      <c r="AN838" s="26"/>
      <c r="AO838" s="26"/>
      <c r="AP838" s="26"/>
      <c r="AQ838" s="26"/>
      <c r="AR838" s="26"/>
      <c r="AS838" s="26"/>
      <c r="AT838" s="26"/>
      <c r="AU838" s="26"/>
      <c r="AV838" s="26"/>
      <c r="AW838" s="26"/>
      <c r="AX838" s="26"/>
      <c r="AY838" s="26"/>
      <c r="AZ838" s="26"/>
      <c r="BA838" s="26"/>
      <c r="BB838" s="26"/>
      <c r="BC838" s="26"/>
      <c r="BD838" s="26"/>
      <c r="BE838" s="26"/>
      <c r="BF838" s="26"/>
      <c r="BG838" s="26"/>
      <c r="BH838" s="26"/>
      <c r="BI838" s="26"/>
      <c r="BJ838" s="26"/>
      <c r="BK838" s="26"/>
    </row>
    <row r="839" ht="14.25" customHeight="1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  <c r="AA839" s="26"/>
      <c r="AB839" s="26"/>
      <c r="AC839" s="26"/>
      <c r="AD839" s="26"/>
      <c r="AE839" s="26"/>
      <c r="AF839" s="26"/>
      <c r="AG839" s="26"/>
      <c r="AH839" s="26"/>
      <c r="AI839" s="26"/>
      <c r="AJ839" s="26"/>
      <c r="AK839" s="26"/>
      <c r="AL839" s="26"/>
      <c r="AM839" s="26"/>
      <c r="AN839" s="26"/>
      <c r="AO839" s="26"/>
      <c r="AP839" s="26"/>
      <c r="AQ839" s="26"/>
      <c r="AR839" s="26"/>
      <c r="AS839" s="26"/>
      <c r="AT839" s="26"/>
      <c r="AU839" s="26"/>
      <c r="AV839" s="26"/>
      <c r="AW839" s="26"/>
      <c r="AX839" s="26"/>
      <c r="AY839" s="26"/>
      <c r="AZ839" s="26"/>
      <c r="BA839" s="26"/>
      <c r="BB839" s="26"/>
      <c r="BC839" s="26"/>
      <c r="BD839" s="26"/>
      <c r="BE839" s="26"/>
      <c r="BF839" s="26"/>
      <c r="BG839" s="26"/>
      <c r="BH839" s="26"/>
      <c r="BI839" s="26"/>
      <c r="BJ839" s="26"/>
      <c r="BK839" s="26"/>
    </row>
    <row r="840" ht="14.25" customHeight="1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  <c r="AA840" s="26"/>
      <c r="AB840" s="26"/>
      <c r="AC840" s="26"/>
      <c r="AD840" s="26"/>
      <c r="AE840" s="26"/>
      <c r="AF840" s="26"/>
      <c r="AG840" s="26"/>
      <c r="AH840" s="26"/>
      <c r="AI840" s="26"/>
      <c r="AJ840" s="26"/>
      <c r="AK840" s="26"/>
      <c r="AL840" s="26"/>
      <c r="AM840" s="26"/>
      <c r="AN840" s="26"/>
      <c r="AO840" s="26"/>
      <c r="AP840" s="26"/>
      <c r="AQ840" s="26"/>
      <c r="AR840" s="26"/>
      <c r="AS840" s="26"/>
      <c r="AT840" s="26"/>
      <c r="AU840" s="26"/>
      <c r="AV840" s="26"/>
      <c r="AW840" s="26"/>
      <c r="AX840" s="26"/>
      <c r="AY840" s="26"/>
      <c r="AZ840" s="26"/>
      <c r="BA840" s="26"/>
      <c r="BB840" s="26"/>
      <c r="BC840" s="26"/>
      <c r="BD840" s="26"/>
      <c r="BE840" s="26"/>
      <c r="BF840" s="26"/>
      <c r="BG840" s="26"/>
      <c r="BH840" s="26"/>
      <c r="BI840" s="26"/>
      <c r="BJ840" s="26"/>
      <c r="BK840" s="26"/>
    </row>
    <row r="841" ht="14.25" customHeight="1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  <c r="AA841" s="26"/>
      <c r="AB841" s="26"/>
      <c r="AC841" s="26"/>
      <c r="AD841" s="26"/>
      <c r="AE841" s="26"/>
      <c r="AF841" s="26"/>
      <c r="AG841" s="26"/>
      <c r="AH841" s="26"/>
      <c r="AI841" s="26"/>
      <c r="AJ841" s="26"/>
      <c r="AK841" s="26"/>
      <c r="AL841" s="26"/>
      <c r="AM841" s="26"/>
      <c r="AN841" s="26"/>
      <c r="AO841" s="26"/>
      <c r="AP841" s="26"/>
      <c r="AQ841" s="26"/>
      <c r="AR841" s="26"/>
      <c r="AS841" s="26"/>
      <c r="AT841" s="26"/>
      <c r="AU841" s="26"/>
      <c r="AV841" s="26"/>
      <c r="AW841" s="26"/>
      <c r="AX841" s="26"/>
      <c r="AY841" s="26"/>
      <c r="AZ841" s="26"/>
      <c r="BA841" s="26"/>
      <c r="BB841" s="26"/>
      <c r="BC841" s="26"/>
      <c r="BD841" s="26"/>
      <c r="BE841" s="26"/>
      <c r="BF841" s="26"/>
      <c r="BG841" s="26"/>
      <c r="BH841" s="26"/>
      <c r="BI841" s="26"/>
      <c r="BJ841" s="26"/>
      <c r="BK841" s="26"/>
    </row>
    <row r="842" ht="14.25" customHeight="1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  <c r="AA842" s="26"/>
      <c r="AB842" s="26"/>
      <c r="AC842" s="26"/>
      <c r="AD842" s="26"/>
      <c r="AE842" s="26"/>
      <c r="AF842" s="26"/>
      <c r="AG842" s="26"/>
      <c r="AH842" s="26"/>
      <c r="AI842" s="26"/>
      <c r="AJ842" s="26"/>
      <c r="AK842" s="26"/>
      <c r="AL842" s="26"/>
      <c r="AM842" s="26"/>
      <c r="AN842" s="26"/>
      <c r="AO842" s="26"/>
      <c r="AP842" s="26"/>
      <c r="AQ842" s="26"/>
      <c r="AR842" s="26"/>
      <c r="AS842" s="26"/>
      <c r="AT842" s="26"/>
      <c r="AU842" s="26"/>
      <c r="AV842" s="26"/>
      <c r="AW842" s="26"/>
      <c r="AX842" s="26"/>
      <c r="AY842" s="26"/>
      <c r="AZ842" s="26"/>
      <c r="BA842" s="26"/>
      <c r="BB842" s="26"/>
      <c r="BC842" s="26"/>
      <c r="BD842" s="26"/>
      <c r="BE842" s="26"/>
      <c r="BF842" s="26"/>
      <c r="BG842" s="26"/>
      <c r="BH842" s="26"/>
      <c r="BI842" s="26"/>
      <c r="BJ842" s="26"/>
      <c r="BK842" s="26"/>
    </row>
    <row r="843" ht="14.25" customHeight="1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  <c r="AA843" s="26"/>
      <c r="AB843" s="26"/>
      <c r="AC843" s="26"/>
      <c r="AD843" s="26"/>
      <c r="AE843" s="26"/>
      <c r="AF843" s="26"/>
      <c r="AG843" s="26"/>
      <c r="AH843" s="26"/>
      <c r="AI843" s="26"/>
      <c r="AJ843" s="26"/>
      <c r="AK843" s="26"/>
      <c r="AL843" s="26"/>
      <c r="AM843" s="26"/>
      <c r="AN843" s="26"/>
      <c r="AO843" s="26"/>
      <c r="AP843" s="26"/>
      <c r="AQ843" s="26"/>
      <c r="AR843" s="26"/>
      <c r="AS843" s="26"/>
      <c r="AT843" s="26"/>
      <c r="AU843" s="26"/>
      <c r="AV843" s="26"/>
      <c r="AW843" s="26"/>
      <c r="AX843" s="26"/>
      <c r="AY843" s="26"/>
      <c r="AZ843" s="26"/>
      <c r="BA843" s="26"/>
      <c r="BB843" s="26"/>
      <c r="BC843" s="26"/>
      <c r="BD843" s="26"/>
      <c r="BE843" s="26"/>
      <c r="BF843" s="26"/>
      <c r="BG843" s="26"/>
      <c r="BH843" s="26"/>
      <c r="BI843" s="26"/>
      <c r="BJ843" s="26"/>
      <c r="BK843" s="26"/>
    </row>
    <row r="844" ht="14.25" customHeight="1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  <c r="AA844" s="26"/>
      <c r="AB844" s="26"/>
      <c r="AC844" s="26"/>
      <c r="AD844" s="26"/>
      <c r="AE844" s="26"/>
      <c r="AF844" s="26"/>
      <c r="AG844" s="26"/>
      <c r="AH844" s="26"/>
      <c r="AI844" s="26"/>
      <c r="AJ844" s="26"/>
      <c r="AK844" s="26"/>
      <c r="AL844" s="26"/>
      <c r="AM844" s="26"/>
      <c r="AN844" s="26"/>
      <c r="AO844" s="26"/>
      <c r="AP844" s="26"/>
      <c r="AQ844" s="26"/>
      <c r="AR844" s="26"/>
      <c r="AS844" s="26"/>
      <c r="AT844" s="26"/>
      <c r="AU844" s="26"/>
      <c r="AV844" s="26"/>
      <c r="AW844" s="26"/>
      <c r="AX844" s="26"/>
      <c r="AY844" s="26"/>
      <c r="AZ844" s="26"/>
      <c r="BA844" s="26"/>
      <c r="BB844" s="26"/>
      <c r="BC844" s="26"/>
      <c r="BD844" s="26"/>
      <c r="BE844" s="26"/>
      <c r="BF844" s="26"/>
      <c r="BG844" s="26"/>
      <c r="BH844" s="26"/>
      <c r="BI844" s="26"/>
      <c r="BJ844" s="26"/>
      <c r="BK844" s="26"/>
    </row>
    <row r="845" ht="14.25" customHeight="1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  <c r="AA845" s="26"/>
      <c r="AB845" s="26"/>
      <c r="AC845" s="26"/>
      <c r="AD845" s="26"/>
      <c r="AE845" s="26"/>
      <c r="AF845" s="26"/>
      <c r="AG845" s="26"/>
      <c r="AH845" s="26"/>
      <c r="AI845" s="26"/>
      <c r="AJ845" s="26"/>
      <c r="AK845" s="26"/>
      <c r="AL845" s="26"/>
      <c r="AM845" s="26"/>
      <c r="AN845" s="26"/>
      <c r="AO845" s="26"/>
      <c r="AP845" s="26"/>
      <c r="AQ845" s="26"/>
      <c r="AR845" s="26"/>
      <c r="AS845" s="26"/>
      <c r="AT845" s="26"/>
      <c r="AU845" s="26"/>
      <c r="AV845" s="26"/>
      <c r="AW845" s="26"/>
      <c r="AX845" s="26"/>
      <c r="AY845" s="26"/>
      <c r="AZ845" s="26"/>
      <c r="BA845" s="26"/>
      <c r="BB845" s="26"/>
      <c r="BC845" s="26"/>
      <c r="BD845" s="26"/>
      <c r="BE845" s="26"/>
      <c r="BF845" s="26"/>
      <c r="BG845" s="26"/>
      <c r="BH845" s="26"/>
      <c r="BI845" s="26"/>
      <c r="BJ845" s="26"/>
      <c r="BK845" s="26"/>
    </row>
    <row r="846" ht="14.25" customHeight="1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  <c r="AA846" s="26"/>
      <c r="AB846" s="26"/>
      <c r="AC846" s="26"/>
      <c r="AD846" s="26"/>
      <c r="AE846" s="26"/>
      <c r="AF846" s="26"/>
      <c r="AG846" s="26"/>
      <c r="AH846" s="26"/>
      <c r="AI846" s="26"/>
      <c r="AJ846" s="26"/>
      <c r="AK846" s="26"/>
      <c r="AL846" s="26"/>
      <c r="AM846" s="26"/>
      <c r="AN846" s="26"/>
      <c r="AO846" s="26"/>
      <c r="AP846" s="26"/>
      <c r="AQ846" s="26"/>
      <c r="AR846" s="26"/>
      <c r="AS846" s="26"/>
      <c r="AT846" s="26"/>
      <c r="AU846" s="26"/>
      <c r="AV846" s="26"/>
      <c r="AW846" s="26"/>
      <c r="AX846" s="26"/>
      <c r="AY846" s="26"/>
      <c r="AZ846" s="26"/>
      <c r="BA846" s="26"/>
      <c r="BB846" s="26"/>
      <c r="BC846" s="26"/>
      <c r="BD846" s="26"/>
      <c r="BE846" s="26"/>
      <c r="BF846" s="26"/>
      <c r="BG846" s="26"/>
      <c r="BH846" s="26"/>
      <c r="BI846" s="26"/>
      <c r="BJ846" s="26"/>
      <c r="BK846" s="26"/>
    </row>
    <row r="847" ht="14.25" customHeight="1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  <c r="AA847" s="26"/>
      <c r="AB847" s="26"/>
      <c r="AC847" s="26"/>
      <c r="AD847" s="26"/>
      <c r="AE847" s="26"/>
      <c r="AF847" s="26"/>
      <c r="AG847" s="26"/>
      <c r="AH847" s="26"/>
      <c r="AI847" s="26"/>
      <c r="AJ847" s="26"/>
      <c r="AK847" s="26"/>
      <c r="AL847" s="26"/>
      <c r="AM847" s="26"/>
      <c r="AN847" s="26"/>
      <c r="AO847" s="26"/>
      <c r="AP847" s="26"/>
      <c r="AQ847" s="26"/>
      <c r="AR847" s="26"/>
      <c r="AS847" s="26"/>
      <c r="AT847" s="26"/>
      <c r="AU847" s="26"/>
      <c r="AV847" s="26"/>
      <c r="AW847" s="26"/>
      <c r="AX847" s="26"/>
      <c r="AY847" s="26"/>
      <c r="AZ847" s="26"/>
      <c r="BA847" s="26"/>
      <c r="BB847" s="26"/>
      <c r="BC847" s="26"/>
      <c r="BD847" s="26"/>
      <c r="BE847" s="26"/>
      <c r="BF847" s="26"/>
      <c r="BG847" s="26"/>
      <c r="BH847" s="26"/>
      <c r="BI847" s="26"/>
      <c r="BJ847" s="26"/>
      <c r="BK847" s="26"/>
    </row>
    <row r="848" ht="14.25" customHeight="1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  <c r="AA848" s="26"/>
      <c r="AB848" s="26"/>
      <c r="AC848" s="26"/>
      <c r="AD848" s="26"/>
      <c r="AE848" s="26"/>
      <c r="AF848" s="26"/>
      <c r="AG848" s="26"/>
      <c r="AH848" s="26"/>
      <c r="AI848" s="26"/>
      <c r="AJ848" s="26"/>
      <c r="AK848" s="26"/>
      <c r="AL848" s="26"/>
      <c r="AM848" s="26"/>
      <c r="AN848" s="26"/>
      <c r="AO848" s="26"/>
      <c r="AP848" s="26"/>
      <c r="AQ848" s="26"/>
      <c r="AR848" s="26"/>
      <c r="AS848" s="26"/>
      <c r="AT848" s="26"/>
      <c r="AU848" s="26"/>
      <c r="AV848" s="26"/>
      <c r="AW848" s="26"/>
      <c r="AX848" s="26"/>
      <c r="AY848" s="26"/>
      <c r="AZ848" s="26"/>
      <c r="BA848" s="26"/>
      <c r="BB848" s="26"/>
      <c r="BC848" s="26"/>
      <c r="BD848" s="26"/>
      <c r="BE848" s="26"/>
      <c r="BF848" s="26"/>
      <c r="BG848" s="26"/>
      <c r="BH848" s="26"/>
      <c r="BI848" s="26"/>
      <c r="BJ848" s="26"/>
      <c r="BK848" s="26"/>
    </row>
    <row r="849" ht="14.25" customHeight="1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  <c r="AA849" s="26"/>
      <c r="AB849" s="26"/>
      <c r="AC849" s="26"/>
      <c r="AD849" s="26"/>
      <c r="AE849" s="26"/>
      <c r="AF849" s="26"/>
      <c r="AG849" s="26"/>
      <c r="AH849" s="26"/>
      <c r="AI849" s="26"/>
      <c r="AJ849" s="26"/>
      <c r="AK849" s="26"/>
      <c r="AL849" s="26"/>
      <c r="AM849" s="26"/>
      <c r="AN849" s="26"/>
      <c r="AO849" s="26"/>
      <c r="AP849" s="26"/>
      <c r="AQ849" s="26"/>
      <c r="AR849" s="26"/>
      <c r="AS849" s="26"/>
      <c r="AT849" s="26"/>
      <c r="AU849" s="26"/>
      <c r="AV849" s="26"/>
      <c r="AW849" s="26"/>
      <c r="AX849" s="26"/>
      <c r="AY849" s="26"/>
      <c r="AZ849" s="26"/>
      <c r="BA849" s="26"/>
      <c r="BB849" s="26"/>
      <c r="BC849" s="26"/>
      <c r="BD849" s="26"/>
      <c r="BE849" s="26"/>
      <c r="BF849" s="26"/>
      <c r="BG849" s="26"/>
      <c r="BH849" s="26"/>
      <c r="BI849" s="26"/>
      <c r="BJ849" s="26"/>
      <c r="BK849" s="26"/>
    </row>
    <row r="850" ht="14.25" customHeight="1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  <c r="AA850" s="26"/>
      <c r="AB850" s="26"/>
      <c r="AC850" s="26"/>
      <c r="AD850" s="26"/>
      <c r="AE850" s="26"/>
      <c r="AF850" s="26"/>
      <c r="AG850" s="26"/>
      <c r="AH850" s="26"/>
      <c r="AI850" s="26"/>
      <c r="AJ850" s="26"/>
      <c r="AK850" s="26"/>
      <c r="AL850" s="26"/>
      <c r="AM850" s="26"/>
      <c r="AN850" s="26"/>
      <c r="AO850" s="26"/>
      <c r="AP850" s="26"/>
      <c r="AQ850" s="26"/>
      <c r="AR850" s="26"/>
      <c r="AS850" s="26"/>
      <c r="AT850" s="26"/>
      <c r="AU850" s="26"/>
      <c r="AV850" s="26"/>
      <c r="AW850" s="26"/>
      <c r="AX850" s="26"/>
      <c r="AY850" s="26"/>
      <c r="AZ850" s="26"/>
      <c r="BA850" s="26"/>
      <c r="BB850" s="26"/>
      <c r="BC850" s="26"/>
      <c r="BD850" s="26"/>
      <c r="BE850" s="26"/>
      <c r="BF850" s="26"/>
      <c r="BG850" s="26"/>
      <c r="BH850" s="26"/>
      <c r="BI850" s="26"/>
      <c r="BJ850" s="26"/>
      <c r="BK850" s="26"/>
    </row>
    <row r="851" ht="14.25" customHeight="1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  <c r="AA851" s="26"/>
      <c r="AB851" s="26"/>
      <c r="AC851" s="26"/>
      <c r="AD851" s="26"/>
      <c r="AE851" s="26"/>
      <c r="AF851" s="26"/>
      <c r="AG851" s="26"/>
      <c r="AH851" s="26"/>
      <c r="AI851" s="26"/>
      <c r="AJ851" s="26"/>
      <c r="AK851" s="26"/>
      <c r="AL851" s="26"/>
      <c r="AM851" s="26"/>
      <c r="AN851" s="26"/>
      <c r="AO851" s="26"/>
      <c r="AP851" s="26"/>
      <c r="AQ851" s="26"/>
      <c r="AR851" s="26"/>
      <c r="AS851" s="26"/>
      <c r="AT851" s="26"/>
      <c r="AU851" s="26"/>
      <c r="AV851" s="26"/>
      <c r="AW851" s="26"/>
      <c r="AX851" s="26"/>
      <c r="AY851" s="26"/>
      <c r="AZ851" s="26"/>
      <c r="BA851" s="26"/>
      <c r="BB851" s="26"/>
      <c r="BC851" s="26"/>
      <c r="BD851" s="26"/>
      <c r="BE851" s="26"/>
      <c r="BF851" s="26"/>
      <c r="BG851" s="26"/>
      <c r="BH851" s="26"/>
      <c r="BI851" s="26"/>
      <c r="BJ851" s="26"/>
      <c r="BK851" s="26"/>
    </row>
    <row r="852" ht="14.25" customHeight="1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  <c r="AA852" s="26"/>
      <c r="AB852" s="26"/>
      <c r="AC852" s="26"/>
      <c r="AD852" s="26"/>
      <c r="AE852" s="26"/>
      <c r="AF852" s="26"/>
      <c r="AG852" s="26"/>
      <c r="AH852" s="26"/>
      <c r="AI852" s="26"/>
      <c r="AJ852" s="26"/>
      <c r="AK852" s="26"/>
      <c r="AL852" s="26"/>
      <c r="AM852" s="26"/>
      <c r="AN852" s="26"/>
      <c r="AO852" s="26"/>
      <c r="AP852" s="26"/>
      <c r="AQ852" s="26"/>
      <c r="AR852" s="26"/>
      <c r="AS852" s="26"/>
      <c r="AT852" s="26"/>
      <c r="AU852" s="26"/>
      <c r="AV852" s="26"/>
      <c r="AW852" s="26"/>
      <c r="AX852" s="26"/>
      <c r="AY852" s="26"/>
      <c r="AZ852" s="26"/>
      <c r="BA852" s="26"/>
      <c r="BB852" s="26"/>
      <c r="BC852" s="26"/>
      <c r="BD852" s="26"/>
      <c r="BE852" s="26"/>
      <c r="BF852" s="26"/>
      <c r="BG852" s="26"/>
      <c r="BH852" s="26"/>
      <c r="BI852" s="26"/>
      <c r="BJ852" s="26"/>
      <c r="BK852" s="26"/>
    </row>
    <row r="853" ht="14.25" customHeight="1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  <c r="AA853" s="26"/>
      <c r="AB853" s="26"/>
      <c r="AC853" s="26"/>
      <c r="AD853" s="26"/>
      <c r="AE853" s="26"/>
      <c r="AF853" s="26"/>
      <c r="AG853" s="26"/>
      <c r="AH853" s="26"/>
      <c r="AI853" s="26"/>
      <c r="AJ853" s="26"/>
      <c r="AK853" s="26"/>
      <c r="AL853" s="26"/>
      <c r="AM853" s="26"/>
      <c r="AN853" s="26"/>
      <c r="AO853" s="26"/>
      <c r="AP853" s="26"/>
      <c r="AQ853" s="26"/>
      <c r="AR853" s="26"/>
      <c r="AS853" s="26"/>
      <c r="AT853" s="26"/>
      <c r="AU853" s="26"/>
      <c r="AV853" s="26"/>
      <c r="AW853" s="26"/>
      <c r="AX853" s="26"/>
      <c r="AY853" s="26"/>
      <c r="AZ853" s="26"/>
      <c r="BA853" s="26"/>
      <c r="BB853" s="26"/>
      <c r="BC853" s="26"/>
      <c r="BD853" s="26"/>
      <c r="BE853" s="26"/>
      <c r="BF853" s="26"/>
      <c r="BG853" s="26"/>
      <c r="BH853" s="26"/>
      <c r="BI853" s="26"/>
      <c r="BJ853" s="26"/>
      <c r="BK853" s="26"/>
    </row>
    <row r="854" ht="14.25" customHeight="1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  <c r="AA854" s="26"/>
      <c r="AB854" s="26"/>
      <c r="AC854" s="26"/>
      <c r="AD854" s="26"/>
      <c r="AE854" s="26"/>
      <c r="AF854" s="26"/>
      <c r="AG854" s="26"/>
      <c r="AH854" s="26"/>
      <c r="AI854" s="26"/>
      <c r="AJ854" s="26"/>
      <c r="AK854" s="26"/>
      <c r="AL854" s="26"/>
      <c r="AM854" s="26"/>
      <c r="AN854" s="26"/>
      <c r="AO854" s="26"/>
      <c r="AP854" s="26"/>
      <c r="AQ854" s="26"/>
      <c r="AR854" s="26"/>
      <c r="AS854" s="26"/>
      <c r="AT854" s="26"/>
      <c r="AU854" s="26"/>
      <c r="AV854" s="26"/>
      <c r="AW854" s="26"/>
      <c r="AX854" s="26"/>
      <c r="AY854" s="26"/>
      <c r="AZ854" s="26"/>
      <c r="BA854" s="26"/>
      <c r="BB854" s="26"/>
      <c r="BC854" s="26"/>
      <c r="BD854" s="26"/>
      <c r="BE854" s="26"/>
      <c r="BF854" s="26"/>
      <c r="BG854" s="26"/>
      <c r="BH854" s="26"/>
      <c r="BI854" s="26"/>
      <c r="BJ854" s="26"/>
      <c r="BK854" s="26"/>
    </row>
    <row r="855" ht="14.25" customHeight="1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  <c r="AA855" s="26"/>
      <c r="AB855" s="26"/>
      <c r="AC855" s="26"/>
      <c r="AD855" s="26"/>
      <c r="AE855" s="26"/>
      <c r="AF855" s="26"/>
      <c r="AG855" s="26"/>
      <c r="AH855" s="26"/>
      <c r="AI855" s="26"/>
      <c r="AJ855" s="26"/>
      <c r="AK855" s="26"/>
      <c r="AL855" s="26"/>
      <c r="AM855" s="26"/>
      <c r="AN855" s="26"/>
      <c r="AO855" s="26"/>
      <c r="AP855" s="26"/>
      <c r="AQ855" s="26"/>
      <c r="AR855" s="26"/>
      <c r="AS855" s="26"/>
      <c r="AT855" s="26"/>
      <c r="AU855" s="26"/>
      <c r="AV855" s="26"/>
      <c r="AW855" s="26"/>
      <c r="AX855" s="26"/>
      <c r="AY855" s="26"/>
      <c r="AZ855" s="26"/>
      <c r="BA855" s="26"/>
      <c r="BB855" s="26"/>
      <c r="BC855" s="26"/>
      <c r="BD855" s="26"/>
      <c r="BE855" s="26"/>
      <c r="BF855" s="26"/>
      <c r="BG855" s="26"/>
      <c r="BH855" s="26"/>
      <c r="BI855" s="26"/>
      <c r="BJ855" s="26"/>
      <c r="BK855" s="26"/>
    </row>
    <row r="856" ht="14.25" customHeight="1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  <c r="AA856" s="26"/>
      <c r="AB856" s="26"/>
      <c r="AC856" s="26"/>
      <c r="AD856" s="26"/>
      <c r="AE856" s="26"/>
      <c r="AF856" s="26"/>
      <c r="AG856" s="26"/>
      <c r="AH856" s="26"/>
      <c r="AI856" s="26"/>
      <c r="AJ856" s="26"/>
      <c r="AK856" s="26"/>
      <c r="AL856" s="26"/>
      <c r="AM856" s="26"/>
      <c r="AN856" s="26"/>
      <c r="AO856" s="26"/>
      <c r="AP856" s="26"/>
      <c r="AQ856" s="26"/>
      <c r="AR856" s="26"/>
      <c r="AS856" s="26"/>
      <c r="AT856" s="26"/>
      <c r="AU856" s="26"/>
      <c r="AV856" s="26"/>
      <c r="AW856" s="26"/>
      <c r="AX856" s="26"/>
      <c r="AY856" s="26"/>
      <c r="AZ856" s="26"/>
      <c r="BA856" s="26"/>
      <c r="BB856" s="26"/>
      <c r="BC856" s="26"/>
      <c r="BD856" s="26"/>
      <c r="BE856" s="26"/>
      <c r="BF856" s="26"/>
      <c r="BG856" s="26"/>
      <c r="BH856" s="26"/>
      <c r="BI856" s="26"/>
      <c r="BJ856" s="26"/>
      <c r="BK856" s="26"/>
    </row>
    <row r="857" ht="14.25" customHeight="1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  <c r="AA857" s="26"/>
      <c r="AB857" s="26"/>
      <c r="AC857" s="26"/>
      <c r="AD857" s="26"/>
      <c r="AE857" s="26"/>
      <c r="AF857" s="26"/>
      <c r="AG857" s="26"/>
      <c r="AH857" s="26"/>
      <c r="AI857" s="26"/>
      <c r="AJ857" s="26"/>
      <c r="AK857" s="26"/>
      <c r="AL857" s="26"/>
      <c r="AM857" s="26"/>
      <c r="AN857" s="26"/>
      <c r="AO857" s="26"/>
      <c r="AP857" s="26"/>
      <c r="AQ857" s="26"/>
      <c r="AR857" s="26"/>
      <c r="AS857" s="26"/>
      <c r="AT857" s="26"/>
      <c r="AU857" s="26"/>
      <c r="AV857" s="26"/>
      <c r="AW857" s="26"/>
      <c r="AX857" s="26"/>
      <c r="AY857" s="26"/>
      <c r="AZ857" s="26"/>
      <c r="BA857" s="26"/>
      <c r="BB857" s="26"/>
      <c r="BC857" s="26"/>
      <c r="BD857" s="26"/>
      <c r="BE857" s="26"/>
      <c r="BF857" s="26"/>
      <c r="BG857" s="26"/>
      <c r="BH857" s="26"/>
      <c r="BI857" s="26"/>
      <c r="BJ857" s="26"/>
      <c r="BK857" s="26"/>
    </row>
    <row r="858" ht="14.25" customHeight="1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  <c r="AA858" s="26"/>
      <c r="AB858" s="26"/>
      <c r="AC858" s="26"/>
      <c r="AD858" s="26"/>
      <c r="AE858" s="26"/>
      <c r="AF858" s="26"/>
      <c r="AG858" s="26"/>
      <c r="AH858" s="26"/>
      <c r="AI858" s="26"/>
      <c r="AJ858" s="26"/>
      <c r="AK858" s="26"/>
      <c r="AL858" s="26"/>
      <c r="AM858" s="26"/>
      <c r="AN858" s="26"/>
      <c r="AO858" s="26"/>
      <c r="AP858" s="26"/>
      <c r="AQ858" s="26"/>
      <c r="AR858" s="26"/>
      <c r="AS858" s="26"/>
      <c r="AT858" s="26"/>
      <c r="AU858" s="26"/>
      <c r="AV858" s="26"/>
      <c r="AW858" s="26"/>
      <c r="AX858" s="26"/>
      <c r="AY858" s="26"/>
      <c r="AZ858" s="26"/>
      <c r="BA858" s="26"/>
      <c r="BB858" s="26"/>
      <c r="BC858" s="26"/>
      <c r="BD858" s="26"/>
      <c r="BE858" s="26"/>
      <c r="BF858" s="26"/>
      <c r="BG858" s="26"/>
      <c r="BH858" s="26"/>
      <c r="BI858" s="26"/>
      <c r="BJ858" s="26"/>
      <c r="BK858" s="26"/>
    </row>
    <row r="859" ht="14.25" customHeight="1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  <c r="AA859" s="26"/>
      <c r="AB859" s="26"/>
      <c r="AC859" s="26"/>
      <c r="AD859" s="26"/>
      <c r="AE859" s="26"/>
      <c r="AF859" s="26"/>
      <c r="AG859" s="26"/>
      <c r="AH859" s="26"/>
      <c r="AI859" s="26"/>
      <c r="AJ859" s="26"/>
      <c r="AK859" s="26"/>
      <c r="AL859" s="26"/>
      <c r="AM859" s="26"/>
      <c r="AN859" s="26"/>
      <c r="AO859" s="26"/>
      <c r="AP859" s="26"/>
      <c r="AQ859" s="26"/>
      <c r="AR859" s="26"/>
      <c r="AS859" s="26"/>
      <c r="AT859" s="26"/>
      <c r="AU859" s="26"/>
      <c r="AV859" s="26"/>
      <c r="AW859" s="26"/>
      <c r="AX859" s="26"/>
      <c r="AY859" s="26"/>
      <c r="AZ859" s="26"/>
      <c r="BA859" s="26"/>
      <c r="BB859" s="26"/>
      <c r="BC859" s="26"/>
      <c r="BD859" s="26"/>
      <c r="BE859" s="26"/>
      <c r="BF859" s="26"/>
      <c r="BG859" s="26"/>
      <c r="BH859" s="26"/>
      <c r="BI859" s="26"/>
      <c r="BJ859" s="26"/>
      <c r="BK859" s="26"/>
    </row>
    <row r="860" ht="14.25" customHeight="1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  <c r="AA860" s="26"/>
      <c r="AB860" s="26"/>
      <c r="AC860" s="26"/>
      <c r="AD860" s="26"/>
      <c r="AE860" s="26"/>
      <c r="AF860" s="26"/>
      <c r="AG860" s="26"/>
      <c r="AH860" s="26"/>
      <c r="AI860" s="26"/>
      <c r="AJ860" s="26"/>
      <c r="AK860" s="26"/>
      <c r="AL860" s="26"/>
      <c r="AM860" s="26"/>
      <c r="AN860" s="26"/>
      <c r="AO860" s="26"/>
      <c r="AP860" s="26"/>
      <c r="AQ860" s="26"/>
      <c r="AR860" s="26"/>
      <c r="AS860" s="26"/>
      <c r="AT860" s="26"/>
      <c r="AU860" s="26"/>
      <c r="AV860" s="26"/>
      <c r="AW860" s="26"/>
      <c r="AX860" s="26"/>
      <c r="AY860" s="26"/>
      <c r="AZ860" s="26"/>
      <c r="BA860" s="26"/>
      <c r="BB860" s="26"/>
      <c r="BC860" s="26"/>
      <c r="BD860" s="26"/>
      <c r="BE860" s="26"/>
      <c r="BF860" s="26"/>
      <c r="BG860" s="26"/>
      <c r="BH860" s="26"/>
      <c r="BI860" s="26"/>
      <c r="BJ860" s="26"/>
      <c r="BK860" s="26"/>
    </row>
    <row r="861" ht="14.25" customHeight="1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  <c r="AA861" s="26"/>
      <c r="AB861" s="26"/>
      <c r="AC861" s="26"/>
      <c r="AD861" s="26"/>
      <c r="AE861" s="26"/>
      <c r="AF861" s="26"/>
      <c r="AG861" s="26"/>
      <c r="AH861" s="26"/>
      <c r="AI861" s="26"/>
      <c r="AJ861" s="26"/>
      <c r="AK861" s="26"/>
      <c r="AL861" s="26"/>
      <c r="AM861" s="26"/>
      <c r="AN861" s="26"/>
      <c r="AO861" s="26"/>
      <c r="AP861" s="26"/>
      <c r="AQ861" s="26"/>
      <c r="AR861" s="26"/>
      <c r="AS861" s="26"/>
      <c r="AT861" s="26"/>
      <c r="AU861" s="26"/>
      <c r="AV861" s="26"/>
      <c r="AW861" s="26"/>
      <c r="AX861" s="26"/>
      <c r="AY861" s="26"/>
      <c r="AZ861" s="26"/>
      <c r="BA861" s="26"/>
      <c r="BB861" s="26"/>
      <c r="BC861" s="26"/>
      <c r="BD861" s="26"/>
      <c r="BE861" s="26"/>
      <c r="BF861" s="26"/>
      <c r="BG861" s="26"/>
      <c r="BH861" s="26"/>
      <c r="BI861" s="26"/>
      <c r="BJ861" s="26"/>
      <c r="BK861" s="26"/>
    </row>
    <row r="862" ht="14.25" customHeight="1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  <c r="AA862" s="26"/>
      <c r="AB862" s="26"/>
      <c r="AC862" s="26"/>
      <c r="AD862" s="26"/>
      <c r="AE862" s="26"/>
      <c r="AF862" s="26"/>
      <c r="AG862" s="26"/>
      <c r="AH862" s="26"/>
      <c r="AI862" s="26"/>
      <c r="AJ862" s="26"/>
      <c r="AK862" s="26"/>
      <c r="AL862" s="26"/>
      <c r="AM862" s="26"/>
      <c r="AN862" s="26"/>
      <c r="AO862" s="26"/>
      <c r="AP862" s="26"/>
      <c r="AQ862" s="26"/>
      <c r="AR862" s="26"/>
      <c r="AS862" s="26"/>
      <c r="AT862" s="26"/>
      <c r="AU862" s="26"/>
      <c r="AV862" s="26"/>
      <c r="AW862" s="26"/>
      <c r="AX862" s="26"/>
      <c r="AY862" s="26"/>
      <c r="AZ862" s="26"/>
      <c r="BA862" s="26"/>
      <c r="BB862" s="26"/>
      <c r="BC862" s="26"/>
      <c r="BD862" s="26"/>
      <c r="BE862" s="26"/>
      <c r="BF862" s="26"/>
      <c r="BG862" s="26"/>
      <c r="BH862" s="26"/>
      <c r="BI862" s="26"/>
      <c r="BJ862" s="26"/>
      <c r="BK862" s="26"/>
    </row>
    <row r="863" ht="14.25" customHeight="1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  <c r="AA863" s="26"/>
      <c r="AB863" s="26"/>
      <c r="AC863" s="26"/>
      <c r="AD863" s="26"/>
      <c r="AE863" s="26"/>
      <c r="AF863" s="26"/>
      <c r="AG863" s="26"/>
      <c r="AH863" s="26"/>
      <c r="AI863" s="26"/>
      <c r="AJ863" s="26"/>
      <c r="AK863" s="26"/>
      <c r="AL863" s="26"/>
      <c r="AM863" s="26"/>
      <c r="AN863" s="26"/>
      <c r="AO863" s="26"/>
      <c r="AP863" s="26"/>
      <c r="AQ863" s="26"/>
      <c r="AR863" s="26"/>
      <c r="AS863" s="26"/>
      <c r="AT863" s="26"/>
      <c r="AU863" s="26"/>
      <c r="AV863" s="26"/>
      <c r="AW863" s="26"/>
      <c r="AX863" s="26"/>
      <c r="AY863" s="26"/>
      <c r="AZ863" s="26"/>
      <c r="BA863" s="26"/>
      <c r="BB863" s="26"/>
      <c r="BC863" s="26"/>
      <c r="BD863" s="26"/>
      <c r="BE863" s="26"/>
      <c r="BF863" s="26"/>
      <c r="BG863" s="26"/>
      <c r="BH863" s="26"/>
      <c r="BI863" s="26"/>
      <c r="BJ863" s="26"/>
      <c r="BK863" s="26"/>
    </row>
    <row r="864" ht="14.25" customHeight="1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  <c r="AA864" s="26"/>
      <c r="AB864" s="26"/>
      <c r="AC864" s="26"/>
      <c r="AD864" s="26"/>
      <c r="AE864" s="26"/>
      <c r="AF864" s="26"/>
      <c r="AG864" s="26"/>
      <c r="AH864" s="26"/>
      <c r="AI864" s="26"/>
      <c r="AJ864" s="26"/>
      <c r="AK864" s="26"/>
      <c r="AL864" s="26"/>
      <c r="AM864" s="26"/>
      <c r="AN864" s="26"/>
      <c r="AO864" s="26"/>
      <c r="AP864" s="26"/>
      <c r="AQ864" s="26"/>
      <c r="AR864" s="26"/>
      <c r="AS864" s="26"/>
      <c r="AT864" s="26"/>
      <c r="AU864" s="26"/>
      <c r="AV864" s="26"/>
      <c r="AW864" s="26"/>
      <c r="AX864" s="26"/>
      <c r="AY864" s="26"/>
      <c r="AZ864" s="26"/>
      <c r="BA864" s="26"/>
      <c r="BB864" s="26"/>
      <c r="BC864" s="26"/>
      <c r="BD864" s="26"/>
      <c r="BE864" s="26"/>
      <c r="BF864" s="26"/>
      <c r="BG864" s="26"/>
      <c r="BH864" s="26"/>
      <c r="BI864" s="26"/>
      <c r="BJ864" s="26"/>
      <c r="BK864" s="26"/>
    </row>
    <row r="865" ht="14.25" customHeight="1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  <c r="AA865" s="26"/>
      <c r="AB865" s="26"/>
      <c r="AC865" s="26"/>
      <c r="AD865" s="26"/>
      <c r="AE865" s="26"/>
      <c r="AF865" s="26"/>
      <c r="AG865" s="26"/>
      <c r="AH865" s="26"/>
      <c r="AI865" s="26"/>
      <c r="AJ865" s="26"/>
      <c r="AK865" s="26"/>
      <c r="AL865" s="26"/>
      <c r="AM865" s="26"/>
      <c r="AN865" s="26"/>
      <c r="AO865" s="26"/>
      <c r="AP865" s="26"/>
      <c r="AQ865" s="26"/>
      <c r="AR865" s="26"/>
      <c r="AS865" s="26"/>
      <c r="AT865" s="26"/>
      <c r="AU865" s="26"/>
      <c r="AV865" s="26"/>
      <c r="AW865" s="26"/>
      <c r="AX865" s="26"/>
      <c r="AY865" s="26"/>
      <c r="AZ865" s="26"/>
      <c r="BA865" s="26"/>
      <c r="BB865" s="26"/>
      <c r="BC865" s="26"/>
      <c r="BD865" s="26"/>
      <c r="BE865" s="26"/>
      <c r="BF865" s="26"/>
      <c r="BG865" s="26"/>
      <c r="BH865" s="26"/>
      <c r="BI865" s="26"/>
      <c r="BJ865" s="26"/>
      <c r="BK865" s="26"/>
    </row>
    <row r="866" ht="14.25" customHeight="1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  <c r="AA866" s="26"/>
      <c r="AB866" s="26"/>
      <c r="AC866" s="26"/>
      <c r="AD866" s="26"/>
      <c r="AE866" s="26"/>
      <c r="AF866" s="26"/>
      <c r="AG866" s="26"/>
      <c r="AH866" s="26"/>
      <c r="AI866" s="26"/>
      <c r="AJ866" s="26"/>
      <c r="AK866" s="26"/>
      <c r="AL866" s="26"/>
      <c r="AM866" s="26"/>
      <c r="AN866" s="26"/>
      <c r="AO866" s="26"/>
      <c r="AP866" s="26"/>
      <c r="AQ866" s="26"/>
      <c r="AR866" s="26"/>
      <c r="AS866" s="26"/>
      <c r="AT866" s="26"/>
      <c r="AU866" s="26"/>
      <c r="AV866" s="26"/>
      <c r="AW866" s="26"/>
      <c r="AX866" s="26"/>
      <c r="AY866" s="26"/>
      <c r="AZ866" s="26"/>
      <c r="BA866" s="26"/>
      <c r="BB866" s="26"/>
      <c r="BC866" s="26"/>
      <c r="BD866" s="26"/>
      <c r="BE866" s="26"/>
      <c r="BF866" s="26"/>
      <c r="BG866" s="26"/>
      <c r="BH866" s="26"/>
      <c r="BI866" s="26"/>
      <c r="BJ866" s="26"/>
      <c r="BK866" s="26"/>
    </row>
    <row r="867" ht="14.25" customHeight="1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  <c r="AA867" s="26"/>
      <c r="AB867" s="26"/>
      <c r="AC867" s="26"/>
      <c r="AD867" s="26"/>
      <c r="AE867" s="26"/>
      <c r="AF867" s="26"/>
      <c r="AG867" s="26"/>
      <c r="AH867" s="26"/>
      <c r="AI867" s="26"/>
      <c r="AJ867" s="26"/>
      <c r="AK867" s="26"/>
      <c r="AL867" s="26"/>
      <c r="AM867" s="26"/>
      <c r="AN867" s="26"/>
      <c r="AO867" s="26"/>
      <c r="AP867" s="26"/>
      <c r="AQ867" s="26"/>
      <c r="AR867" s="26"/>
      <c r="AS867" s="26"/>
      <c r="AT867" s="26"/>
      <c r="AU867" s="26"/>
      <c r="AV867" s="26"/>
      <c r="AW867" s="26"/>
      <c r="AX867" s="26"/>
      <c r="AY867" s="26"/>
      <c r="AZ867" s="26"/>
      <c r="BA867" s="26"/>
      <c r="BB867" s="26"/>
      <c r="BC867" s="26"/>
      <c r="BD867" s="26"/>
      <c r="BE867" s="26"/>
      <c r="BF867" s="26"/>
      <c r="BG867" s="26"/>
      <c r="BH867" s="26"/>
      <c r="BI867" s="26"/>
      <c r="BJ867" s="26"/>
      <c r="BK867" s="26"/>
    </row>
    <row r="868" ht="14.25" customHeight="1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  <c r="AA868" s="26"/>
      <c r="AB868" s="26"/>
      <c r="AC868" s="26"/>
      <c r="AD868" s="26"/>
      <c r="AE868" s="26"/>
      <c r="AF868" s="26"/>
      <c r="AG868" s="26"/>
      <c r="AH868" s="26"/>
      <c r="AI868" s="26"/>
      <c r="AJ868" s="26"/>
      <c r="AK868" s="26"/>
      <c r="AL868" s="26"/>
      <c r="AM868" s="26"/>
      <c r="AN868" s="26"/>
      <c r="AO868" s="26"/>
      <c r="AP868" s="26"/>
      <c r="AQ868" s="26"/>
      <c r="AR868" s="26"/>
      <c r="AS868" s="26"/>
      <c r="AT868" s="26"/>
      <c r="AU868" s="26"/>
      <c r="AV868" s="26"/>
      <c r="AW868" s="26"/>
      <c r="AX868" s="26"/>
      <c r="AY868" s="26"/>
      <c r="AZ868" s="26"/>
      <c r="BA868" s="26"/>
      <c r="BB868" s="26"/>
      <c r="BC868" s="26"/>
      <c r="BD868" s="26"/>
      <c r="BE868" s="26"/>
      <c r="BF868" s="26"/>
      <c r="BG868" s="26"/>
      <c r="BH868" s="26"/>
      <c r="BI868" s="26"/>
      <c r="BJ868" s="26"/>
      <c r="BK868" s="26"/>
    </row>
    <row r="869" ht="14.25" customHeight="1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  <c r="AA869" s="26"/>
      <c r="AB869" s="26"/>
      <c r="AC869" s="26"/>
      <c r="AD869" s="26"/>
      <c r="AE869" s="26"/>
      <c r="AF869" s="26"/>
      <c r="AG869" s="26"/>
      <c r="AH869" s="26"/>
      <c r="AI869" s="26"/>
      <c r="AJ869" s="26"/>
      <c r="AK869" s="26"/>
      <c r="AL869" s="26"/>
      <c r="AM869" s="26"/>
      <c r="AN869" s="26"/>
      <c r="AO869" s="26"/>
      <c r="AP869" s="26"/>
      <c r="AQ869" s="26"/>
      <c r="AR869" s="26"/>
      <c r="AS869" s="26"/>
      <c r="AT869" s="26"/>
      <c r="AU869" s="26"/>
      <c r="AV869" s="26"/>
      <c r="AW869" s="26"/>
      <c r="AX869" s="26"/>
      <c r="AY869" s="26"/>
      <c r="AZ869" s="26"/>
      <c r="BA869" s="26"/>
      <c r="BB869" s="26"/>
      <c r="BC869" s="26"/>
      <c r="BD869" s="26"/>
      <c r="BE869" s="26"/>
      <c r="BF869" s="26"/>
      <c r="BG869" s="26"/>
      <c r="BH869" s="26"/>
      <c r="BI869" s="26"/>
      <c r="BJ869" s="26"/>
      <c r="BK869" s="26"/>
    </row>
    <row r="870" ht="14.25" customHeight="1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  <c r="AA870" s="26"/>
      <c r="AB870" s="26"/>
      <c r="AC870" s="26"/>
      <c r="AD870" s="26"/>
      <c r="AE870" s="26"/>
      <c r="AF870" s="26"/>
      <c r="AG870" s="26"/>
      <c r="AH870" s="26"/>
      <c r="AI870" s="26"/>
      <c r="AJ870" s="26"/>
      <c r="AK870" s="26"/>
      <c r="AL870" s="26"/>
      <c r="AM870" s="26"/>
      <c r="AN870" s="26"/>
      <c r="AO870" s="26"/>
      <c r="AP870" s="26"/>
      <c r="AQ870" s="26"/>
      <c r="AR870" s="26"/>
      <c r="AS870" s="26"/>
      <c r="AT870" s="26"/>
      <c r="AU870" s="26"/>
      <c r="AV870" s="26"/>
      <c r="AW870" s="26"/>
      <c r="AX870" s="26"/>
      <c r="AY870" s="26"/>
      <c r="AZ870" s="26"/>
      <c r="BA870" s="26"/>
      <c r="BB870" s="26"/>
      <c r="BC870" s="26"/>
      <c r="BD870" s="26"/>
      <c r="BE870" s="26"/>
      <c r="BF870" s="26"/>
      <c r="BG870" s="26"/>
      <c r="BH870" s="26"/>
      <c r="BI870" s="26"/>
      <c r="BJ870" s="26"/>
      <c r="BK870" s="26"/>
    </row>
    <row r="871" ht="14.25" customHeight="1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  <c r="AA871" s="26"/>
      <c r="AB871" s="26"/>
      <c r="AC871" s="26"/>
      <c r="AD871" s="26"/>
      <c r="AE871" s="26"/>
      <c r="AF871" s="26"/>
      <c r="AG871" s="26"/>
      <c r="AH871" s="26"/>
      <c r="AI871" s="26"/>
      <c r="AJ871" s="26"/>
      <c r="AK871" s="26"/>
      <c r="AL871" s="26"/>
      <c r="AM871" s="26"/>
      <c r="AN871" s="26"/>
      <c r="AO871" s="26"/>
      <c r="AP871" s="26"/>
      <c r="AQ871" s="26"/>
      <c r="AR871" s="26"/>
      <c r="AS871" s="26"/>
      <c r="AT871" s="26"/>
      <c r="AU871" s="26"/>
      <c r="AV871" s="26"/>
      <c r="AW871" s="26"/>
      <c r="AX871" s="26"/>
      <c r="AY871" s="26"/>
      <c r="AZ871" s="26"/>
      <c r="BA871" s="26"/>
      <c r="BB871" s="26"/>
      <c r="BC871" s="26"/>
      <c r="BD871" s="26"/>
      <c r="BE871" s="26"/>
      <c r="BF871" s="26"/>
      <c r="BG871" s="26"/>
      <c r="BH871" s="26"/>
      <c r="BI871" s="26"/>
      <c r="BJ871" s="26"/>
      <c r="BK871" s="26"/>
    </row>
    <row r="872" ht="14.25" customHeight="1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  <c r="AA872" s="26"/>
      <c r="AB872" s="26"/>
      <c r="AC872" s="26"/>
      <c r="AD872" s="26"/>
      <c r="AE872" s="26"/>
      <c r="AF872" s="26"/>
      <c r="AG872" s="26"/>
      <c r="AH872" s="26"/>
      <c r="AI872" s="26"/>
      <c r="AJ872" s="26"/>
      <c r="AK872" s="26"/>
      <c r="AL872" s="26"/>
      <c r="AM872" s="26"/>
      <c r="AN872" s="26"/>
      <c r="AO872" s="26"/>
      <c r="AP872" s="26"/>
      <c r="AQ872" s="26"/>
      <c r="AR872" s="26"/>
      <c r="AS872" s="26"/>
      <c r="AT872" s="26"/>
      <c r="AU872" s="26"/>
      <c r="AV872" s="26"/>
      <c r="AW872" s="26"/>
      <c r="AX872" s="26"/>
      <c r="AY872" s="26"/>
      <c r="AZ872" s="26"/>
      <c r="BA872" s="26"/>
      <c r="BB872" s="26"/>
      <c r="BC872" s="26"/>
      <c r="BD872" s="26"/>
      <c r="BE872" s="26"/>
      <c r="BF872" s="26"/>
      <c r="BG872" s="26"/>
      <c r="BH872" s="26"/>
      <c r="BI872" s="26"/>
      <c r="BJ872" s="26"/>
      <c r="BK872" s="26"/>
    </row>
    <row r="873" ht="14.25" customHeight="1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  <c r="AA873" s="26"/>
      <c r="AB873" s="26"/>
      <c r="AC873" s="26"/>
      <c r="AD873" s="26"/>
      <c r="AE873" s="26"/>
      <c r="AF873" s="26"/>
      <c r="AG873" s="26"/>
      <c r="AH873" s="26"/>
      <c r="AI873" s="26"/>
      <c r="AJ873" s="26"/>
      <c r="AK873" s="26"/>
      <c r="AL873" s="26"/>
      <c r="AM873" s="26"/>
      <c r="AN873" s="26"/>
      <c r="AO873" s="26"/>
      <c r="AP873" s="26"/>
      <c r="AQ873" s="26"/>
      <c r="AR873" s="26"/>
      <c r="AS873" s="26"/>
      <c r="AT873" s="26"/>
      <c r="AU873" s="26"/>
      <c r="AV873" s="26"/>
      <c r="AW873" s="26"/>
      <c r="AX873" s="26"/>
      <c r="AY873" s="26"/>
      <c r="AZ873" s="26"/>
      <c r="BA873" s="26"/>
      <c r="BB873" s="26"/>
      <c r="BC873" s="26"/>
      <c r="BD873" s="26"/>
      <c r="BE873" s="26"/>
      <c r="BF873" s="26"/>
      <c r="BG873" s="26"/>
      <c r="BH873" s="26"/>
      <c r="BI873" s="26"/>
      <c r="BJ873" s="26"/>
      <c r="BK873" s="26"/>
    </row>
    <row r="874" ht="14.25" customHeight="1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  <c r="AA874" s="26"/>
      <c r="AB874" s="26"/>
      <c r="AC874" s="26"/>
      <c r="AD874" s="26"/>
      <c r="AE874" s="26"/>
      <c r="AF874" s="26"/>
      <c r="AG874" s="26"/>
      <c r="AH874" s="26"/>
      <c r="AI874" s="26"/>
      <c r="AJ874" s="26"/>
      <c r="AK874" s="26"/>
      <c r="AL874" s="26"/>
      <c r="AM874" s="26"/>
      <c r="AN874" s="26"/>
      <c r="AO874" s="26"/>
      <c r="AP874" s="26"/>
      <c r="AQ874" s="26"/>
      <c r="AR874" s="26"/>
      <c r="AS874" s="26"/>
      <c r="AT874" s="26"/>
      <c r="AU874" s="26"/>
      <c r="AV874" s="26"/>
      <c r="AW874" s="26"/>
      <c r="AX874" s="26"/>
      <c r="AY874" s="26"/>
      <c r="AZ874" s="26"/>
      <c r="BA874" s="26"/>
      <c r="BB874" s="26"/>
      <c r="BC874" s="26"/>
      <c r="BD874" s="26"/>
      <c r="BE874" s="26"/>
      <c r="BF874" s="26"/>
      <c r="BG874" s="26"/>
      <c r="BH874" s="26"/>
      <c r="BI874" s="26"/>
      <c r="BJ874" s="26"/>
      <c r="BK874" s="26"/>
    </row>
    <row r="875" ht="14.25" customHeight="1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  <c r="AA875" s="26"/>
      <c r="AB875" s="26"/>
      <c r="AC875" s="26"/>
      <c r="AD875" s="26"/>
      <c r="AE875" s="26"/>
      <c r="AF875" s="26"/>
      <c r="AG875" s="26"/>
      <c r="AH875" s="26"/>
      <c r="AI875" s="26"/>
      <c r="AJ875" s="26"/>
      <c r="AK875" s="26"/>
      <c r="AL875" s="26"/>
      <c r="AM875" s="26"/>
      <c r="AN875" s="26"/>
      <c r="AO875" s="26"/>
      <c r="AP875" s="26"/>
      <c r="AQ875" s="26"/>
      <c r="AR875" s="26"/>
      <c r="AS875" s="26"/>
      <c r="AT875" s="26"/>
      <c r="AU875" s="26"/>
      <c r="AV875" s="26"/>
      <c r="AW875" s="26"/>
      <c r="AX875" s="26"/>
      <c r="AY875" s="26"/>
      <c r="AZ875" s="26"/>
      <c r="BA875" s="26"/>
      <c r="BB875" s="26"/>
      <c r="BC875" s="26"/>
      <c r="BD875" s="26"/>
      <c r="BE875" s="26"/>
      <c r="BF875" s="26"/>
      <c r="BG875" s="26"/>
      <c r="BH875" s="26"/>
      <c r="BI875" s="26"/>
      <c r="BJ875" s="26"/>
      <c r="BK875" s="26"/>
    </row>
    <row r="876" ht="14.25" customHeight="1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  <c r="AA876" s="26"/>
      <c r="AB876" s="26"/>
      <c r="AC876" s="26"/>
      <c r="AD876" s="26"/>
      <c r="AE876" s="26"/>
      <c r="AF876" s="26"/>
      <c r="AG876" s="26"/>
      <c r="AH876" s="26"/>
      <c r="AI876" s="26"/>
      <c r="AJ876" s="26"/>
      <c r="AK876" s="26"/>
      <c r="AL876" s="26"/>
      <c r="AM876" s="26"/>
      <c r="AN876" s="26"/>
      <c r="AO876" s="26"/>
      <c r="AP876" s="26"/>
      <c r="AQ876" s="26"/>
      <c r="AR876" s="26"/>
      <c r="AS876" s="26"/>
      <c r="AT876" s="26"/>
      <c r="AU876" s="26"/>
      <c r="AV876" s="26"/>
      <c r="AW876" s="26"/>
      <c r="AX876" s="26"/>
      <c r="AY876" s="26"/>
      <c r="AZ876" s="26"/>
      <c r="BA876" s="26"/>
      <c r="BB876" s="26"/>
      <c r="BC876" s="26"/>
      <c r="BD876" s="26"/>
      <c r="BE876" s="26"/>
      <c r="BF876" s="26"/>
      <c r="BG876" s="26"/>
      <c r="BH876" s="26"/>
      <c r="BI876" s="26"/>
      <c r="BJ876" s="26"/>
      <c r="BK876" s="26"/>
    </row>
    <row r="877" ht="14.25" customHeight="1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  <c r="AA877" s="26"/>
      <c r="AB877" s="26"/>
      <c r="AC877" s="26"/>
      <c r="AD877" s="26"/>
      <c r="AE877" s="26"/>
      <c r="AF877" s="26"/>
      <c r="AG877" s="26"/>
      <c r="AH877" s="26"/>
      <c r="AI877" s="26"/>
      <c r="AJ877" s="26"/>
      <c r="AK877" s="26"/>
      <c r="AL877" s="26"/>
      <c r="AM877" s="26"/>
      <c r="AN877" s="26"/>
      <c r="AO877" s="26"/>
      <c r="AP877" s="26"/>
      <c r="AQ877" s="26"/>
      <c r="AR877" s="26"/>
      <c r="AS877" s="26"/>
      <c r="AT877" s="26"/>
      <c r="AU877" s="26"/>
      <c r="AV877" s="26"/>
      <c r="AW877" s="26"/>
      <c r="AX877" s="26"/>
      <c r="AY877" s="26"/>
      <c r="AZ877" s="26"/>
      <c r="BA877" s="26"/>
      <c r="BB877" s="26"/>
      <c r="BC877" s="26"/>
      <c r="BD877" s="26"/>
      <c r="BE877" s="26"/>
      <c r="BF877" s="26"/>
      <c r="BG877" s="26"/>
      <c r="BH877" s="26"/>
      <c r="BI877" s="26"/>
      <c r="BJ877" s="26"/>
      <c r="BK877" s="26"/>
    </row>
    <row r="878" ht="14.25" customHeight="1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  <c r="AA878" s="26"/>
      <c r="AB878" s="26"/>
      <c r="AC878" s="26"/>
      <c r="AD878" s="26"/>
      <c r="AE878" s="26"/>
      <c r="AF878" s="26"/>
      <c r="AG878" s="26"/>
      <c r="AH878" s="26"/>
      <c r="AI878" s="26"/>
      <c r="AJ878" s="26"/>
      <c r="AK878" s="26"/>
      <c r="AL878" s="26"/>
      <c r="AM878" s="26"/>
      <c r="AN878" s="26"/>
      <c r="AO878" s="26"/>
      <c r="AP878" s="26"/>
      <c r="AQ878" s="26"/>
      <c r="AR878" s="26"/>
      <c r="AS878" s="26"/>
      <c r="AT878" s="26"/>
      <c r="AU878" s="26"/>
      <c r="AV878" s="26"/>
      <c r="AW878" s="26"/>
      <c r="AX878" s="26"/>
      <c r="AY878" s="26"/>
      <c r="AZ878" s="26"/>
      <c r="BA878" s="26"/>
      <c r="BB878" s="26"/>
      <c r="BC878" s="26"/>
      <c r="BD878" s="26"/>
      <c r="BE878" s="26"/>
      <c r="BF878" s="26"/>
      <c r="BG878" s="26"/>
      <c r="BH878" s="26"/>
      <c r="BI878" s="26"/>
      <c r="BJ878" s="26"/>
      <c r="BK878" s="26"/>
    </row>
    <row r="879" ht="14.25" customHeight="1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  <c r="AA879" s="26"/>
      <c r="AB879" s="26"/>
      <c r="AC879" s="26"/>
      <c r="AD879" s="26"/>
      <c r="AE879" s="26"/>
      <c r="AF879" s="26"/>
      <c r="AG879" s="26"/>
      <c r="AH879" s="26"/>
      <c r="AI879" s="26"/>
      <c r="AJ879" s="26"/>
      <c r="AK879" s="26"/>
      <c r="AL879" s="26"/>
      <c r="AM879" s="26"/>
      <c r="AN879" s="26"/>
      <c r="AO879" s="26"/>
      <c r="AP879" s="26"/>
      <c r="AQ879" s="26"/>
      <c r="AR879" s="26"/>
      <c r="AS879" s="26"/>
      <c r="AT879" s="26"/>
      <c r="AU879" s="26"/>
      <c r="AV879" s="26"/>
      <c r="AW879" s="26"/>
      <c r="AX879" s="26"/>
      <c r="AY879" s="26"/>
      <c r="AZ879" s="26"/>
      <c r="BA879" s="26"/>
      <c r="BB879" s="26"/>
      <c r="BC879" s="26"/>
      <c r="BD879" s="26"/>
      <c r="BE879" s="26"/>
      <c r="BF879" s="26"/>
      <c r="BG879" s="26"/>
      <c r="BH879" s="26"/>
      <c r="BI879" s="26"/>
      <c r="BJ879" s="26"/>
      <c r="BK879" s="26"/>
    </row>
    <row r="880" ht="14.25" customHeight="1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  <c r="AA880" s="26"/>
      <c r="AB880" s="26"/>
      <c r="AC880" s="26"/>
      <c r="AD880" s="26"/>
      <c r="AE880" s="26"/>
      <c r="AF880" s="26"/>
      <c r="AG880" s="26"/>
      <c r="AH880" s="26"/>
      <c r="AI880" s="26"/>
      <c r="AJ880" s="26"/>
      <c r="AK880" s="26"/>
      <c r="AL880" s="26"/>
      <c r="AM880" s="26"/>
      <c r="AN880" s="26"/>
      <c r="AO880" s="26"/>
      <c r="AP880" s="26"/>
      <c r="AQ880" s="26"/>
      <c r="AR880" s="26"/>
      <c r="AS880" s="26"/>
      <c r="AT880" s="26"/>
      <c r="AU880" s="26"/>
      <c r="AV880" s="26"/>
      <c r="AW880" s="26"/>
      <c r="AX880" s="26"/>
      <c r="AY880" s="26"/>
      <c r="AZ880" s="26"/>
      <c r="BA880" s="26"/>
      <c r="BB880" s="26"/>
      <c r="BC880" s="26"/>
      <c r="BD880" s="26"/>
      <c r="BE880" s="26"/>
      <c r="BF880" s="26"/>
      <c r="BG880" s="26"/>
      <c r="BH880" s="26"/>
      <c r="BI880" s="26"/>
      <c r="BJ880" s="26"/>
      <c r="BK880" s="26"/>
    </row>
    <row r="881" ht="14.25" customHeight="1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  <c r="AA881" s="26"/>
      <c r="AB881" s="26"/>
      <c r="AC881" s="26"/>
      <c r="AD881" s="26"/>
      <c r="AE881" s="26"/>
      <c r="AF881" s="26"/>
      <c r="AG881" s="26"/>
      <c r="AH881" s="26"/>
      <c r="AI881" s="26"/>
      <c r="AJ881" s="26"/>
      <c r="AK881" s="26"/>
      <c r="AL881" s="26"/>
      <c r="AM881" s="26"/>
      <c r="AN881" s="26"/>
      <c r="AO881" s="26"/>
      <c r="AP881" s="26"/>
      <c r="AQ881" s="26"/>
      <c r="AR881" s="26"/>
      <c r="AS881" s="26"/>
      <c r="AT881" s="26"/>
      <c r="AU881" s="26"/>
      <c r="AV881" s="26"/>
      <c r="AW881" s="26"/>
      <c r="AX881" s="26"/>
      <c r="AY881" s="26"/>
      <c r="AZ881" s="26"/>
      <c r="BA881" s="26"/>
      <c r="BB881" s="26"/>
      <c r="BC881" s="26"/>
      <c r="BD881" s="26"/>
      <c r="BE881" s="26"/>
      <c r="BF881" s="26"/>
      <c r="BG881" s="26"/>
      <c r="BH881" s="26"/>
      <c r="BI881" s="26"/>
      <c r="BJ881" s="26"/>
      <c r="BK881" s="26"/>
    </row>
    <row r="882" ht="14.25" customHeight="1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  <c r="AA882" s="26"/>
      <c r="AB882" s="26"/>
      <c r="AC882" s="26"/>
      <c r="AD882" s="26"/>
      <c r="AE882" s="26"/>
      <c r="AF882" s="26"/>
      <c r="AG882" s="26"/>
      <c r="AH882" s="26"/>
      <c r="AI882" s="26"/>
      <c r="AJ882" s="26"/>
      <c r="AK882" s="26"/>
      <c r="AL882" s="26"/>
      <c r="AM882" s="26"/>
      <c r="AN882" s="26"/>
      <c r="AO882" s="26"/>
      <c r="AP882" s="26"/>
      <c r="AQ882" s="26"/>
      <c r="AR882" s="26"/>
      <c r="AS882" s="26"/>
      <c r="AT882" s="26"/>
      <c r="AU882" s="26"/>
      <c r="AV882" s="26"/>
      <c r="AW882" s="26"/>
      <c r="AX882" s="26"/>
      <c r="AY882" s="26"/>
      <c r="AZ882" s="26"/>
      <c r="BA882" s="26"/>
      <c r="BB882" s="26"/>
      <c r="BC882" s="26"/>
      <c r="BD882" s="26"/>
      <c r="BE882" s="26"/>
      <c r="BF882" s="26"/>
      <c r="BG882" s="26"/>
      <c r="BH882" s="26"/>
      <c r="BI882" s="26"/>
      <c r="BJ882" s="26"/>
      <c r="BK882" s="26"/>
    </row>
    <row r="883" ht="14.25" customHeight="1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  <c r="AA883" s="26"/>
      <c r="AB883" s="26"/>
      <c r="AC883" s="26"/>
      <c r="AD883" s="26"/>
      <c r="AE883" s="26"/>
      <c r="AF883" s="26"/>
      <c r="AG883" s="26"/>
      <c r="AH883" s="26"/>
      <c r="AI883" s="26"/>
      <c r="AJ883" s="26"/>
      <c r="AK883" s="26"/>
      <c r="AL883" s="26"/>
      <c r="AM883" s="26"/>
      <c r="AN883" s="26"/>
      <c r="AO883" s="26"/>
      <c r="AP883" s="26"/>
      <c r="AQ883" s="26"/>
      <c r="AR883" s="26"/>
      <c r="AS883" s="26"/>
      <c r="AT883" s="26"/>
      <c r="AU883" s="26"/>
      <c r="AV883" s="26"/>
      <c r="AW883" s="26"/>
      <c r="AX883" s="26"/>
      <c r="AY883" s="26"/>
      <c r="AZ883" s="26"/>
      <c r="BA883" s="26"/>
      <c r="BB883" s="26"/>
      <c r="BC883" s="26"/>
      <c r="BD883" s="26"/>
      <c r="BE883" s="26"/>
      <c r="BF883" s="26"/>
      <c r="BG883" s="26"/>
      <c r="BH883" s="26"/>
      <c r="BI883" s="26"/>
      <c r="BJ883" s="26"/>
      <c r="BK883" s="26"/>
    </row>
    <row r="884" ht="14.25" customHeight="1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  <c r="AA884" s="26"/>
      <c r="AB884" s="26"/>
      <c r="AC884" s="26"/>
      <c r="AD884" s="26"/>
      <c r="AE884" s="26"/>
      <c r="AF884" s="26"/>
      <c r="AG884" s="26"/>
      <c r="AH884" s="26"/>
      <c r="AI884" s="26"/>
      <c r="AJ884" s="26"/>
      <c r="AK884" s="26"/>
      <c r="AL884" s="26"/>
      <c r="AM884" s="26"/>
      <c r="AN884" s="26"/>
      <c r="AO884" s="26"/>
      <c r="AP884" s="26"/>
      <c r="AQ884" s="26"/>
      <c r="AR884" s="26"/>
      <c r="AS884" s="26"/>
      <c r="AT884" s="26"/>
      <c r="AU884" s="26"/>
      <c r="AV884" s="26"/>
      <c r="AW884" s="26"/>
      <c r="AX884" s="26"/>
      <c r="AY884" s="26"/>
      <c r="AZ884" s="26"/>
      <c r="BA884" s="26"/>
      <c r="BB884" s="26"/>
      <c r="BC884" s="26"/>
      <c r="BD884" s="26"/>
      <c r="BE884" s="26"/>
      <c r="BF884" s="26"/>
      <c r="BG884" s="26"/>
      <c r="BH884" s="26"/>
      <c r="BI884" s="26"/>
      <c r="BJ884" s="26"/>
      <c r="BK884" s="26"/>
    </row>
    <row r="885" ht="14.25" customHeight="1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  <c r="AA885" s="26"/>
      <c r="AB885" s="26"/>
      <c r="AC885" s="26"/>
      <c r="AD885" s="26"/>
      <c r="AE885" s="26"/>
      <c r="AF885" s="26"/>
      <c r="AG885" s="26"/>
      <c r="AH885" s="26"/>
      <c r="AI885" s="26"/>
      <c r="AJ885" s="26"/>
      <c r="AK885" s="26"/>
      <c r="AL885" s="26"/>
      <c r="AM885" s="26"/>
      <c r="AN885" s="26"/>
      <c r="AO885" s="26"/>
      <c r="AP885" s="26"/>
      <c r="AQ885" s="26"/>
      <c r="AR885" s="26"/>
      <c r="AS885" s="26"/>
      <c r="AT885" s="26"/>
      <c r="AU885" s="26"/>
      <c r="AV885" s="26"/>
      <c r="AW885" s="26"/>
      <c r="AX885" s="26"/>
      <c r="AY885" s="26"/>
      <c r="AZ885" s="26"/>
      <c r="BA885" s="26"/>
      <c r="BB885" s="26"/>
      <c r="BC885" s="26"/>
      <c r="BD885" s="26"/>
      <c r="BE885" s="26"/>
      <c r="BF885" s="26"/>
      <c r="BG885" s="26"/>
      <c r="BH885" s="26"/>
      <c r="BI885" s="26"/>
      <c r="BJ885" s="26"/>
      <c r="BK885" s="26"/>
    </row>
    <row r="886" ht="14.25" customHeight="1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  <c r="AA886" s="26"/>
      <c r="AB886" s="26"/>
      <c r="AC886" s="26"/>
      <c r="AD886" s="26"/>
      <c r="AE886" s="26"/>
      <c r="AF886" s="26"/>
      <c r="AG886" s="26"/>
      <c r="AH886" s="26"/>
      <c r="AI886" s="26"/>
      <c r="AJ886" s="26"/>
      <c r="AK886" s="26"/>
      <c r="AL886" s="26"/>
      <c r="AM886" s="26"/>
      <c r="AN886" s="26"/>
      <c r="AO886" s="26"/>
      <c r="AP886" s="26"/>
      <c r="AQ886" s="26"/>
      <c r="AR886" s="26"/>
      <c r="AS886" s="26"/>
      <c r="AT886" s="26"/>
      <c r="AU886" s="26"/>
      <c r="AV886" s="26"/>
      <c r="AW886" s="26"/>
      <c r="AX886" s="26"/>
      <c r="AY886" s="26"/>
      <c r="AZ886" s="26"/>
      <c r="BA886" s="26"/>
      <c r="BB886" s="26"/>
      <c r="BC886" s="26"/>
      <c r="BD886" s="26"/>
      <c r="BE886" s="26"/>
      <c r="BF886" s="26"/>
      <c r="BG886" s="26"/>
      <c r="BH886" s="26"/>
      <c r="BI886" s="26"/>
      <c r="BJ886" s="26"/>
      <c r="BK886" s="26"/>
    </row>
    <row r="887" ht="14.25" customHeight="1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  <c r="AA887" s="26"/>
      <c r="AB887" s="26"/>
      <c r="AC887" s="26"/>
      <c r="AD887" s="26"/>
      <c r="AE887" s="26"/>
      <c r="AF887" s="26"/>
      <c r="AG887" s="26"/>
      <c r="AH887" s="26"/>
      <c r="AI887" s="26"/>
      <c r="AJ887" s="26"/>
      <c r="AK887" s="26"/>
      <c r="AL887" s="26"/>
      <c r="AM887" s="26"/>
      <c r="AN887" s="26"/>
      <c r="AO887" s="26"/>
      <c r="AP887" s="26"/>
      <c r="AQ887" s="26"/>
      <c r="AR887" s="26"/>
      <c r="AS887" s="26"/>
      <c r="AT887" s="26"/>
      <c r="AU887" s="26"/>
      <c r="AV887" s="26"/>
      <c r="AW887" s="26"/>
      <c r="AX887" s="26"/>
      <c r="AY887" s="26"/>
      <c r="AZ887" s="26"/>
      <c r="BA887" s="26"/>
      <c r="BB887" s="26"/>
      <c r="BC887" s="26"/>
      <c r="BD887" s="26"/>
      <c r="BE887" s="26"/>
      <c r="BF887" s="26"/>
      <c r="BG887" s="26"/>
      <c r="BH887" s="26"/>
      <c r="BI887" s="26"/>
      <c r="BJ887" s="26"/>
      <c r="BK887" s="26"/>
    </row>
    <row r="888" ht="14.25" customHeight="1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  <c r="AA888" s="26"/>
      <c r="AB888" s="26"/>
      <c r="AC888" s="26"/>
      <c r="AD888" s="26"/>
      <c r="AE888" s="26"/>
      <c r="AF888" s="26"/>
      <c r="AG888" s="26"/>
      <c r="AH888" s="26"/>
      <c r="AI888" s="26"/>
      <c r="AJ888" s="26"/>
      <c r="AK888" s="26"/>
      <c r="AL888" s="26"/>
      <c r="AM888" s="26"/>
      <c r="AN888" s="26"/>
      <c r="AO888" s="26"/>
      <c r="AP888" s="26"/>
      <c r="AQ888" s="26"/>
      <c r="AR888" s="26"/>
      <c r="AS888" s="26"/>
      <c r="AT888" s="26"/>
      <c r="AU888" s="26"/>
      <c r="AV888" s="26"/>
      <c r="AW888" s="26"/>
      <c r="AX888" s="26"/>
      <c r="AY888" s="26"/>
      <c r="AZ888" s="26"/>
      <c r="BA888" s="26"/>
      <c r="BB888" s="26"/>
      <c r="BC888" s="26"/>
      <c r="BD888" s="26"/>
      <c r="BE888" s="26"/>
      <c r="BF888" s="26"/>
      <c r="BG888" s="26"/>
      <c r="BH888" s="26"/>
      <c r="BI888" s="26"/>
      <c r="BJ888" s="26"/>
      <c r="BK888" s="26"/>
    </row>
    <row r="889" ht="14.25" customHeight="1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  <c r="AA889" s="26"/>
      <c r="AB889" s="26"/>
      <c r="AC889" s="26"/>
      <c r="AD889" s="26"/>
      <c r="AE889" s="26"/>
      <c r="AF889" s="26"/>
      <c r="AG889" s="26"/>
      <c r="AH889" s="26"/>
      <c r="AI889" s="26"/>
      <c r="AJ889" s="26"/>
      <c r="AK889" s="26"/>
      <c r="AL889" s="26"/>
      <c r="AM889" s="26"/>
      <c r="AN889" s="26"/>
      <c r="AO889" s="26"/>
      <c r="AP889" s="26"/>
      <c r="AQ889" s="26"/>
      <c r="AR889" s="26"/>
      <c r="AS889" s="26"/>
      <c r="AT889" s="26"/>
      <c r="AU889" s="26"/>
      <c r="AV889" s="26"/>
      <c r="AW889" s="26"/>
      <c r="AX889" s="26"/>
      <c r="AY889" s="26"/>
      <c r="AZ889" s="26"/>
      <c r="BA889" s="26"/>
      <c r="BB889" s="26"/>
      <c r="BC889" s="26"/>
      <c r="BD889" s="26"/>
      <c r="BE889" s="26"/>
      <c r="BF889" s="26"/>
      <c r="BG889" s="26"/>
      <c r="BH889" s="26"/>
      <c r="BI889" s="26"/>
      <c r="BJ889" s="26"/>
      <c r="BK889" s="26"/>
    </row>
    <row r="890" ht="14.25" customHeight="1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  <c r="AA890" s="26"/>
      <c r="AB890" s="26"/>
      <c r="AC890" s="26"/>
      <c r="AD890" s="26"/>
      <c r="AE890" s="26"/>
      <c r="AF890" s="26"/>
      <c r="AG890" s="26"/>
      <c r="AH890" s="26"/>
      <c r="AI890" s="26"/>
      <c r="AJ890" s="26"/>
      <c r="AK890" s="26"/>
      <c r="AL890" s="26"/>
      <c r="AM890" s="26"/>
      <c r="AN890" s="26"/>
      <c r="AO890" s="26"/>
      <c r="AP890" s="26"/>
      <c r="AQ890" s="26"/>
      <c r="AR890" s="26"/>
      <c r="AS890" s="26"/>
      <c r="AT890" s="26"/>
      <c r="AU890" s="26"/>
      <c r="AV890" s="26"/>
      <c r="AW890" s="26"/>
      <c r="AX890" s="26"/>
      <c r="AY890" s="26"/>
      <c r="AZ890" s="26"/>
      <c r="BA890" s="26"/>
      <c r="BB890" s="26"/>
      <c r="BC890" s="26"/>
      <c r="BD890" s="26"/>
      <c r="BE890" s="26"/>
      <c r="BF890" s="26"/>
      <c r="BG890" s="26"/>
      <c r="BH890" s="26"/>
      <c r="BI890" s="26"/>
      <c r="BJ890" s="26"/>
      <c r="BK890" s="26"/>
    </row>
    <row r="891" ht="14.25" customHeight="1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  <c r="AA891" s="26"/>
      <c r="AB891" s="26"/>
      <c r="AC891" s="26"/>
      <c r="AD891" s="26"/>
      <c r="AE891" s="26"/>
      <c r="AF891" s="26"/>
      <c r="AG891" s="26"/>
      <c r="AH891" s="26"/>
      <c r="AI891" s="26"/>
      <c r="AJ891" s="26"/>
      <c r="AK891" s="26"/>
      <c r="AL891" s="26"/>
      <c r="AM891" s="26"/>
      <c r="AN891" s="26"/>
      <c r="AO891" s="26"/>
      <c r="AP891" s="26"/>
      <c r="AQ891" s="26"/>
      <c r="AR891" s="26"/>
      <c r="AS891" s="26"/>
      <c r="AT891" s="26"/>
      <c r="AU891" s="26"/>
      <c r="AV891" s="26"/>
      <c r="AW891" s="26"/>
      <c r="AX891" s="26"/>
      <c r="AY891" s="26"/>
      <c r="AZ891" s="26"/>
      <c r="BA891" s="26"/>
      <c r="BB891" s="26"/>
      <c r="BC891" s="26"/>
      <c r="BD891" s="26"/>
      <c r="BE891" s="26"/>
      <c r="BF891" s="26"/>
      <c r="BG891" s="26"/>
      <c r="BH891" s="26"/>
      <c r="BI891" s="26"/>
      <c r="BJ891" s="26"/>
      <c r="BK891" s="26"/>
    </row>
    <row r="892" ht="14.25" customHeight="1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  <c r="AA892" s="26"/>
      <c r="AB892" s="26"/>
      <c r="AC892" s="26"/>
      <c r="AD892" s="26"/>
      <c r="AE892" s="26"/>
      <c r="AF892" s="26"/>
      <c r="AG892" s="26"/>
      <c r="AH892" s="26"/>
      <c r="AI892" s="26"/>
      <c r="AJ892" s="26"/>
      <c r="AK892" s="26"/>
      <c r="AL892" s="26"/>
      <c r="AM892" s="26"/>
      <c r="AN892" s="26"/>
      <c r="AO892" s="26"/>
      <c r="AP892" s="26"/>
      <c r="AQ892" s="26"/>
      <c r="AR892" s="26"/>
      <c r="AS892" s="26"/>
      <c r="AT892" s="26"/>
      <c r="AU892" s="26"/>
      <c r="AV892" s="26"/>
      <c r="AW892" s="26"/>
      <c r="AX892" s="26"/>
      <c r="AY892" s="26"/>
      <c r="AZ892" s="26"/>
      <c r="BA892" s="26"/>
      <c r="BB892" s="26"/>
      <c r="BC892" s="26"/>
      <c r="BD892" s="26"/>
      <c r="BE892" s="26"/>
      <c r="BF892" s="26"/>
      <c r="BG892" s="26"/>
      <c r="BH892" s="26"/>
      <c r="BI892" s="26"/>
      <c r="BJ892" s="26"/>
      <c r="BK892" s="26"/>
    </row>
    <row r="893" ht="14.25" customHeight="1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  <c r="AA893" s="26"/>
      <c r="AB893" s="26"/>
      <c r="AC893" s="26"/>
      <c r="AD893" s="26"/>
      <c r="AE893" s="26"/>
      <c r="AF893" s="26"/>
      <c r="AG893" s="26"/>
      <c r="AH893" s="26"/>
      <c r="AI893" s="26"/>
      <c r="AJ893" s="26"/>
      <c r="AK893" s="26"/>
      <c r="AL893" s="26"/>
      <c r="AM893" s="26"/>
      <c r="AN893" s="26"/>
      <c r="AO893" s="26"/>
      <c r="AP893" s="26"/>
      <c r="AQ893" s="26"/>
      <c r="AR893" s="26"/>
      <c r="AS893" s="26"/>
      <c r="AT893" s="26"/>
      <c r="AU893" s="26"/>
      <c r="AV893" s="26"/>
      <c r="AW893" s="26"/>
      <c r="AX893" s="26"/>
      <c r="AY893" s="26"/>
      <c r="AZ893" s="26"/>
      <c r="BA893" s="26"/>
      <c r="BB893" s="26"/>
      <c r="BC893" s="26"/>
      <c r="BD893" s="26"/>
      <c r="BE893" s="26"/>
      <c r="BF893" s="26"/>
      <c r="BG893" s="26"/>
      <c r="BH893" s="26"/>
      <c r="BI893" s="26"/>
      <c r="BJ893" s="26"/>
      <c r="BK893" s="26"/>
    </row>
    <row r="894" ht="14.25" customHeight="1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  <c r="AA894" s="26"/>
      <c r="AB894" s="26"/>
      <c r="AC894" s="26"/>
      <c r="AD894" s="26"/>
      <c r="AE894" s="26"/>
      <c r="AF894" s="26"/>
      <c r="AG894" s="26"/>
      <c r="AH894" s="26"/>
      <c r="AI894" s="26"/>
      <c r="AJ894" s="26"/>
      <c r="AK894" s="26"/>
      <c r="AL894" s="26"/>
      <c r="AM894" s="26"/>
      <c r="AN894" s="26"/>
      <c r="AO894" s="26"/>
      <c r="AP894" s="26"/>
      <c r="AQ894" s="26"/>
      <c r="AR894" s="26"/>
      <c r="AS894" s="26"/>
      <c r="AT894" s="26"/>
      <c r="AU894" s="26"/>
      <c r="AV894" s="26"/>
      <c r="AW894" s="26"/>
      <c r="AX894" s="26"/>
      <c r="AY894" s="26"/>
      <c r="AZ894" s="26"/>
      <c r="BA894" s="26"/>
      <c r="BB894" s="26"/>
      <c r="BC894" s="26"/>
      <c r="BD894" s="26"/>
      <c r="BE894" s="26"/>
      <c r="BF894" s="26"/>
      <c r="BG894" s="26"/>
      <c r="BH894" s="26"/>
      <c r="BI894" s="26"/>
      <c r="BJ894" s="26"/>
      <c r="BK894" s="26"/>
    </row>
    <row r="895" ht="14.25" customHeight="1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  <c r="AA895" s="26"/>
      <c r="AB895" s="26"/>
      <c r="AC895" s="26"/>
      <c r="AD895" s="26"/>
      <c r="AE895" s="26"/>
      <c r="AF895" s="26"/>
      <c r="AG895" s="26"/>
      <c r="AH895" s="26"/>
      <c r="AI895" s="26"/>
      <c r="AJ895" s="26"/>
      <c r="AK895" s="26"/>
      <c r="AL895" s="26"/>
      <c r="AM895" s="26"/>
      <c r="AN895" s="26"/>
      <c r="AO895" s="26"/>
      <c r="AP895" s="26"/>
      <c r="AQ895" s="26"/>
      <c r="AR895" s="26"/>
      <c r="AS895" s="26"/>
      <c r="AT895" s="26"/>
      <c r="AU895" s="26"/>
      <c r="AV895" s="26"/>
      <c r="AW895" s="26"/>
      <c r="AX895" s="26"/>
      <c r="AY895" s="26"/>
      <c r="AZ895" s="26"/>
      <c r="BA895" s="26"/>
      <c r="BB895" s="26"/>
      <c r="BC895" s="26"/>
      <c r="BD895" s="26"/>
      <c r="BE895" s="26"/>
      <c r="BF895" s="26"/>
      <c r="BG895" s="26"/>
      <c r="BH895" s="26"/>
      <c r="BI895" s="26"/>
      <c r="BJ895" s="26"/>
      <c r="BK895" s="26"/>
    </row>
    <row r="896" ht="14.25" customHeight="1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  <c r="AA896" s="26"/>
      <c r="AB896" s="26"/>
      <c r="AC896" s="26"/>
      <c r="AD896" s="26"/>
      <c r="AE896" s="26"/>
      <c r="AF896" s="26"/>
      <c r="AG896" s="26"/>
      <c r="AH896" s="26"/>
      <c r="AI896" s="26"/>
      <c r="AJ896" s="26"/>
      <c r="AK896" s="26"/>
      <c r="AL896" s="26"/>
      <c r="AM896" s="26"/>
      <c r="AN896" s="26"/>
      <c r="AO896" s="26"/>
      <c r="AP896" s="26"/>
      <c r="AQ896" s="26"/>
      <c r="AR896" s="26"/>
      <c r="AS896" s="26"/>
      <c r="AT896" s="26"/>
      <c r="AU896" s="26"/>
      <c r="AV896" s="26"/>
      <c r="AW896" s="26"/>
      <c r="AX896" s="26"/>
      <c r="AY896" s="26"/>
      <c r="AZ896" s="26"/>
      <c r="BA896" s="26"/>
      <c r="BB896" s="26"/>
      <c r="BC896" s="26"/>
      <c r="BD896" s="26"/>
      <c r="BE896" s="26"/>
      <c r="BF896" s="26"/>
      <c r="BG896" s="26"/>
      <c r="BH896" s="26"/>
      <c r="BI896" s="26"/>
      <c r="BJ896" s="26"/>
      <c r="BK896" s="26"/>
    </row>
    <row r="897" ht="14.25" customHeight="1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  <c r="AA897" s="26"/>
      <c r="AB897" s="26"/>
      <c r="AC897" s="26"/>
      <c r="AD897" s="26"/>
      <c r="AE897" s="26"/>
      <c r="AF897" s="26"/>
      <c r="AG897" s="26"/>
      <c r="AH897" s="26"/>
      <c r="AI897" s="26"/>
      <c r="AJ897" s="26"/>
      <c r="AK897" s="26"/>
      <c r="AL897" s="26"/>
      <c r="AM897" s="26"/>
      <c r="AN897" s="26"/>
      <c r="AO897" s="26"/>
      <c r="AP897" s="26"/>
      <c r="AQ897" s="26"/>
      <c r="AR897" s="26"/>
      <c r="AS897" s="26"/>
      <c r="AT897" s="26"/>
      <c r="AU897" s="26"/>
      <c r="AV897" s="26"/>
      <c r="AW897" s="26"/>
      <c r="AX897" s="26"/>
      <c r="AY897" s="26"/>
      <c r="AZ897" s="26"/>
      <c r="BA897" s="26"/>
      <c r="BB897" s="26"/>
      <c r="BC897" s="26"/>
      <c r="BD897" s="26"/>
      <c r="BE897" s="26"/>
      <c r="BF897" s="26"/>
      <c r="BG897" s="26"/>
      <c r="BH897" s="26"/>
      <c r="BI897" s="26"/>
      <c r="BJ897" s="26"/>
      <c r="BK897" s="26"/>
    </row>
    <row r="898" ht="14.25" customHeight="1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  <c r="AA898" s="26"/>
      <c r="AB898" s="26"/>
      <c r="AC898" s="26"/>
      <c r="AD898" s="26"/>
      <c r="AE898" s="26"/>
      <c r="AF898" s="26"/>
      <c r="AG898" s="26"/>
      <c r="AH898" s="26"/>
      <c r="AI898" s="26"/>
      <c r="AJ898" s="26"/>
      <c r="AK898" s="26"/>
      <c r="AL898" s="26"/>
      <c r="AM898" s="26"/>
      <c r="AN898" s="26"/>
      <c r="AO898" s="26"/>
      <c r="AP898" s="26"/>
      <c r="AQ898" s="26"/>
      <c r="AR898" s="26"/>
      <c r="AS898" s="26"/>
      <c r="AT898" s="26"/>
      <c r="AU898" s="26"/>
      <c r="AV898" s="26"/>
      <c r="AW898" s="26"/>
      <c r="AX898" s="26"/>
      <c r="AY898" s="26"/>
      <c r="AZ898" s="26"/>
      <c r="BA898" s="26"/>
      <c r="BB898" s="26"/>
      <c r="BC898" s="26"/>
      <c r="BD898" s="26"/>
      <c r="BE898" s="26"/>
      <c r="BF898" s="26"/>
      <c r="BG898" s="26"/>
      <c r="BH898" s="26"/>
      <c r="BI898" s="26"/>
      <c r="BJ898" s="26"/>
      <c r="BK898" s="26"/>
    </row>
    <row r="899" ht="14.25" customHeight="1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  <c r="AA899" s="26"/>
      <c r="AB899" s="26"/>
      <c r="AC899" s="26"/>
      <c r="AD899" s="26"/>
      <c r="AE899" s="26"/>
      <c r="AF899" s="26"/>
      <c r="AG899" s="26"/>
      <c r="AH899" s="26"/>
      <c r="AI899" s="26"/>
      <c r="AJ899" s="26"/>
      <c r="AK899" s="26"/>
      <c r="AL899" s="26"/>
      <c r="AM899" s="26"/>
      <c r="AN899" s="26"/>
      <c r="AO899" s="26"/>
      <c r="AP899" s="26"/>
      <c r="AQ899" s="26"/>
      <c r="AR899" s="26"/>
      <c r="AS899" s="26"/>
      <c r="AT899" s="26"/>
      <c r="AU899" s="26"/>
      <c r="AV899" s="26"/>
      <c r="AW899" s="26"/>
      <c r="AX899" s="26"/>
      <c r="AY899" s="26"/>
      <c r="AZ899" s="26"/>
      <c r="BA899" s="26"/>
      <c r="BB899" s="26"/>
      <c r="BC899" s="26"/>
      <c r="BD899" s="26"/>
      <c r="BE899" s="26"/>
      <c r="BF899" s="26"/>
      <c r="BG899" s="26"/>
      <c r="BH899" s="26"/>
      <c r="BI899" s="26"/>
      <c r="BJ899" s="26"/>
      <c r="BK899" s="26"/>
    </row>
    <row r="900" ht="14.25" customHeight="1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  <c r="AA900" s="26"/>
      <c r="AB900" s="26"/>
      <c r="AC900" s="26"/>
      <c r="AD900" s="26"/>
      <c r="AE900" s="26"/>
      <c r="AF900" s="26"/>
      <c r="AG900" s="26"/>
      <c r="AH900" s="26"/>
      <c r="AI900" s="26"/>
      <c r="AJ900" s="26"/>
      <c r="AK900" s="26"/>
      <c r="AL900" s="26"/>
      <c r="AM900" s="26"/>
      <c r="AN900" s="26"/>
      <c r="AO900" s="26"/>
      <c r="AP900" s="26"/>
      <c r="AQ900" s="26"/>
      <c r="AR900" s="26"/>
      <c r="AS900" s="26"/>
      <c r="AT900" s="26"/>
      <c r="AU900" s="26"/>
      <c r="AV900" s="26"/>
      <c r="AW900" s="26"/>
      <c r="AX900" s="26"/>
      <c r="AY900" s="26"/>
      <c r="AZ900" s="26"/>
      <c r="BA900" s="26"/>
      <c r="BB900" s="26"/>
      <c r="BC900" s="26"/>
      <c r="BD900" s="26"/>
      <c r="BE900" s="26"/>
      <c r="BF900" s="26"/>
      <c r="BG900" s="26"/>
      <c r="BH900" s="26"/>
      <c r="BI900" s="26"/>
      <c r="BJ900" s="26"/>
      <c r="BK900" s="26"/>
    </row>
    <row r="901" ht="14.25" customHeight="1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  <c r="AA901" s="26"/>
      <c r="AB901" s="26"/>
      <c r="AC901" s="26"/>
      <c r="AD901" s="26"/>
      <c r="AE901" s="26"/>
      <c r="AF901" s="26"/>
      <c r="AG901" s="26"/>
      <c r="AH901" s="26"/>
      <c r="AI901" s="26"/>
      <c r="AJ901" s="26"/>
      <c r="AK901" s="26"/>
      <c r="AL901" s="26"/>
      <c r="AM901" s="26"/>
      <c r="AN901" s="26"/>
      <c r="AO901" s="26"/>
      <c r="AP901" s="26"/>
      <c r="AQ901" s="26"/>
      <c r="AR901" s="26"/>
      <c r="AS901" s="26"/>
      <c r="AT901" s="26"/>
      <c r="AU901" s="26"/>
      <c r="AV901" s="26"/>
      <c r="AW901" s="26"/>
      <c r="AX901" s="26"/>
      <c r="AY901" s="26"/>
      <c r="AZ901" s="26"/>
      <c r="BA901" s="26"/>
      <c r="BB901" s="26"/>
      <c r="BC901" s="26"/>
      <c r="BD901" s="26"/>
      <c r="BE901" s="26"/>
      <c r="BF901" s="26"/>
      <c r="BG901" s="26"/>
      <c r="BH901" s="26"/>
      <c r="BI901" s="26"/>
      <c r="BJ901" s="26"/>
      <c r="BK901" s="26"/>
    </row>
    <row r="902" ht="14.25" customHeight="1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  <c r="AA902" s="26"/>
      <c r="AB902" s="26"/>
      <c r="AC902" s="26"/>
      <c r="AD902" s="26"/>
      <c r="AE902" s="26"/>
      <c r="AF902" s="26"/>
      <c r="AG902" s="26"/>
      <c r="AH902" s="26"/>
      <c r="AI902" s="26"/>
      <c r="AJ902" s="26"/>
      <c r="AK902" s="26"/>
      <c r="AL902" s="26"/>
      <c r="AM902" s="26"/>
      <c r="AN902" s="26"/>
      <c r="AO902" s="26"/>
      <c r="AP902" s="26"/>
      <c r="AQ902" s="26"/>
      <c r="AR902" s="26"/>
      <c r="AS902" s="26"/>
      <c r="AT902" s="26"/>
      <c r="AU902" s="26"/>
      <c r="AV902" s="26"/>
      <c r="AW902" s="26"/>
      <c r="AX902" s="26"/>
      <c r="AY902" s="26"/>
      <c r="AZ902" s="26"/>
      <c r="BA902" s="26"/>
      <c r="BB902" s="26"/>
      <c r="BC902" s="26"/>
      <c r="BD902" s="26"/>
      <c r="BE902" s="26"/>
      <c r="BF902" s="26"/>
      <c r="BG902" s="26"/>
      <c r="BH902" s="26"/>
      <c r="BI902" s="26"/>
      <c r="BJ902" s="26"/>
      <c r="BK902" s="26"/>
    </row>
    <row r="903" ht="14.25" customHeight="1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  <c r="AA903" s="26"/>
      <c r="AB903" s="26"/>
      <c r="AC903" s="26"/>
      <c r="AD903" s="26"/>
      <c r="AE903" s="26"/>
      <c r="AF903" s="26"/>
      <c r="AG903" s="26"/>
      <c r="AH903" s="26"/>
      <c r="AI903" s="26"/>
      <c r="AJ903" s="26"/>
      <c r="AK903" s="26"/>
      <c r="AL903" s="26"/>
      <c r="AM903" s="26"/>
      <c r="AN903" s="26"/>
      <c r="AO903" s="26"/>
      <c r="AP903" s="26"/>
      <c r="AQ903" s="26"/>
      <c r="AR903" s="26"/>
      <c r="AS903" s="26"/>
      <c r="AT903" s="26"/>
      <c r="AU903" s="26"/>
      <c r="AV903" s="26"/>
      <c r="AW903" s="26"/>
      <c r="AX903" s="26"/>
      <c r="AY903" s="26"/>
      <c r="AZ903" s="26"/>
      <c r="BA903" s="26"/>
      <c r="BB903" s="26"/>
      <c r="BC903" s="26"/>
      <c r="BD903" s="26"/>
      <c r="BE903" s="26"/>
      <c r="BF903" s="26"/>
      <c r="BG903" s="26"/>
      <c r="BH903" s="26"/>
      <c r="BI903" s="26"/>
      <c r="BJ903" s="26"/>
      <c r="BK903" s="26"/>
    </row>
    <row r="904" ht="14.25" customHeight="1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  <c r="AA904" s="26"/>
      <c r="AB904" s="26"/>
      <c r="AC904" s="26"/>
      <c r="AD904" s="26"/>
      <c r="AE904" s="26"/>
      <c r="AF904" s="26"/>
      <c r="AG904" s="26"/>
      <c r="AH904" s="26"/>
      <c r="AI904" s="26"/>
      <c r="AJ904" s="26"/>
      <c r="AK904" s="26"/>
      <c r="AL904" s="26"/>
      <c r="AM904" s="26"/>
      <c r="AN904" s="26"/>
      <c r="AO904" s="26"/>
      <c r="AP904" s="26"/>
      <c r="AQ904" s="26"/>
      <c r="AR904" s="26"/>
      <c r="AS904" s="26"/>
      <c r="AT904" s="26"/>
      <c r="AU904" s="26"/>
      <c r="AV904" s="26"/>
      <c r="AW904" s="26"/>
      <c r="AX904" s="26"/>
      <c r="AY904" s="26"/>
      <c r="AZ904" s="26"/>
      <c r="BA904" s="26"/>
      <c r="BB904" s="26"/>
      <c r="BC904" s="26"/>
      <c r="BD904" s="26"/>
      <c r="BE904" s="26"/>
      <c r="BF904" s="26"/>
      <c r="BG904" s="26"/>
      <c r="BH904" s="26"/>
      <c r="BI904" s="26"/>
      <c r="BJ904" s="26"/>
      <c r="BK904" s="26"/>
    </row>
    <row r="905" ht="14.25" customHeight="1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  <c r="AA905" s="26"/>
      <c r="AB905" s="26"/>
      <c r="AC905" s="26"/>
      <c r="AD905" s="26"/>
      <c r="AE905" s="26"/>
      <c r="AF905" s="26"/>
      <c r="AG905" s="26"/>
      <c r="AH905" s="26"/>
      <c r="AI905" s="26"/>
      <c r="AJ905" s="26"/>
      <c r="AK905" s="26"/>
      <c r="AL905" s="26"/>
      <c r="AM905" s="26"/>
      <c r="AN905" s="26"/>
      <c r="AO905" s="26"/>
      <c r="AP905" s="26"/>
      <c r="AQ905" s="26"/>
      <c r="AR905" s="26"/>
      <c r="AS905" s="26"/>
      <c r="AT905" s="26"/>
      <c r="AU905" s="26"/>
      <c r="AV905" s="26"/>
      <c r="AW905" s="26"/>
      <c r="AX905" s="26"/>
      <c r="AY905" s="26"/>
      <c r="AZ905" s="26"/>
      <c r="BA905" s="26"/>
      <c r="BB905" s="26"/>
      <c r="BC905" s="26"/>
      <c r="BD905" s="26"/>
      <c r="BE905" s="26"/>
      <c r="BF905" s="26"/>
      <c r="BG905" s="26"/>
      <c r="BH905" s="26"/>
      <c r="BI905" s="26"/>
      <c r="BJ905" s="26"/>
      <c r="BK905" s="26"/>
    </row>
    <row r="906" ht="14.25" customHeight="1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  <c r="AA906" s="26"/>
      <c r="AB906" s="26"/>
      <c r="AC906" s="26"/>
      <c r="AD906" s="26"/>
      <c r="AE906" s="26"/>
      <c r="AF906" s="26"/>
      <c r="AG906" s="26"/>
      <c r="AH906" s="26"/>
      <c r="AI906" s="26"/>
      <c r="AJ906" s="26"/>
      <c r="AK906" s="26"/>
      <c r="AL906" s="26"/>
      <c r="AM906" s="26"/>
      <c r="AN906" s="26"/>
      <c r="AO906" s="26"/>
      <c r="AP906" s="26"/>
      <c r="AQ906" s="26"/>
      <c r="AR906" s="26"/>
      <c r="AS906" s="26"/>
      <c r="AT906" s="26"/>
      <c r="AU906" s="26"/>
      <c r="AV906" s="26"/>
      <c r="AW906" s="26"/>
      <c r="AX906" s="26"/>
      <c r="AY906" s="26"/>
      <c r="AZ906" s="26"/>
      <c r="BA906" s="26"/>
      <c r="BB906" s="26"/>
      <c r="BC906" s="26"/>
      <c r="BD906" s="26"/>
      <c r="BE906" s="26"/>
      <c r="BF906" s="26"/>
      <c r="BG906" s="26"/>
      <c r="BH906" s="26"/>
      <c r="BI906" s="26"/>
      <c r="BJ906" s="26"/>
      <c r="BK906" s="26"/>
    </row>
    <row r="907" ht="14.25" customHeight="1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  <c r="AA907" s="26"/>
      <c r="AB907" s="26"/>
      <c r="AC907" s="26"/>
      <c r="AD907" s="26"/>
      <c r="AE907" s="26"/>
      <c r="AF907" s="26"/>
      <c r="AG907" s="26"/>
      <c r="AH907" s="26"/>
      <c r="AI907" s="26"/>
      <c r="AJ907" s="26"/>
      <c r="AK907" s="26"/>
      <c r="AL907" s="26"/>
      <c r="AM907" s="26"/>
      <c r="AN907" s="26"/>
      <c r="AO907" s="26"/>
      <c r="AP907" s="26"/>
      <c r="AQ907" s="26"/>
      <c r="AR907" s="26"/>
      <c r="AS907" s="26"/>
      <c r="AT907" s="26"/>
      <c r="AU907" s="26"/>
      <c r="AV907" s="26"/>
      <c r="AW907" s="26"/>
      <c r="AX907" s="26"/>
      <c r="AY907" s="26"/>
      <c r="AZ907" s="26"/>
      <c r="BA907" s="26"/>
      <c r="BB907" s="26"/>
      <c r="BC907" s="26"/>
      <c r="BD907" s="26"/>
      <c r="BE907" s="26"/>
      <c r="BF907" s="26"/>
      <c r="BG907" s="26"/>
      <c r="BH907" s="26"/>
      <c r="BI907" s="26"/>
      <c r="BJ907" s="26"/>
      <c r="BK907" s="26"/>
    </row>
    <row r="908" ht="14.25" customHeight="1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  <c r="AA908" s="26"/>
      <c r="AB908" s="26"/>
      <c r="AC908" s="26"/>
      <c r="AD908" s="26"/>
      <c r="AE908" s="26"/>
      <c r="AF908" s="26"/>
      <c r="AG908" s="26"/>
      <c r="AH908" s="26"/>
      <c r="AI908" s="26"/>
      <c r="AJ908" s="26"/>
      <c r="AK908" s="26"/>
      <c r="AL908" s="26"/>
      <c r="AM908" s="26"/>
      <c r="AN908" s="26"/>
      <c r="AO908" s="26"/>
      <c r="AP908" s="26"/>
      <c r="AQ908" s="26"/>
      <c r="AR908" s="26"/>
      <c r="AS908" s="26"/>
      <c r="AT908" s="26"/>
      <c r="AU908" s="26"/>
      <c r="AV908" s="26"/>
      <c r="AW908" s="26"/>
      <c r="AX908" s="26"/>
      <c r="AY908" s="26"/>
      <c r="AZ908" s="26"/>
      <c r="BA908" s="26"/>
      <c r="BB908" s="26"/>
      <c r="BC908" s="26"/>
      <c r="BD908" s="26"/>
      <c r="BE908" s="26"/>
      <c r="BF908" s="26"/>
      <c r="BG908" s="26"/>
      <c r="BH908" s="26"/>
      <c r="BI908" s="26"/>
      <c r="BJ908" s="26"/>
      <c r="BK908" s="26"/>
    </row>
    <row r="909" ht="14.25" customHeight="1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  <c r="AA909" s="26"/>
      <c r="AB909" s="26"/>
      <c r="AC909" s="26"/>
      <c r="AD909" s="26"/>
      <c r="AE909" s="26"/>
      <c r="AF909" s="26"/>
      <c r="AG909" s="26"/>
      <c r="AH909" s="26"/>
      <c r="AI909" s="26"/>
      <c r="AJ909" s="26"/>
      <c r="AK909" s="26"/>
      <c r="AL909" s="26"/>
      <c r="AM909" s="26"/>
      <c r="AN909" s="26"/>
      <c r="AO909" s="26"/>
      <c r="AP909" s="26"/>
      <c r="AQ909" s="26"/>
      <c r="AR909" s="26"/>
      <c r="AS909" s="26"/>
      <c r="AT909" s="26"/>
      <c r="AU909" s="26"/>
      <c r="AV909" s="26"/>
      <c r="AW909" s="26"/>
      <c r="AX909" s="26"/>
      <c r="AY909" s="26"/>
      <c r="AZ909" s="26"/>
      <c r="BA909" s="26"/>
      <c r="BB909" s="26"/>
      <c r="BC909" s="26"/>
      <c r="BD909" s="26"/>
      <c r="BE909" s="26"/>
      <c r="BF909" s="26"/>
      <c r="BG909" s="26"/>
      <c r="BH909" s="26"/>
      <c r="BI909" s="26"/>
      <c r="BJ909" s="26"/>
      <c r="BK909" s="26"/>
    </row>
    <row r="910" ht="14.25" customHeight="1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  <c r="AA910" s="26"/>
      <c r="AB910" s="26"/>
      <c r="AC910" s="26"/>
      <c r="AD910" s="26"/>
      <c r="AE910" s="26"/>
      <c r="AF910" s="26"/>
      <c r="AG910" s="26"/>
      <c r="AH910" s="26"/>
      <c r="AI910" s="26"/>
      <c r="AJ910" s="26"/>
      <c r="AK910" s="26"/>
      <c r="AL910" s="26"/>
      <c r="AM910" s="26"/>
      <c r="AN910" s="26"/>
      <c r="AO910" s="26"/>
      <c r="AP910" s="26"/>
      <c r="AQ910" s="26"/>
      <c r="AR910" s="26"/>
      <c r="AS910" s="26"/>
      <c r="AT910" s="26"/>
      <c r="AU910" s="26"/>
      <c r="AV910" s="26"/>
      <c r="AW910" s="26"/>
      <c r="AX910" s="26"/>
      <c r="AY910" s="26"/>
      <c r="AZ910" s="26"/>
      <c r="BA910" s="26"/>
      <c r="BB910" s="26"/>
      <c r="BC910" s="26"/>
      <c r="BD910" s="26"/>
      <c r="BE910" s="26"/>
      <c r="BF910" s="26"/>
      <c r="BG910" s="26"/>
      <c r="BH910" s="26"/>
      <c r="BI910" s="26"/>
      <c r="BJ910" s="26"/>
      <c r="BK910" s="26"/>
    </row>
    <row r="911" ht="14.25" customHeight="1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  <c r="AA911" s="26"/>
      <c r="AB911" s="26"/>
      <c r="AC911" s="26"/>
      <c r="AD911" s="26"/>
      <c r="AE911" s="26"/>
      <c r="AF911" s="26"/>
      <c r="AG911" s="26"/>
      <c r="AH911" s="26"/>
      <c r="AI911" s="26"/>
      <c r="AJ911" s="26"/>
      <c r="AK911" s="26"/>
      <c r="AL911" s="26"/>
      <c r="AM911" s="26"/>
      <c r="AN911" s="26"/>
      <c r="AO911" s="26"/>
      <c r="AP911" s="26"/>
      <c r="AQ911" s="26"/>
      <c r="AR911" s="26"/>
      <c r="AS911" s="26"/>
      <c r="AT911" s="26"/>
      <c r="AU911" s="26"/>
      <c r="AV911" s="26"/>
      <c r="AW911" s="26"/>
      <c r="AX911" s="26"/>
      <c r="AY911" s="26"/>
      <c r="AZ911" s="26"/>
      <c r="BA911" s="26"/>
      <c r="BB911" s="26"/>
      <c r="BC911" s="26"/>
      <c r="BD911" s="26"/>
      <c r="BE911" s="26"/>
      <c r="BF911" s="26"/>
      <c r="BG911" s="26"/>
      <c r="BH911" s="26"/>
      <c r="BI911" s="26"/>
      <c r="BJ911" s="26"/>
      <c r="BK911" s="26"/>
    </row>
    <row r="912" ht="14.25" customHeight="1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  <c r="AA912" s="26"/>
      <c r="AB912" s="26"/>
      <c r="AC912" s="26"/>
      <c r="AD912" s="26"/>
      <c r="AE912" s="26"/>
      <c r="AF912" s="26"/>
      <c r="AG912" s="26"/>
      <c r="AH912" s="26"/>
      <c r="AI912" s="26"/>
      <c r="AJ912" s="26"/>
      <c r="AK912" s="26"/>
      <c r="AL912" s="26"/>
      <c r="AM912" s="26"/>
      <c r="AN912" s="26"/>
      <c r="AO912" s="26"/>
      <c r="AP912" s="26"/>
      <c r="AQ912" s="26"/>
      <c r="AR912" s="26"/>
      <c r="AS912" s="26"/>
      <c r="AT912" s="26"/>
      <c r="AU912" s="26"/>
      <c r="AV912" s="26"/>
      <c r="AW912" s="26"/>
      <c r="AX912" s="26"/>
      <c r="AY912" s="26"/>
      <c r="AZ912" s="26"/>
      <c r="BA912" s="26"/>
      <c r="BB912" s="26"/>
      <c r="BC912" s="26"/>
      <c r="BD912" s="26"/>
      <c r="BE912" s="26"/>
      <c r="BF912" s="26"/>
      <c r="BG912" s="26"/>
      <c r="BH912" s="26"/>
      <c r="BI912" s="26"/>
      <c r="BJ912" s="26"/>
      <c r="BK912" s="26"/>
    </row>
    <row r="913" ht="14.25" customHeight="1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  <c r="AA913" s="26"/>
      <c r="AB913" s="26"/>
      <c r="AC913" s="26"/>
      <c r="AD913" s="26"/>
      <c r="AE913" s="26"/>
      <c r="AF913" s="26"/>
      <c r="AG913" s="26"/>
      <c r="AH913" s="26"/>
      <c r="AI913" s="26"/>
      <c r="AJ913" s="26"/>
      <c r="AK913" s="26"/>
      <c r="AL913" s="26"/>
      <c r="AM913" s="26"/>
      <c r="AN913" s="26"/>
      <c r="AO913" s="26"/>
      <c r="AP913" s="26"/>
      <c r="AQ913" s="26"/>
      <c r="AR913" s="26"/>
      <c r="AS913" s="26"/>
      <c r="AT913" s="26"/>
      <c r="AU913" s="26"/>
      <c r="AV913" s="26"/>
      <c r="AW913" s="26"/>
      <c r="AX913" s="26"/>
      <c r="AY913" s="26"/>
      <c r="AZ913" s="26"/>
      <c r="BA913" s="26"/>
      <c r="BB913" s="26"/>
      <c r="BC913" s="26"/>
      <c r="BD913" s="26"/>
      <c r="BE913" s="26"/>
      <c r="BF913" s="26"/>
      <c r="BG913" s="26"/>
      <c r="BH913" s="26"/>
      <c r="BI913" s="26"/>
      <c r="BJ913" s="26"/>
      <c r="BK913" s="26"/>
    </row>
    <row r="914" ht="14.25" customHeight="1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  <c r="AA914" s="26"/>
      <c r="AB914" s="26"/>
      <c r="AC914" s="26"/>
      <c r="AD914" s="26"/>
      <c r="AE914" s="26"/>
      <c r="AF914" s="26"/>
      <c r="AG914" s="26"/>
      <c r="AH914" s="26"/>
      <c r="AI914" s="26"/>
      <c r="AJ914" s="26"/>
      <c r="AK914" s="26"/>
      <c r="AL914" s="26"/>
      <c r="AM914" s="26"/>
      <c r="AN914" s="26"/>
      <c r="AO914" s="26"/>
      <c r="AP914" s="26"/>
      <c r="AQ914" s="26"/>
      <c r="AR914" s="26"/>
      <c r="AS914" s="26"/>
      <c r="AT914" s="26"/>
      <c r="AU914" s="26"/>
      <c r="AV914" s="26"/>
      <c r="AW914" s="26"/>
      <c r="AX914" s="26"/>
      <c r="AY914" s="26"/>
      <c r="AZ914" s="26"/>
      <c r="BA914" s="26"/>
      <c r="BB914" s="26"/>
      <c r="BC914" s="26"/>
      <c r="BD914" s="26"/>
      <c r="BE914" s="26"/>
      <c r="BF914" s="26"/>
      <c r="BG914" s="26"/>
      <c r="BH914" s="26"/>
      <c r="BI914" s="26"/>
      <c r="BJ914" s="26"/>
      <c r="BK914" s="26"/>
    </row>
    <row r="915" ht="14.25" customHeight="1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  <c r="AA915" s="26"/>
      <c r="AB915" s="26"/>
      <c r="AC915" s="26"/>
      <c r="AD915" s="26"/>
      <c r="AE915" s="26"/>
      <c r="AF915" s="26"/>
      <c r="AG915" s="26"/>
      <c r="AH915" s="26"/>
      <c r="AI915" s="26"/>
      <c r="AJ915" s="26"/>
      <c r="AK915" s="26"/>
      <c r="AL915" s="26"/>
      <c r="AM915" s="26"/>
      <c r="AN915" s="26"/>
      <c r="AO915" s="26"/>
      <c r="AP915" s="26"/>
      <c r="AQ915" s="26"/>
      <c r="AR915" s="26"/>
      <c r="AS915" s="26"/>
      <c r="AT915" s="26"/>
      <c r="AU915" s="26"/>
      <c r="AV915" s="26"/>
      <c r="AW915" s="26"/>
      <c r="AX915" s="26"/>
      <c r="AY915" s="26"/>
      <c r="AZ915" s="26"/>
      <c r="BA915" s="26"/>
      <c r="BB915" s="26"/>
      <c r="BC915" s="26"/>
      <c r="BD915" s="26"/>
      <c r="BE915" s="26"/>
      <c r="BF915" s="26"/>
      <c r="BG915" s="26"/>
      <c r="BH915" s="26"/>
      <c r="BI915" s="26"/>
      <c r="BJ915" s="26"/>
      <c r="BK915" s="26"/>
    </row>
    <row r="916" ht="14.25" customHeight="1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  <c r="AA916" s="26"/>
      <c r="AB916" s="26"/>
      <c r="AC916" s="26"/>
      <c r="AD916" s="26"/>
      <c r="AE916" s="26"/>
      <c r="AF916" s="26"/>
      <c r="AG916" s="26"/>
      <c r="AH916" s="26"/>
      <c r="AI916" s="26"/>
      <c r="AJ916" s="26"/>
      <c r="AK916" s="26"/>
      <c r="AL916" s="26"/>
      <c r="AM916" s="26"/>
      <c r="AN916" s="26"/>
      <c r="AO916" s="26"/>
      <c r="AP916" s="26"/>
      <c r="AQ916" s="26"/>
      <c r="AR916" s="26"/>
      <c r="AS916" s="26"/>
      <c r="AT916" s="26"/>
      <c r="AU916" s="26"/>
      <c r="AV916" s="26"/>
      <c r="AW916" s="26"/>
      <c r="AX916" s="26"/>
      <c r="AY916" s="26"/>
      <c r="AZ916" s="26"/>
      <c r="BA916" s="26"/>
      <c r="BB916" s="26"/>
      <c r="BC916" s="26"/>
      <c r="BD916" s="26"/>
      <c r="BE916" s="26"/>
      <c r="BF916" s="26"/>
      <c r="BG916" s="26"/>
      <c r="BH916" s="26"/>
      <c r="BI916" s="26"/>
      <c r="BJ916" s="26"/>
      <c r="BK916" s="26"/>
    </row>
    <row r="917" ht="14.25" customHeight="1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  <c r="AA917" s="26"/>
      <c r="AB917" s="26"/>
      <c r="AC917" s="26"/>
      <c r="AD917" s="26"/>
      <c r="AE917" s="26"/>
      <c r="AF917" s="26"/>
      <c r="AG917" s="26"/>
      <c r="AH917" s="26"/>
      <c r="AI917" s="26"/>
      <c r="AJ917" s="26"/>
      <c r="AK917" s="26"/>
      <c r="AL917" s="26"/>
      <c r="AM917" s="26"/>
      <c r="AN917" s="26"/>
      <c r="AO917" s="26"/>
      <c r="AP917" s="26"/>
      <c r="AQ917" s="26"/>
      <c r="AR917" s="26"/>
      <c r="AS917" s="26"/>
      <c r="AT917" s="26"/>
      <c r="AU917" s="26"/>
      <c r="AV917" s="26"/>
      <c r="AW917" s="26"/>
      <c r="AX917" s="26"/>
      <c r="AY917" s="26"/>
      <c r="AZ917" s="26"/>
      <c r="BA917" s="26"/>
      <c r="BB917" s="26"/>
      <c r="BC917" s="26"/>
      <c r="BD917" s="26"/>
      <c r="BE917" s="26"/>
      <c r="BF917" s="26"/>
      <c r="BG917" s="26"/>
      <c r="BH917" s="26"/>
      <c r="BI917" s="26"/>
      <c r="BJ917" s="26"/>
      <c r="BK917" s="26"/>
    </row>
    <row r="918" ht="14.25" customHeight="1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  <c r="AA918" s="26"/>
      <c r="AB918" s="26"/>
      <c r="AC918" s="26"/>
      <c r="AD918" s="26"/>
      <c r="AE918" s="26"/>
      <c r="AF918" s="26"/>
      <c r="AG918" s="26"/>
      <c r="AH918" s="26"/>
      <c r="AI918" s="26"/>
      <c r="AJ918" s="26"/>
      <c r="AK918" s="26"/>
      <c r="AL918" s="26"/>
      <c r="AM918" s="26"/>
      <c r="AN918" s="26"/>
      <c r="AO918" s="26"/>
      <c r="AP918" s="26"/>
      <c r="AQ918" s="26"/>
      <c r="AR918" s="26"/>
      <c r="AS918" s="26"/>
      <c r="AT918" s="26"/>
      <c r="AU918" s="26"/>
      <c r="AV918" s="26"/>
      <c r="AW918" s="26"/>
      <c r="AX918" s="26"/>
      <c r="AY918" s="26"/>
      <c r="AZ918" s="26"/>
      <c r="BA918" s="26"/>
      <c r="BB918" s="26"/>
      <c r="BC918" s="26"/>
      <c r="BD918" s="26"/>
      <c r="BE918" s="26"/>
      <c r="BF918" s="26"/>
      <c r="BG918" s="26"/>
      <c r="BH918" s="26"/>
      <c r="BI918" s="26"/>
      <c r="BJ918" s="26"/>
      <c r="BK918" s="26"/>
    </row>
    <row r="919" ht="14.25" customHeight="1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  <c r="AA919" s="26"/>
      <c r="AB919" s="26"/>
      <c r="AC919" s="26"/>
      <c r="AD919" s="26"/>
      <c r="AE919" s="26"/>
      <c r="AF919" s="26"/>
      <c r="AG919" s="26"/>
      <c r="AH919" s="26"/>
      <c r="AI919" s="26"/>
      <c r="AJ919" s="26"/>
      <c r="AK919" s="26"/>
      <c r="AL919" s="26"/>
      <c r="AM919" s="26"/>
      <c r="AN919" s="26"/>
      <c r="AO919" s="26"/>
      <c r="AP919" s="26"/>
      <c r="AQ919" s="26"/>
      <c r="AR919" s="26"/>
      <c r="AS919" s="26"/>
      <c r="AT919" s="26"/>
      <c r="AU919" s="26"/>
      <c r="AV919" s="26"/>
      <c r="AW919" s="26"/>
      <c r="AX919" s="26"/>
      <c r="AY919" s="26"/>
      <c r="AZ919" s="26"/>
      <c r="BA919" s="26"/>
      <c r="BB919" s="26"/>
      <c r="BC919" s="26"/>
      <c r="BD919" s="26"/>
      <c r="BE919" s="26"/>
      <c r="BF919" s="26"/>
      <c r="BG919" s="26"/>
      <c r="BH919" s="26"/>
      <c r="BI919" s="26"/>
      <c r="BJ919" s="26"/>
      <c r="BK919" s="26"/>
    </row>
    <row r="920" ht="14.25" customHeight="1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  <c r="AA920" s="26"/>
      <c r="AB920" s="26"/>
      <c r="AC920" s="26"/>
      <c r="AD920" s="26"/>
      <c r="AE920" s="26"/>
      <c r="AF920" s="26"/>
      <c r="AG920" s="26"/>
      <c r="AH920" s="26"/>
      <c r="AI920" s="26"/>
      <c r="AJ920" s="26"/>
      <c r="AK920" s="26"/>
      <c r="AL920" s="26"/>
      <c r="AM920" s="26"/>
      <c r="AN920" s="26"/>
      <c r="AO920" s="26"/>
      <c r="AP920" s="26"/>
      <c r="AQ920" s="26"/>
      <c r="AR920" s="26"/>
      <c r="AS920" s="26"/>
      <c r="AT920" s="26"/>
      <c r="AU920" s="26"/>
      <c r="AV920" s="26"/>
      <c r="AW920" s="26"/>
      <c r="AX920" s="26"/>
      <c r="AY920" s="26"/>
      <c r="AZ920" s="26"/>
      <c r="BA920" s="26"/>
      <c r="BB920" s="26"/>
      <c r="BC920" s="26"/>
      <c r="BD920" s="26"/>
      <c r="BE920" s="26"/>
      <c r="BF920" s="26"/>
      <c r="BG920" s="26"/>
      <c r="BH920" s="26"/>
      <c r="BI920" s="26"/>
      <c r="BJ920" s="26"/>
      <c r="BK920" s="26"/>
    </row>
    <row r="921" ht="14.25" customHeight="1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  <c r="AA921" s="26"/>
      <c r="AB921" s="26"/>
      <c r="AC921" s="26"/>
      <c r="AD921" s="26"/>
      <c r="AE921" s="26"/>
      <c r="AF921" s="26"/>
      <c r="AG921" s="26"/>
      <c r="AH921" s="26"/>
      <c r="AI921" s="26"/>
      <c r="AJ921" s="26"/>
      <c r="AK921" s="26"/>
      <c r="AL921" s="26"/>
      <c r="AM921" s="26"/>
      <c r="AN921" s="26"/>
      <c r="AO921" s="26"/>
      <c r="AP921" s="26"/>
      <c r="AQ921" s="26"/>
      <c r="AR921" s="26"/>
      <c r="AS921" s="26"/>
      <c r="AT921" s="26"/>
      <c r="AU921" s="26"/>
      <c r="AV921" s="26"/>
      <c r="AW921" s="26"/>
      <c r="AX921" s="26"/>
      <c r="AY921" s="26"/>
      <c r="AZ921" s="26"/>
      <c r="BA921" s="26"/>
      <c r="BB921" s="26"/>
      <c r="BC921" s="26"/>
      <c r="BD921" s="26"/>
      <c r="BE921" s="26"/>
      <c r="BF921" s="26"/>
      <c r="BG921" s="26"/>
      <c r="BH921" s="26"/>
      <c r="BI921" s="26"/>
      <c r="BJ921" s="26"/>
      <c r="BK921" s="26"/>
    </row>
    <row r="922" ht="14.25" customHeight="1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  <c r="AA922" s="26"/>
      <c r="AB922" s="26"/>
      <c r="AC922" s="26"/>
      <c r="AD922" s="26"/>
      <c r="AE922" s="26"/>
      <c r="AF922" s="26"/>
      <c r="AG922" s="26"/>
      <c r="AH922" s="26"/>
      <c r="AI922" s="26"/>
      <c r="AJ922" s="26"/>
      <c r="AK922" s="26"/>
      <c r="AL922" s="26"/>
      <c r="AM922" s="26"/>
      <c r="AN922" s="26"/>
      <c r="AO922" s="26"/>
      <c r="AP922" s="26"/>
      <c r="AQ922" s="26"/>
      <c r="AR922" s="26"/>
      <c r="AS922" s="26"/>
      <c r="AT922" s="26"/>
      <c r="AU922" s="26"/>
      <c r="AV922" s="26"/>
      <c r="AW922" s="26"/>
      <c r="AX922" s="26"/>
      <c r="AY922" s="26"/>
      <c r="AZ922" s="26"/>
      <c r="BA922" s="26"/>
      <c r="BB922" s="26"/>
      <c r="BC922" s="26"/>
      <c r="BD922" s="26"/>
      <c r="BE922" s="26"/>
      <c r="BF922" s="26"/>
      <c r="BG922" s="26"/>
      <c r="BH922" s="26"/>
      <c r="BI922" s="26"/>
      <c r="BJ922" s="26"/>
      <c r="BK922" s="26"/>
    </row>
    <row r="923" ht="14.25" customHeight="1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  <c r="AA923" s="26"/>
      <c r="AB923" s="26"/>
      <c r="AC923" s="26"/>
      <c r="AD923" s="26"/>
      <c r="AE923" s="26"/>
      <c r="AF923" s="26"/>
      <c r="AG923" s="26"/>
      <c r="AH923" s="26"/>
      <c r="AI923" s="26"/>
      <c r="AJ923" s="26"/>
      <c r="AK923" s="26"/>
      <c r="AL923" s="26"/>
      <c r="AM923" s="26"/>
      <c r="AN923" s="26"/>
      <c r="AO923" s="26"/>
      <c r="AP923" s="26"/>
      <c r="AQ923" s="26"/>
      <c r="AR923" s="26"/>
      <c r="AS923" s="26"/>
      <c r="AT923" s="26"/>
      <c r="AU923" s="26"/>
      <c r="AV923" s="26"/>
      <c r="AW923" s="26"/>
      <c r="AX923" s="26"/>
      <c r="AY923" s="26"/>
      <c r="AZ923" s="26"/>
      <c r="BA923" s="26"/>
      <c r="BB923" s="26"/>
      <c r="BC923" s="26"/>
      <c r="BD923" s="26"/>
      <c r="BE923" s="26"/>
      <c r="BF923" s="26"/>
      <c r="BG923" s="26"/>
      <c r="BH923" s="26"/>
      <c r="BI923" s="26"/>
      <c r="BJ923" s="26"/>
      <c r="BK923" s="26"/>
    </row>
    <row r="924" ht="14.25" customHeight="1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  <c r="AA924" s="26"/>
      <c r="AB924" s="26"/>
      <c r="AC924" s="26"/>
      <c r="AD924" s="26"/>
      <c r="AE924" s="26"/>
      <c r="AF924" s="26"/>
      <c r="AG924" s="26"/>
      <c r="AH924" s="26"/>
      <c r="AI924" s="26"/>
      <c r="AJ924" s="26"/>
      <c r="AK924" s="26"/>
      <c r="AL924" s="26"/>
      <c r="AM924" s="26"/>
      <c r="AN924" s="26"/>
      <c r="AO924" s="26"/>
      <c r="AP924" s="26"/>
      <c r="AQ924" s="26"/>
      <c r="AR924" s="26"/>
      <c r="AS924" s="26"/>
      <c r="AT924" s="26"/>
      <c r="AU924" s="26"/>
      <c r="AV924" s="26"/>
      <c r="AW924" s="26"/>
      <c r="AX924" s="26"/>
      <c r="AY924" s="26"/>
      <c r="AZ924" s="26"/>
      <c r="BA924" s="26"/>
      <c r="BB924" s="26"/>
      <c r="BC924" s="26"/>
      <c r="BD924" s="26"/>
      <c r="BE924" s="26"/>
      <c r="BF924" s="26"/>
      <c r="BG924" s="26"/>
      <c r="BH924" s="26"/>
      <c r="BI924" s="26"/>
      <c r="BJ924" s="26"/>
      <c r="BK924" s="26"/>
    </row>
    <row r="925" ht="14.25" customHeight="1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  <c r="AA925" s="26"/>
      <c r="AB925" s="26"/>
      <c r="AC925" s="26"/>
      <c r="AD925" s="26"/>
      <c r="AE925" s="26"/>
      <c r="AF925" s="26"/>
      <c r="AG925" s="26"/>
      <c r="AH925" s="26"/>
      <c r="AI925" s="26"/>
      <c r="AJ925" s="26"/>
      <c r="AK925" s="26"/>
      <c r="AL925" s="26"/>
      <c r="AM925" s="26"/>
      <c r="AN925" s="26"/>
      <c r="AO925" s="26"/>
      <c r="AP925" s="26"/>
      <c r="AQ925" s="26"/>
      <c r="AR925" s="26"/>
      <c r="AS925" s="26"/>
      <c r="AT925" s="26"/>
      <c r="AU925" s="26"/>
      <c r="AV925" s="26"/>
      <c r="AW925" s="26"/>
      <c r="AX925" s="26"/>
      <c r="AY925" s="26"/>
      <c r="AZ925" s="26"/>
      <c r="BA925" s="26"/>
      <c r="BB925" s="26"/>
      <c r="BC925" s="26"/>
      <c r="BD925" s="26"/>
      <c r="BE925" s="26"/>
      <c r="BF925" s="26"/>
      <c r="BG925" s="26"/>
      <c r="BH925" s="26"/>
      <c r="BI925" s="26"/>
      <c r="BJ925" s="26"/>
      <c r="BK925" s="26"/>
    </row>
    <row r="926" ht="14.25" customHeight="1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  <c r="AA926" s="26"/>
      <c r="AB926" s="26"/>
      <c r="AC926" s="26"/>
      <c r="AD926" s="26"/>
      <c r="AE926" s="26"/>
      <c r="AF926" s="26"/>
      <c r="AG926" s="26"/>
      <c r="AH926" s="26"/>
      <c r="AI926" s="26"/>
      <c r="AJ926" s="26"/>
      <c r="AK926" s="26"/>
      <c r="AL926" s="26"/>
      <c r="AM926" s="26"/>
      <c r="AN926" s="26"/>
      <c r="AO926" s="26"/>
      <c r="AP926" s="26"/>
      <c r="AQ926" s="26"/>
      <c r="AR926" s="26"/>
      <c r="AS926" s="26"/>
      <c r="AT926" s="26"/>
      <c r="AU926" s="26"/>
      <c r="AV926" s="26"/>
      <c r="AW926" s="26"/>
      <c r="AX926" s="26"/>
      <c r="AY926" s="26"/>
      <c r="AZ926" s="26"/>
      <c r="BA926" s="26"/>
      <c r="BB926" s="26"/>
      <c r="BC926" s="26"/>
      <c r="BD926" s="26"/>
      <c r="BE926" s="26"/>
      <c r="BF926" s="26"/>
      <c r="BG926" s="26"/>
      <c r="BH926" s="26"/>
      <c r="BI926" s="26"/>
      <c r="BJ926" s="26"/>
      <c r="BK926" s="26"/>
    </row>
    <row r="927" ht="14.25" customHeight="1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  <c r="AA927" s="26"/>
      <c r="AB927" s="26"/>
      <c r="AC927" s="26"/>
      <c r="AD927" s="26"/>
      <c r="AE927" s="26"/>
      <c r="AF927" s="26"/>
      <c r="AG927" s="26"/>
      <c r="AH927" s="26"/>
      <c r="AI927" s="26"/>
      <c r="AJ927" s="26"/>
      <c r="AK927" s="26"/>
      <c r="AL927" s="26"/>
      <c r="AM927" s="26"/>
      <c r="AN927" s="26"/>
      <c r="AO927" s="26"/>
      <c r="AP927" s="26"/>
      <c r="AQ927" s="26"/>
      <c r="AR927" s="26"/>
      <c r="AS927" s="26"/>
      <c r="AT927" s="26"/>
      <c r="AU927" s="26"/>
      <c r="AV927" s="26"/>
      <c r="AW927" s="26"/>
      <c r="AX927" s="26"/>
      <c r="AY927" s="26"/>
      <c r="AZ927" s="26"/>
      <c r="BA927" s="26"/>
      <c r="BB927" s="26"/>
      <c r="BC927" s="26"/>
      <c r="BD927" s="26"/>
      <c r="BE927" s="26"/>
      <c r="BF927" s="26"/>
      <c r="BG927" s="26"/>
      <c r="BH927" s="26"/>
      <c r="BI927" s="26"/>
      <c r="BJ927" s="26"/>
      <c r="BK927" s="26"/>
    </row>
    <row r="928" ht="14.25" customHeight="1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  <c r="AA928" s="26"/>
      <c r="AB928" s="26"/>
      <c r="AC928" s="26"/>
      <c r="AD928" s="26"/>
      <c r="AE928" s="26"/>
      <c r="AF928" s="26"/>
      <c r="AG928" s="26"/>
      <c r="AH928" s="26"/>
      <c r="AI928" s="26"/>
      <c r="AJ928" s="26"/>
      <c r="AK928" s="26"/>
      <c r="AL928" s="26"/>
      <c r="AM928" s="26"/>
      <c r="AN928" s="26"/>
      <c r="AO928" s="26"/>
      <c r="AP928" s="26"/>
      <c r="AQ928" s="26"/>
      <c r="AR928" s="26"/>
      <c r="AS928" s="26"/>
      <c r="AT928" s="26"/>
      <c r="AU928" s="26"/>
      <c r="AV928" s="26"/>
      <c r="AW928" s="26"/>
      <c r="AX928" s="26"/>
      <c r="AY928" s="26"/>
      <c r="AZ928" s="26"/>
      <c r="BA928" s="26"/>
      <c r="BB928" s="26"/>
      <c r="BC928" s="26"/>
      <c r="BD928" s="26"/>
      <c r="BE928" s="26"/>
      <c r="BF928" s="26"/>
      <c r="BG928" s="26"/>
      <c r="BH928" s="26"/>
      <c r="BI928" s="26"/>
      <c r="BJ928" s="26"/>
      <c r="BK928" s="26"/>
    </row>
    <row r="929" ht="14.25" customHeight="1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  <c r="AA929" s="26"/>
      <c r="AB929" s="26"/>
      <c r="AC929" s="26"/>
      <c r="AD929" s="26"/>
      <c r="AE929" s="26"/>
      <c r="AF929" s="26"/>
      <c r="AG929" s="26"/>
      <c r="AH929" s="26"/>
      <c r="AI929" s="26"/>
      <c r="AJ929" s="26"/>
      <c r="AK929" s="26"/>
      <c r="AL929" s="26"/>
      <c r="AM929" s="26"/>
      <c r="AN929" s="26"/>
      <c r="AO929" s="26"/>
      <c r="AP929" s="26"/>
      <c r="AQ929" s="26"/>
      <c r="AR929" s="26"/>
      <c r="AS929" s="26"/>
      <c r="AT929" s="26"/>
      <c r="AU929" s="26"/>
      <c r="AV929" s="26"/>
      <c r="AW929" s="26"/>
      <c r="AX929" s="26"/>
      <c r="AY929" s="26"/>
      <c r="AZ929" s="26"/>
      <c r="BA929" s="26"/>
      <c r="BB929" s="26"/>
      <c r="BC929" s="26"/>
      <c r="BD929" s="26"/>
      <c r="BE929" s="26"/>
      <c r="BF929" s="26"/>
      <c r="BG929" s="26"/>
      <c r="BH929" s="26"/>
      <c r="BI929" s="26"/>
      <c r="BJ929" s="26"/>
      <c r="BK929" s="26"/>
    </row>
    <row r="930" ht="14.25" customHeight="1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  <c r="AA930" s="26"/>
      <c r="AB930" s="26"/>
      <c r="AC930" s="26"/>
      <c r="AD930" s="26"/>
      <c r="AE930" s="26"/>
      <c r="AF930" s="26"/>
      <c r="AG930" s="26"/>
      <c r="AH930" s="26"/>
      <c r="AI930" s="26"/>
      <c r="AJ930" s="26"/>
      <c r="AK930" s="26"/>
      <c r="AL930" s="26"/>
      <c r="AM930" s="26"/>
      <c r="AN930" s="26"/>
      <c r="AO930" s="26"/>
      <c r="AP930" s="26"/>
      <c r="AQ930" s="26"/>
      <c r="AR930" s="26"/>
      <c r="AS930" s="26"/>
      <c r="AT930" s="26"/>
      <c r="AU930" s="26"/>
      <c r="AV930" s="26"/>
      <c r="AW930" s="26"/>
      <c r="AX930" s="26"/>
      <c r="AY930" s="26"/>
      <c r="AZ930" s="26"/>
      <c r="BA930" s="26"/>
      <c r="BB930" s="26"/>
      <c r="BC930" s="26"/>
      <c r="BD930" s="26"/>
      <c r="BE930" s="26"/>
      <c r="BF930" s="26"/>
      <c r="BG930" s="26"/>
      <c r="BH930" s="26"/>
      <c r="BI930" s="26"/>
      <c r="BJ930" s="26"/>
      <c r="BK930" s="26"/>
    </row>
    <row r="931" ht="14.25" customHeight="1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  <c r="AA931" s="26"/>
      <c r="AB931" s="26"/>
      <c r="AC931" s="26"/>
      <c r="AD931" s="26"/>
      <c r="AE931" s="26"/>
      <c r="AF931" s="26"/>
      <c r="AG931" s="26"/>
      <c r="AH931" s="26"/>
      <c r="AI931" s="26"/>
      <c r="AJ931" s="26"/>
      <c r="AK931" s="26"/>
      <c r="AL931" s="26"/>
      <c r="AM931" s="26"/>
      <c r="AN931" s="26"/>
      <c r="AO931" s="26"/>
      <c r="AP931" s="26"/>
      <c r="AQ931" s="26"/>
      <c r="AR931" s="26"/>
      <c r="AS931" s="26"/>
      <c r="AT931" s="26"/>
      <c r="AU931" s="26"/>
      <c r="AV931" s="26"/>
      <c r="AW931" s="26"/>
      <c r="AX931" s="26"/>
      <c r="AY931" s="26"/>
      <c r="AZ931" s="26"/>
      <c r="BA931" s="26"/>
      <c r="BB931" s="26"/>
      <c r="BC931" s="26"/>
      <c r="BD931" s="26"/>
      <c r="BE931" s="26"/>
      <c r="BF931" s="26"/>
      <c r="BG931" s="26"/>
      <c r="BH931" s="26"/>
      <c r="BI931" s="26"/>
      <c r="BJ931" s="26"/>
      <c r="BK931" s="26"/>
    </row>
    <row r="932" ht="14.25" customHeight="1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  <c r="AA932" s="26"/>
      <c r="AB932" s="26"/>
      <c r="AC932" s="26"/>
      <c r="AD932" s="26"/>
      <c r="AE932" s="26"/>
      <c r="AF932" s="26"/>
      <c r="AG932" s="26"/>
      <c r="AH932" s="26"/>
      <c r="AI932" s="26"/>
      <c r="AJ932" s="26"/>
      <c r="AK932" s="26"/>
      <c r="AL932" s="26"/>
      <c r="AM932" s="26"/>
      <c r="AN932" s="26"/>
      <c r="AO932" s="26"/>
      <c r="AP932" s="26"/>
      <c r="AQ932" s="26"/>
      <c r="AR932" s="26"/>
      <c r="AS932" s="26"/>
      <c r="AT932" s="26"/>
      <c r="AU932" s="26"/>
      <c r="AV932" s="26"/>
      <c r="AW932" s="26"/>
      <c r="AX932" s="26"/>
      <c r="AY932" s="26"/>
      <c r="AZ932" s="26"/>
      <c r="BA932" s="26"/>
      <c r="BB932" s="26"/>
      <c r="BC932" s="26"/>
      <c r="BD932" s="26"/>
      <c r="BE932" s="26"/>
      <c r="BF932" s="26"/>
      <c r="BG932" s="26"/>
      <c r="BH932" s="26"/>
      <c r="BI932" s="26"/>
      <c r="BJ932" s="26"/>
      <c r="BK932" s="26"/>
    </row>
    <row r="933" ht="14.25" customHeight="1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  <c r="AA933" s="26"/>
      <c r="AB933" s="26"/>
      <c r="AC933" s="26"/>
      <c r="AD933" s="26"/>
      <c r="AE933" s="26"/>
      <c r="AF933" s="26"/>
      <c r="AG933" s="26"/>
      <c r="AH933" s="26"/>
      <c r="AI933" s="26"/>
      <c r="AJ933" s="26"/>
      <c r="AK933" s="26"/>
      <c r="AL933" s="26"/>
      <c r="AM933" s="26"/>
      <c r="AN933" s="26"/>
      <c r="AO933" s="26"/>
      <c r="AP933" s="26"/>
      <c r="AQ933" s="26"/>
      <c r="AR933" s="26"/>
      <c r="AS933" s="26"/>
      <c r="AT933" s="26"/>
      <c r="AU933" s="26"/>
      <c r="AV933" s="26"/>
      <c r="AW933" s="26"/>
      <c r="AX933" s="26"/>
      <c r="AY933" s="26"/>
      <c r="AZ933" s="26"/>
      <c r="BA933" s="26"/>
      <c r="BB933" s="26"/>
      <c r="BC933" s="26"/>
      <c r="BD933" s="26"/>
      <c r="BE933" s="26"/>
      <c r="BF933" s="26"/>
      <c r="BG933" s="26"/>
      <c r="BH933" s="26"/>
      <c r="BI933" s="26"/>
      <c r="BJ933" s="26"/>
      <c r="BK933" s="26"/>
    </row>
    <row r="934" ht="14.25" customHeight="1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  <c r="AA934" s="26"/>
      <c r="AB934" s="26"/>
      <c r="AC934" s="26"/>
      <c r="AD934" s="26"/>
      <c r="AE934" s="26"/>
      <c r="AF934" s="26"/>
      <c r="AG934" s="26"/>
      <c r="AH934" s="26"/>
      <c r="AI934" s="26"/>
      <c r="AJ934" s="26"/>
      <c r="AK934" s="26"/>
      <c r="AL934" s="26"/>
      <c r="AM934" s="26"/>
      <c r="AN934" s="26"/>
      <c r="AO934" s="26"/>
      <c r="AP934" s="26"/>
      <c r="AQ934" s="26"/>
      <c r="AR934" s="26"/>
      <c r="AS934" s="26"/>
      <c r="AT934" s="26"/>
      <c r="AU934" s="26"/>
      <c r="AV934" s="26"/>
      <c r="AW934" s="26"/>
      <c r="AX934" s="26"/>
      <c r="AY934" s="26"/>
      <c r="AZ934" s="26"/>
      <c r="BA934" s="26"/>
      <c r="BB934" s="26"/>
      <c r="BC934" s="26"/>
      <c r="BD934" s="26"/>
      <c r="BE934" s="26"/>
      <c r="BF934" s="26"/>
      <c r="BG934" s="26"/>
      <c r="BH934" s="26"/>
      <c r="BI934" s="26"/>
      <c r="BJ934" s="26"/>
      <c r="BK934" s="26"/>
    </row>
    <row r="935" ht="14.25" customHeight="1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  <c r="AA935" s="26"/>
      <c r="AB935" s="26"/>
      <c r="AC935" s="26"/>
      <c r="AD935" s="26"/>
      <c r="AE935" s="26"/>
      <c r="AF935" s="26"/>
      <c r="AG935" s="26"/>
      <c r="AH935" s="26"/>
      <c r="AI935" s="26"/>
      <c r="AJ935" s="26"/>
      <c r="AK935" s="26"/>
      <c r="AL935" s="26"/>
      <c r="AM935" s="26"/>
      <c r="AN935" s="26"/>
      <c r="AO935" s="26"/>
      <c r="AP935" s="26"/>
      <c r="AQ935" s="26"/>
      <c r="AR935" s="26"/>
      <c r="AS935" s="26"/>
      <c r="AT935" s="26"/>
      <c r="AU935" s="26"/>
      <c r="AV935" s="26"/>
      <c r="AW935" s="26"/>
      <c r="AX935" s="26"/>
      <c r="AY935" s="26"/>
      <c r="AZ935" s="26"/>
      <c r="BA935" s="26"/>
      <c r="BB935" s="26"/>
      <c r="BC935" s="26"/>
      <c r="BD935" s="26"/>
      <c r="BE935" s="26"/>
      <c r="BF935" s="26"/>
      <c r="BG935" s="26"/>
      <c r="BH935" s="26"/>
      <c r="BI935" s="26"/>
      <c r="BJ935" s="26"/>
      <c r="BK935" s="26"/>
    </row>
    <row r="936" ht="14.25" customHeight="1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  <c r="AA936" s="26"/>
      <c r="AB936" s="26"/>
      <c r="AC936" s="26"/>
      <c r="AD936" s="26"/>
      <c r="AE936" s="26"/>
      <c r="AF936" s="26"/>
      <c r="AG936" s="26"/>
      <c r="AH936" s="26"/>
      <c r="AI936" s="26"/>
      <c r="AJ936" s="26"/>
      <c r="AK936" s="26"/>
      <c r="AL936" s="26"/>
      <c r="AM936" s="26"/>
      <c r="AN936" s="26"/>
      <c r="AO936" s="26"/>
      <c r="AP936" s="26"/>
      <c r="AQ936" s="26"/>
      <c r="AR936" s="26"/>
      <c r="AS936" s="26"/>
      <c r="AT936" s="26"/>
      <c r="AU936" s="26"/>
      <c r="AV936" s="26"/>
      <c r="AW936" s="26"/>
      <c r="AX936" s="26"/>
      <c r="AY936" s="26"/>
      <c r="AZ936" s="26"/>
      <c r="BA936" s="26"/>
      <c r="BB936" s="26"/>
      <c r="BC936" s="26"/>
      <c r="BD936" s="26"/>
      <c r="BE936" s="26"/>
      <c r="BF936" s="26"/>
      <c r="BG936" s="26"/>
      <c r="BH936" s="26"/>
      <c r="BI936" s="26"/>
      <c r="BJ936" s="26"/>
      <c r="BK936" s="26"/>
    </row>
    <row r="937" ht="14.25" customHeight="1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  <c r="AA937" s="26"/>
      <c r="AB937" s="26"/>
      <c r="AC937" s="26"/>
      <c r="AD937" s="26"/>
      <c r="AE937" s="26"/>
      <c r="AF937" s="26"/>
      <c r="AG937" s="26"/>
      <c r="AH937" s="26"/>
      <c r="AI937" s="26"/>
      <c r="AJ937" s="26"/>
      <c r="AK937" s="26"/>
      <c r="AL937" s="26"/>
      <c r="AM937" s="26"/>
      <c r="AN937" s="26"/>
      <c r="AO937" s="26"/>
      <c r="AP937" s="26"/>
      <c r="AQ937" s="26"/>
      <c r="AR937" s="26"/>
      <c r="AS937" s="26"/>
      <c r="AT937" s="26"/>
      <c r="AU937" s="26"/>
      <c r="AV937" s="26"/>
      <c r="AW937" s="26"/>
      <c r="AX937" s="26"/>
      <c r="AY937" s="26"/>
      <c r="AZ937" s="26"/>
      <c r="BA937" s="26"/>
      <c r="BB937" s="26"/>
      <c r="BC937" s="26"/>
      <c r="BD937" s="26"/>
      <c r="BE937" s="26"/>
      <c r="BF937" s="26"/>
      <c r="BG937" s="26"/>
      <c r="BH937" s="26"/>
      <c r="BI937" s="26"/>
      <c r="BJ937" s="26"/>
      <c r="BK937" s="26"/>
    </row>
    <row r="938" ht="14.25" customHeight="1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  <c r="AA938" s="26"/>
      <c r="AB938" s="26"/>
      <c r="AC938" s="26"/>
      <c r="AD938" s="26"/>
      <c r="AE938" s="26"/>
      <c r="AF938" s="26"/>
      <c r="AG938" s="26"/>
      <c r="AH938" s="26"/>
      <c r="AI938" s="26"/>
      <c r="AJ938" s="26"/>
      <c r="AK938" s="26"/>
      <c r="AL938" s="26"/>
      <c r="AM938" s="26"/>
      <c r="AN938" s="26"/>
      <c r="AO938" s="26"/>
      <c r="AP938" s="26"/>
      <c r="AQ938" s="26"/>
      <c r="AR938" s="26"/>
      <c r="AS938" s="26"/>
      <c r="AT938" s="26"/>
      <c r="AU938" s="26"/>
      <c r="AV938" s="26"/>
      <c r="AW938" s="26"/>
      <c r="AX938" s="26"/>
      <c r="AY938" s="26"/>
      <c r="AZ938" s="26"/>
      <c r="BA938" s="26"/>
      <c r="BB938" s="26"/>
      <c r="BC938" s="26"/>
      <c r="BD938" s="26"/>
      <c r="BE938" s="26"/>
      <c r="BF938" s="26"/>
      <c r="BG938" s="26"/>
      <c r="BH938" s="26"/>
      <c r="BI938" s="26"/>
      <c r="BJ938" s="26"/>
      <c r="BK938" s="26"/>
    </row>
    <row r="939" ht="14.25" customHeight="1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  <c r="AA939" s="26"/>
      <c r="AB939" s="26"/>
      <c r="AC939" s="26"/>
      <c r="AD939" s="26"/>
      <c r="AE939" s="26"/>
      <c r="AF939" s="26"/>
      <c r="AG939" s="26"/>
      <c r="AH939" s="26"/>
      <c r="AI939" s="26"/>
      <c r="AJ939" s="26"/>
      <c r="AK939" s="26"/>
      <c r="AL939" s="26"/>
      <c r="AM939" s="26"/>
      <c r="AN939" s="26"/>
      <c r="AO939" s="26"/>
      <c r="AP939" s="26"/>
      <c r="AQ939" s="26"/>
      <c r="AR939" s="26"/>
      <c r="AS939" s="26"/>
      <c r="AT939" s="26"/>
      <c r="AU939" s="26"/>
      <c r="AV939" s="26"/>
      <c r="AW939" s="26"/>
      <c r="AX939" s="26"/>
      <c r="AY939" s="26"/>
      <c r="AZ939" s="26"/>
      <c r="BA939" s="26"/>
      <c r="BB939" s="26"/>
      <c r="BC939" s="26"/>
      <c r="BD939" s="26"/>
      <c r="BE939" s="26"/>
      <c r="BF939" s="26"/>
      <c r="BG939" s="26"/>
      <c r="BH939" s="26"/>
      <c r="BI939" s="26"/>
      <c r="BJ939" s="26"/>
      <c r="BK939" s="26"/>
    </row>
    <row r="940" ht="14.25" customHeight="1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  <c r="AA940" s="26"/>
      <c r="AB940" s="26"/>
      <c r="AC940" s="26"/>
      <c r="AD940" s="26"/>
      <c r="AE940" s="26"/>
      <c r="AF940" s="26"/>
      <c r="AG940" s="26"/>
      <c r="AH940" s="26"/>
      <c r="AI940" s="26"/>
      <c r="AJ940" s="26"/>
      <c r="AK940" s="26"/>
      <c r="AL940" s="26"/>
      <c r="AM940" s="26"/>
      <c r="AN940" s="26"/>
      <c r="AO940" s="26"/>
      <c r="AP940" s="26"/>
      <c r="AQ940" s="26"/>
      <c r="AR940" s="26"/>
      <c r="AS940" s="26"/>
      <c r="AT940" s="26"/>
      <c r="AU940" s="26"/>
      <c r="AV940" s="26"/>
      <c r="AW940" s="26"/>
      <c r="AX940" s="26"/>
      <c r="AY940" s="26"/>
      <c r="AZ940" s="26"/>
      <c r="BA940" s="26"/>
      <c r="BB940" s="26"/>
      <c r="BC940" s="26"/>
      <c r="BD940" s="26"/>
      <c r="BE940" s="26"/>
      <c r="BF940" s="26"/>
      <c r="BG940" s="26"/>
      <c r="BH940" s="26"/>
      <c r="BI940" s="26"/>
      <c r="BJ940" s="26"/>
      <c r="BK940" s="26"/>
    </row>
    <row r="941" ht="14.25" customHeight="1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  <c r="AA941" s="26"/>
      <c r="AB941" s="26"/>
      <c r="AC941" s="26"/>
      <c r="AD941" s="26"/>
      <c r="AE941" s="26"/>
      <c r="AF941" s="26"/>
      <c r="AG941" s="26"/>
      <c r="AH941" s="26"/>
      <c r="AI941" s="26"/>
      <c r="AJ941" s="26"/>
      <c r="AK941" s="26"/>
      <c r="AL941" s="26"/>
      <c r="AM941" s="26"/>
      <c r="AN941" s="26"/>
      <c r="AO941" s="26"/>
      <c r="AP941" s="26"/>
      <c r="AQ941" s="26"/>
      <c r="AR941" s="26"/>
      <c r="AS941" s="26"/>
      <c r="AT941" s="26"/>
      <c r="AU941" s="26"/>
      <c r="AV941" s="26"/>
      <c r="AW941" s="26"/>
      <c r="AX941" s="26"/>
      <c r="AY941" s="26"/>
      <c r="AZ941" s="26"/>
      <c r="BA941" s="26"/>
      <c r="BB941" s="26"/>
      <c r="BC941" s="26"/>
      <c r="BD941" s="26"/>
      <c r="BE941" s="26"/>
      <c r="BF941" s="26"/>
      <c r="BG941" s="26"/>
      <c r="BH941" s="26"/>
      <c r="BI941" s="26"/>
      <c r="BJ941" s="26"/>
      <c r="BK941" s="26"/>
    </row>
    <row r="942" ht="14.25" customHeight="1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  <c r="AA942" s="26"/>
      <c r="AB942" s="26"/>
      <c r="AC942" s="26"/>
      <c r="AD942" s="26"/>
      <c r="AE942" s="26"/>
      <c r="AF942" s="26"/>
      <c r="AG942" s="26"/>
      <c r="AH942" s="26"/>
      <c r="AI942" s="26"/>
      <c r="AJ942" s="26"/>
      <c r="AK942" s="26"/>
      <c r="AL942" s="26"/>
      <c r="AM942" s="26"/>
      <c r="AN942" s="26"/>
      <c r="AO942" s="26"/>
      <c r="AP942" s="26"/>
      <c r="AQ942" s="26"/>
      <c r="AR942" s="26"/>
      <c r="AS942" s="26"/>
      <c r="AT942" s="26"/>
      <c r="AU942" s="26"/>
      <c r="AV942" s="26"/>
      <c r="AW942" s="26"/>
      <c r="AX942" s="26"/>
      <c r="AY942" s="26"/>
      <c r="AZ942" s="26"/>
      <c r="BA942" s="26"/>
      <c r="BB942" s="26"/>
      <c r="BC942" s="26"/>
      <c r="BD942" s="26"/>
      <c r="BE942" s="26"/>
      <c r="BF942" s="26"/>
      <c r="BG942" s="26"/>
      <c r="BH942" s="26"/>
      <c r="BI942" s="26"/>
      <c r="BJ942" s="26"/>
      <c r="BK942" s="26"/>
    </row>
    <row r="943" ht="14.25" customHeight="1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  <c r="AA943" s="26"/>
      <c r="AB943" s="26"/>
      <c r="AC943" s="26"/>
      <c r="AD943" s="26"/>
      <c r="AE943" s="26"/>
      <c r="AF943" s="26"/>
      <c r="AG943" s="26"/>
      <c r="AH943" s="26"/>
      <c r="AI943" s="26"/>
      <c r="AJ943" s="26"/>
      <c r="AK943" s="26"/>
      <c r="AL943" s="26"/>
      <c r="AM943" s="26"/>
      <c r="AN943" s="26"/>
      <c r="AO943" s="26"/>
      <c r="AP943" s="26"/>
      <c r="AQ943" s="26"/>
      <c r="AR943" s="26"/>
      <c r="AS943" s="26"/>
      <c r="AT943" s="26"/>
      <c r="AU943" s="26"/>
      <c r="AV943" s="26"/>
      <c r="AW943" s="26"/>
      <c r="AX943" s="26"/>
      <c r="AY943" s="26"/>
      <c r="AZ943" s="26"/>
      <c r="BA943" s="26"/>
      <c r="BB943" s="26"/>
      <c r="BC943" s="26"/>
      <c r="BD943" s="26"/>
      <c r="BE943" s="26"/>
      <c r="BF943" s="26"/>
      <c r="BG943" s="26"/>
      <c r="BH943" s="26"/>
      <c r="BI943" s="26"/>
      <c r="BJ943" s="26"/>
      <c r="BK943" s="26"/>
    </row>
    <row r="944" ht="14.25" customHeight="1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  <c r="AA944" s="26"/>
      <c r="AB944" s="26"/>
      <c r="AC944" s="26"/>
      <c r="AD944" s="26"/>
      <c r="AE944" s="26"/>
      <c r="AF944" s="26"/>
      <c r="AG944" s="26"/>
      <c r="AH944" s="26"/>
      <c r="AI944" s="26"/>
      <c r="AJ944" s="26"/>
      <c r="AK944" s="26"/>
      <c r="AL944" s="26"/>
      <c r="AM944" s="26"/>
      <c r="AN944" s="26"/>
      <c r="AO944" s="26"/>
      <c r="AP944" s="26"/>
      <c r="AQ944" s="26"/>
      <c r="AR944" s="26"/>
      <c r="AS944" s="26"/>
      <c r="AT944" s="26"/>
      <c r="AU944" s="26"/>
      <c r="AV944" s="26"/>
      <c r="AW944" s="26"/>
      <c r="AX944" s="26"/>
      <c r="AY944" s="26"/>
      <c r="AZ944" s="26"/>
      <c r="BA944" s="26"/>
      <c r="BB944" s="26"/>
      <c r="BC944" s="26"/>
      <c r="BD944" s="26"/>
      <c r="BE944" s="26"/>
      <c r="BF944" s="26"/>
      <c r="BG944" s="26"/>
      <c r="BH944" s="26"/>
      <c r="BI944" s="26"/>
      <c r="BJ944" s="26"/>
      <c r="BK944" s="26"/>
    </row>
    <row r="945" ht="14.25" customHeight="1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  <c r="AA945" s="26"/>
      <c r="AB945" s="26"/>
      <c r="AC945" s="26"/>
      <c r="AD945" s="26"/>
      <c r="AE945" s="26"/>
      <c r="AF945" s="26"/>
      <c r="AG945" s="26"/>
      <c r="AH945" s="26"/>
      <c r="AI945" s="26"/>
      <c r="AJ945" s="26"/>
      <c r="AK945" s="26"/>
      <c r="AL945" s="26"/>
      <c r="AM945" s="26"/>
      <c r="AN945" s="26"/>
      <c r="AO945" s="26"/>
      <c r="AP945" s="26"/>
      <c r="AQ945" s="26"/>
      <c r="AR945" s="26"/>
      <c r="AS945" s="26"/>
      <c r="AT945" s="26"/>
      <c r="AU945" s="26"/>
      <c r="AV945" s="26"/>
      <c r="AW945" s="26"/>
      <c r="AX945" s="26"/>
      <c r="AY945" s="26"/>
      <c r="AZ945" s="26"/>
      <c r="BA945" s="26"/>
      <c r="BB945" s="26"/>
      <c r="BC945" s="26"/>
      <c r="BD945" s="26"/>
      <c r="BE945" s="26"/>
      <c r="BF945" s="26"/>
      <c r="BG945" s="26"/>
      <c r="BH945" s="26"/>
      <c r="BI945" s="26"/>
      <c r="BJ945" s="26"/>
      <c r="BK945" s="26"/>
    </row>
    <row r="946" ht="14.25" customHeight="1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  <c r="AA946" s="26"/>
      <c r="AB946" s="26"/>
      <c r="AC946" s="26"/>
      <c r="AD946" s="26"/>
      <c r="AE946" s="26"/>
      <c r="AF946" s="26"/>
      <c r="AG946" s="26"/>
      <c r="AH946" s="26"/>
      <c r="AI946" s="26"/>
      <c r="AJ946" s="26"/>
      <c r="AK946" s="26"/>
      <c r="AL946" s="26"/>
      <c r="AM946" s="26"/>
      <c r="AN946" s="26"/>
      <c r="AO946" s="26"/>
      <c r="AP946" s="26"/>
      <c r="AQ946" s="26"/>
      <c r="AR946" s="26"/>
      <c r="AS946" s="26"/>
      <c r="AT946" s="26"/>
      <c r="AU946" s="26"/>
      <c r="AV946" s="26"/>
      <c r="AW946" s="26"/>
      <c r="AX946" s="26"/>
      <c r="AY946" s="26"/>
      <c r="AZ946" s="26"/>
      <c r="BA946" s="26"/>
      <c r="BB946" s="26"/>
      <c r="BC946" s="26"/>
      <c r="BD946" s="26"/>
      <c r="BE946" s="26"/>
      <c r="BF946" s="26"/>
      <c r="BG946" s="26"/>
      <c r="BH946" s="26"/>
      <c r="BI946" s="26"/>
      <c r="BJ946" s="26"/>
      <c r="BK946" s="26"/>
    </row>
    <row r="947" ht="14.25" customHeight="1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  <c r="AA947" s="26"/>
      <c r="AB947" s="26"/>
      <c r="AC947" s="26"/>
      <c r="AD947" s="26"/>
      <c r="AE947" s="26"/>
      <c r="AF947" s="26"/>
      <c r="AG947" s="26"/>
      <c r="AH947" s="26"/>
      <c r="AI947" s="26"/>
      <c r="AJ947" s="26"/>
      <c r="AK947" s="26"/>
      <c r="AL947" s="26"/>
      <c r="AM947" s="26"/>
      <c r="AN947" s="26"/>
      <c r="AO947" s="26"/>
      <c r="AP947" s="26"/>
      <c r="AQ947" s="26"/>
      <c r="AR947" s="26"/>
      <c r="AS947" s="26"/>
      <c r="AT947" s="26"/>
      <c r="AU947" s="26"/>
      <c r="AV947" s="26"/>
      <c r="AW947" s="26"/>
      <c r="AX947" s="26"/>
      <c r="AY947" s="26"/>
      <c r="AZ947" s="26"/>
      <c r="BA947" s="26"/>
      <c r="BB947" s="26"/>
      <c r="BC947" s="26"/>
      <c r="BD947" s="26"/>
      <c r="BE947" s="26"/>
      <c r="BF947" s="26"/>
      <c r="BG947" s="26"/>
      <c r="BH947" s="26"/>
      <c r="BI947" s="26"/>
      <c r="BJ947" s="26"/>
      <c r="BK947" s="26"/>
    </row>
    <row r="948" ht="14.25" customHeight="1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  <c r="AA948" s="26"/>
      <c r="AB948" s="26"/>
      <c r="AC948" s="26"/>
      <c r="AD948" s="26"/>
      <c r="AE948" s="26"/>
      <c r="AF948" s="26"/>
      <c r="AG948" s="26"/>
      <c r="AH948" s="26"/>
      <c r="AI948" s="26"/>
      <c r="AJ948" s="26"/>
      <c r="AK948" s="26"/>
      <c r="AL948" s="26"/>
      <c r="AM948" s="26"/>
      <c r="AN948" s="26"/>
      <c r="AO948" s="26"/>
      <c r="AP948" s="26"/>
      <c r="AQ948" s="26"/>
      <c r="AR948" s="26"/>
      <c r="AS948" s="26"/>
      <c r="AT948" s="26"/>
      <c r="AU948" s="26"/>
      <c r="AV948" s="26"/>
      <c r="AW948" s="26"/>
      <c r="AX948" s="26"/>
      <c r="AY948" s="26"/>
      <c r="AZ948" s="26"/>
      <c r="BA948" s="26"/>
      <c r="BB948" s="26"/>
      <c r="BC948" s="26"/>
      <c r="BD948" s="26"/>
      <c r="BE948" s="26"/>
      <c r="BF948" s="26"/>
      <c r="BG948" s="26"/>
      <c r="BH948" s="26"/>
      <c r="BI948" s="26"/>
      <c r="BJ948" s="26"/>
      <c r="BK948" s="26"/>
    </row>
    <row r="949" ht="14.25" customHeight="1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  <c r="AA949" s="26"/>
      <c r="AB949" s="26"/>
      <c r="AC949" s="26"/>
      <c r="AD949" s="26"/>
      <c r="AE949" s="26"/>
      <c r="AF949" s="26"/>
      <c r="AG949" s="26"/>
      <c r="AH949" s="26"/>
      <c r="AI949" s="26"/>
      <c r="AJ949" s="26"/>
      <c r="AK949" s="26"/>
      <c r="AL949" s="26"/>
      <c r="AM949" s="26"/>
      <c r="AN949" s="26"/>
      <c r="AO949" s="26"/>
      <c r="AP949" s="26"/>
      <c r="AQ949" s="26"/>
      <c r="AR949" s="26"/>
      <c r="AS949" s="26"/>
      <c r="AT949" s="26"/>
      <c r="AU949" s="26"/>
      <c r="AV949" s="26"/>
      <c r="AW949" s="26"/>
      <c r="AX949" s="26"/>
      <c r="AY949" s="26"/>
      <c r="AZ949" s="26"/>
      <c r="BA949" s="26"/>
      <c r="BB949" s="26"/>
      <c r="BC949" s="26"/>
      <c r="BD949" s="26"/>
      <c r="BE949" s="26"/>
      <c r="BF949" s="26"/>
      <c r="BG949" s="26"/>
      <c r="BH949" s="26"/>
      <c r="BI949" s="26"/>
      <c r="BJ949" s="26"/>
      <c r="BK949" s="26"/>
    </row>
    <row r="950" ht="14.25" customHeight="1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  <c r="AA950" s="26"/>
      <c r="AB950" s="26"/>
      <c r="AC950" s="26"/>
      <c r="AD950" s="26"/>
      <c r="AE950" s="26"/>
      <c r="AF950" s="26"/>
      <c r="AG950" s="26"/>
      <c r="AH950" s="26"/>
      <c r="AI950" s="26"/>
      <c r="AJ950" s="26"/>
      <c r="AK950" s="26"/>
      <c r="AL950" s="26"/>
      <c r="AM950" s="26"/>
      <c r="AN950" s="26"/>
      <c r="AO950" s="26"/>
      <c r="AP950" s="26"/>
      <c r="AQ950" s="26"/>
      <c r="AR950" s="26"/>
      <c r="AS950" s="26"/>
      <c r="AT950" s="26"/>
      <c r="AU950" s="26"/>
      <c r="AV950" s="26"/>
      <c r="AW950" s="26"/>
      <c r="AX950" s="26"/>
      <c r="AY950" s="26"/>
      <c r="AZ950" s="26"/>
      <c r="BA950" s="26"/>
      <c r="BB950" s="26"/>
      <c r="BC950" s="26"/>
      <c r="BD950" s="26"/>
      <c r="BE950" s="26"/>
      <c r="BF950" s="26"/>
      <c r="BG950" s="26"/>
      <c r="BH950" s="26"/>
      <c r="BI950" s="26"/>
      <c r="BJ950" s="26"/>
      <c r="BK950" s="26"/>
    </row>
    <row r="951" ht="14.25" customHeight="1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  <c r="AA951" s="26"/>
      <c r="AB951" s="26"/>
      <c r="AC951" s="26"/>
      <c r="AD951" s="26"/>
      <c r="AE951" s="26"/>
      <c r="AF951" s="26"/>
      <c r="AG951" s="26"/>
      <c r="AH951" s="26"/>
      <c r="AI951" s="26"/>
      <c r="AJ951" s="26"/>
      <c r="AK951" s="26"/>
      <c r="AL951" s="26"/>
      <c r="AM951" s="26"/>
      <c r="AN951" s="26"/>
      <c r="AO951" s="26"/>
      <c r="AP951" s="26"/>
      <c r="AQ951" s="26"/>
      <c r="AR951" s="26"/>
      <c r="AS951" s="26"/>
      <c r="AT951" s="26"/>
      <c r="AU951" s="26"/>
      <c r="AV951" s="26"/>
      <c r="AW951" s="26"/>
      <c r="AX951" s="26"/>
      <c r="AY951" s="26"/>
      <c r="AZ951" s="26"/>
      <c r="BA951" s="26"/>
      <c r="BB951" s="26"/>
      <c r="BC951" s="26"/>
      <c r="BD951" s="26"/>
      <c r="BE951" s="26"/>
      <c r="BF951" s="26"/>
      <c r="BG951" s="26"/>
      <c r="BH951" s="26"/>
      <c r="BI951" s="26"/>
      <c r="BJ951" s="26"/>
      <c r="BK951" s="26"/>
    </row>
    <row r="952" ht="14.25" customHeight="1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  <c r="AA952" s="26"/>
      <c r="AB952" s="26"/>
      <c r="AC952" s="26"/>
      <c r="AD952" s="26"/>
      <c r="AE952" s="26"/>
      <c r="AF952" s="26"/>
      <c r="AG952" s="26"/>
      <c r="AH952" s="26"/>
      <c r="AI952" s="26"/>
      <c r="AJ952" s="26"/>
      <c r="AK952" s="26"/>
      <c r="AL952" s="26"/>
      <c r="AM952" s="26"/>
      <c r="AN952" s="26"/>
      <c r="AO952" s="26"/>
      <c r="AP952" s="26"/>
      <c r="AQ952" s="26"/>
      <c r="AR952" s="26"/>
      <c r="AS952" s="26"/>
      <c r="AT952" s="26"/>
      <c r="AU952" s="26"/>
      <c r="AV952" s="26"/>
      <c r="AW952" s="26"/>
      <c r="AX952" s="26"/>
      <c r="AY952" s="26"/>
      <c r="AZ952" s="26"/>
      <c r="BA952" s="26"/>
      <c r="BB952" s="26"/>
      <c r="BC952" s="26"/>
      <c r="BD952" s="26"/>
      <c r="BE952" s="26"/>
      <c r="BF952" s="26"/>
      <c r="BG952" s="26"/>
      <c r="BH952" s="26"/>
      <c r="BI952" s="26"/>
      <c r="BJ952" s="26"/>
      <c r="BK952" s="26"/>
    </row>
    <row r="953" ht="14.25" customHeight="1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  <c r="AA953" s="26"/>
      <c r="AB953" s="26"/>
      <c r="AC953" s="26"/>
      <c r="AD953" s="26"/>
      <c r="AE953" s="26"/>
      <c r="AF953" s="26"/>
      <c r="AG953" s="26"/>
      <c r="AH953" s="26"/>
      <c r="AI953" s="26"/>
      <c r="AJ953" s="26"/>
      <c r="AK953" s="26"/>
      <c r="AL953" s="26"/>
      <c r="AM953" s="26"/>
      <c r="AN953" s="26"/>
      <c r="AO953" s="26"/>
      <c r="AP953" s="26"/>
      <c r="AQ953" s="26"/>
      <c r="AR953" s="26"/>
      <c r="AS953" s="26"/>
      <c r="AT953" s="26"/>
      <c r="AU953" s="26"/>
      <c r="AV953" s="26"/>
      <c r="AW953" s="26"/>
      <c r="AX953" s="26"/>
      <c r="AY953" s="26"/>
      <c r="AZ953" s="26"/>
      <c r="BA953" s="26"/>
      <c r="BB953" s="26"/>
      <c r="BC953" s="26"/>
      <c r="BD953" s="26"/>
      <c r="BE953" s="26"/>
      <c r="BF953" s="26"/>
      <c r="BG953" s="26"/>
      <c r="BH953" s="26"/>
      <c r="BI953" s="26"/>
      <c r="BJ953" s="26"/>
      <c r="BK953" s="26"/>
    </row>
    <row r="954" ht="14.25" customHeight="1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  <c r="AA954" s="26"/>
      <c r="AB954" s="26"/>
      <c r="AC954" s="26"/>
      <c r="AD954" s="26"/>
      <c r="AE954" s="26"/>
      <c r="AF954" s="26"/>
      <c r="AG954" s="26"/>
      <c r="AH954" s="26"/>
      <c r="AI954" s="26"/>
      <c r="AJ954" s="26"/>
      <c r="AK954" s="26"/>
      <c r="AL954" s="26"/>
      <c r="AM954" s="26"/>
      <c r="AN954" s="26"/>
      <c r="AO954" s="26"/>
      <c r="AP954" s="26"/>
      <c r="AQ954" s="26"/>
      <c r="AR954" s="26"/>
      <c r="AS954" s="26"/>
      <c r="AT954" s="26"/>
      <c r="AU954" s="26"/>
      <c r="AV954" s="26"/>
      <c r="AW954" s="26"/>
      <c r="AX954" s="26"/>
      <c r="AY954" s="26"/>
      <c r="AZ954" s="26"/>
      <c r="BA954" s="26"/>
      <c r="BB954" s="26"/>
      <c r="BC954" s="26"/>
      <c r="BD954" s="26"/>
      <c r="BE954" s="26"/>
      <c r="BF954" s="26"/>
      <c r="BG954" s="26"/>
      <c r="BH954" s="26"/>
      <c r="BI954" s="26"/>
      <c r="BJ954" s="26"/>
      <c r="BK954" s="26"/>
    </row>
    <row r="955" ht="14.25" customHeight="1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  <c r="AA955" s="26"/>
      <c r="AB955" s="26"/>
      <c r="AC955" s="26"/>
      <c r="AD955" s="26"/>
      <c r="AE955" s="26"/>
      <c r="AF955" s="26"/>
      <c r="AG955" s="26"/>
      <c r="AH955" s="26"/>
      <c r="AI955" s="26"/>
      <c r="AJ955" s="26"/>
      <c r="AK955" s="26"/>
      <c r="AL955" s="26"/>
      <c r="AM955" s="26"/>
      <c r="AN955" s="26"/>
      <c r="AO955" s="26"/>
      <c r="AP955" s="26"/>
      <c r="AQ955" s="26"/>
      <c r="AR955" s="26"/>
      <c r="AS955" s="26"/>
      <c r="AT955" s="26"/>
      <c r="AU955" s="26"/>
      <c r="AV955" s="26"/>
      <c r="AW955" s="26"/>
      <c r="AX955" s="26"/>
      <c r="AY955" s="26"/>
      <c r="AZ955" s="26"/>
      <c r="BA955" s="26"/>
      <c r="BB955" s="26"/>
      <c r="BC955" s="26"/>
      <c r="BD955" s="26"/>
      <c r="BE955" s="26"/>
      <c r="BF955" s="26"/>
      <c r="BG955" s="26"/>
      <c r="BH955" s="26"/>
      <c r="BI955" s="26"/>
      <c r="BJ955" s="26"/>
      <c r="BK955" s="26"/>
    </row>
    <row r="956" ht="14.25" customHeight="1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  <c r="AA956" s="26"/>
      <c r="AB956" s="26"/>
      <c r="AC956" s="26"/>
      <c r="AD956" s="26"/>
      <c r="AE956" s="26"/>
      <c r="AF956" s="26"/>
      <c r="AG956" s="26"/>
      <c r="AH956" s="26"/>
      <c r="AI956" s="26"/>
      <c r="AJ956" s="26"/>
      <c r="AK956" s="26"/>
      <c r="AL956" s="26"/>
      <c r="AM956" s="26"/>
      <c r="AN956" s="26"/>
      <c r="AO956" s="26"/>
      <c r="AP956" s="26"/>
      <c r="AQ956" s="26"/>
      <c r="AR956" s="26"/>
      <c r="AS956" s="26"/>
      <c r="AT956" s="26"/>
      <c r="AU956" s="26"/>
      <c r="AV956" s="26"/>
      <c r="AW956" s="26"/>
      <c r="AX956" s="26"/>
      <c r="AY956" s="26"/>
      <c r="AZ956" s="26"/>
      <c r="BA956" s="26"/>
      <c r="BB956" s="26"/>
      <c r="BC956" s="26"/>
      <c r="BD956" s="26"/>
      <c r="BE956" s="26"/>
      <c r="BF956" s="26"/>
      <c r="BG956" s="26"/>
      <c r="BH956" s="26"/>
      <c r="BI956" s="26"/>
      <c r="BJ956" s="26"/>
      <c r="BK956" s="26"/>
    </row>
    <row r="957" ht="14.25" customHeight="1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  <c r="AA957" s="26"/>
      <c r="AB957" s="26"/>
      <c r="AC957" s="26"/>
      <c r="AD957" s="26"/>
      <c r="AE957" s="26"/>
      <c r="AF957" s="26"/>
      <c r="AG957" s="26"/>
      <c r="AH957" s="26"/>
      <c r="AI957" s="26"/>
      <c r="AJ957" s="26"/>
      <c r="AK957" s="26"/>
      <c r="AL957" s="26"/>
      <c r="AM957" s="26"/>
      <c r="AN957" s="26"/>
      <c r="AO957" s="26"/>
      <c r="AP957" s="26"/>
      <c r="AQ957" s="26"/>
      <c r="AR957" s="26"/>
      <c r="AS957" s="26"/>
      <c r="AT957" s="26"/>
      <c r="AU957" s="26"/>
      <c r="AV957" s="26"/>
      <c r="AW957" s="26"/>
      <c r="AX957" s="26"/>
      <c r="AY957" s="26"/>
      <c r="AZ957" s="26"/>
      <c r="BA957" s="26"/>
      <c r="BB957" s="26"/>
      <c r="BC957" s="26"/>
      <c r="BD957" s="26"/>
      <c r="BE957" s="26"/>
      <c r="BF957" s="26"/>
      <c r="BG957" s="26"/>
      <c r="BH957" s="26"/>
      <c r="BI957" s="26"/>
      <c r="BJ957" s="26"/>
      <c r="BK957" s="26"/>
    </row>
    <row r="958" ht="14.25" customHeight="1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  <c r="AA958" s="26"/>
      <c r="AB958" s="26"/>
      <c r="AC958" s="26"/>
      <c r="AD958" s="26"/>
      <c r="AE958" s="26"/>
      <c r="AF958" s="26"/>
      <c r="AG958" s="26"/>
      <c r="AH958" s="26"/>
      <c r="AI958" s="26"/>
      <c r="AJ958" s="26"/>
      <c r="AK958" s="26"/>
      <c r="AL958" s="26"/>
      <c r="AM958" s="26"/>
      <c r="AN958" s="26"/>
      <c r="AO958" s="26"/>
      <c r="AP958" s="26"/>
      <c r="AQ958" s="26"/>
      <c r="AR958" s="26"/>
      <c r="AS958" s="26"/>
      <c r="AT958" s="26"/>
      <c r="AU958" s="26"/>
      <c r="AV958" s="26"/>
      <c r="AW958" s="26"/>
      <c r="AX958" s="26"/>
      <c r="AY958" s="26"/>
      <c r="AZ958" s="26"/>
      <c r="BA958" s="26"/>
      <c r="BB958" s="26"/>
      <c r="BC958" s="26"/>
      <c r="BD958" s="26"/>
      <c r="BE958" s="26"/>
      <c r="BF958" s="26"/>
      <c r="BG958" s="26"/>
      <c r="BH958" s="26"/>
      <c r="BI958" s="26"/>
      <c r="BJ958" s="26"/>
      <c r="BK958" s="26"/>
    </row>
    <row r="959" ht="14.25" customHeight="1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  <c r="AA959" s="26"/>
      <c r="AB959" s="26"/>
      <c r="AC959" s="26"/>
      <c r="AD959" s="26"/>
      <c r="AE959" s="26"/>
      <c r="AF959" s="26"/>
      <c r="AG959" s="26"/>
      <c r="AH959" s="26"/>
      <c r="AI959" s="26"/>
      <c r="AJ959" s="26"/>
      <c r="AK959" s="26"/>
      <c r="AL959" s="26"/>
      <c r="AM959" s="26"/>
      <c r="AN959" s="26"/>
      <c r="AO959" s="26"/>
      <c r="AP959" s="26"/>
      <c r="AQ959" s="26"/>
      <c r="AR959" s="26"/>
      <c r="AS959" s="26"/>
      <c r="AT959" s="26"/>
      <c r="AU959" s="26"/>
      <c r="AV959" s="26"/>
      <c r="AW959" s="26"/>
      <c r="AX959" s="26"/>
      <c r="AY959" s="26"/>
      <c r="AZ959" s="26"/>
      <c r="BA959" s="26"/>
      <c r="BB959" s="26"/>
      <c r="BC959" s="26"/>
      <c r="BD959" s="26"/>
      <c r="BE959" s="26"/>
      <c r="BF959" s="26"/>
      <c r="BG959" s="26"/>
      <c r="BH959" s="26"/>
      <c r="BI959" s="26"/>
      <c r="BJ959" s="26"/>
      <c r="BK959" s="26"/>
    </row>
    <row r="960" ht="14.25" customHeight="1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  <c r="AA960" s="26"/>
      <c r="AB960" s="26"/>
      <c r="AC960" s="26"/>
      <c r="AD960" s="26"/>
      <c r="AE960" s="26"/>
      <c r="AF960" s="26"/>
      <c r="AG960" s="26"/>
      <c r="AH960" s="26"/>
      <c r="AI960" s="26"/>
      <c r="AJ960" s="26"/>
      <c r="AK960" s="26"/>
      <c r="AL960" s="26"/>
      <c r="AM960" s="26"/>
      <c r="AN960" s="26"/>
      <c r="AO960" s="26"/>
      <c r="AP960" s="26"/>
      <c r="AQ960" s="26"/>
      <c r="AR960" s="26"/>
      <c r="AS960" s="26"/>
      <c r="AT960" s="26"/>
      <c r="AU960" s="26"/>
      <c r="AV960" s="26"/>
      <c r="AW960" s="26"/>
      <c r="AX960" s="26"/>
      <c r="AY960" s="26"/>
      <c r="AZ960" s="26"/>
      <c r="BA960" s="26"/>
      <c r="BB960" s="26"/>
      <c r="BC960" s="26"/>
      <c r="BD960" s="26"/>
      <c r="BE960" s="26"/>
      <c r="BF960" s="26"/>
      <c r="BG960" s="26"/>
      <c r="BH960" s="26"/>
      <c r="BI960" s="26"/>
      <c r="BJ960" s="26"/>
      <c r="BK960" s="26"/>
    </row>
    <row r="961" ht="14.25" customHeight="1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  <c r="AA961" s="26"/>
      <c r="AB961" s="26"/>
      <c r="AC961" s="26"/>
      <c r="AD961" s="26"/>
      <c r="AE961" s="26"/>
      <c r="AF961" s="26"/>
      <c r="AG961" s="26"/>
      <c r="AH961" s="26"/>
      <c r="AI961" s="26"/>
      <c r="AJ961" s="26"/>
      <c r="AK961" s="26"/>
      <c r="AL961" s="26"/>
      <c r="AM961" s="26"/>
      <c r="AN961" s="26"/>
      <c r="AO961" s="26"/>
      <c r="AP961" s="26"/>
      <c r="AQ961" s="26"/>
      <c r="AR961" s="26"/>
      <c r="AS961" s="26"/>
      <c r="AT961" s="26"/>
      <c r="AU961" s="26"/>
      <c r="AV961" s="26"/>
      <c r="AW961" s="26"/>
      <c r="AX961" s="26"/>
      <c r="AY961" s="26"/>
      <c r="AZ961" s="26"/>
      <c r="BA961" s="26"/>
      <c r="BB961" s="26"/>
      <c r="BC961" s="26"/>
      <c r="BD961" s="26"/>
      <c r="BE961" s="26"/>
      <c r="BF961" s="26"/>
      <c r="BG961" s="26"/>
      <c r="BH961" s="26"/>
      <c r="BI961" s="26"/>
      <c r="BJ961" s="26"/>
      <c r="BK961" s="26"/>
    </row>
    <row r="962" ht="14.25" customHeight="1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  <c r="AA962" s="26"/>
      <c r="AB962" s="26"/>
      <c r="AC962" s="26"/>
      <c r="AD962" s="26"/>
      <c r="AE962" s="26"/>
      <c r="AF962" s="26"/>
      <c r="AG962" s="26"/>
      <c r="AH962" s="26"/>
      <c r="AI962" s="26"/>
      <c r="AJ962" s="26"/>
      <c r="AK962" s="26"/>
      <c r="AL962" s="26"/>
      <c r="AM962" s="26"/>
      <c r="AN962" s="26"/>
      <c r="AO962" s="26"/>
      <c r="AP962" s="26"/>
      <c r="AQ962" s="26"/>
      <c r="AR962" s="26"/>
      <c r="AS962" s="26"/>
      <c r="AT962" s="26"/>
      <c r="AU962" s="26"/>
      <c r="AV962" s="26"/>
      <c r="AW962" s="26"/>
      <c r="AX962" s="26"/>
      <c r="AY962" s="26"/>
      <c r="AZ962" s="26"/>
      <c r="BA962" s="26"/>
      <c r="BB962" s="26"/>
      <c r="BC962" s="26"/>
      <c r="BD962" s="26"/>
      <c r="BE962" s="26"/>
      <c r="BF962" s="26"/>
      <c r="BG962" s="26"/>
      <c r="BH962" s="26"/>
      <c r="BI962" s="26"/>
      <c r="BJ962" s="26"/>
      <c r="BK962" s="26"/>
    </row>
    <row r="963" ht="14.25" customHeight="1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  <c r="AA963" s="26"/>
      <c r="AB963" s="26"/>
      <c r="AC963" s="26"/>
      <c r="AD963" s="26"/>
      <c r="AE963" s="26"/>
      <c r="AF963" s="26"/>
      <c r="AG963" s="26"/>
      <c r="AH963" s="26"/>
      <c r="AI963" s="26"/>
      <c r="AJ963" s="26"/>
      <c r="AK963" s="26"/>
      <c r="AL963" s="26"/>
      <c r="AM963" s="26"/>
      <c r="AN963" s="26"/>
      <c r="AO963" s="26"/>
      <c r="AP963" s="26"/>
      <c r="AQ963" s="26"/>
      <c r="AR963" s="26"/>
      <c r="AS963" s="26"/>
      <c r="AT963" s="26"/>
      <c r="AU963" s="26"/>
      <c r="AV963" s="26"/>
      <c r="AW963" s="26"/>
      <c r="AX963" s="26"/>
      <c r="AY963" s="26"/>
      <c r="AZ963" s="26"/>
      <c r="BA963" s="26"/>
      <c r="BB963" s="26"/>
      <c r="BC963" s="26"/>
      <c r="BD963" s="26"/>
      <c r="BE963" s="26"/>
      <c r="BF963" s="26"/>
      <c r="BG963" s="26"/>
      <c r="BH963" s="26"/>
      <c r="BI963" s="26"/>
      <c r="BJ963" s="26"/>
      <c r="BK963" s="26"/>
    </row>
    <row r="964" ht="14.25" customHeight="1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  <c r="AA964" s="26"/>
      <c r="AB964" s="26"/>
      <c r="AC964" s="26"/>
      <c r="AD964" s="26"/>
      <c r="AE964" s="26"/>
      <c r="AF964" s="26"/>
      <c r="AG964" s="26"/>
      <c r="AH964" s="26"/>
      <c r="AI964" s="26"/>
      <c r="AJ964" s="26"/>
      <c r="AK964" s="26"/>
      <c r="AL964" s="26"/>
      <c r="AM964" s="26"/>
      <c r="AN964" s="26"/>
      <c r="AO964" s="26"/>
      <c r="AP964" s="26"/>
      <c r="AQ964" s="26"/>
      <c r="AR964" s="26"/>
      <c r="AS964" s="26"/>
      <c r="AT964" s="26"/>
      <c r="AU964" s="26"/>
      <c r="AV964" s="26"/>
      <c r="AW964" s="26"/>
      <c r="AX964" s="26"/>
      <c r="AY964" s="26"/>
      <c r="AZ964" s="26"/>
      <c r="BA964" s="26"/>
      <c r="BB964" s="26"/>
      <c r="BC964" s="26"/>
      <c r="BD964" s="26"/>
      <c r="BE964" s="26"/>
      <c r="BF964" s="26"/>
      <c r="BG964" s="26"/>
      <c r="BH964" s="26"/>
      <c r="BI964" s="26"/>
      <c r="BJ964" s="26"/>
      <c r="BK964" s="26"/>
    </row>
    <row r="965" ht="14.25" customHeight="1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  <c r="AA965" s="26"/>
      <c r="AB965" s="26"/>
      <c r="AC965" s="26"/>
      <c r="AD965" s="26"/>
      <c r="AE965" s="26"/>
      <c r="AF965" s="26"/>
      <c r="AG965" s="26"/>
      <c r="AH965" s="26"/>
      <c r="AI965" s="26"/>
      <c r="AJ965" s="26"/>
      <c r="AK965" s="26"/>
      <c r="AL965" s="26"/>
      <c r="AM965" s="26"/>
      <c r="AN965" s="26"/>
      <c r="AO965" s="26"/>
      <c r="AP965" s="26"/>
      <c r="AQ965" s="26"/>
      <c r="AR965" s="26"/>
      <c r="AS965" s="26"/>
      <c r="AT965" s="26"/>
      <c r="AU965" s="26"/>
      <c r="AV965" s="26"/>
      <c r="AW965" s="26"/>
      <c r="AX965" s="26"/>
      <c r="AY965" s="26"/>
      <c r="AZ965" s="26"/>
      <c r="BA965" s="26"/>
      <c r="BB965" s="26"/>
      <c r="BC965" s="26"/>
      <c r="BD965" s="26"/>
      <c r="BE965" s="26"/>
      <c r="BF965" s="26"/>
      <c r="BG965" s="26"/>
      <c r="BH965" s="26"/>
      <c r="BI965" s="26"/>
      <c r="BJ965" s="26"/>
      <c r="BK965" s="26"/>
    </row>
    <row r="966" ht="14.25" customHeight="1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  <c r="AA966" s="26"/>
      <c r="AB966" s="26"/>
      <c r="AC966" s="26"/>
      <c r="AD966" s="26"/>
      <c r="AE966" s="26"/>
      <c r="AF966" s="26"/>
      <c r="AG966" s="26"/>
      <c r="AH966" s="26"/>
      <c r="AI966" s="26"/>
      <c r="AJ966" s="26"/>
      <c r="AK966" s="26"/>
      <c r="AL966" s="26"/>
      <c r="AM966" s="26"/>
      <c r="AN966" s="26"/>
      <c r="AO966" s="26"/>
      <c r="AP966" s="26"/>
      <c r="AQ966" s="26"/>
      <c r="AR966" s="26"/>
      <c r="AS966" s="26"/>
      <c r="AT966" s="26"/>
      <c r="AU966" s="26"/>
      <c r="AV966" s="26"/>
      <c r="AW966" s="26"/>
      <c r="AX966" s="26"/>
      <c r="AY966" s="26"/>
      <c r="AZ966" s="26"/>
      <c r="BA966" s="26"/>
      <c r="BB966" s="26"/>
      <c r="BC966" s="26"/>
      <c r="BD966" s="26"/>
      <c r="BE966" s="26"/>
      <c r="BF966" s="26"/>
      <c r="BG966" s="26"/>
      <c r="BH966" s="26"/>
      <c r="BI966" s="26"/>
      <c r="BJ966" s="26"/>
      <c r="BK966" s="26"/>
    </row>
    <row r="967" ht="14.25" customHeight="1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  <c r="AA967" s="26"/>
      <c r="AB967" s="26"/>
      <c r="AC967" s="26"/>
      <c r="AD967" s="26"/>
      <c r="AE967" s="26"/>
      <c r="AF967" s="26"/>
      <c r="AG967" s="26"/>
      <c r="AH967" s="26"/>
      <c r="AI967" s="26"/>
      <c r="AJ967" s="26"/>
      <c r="AK967" s="26"/>
      <c r="AL967" s="26"/>
      <c r="AM967" s="26"/>
      <c r="AN967" s="26"/>
      <c r="AO967" s="26"/>
      <c r="AP967" s="26"/>
      <c r="AQ967" s="26"/>
      <c r="AR967" s="26"/>
      <c r="AS967" s="26"/>
      <c r="AT967" s="26"/>
      <c r="AU967" s="26"/>
      <c r="AV967" s="26"/>
      <c r="AW967" s="26"/>
      <c r="AX967" s="26"/>
      <c r="AY967" s="26"/>
      <c r="AZ967" s="26"/>
      <c r="BA967" s="26"/>
      <c r="BB967" s="26"/>
      <c r="BC967" s="26"/>
      <c r="BD967" s="26"/>
      <c r="BE967" s="26"/>
      <c r="BF967" s="26"/>
      <c r="BG967" s="26"/>
      <c r="BH967" s="26"/>
      <c r="BI967" s="26"/>
      <c r="BJ967" s="26"/>
      <c r="BK967" s="26"/>
    </row>
    <row r="968" ht="14.25" customHeight="1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  <c r="AA968" s="26"/>
      <c r="AB968" s="26"/>
      <c r="AC968" s="26"/>
      <c r="AD968" s="26"/>
      <c r="AE968" s="26"/>
      <c r="AF968" s="26"/>
      <c r="AG968" s="26"/>
      <c r="AH968" s="26"/>
      <c r="AI968" s="26"/>
      <c r="AJ968" s="26"/>
      <c r="AK968" s="26"/>
      <c r="AL968" s="26"/>
      <c r="AM968" s="26"/>
      <c r="AN968" s="26"/>
      <c r="AO968" s="26"/>
      <c r="AP968" s="26"/>
      <c r="AQ968" s="26"/>
      <c r="AR968" s="26"/>
      <c r="AS968" s="26"/>
      <c r="AT968" s="26"/>
      <c r="AU968" s="26"/>
      <c r="AV968" s="26"/>
      <c r="AW968" s="26"/>
      <c r="AX968" s="26"/>
      <c r="AY968" s="26"/>
      <c r="AZ968" s="26"/>
      <c r="BA968" s="26"/>
      <c r="BB968" s="26"/>
      <c r="BC968" s="26"/>
      <c r="BD968" s="26"/>
      <c r="BE968" s="26"/>
      <c r="BF968" s="26"/>
      <c r="BG968" s="26"/>
      <c r="BH968" s="26"/>
      <c r="BI968" s="26"/>
      <c r="BJ968" s="26"/>
      <c r="BK968" s="26"/>
    </row>
    <row r="969" ht="14.25" customHeight="1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  <c r="AA969" s="26"/>
      <c r="AB969" s="26"/>
      <c r="AC969" s="26"/>
      <c r="AD969" s="26"/>
      <c r="AE969" s="26"/>
      <c r="AF969" s="26"/>
      <c r="AG969" s="26"/>
      <c r="AH969" s="26"/>
      <c r="AI969" s="26"/>
      <c r="AJ969" s="26"/>
      <c r="AK969" s="26"/>
      <c r="AL969" s="26"/>
      <c r="AM969" s="26"/>
      <c r="AN969" s="26"/>
      <c r="AO969" s="26"/>
      <c r="AP969" s="26"/>
      <c r="AQ969" s="26"/>
      <c r="AR969" s="26"/>
      <c r="AS969" s="26"/>
      <c r="AT969" s="26"/>
      <c r="AU969" s="26"/>
      <c r="AV969" s="26"/>
      <c r="AW969" s="26"/>
      <c r="AX969" s="26"/>
      <c r="AY969" s="26"/>
      <c r="AZ969" s="26"/>
      <c r="BA969" s="26"/>
      <c r="BB969" s="26"/>
      <c r="BC969" s="26"/>
      <c r="BD969" s="26"/>
      <c r="BE969" s="26"/>
      <c r="BF969" s="26"/>
      <c r="BG969" s="26"/>
      <c r="BH969" s="26"/>
      <c r="BI969" s="26"/>
      <c r="BJ969" s="26"/>
      <c r="BK969" s="26"/>
    </row>
    <row r="970" ht="14.25" customHeight="1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  <c r="AA970" s="26"/>
      <c r="AB970" s="26"/>
      <c r="AC970" s="26"/>
      <c r="AD970" s="26"/>
      <c r="AE970" s="26"/>
      <c r="AF970" s="26"/>
      <c r="AG970" s="26"/>
      <c r="AH970" s="26"/>
      <c r="AI970" s="26"/>
      <c r="AJ970" s="26"/>
      <c r="AK970" s="26"/>
      <c r="AL970" s="26"/>
      <c r="AM970" s="26"/>
      <c r="AN970" s="26"/>
      <c r="AO970" s="26"/>
      <c r="AP970" s="26"/>
      <c r="AQ970" s="26"/>
      <c r="AR970" s="26"/>
      <c r="AS970" s="26"/>
      <c r="AT970" s="26"/>
      <c r="AU970" s="26"/>
      <c r="AV970" s="26"/>
      <c r="AW970" s="26"/>
      <c r="AX970" s="26"/>
      <c r="AY970" s="26"/>
      <c r="AZ970" s="26"/>
      <c r="BA970" s="26"/>
      <c r="BB970" s="26"/>
      <c r="BC970" s="26"/>
      <c r="BD970" s="26"/>
      <c r="BE970" s="26"/>
      <c r="BF970" s="26"/>
      <c r="BG970" s="26"/>
      <c r="BH970" s="26"/>
      <c r="BI970" s="26"/>
      <c r="BJ970" s="26"/>
      <c r="BK970" s="26"/>
    </row>
    <row r="971" ht="14.25" customHeight="1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  <c r="AA971" s="26"/>
      <c r="AB971" s="26"/>
      <c r="AC971" s="26"/>
      <c r="AD971" s="26"/>
      <c r="AE971" s="26"/>
      <c r="AF971" s="26"/>
      <c r="AG971" s="26"/>
      <c r="AH971" s="26"/>
      <c r="AI971" s="26"/>
      <c r="AJ971" s="26"/>
      <c r="AK971" s="26"/>
      <c r="AL971" s="26"/>
      <c r="AM971" s="26"/>
      <c r="AN971" s="26"/>
      <c r="AO971" s="26"/>
      <c r="AP971" s="26"/>
      <c r="AQ971" s="26"/>
      <c r="AR971" s="26"/>
      <c r="AS971" s="26"/>
      <c r="AT971" s="26"/>
      <c r="AU971" s="26"/>
      <c r="AV971" s="26"/>
      <c r="AW971" s="26"/>
      <c r="AX971" s="26"/>
      <c r="AY971" s="26"/>
      <c r="AZ971" s="26"/>
      <c r="BA971" s="26"/>
      <c r="BB971" s="26"/>
      <c r="BC971" s="26"/>
      <c r="BD971" s="26"/>
      <c r="BE971" s="26"/>
      <c r="BF971" s="26"/>
      <c r="BG971" s="26"/>
      <c r="BH971" s="26"/>
      <c r="BI971" s="26"/>
      <c r="BJ971" s="26"/>
      <c r="BK971" s="26"/>
    </row>
    <row r="972" ht="14.25" customHeight="1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  <c r="AA972" s="26"/>
      <c r="AB972" s="26"/>
      <c r="AC972" s="26"/>
      <c r="AD972" s="26"/>
      <c r="AE972" s="26"/>
      <c r="AF972" s="26"/>
      <c r="AG972" s="26"/>
      <c r="AH972" s="26"/>
      <c r="AI972" s="26"/>
      <c r="AJ972" s="26"/>
      <c r="AK972" s="26"/>
      <c r="AL972" s="26"/>
      <c r="AM972" s="26"/>
      <c r="AN972" s="26"/>
      <c r="AO972" s="26"/>
      <c r="AP972" s="26"/>
      <c r="AQ972" s="26"/>
      <c r="AR972" s="26"/>
      <c r="AS972" s="26"/>
      <c r="AT972" s="26"/>
      <c r="AU972" s="26"/>
      <c r="AV972" s="26"/>
      <c r="AW972" s="26"/>
      <c r="AX972" s="26"/>
      <c r="AY972" s="26"/>
      <c r="AZ972" s="26"/>
      <c r="BA972" s="26"/>
      <c r="BB972" s="26"/>
      <c r="BC972" s="26"/>
      <c r="BD972" s="26"/>
      <c r="BE972" s="26"/>
      <c r="BF972" s="26"/>
      <c r="BG972" s="26"/>
      <c r="BH972" s="26"/>
      <c r="BI972" s="26"/>
      <c r="BJ972" s="26"/>
      <c r="BK972" s="26"/>
    </row>
    <row r="973" ht="14.25" customHeight="1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  <c r="AA973" s="26"/>
      <c r="AB973" s="26"/>
      <c r="AC973" s="26"/>
      <c r="AD973" s="26"/>
      <c r="AE973" s="26"/>
      <c r="AF973" s="26"/>
      <c r="AG973" s="26"/>
      <c r="AH973" s="26"/>
      <c r="AI973" s="26"/>
      <c r="AJ973" s="26"/>
      <c r="AK973" s="26"/>
      <c r="AL973" s="26"/>
      <c r="AM973" s="26"/>
      <c r="AN973" s="26"/>
      <c r="AO973" s="26"/>
      <c r="AP973" s="26"/>
      <c r="AQ973" s="26"/>
      <c r="AR973" s="26"/>
      <c r="AS973" s="26"/>
      <c r="AT973" s="26"/>
      <c r="AU973" s="26"/>
      <c r="AV973" s="26"/>
      <c r="AW973" s="26"/>
      <c r="AX973" s="26"/>
      <c r="AY973" s="26"/>
      <c r="AZ973" s="26"/>
      <c r="BA973" s="26"/>
      <c r="BB973" s="26"/>
      <c r="BC973" s="26"/>
      <c r="BD973" s="26"/>
      <c r="BE973" s="26"/>
      <c r="BF973" s="26"/>
      <c r="BG973" s="26"/>
      <c r="BH973" s="26"/>
      <c r="BI973" s="26"/>
      <c r="BJ973" s="26"/>
      <c r="BK973" s="26"/>
    </row>
    <row r="974" ht="14.25" customHeight="1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  <c r="AA974" s="26"/>
      <c r="AB974" s="26"/>
      <c r="AC974" s="26"/>
      <c r="AD974" s="26"/>
      <c r="AE974" s="26"/>
      <c r="AF974" s="26"/>
      <c r="AG974" s="26"/>
      <c r="AH974" s="26"/>
      <c r="AI974" s="26"/>
      <c r="AJ974" s="26"/>
      <c r="AK974" s="26"/>
      <c r="AL974" s="26"/>
      <c r="AM974" s="26"/>
      <c r="AN974" s="26"/>
      <c r="AO974" s="26"/>
      <c r="AP974" s="26"/>
      <c r="AQ974" s="26"/>
      <c r="AR974" s="26"/>
      <c r="AS974" s="26"/>
      <c r="AT974" s="26"/>
      <c r="AU974" s="26"/>
      <c r="AV974" s="26"/>
      <c r="AW974" s="26"/>
      <c r="AX974" s="26"/>
      <c r="AY974" s="26"/>
      <c r="AZ974" s="26"/>
      <c r="BA974" s="26"/>
      <c r="BB974" s="26"/>
      <c r="BC974" s="26"/>
      <c r="BD974" s="26"/>
      <c r="BE974" s="26"/>
      <c r="BF974" s="26"/>
      <c r="BG974" s="26"/>
      <c r="BH974" s="26"/>
      <c r="BI974" s="26"/>
      <c r="BJ974" s="26"/>
      <c r="BK974" s="26"/>
    </row>
    <row r="975" ht="14.25" customHeight="1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  <c r="AA975" s="26"/>
      <c r="AB975" s="26"/>
      <c r="AC975" s="26"/>
      <c r="AD975" s="26"/>
      <c r="AE975" s="26"/>
      <c r="AF975" s="26"/>
      <c r="AG975" s="26"/>
      <c r="AH975" s="26"/>
      <c r="AI975" s="26"/>
      <c r="AJ975" s="26"/>
      <c r="AK975" s="26"/>
      <c r="AL975" s="26"/>
      <c r="AM975" s="26"/>
      <c r="AN975" s="26"/>
      <c r="AO975" s="26"/>
      <c r="AP975" s="26"/>
      <c r="AQ975" s="26"/>
      <c r="AR975" s="26"/>
      <c r="AS975" s="26"/>
      <c r="AT975" s="26"/>
      <c r="AU975" s="26"/>
      <c r="AV975" s="26"/>
      <c r="AW975" s="26"/>
      <c r="AX975" s="26"/>
      <c r="AY975" s="26"/>
      <c r="AZ975" s="26"/>
      <c r="BA975" s="26"/>
      <c r="BB975" s="26"/>
      <c r="BC975" s="26"/>
      <c r="BD975" s="26"/>
      <c r="BE975" s="26"/>
      <c r="BF975" s="26"/>
      <c r="BG975" s="26"/>
      <c r="BH975" s="26"/>
      <c r="BI975" s="26"/>
      <c r="BJ975" s="26"/>
      <c r="BK975" s="26"/>
    </row>
    <row r="976" ht="14.25" customHeight="1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  <c r="AA976" s="26"/>
      <c r="AB976" s="26"/>
      <c r="AC976" s="26"/>
      <c r="AD976" s="26"/>
      <c r="AE976" s="26"/>
      <c r="AF976" s="26"/>
      <c r="AG976" s="26"/>
      <c r="AH976" s="26"/>
      <c r="AI976" s="26"/>
      <c r="AJ976" s="26"/>
      <c r="AK976" s="26"/>
      <c r="AL976" s="26"/>
      <c r="AM976" s="26"/>
      <c r="AN976" s="26"/>
      <c r="AO976" s="26"/>
      <c r="AP976" s="26"/>
      <c r="AQ976" s="26"/>
      <c r="AR976" s="26"/>
      <c r="AS976" s="26"/>
      <c r="AT976" s="26"/>
      <c r="AU976" s="26"/>
      <c r="AV976" s="26"/>
      <c r="AW976" s="26"/>
      <c r="AX976" s="26"/>
      <c r="AY976" s="26"/>
      <c r="AZ976" s="26"/>
      <c r="BA976" s="26"/>
      <c r="BB976" s="26"/>
      <c r="BC976" s="26"/>
      <c r="BD976" s="26"/>
      <c r="BE976" s="26"/>
      <c r="BF976" s="26"/>
      <c r="BG976" s="26"/>
      <c r="BH976" s="26"/>
      <c r="BI976" s="26"/>
      <c r="BJ976" s="26"/>
      <c r="BK976" s="26"/>
    </row>
    <row r="977" ht="14.25" customHeight="1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  <c r="AA977" s="26"/>
      <c r="AB977" s="26"/>
      <c r="AC977" s="26"/>
      <c r="AD977" s="26"/>
      <c r="AE977" s="26"/>
      <c r="AF977" s="26"/>
      <c r="AG977" s="26"/>
      <c r="AH977" s="26"/>
      <c r="AI977" s="26"/>
      <c r="AJ977" s="26"/>
      <c r="AK977" s="26"/>
      <c r="AL977" s="26"/>
      <c r="AM977" s="26"/>
      <c r="AN977" s="26"/>
      <c r="AO977" s="26"/>
      <c r="AP977" s="26"/>
      <c r="AQ977" s="26"/>
      <c r="AR977" s="26"/>
      <c r="AS977" s="26"/>
      <c r="AT977" s="26"/>
      <c r="AU977" s="26"/>
      <c r="AV977" s="26"/>
      <c r="AW977" s="26"/>
      <c r="AX977" s="26"/>
      <c r="AY977" s="26"/>
      <c r="AZ977" s="26"/>
      <c r="BA977" s="26"/>
      <c r="BB977" s="26"/>
      <c r="BC977" s="26"/>
      <c r="BD977" s="26"/>
      <c r="BE977" s="26"/>
      <c r="BF977" s="26"/>
      <c r="BG977" s="26"/>
      <c r="BH977" s="26"/>
      <c r="BI977" s="26"/>
      <c r="BJ977" s="26"/>
      <c r="BK977" s="26"/>
    </row>
    <row r="978" ht="14.25" customHeight="1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  <c r="AA978" s="26"/>
      <c r="AB978" s="26"/>
      <c r="AC978" s="26"/>
      <c r="AD978" s="26"/>
      <c r="AE978" s="26"/>
      <c r="AF978" s="26"/>
      <c r="AG978" s="26"/>
      <c r="AH978" s="26"/>
      <c r="AI978" s="26"/>
      <c r="AJ978" s="26"/>
      <c r="AK978" s="26"/>
      <c r="AL978" s="26"/>
      <c r="AM978" s="26"/>
      <c r="AN978" s="26"/>
      <c r="AO978" s="26"/>
      <c r="AP978" s="26"/>
      <c r="AQ978" s="26"/>
      <c r="AR978" s="26"/>
      <c r="AS978" s="26"/>
      <c r="AT978" s="26"/>
      <c r="AU978" s="26"/>
      <c r="AV978" s="26"/>
      <c r="AW978" s="26"/>
      <c r="AX978" s="26"/>
      <c r="AY978" s="26"/>
      <c r="AZ978" s="26"/>
      <c r="BA978" s="26"/>
      <c r="BB978" s="26"/>
      <c r="BC978" s="26"/>
      <c r="BD978" s="26"/>
      <c r="BE978" s="26"/>
      <c r="BF978" s="26"/>
      <c r="BG978" s="26"/>
      <c r="BH978" s="26"/>
      <c r="BI978" s="26"/>
      <c r="BJ978" s="26"/>
      <c r="BK978" s="26"/>
    </row>
    <row r="979" ht="14.25" customHeight="1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  <c r="AA979" s="26"/>
      <c r="AB979" s="26"/>
      <c r="AC979" s="26"/>
      <c r="AD979" s="26"/>
      <c r="AE979" s="26"/>
      <c r="AF979" s="26"/>
      <c r="AG979" s="26"/>
      <c r="AH979" s="26"/>
      <c r="AI979" s="26"/>
      <c r="AJ979" s="26"/>
      <c r="AK979" s="26"/>
      <c r="AL979" s="26"/>
      <c r="AM979" s="26"/>
      <c r="AN979" s="26"/>
      <c r="AO979" s="26"/>
      <c r="AP979" s="26"/>
      <c r="AQ979" s="26"/>
      <c r="AR979" s="26"/>
      <c r="AS979" s="26"/>
      <c r="AT979" s="26"/>
      <c r="AU979" s="26"/>
      <c r="AV979" s="26"/>
      <c r="AW979" s="26"/>
      <c r="AX979" s="26"/>
      <c r="AY979" s="26"/>
      <c r="AZ979" s="26"/>
      <c r="BA979" s="26"/>
      <c r="BB979" s="26"/>
      <c r="BC979" s="26"/>
      <c r="BD979" s="26"/>
      <c r="BE979" s="26"/>
      <c r="BF979" s="26"/>
      <c r="BG979" s="26"/>
      <c r="BH979" s="26"/>
      <c r="BI979" s="26"/>
      <c r="BJ979" s="26"/>
      <c r="BK979" s="26"/>
    </row>
    <row r="980" ht="14.25" customHeight="1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  <c r="AA980" s="26"/>
      <c r="AB980" s="26"/>
      <c r="AC980" s="26"/>
      <c r="AD980" s="26"/>
      <c r="AE980" s="26"/>
      <c r="AF980" s="26"/>
      <c r="AG980" s="26"/>
      <c r="AH980" s="26"/>
      <c r="AI980" s="26"/>
      <c r="AJ980" s="26"/>
      <c r="AK980" s="26"/>
      <c r="AL980" s="26"/>
      <c r="AM980" s="26"/>
      <c r="AN980" s="26"/>
      <c r="AO980" s="26"/>
      <c r="AP980" s="26"/>
      <c r="AQ980" s="26"/>
      <c r="AR980" s="26"/>
      <c r="AS980" s="26"/>
      <c r="AT980" s="26"/>
      <c r="AU980" s="26"/>
      <c r="AV980" s="26"/>
      <c r="AW980" s="26"/>
      <c r="AX980" s="26"/>
      <c r="AY980" s="26"/>
      <c r="AZ980" s="26"/>
      <c r="BA980" s="26"/>
      <c r="BB980" s="26"/>
      <c r="BC980" s="26"/>
      <c r="BD980" s="26"/>
      <c r="BE980" s="26"/>
      <c r="BF980" s="26"/>
      <c r="BG980" s="26"/>
      <c r="BH980" s="26"/>
      <c r="BI980" s="26"/>
      <c r="BJ980" s="26"/>
      <c r="BK980" s="26"/>
    </row>
    <row r="981" ht="14.25" customHeight="1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  <c r="AA981" s="26"/>
      <c r="AB981" s="26"/>
      <c r="AC981" s="26"/>
      <c r="AD981" s="26"/>
      <c r="AE981" s="26"/>
      <c r="AF981" s="26"/>
      <c r="AG981" s="26"/>
      <c r="AH981" s="26"/>
      <c r="AI981" s="26"/>
      <c r="AJ981" s="26"/>
      <c r="AK981" s="26"/>
      <c r="AL981" s="26"/>
      <c r="AM981" s="26"/>
      <c r="AN981" s="26"/>
      <c r="AO981" s="26"/>
      <c r="AP981" s="26"/>
      <c r="AQ981" s="26"/>
      <c r="AR981" s="26"/>
      <c r="AS981" s="26"/>
      <c r="AT981" s="26"/>
      <c r="AU981" s="26"/>
      <c r="AV981" s="26"/>
      <c r="AW981" s="26"/>
      <c r="AX981" s="26"/>
      <c r="AY981" s="26"/>
      <c r="AZ981" s="26"/>
      <c r="BA981" s="26"/>
      <c r="BB981" s="26"/>
      <c r="BC981" s="26"/>
      <c r="BD981" s="26"/>
      <c r="BE981" s="26"/>
      <c r="BF981" s="26"/>
      <c r="BG981" s="26"/>
      <c r="BH981" s="26"/>
      <c r="BI981" s="26"/>
      <c r="BJ981" s="26"/>
      <c r="BK981" s="26"/>
    </row>
    <row r="982" ht="14.25" customHeight="1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  <c r="AA982" s="26"/>
      <c r="AB982" s="26"/>
      <c r="AC982" s="26"/>
      <c r="AD982" s="26"/>
      <c r="AE982" s="26"/>
      <c r="AF982" s="26"/>
      <c r="AG982" s="26"/>
      <c r="AH982" s="26"/>
      <c r="AI982" s="26"/>
      <c r="AJ982" s="26"/>
      <c r="AK982" s="26"/>
      <c r="AL982" s="26"/>
      <c r="AM982" s="26"/>
      <c r="AN982" s="26"/>
      <c r="AO982" s="26"/>
      <c r="AP982" s="26"/>
      <c r="AQ982" s="26"/>
      <c r="AR982" s="26"/>
      <c r="AS982" s="26"/>
      <c r="AT982" s="26"/>
      <c r="AU982" s="26"/>
      <c r="AV982" s="26"/>
      <c r="AW982" s="26"/>
      <c r="AX982" s="26"/>
      <c r="AY982" s="26"/>
      <c r="AZ982" s="26"/>
      <c r="BA982" s="26"/>
      <c r="BB982" s="26"/>
      <c r="BC982" s="26"/>
      <c r="BD982" s="26"/>
      <c r="BE982" s="26"/>
      <c r="BF982" s="26"/>
      <c r="BG982" s="26"/>
      <c r="BH982" s="26"/>
      <c r="BI982" s="26"/>
      <c r="BJ982" s="26"/>
      <c r="BK982" s="26"/>
    </row>
    <row r="983" ht="14.25" customHeight="1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  <c r="AA983" s="26"/>
      <c r="AB983" s="26"/>
      <c r="AC983" s="26"/>
      <c r="AD983" s="26"/>
      <c r="AE983" s="26"/>
      <c r="AF983" s="26"/>
      <c r="AG983" s="26"/>
      <c r="AH983" s="26"/>
      <c r="AI983" s="26"/>
      <c r="AJ983" s="26"/>
      <c r="AK983" s="26"/>
      <c r="AL983" s="26"/>
      <c r="AM983" s="26"/>
      <c r="AN983" s="26"/>
      <c r="AO983" s="26"/>
      <c r="AP983" s="26"/>
      <c r="AQ983" s="26"/>
      <c r="AR983" s="26"/>
      <c r="AS983" s="26"/>
      <c r="AT983" s="26"/>
      <c r="AU983" s="26"/>
      <c r="AV983" s="26"/>
      <c r="AW983" s="26"/>
      <c r="AX983" s="26"/>
      <c r="AY983" s="26"/>
      <c r="AZ983" s="26"/>
      <c r="BA983" s="26"/>
      <c r="BB983" s="26"/>
      <c r="BC983" s="26"/>
      <c r="BD983" s="26"/>
      <c r="BE983" s="26"/>
      <c r="BF983" s="26"/>
      <c r="BG983" s="26"/>
      <c r="BH983" s="26"/>
      <c r="BI983" s="26"/>
      <c r="BJ983" s="26"/>
      <c r="BK983" s="26"/>
    </row>
    <row r="984" ht="14.25" customHeight="1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  <c r="AA984" s="26"/>
      <c r="AB984" s="26"/>
      <c r="AC984" s="26"/>
      <c r="AD984" s="26"/>
      <c r="AE984" s="26"/>
      <c r="AF984" s="26"/>
      <c r="AG984" s="26"/>
      <c r="AH984" s="26"/>
      <c r="AI984" s="26"/>
      <c r="AJ984" s="26"/>
      <c r="AK984" s="26"/>
      <c r="AL984" s="26"/>
      <c r="AM984" s="26"/>
      <c r="AN984" s="26"/>
      <c r="AO984" s="26"/>
      <c r="AP984" s="26"/>
      <c r="AQ984" s="26"/>
      <c r="AR984" s="26"/>
      <c r="AS984" s="26"/>
      <c r="AT984" s="26"/>
      <c r="AU984" s="26"/>
      <c r="AV984" s="26"/>
      <c r="AW984" s="26"/>
      <c r="AX984" s="26"/>
      <c r="AY984" s="26"/>
      <c r="AZ984" s="26"/>
      <c r="BA984" s="26"/>
      <c r="BB984" s="26"/>
      <c r="BC984" s="26"/>
      <c r="BD984" s="26"/>
      <c r="BE984" s="26"/>
      <c r="BF984" s="26"/>
      <c r="BG984" s="26"/>
      <c r="BH984" s="26"/>
      <c r="BI984" s="26"/>
      <c r="BJ984" s="26"/>
      <c r="BK984" s="26"/>
    </row>
    <row r="985" ht="14.25" customHeight="1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  <c r="AA985" s="26"/>
      <c r="AB985" s="26"/>
      <c r="AC985" s="26"/>
      <c r="AD985" s="26"/>
      <c r="AE985" s="26"/>
      <c r="AF985" s="26"/>
      <c r="AG985" s="26"/>
      <c r="AH985" s="26"/>
      <c r="AI985" s="26"/>
      <c r="AJ985" s="26"/>
      <c r="AK985" s="26"/>
      <c r="AL985" s="26"/>
      <c r="AM985" s="26"/>
      <c r="AN985" s="26"/>
      <c r="AO985" s="26"/>
      <c r="AP985" s="26"/>
      <c r="AQ985" s="26"/>
      <c r="AR985" s="26"/>
      <c r="AS985" s="26"/>
      <c r="AT985" s="26"/>
      <c r="AU985" s="26"/>
      <c r="AV985" s="26"/>
      <c r="AW985" s="26"/>
      <c r="AX985" s="26"/>
      <c r="AY985" s="26"/>
      <c r="AZ985" s="26"/>
      <c r="BA985" s="26"/>
      <c r="BB985" s="26"/>
      <c r="BC985" s="26"/>
      <c r="BD985" s="26"/>
      <c r="BE985" s="26"/>
      <c r="BF985" s="26"/>
      <c r="BG985" s="26"/>
      <c r="BH985" s="26"/>
      <c r="BI985" s="26"/>
      <c r="BJ985" s="26"/>
      <c r="BK985" s="26"/>
    </row>
    <row r="986" ht="14.25" customHeight="1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  <c r="AA986" s="26"/>
      <c r="AB986" s="26"/>
      <c r="AC986" s="26"/>
      <c r="AD986" s="26"/>
      <c r="AE986" s="26"/>
      <c r="AF986" s="26"/>
      <c r="AG986" s="26"/>
      <c r="AH986" s="26"/>
      <c r="AI986" s="26"/>
      <c r="AJ986" s="26"/>
      <c r="AK986" s="26"/>
      <c r="AL986" s="26"/>
      <c r="AM986" s="26"/>
      <c r="AN986" s="26"/>
      <c r="AO986" s="26"/>
      <c r="AP986" s="26"/>
      <c r="AQ986" s="26"/>
      <c r="AR986" s="26"/>
      <c r="AS986" s="26"/>
      <c r="AT986" s="26"/>
      <c r="AU986" s="26"/>
      <c r="AV986" s="26"/>
      <c r="AW986" s="26"/>
      <c r="AX986" s="26"/>
      <c r="AY986" s="26"/>
      <c r="AZ986" s="26"/>
      <c r="BA986" s="26"/>
      <c r="BB986" s="26"/>
      <c r="BC986" s="26"/>
      <c r="BD986" s="26"/>
      <c r="BE986" s="26"/>
      <c r="BF986" s="26"/>
      <c r="BG986" s="26"/>
      <c r="BH986" s="26"/>
      <c r="BI986" s="26"/>
      <c r="BJ986" s="26"/>
      <c r="BK986" s="26"/>
    </row>
    <row r="987" ht="14.25" customHeight="1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  <c r="AA987" s="26"/>
      <c r="AB987" s="26"/>
      <c r="AC987" s="26"/>
      <c r="AD987" s="26"/>
      <c r="AE987" s="26"/>
      <c r="AF987" s="26"/>
      <c r="AG987" s="26"/>
      <c r="AH987" s="26"/>
      <c r="AI987" s="26"/>
      <c r="AJ987" s="26"/>
      <c r="AK987" s="26"/>
      <c r="AL987" s="26"/>
      <c r="AM987" s="26"/>
      <c r="AN987" s="26"/>
      <c r="AO987" s="26"/>
      <c r="AP987" s="26"/>
      <c r="AQ987" s="26"/>
      <c r="AR987" s="26"/>
      <c r="AS987" s="26"/>
      <c r="AT987" s="26"/>
      <c r="AU987" s="26"/>
      <c r="AV987" s="26"/>
      <c r="AW987" s="26"/>
      <c r="AX987" s="26"/>
      <c r="AY987" s="26"/>
      <c r="AZ987" s="26"/>
      <c r="BA987" s="26"/>
      <c r="BB987" s="26"/>
      <c r="BC987" s="26"/>
      <c r="BD987" s="26"/>
      <c r="BE987" s="26"/>
      <c r="BF987" s="26"/>
      <c r="BG987" s="26"/>
      <c r="BH987" s="26"/>
      <c r="BI987" s="26"/>
      <c r="BJ987" s="26"/>
      <c r="BK987" s="26"/>
    </row>
    <row r="988" ht="14.25" customHeight="1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  <c r="AA988" s="26"/>
      <c r="AB988" s="26"/>
      <c r="AC988" s="26"/>
      <c r="AD988" s="26"/>
      <c r="AE988" s="26"/>
      <c r="AF988" s="26"/>
      <c r="AG988" s="26"/>
      <c r="AH988" s="26"/>
      <c r="AI988" s="26"/>
      <c r="AJ988" s="26"/>
      <c r="AK988" s="26"/>
      <c r="AL988" s="26"/>
      <c r="AM988" s="26"/>
      <c r="AN988" s="26"/>
      <c r="AO988" s="26"/>
      <c r="AP988" s="26"/>
      <c r="AQ988" s="26"/>
      <c r="AR988" s="26"/>
      <c r="AS988" s="26"/>
      <c r="AT988" s="26"/>
      <c r="AU988" s="26"/>
      <c r="AV988" s="26"/>
      <c r="AW988" s="26"/>
      <c r="AX988" s="26"/>
      <c r="AY988" s="26"/>
      <c r="AZ988" s="26"/>
      <c r="BA988" s="26"/>
      <c r="BB988" s="26"/>
      <c r="BC988" s="26"/>
      <c r="BD988" s="26"/>
      <c r="BE988" s="26"/>
      <c r="BF988" s="26"/>
      <c r="BG988" s="26"/>
      <c r="BH988" s="26"/>
      <c r="BI988" s="26"/>
      <c r="BJ988" s="26"/>
      <c r="BK988" s="26"/>
    </row>
    <row r="989" ht="14.25" customHeight="1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  <c r="AA989" s="26"/>
      <c r="AB989" s="26"/>
      <c r="AC989" s="26"/>
      <c r="AD989" s="26"/>
      <c r="AE989" s="26"/>
      <c r="AF989" s="26"/>
      <c r="AG989" s="26"/>
      <c r="AH989" s="26"/>
      <c r="AI989" s="26"/>
      <c r="AJ989" s="26"/>
      <c r="AK989" s="26"/>
      <c r="AL989" s="26"/>
      <c r="AM989" s="26"/>
      <c r="AN989" s="26"/>
      <c r="AO989" s="26"/>
      <c r="AP989" s="26"/>
      <c r="AQ989" s="26"/>
      <c r="AR989" s="26"/>
      <c r="AS989" s="26"/>
      <c r="AT989" s="26"/>
      <c r="AU989" s="26"/>
      <c r="AV989" s="26"/>
      <c r="AW989" s="26"/>
      <c r="AX989" s="26"/>
      <c r="AY989" s="26"/>
      <c r="AZ989" s="26"/>
      <c r="BA989" s="26"/>
      <c r="BB989" s="26"/>
      <c r="BC989" s="26"/>
      <c r="BD989" s="26"/>
      <c r="BE989" s="26"/>
      <c r="BF989" s="26"/>
      <c r="BG989" s="26"/>
      <c r="BH989" s="26"/>
      <c r="BI989" s="26"/>
      <c r="BJ989" s="26"/>
      <c r="BK989" s="26"/>
    </row>
    <row r="990" ht="14.25" customHeight="1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  <c r="AA990" s="26"/>
      <c r="AB990" s="26"/>
      <c r="AC990" s="26"/>
      <c r="AD990" s="26"/>
      <c r="AE990" s="26"/>
      <c r="AF990" s="26"/>
      <c r="AG990" s="26"/>
      <c r="AH990" s="26"/>
      <c r="AI990" s="26"/>
      <c r="AJ990" s="26"/>
      <c r="AK990" s="26"/>
      <c r="AL990" s="26"/>
      <c r="AM990" s="26"/>
      <c r="AN990" s="26"/>
      <c r="AO990" s="26"/>
      <c r="AP990" s="26"/>
      <c r="AQ990" s="26"/>
      <c r="AR990" s="26"/>
      <c r="AS990" s="26"/>
      <c r="AT990" s="26"/>
      <c r="AU990" s="26"/>
      <c r="AV990" s="26"/>
      <c r="AW990" s="26"/>
      <c r="AX990" s="26"/>
      <c r="AY990" s="26"/>
      <c r="AZ990" s="26"/>
      <c r="BA990" s="26"/>
      <c r="BB990" s="26"/>
      <c r="BC990" s="26"/>
      <c r="BD990" s="26"/>
      <c r="BE990" s="26"/>
      <c r="BF990" s="26"/>
      <c r="BG990" s="26"/>
      <c r="BH990" s="26"/>
      <c r="BI990" s="26"/>
      <c r="BJ990" s="26"/>
      <c r="BK990" s="26"/>
    </row>
    <row r="991" ht="14.25" customHeight="1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  <c r="AA991" s="26"/>
      <c r="AB991" s="26"/>
      <c r="AC991" s="26"/>
      <c r="AD991" s="26"/>
      <c r="AE991" s="26"/>
      <c r="AF991" s="26"/>
      <c r="AG991" s="26"/>
      <c r="AH991" s="26"/>
      <c r="AI991" s="26"/>
      <c r="AJ991" s="26"/>
      <c r="AK991" s="26"/>
      <c r="AL991" s="26"/>
      <c r="AM991" s="26"/>
      <c r="AN991" s="26"/>
      <c r="AO991" s="26"/>
      <c r="AP991" s="26"/>
      <c r="AQ991" s="26"/>
      <c r="AR991" s="26"/>
      <c r="AS991" s="26"/>
      <c r="AT991" s="26"/>
      <c r="AU991" s="26"/>
      <c r="AV991" s="26"/>
      <c r="AW991" s="26"/>
      <c r="AX991" s="26"/>
      <c r="AY991" s="26"/>
      <c r="AZ991" s="26"/>
      <c r="BA991" s="26"/>
      <c r="BB991" s="26"/>
      <c r="BC991" s="26"/>
      <c r="BD991" s="26"/>
      <c r="BE991" s="26"/>
      <c r="BF991" s="26"/>
      <c r="BG991" s="26"/>
      <c r="BH991" s="26"/>
      <c r="BI991" s="26"/>
      <c r="BJ991" s="26"/>
      <c r="BK991" s="26"/>
    </row>
    <row r="992" ht="14.25" customHeight="1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  <c r="AA992" s="26"/>
      <c r="AB992" s="26"/>
      <c r="AC992" s="26"/>
      <c r="AD992" s="26"/>
      <c r="AE992" s="26"/>
      <c r="AF992" s="26"/>
      <c r="AG992" s="26"/>
      <c r="AH992" s="26"/>
      <c r="AI992" s="26"/>
      <c r="AJ992" s="26"/>
      <c r="AK992" s="26"/>
      <c r="AL992" s="26"/>
      <c r="AM992" s="26"/>
      <c r="AN992" s="26"/>
      <c r="AO992" s="26"/>
      <c r="AP992" s="26"/>
      <c r="AQ992" s="26"/>
      <c r="AR992" s="26"/>
      <c r="AS992" s="26"/>
      <c r="AT992" s="26"/>
      <c r="AU992" s="26"/>
      <c r="AV992" s="26"/>
      <c r="AW992" s="26"/>
      <c r="AX992" s="26"/>
      <c r="AY992" s="26"/>
      <c r="AZ992" s="26"/>
      <c r="BA992" s="26"/>
      <c r="BB992" s="26"/>
      <c r="BC992" s="26"/>
      <c r="BD992" s="26"/>
      <c r="BE992" s="26"/>
      <c r="BF992" s="26"/>
      <c r="BG992" s="26"/>
      <c r="BH992" s="26"/>
      <c r="BI992" s="26"/>
      <c r="BJ992" s="26"/>
      <c r="BK992" s="26"/>
    </row>
    <row r="993" ht="14.25" customHeight="1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  <c r="AA993" s="26"/>
      <c r="AB993" s="26"/>
      <c r="AC993" s="26"/>
      <c r="AD993" s="26"/>
      <c r="AE993" s="26"/>
      <c r="AF993" s="26"/>
      <c r="AG993" s="26"/>
      <c r="AH993" s="26"/>
      <c r="AI993" s="26"/>
      <c r="AJ993" s="26"/>
      <c r="AK993" s="26"/>
      <c r="AL993" s="26"/>
      <c r="AM993" s="26"/>
      <c r="AN993" s="26"/>
      <c r="AO993" s="26"/>
      <c r="AP993" s="26"/>
      <c r="AQ993" s="26"/>
      <c r="AR993" s="26"/>
      <c r="AS993" s="26"/>
      <c r="AT993" s="26"/>
      <c r="AU993" s="26"/>
      <c r="AV993" s="26"/>
      <c r="AW993" s="26"/>
      <c r="AX993" s="26"/>
      <c r="AY993" s="26"/>
      <c r="AZ993" s="26"/>
      <c r="BA993" s="26"/>
      <c r="BB993" s="26"/>
      <c r="BC993" s="26"/>
      <c r="BD993" s="26"/>
      <c r="BE993" s="26"/>
      <c r="BF993" s="26"/>
      <c r="BG993" s="26"/>
      <c r="BH993" s="26"/>
      <c r="BI993" s="26"/>
      <c r="BJ993" s="26"/>
      <c r="BK993" s="26"/>
    </row>
    <row r="994" ht="14.25" customHeight="1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  <c r="AA994" s="26"/>
      <c r="AB994" s="26"/>
      <c r="AC994" s="26"/>
      <c r="AD994" s="26"/>
      <c r="AE994" s="26"/>
      <c r="AF994" s="26"/>
      <c r="AG994" s="26"/>
      <c r="AH994" s="26"/>
      <c r="AI994" s="26"/>
      <c r="AJ994" s="26"/>
      <c r="AK994" s="26"/>
      <c r="AL994" s="26"/>
      <c r="AM994" s="26"/>
      <c r="AN994" s="26"/>
      <c r="AO994" s="26"/>
      <c r="AP994" s="26"/>
      <c r="AQ994" s="26"/>
      <c r="AR994" s="26"/>
      <c r="AS994" s="26"/>
      <c r="AT994" s="26"/>
      <c r="AU994" s="26"/>
      <c r="AV994" s="26"/>
      <c r="AW994" s="26"/>
      <c r="AX994" s="26"/>
      <c r="AY994" s="26"/>
      <c r="AZ994" s="26"/>
      <c r="BA994" s="26"/>
      <c r="BB994" s="26"/>
      <c r="BC994" s="26"/>
      <c r="BD994" s="26"/>
      <c r="BE994" s="26"/>
      <c r="BF994" s="26"/>
      <c r="BG994" s="26"/>
      <c r="BH994" s="26"/>
      <c r="BI994" s="26"/>
      <c r="BJ994" s="26"/>
      <c r="BK994" s="26"/>
    </row>
    <row r="995" ht="14.25" customHeight="1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  <c r="AA995" s="26"/>
      <c r="AB995" s="26"/>
      <c r="AC995" s="26"/>
      <c r="AD995" s="26"/>
      <c r="AE995" s="26"/>
      <c r="AF995" s="26"/>
      <c r="AG995" s="26"/>
      <c r="AH995" s="26"/>
      <c r="AI995" s="26"/>
      <c r="AJ995" s="26"/>
      <c r="AK995" s="26"/>
      <c r="AL995" s="26"/>
      <c r="AM995" s="26"/>
      <c r="AN995" s="26"/>
      <c r="AO995" s="26"/>
      <c r="AP995" s="26"/>
      <c r="AQ995" s="26"/>
      <c r="AR995" s="26"/>
      <c r="AS995" s="26"/>
      <c r="AT995" s="26"/>
      <c r="AU995" s="26"/>
      <c r="AV995" s="26"/>
      <c r="AW995" s="26"/>
      <c r="AX995" s="26"/>
      <c r="AY995" s="26"/>
      <c r="AZ995" s="26"/>
      <c r="BA995" s="26"/>
      <c r="BB995" s="26"/>
      <c r="BC995" s="26"/>
      <c r="BD995" s="26"/>
      <c r="BE995" s="26"/>
      <c r="BF995" s="26"/>
      <c r="BG995" s="26"/>
      <c r="BH995" s="26"/>
      <c r="BI995" s="26"/>
      <c r="BJ995" s="26"/>
      <c r="BK995" s="26"/>
    </row>
    <row r="996" ht="14.25" customHeight="1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  <c r="AA996" s="26"/>
      <c r="AB996" s="26"/>
      <c r="AC996" s="26"/>
      <c r="AD996" s="26"/>
      <c r="AE996" s="26"/>
      <c r="AF996" s="26"/>
      <c r="AG996" s="26"/>
      <c r="AH996" s="26"/>
      <c r="AI996" s="26"/>
      <c r="AJ996" s="26"/>
      <c r="AK996" s="26"/>
      <c r="AL996" s="26"/>
      <c r="AM996" s="26"/>
      <c r="AN996" s="26"/>
      <c r="AO996" s="26"/>
      <c r="AP996" s="26"/>
      <c r="AQ996" s="26"/>
      <c r="AR996" s="26"/>
      <c r="AS996" s="26"/>
      <c r="AT996" s="26"/>
      <c r="AU996" s="26"/>
      <c r="AV996" s="26"/>
      <c r="AW996" s="26"/>
      <c r="AX996" s="26"/>
      <c r="AY996" s="26"/>
      <c r="AZ996" s="26"/>
      <c r="BA996" s="26"/>
      <c r="BB996" s="26"/>
      <c r="BC996" s="26"/>
      <c r="BD996" s="26"/>
      <c r="BE996" s="26"/>
      <c r="BF996" s="26"/>
      <c r="BG996" s="26"/>
      <c r="BH996" s="26"/>
      <c r="BI996" s="26"/>
      <c r="BJ996" s="26"/>
      <c r="BK996" s="26"/>
    </row>
    <row r="997" ht="14.25" customHeight="1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  <c r="AA997" s="26"/>
      <c r="AB997" s="26"/>
      <c r="AC997" s="26"/>
      <c r="AD997" s="26"/>
      <c r="AE997" s="26"/>
      <c r="AF997" s="26"/>
      <c r="AG997" s="26"/>
      <c r="AH997" s="26"/>
      <c r="AI997" s="26"/>
      <c r="AJ997" s="26"/>
      <c r="AK997" s="26"/>
      <c r="AL997" s="26"/>
      <c r="AM997" s="26"/>
      <c r="AN997" s="26"/>
      <c r="AO997" s="26"/>
      <c r="AP997" s="26"/>
      <c r="AQ997" s="26"/>
      <c r="AR997" s="26"/>
      <c r="AS997" s="26"/>
      <c r="AT997" s="26"/>
      <c r="AU997" s="26"/>
      <c r="AV997" s="26"/>
      <c r="AW997" s="26"/>
      <c r="AX997" s="26"/>
      <c r="AY997" s="26"/>
      <c r="AZ997" s="26"/>
      <c r="BA997" s="26"/>
      <c r="BB997" s="26"/>
      <c r="BC997" s="26"/>
      <c r="BD997" s="26"/>
      <c r="BE997" s="26"/>
      <c r="BF997" s="26"/>
      <c r="BG997" s="26"/>
      <c r="BH997" s="26"/>
      <c r="BI997" s="26"/>
      <c r="BJ997" s="26"/>
      <c r="BK997" s="26"/>
    </row>
    <row r="998" ht="14.25" customHeight="1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  <c r="AA998" s="26"/>
      <c r="AB998" s="26"/>
      <c r="AC998" s="26"/>
      <c r="AD998" s="26"/>
      <c r="AE998" s="26"/>
      <c r="AF998" s="26"/>
      <c r="AG998" s="26"/>
      <c r="AH998" s="26"/>
      <c r="AI998" s="26"/>
      <c r="AJ998" s="26"/>
      <c r="AK998" s="26"/>
      <c r="AL998" s="26"/>
      <c r="AM998" s="26"/>
      <c r="AN998" s="26"/>
      <c r="AO998" s="26"/>
      <c r="AP998" s="26"/>
      <c r="AQ998" s="26"/>
      <c r="AR998" s="26"/>
      <c r="AS998" s="26"/>
      <c r="AT998" s="26"/>
      <c r="AU998" s="26"/>
      <c r="AV998" s="26"/>
      <c r="AW998" s="26"/>
      <c r="AX998" s="26"/>
      <c r="AY998" s="26"/>
      <c r="AZ998" s="26"/>
      <c r="BA998" s="26"/>
      <c r="BB998" s="26"/>
      <c r="BC998" s="26"/>
      <c r="BD998" s="26"/>
      <c r="BE998" s="26"/>
      <c r="BF998" s="26"/>
      <c r="BG998" s="26"/>
      <c r="BH998" s="26"/>
      <c r="BI998" s="26"/>
      <c r="BJ998" s="26"/>
      <c r="BK998" s="26"/>
    </row>
    <row r="999" ht="14.25" customHeight="1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  <c r="AA999" s="26"/>
      <c r="AB999" s="26"/>
      <c r="AC999" s="26"/>
      <c r="AD999" s="26"/>
      <c r="AE999" s="26"/>
      <c r="AF999" s="26"/>
      <c r="AG999" s="26"/>
      <c r="AH999" s="26"/>
      <c r="AI999" s="26"/>
      <c r="AJ999" s="26"/>
      <c r="AK999" s="26"/>
      <c r="AL999" s="26"/>
      <c r="AM999" s="26"/>
      <c r="AN999" s="26"/>
      <c r="AO999" s="26"/>
      <c r="AP999" s="26"/>
      <c r="AQ999" s="26"/>
      <c r="AR999" s="26"/>
      <c r="AS999" s="26"/>
      <c r="AT999" s="26"/>
      <c r="AU999" s="26"/>
      <c r="AV999" s="26"/>
      <c r="AW999" s="26"/>
      <c r="AX999" s="26"/>
      <c r="AY999" s="26"/>
      <c r="AZ999" s="26"/>
      <c r="BA999" s="26"/>
      <c r="BB999" s="26"/>
      <c r="BC999" s="26"/>
      <c r="BD999" s="26"/>
      <c r="BE999" s="26"/>
      <c r="BF999" s="26"/>
      <c r="BG999" s="26"/>
      <c r="BH999" s="26"/>
      <c r="BI999" s="26"/>
      <c r="BJ999" s="26"/>
      <c r="BK999" s="26"/>
    </row>
    <row r="1000" ht="14.25" customHeight="1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  <c r="AA1000" s="26"/>
      <c r="AB1000" s="26"/>
      <c r="AC1000" s="26"/>
      <c r="AD1000" s="26"/>
      <c r="AE1000" s="26"/>
      <c r="AF1000" s="26"/>
      <c r="AG1000" s="26"/>
      <c r="AH1000" s="26"/>
      <c r="AI1000" s="26"/>
      <c r="AJ1000" s="26"/>
      <c r="AK1000" s="26"/>
      <c r="AL1000" s="26"/>
      <c r="AM1000" s="26"/>
      <c r="AN1000" s="26"/>
      <c r="AO1000" s="26"/>
      <c r="AP1000" s="26"/>
      <c r="AQ1000" s="26"/>
      <c r="AR1000" s="26"/>
      <c r="AS1000" s="26"/>
      <c r="AT1000" s="26"/>
      <c r="AU1000" s="26"/>
      <c r="AV1000" s="26"/>
      <c r="AW1000" s="26"/>
      <c r="AX1000" s="26"/>
      <c r="AY1000" s="26"/>
      <c r="AZ1000" s="26"/>
      <c r="BA1000" s="26"/>
      <c r="BB1000" s="26"/>
      <c r="BC1000" s="26"/>
      <c r="BD1000" s="26"/>
      <c r="BE1000" s="26"/>
      <c r="BF1000" s="26"/>
      <c r="BG1000" s="26"/>
      <c r="BH1000" s="26"/>
      <c r="BI1000" s="26"/>
      <c r="BJ1000" s="26"/>
      <c r="BK1000" s="26"/>
    </row>
  </sheetData>
  <mergeCells count="27">
    <mergeCell ref="A1:A3"/>
    <mergeCell ref="B2:K2"/>
    <mergeCell ref="L2:M2"/>
    <mergeCell ref="N2:N3"/>
    <mergeCell ref="O2:O3"/>
    <mergeCell ref="P2:P3"/>
    <mergeCell ref="Q2:Q3"/>
    <mergeCell ref="S2:Y2"/>
    <mergeCell ref="Z2:Z3"/>
    <mergeCell ref="AA2:AA3"/>
    <mergeCell ref="AB2:AB3"/>
    <mergeCell ref="AC2:AC3"/>
    <mergeCell ref="AD2:AD3"/>
    <mergeCell ref="AE2:AE3"/>
    <mergeCell ref="AM2:AM3"/>
    <mergeCell ref="AN2:AN3"/>
    <mergeCell ref="AO2:AO3"/>
    <mergeCell ref="AP2:AV2"/>
    <mergeCell ref="AW2:BA2"/>
    <mergeCell ref="BB2:BK2"/>
    <mergeCell ref="AF2:AF3"/>
    <mergeCell ref="AG2:AG3"/>
    <mergeCell ref="AH2:AH3"/>
    <mergeCell ref="AI2:AI3"/>
    <mergeCell ref="AJ2:AJ3"/>
    <mergeCell ref="AK2:AK3"/>
    <mergeCell ref="AL2:AL3"/>
  </mergeCells>
  <dataValidations>
    <dataValidation type="list" allowBlank="1" showErrorMessage="1" sqref="D4">
      <formula1>$D$4:$D$1048576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6.0" ySplit="3.0" topLeftCell="Q4" activePane="bottomRight" state="frozen"/>
      <selection activeCell="Q1" sqref="Q1" pane="topRight"/>
      <selection activeCell="A4" sqref="A4" pane="bottomLeft"/>
      <selection activeCell="Q4" sqref="Q4" pane="bottomRight"/>
    </sheetView>
  </sheetViews>
  <sheetFormatPr customHeight="1" defaultColWidth="14.43" defaultRowHeight="15.0"/>
  <cols>
    <col customWidth="1" min="1" max="1" width="4.43"/>
    <col customWidth="1" min="2" max="2" width="18.86"/>
    <col customWidth="1" min="3" max="3" width="15.0"/>
    <col customWidth="1" min="4" max="4" width="17.43"/>
    <col customWidth="1" hidden="1" min="5" max="6" width="8.71"/>
    <col customWidth="1" min="7" max="7" width="19.29"/>
    <col customWidth="1" hidden="1" min="8" max="11" width="8.71"/>
    <col customWidth="1" min="12" max="12" width="4.57"/>
    <col customWidth="1" min="13" max="13" width="8.14"/>
    <col customWidth="1" min="14" max="14" width="20.29"/>
    <col customWidth="1" min="15" max="15" width="25.86"/>
    <col customWidth="1" min="16" max="16" width="27.0"/>
    <col customWidth="1" min="17" max="17" width="21.43"/>
    <col customWidth="1" min="18" max="18" width="121.0"/>
    <col customWidth="1" min="19" max="19" width="88.29"/>
    <col customWidth="1" hidden="1" min="20" max="20" width="8.71"/>
    <col customWidth="1" min="21" max="21" width="20.86"/>
    <col customWidth="1" min="22" max="22" width="13.43"/>
    <col customWidth="1" min="23" max="23" width="21.43"/>
    <col customWidth="1" min="24" max="24" width="24.0"/>
    <col customWidth="1" min="25" max="25" width="10.57"/>
    <col customWidth="1" min="26" max="26" width="19.14"/>
    <col customWidth="1" min="27" max="27" width="20.86"/>
    <col customWidth="1" min="28" max="28" width="26.43"/>
    <col customWidth="1" min="29" max="29" width="18.14"/>
    <col customWidth="1" hidden="1" min="30" max="30" width="8.71"/>
    <col customWidth="1" min="31" max="31" width="29.43"/>
    <col customWidth="1" min="32" max="32" width="11.0"/>
    <col customWidth="1" min="33" max="33" width="25.29"/>
    <col customWidth="1" min="34" max="34" width="12.0"/>
    <col customWidth="1" min="35" max="35" width="16.71"/>
    <col customWidth="1" min="36" max="36" width="35.71"/>
    <col customWidth="1" min="37" max="37" width="35.0"/>
    <col customWidth="1" min="38" max="38" width="15.86"/>
    <col customWidth="1" min="39" max="39" width="20.29"/>
    <col customWidth="1" min="40" max="40" width="14.29"/>
    <col customWidth="1" min="41" max="41" width="16.43"/>
    <col customWidth="1" hidden="1" min="42" max="43" width="8.71"/>
    <col customWidth="1" min="44" max="44" width="5.0"/>
    <col customWidth="1" min="45" max="45" width="6.71"/>
    <col customWidth="1" min="46" max="47" width="5.14"/>
    <col customWidth="1" min="48" max="48" width="14.14"/>
    <col customWidth="1" min="49" max="49" width="19.14"/>
    <col customWidth="1" min="50" max="50" width="13.0"/>
    <col customWidth="1" min="51" max="51" width="23.86"/>
    <col customWidth="1" min="52" max="52" width="20.14"/>
    <col customWidth="1" min="53" max="56" width="16.29"/>
    <col customWidth="1" min="57" max="57" width="84.86"/>
    <col customWidth="1" min="58" max="58" width="18.71"/>
    <col customWidth="1" min="59" max="59" width="15.43"/>
    <col customWidth="1" min="60" max="60" width="20.57"/>
    <col customWidth="1" min="61" max="61" width="29.57"/>
    <col customWidth="1" min="62" max="62" width="31.43"/>
    <col customWidth="1" min="63" max="63" width="28.86"/>
  </cols>
  <sheetData>
    <row r="1" ht="14.25" customHeight="1">
      <c r="A1" s="42" t="s">
        <v>11</v>
      </c>
      <c r="B1" s="26">
        <f t="shared" ref="B1:D1" si="1">COUNT(B4:B1048576)</f>
        <v>1</v>
      </c>
      <c r="C1" s="26">
        <f t="shared" si="1"/>
        <v>0</v>
      </c>
      <c r="D1" s="26">
        <f t="shared" si="1"/>
        <v>0</v>
      </c>
      <c r="E1" s="26"/>
      <c r="F1" s="26">
        <f t="shared" ref="F1:G1" si="2">COUNT(F4:F1048576)</f>
        <v>0</v>
      </c>
      <c r="G1" s="26">
        <f t="shared" si="2"/>
        <v>0</v>
      </c>
      <c r="H1" s="26"/>
      <c r="I1" s="26">
        <f t="shared" ref="I1:J1" si="3">COUNT(I4:I1048576)</f>
        <v>0</v>
      </c>
      <c r="J1" s="26">
        <f t="shared" si="3"/>
        <v>0</v>
      </c>
      <c r="K1" s="26"/>
      <c r="L1" s="89"/>
      <c r="M1" s="89"/>
      <c r="N1" s="26"/>
      <c r="O1" s="89"/>
      <c r="P1" s="26"/>
      <c r="Q1" s="26"/>
      <c r="R1" s="26"/>
      <c r="S1" s="26"/>
      <c r="T1" s="26"/>
      <c r="U1" s="26"/>
      <c r="V1" s="26"/>
      <c r="W1" s="26"/>
      <c r="X1" s="26"/>
      <c r="Y1" s="90"/>
      <c r="Z1" s="26"/>
      <c r="AA1" s="89"/>
      <c r="AB1" s="26"/>
      <c r="AC1" s="26"/>
      <c r="AD1" s="89"/>
      <c r="AE1" s="91"/>
      <c r="AF1" s="26"/>
      <c r="AG1" s="26"/>
      <c r="AH1" s="26"/>
      <c r="AI1" s="26"/>
      <c r="AJ1" s="26"/>
      <c r="AK1" s="26"/>
      <c r="AL1" s="26"/>
      <c r="AM1" s="26"/>
      <c r="AN1" s="89"/>
      <c r="AO1" s="89"/>
      <c r="AP1" s="90"/>
      <c r="AQ1" s="90"/>
      <c r="AR1" s="90"/>
      <c r="AS1" s="90"/>
      <c r="AT1" s="90"/>
      <c r="AU1" s="90"/>
      <c r="AV1" s="90"/>
      <c r="AW1" s="90"/>
      <c r="AX1" s="90"/>
      <c r="AY1" s="90"/>
      <c r="AZ1" s="90"/>
      <c r="BA1" s="90"/>
      <c r="BB1" s="90"/>
      <c r="BC1" s="90"/>
      <c r="BD1" s="90"/>
      <c r="BE1" s="90"/>
      <c r="BF1" s="90"/>
      <c r="BG1" s="90"/>
      <c r="BH1" s="90"/>
      <c r="BI1" s="90"/>
      <c r="BJ1" s="26"/>
      <c r="BK1" s="26"/>
    </row>
    <row r="2" ht="14.25" customHeight="1">
      <c r="A2" s="25"/>
      <c r="B2" s="92" t="s">
        <v>15</v>
      </c>
      <c r="C2" s="28"/>
      <c r="D2" s="28"/>
      <c r="E2" s="28"/>
      <c r="F2" s="28"/>
      <c r="G2" s="28"/>
      <c r="H2" s="28"/>
      <c r="I2" s="28"/>
      <c r="J2" s="28"/>
      <c r="K2" s="30"/>
      <c r="L2" s="92" t="s">
        <v>107</v>
      </c>
      <c r="M2" s="30"/>
      <c r="N2" s="42" t="s">
        <v>2</v>
      </c>
      <c r="O2" s="45" t="s">
        <v>112</v>
      </c>
      <c r="P2" s="45" t="s">
        <v>118</v>
      </c>
      <c r="Q2" s="42" t="s">
        <v>119</v>
      </c>
      <c r="R2" s="47"/>
      <c r="S2" s="27" t="s">
        <v>120</v>
      </c>
      <c r="T2" s="28"/>
      <c r="U2" s="28"/>
      <c r="V2" s="28"/>
      <c r="W2" s="28"/>
      <c r="X2" s="28"/>
      <c r="Y2" s="30"/>
      <c r="Z2" s="42" t="s">
        <v>124</v>
      </c>
      <c r="AA2" s="42" t="s">
        <v>129</v>
      </c>
      <c r="AB2" s="42" t="s">
        <v>134</v>
      </c>
      <c r="AC2" s="42" t="s">
        <v>136</v>
      </c>
      <c r="AD2" s="42" t="s">
        <v>140</v>
      </c>
      <c r="AE2" s="42" t="s">
        <v>141</v>
      </c>
      <c r="AF2" s="42" t="s">
        <v>145</v>
      </c>
      <c r="AG2" s="42" t="s">
        <v>147</v>
      </c>
      <c r="AH2" s="42" t="s">
        <v>150</v>
      </c>
      <c r="AI2" s="42" t="s">
        <v>154</v>
      </c>
      <c r="AJ2" s="42" t="s">
        <v>155</v>
      </c>
      <c r="AK2" s="42" t="s">
        <v>9</v>
      </c>
      <c r="AL2" s="45" t="s">
        <v>158</v>
      </c>
      <c r="AM2" s="45" t="s">
        <v>160</v>
      </c>
      <c r="AN2" s="60" t="s">
        <v>168</v>
      </c>
      <c r="AO2" s="60" t="s">
        <v>169</v>
      </c>
      <c r="AP2" s="27" t="s">
        <v>170</v>
      </c>
      <c r="AQ2" s="28"/>
      <c r="AR2" s="28"/>
      <c r="AS2" s="28"/>
      <c r="AT2" s="28"/>
      <c r="AU2" s="28"/>
      <c r="AV2" s="30"/>
      <c r="AW2" s="27" t="s">
        <v>173</v>
      </c>
      <c r="AX2" s="28"/>
      <c r="AY2" s="28"/>
      <c r="AZ2" s="28"/>
      <c r="BA2" s="30"/>
      <c r="BB2" s="27" t="s">
        <v>175</v>
      </c>
      <c r="BC2" s="28"/>
      <c r="BD2" s="28"/>
      <c r="BE2" s="28"/>
      <c r="BF2" s="28"/>
      <c r="BG2" s="28"/>
      <c r="BH2" s="28"/>
      <c r="BI2" s="28"/>
      <c r="BJ2" s="28"/>
      <c r="BK2" s="30"/>
    </row>
    <row r="3" ht="14.25" customHeight="1">
      <c r="A3" s="57"/>
      <c r="B3" s="47" t="s">
        <v>178</v>
      </c>
      <c r="C3" s="47" t="s">
        <v>179</v>
      </c>
      <c r="D3" s="95" t="s">
        <v>205</v>
      </c>
      <c r="E3" s="95" t="s">
        <v>181</v>
      </c>
      <c r="F3" s="47" t="s">
        <v>182</v>
      </c>
      <c r="G3" s="47" t="s">
        <v>183</v>
      </c>
      <c r="H3" s="47" t="s">
        <v>184</v>
      </c>
      <c r="I3" s="47" t="s">
        <v>185</v>
      </c>
      <c r="J3" s="47" t="s">
        <v>186</v>
      </c>
      <c r="K3" s="47" t="s">
        <v>187</v>
      </c>
      <c r="L3" s="47" t="s">
        <v>223</v>
      </c>
      <c r="M3" s="47" t="s">
        <v>191</v>
      </c>
      <c r="N3" s="57"/>
      <c r="O3" s="57"/>
      <c r="P3" s="57"/>
      <c r="Q3" s="57"/>
      <c r="R3" s="47" t="s">
        <v>219</v>
      </c>
      <c r="S3" s="47" t="s">
        <v>120</v>
      </c>
      <c r="T3" s="47" t="s">
        <v>194</v>
      </c>
      <c r="U3" s="47" t="s">
        <v>195</v>
      </c>
      <c r="V3" s="47" t="s">
        <v>196</v>
      </c>
      <c r="W3" s="47" t="s">
        <v>197</v>
      </c>
      <c r="X3" s="47" t="s">
        <v>198</v>
      </c>
      <c r="Y3" s="47" t="s">
        <v>199</v>
      </c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57"/>
      <c r="AK3" s="57"/>
      <c r="AL3" s="57"/>
      <c r="AM3" s="57"/>
      <c r="AN3" s="57"/>
      <c r="AO3" s="57"/>
      <c r="AP3" s="47" t="s">
        <v>200</v>
      </c>
      <c r="AQ3" s="47" t="s">
        <v>201</v>
      </c>
      <c r="AR3" s="47" t="s">
        <v>206</v>
      </c>
      <c r="AS3" s="47" t="s">
        <v>177</v>
      </c>
      <c r="AT3" s="47" t="s">
        <v>207</v>
      </c>
      <c r="AU3" s="47" t="s">
        <v>208</v>
      </c>
      <c r="AV3" s="95" t="s">
        <v>209</v>
      </c>
      <c r="AW3" s="47" t="s">
        <v>210</v>
      </c>
      <c r="AX3" s="47" t="s">
        <v>211</v>
      </c>
      <c r="AY3" s="47" t="s">
        <v>212</v>
      </c>
      <c r="AZ3" s="47" t="s">
        <v>213</v>
      </c>
      <c r="BA3" s="47" t="s">
        <v>214</v>
      </c>
      <c r="BB3" s="47" t="s">
        <v>215</v>
      </c>
      <c r="BC3" s="47" t="s">
        <v>216</v>
      </c>
      <c r="BD3" s="47" t="s">
        <v>217</v>
      </c>
      <c r="BE3" s="47" t="s">
        <v>218</v>
      </c>
      <c r="BF3" s="47" t="s">
        <v>124</v>
      </c>
      <c r="BG3" s="47" t="s">
        <v>220</v>
      </c>
      <c r="BH3" s="47" t="s">
        <v>177</v>
      </c>
      <c r="BI3" s="47" t="s">
        <v>221</v>
      </c>
      <c r="BJ3" s="47" t="s">
        <v>141</v>
      </c>
      <c r="BK3" s="47" t="s">
        <v>15</v>
      </c>
    </row>
    <row r="4" ht="14.25" customHeight="1">
      <c r="A4" s="26">
        <f t="shared" ref="A4:A12" si="4">ROW(A1)</f>
        <v>1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 t="s">
        <v>782</v>
      </c>
      <c r="O4" s="26" t="s">
        <v>783</v>
      </c>
      <c r="P4" s="26" t="s">
        <v>783</v>
      </c>
      <c r="Q4" s="26" t="s">
        <v>784</v>
      </c>
      <c r="R4" s="26" t="s">
        <v>785</v>
      </c>
      <c r="S4" s="26" t="s">
        <v>786</v>
      </c>
      <c r="T4" s="26"/>
      <c r="U4" s="26" t="s">
        <v>787</v>
      </c>
      <c r="V4" s="26" t="s">
        <v>788</v>
      </c>
      <c r="W4" s="26" t="s">
        <v>789</v>
      </c>
      <c r="X4" s="26" t="s">
        <v>688</v>
      </c>
      <c r="Y4" s="76" t="s">
        <v>790</v>
      </c>
      <c r="Z4" s="76" t="s">
        <v>791</v>
      </c>
      <c r="AA4" s="76" t="s">
        <v>792</v>
      </c>
      <c r="AB4" s="26" t="s">
        <v>793</v>
      </c>
      <c r="AC4" s="76" t="s">
        <v>794</v>
      </c>
      <c r="AD4" s="26"/>
      <c r="AE4" s="76" t="s">
        <v>795</v>
      </c>
      <c r="AF4" s="76" t="s">
        <v>796</v>
      </c>
      <c r="AG4" s="76" t="s">
        <v>797</v>
      </c>
      <c r="AH4" s="76" t="s">
        <v>798</v>
      </c>
      <c r="AI4" s="76" t="s">
        <v>799</v>
      </c>
      <c r="AJ4" s="40" t="s">
        <v>607</v>
      </c>
      <c r="AK4" s="26" t="s">
        <v>800</v>
      </c>
      <c r="AL4" s="76" t="s">
        <v>801</v>
      </c>
      <c r="AM4" s="76" t="s">
        <v>802</v>
      </c>
      <c r="AN4" s="76" t="s">
        <v>803</v>
      </c>
      <c r="AO4" s="76" t="s">
        <v>804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</row>
    <row r="5" ht="14.25" customHeight="1">
      <c r="A5" s="26">
        <f t="shared" si="4"/>
        <v>2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805</v>
      </c>
      <c r="O5" s="26" t="s">
        <v>806</v>
      </c>
      <c r="P5" s="26" t="s">
        <v>806</v>
      </c>
      <c r="Q5" s="26" t="s">
        <v>807</v>
      </c>
      <c r="R5" s="26" t="s">
        <v>808</v>
      </c>
      <c r="S5" s="26" t="s">
        <v>809</v>
      </c>
      <c r="T5" s="26"/>
      <c r="U5" s="26" t="s">
        <v>810</v>
      </c>
      <c r="V5" s="26" t="s">
        <v>811</v>
      </c>
      <c r="W5" s="26" t="s">
        <v>812</v>
      </c>
      <c r="X5" s="26" t="s">
        <v>813</v>
      </c>
      <c r="Y5" s="76" t="s">
        <v>814</v>
      </c>
      <c r="Z5" s="76" t="s">
        <v>815</v>
      </c>
      <c r="AA5" s="76" t="s">
        <v>816</v>
      </c>
      <c r="AB5" s="26" t="s">
        <v>793</v>
      </c>
      <c r="AC5" s="76" t="s">
        <v>817</v>
      </c>
      <c r="AD5" s="26"/>
      <c r="AE5" s="76" t="s">
        <v>818</v>
      </c>
      <c r="AF5" s="76" t="s">
        <v>819</v>
      </c>
      <c r="AG5" s="76" t="s">
        <v>820</v>
      </c>
      <c r="AH5" s="76" t="s">
        <v>821</v>
      </c>
      <c r="AI5" s="76" t="s">
        <v>822</v>
      </c>
      <c r="AJ5" s="40" t="s">
        <v>607</v>
      </c>
      <c r="AK5" s="26" t="s">
        <v>823</v>
      </c>
      <c r="AL5" s="76" t="s">
        <v>824</v>
      </c>
      <c r="AM5" s="76" t="s">
        <v>825</v>
      </c>
      <c r="AN5" s="76" t="s">
        <v>826</v>
      </c>
      <c r="AO5" s="76" t="s">
        <v>827</v>
      </c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</row>
    <row r="6" ht="14.25" customHeight="1">
      <c r="A6" s="26">
        <f t="shared" si="4"/>
        <v>3</v>
      </c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 t="s">
        <v>828</v>
      </c>
      <c r="O6" s="26" t="s">
        <v>829</v>
      </c>
      <c r="P6" s="26" t="s">
        <v>829</v>
      </c>
      <c r="Q6" s="26" t="s">
        <v>830</v>
      </c>
      <c r="R6" s="26" t="s">
        <v>831</v>
      </c>
      <c r="S6" s="26" t="s">
        <v>832</v>
      </c>
      <c r="T6" s="26"/>
      <c r="U6" s="26" t="s">
        <v>833</v>
      </c>
      <c r="V6" s="26" t="s">
        <v>834</v>
      </c>
      <c r="W6" s="26" t="s">
        <v>835</v>
      </c>
      <c r="X6" s="26" t="s">
        <v>729</v>
      </c>
      <c r="Y6" s="76" t="s">
        <v>836</v>
      </c>
      <c r="Z6" s="76" t="s">
        <v>837</v>
      </c>
      <c r="AA6" s="76" t="s">
        <v>838</v>
      </c>
      <c r="AB6" s="26" t="s">
        <v>793</v>
      </c>
      <c r="AC6" s="76" t="s">
        <v>839</v>
      </c>
      <c r="AD6" s="26"/>
      <c r="AE6" s="76" t="s">
        <v>840</v>
      </c>
      <c r="AF6" s="76" t="s">
        <v>841</v>
      </c>
      <c r="AG6" s="102" t="s">
        <v>842</v>
      </c>
      <c r="AH6" s="76" t="s">
        <v>843</v>
      </c>
      <c r="AI6" s="76" t="s">
        <v>844</v>
      </c>
      <c r="AJ6" s="40" t="s">
        <v>607</v>
      </c>
      <c r="AK6" s="26" t="s">
        <v>823</v>
      </c>
      <c r="AL6" s="76" t="s">
        <v>845</v>
      </c>
      <c r="AM6" s="76" t="s">
        <v>846</v>
      </c>
      <c r="AN6" s="76" t="s">
        <v>847</v>
      </c>
      <c r="AO6" s="76" t="s">
        <v>848</v>
      </c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</row>
    <row r="7" ht="14.25" customHeight="1">
      <c r="A7" s="26">
        <f t="shared" si="4"/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 t="s">
        <v>849</v>
      </c>
      <c r="O7" s="26" t="s">
        <v>850</v>
      </c>
      <c r="P7" s="26" t="s">
        <v>850</v>
      </c>
      <c r="Q7" s="26" t="s">
        <v>851</v>
      </c>
      <c r="R7" s="26" t="s">
        <v>852</v>
      </c>
      <c r="S7" s="26" t="s">
        <v>853</v>
      </c>
      <c r="T7" s="26"/>
      <c r="U7" s="26" t="s">
        <v>854</v>
      </c>
      <c r="V7" s="26" t="s">
        <v>855</v>
      </c>
      <c r="W7" s="26" t="s">
        <v>856</v>
      </c>
      <c r="X7" s="26" t="s">
        <v>729</v>
      </c>
      <c r="Y7" s="76" t="s">
        <v>790</v>
      </c>
      <c r="Z7" s="76" t="s">
        <v>857</v>
      </c>
      <c r="AA7" s="76" t="s">
        <v>858</v>
      </c>
      <c r="AB7" s="26" t="s">
        <v>793</v>
      </c>
      <c r="AC7" s="76" t="s">
        <v>859</v>
      </c>
      <c r="AD7" s="26"/>
      <c r="AE7" s="26" t="s">
        <v>860</v>
      </c>
      <c r="AF7" s="76" t="s">
        <v>861</v>
      </c>
      <c r="AG7" s="76" t="s">
        <v>862</v>
      </c>
      <c r="AH7" s="76" t="s">
        <v>863</v>
      </c>
      <c r="AI7" s="76" t="s">
        <v>864</v>
      </c>
      <c r="AJ7" s="40" t="s">
        <v>607</v>
      </c>
      <c r="AK7" s="26" t="s">
        <v>800</v>
      </c>
      <c r="AL7" s="76" t="s">
        <v>865</v>
      </c>
      <c r="AM7" s="76" t="s">
        <v>866</v>
      </c>
      <c r="AN7" s="76" t="s">
        <v>867</v>
      </c>
      <c r="AO7" s="76" t="s">
        <v>868</v>
      </c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</row>
    <row r="8" ht="14.25" customHeight="1">
      <c r="A8" s="26">
        <f t="shared" si="4"/>
        <v>5</v>
      </c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 t="s">
        <v>869</v>
      </c>
      <c r="P8" s="26" t="s">
        <v>869</v>
      </c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 t="s">
        <v>793</v>
      </c>
      <c r="AC8" s="26"/>
      <c r="AD8" s="26"/>
      <c r="AE8" s="26"/>
      <c r="AF8" s="76" t="s">
        <v>870</v>
      </c>
      <c r="AG8" s="76" t="s">
        <v>871</v>
      </c>
      <c r="AH8" s="76" t="s">
        <v>872</v>
      </c>
      <c r="AI8" s="76" t="s">
        <v>864</v>
      </c>
      <c r="AJ8" s="40" t="s">
        <v>607</v>
      </c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</row>
    <row r="9" ht="14.25" customHeight="1">
      <c r="A9" s="26">
        <f t="shared" si="4"/>
        <v>6</v>
      </c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 t="s">
        <v>873</v>
      </c>
      <c r="P9" s="26" t="s">
        <v>873</v>
      </c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 t="s">
        <v>793</v>
      </c>
      <c r="AC9" s="26"/>
      <c r="AD9" s="26"/>
      <c r="AE9" s="26"/>
      <c r="AF9" s="76" t="s">
        <v>874</v>
      </c>
      <c r="AG9" s="76" t="s">
        <v>875</v>
      </c>
      <c r="AH9" s="76" t="s">
        <v>876</v>
      </c>
      <c r="AI9" s="76" t="s">
        <v>877</v>
      </c>
      <c r="AJ9" s="40" t="s">
        <v>607</v>
      </c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</row>
    <row r="10" ht="14.25" customHeight="1">
      <c r="A10" s="26">
        <f t="shared" si="4"/>
        <v>7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 t="s">
        <v>878</v>
      </c>
      <c r="O10" s="26" t="s">
        <v>879</v>
      </c>
      <c r="P10" s="26" t="s">
        <v>879</v>
      </c>
      <c r="Q10" s="26" t="s">
        <v>880</v>
      </c>
      <c r="R10" s="26" t="s">
        <v>881</v>
      </c>
      <c r="S10" s="26" t="s">
        <v>882</v>
      </c>
      <c r="T10" s="26"/>
      <c r="U10" s="26" t="s">
        <v>883</v>
      </c>
      <c r="V10" s="26" t="s">
        <v>884</v>
      </c>
      <c r="W10" s="26" t="s">
        <v>885</v>
      </c>
      <c r="X10" s="26" t="s">
        <v>886</v>
      </c>
      <c r="Y10" s="76" t="s">
        <v>887</v>
      </c>
      <c r="Z10" s="76" t="s">
        <v>888</v>
      </c>
      <c r="AA10" s="76" t="s">
        <v>889</v>
      </c>
      <c r="AB10" s="26" t="s">
        <v>793</v>
      </c>
      <c r="AC10" s="76" t="s">
        <v>890</v>
      </c>
      <c r="AD10" s="26"/>
      <c r="AE10" s="103" t="s">
        <v>891</v>
      </c>
      <c r="AF10" s="76" t="s">
        <v>892</v>
      </c>
      <c r="AG10" s="76" t="s">
        <v>893</v>
      </c>
      <c r="AH10" s="76" t="s">
        <v>894</v>
      </c>
      <c r="AI10" s="76" t="s">
        <v>895</v>
      </c>
      <c r="AJ10" s="40" t="s">
        <v>607</v>
      </c>
      <c r="AK10" s="26" t="s">
        <v>896</v>
      </c>
      <c r="AL10" s="76" t="s">
        <v>897</v>
      </c>
      <c r="AM10" s="76" t="s">
        <v>898</v>
      </c>
      <c r="AN10" s="76" t="s">
        <v>899</v>
      </c>
      <c r="AO10" s="76" t="s">
        <v>900</v>
      </c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</row>
    <row r="11" ht="14.25" customHeight="1">
      <c r="A11" s="104">
        <f t="shared" si="4"/>
        <v>8</v>
      </c>
      <c r="B11" s="104"/>
      <c r="C11" s="104"/>
      <c r="D11" s="104"/>
      <c r="E11" s="104"/>
      <c r="F11" s="104"/>
      <c r="G11" s="104" t="s">
        <v>901</v>
      </c>
      <c r="H11" s="104"/>
      <c r="I11" s="104"/>
      <c r="J11" s="104"/>
      <c r="K11" s="104"/>
      <c r="L11" s="104"/>
      <c r="M11" s="104"/>
      <c r="N11" s="104" t="s">
        <v>902</v>
      </c>
      <c r="O11" s="104" t="s">
        <v>903</v>
      </c>
      <c r="P11" s="104" t="s">
        <v>903</v>
      </c>
      <c r="Q11" s="104" t="s">
        <v>904</v>
      </c>
      <c r="R11" s="104" t="s">
        <v>905</v>
      </c>
      <c r="S11" s="104" t="s">
        <v>906</v>
      </c>
      <c r="T11" s="104"/>
      <c r="U11" s="104" t="s">
        <v>907</v>
      </c>
      <c r="V11" s="104" t="s">
        <v>908</v>
      </c>
      <c r="W11" s="104" t="s">
        <v>909</v>
      </c>
      <c r="X11" s="104" t="s">
        <v>688</v>
      </c>
      <c r="Y11" s="105" t="s">
        <v>910</v>
      </c>
      <c r="Z11" s="105" t="s">
        <v>911</v>
      </c>
      <c r="AA11" s="105" t="s">
        <v>912</v>
      </c>
      <c r="AB11" s="104" t="s">
        <v>793</v>
      </c>
      <c r="AC11" s="105" t="s">
        <v>913</v>
      </c>
      <c r="AD11" s="104"/>
      <c r="AE11" s="104" t="s">
        <v>914</v>
      </c>
      <c r="AF11" s="104"/>
      <c r="AG11" s="104"/>
      <c r="AH11" s="104"/>
      <c r="AI11" s="104"/>
      <c r="AJ11" s="106" t="s">
        <v>607</v>
      </c>
      <c r="AK11" s="104" t="s">
        <v>915</v>
      </c>
      <c r="AL11" s="105" t="s">
        <v>916</v>
      </c>
      <c r="AM11" s="105" t="s">
        <v>917</v>
      </c>
      <c r="AN11" s="105" t="s">
        <v>918</v>
      </c>
      <c r="AO11" s="105" t="s">
        <v>919</v>
      </c>
      <c r="AP11" s="104"/>
      <c r="AQ11" s="104"/>
      <c r="AR11" s="104"/>
      <c r="AS11" s="104"/>
      <c r="AT11" s="104"/>
      <c r="AU11" s="104"/>
      <c r="AV11" s="104"/>
      <c r="AW11" s="104"/>
      <c r="AX11" s="104"/>
      <c r="AY11" s="104"/>
      <c r="AZ11" s="104"/>
      <c r="BA11" s="104"/>
      <c r="BB11" s="104"/>
      <c r="BC11" s="104"/>
      <c r="BD11" s="104"/>
      <c r="BE11" s="104"/>
      <c r="BF11" s="104"/>
      <c r="BG11" s="104"/>
      <c r="BH11" s="104"/>
      <c r="BI11" s="104"/>
      <c r="BJ11" s="104"/>
      <c r="BK11" s="104"/>
    </row>
    <row r="12" ht="14.25" customHeight="1">
      <c r="A12" s="104">
        <f t="shared" si="4"/>
        <v>9</v>
      </c>
      <c r="B12" s="107">
        <v>45785.0</v>
      </c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 t="s">
        <v>920</v>
      </c>
      <c r="O12" s="26" t="s">
        <v>921</v>
      </c>
      <c r="P12" s="26" t="s">
        <v>921</v>
      </c>
      <c r="Q12" s="26" t="s">
        <v>922</v>
      </c>
      <c r="R12" s="26" t="s">
        <v>923</v>
      </c>
      <c r="S12" s="26" t="s">
        <v>924</v>
      </c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</row>
    <row r="13" ht="14.25" customHeight="1">
      <c r="A13" s="26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</row>
    <row r="14" ht="14.25" customHeight="1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</row>
    <row r="15" ht="14.25" customHeight="1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</row>
    <row r="16" ht="14.25" customHeight="1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</row>
    <row r="17" ht="14.25" customHeight="1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</row>
    <row r="18" ht="14.25" customHeight="1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</row>
    <row r="19" ht="14.25" customHeight="1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</row>
    <row r="20" ht="14.25" customHeight="1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</row>
    <row r="21" ht="14.25" customHeight="1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</row>
    <row r="22" ht="14.25" customHeight="1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</row>
    <row r="23" ht="14.25" customHeight="1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</row>
    <row r="24" ht="14.25" customHeight="1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</row>
    <row r="25" ht="14.25" customHeight="1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</row>
    <row r="26" ht="14.25" customHeight="1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</row>
    <row r="27" ht="14.25" customHeight="1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</row>
    <row r="28" ht="14.25" customHeight="1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</row>
    <row r="29" ht="14.25" customHeight="1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</row>
    <row r="30" ht="14.25" customHeight="1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</row>
    <row r="31" ht="14.25" customHeight="1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</row>
    <row r="32" ht="14.25" customHeight="1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</row>
    <row r="33" ht="14.25" customHeight="1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</row>
    <row r="34" ht="14.25" customHeight="1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</row>
    <row r="35" ht="14.25" customHeight="1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</row>
    <row r="36" ht="14.25" customHeight="1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  <c r="BH36" s="26"/>
      <c r="BI36" s="26"/>
      <c r="BJ36" s="26"/>
      <c r="BK36" s="26"/>
    </row>
    <row r="37" ht="14.25" customHeight="1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  <c r="BH37" s="26"/>
      <c r="BI37" s="26"/>
      <c r="BJ37" s="26"/>
      <c r="BK37" s="26"/>
    </row>
    <row r="38" ht="14.25" customHeight="1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26"/>
      <c r="BC38" s="26"/>
      <c r="BD38" s="26"/>
      <c r="BE38" s="26"/>
      <c r="BF38" s="26"/>
      <c r="BG38" s="26"/>
      <c r="BH38" s="26"/>
      <c r="BI38" s="26"/>
      <c r="BJ38" s="26"/>
      <c r="BK38" s="26"/>
    </row>
    <row r="39" ht="14.25" customHeight="1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6"/>
      <c r="AY39" s="26"/>
      <c r="AZ39" s="26"/>
      <c r="BA39" s="26"/>
      <c r="BB39" s="26"/>
      <c r="BC39" s="26"/>
      <c r="BD39" s="26"/>
      <c r="BE39" s="26"/>
      <c r="BF39" s="26"/>
      <c r="BG39" s="26"/>
      <c r="BH39" s="26"/>
      <c r="BI39" s="26"/>
      <c r="BJ39" s="26"/>
      <c r="BK39" s="26"/>
    </row>
    <row r="40" ht="14.25" customHeight="1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6"/>
    </row>
    <row r="41" ht="14.25" customHeight="1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6"/>
    </row>
    <row r="42" ht="14.25" customHeight="1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</row>
    <row r="43" ht="14.25" customHeight="1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</row>
    <row r="44" ht="14.25" customHeight="1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</row>
    <row r="45" ht="14.25" customHeight="1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</row>
    <row r="46" ht="14.25" customHeight="1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  <c r="BJ46" s="26"/>
      <c r="BK46" s="26"/>
    </row>
    <row r="47" ht="14.25" customHeight="1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6"/>
      <c r="BI47" s="26"/>
      <c r="BJ47" s="26"/>
      <c r="BK47" s="26"/>
    </row>
    <row r="48" ht="14.25" customHeight="1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  <c r="BJ48" s="26"/>
      <c r="BK48" s="26"/>
    </row>
    <row r="49" ht="14.25" customHeight="1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26"/>
      <c r="BH49" s="26"/>
      <c r="BI49" s="26"/>
      <c r="BJ49" s="26"/>
      <c r="BK49" s="26"/>
    </row>
    <row r="50" ht="14.25" customHeight="1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  <c r="BH50" s="26"/>
      <c r="BI50" s="26"/>
      <c r="BJ50" s="26"/>
      <c r="BK50" s="26"/>
    </row>
    <row r="51" ht="14.25" customHeight="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  <c r="BH51" s="26"/>
      <c r="BI51" s="26"/>
      <c r="BJ51" s="26"/>
      <c r="BK51" s="26"/>
    </row>
    <row r="52" ht="14.25" customHeight="1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26"/>
      <c r="BH52" s="26"/>
      <c r="BI52" s="26"/>
      <c r="BJ52" s="26"/>
      <c r="BK52" s="26"/>
    </row>
    <row r="53" ht="14.25" customHeight="1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  <c r="BH53" s="26"/>
      <c r="BI53" s="26"/>
      <c r="BJ53" s="26"/>
      <c r="BK53" s="26"/>
    </row>
    <row r="54" ht="14.25" customHeight="1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26"/>
      <c r="BC54" s="26"/>
      <c r="BD54" s="26"/>
      <c r="BE54" s="26"/>
      <c r="BF54" s="26"/>
      <c r="BG54" s="26"/>
      <c r="BH54" s="26"/>
      <c r="BI54" s="26"/>
      <c r="BJ54" s="26"/>
      <c r="BK54" s="26"/>
    </row>
    <row r="55" ht="14.25" customHeight="1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26"/>
      <c r="AU55" s="26"/>
      <c r="AV55" s="26"/>
      <c r="AW55" s="26"/>
      <c r="AX55" s="26"/>
      <c r="AY55" s="26"/>
      <c r="AZ55" s="26"/>
      <c r="BA55" s="26"/>
      <c r="BB55" s="26"/>
      <c r="BC55" s="26"/>
      <c r="BD55" s="26"/>
      <c r="BE55" s="26"/>
      <c r="BF55" s="26"/>
      <c r="BG55" s="26"/>
      <c r="BH55" s="26"/>
      <c r="BI55" s="26"/>
      <c r="BJ55" s="26"/>
      <c r="BK55" s="26"/>
    </row>
    <row r="56" ht="14.25" customHeight="1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26"/>
      <c r="AT56" s="26"/>
      <c r="AU56" s="26"/>
      <c r="AV56" s="26"/>
      <c r="AW56" s="26"/>
      <c r="AX56" s="26"/>
      <c r="AY56" s="26"/>
      <c r="AZ56" s="26"/>
      <c r="BA56" s="26"/>
      <c r="BB56" s="26"/>
      <c r="BC56" s="26"/>
      <c r="BD56" s="26"/>
      <c r="BE56" s="26"/>
      <c r="BF56" s="26"/>
      <c r="BG56" s="26"/>
      <c r="BH56" s="26"/>
      <c r="BI56" s="26"/>
      <c r="BJ56" s="26"/>
      <c r="BK56" s="26"/>
    </row>
    <row r="57" ht="14.25" customHeight="1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  <c r="AO57" s="26"/>
      <c r="AP57" s="26"/>
      <c r="AQ57" s="26"/>
      <c r="AR57" s="26"/>
      <c r="AS57" s="26"/>
      <c r="AT57" s="26"/>
      <c r="AU57" s="26"/>
      <c r="AV57" s="26"/>
      <c r="AW57" s="26"/>
      <c r="AX57" s="26"/>
      <c r="AY57" s="26"/>
      <c r="AZ57" s="26"/>
      <c r="BA57" s="26"/>
      <c r="BB57" s="26"/>
      <c r="BC57" s="26"/>
      <c r="BD57" s="26"/>
      <c r="BE57" s="26"/>
      <c r="BF57" s="26"/>
      <c r="BG57" s="26"/>
      <c r="BH57" s="26"/>
      <c r="BI57" s="26"/>
      <c r="BJ57" s="26"/>
      <c r="BK57" s="26"/>
    </row>
    <row r="58" ht="14.25" customHeight="1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26"/>
      <c r="AU58" s="26"/>
      <c r="AV58" s="26"/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26"/>
      <c r="BH58" s="26"/>
      <c r="BI58" s="26"/>
      <c r="BJ58" s="26"/>
      <c r="BK58" s="26"/>
    </row>
    <row r="59" ht="14.25" customHeight="1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  <c r="BH59" s="26"/>
      <c r="BI59" s="26"/>
      <c r="BJ59" s="26"/>
      <c r="BK59" s="26"/>
    </row>
    <row r="60" ht="14.25" customHeight="1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  <c r="BJ60" s="26"/>
      <c r="BK60" s="26"/>
    </row>
    <row r="61" ht="14.25" customHeight="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26"/>
      <c r="AX61" s="26"/>
      <c r="AY61" s="26"/>
      <c r="AZ61" s="26"/>
      <c r="BA61" s="26"/>
      <c r="BB61" s="26"/>
      <c r="BC61" s="26"/>
      <c r="BD61" s="26"/>
      <c r="BE61" s="26"/>
      <c r="BF61" s="26"/>
      <c r="BG61" s="26"/>
      <c r="BH61" s="26"/>
      <c r="BI61" s="26"/>
      <c r="BJ61" s="26"/>
      <c r="BK61" s="26"/>
    </row>
    <row r="62" ht="14.25" customHeight="1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26"/>
      <c r="AT62" s="26"/>
      <c r="AU62" s="26"/>
      <c r="AV62" s="26"/>
      <c r="AW62" s="26"/>
      <c r="AX62" s="26"/>
      <c r="AY62" s="26"/>
      <c r="AZ62" s="26"/>
      <c r="BA62" s="26"/>
      <c r="BB62" s="26"/>
      <c r="BC62" s="26"/>
      <c r="BD62" s="26"/>
      <c r="BE62" s="26"/>
      <c r="BF62" s="26"/>
      <c r="BG62" s="26"/>
      <c r="BH62" s="26"/>
      <c r="BI62" s="26"/>
      <c r="BJ62" s="26"/>
      <c r="BK62" s="26"/>
    </row>
    <row r="63" ht="14.25" customHeight="1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26"/>
      <c r="AP63" s="26"/>
      <c r="AQ63" s="26"/>
      <c r="AR63" s="26"/>
      <c r="AS63" s="26"/>
      <c r="AT63" s="26"/>
      <c r="AU63" s="26"/>
      <c r="AV63" s="26"/>
      <c r="AW63" s="26"/>
      <c r="AX63" s="26"/>
      <c r="AY63" s="26"/>
      <c r="AZ63" s="26"/>
      <c r="BA63" s="26"/>
      <c r="BB63" s="26"/>
      <c r="BC63" s="26"/>
      <c r="BD63" s="26"/>
      <c r="BE63" s="26"/>
      <c r="BF63" s="26"/>
      <c r="BG63" s="26"/>
      <c r="BH63" s="26"/>
      <c r="BI63" s="26"/>
      <c r="BJ63" s="26"/>
      <c r="BK63" s="26"/>
    </row>
    <row r="64" ht="14.25" customHeight="1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  <c r="AM64" s="26"/>
      <c r="AN64" s="26"/>
      <c r="AO64" s="26"/>
      <c r="AP64" s="26"/>
      <c r="AQ64" s="26"/>
      <c r="AR64" s="26"/>
      <c r="AS64" s="26"/>
      <c r="AT64" s="26"/>
      <c r="AU64" s="26"/>
      <c r="AV64" s="26"/>
      <c r="AW64" s="26"/>
      <c r="AX64" s="26"/>
      <c r="AY64" s="26"/>
      <c r="AZ64" s="26"/>
      <c r="BA64" s="26"/>
      <c r="BB64" s="26"/>
      <c r="BC64" s="26"/>
      <c r="BD64" s="26"/>
      <c r="BE64" s="26"/>
      <c r="BF64" s="26"/>
      <c r="BG64" s="26"/>
      <c r="BH64" s="26"/>
      <c r="BI64" s="26"/>
      <c r="BJ64" s="26"/>
      <c r="BK64" s="26"/>
    </row>
    <row r="65" ht="14.25" customHeight="1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  <c r="AO65" s="26"/>
      <c r="AP65" s="26"/>
      <c r="AQ65" s="26"/>
      <c r="AR65" s="26"/>
      <c r="AS65" s="26"/>
      <c r="AT65" s="26"/>
      <c r="AU65" s="26"/>
      <c r="AV65" s="26"/>
      <c r="AW65" s="26"/>
      <c r="AX65" s="26"/>
      <c r="AY65" s="26"/>
      <c r="AZ65" s="26"/>
      <c r="BA65" s="26"/>
      <c r="BB65" s="26"/>
      <c r="BC65" s="26"/>
      <c r="BD65" s="26"/>
      <c r="BE65" s="26"/>
      <c r="BF65" s="26"/>
      <c r="BG65" s="26"/>
      <c r="BH65" s="26"/>
      <c r="BI65" s="26"/>
      <c r="BJ65" s="26"/>
      <c r="BK65" s="26"/>
    </row>
    <row r="66" ht="14.25" customHeight="1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  <c r="AO66" s="26"/>
      <c r="AP66" s="26"/>
      <c r="AQ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/>
      <c r="BB66" s="26"/>
      <c r="BC66" s="26"/>
      <c r="BD66" s="26"/>
      <c r="BE66" s="26"/>
      <c r="BF66" s="26"/>
      <c r="BG66" s="26"/>
      <c r="BH66" s="26"/>
      <c r="BI66" s="26"/>
      <c r="BJ66" s="26"/>
      <c r="BK66" s="26"/>
    </row>
    <row r="67" ht="14.25" customHeight="1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/>
      <c r="BB67" s="26"/>
      <c r="BC67" s="26"/>
      <c r="BD67" s="26"/>
      <c r="BE67" s="26"/>
      <c r="BF67" s="26"/>
      <c r="BG67" s="26"/>
      <c r="BH67" s="26"/>
      <c r="BI67" s="26"/>
      <c r="BJ67" s="26"/>
      <c r="BK67" s="26"/>
    </row>
    <row r="68" ht="14.25" customHeight="1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  <c r="AO68" s="26"/>
      <c r="AP68" s="26"/>
      <c r="AQ68" s="26"/>
      <c r="AR68" s="26"/>
      <c r="AS68" s="26"/>
      <c r="AT68" s="26"/>
      <c r="AU68" s="26"/>
      <c r="AV68" s="26"/>
      <c r="AW68" s="26"/>
      <c r="AX68" s="26"/>
      <c r="AY68" s="26"/>
      <c r="AZ68" s="26"/>
      <c r="BA68" s="26"/>
      <c r="BB68" s="26"/>
      <c r="BC68" s="26"/>
      <c r="BD68" s="26"/>
      <c r="BE68" s="26"/>
      <c r="BF68" s="26"/>
      <c r="BG68" s="26"/>
      <c r="BH68" s="26"/>
      <c r="BI68" s="26"/>
      <c r="BJ68" s="26"/>
      <c r="BK68" s="26"/>
    </row>
    <row r="69" ht="14.25" customHeight="1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6"/>
      <c r="AY69" s="26"/>
      <c r="AZ69" s="26"/>
      <c r="BA69" s="26"/>
      <c r="BB69" s="26"/>
      <c r="BC69" s="26"/>
      <c r="BD69" s="26"/>
      <c r="BE69" s="26"/>
      <c r="BF69" s="26"/>
      <c r="BG69" s="26"/>
      <c r="BH69" s="26"/>
      <c r="BI69" s="26"/>
      <c r="BJ69" s="26"/>
      <c r="BK69" s="26"/>
    </row>
    <row r="70" ht="14.25" customHeight="1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  <c r="AM70" s="26"/>
      <c r="AN70" s="26"/>
      <c r="AO70" s="26"/>
      <c r="AP70" s="26"/>
      <c r="AQ70" s="26"/>
      <c r="AR70" s="26"/>
      <c r="AS70" s="26"/>
      <c r="AT70" s="26"/>
      <c r="AU70" s="26"/>
      <c r="AV70" s="26"/>
      <c r="AW70" s="26"/>
      <c r="AX70" s="26"/>
      <c r="AY70" s="26"/>
      <c r="AZ70" s="26"/>
      <c r="BA70" s="26"/>
      <c r="BB70" s="26"/>
      <c r="BC70" s="26"/>
      <c r="BD70" s="26"/>
      <c r="BE70" s="26"/>
      <c r="BF70" s="26"/>
      <c r="BG70" s="26"/>
      <c r="BH70" s="26"/>
      <c r="BI70" s="26"/>
      <c r="BJ70" s="26"/>
      <c r="BK70" s="26"/>
    </row>
    <row r="71" ht="14.25" customHeight="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26"/>
      <c r="AT71" s="26"/>
      <c r="AU71" s="26"/>
      <c r="AV71" s="26"/>
      <c r="AW71" s="26"/>
      <c r="AX71" s="26"/>
      <c r="AY71" s="26"/>
      <c r="AZ71" s="26"/>
      <c r="BA71" s="26"/>
      <c r="BB71" s="26"/>
      <c r="BC71" s="26"/>
      <c r="BD71" s="26"/>
      <c r="BE71" s="26"/>
      <c r="BF71" s="26"/>
      <c r="BG71" s="26"/>
      <c r="BH71" s="26"/>
      <c r="BI71" s="26"/>
      <c r="BJ71" s="26"/>
      <c r="BK71" s="26"/>
    </row>
    <row r="72" ht="14.25" customHeight="1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  <c r="AO72" s="26"/>
      <c r="AP72" s="26"/>
      <c r="AQ72" s="26"/>
      <c r="AR72" s="26"/>
      <c r="AS72" s="26"/>
      <c r="AT72" s="26"/>
      <c r="AU72" s="26"/>
      <c r="AV72" s="26"/>
      <c r="AW72" s="26"/>
      <c r="AX72" s="26"/>
      <c r="AY72" s="26"/>
      <c r="AZ72" s="26"/>
      <c r="BA72" s="26"/>
      <c r="BB72" s="26"/>
      <c r="BC72" s="26"/>
      <c r="BD72" s="26"/>
      <c r="BE72" s="26"/>
      <c r="BF72" s="26"/>
      <c r="BG72" s="26"/>
      <c r="BH72" s="26"/>
      <c r="BI72" s="26"/>
      <c r="BJ72" s="26"/>
      <c r="BK72" s="26"/>
    </row>
    <row r="73" ht="14.25" customHeight="1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  <c r="AO73" s="26"/>
      <c r="AP73" s="26"/>
      <c r="AQ73" s="26"/>
      <c r="AR73" s="26"/>
      <c r="AS73" s="26"/>
      <c r="AT73" s="26"/>
      <c r="AU73" s="26"/>
      <c r="AV73" s="26"/>
      <c r="AW73" s="26"/>
      <c r="AX73" s="26"/>
      <c r="AY73" s="26"/>
      <c r="AZ73" s="26"/>
      <c r="BA73" s="26"/>
      <c r="BB73" s="26"/>
      <c r="BC73" s="26"/>
      <c r="BD73" s="26"/>
      <c r="BE73" s="26"/>
      <c r="BF73" s="26"/>
      <c r="BG73" s="26"/>
      <c r="BH73" s="26"/>
      <c r="BI73" s="26"/>
      <c r="BJ73" s="26"/>
      <c r="BK73" s="26"/>
    </row>
    <row r="74" ht="14.25" customHeight="1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/>
      <c r="AP74" s="26"/>
      <c r="AQ74" s="26"/>
      <c r="AR74" s="26"/>
      <c r="AS74" s="26"/>
      <c r="AT74" s="26"/>
      <c r="AU74" s="26"/>
      <c r="AV74" s="26"/>
      <c r="AW74" s="26"/>
      <c r="AX74" s="26"/>
      <c r="AY74" s="26"/>
      <c r="AZ74" s="26"/>
      <c r="BA74" s="26"/>
      <c r="BB74" s="26"/>
      <c r="BC74" s="26"/>
      <c r="BD74" s="26"/>
      <c r="BE74" s="26"/>
      <c r="BF74" s="26"/>
      <c r="BG74" s="26"/>
      <c r="BH74" s="26"/>
      <c r="BI74" s="26"/>
      <c r="BJ74" s="26"/>
      <c r="BK74" s="26"/>
    </row>
    <row r="75" ht="14.25" customHeight="1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26"/>
      <c r="AQ75" s="26"/>
      <c r="AR75" s="26"/>
      <c r="AS75" s="26"/>
      <c r="AT75" s="26"/>
      <c r="AU75" s="26"/>
      <c r="AV75" s="26"/>
      <c r="AW75" s="26"/>
      <c r="AX75" s="26"/>
      <c r="AY75" s="26"/>
      <c r="AZ75" s="26"/>
      <c r="BA75" s="26"/>
      <c r="BB75" s="26"/>
      <c r="BC75" s="26"/>
      <c r="BD75" s="26"/>
      <c r="BE75" s="26"/>
      <c r="BF75" s="26"/>
      <c r="BG75" s="26"/>
      <c r="BH75" s="26"/>
      <c r="BI75" s="26"/>
      <c r="BJ75" s="26"/>
      <c r="BK75" s="26"/>
    </row>
    <row r="76" ht="14.25" customHeight="1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26"/>
      <c r="AV76" s="26"/>
      <c r="AW76" s="26"/>
      <c r="AX76" s="26"/>
      <c r="AY76" s="26"/>
      <c r="AZ76" s="26"/>
      <c r="BA76" s="26"/>
      <c r="BB76" s="26"/>
      <c r="BC76" s="26"/>
      <c r="BD76" s="26"/>
      <c r="BE76" s="26"/>
      <c r="BF76" s="26"/>
      <c r="BG76" s="26"/>
      <c r="BH76" s="26"/>
      <c r="BI76" s="26"/>
      <c r="BJ76" s="26"/>
      <c r="BK76" s="26"/>
    </row>
    <row r="77" ht="14.25" customHeight="1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  <c r="AM77" s="26"/>
      <c r="AN77" s="26"/>
      <c r="AO77" s="26"/>
      <c r="AP77" s="26"/>
      <c r="AQ77" s="26"/>
      <c r="AR77" s="26"/>
      <c r="AS77" s="26"/>
      <c r="AT77" s="26"/>
      <c r="AU77" s="26"/>
      <c r="AV77" s="26"/>
      <c r="AW77" s="26"/>
      <c r="AX77" s="26"/>
      <c r="AY77" s="26"/>
      <c r="AZ77" s="26"/>
      <c r="BA77" s="26"/>
      <c r="BB77" s="26"/>
      <c r="BC77" s="26"/>
      <c r="BD77" s="26"/>
      <c r="BE77" s="26"/>
      <c r="BF77" s="26"/>
      <c r="BG77" s="26"/>
      <c r="BH77" s="26"/>
      <c r="BI77" s="26"/>
      <c r="BJ77" s="26"/>
      <c r="BK77" s="26"/>
    </row>
    <row r="78" ht="14.25" customHeight="1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  <c r="AM78" s="26"/>
      <c r="AN78" s="26"/>
      <c r="AO78" s="26"/>
      <c r="AP78" s="26"/>
      <c r="AQ78" s="26"/>
      <c r="AR78" s="26"/>
      <c r="AS78" s="26"/>
      <c r="AT78" s="26"/>
      <c r="AU78" s="26"/>
      <c r="AV78" s="26"/>
      <c r="AW78" s="26"/>
      <c r="AX78" s="26"/>
      <c r="AY78" s="26"/>
      <c r="AZ78" s="26"/>
      <c r="BA78" s="26"/>
      <c r="BB78" s="26"/>
      <c r="BC78" s="26"/>
      <c r="BD78" s="26"/>
      <c r="BE78" s="26"/>
      <c r="BF78" s="26"/>
      <c r="BG78" s="26"/>
      <c r="BH78" s="26"/>
      <c r="BI78" s="26"/>
      <c r="BJ78" s="26"/>
      <c r="BK78" s="26"/>
    </row>
    <row r="79" ht="14.25" customHeight="1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  <c r="AO79" s="26"/>
      <c r="AP79" s="26"/>
      <c r="AQ79" s="26"/>
      <c r="AR79" s="26"/>
      <c r="AS79" s="26"/>
      <c r="AT79" s="26"/>
      <c r="AU79" s="26"/>
      <c r="AV79" s="26"/>
      <c r="AW79" s="26"/>
      <c r="AX79" s="26"/>
      <c r="AY79" s="26"/>
      <c r="AZ79" s="26"/>
      <c r="BA79" s="26"/>
      <c r="BB79" s="26"/>
      <c r="BC79" s="26"/>
      <c r="BD79" s="26"/>
      <c r="BE79" s="26"/>
      <c r="BF79" s="26"/>
      <c r="BG79" s="26"/>
      <c r="BH79" s="26"/>
      <c r="BI79" s="26"/>
      <c r="BJ79" s="26"/>
      <c r="BK79" s="26"/>
    </row>
    <row r="80" ht="14.25" customHeight="1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  <c r="AO80" s="26"/>
      <c r="AP80" s="26"/>
      <c r="AQ80" s="26"/>
      <c r="AR80" s="26"/>
      <c r="AS80" s="26"/>
      <c r="AT80" s="26"/>
      <c r="AU80" s="26"/>
      <c r="AV80" s="26"/>
      <c r="AW80" s="26"/>
      <c r="AX80" s="26"/>
      <c r="AY80" s="26"/>
      <c r="AZ80" s="26"/>
      <c r="BA80" s="26"/>
      <c r="BB80" s="26"/>
      <c r="BC80" s="26"/>
      <c r="BD80" s="26"/>
      <c r="BE80" s="26"/>
      <c r="BF80" s="26"/>
      <c r="BG80" s="26"/>
      <c r="BH80" s="26"/>
      <c r="BI80" s="26"/>
      <c r="BJ80" s="26"/>
      <c r="BK80" s="26"/>
    </row>
    <row r="81" ht="14.25" customHeight="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  <c r="AO81" s="26"/>
      <c r="AP81" s="26"/>
      <c r="AQ81" s="26"/>
      <c r="AR81" s="26"/>
      <c r="AS81" s="26"/>
      <c r="AT81" s="26"/>
      <c r="AU81" s="26"/>
      <c r="AV81" s="26"/>
      <c r="AW81" s="26"/>
      <c r="AX81" s="26"/>
      <c r="AY81" s="26"/>
      <c r="AZ81" s="26"/>
      <c r="BA81" s="26"/>
      <c r="BB81" s="26"/>
      <c r="BC81" s="26"/>
      <c r="BD81" s="26"/>
      <c r="BE81" s="26"/>
      <c r="BF81" s="26"/>
      <c r="BG81" s="26"/>
      <c r="BH81" s="26"/>
      <c r="BI81" s="26"/>
      <c r="BJ81" s="26"/>
      <c r="BK81" s="26"/>
    </row>
    <row r="82" ht="14.25" customHeight="1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  <c r="AM82" s="26"/>
      <c r="AN82" s="26"/>
      <c r="AO82" s="26"/>
      <c r="AP82" s="26"/>
      <c r="AQ82" s="26"/>
      <c r="AR82" s="26"/>
      <c r="AS82" s="26"/>
      <c r="AT82" s="26"/>
      <c r="AU82" s="26"/>
      <c r="AV82" s="26"/>
      <c r="AW82" s="26"/>
      <c r="AX82" s="26"/>
      <c r="AY82" s="26"/>
      <c r="AZ82" s="26"/>
      <c r="BA82" s="26"/>
      <c r="BB82" s="26"/>
      <c r="BC82" s="26"/>
      <c r="BD82" s="26"/>
      <c r="BE82" s="26"/>
      <c r="BF82" s="26"/>
      <c r="BG82" s="26"/>
      <c r="BH82" s="26"/>
      <c r="BI82" s="26"/>
      <c r="BJ82" s="26"/>
      <c r="BK82" s="26"/>
    </row>
    <row r="83" ht="14.25" customHeight="1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  <c r="AM83" s="26"/>
      <c r="AN83" s="26"/>
      <c r="AO83" s="26"/>
      <c r="AP83" s="26"/>
      <c r="AQ83" s="26"/>
      <c r="AR83" s="26"/>
      <c r="AS83" s="26"/>
      <c r="AT83" s="26"/>
      <c r="AU83" s="26"/>
      <c r="AV83" s="26"/>
      <c r="AW83" s="26"/>
      <c r="AX83" s="26"/>
      <c r="AY83" s="26"/>
      <c r="AZ83" s="26"/>
      <c r="BA83" s="26"/>
      <c r="BB83" s="26"/>
      <c r="BC83" s="26"/>
      <c r="BD83" s="26"/>
      <c r="BE83" s="26"/>
      <c r="BF83" s="26"/>
      <c r="BG83" s="26"/>
      <c r="BH83" s="26"/>
      <c r="BI83" s="26"/>
      <c r="BJ83" s="26"/>
      <c r="BK83" s="26"/>
    </row>
    <row r="84" ht="14.25" customHeight="1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  <c r="AM84" s="26"/>
      <c r="AN84" s="26"/>
      <c r="AO84" s="26"/>
      <c r="AP84" s="26"/>
      <c r="AQ84" s="26"/>
      <c r="AR84" s="26"/>
      <c r="AS84" s="26"/>
      <c r="AT84" s="26"/>
      <c r="AU84" s="26"/>
      <c r="AV84" s="26"/>
      <c r="AW84" s="26"/>
      <c r="AX84" s="26"/>
      <c r="AY84" s="26"/>
      <c r="AZ84" s="26"/>
      <c r="BA84" s="26"/>
      <c r="BB84" s="26"/>
      <c r="BC84" s="26"/>
      <c r="BD84" s="26"/>
      <c r="BE84" s="26"/>
      <c r="BF84" s="26"/>
      <c r="BG84" s="26"/>
      <c r="BH84" s="26"/>
      <c r="BI84" s="26"/>
      <c r="BJ84" s="26"/>
      <c r="BK84" s="26"/>
    </row>
    <row r="85" ht="14.25" customHeight="1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  <c r="AO85" s="26"/>
      <c r="AP85" s="26"/>
      <c r="AQ85" s="26"/>
      <c r="AR85" s="26"/>
      <c r="AS85" s="26"/>
      <c r="AT85" s="26"/>
      <c r="AU85" s="26"/>
      <c r="AV85" s="26"/>
      <c r="AW85" s="26"/>
      <c r="AX85" s="26"/>
      <c r="AY85" s="26"/>
      <c r="AZ85" s="26"/>
      <c r="BA85" s="26"/>
      <c r="BB85" s="26"/>
      <c r="BC85" s="26"/>
      <c r="BD85" s="26"/>
      <c r="BE85" s="26"/>
      <c r="BF85" s="26"/>
      <c r="BG85" s="26"/>
      <c r="BH85" s="26"/>
      <c r="BI85" s="26"/>
      <c r="BJ85" s="26"/>
      <c r="BK85" s="26"/>
    </row>
    <row r="86" ht="14.25" customHeight="1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/>
      <c r="AN86" s="26"/>
      <c r="AO86" s="26"/>
      <c r="AP86" s="26"/>
      <c r="AQ86" s="26"/>
      <c r="AR86" s="26"/>
      <c r="AS86" s="26"/>
      <c r="AT86" s="26"/>
      <c r="AU86" s="26"/>
      <c r="AV86" s="26"/>
      <c r="AW86" s="26"/>
      <c r="AX86" s="26"/>
      <c r="AY86" s="26"/>
      <c r="AZ86" s="26"/>
      <c r="BA86" s="26"/>
      <c r="BB86" s="26"/>
      <c r="BC86" s="26"/>
      <c r="BD86" s="26"/>
      <c r="BE86" s="26"/>
      <c r="BF86" s="26"/>
      <c r="BG86" s="26"/>
      <c r="BH86" s="26"/>
      <c r="BI86" s="26"/>
      <c r="BJ86" s="26"/>
      <c r="BK86" s="26"/>
    </row>
    <row r="87" ht="14.25" customHeight="1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/>
      <c r="AX87" s="26"/>
      <c r="AY87" s="26"/>
      <c r="AZ87" s="26"/>
      <c r="BA87" s="26"/>
      <c r="BB87" s="26"/>
      <c r="BC87" s="26"/>
      <c r="BD87" s="26"/>
      <c r="BE87" s="26"/>
      <c r="BF87" s="26"/>
      <c r="BG87" s="26"/>
      <c r="BH87" s="26"/>
      <c r="BI87" s="26"/>
      <c r="BJ87" s="26"/>
      <c r="BK87" s="26"/>
    </row>
    <row r="88" ht="14.25" customHeight="1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  <c r="AM88" s="26"/>
      <c r="AN88" s="26"/>
      <c r="AO88" s="26"/>
      <c r="AP88" s="26"/>
      <c r="AQ88" s="26"/>
      <c r="AR88" s="26"/>
      <c r="AS88" s="26"/>
      <c r="AT88" s="26"/>
      <c r="AU88" s="26"/>
      <c r="AV88" s="26"/>
      <c r="AW88" s="26"/>
      <c r="AX88" s="26"/>
      <c r="AY88" s="26"/>
      <c r="AZ88" s="26"/>
      <c r="BA88" s="26"/>
      <c r="BB88" s="26"/>
      <c r="BC88" s="26"/>
      <c r="BD88" s="26"/>
      <c r="BE88" s="26"/>
      <c r="BF88" s="26"/>
      <c r="BG88" s="26"/>
      <c r="BH88" s="26"/>
      <c r="BI88" s="26"/>
      <c r="BJ88" s="26"/>
      <c r="BK88" s="26"/>
    </row>
    <row r="89" ht="14.25" customHeight="1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26"/>
      <c r="BH89" s="26"/>
      <c r="BI89" s="26"/>
      <c r="BJ89" s="26"/>
      <c r="BK89" s="26"/>
    </row>
    <row r="90" ht="14.25" customHeight="1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26"/>
      <c r="AQ90" s="26"/>
      <c r="AR90" s="26"/>
      <c r="AS90" s="26"/>
      <c r="AT90" s="26"/>
      <c r="AU90" s="26"/>
      <c r="AV90" s="26"/>
      <c r="AW90" s="26"/>
      <c r="AX90" s="26"/>
      <c r="AY90" s="26"/>
      <c r="AZ90" s="26"/>
      <c r="BA90" s="26"/>
      <c r="BB90" s="26"/>
      <c r="BC90" s="26"/>
      <c r="BD90" s="26"/>
      <c r="BE90" s="26"/>
      <c r="BF90" s="26"/>
      <c r="BG90" s="26"/>
      <c r="BH90" s="26"/>
      <c r="BI90" s="26"/>
      <c r="BJ90" s="26"/>
      <c r="BK90" s="26"/>
    </row>
    <row r="91" ht="14.25" customHeight="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  <c r="AN91" s="26"/>
      <c r="AO91" s="26"/>
      <c r="AP91" s="26"/>
      <c r="AQ91" s="26"/>
      <c r="AR91" s="26"/>
      <c r="AS91" s="26"/>
      <c r="AT91" s="26"/>
      <c r="AU91" s="26"/>
      <c r="AV91" s="26"/>
      <c r="AW91" s="26"/>
      <c r="AX91" s="26"/>
      <c r="AY91" s="26"/>
      <c r="AZ91" s="26"/>
      <c r="BA91" s="26"/>
      <c r="BB91" s="26"/>
      <c r="BC91" s="26"/>
      <c r="BD91" s="26"/>
      <c r="BE91" s="26"/>
      <c r="BF91" s="26"/>
      <c r="BG91" s="26"/>
      <c r="BH91" s="26"/>
      <c r="BI91" s="26"/>
      <c r="BJ91" s="26"/>
      <c r="BK91" s="26"/>
    </row>
    <row r="92" ht="14.25" customHeight="1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  <c r="AO92" s="26"/>
      <c r="AP92" s="26"/>
      <c r="AQ92" s="26"/>
      <c r="AR92" s="26"/>
      <c r="AS92" s="26"/>
      <c r="AT92" s="26"/>
      <c r="AU92" s="26"/>
      <c r="AV92" s="26"/>
      <c r="AW92" s="26"/>
      <c r="AX92" s="26"/>
      <c r="AY92" s="26"/>
      <c r="AZ92" s="26"/>
      <c r="BA92" s="26"/>
      <c r="BB92" s="26"/>
      <c r="BC92" s="26"/>
      <c r="BD92" s="26"/>
      <c r="BE92" s="26"/>
      <c r="BF92" s="26"/>
      <c r="BG92" s="26"/>
      <c r="BH92" s="26"/>
      <c r="BI92" s="26"/>
      <c r="BJ92" s="26"/>
      <c r="BK92" s="26"/>
    </row>
    <row r="93" ht="14.25" customHeight="1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  <c r="AP93" s="26"/>
      <c r="AQ93" s="26"/>
      <c r="AR93" s="26"/>
      <c r="AS93" s="26"/>
      <c r="AT93" s="26"/>
      <c r="AU93" s="26"/>
      <c r="AV93" s="26"/>
      <c r="AW93" s="26"/>
      <c r="AX93" s="26"/>
      <c r="AY93" s="26"/>
      <c r="AZ93" s="26"/>
      <c r="BA93" s="26"/>
      <c r="BB93" s="26"/>
      <c r="BC93" s="26"/>
      <c r="BD93" s="26"/>
      <c r="BE93" s="26"/>
      <c r="BF93" s="26"/>
      <c r="BG93" s="26"/>
      <c r="BH93" s="26"/>
      <c r="BI93" s="26"/>
      <c r="BJ93" s="26"/>
      <c r="BK93" s="26"/>
    </row>
    <row r="94" ht="14.25" customHeight="1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  <c r="AP94" s="26"/>
      <c r="AQ94" s="26"/>
      <c r="AR94" s="26"/>
      <c r="AS94" s="26"/>
      <c r="AT94" s="26"/>
      <c r="AU94" s="26"/>
      <c r="AV94" s="26"/>
      <c r="AW94" s="26"/>
      <c r="AX94" s="26"/>
      <c r="AY94" s="26"/>
      <c r="AZ94" s="26"/>
      <c r="BA94" s="26"/>
      <c r="BB94" s="26"/>
      <c r="BC94" s="26"/>
      <c r="BD94" s="26"/>
      <c r="BE94" s="26"/>
      <c r="BF94" s="26"/>
      <c r="BG94" s="26"/>
      <c r="BH94" s="26"/>
      <c r="BI94" s="26"/>
      <c r="BJ94" s="26"/>
      <c r="BK94" s="26"/>
    </row>
    <row r="95" ht="14.25" customHeight="1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  <c r="AP95" s="26"/>
      <c r="AQ95" s="26"/>
      <c r="AR95" s="26"/>
      <c r="AS95" s="26"/>
      <c r="AT95" s="26"/>
      <c r="AU95" s="26"/>
      <c r="AV95" s="26"/>
      <c r="AW95" s="26"/>
      <c r="AX95" s="26"/>
      <c r="AY95" s="26"/>
      <c r="AZ95" s="26"/>
      <c r="BA95" s="26"/>
      <c r="BB95" s="26"/>
      <c r="BC95" s="26"/>
      <c r="BD95" s="26"/>
      <c r="BE95" s="26"/>
      <c r="BF95" s="26"/>
      <c r="BG95" s="26"/>
      <c r="BH95" s="26"/>
      <c r="BI95" s="26"/>
      <c r="BJ95" s="26"/>
      <c r="BK95" s="26"/>
    </row>
    <row r="96" ht="14.25" customHeight="1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  <c r="AM96" s="26"/>
      <c r="AN96" s="26"/>
      <c r="AO96" s="26"/>
      <c r="AP96" s="26"/>
      <c r="AQ96" s="26"/>
      <c r="AR96" s="26"/>
      <c r="AS96" s="26"/>
      <c r="AT96" s="26"/>
      <c r="AU96" s="26"/>
      <c r="AV96" s="26"/>
      <c r="AW96" s="26"/>
      <c r="AX96" s="26"/>
      <c r="AY96" s="26"/>
      <c r="AZ96" s="26"/>
      <c r="BA96" s="26"/>
      <c r="BB96" s="26"/>
      <c r="BC96" s="26"/>
      <c r="BD96" s="26"/>
      <c r="BE96" s="26"/>
      <c r="BF96" s="26"/>
      <c r="BG96" s="26"/>
      <c r="BH96" s="26"/>
      <c r="BI96" s="26"/>
      <c r="BJ96" s="26"/>
      <c r="BK96" s="26"/>
    </row>
    <row r="97" ht="14.25" customHeight="1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</row>
    <row r="98" ht="14.25" customHeight="1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</row>
    <row r="99" ht="14.25" customHeight="1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26"/>
      <c r="BK99" s="26"/>
    </row>
    <row r="100" ht="14.25" customHeight="1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</row>
    <row r="101" ht="14.25" customHeight="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</row>
    <row r="102" ht="14.25" customHeight="1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</row>
    <row r="103" ht="14.25" customHeight="1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/>
      <c r="BB103" s="26"/>
      <c r="BC103" s="26"/>
      <c r="BD103" s="26"/>
      <c r="BE103" s="26"/>
      <c r="BF103" s="26"/>
      <c r="BG103" s="26"/>
      <c r="BH103" s="26"/>
      <c r="BI103" s="26"/>
      <c r="BJ103" s="26"/>
      <c r="BK103" s="26"/>
    </row>
    <row r="104" ht="14.25" customHeight="1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</row>
    <row r="105" ht="14.25" customHeight="1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</row>
    <row r="106" ht="14.25" customHeight="1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</row>
    <row r="107" ht="14.25" customHeight="1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6"/>
      <c r="AY107" s="26"/>
      <c r="AZ107" s="26"/>
      <c r="BA107" s="26"/>
      <c r="BB107" s="26"/>
      <c r="BC107" s="26"/>
      <c r="BD107" s="26"/>
      <c r="BE107" s="26"/>
      <c r="BF107" s="26"/>
      <c r="BG107" s="26"/>
      <c r="BH107" s="26"/>
      <c r="BI107" s="26"/>
      <c r="BJ107" s="26"/>
      <c r="BK107" s="26"/>
    </row>
    <row r="108" ht="14.25" customHeight="1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  <c r="AN108" s="26"/>
      <c r="AO108" s="26"/>
      <c r="AP108" s="26"/>
      <c r="AQ108" s="26"/>
      <c r="AR108" s="26"/>
      <c r="AS108" s="26"/>
      <c r="AT108" s="26"/>
      <c r="AU108" s="26"/>
      <c r="AV108" s="26"/>
      <c r="AW108" s="26"/>
      <c r="AX108" s="26"/>
      <c r="AY108" s="26"/>
      <c r="AZ108" s="26"/>
      <c r="BA108" s="26"/>
      <c r="BB108" s="26"/>
      <c r="BC108" s="26"/>
      <c r="BD108" s="26"/>
      <c r="BE108" s="26"/>
      <c r="BF108" s="26"/>
      <c r="BG108" s="26"/>
      <c r="BH108" s="26"/>
      <c r="BI108" s="26"/>
      <c r="BJ108" s="26"/>
      <c r="BK108" s="26"/>
    </row>
    <row r="109" ht="14.25" customHeight="1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  <c r="AO109" s="26"/>
      <c r="AP109" s="26"/>
      <c r="AQ109" s="26"/>
      <c r="AR109" s="26"/>
      <c r="AS109" s="26"/>
      <c r="AT109" s="26"/>
      <c r="AU109" s="26"/>
      <c r="AV109" s="26"/>
      <c r="AW109" s="26"/>
      <c r="AX109" s="26"/>
      <c r="AY109" s="26"/>
      <c r="AZ109" s="26"/>
      <c r="BA109" s="26"/>
      <c r="BB109" s="26"/>
      <c r="BC109" s="26"/>
      <c r="BD109" s="26"/>
      <c r="BE109" s="26"/>
      <c r="BF109" s="26"/>
      <c r="BG109" s="26"/>
      <c r="BH109" s="26"/>
      <c r="BI109" s="26"/>
      <c r="BJ109" s="26"/>
      <c r="BK109" s="26"/>
    </row>
    <row r="110" ht="14.25" customHeight="1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  <c r="AP110" s="26"/>
      <c r="AQ110" s="26"/>
      <c r="AR110" s="26"/>
      <c r="AS110" s="26"/>
      <c r="AT110" s="26"/>
      <c r="AU110" s="26"/>
      <c r="AV110" s="26"/>
      <c r="AW110" s="26"/>
      <c r="AX110" s="26"/>
      <c r="AY110" s="26"/>
      <c r="AZ110" s="26"/>
      <c r="BA110" s="26"/>
      <c r="BB110" s="26"/>
      <c r="BC110" s="26"/>
      <c r="BD110" s="26"/>
      <c r="BE110" s="26"/>
      <c r="BF110" s="26"/>
      <c r="BG110" s="26"/>
      <c r="BH110" s="26"/>
      <c r="BI110" s="26"/>
      <c r="BJ110" s="26"/>
      <c r="BK110" s="26"/>
    </row>
    <row r="111" ht="14.25" customHeight="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  <c r="AN111" s="26"/>
      <c r="AO111" s="26"/>
      <c r="AP111" s="26"/>
      <c r="AQ111" s="26"/>
      <c r="AR111" s="26"/>
      <c r="AS111" s="26"/>
      <c r="AT111" s="26"/>
      <c r="AU111" s="26"/>
      <c r="AV111" s="26"/>
      <c r="AW111" s="26"/>
      <c r="AX111" s="26"/>
      <c r="AY111" s="26"/>
      <c r="AZ111" s="26"/>
      <c r="BA111" s="26"/>
      <c r="BB111" s="26"/>
      <c r="BC111" s="26"/>
      <c r="BD111" s="26"/>
      <c r="BE111" s="26"/>
      <c r="BF111" s="26"/>
      <c r="BG111" s="26"/>
      <c r="BH111" s="26"/>
      <c r="BI111" s="26"/>
      <c r="BJ111" s="26"/>
      <c r="BK111" s="26"/>
    </row>
    <row r="112" ht="14.25" customHeight="1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  <c r="AO112" s="26"/>
      <c r="AP112" s="26"/>
      <c r="AQ112" s="26"/>
      <c r="AR112" s="26"/>
      <c r="AS112" s="26"/>
      <c r="AT112" s="26"/>
      <c r="AU112" s="26"/>
      <c r="AV112" s="26"/>
      <c r="AW112" s="26"/>
      <c r="AX112" s="26"/>
      <c r="AY112" s="26"/>
      <c r="AZ112" s="26"/>
      <c r="BA112" s="26"/>
      <c r="BB112" s="26"/>
      <c r="BC112" s="26"/>
      <c r="BD112" s="26"/>
      <c r="BE112" s="26"/>
      <c r="BF112" s="26"/>
      <c r="BG112" s="26"/>
      <c r="BH112" s="26"/>
      <c r="BI112" s="26"/>
      <c r="BJ112" s="26"/>
      <c r="BK112" s="26"/>
    </row>
    <row r="113" ht="14.25" customHeight="1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  <c r="AO113" s="26"/>
      <c r="AP113" s="26"/>
      <c r="AQ113" s="26"/>
      <c r="AR113" s="26"/>
      <c r="AS113" s="26"/>
      <c r="AT113" s="26"/>
      <c r="AU113" s="26"/>
      <c r="AV113" s="26"/>
      <c r="AW113" s="26"/>
      <c r="AX113" s="26"/>
      <c r="AY113" s="26"/>
      <c r="AZ113" s="26"/>
      <c r="BA113" s="26"/>
      <c r="BB113" s="26"/>
      <c r="BC113" s="26"/>
      <c r="BD113" s="26"/>
      <c r="BE113" s="26"/>
      <c r="BF113" s="26"/>
      <c r="BG113" s="26"/>
      <c r="BH113" s="26"/>
      <c r="BI113" s="26"/>
      <c r="BJ113" s="26"/>
      <c r="BK113" s="26"/>
    </row>
    <row r="114" ht="14.25" customHeight="1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  <c r="AO114" s="26"/>
      <c r="AP114" s="26"/>
      <c r="AQ114" s="26"/>
      <c r="AR114" s="26"/>
      <c r="AS114" s="26"/>
      <c r="AT114" s="26"/>
      <c r="AU114" s="26"/>
      <c r="AV114" s="26"/>
      <c r="AW114" s="26"/>
      <c r="AX114" s="26"/>
      <c r="AY114" s="26"/>
      <c r="AZ114" s="26"/>
      <c r="BA114" s="26"/>
      <c r="BB114" s="26"/>
      <c r="BC114" s="26"/>
      <c r="BD114" s="26"/>
      <c r="BE114" s="26"/>
      <c r="BF114" s="26"/>
      <c r="BG114" s="26"/>
      <c r="BH114" s="26"/>
      <c r="BI114" s="26"/>
      <c r="BJ114" s="26"/>
      <c r="BK114" s="26"/>
    </row>
    <row r="115" ht="14.25" customHeight="1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  <c r="AM115" s="26"/>
      <c r="AN115" s="26"/>
      <c r="AO115" s="26"/>
      <c r="AP115" s="26"/>
      <c r="AQ115" s="26"/>
      <c r="AR115" s="26"/>
      <c r="AS115" s="26"/>
      <c r="AT115" s="26"/>
      <c r="AU115" s="26"/>
      <c r="AV115" s="26"/>
      <c r="AW115" s="26"/>
      <c r="AX115" s="26"/>
      <c r="AY115" s="26"/>
      <c r="AZ115" s="26"/>
      <c r="BA115" s="26"/>
      <c r="BB115" s="26"/>
      <c r="BC115" s="26"/>
      <c r="BD115" s="26"/>
      <c r="BE115" s="26"/>
      <c r="BF115" s="26"/>
      <c r="BG115" s="26"/>
      <c r="BH115" s="26"/>
      <c r="BI115" s="26"/>
      <c r="BJ115" s="26"/>
      <c r="BK115" s="26"/>
    </row>
    <row r="116" ht="14.25" customHeight="1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  <c r="AN116" s="26"/>
      <c r="AO116" s="26"/>
      <c r="AP116" s="26"/>
      <c r="AQ116" s="26"/>
      <c r="AR116" s="26"/>
      <c r="AS116" s="26"/>
      <c r="AT116" s="26"/>
      <c r="AU116" s="26"/>
      <c r="AV116" s="26"/>
      <c r="AW116" s="26"/>
      <c r="AX116" s="26"/>
      <c r="AY116" s="26"/>
      <c r="AZ116" s="26"/>
      <c r="BA116" s="26"/>
      <c r="BB116" s="26"/>
      <c r="BC116" s="26"/>
      <c r="BD116" s="26"/>
      <c r="BE116" s="26"/>
      <c r="BF116" s="26"/>
      <c r="BG116" s="26"/>
      <c r="BH116" s="26"/>
      <c r="BI116" s="26"/>
      <c r="BJ116" s="26"/>
      <c r="BK116" s="26"/>
    </row>
    <row r="117" ht="14.25" customHeight="1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  <c r="AM117" s="26"/>
      <c r="AN117" s="26"/>
      <c r="AO117" s="26"/>
      <c r="AP117" s="26"/>
      <c r="AQ117" s="26"/>
      <c r="AR117" s="26"/>
      <c r="AS117" s="26"/>
      <c r="AT117" s="26"/>
      <c r="AU117" s="26"/>
      <c r="AV117" s="26"/>
      <c r="AW117" s="26"/>
      <c r="AX117" s="26"/>
      <c r="AY117" s="26"/>
      <c r="AZ117" s="26"/>
      <c r="BA117" s="26"/>
      <c r="BB117" s="26"/>
      <c r="BC117" s="26"/>
      <c r="BD117" s="26"/>
      <c r="BE117" s="26"/>
      <c r="BF117" s="26"/>
      <c r="BG117" s="26"/>
      <c r="BH117" s="26"/>
      <c r="BI117" s="26"/>
      <c r="BJ117" s="26"/>
      <c r="BK117" s="26"/>
    </row>
    <row r="118" ht="14.25" customHeight="1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  <c r="AN118" s="26"/>
      <c r="AO118" s="26"/>
      <c r="AP118" s="26"/>
      <c r="AQ118" s="26"/>
      <c r="AR118" s="26"/>
      <c r="AS118" s="26"/>
      <c r="AT118" s="26"/>
      <c r="AU118" s="26"/>
      <c r="AV118" s="26"/>
      <c r="AW118" s="26"/>
      <c r="AX118" s="26"/>
      <c r="AY118" s="26"/>
      <c r="AZ118" s="26"/>
      <c r="BA118" s="26"/>
      <c r="BB118" s="26"/>
      <c r="BC118" s="26"/>
      <c r="BD118" s="26"/>
      <c r="BE118" s="26"/>
      <c r="BF118" s="26"/>
      <c r="BG118" s="26"/>
      <c r="BH118" s="26"/>
      <c r="BI118" s="26"/>
      <c r="BJ118" s="26"/>
      <c r="BK118" s="26"/>
    </row>
    <row r="119" ht="14.25" customHeight="1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  <c r="AM119" s="26"/>
      <c r="AN119" s="26"/>
      <c r="AO119" s="26"/>
      <c r="AP119" s="26"/>
      <c r="AQ119" s="26"/>
      <c r="AR119" s="26"/>
      <c r="AS119" s="26"/>
      <c r="AT119" s="26"/>
      <c r="AU119" s="26"/>
      <c r="AV119" s="26"/>
      <c r="AW119" s="26"/>
      <c r="AX119" s="26"/>
      <c r="AY119" s="26"/>
      <c r="AZ119" s="26"/>
      <c r="BA119" s="26"/>
      <c r="BB119" s="26"/>
      <c r="BC119" s="26"/>
      <c r="BD119" s="26"/>
      <c r="BE119" s="26"/>
      <c r="BF119" s="26"/>
      <c r="BG119" s="26"/>
      <c r="BH119" s="26"/>
      <c r="BI119" s="26"/>
      <c r="BJ119" s="26"/>
      <c r="BK119" s="26"/>
    </row>
    <row r="120" ht="14.25" customHeight="1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  <c r="AN120" s="26"/>
      <c r="AO120" s="26"/>
      <c r="AP120" s="26"/>
      <c r="AQ120" s="26"/>
      <c r="AR120" s="26"/>
      <c r="AS120" s="26"/>
      <c r="AT120" s="26"/>
      <c r="AU120" s="26"/>
      <c r="AV120" s="26"/>
      <c r="AW120" s="26"/>
      <c r="AX120" s="26"/>
      <c r="AY120" s="26"/>
      <c r="AZ120" s="26"/>
      <c r="BA120" s="26"/>
      <c r="BB120" s="26"/>
      <c r="BC120" s="26"/>
      <c r="BD120" s="26"/>
      <c r="BE120" s="26"/>
      <c r="BF120" s="26"/>
      <c r="BG120" s="26"/>
      <c r="BH120" s="26"/>
      <c r="BI120" s="26"/>
      <c r="BJ120" s="26"/>
      <c r="BK120" s="26"/>
    </row>
    <row r="121" ht="14.25" customHeight="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  <c r="AM121" s="26"/>
      <c r="AN121" s="26"/>
      <c r="AO121" s="26"/>
      <c r="AP121" s="26"/>
      <c r="AQ121" s="26"/>
      <c r="AR121" s="26"/>
      <c r="AS121" s="26"/>
      <c r="AT121" s="26"/>
      <c r="AU121" s="26"/>
      <c r="AV121" s="26"/>
      <c r="AW121" s="26"/>
      <c r="AX121" s="26"/>
      <c r="AY121" s="26"/>
      <c r="AZ121" s="26"/>
      <c r="BA121" s="26"/>
      <c r="BB121" s="26"/>
      <c r="BC121" s="26"/>
      <c r="BD121" s="26"/>
      <c r="BE121" s="26"/>
      <c r="BF121" s="26"/>
      <c r="BG121" s="26"/>
      <c r="BH121" s="26"/>
      <c r="BI121" s="26"/>
      <c r="BJ121" s="26"/>
      <c r="BK121" s="26"/>
    </row>
    <row r="122" ht="14.25" customHeight="1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  <c r="AM122" s="26"/>
      <c r="AN122" s="26"/>
      <c r="AO122" s="26"/>
      <c r="AP122" s="26"/>
      <c r="AQ122" s="26"/>
      <c r="AR122" s="26"/>
      <c r="AS122" s="26"/>
      <c r="AT122" s="26"/>
      <c r="AU122" s="26"/>
      <c r="AV122" s="26"/>
      <c r="AW122" s="26"/>
      <c r="AX122" s="26"/>
      <c r="AY122" s="26"/>
      <c r="AZ122" s="26"/>
      <c r="BA122" s="26"/>
      <c r="BB122" s="26"/>
      <c r="BC122" s="26"/>
      <c r="BD122" s="26"/>
      <c r="BE122" s="26"/>
      <c r="BF122" s="26"/>
      <c r="BG122" s="26"/>
      <c r="BH122" s="26"/>
      <c r="BI122" s="26"/>
      <c r="BJ122" s="26"/>
      <c r="BK122" s="26"/>
    </row>
    <row r="123" ht="14.25" customHeight="1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  <c r="AM123" s="26"/>
      <c r="AN123" s="26"/>
      <c r="AO123" s="26"/>
      <c r="AP123" s="26"/>
      <c r="AQ123" s="26"/>
      <c r="AR123" s="26"/>
      <c r="AS123" s="26"/>
      <c r="AT123" s="26"/>
      <c r="AU123" s="26"/>
      <c r="AV123" s="26"/>
      <c r="AW123" s="26"/>
      <c r="AX123" s="26"/>
      <c r="AY123" s="26"/>
      <c r="AZ123" s="26"/>
      <c r="BA123" s="26"/>
      <c r="BB123" s="26"/>
      <c r="BC123" s="26"/>
      <c r="BD123" s="26"/>
      <c r="BE123" s="26"/>
      <c r="BF123" s="26"/>
      <c r="BG123" s="26"/>
      <c r="BH123" s="26"/>
      <c r="BI123" s="26"/>
      <c r="BJ123" s="26"/>
      <c r="BK123" s="26"/>
    </row>
    <row r="124" ht="14.25" customHeight="1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  <c r="AM124" s="26"/>
      <c r="AN124" s="26"/>
      <c r="AO124" s="26"/>
      <c r="AP124" s="26"/>
      <c r="AQ124" s="26"/>
      <c r="AR124" s="26"/>
      <c r="AS124" s="26"/>
      <c r="AT124" s="26"/>
      <c r="AU124" s="26"/>
      <c r="AV124" s="26"/>
      <c r="AW124" s="26"/>
      <c r="AX124" s="26"/>
      <c r="AY124" s="26"/>
      <c r="AZ124" s="26"/>
      <c r="BA124" s="26"/>
      <c r="BB124" s="26"/>
      <c r="BC124" s="26"/>
      <c r="BD124" s="26"/>
      <c r="BE124" s="26"/>
      <c r="BF124" s="26"/>
      <c r="BG124" s="26"/>
      <c r="BH124" s="26"/>
      <c r="BI124" s="26"/>
      <c r="BJ124" s="26"/>
      <c r="BK124" s="26"/>
    </row>
    <row r="125" ht="14.25" customHeight="1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  <c r="AM125" s="26"/>
      <c r="AN125" s="26"/>
      <c r="AO125" s="26"/>
      <c r="AP125" s="26"/>
      <c r="AQ125" s="26"/>
      <c r="AR125" s="26"/>
      <c r="AS125" s="26"/>
      <c r="AT125" s="26"/>
      <c r="AU125" s="26"/>
      <c r="AV125" s="26"/>
      <c r="AW125" s="26"/>
      <c r="AX125" s="26"/>
      <c r="AY125" s="26"/>
      <c r="AZ125" s="26"/>
      <c r="BA125" s="26"/>
      <c r="BB125" s="26"/>
      <c r="BC125" s="26"/>
      <c r="BD125" s="26"/>
      <c r="BE125" s="26"/>
      <c r="BF125" s="26"/>
      <c r="BG125" s="26"/>
      <c r="BH125" s="26"/>
      <c r="BI125" s="26"/>
      <c r="BJ125" s="26"/>
      <c r="BK125" s="26"/>
    </row>
    <row r="126" ht="14.25" customHeight="1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  <c r="AM126" s="26"/>
      <c r="AN126" s="26"/>
      <c r="AO126" s="26"/>
      <c r="AP126" s="26"/>
      <c r="AQ126" s="26"/>
      <c r="AR126" s="26"/>
      <c r="AS126" s="26"/>
      <c r="AT126" s="26"/>
      <c r="AU126" s="26"/>
      <c r="AV126" s="26"/>
      <c r="AW126" s="26"/>
      <c r="AX126" s="26"/>
      <c r="AY126" s="26"/>
      <c r="AZ126" s="26"/>
      <c r="BA126" s="26"/>
      <c r="BB126" s="26"/>
      <c r="BC126" s="26"/>
      <c r="BD126" s="26"/>
      <c r="BE126" s="26"/>
      <c r="BF126" s="26"/>
      <c r="BG126" s="26"/>
      <c r="BH126" s="26"/>
      <c r="BI126" s="26"/>
      <c r="BJ126" s="26"/>
      <c r="BK126" s="26"/>
    </row>
    <row r="127" ht="14.25" customHeight="1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  <c r="AM127" s="26"/>
      <c r="AN127" s="26"/>
      <c r="AO127" s="26"/>
      <c r="AP127" s="26"/>
      <c r="AQ127" s="26"/>
      <c r="AR127" s="26"/>
      <c r="AS127" s="26"/>
      <c r="AT127" s="26"/>
      <c r="AU127" s="26"/>
      <c r="AV127" s="26"/>
      <c r="AW127" s="26"/>
      <c r="AX127" s="26"/>
      <c r="AY127" s="26"/>
      <c r="AZ127" s="26"/>
      <c r="BA127" s="26"/>
      <c r="BB127" s="26"/>
      <c r="BC127" s="26"/>
      <c r="BD127" s="26"/>
      <c r="BE127" s="26"/>
      <c r="BF127" s="26"/>
      <c r="BG127" s="26"/>
      <c r="BH127" s="26"/>
      <c r="BI127" s="26"/>
      <c r="BJ127" s="26"/>
      <c r="BK127" s="26"/>
    </row>
    <row r="128" ht="14.25" customHeight="1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  <c r="AM128" s="26"/>
      <c r="AN128" s="26"/>
      <c r="AO128" s="26"/>
      <c r="AP128" s="26"/>
      <c r="AQ128" s="26"/>
      <c r="AR128" s="26"/>
      <c r="AS128" s="26"/>
      <c r="AT128" s="26"/>
      <c r="AU128" s="26"/>
      <c r="AV128" s="26"/>
      <c r="AW128" s="26"/>
      <c r="AX128" s="26"/>
      <c r="AY128" s="26"/>
      <c r="AZ128" s="26"/>
      <c r="BA128" s="26"/>
      <c r="BB128" s="26"/>
      <c r="BC128" s="26"/>
      <c r="BD128" s="26"/>
      <c r="BE128" s="26"/>
      <c r="BF128" s="26"/>
      <c r="BG128" s="26"/>
      <c r="BH128" s="26"/>
      <c r="BI128" s="26"/>
      <c r="BJ128" s="26"/>
      <c r="BK128" s="26"/>
    </row>
    <row r="129" ht="14.25" customHeight="1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  <c r="AM129" s="26"/>
      <c r="AN129" s="26"/>
      <c r="AO129" s="26"/>
      <c r="AP129" s="26"/>
      <c r="AQ129" s="26"/>
      <c r="AR129" s="26"/>
      <c r="AS129" s="26"/>
      <c r="AT129" s="26"/>
      <c r="AU129" s="26"/>
      <c r="AV129" s="26"/>
      <c r="AW129" s="26"/>
      <c r="AX129" s="26"/>
      <c r="AY129" s="26"/>
      <c r="AZ129" s="26"/>
      <c r="BA129" s="26"/>
      <c r="BB129" s="26"/>
      <c r="BC129" s="26"/>
      <c r="BD129" s="26"/>
      <c r="BE129" s="26"/>
      <c r="BF129" s="26"/>
      <c r="BG129" s="26"/>
      <c r="BH129" s="26"/>
      <c r="BI129" s="26"/>
      <c r="BJ129" s="26"/>
      <c r="BK129" s="26"/>
    </row>
    <row r="130" ht="14.25" customHeight="1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  <c r="AN130" s="26"/>
      <c r="AO130" s="26"/>
      <c r="AP130" s="26"/>
      <c r="AQ130" s="26"/>
      <c r="AR130" s="26"/>
      <c r="AS130" s="26"/>
      <c r="AT130" s="26"/>
      <c r="AU130" s="26"/>
      <c r="AV130" s="26"/>
      <c r="AW130" s="26"/>
      <c r="AX130" s="26"/>
      <c r="AY130" s="26"/>
      <c r="AZ130" s="26"/>
      <c r="BA130" s="26"/>
      <c r="BB130" s="26"/>
      <c r="BC130" s="26"/>
      <c r="BD130" s="26"/>
      <c r="BE130" s="26"/>
      <c r="BF130" s="26"/>
      <c r="BG130" s="26"/>
      <c r="BH130" s="26"/>
      <c r="BI130" s="26"/>
      <c r="BJ130" s="26"/>
      <c r="BK130" s="26"/>
    </row>
    <row r="131" ht="14.25" customHeight="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  <c r="AM131" s="26"/>
      <c r="AN131" s="26"/>
      <c r="AO131" s="26"/>
      <c r="AP131" s="26"/>
      <c r="AQ131" s="26"/>
      <c r="AR131" s="26"/>
      <c r="AS131" s="26"/>
      <c r="AT131" s="26"/>
      <c r="AU131" s="26"/>
      <c r="AV131" s="26"/>
      <c r="AW131" s="26"/>
      <c r="AX131" s="26"/>
      <c r="AY131" s="26"/>
      <c r="AZ131" s="26"/>
      <c r="BA131" s="26"/>
      <c r="BB131" s="26"/>
      <c r="BC131" s="26"/>
      <c r="BD131" s="26"/>
      <c r="BE131" s="26"/>
      <c r="BF131" s="26"/>
      <c r="BG131" s="26"/>
      <c r="BH131" s="26"/>
      <c r="BI131" s="26"/>
      <c r="BJ131" s="26"/>
      <c r="BK131" s="26"/>
    </row>
    <row r="132" ht="14.25" customHeight="1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  <c r="AM132" s="26"/>
      <c r="AN132" s="26"/>
      <c r="AO132" s="26"/>
      <c r="AP132" s="26"/>
      <c r="AQ132" s="26"/>
      <c r="AR132" s="26"/>
      <c r="AS132" s="26"/>
      <c r="AT132" s="26"/>
      <c r="AU132" s="26"/>
      <c r="AV132" s="26"/>
      <c r="AW132" s="26"/>
      <c r="AX132" s="26"/>
      <c r="AY132" s="26"/>
      <c r="AZ132" s="26"/>
      <c r="BA132" s="26"/>
      <c r="BB132" s="26"/>
      <c r="BC132" s="26"/>
      <c r="BD132" s="26"/>
      <c r="BE132" s="26"/>
      <c r="BF132" s="26"/>
      <c r="BG132" s="26"/>
      <c r="BH132" s="26"/>
      <c r="BI132" s="26"/>
      <c r="BJ132" s="26"/>
      <c r="BK132" s="26"/>
    </row>
    <row r="133" ht="14.25" customHeight="1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  <c r="AM133" s="26"/>
      <c r="AN133" s="26"/>
      <c r="AO133" s="26"/>
      <c r="AP133" s="26"/>
      <c r="AQ133" s="26"/>
      <c r="AR133" s="26"/>
      <c r="AS133" s="26"/>
      <c r="AT133" s="26"/>
      <c r="AU133" s="26"/>
      <c r="AV133" s="26"/>
      <c r="AW133" s="26"/>
      <c r="AX133" s="26"/>
      <c r="AY133" s="26"/>
      <c r="AZ133" s="26"/>
      <c r="BA133" s="26"/>
      <c r="BB133" s="26"/>
      <c r="BC133" s="26"/>
      <c r="BD133" s="26"/>
      <c r="BE133" s="26"/>
      <c r="BF133" s="26"/>
      <c r="BG133" s="26"/>
      <c r="BH133" s="26"/>
      <c r="BI133" s="26"/>
      <c r="BJ133" s="26"/>
      <c r="BK133" s="26"/>
    </row>
    <row r="134" ht="14.25" customHeight="1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  <c r="AM134" s="26"/>
      <c r="AN134" s="26"/>
      <c r="AO134" s="26"/>
      <c r="AP134" s="26"/>
      <c r="AQ134" s="26"/>
      <c r="AR134" s="26"/>
      <c r="AS134" s="26"/>
      <c r="AT134" s="26"/>
      <c r="AU134" s="26"/>
      <c r="AV134" s="26"/>
      <c r="AW134" s="26"/>
      <c r="AX134" s="26"/>
      <c r="AY134" s="26"/>
      <c r="AZ134" s="26"/>
      <c r="BA134" s="26"/>
      <c r="BB134" s="26"/>
      <c r="BC134" s="26"/>
      <c r="BD134" s="26"/>
      <c r="BE134" s="26"/>
      <c r="BF134" s="26"/>
      <c r="BG134" s="26"/>
      <c r="BH134" s="26"/>
      <c r="BI134" s="26"/>
      <c r="BJ134" s="26"/>
      <c r="BK134" s="26"/>
    </row>
    <row r="135" ht="14.25" customHeight="1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  <c r="AM135" s="26"/>
      <c r="AN135" s="26"/>
      <c r="AO135" s="26"/>
      <c r="AP135" s="26"/>
      <c r="AQ135" s="26"/>
      <c r="AR135" s="26"/>
      <c r="AS135" s="26"/>
      <c r="AT135" s="26"/>
      <c r="AU135" s="26"/>
      <c r="AV135" s="26"/>
      <c r="AW135" s="26"/>
      <c r="AX135" s="26"/>
      <c r="AY135" s="26"/>
      <c r="AZ135" s="26"/>
      <c r="BA135" s="26"/>
      <c r="BB135" s="26"/>
      <c r="BC135" s="26"/>
      <c r="BD135" s="26"/>
      <c r="BE135" s="26"/>
      <c r="BF135" s="26"/>
      <c r="BG135" s="26"/>
      <c r="BH135" s="26"/>
      <c r="BI135" s="26"/>
      <c r="BJ135" s="26"/>
      <c r="BK135" s="26"/>
    </row>
    <row r="136" ht="14.25" customHeight="1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  <c r="AM136" s="26"/>
      <c r="AN136" s="26"/>
      <c r="AO136" s="26"/>
      <c r="AP136" s="26"/>
      <c r="AQ136" s="26"/>
      <c r="AR136" s="26"/>
      <c r="AS136" s="26"/>
      <c r="AT136" s="26"/>
      <c r="AU136" s="26"/>
      <c r="AV136" s="26"/>
      <c r="AW136" s="26"/>
      <c r="AX136" s="26"/>
      <c r="AY136" s="26"/>
      <c r="AZ136" s="26"/>
      <c r="BA136" s="26"/>
      <c r="BB136" s="26"/>
      <c r="BC136" s="26"/>
      <c r="BD136" s="26"/>
      <c r="BE136" s="26"/>
      <c r="BF136" s="26"/>
      <c r="BG136" s="26"/>
      <c r="BH136" s="26"/>
      <c r="BI136" s="26"/>
      <c r="BJ136" s="26"/>
      <c r="BK136" s="26"/>
    </row>
    <row r="137" ht="14.25" customHeight="1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  <c r="AM137" s="26"/>
      <c r="AN137" s="26"/>
      <c r="AO137" s="26"/>
      <c r="AP137" s="26"/>
      <c r="AQ137" s="26"/>
      <c r="AR137" s="26"/>
      <c r="AS137" s="26"/>
      <c r="AT137" s="26"/>
      <c r="AU137" s="26"/>
      <c r="AV137" s="26"/>
      <c r="AW137" s="26"/>
      <c r="AX137" s="26"/>
      <c r="AY137" s="26"/>
      <c r="AZ137" s="26"/>
      <c r="BA137" s="26"/>
      <c r="BB137" s="26"/>
      <c r="BC137" s="26"/>
      <c r="BD137" s="26"/>
      <c r="BE137" s="26"/>
      <c r="BF137" s="26"/>
      <c r="BG137" s="26"/>
      <c r="BH137" s="26"/>
      <c r="BI137" s="26"/>
      <c r="BJ137" s="26"/>
      <c r="BK137" s="26"/>
    </row>
    <row r="138" ht="14.25" customHeight="1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  <c r="AM138" s="26"/>
      <c r="AN138" s="26"/>
      <c r="AO138" s="26"/>
      <c r="AP138" s="26"/>
      <c r="AQ138" s="26"/>
      <c r="AR138" s="26"/>
      <c r="AS138" s="26"/>
      <c r="AT138" s="26"/>
      <c r="AU138" s="26"/>
      <c r="AV138" s="26"/>
      <c r="AW138" s="26"/>
      <c r="AX138" s="26"/>
      <c r="AY138" s="26"/>
      <c r="AZ138" s="26"/>
      <c r="BA138" s="26"/>
      <c r="BB138" s="26"/>
      <c r="BC138" s="26"/>
      <c r="BD138" s="26"/>
      <c r="BE138" s="26"/>
      <c r="BF138" s="26"/>
      <c r="BG138" s="26"/>
      <c r="BH138" s="26"/>
      <c r="BI138" s="26"/>
      <c r="BJ138" s="26"/>
      <c r="BK138" s="26"/>
    </row>
    <row r="139" ht="14.25" customHeight="1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  <c r="AM139" s="26"/>
      <c r="AN139" s="26"/>
      <c r="AO139" s="26"/>
      <c r="AP139" s="26"/>
      <c r="AQ139" s="26"/>
      <c r="AR139" s="26"/>
      <c r="AS139" s="26"/>
      <c r="AT139" s="26"/>
      <c r="AU139" s="26"/>
      <c r="AV139" s="26"/>
      <c r="AW139" s="26"/>
      <c r="AX139" s="26"/>
      <c r="AY139" s="26"/>
      <c r="AZ139" s="26"/>
      <c r="BA139" s="26"/>
      <c r="BB139" s="26"/>
      <c r="BC139" s="26"/>
      <c r="BD139" s="26"/>
      <c r="BE139" s="26"/>
      <c r="BF139" s="26"/>
      <c r="BG139" s="26"/>
      <c r="BH139" s="26"/>
      <c r="BI139" s="26"/>
      <c r="BJ139" s="26"/>
      <c r="BK139" s="26"/>
    </row>
    <row r="140" ht="14.25" customHeight="1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  <c r="AM140" s="26"/>
      <c r="AN140" s="26"/>
      <c r="AO140" s="26"/>
      <c r="AP140" s="26"/>
      <c r="AQ140" s="26"/>
      <c r="AR140" s="26"/>
      <c r="AS140" s="26"/>
      <c r="AT140" s="26"/>
      <c r="AU140" s="26"/>
      <c r="AV140" s="26"/>
      <c r="AW140" s="26"/>
      <c r="AX140" s="26"/>
      <c r="AY140" s="26"/>
      <c r="AZ140" s="26"/>
      <c r="BA140" s="26"/>
      <c r="BB140" s="26"/>
      <c r="BC140" s="26"/>
      <c r="BD140" s="26"/>
      <c r="BE140" s="26"/>
      <c r="BF140" s="26"/>
      <c r="BG140" s="26"/>
      <c r="BH140" s="26"/>
      <c r="BI140" s="26"/>
      <c r="BJ140" s="26"/>
      <c r="BK140" s="26"/>
    </row>
    <row r="141" ht="14.25" customHeight="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  <c r="AM141" s="26"/>
      <c r="AN141" s="26"/>
      <c r="AO141" s="26"/>
      <c r="AP141" s="26"/>
      <c r="AQ141" s="26"/>
      <c r="AR141" s="26"/>
      <c r="AS141" s="26"/>
      <c r="AT141" s="26"/>
      <c r="AU141" s="26"/>
      <c r="AV141" s="26"/>
      <c r="AW141" s="26"/>
      <c r="AX141" s="26"/>
      <c r="AY141" s="26"/>
      <c r="AZ141" s="26"/>
      <c r="BA141" s="26"/>
      <c r="BB141" s="26"/>
      <c r="BC141" s="26"/>
      <c r="BD141" s="26"/>
      <c r="BE141" s="26"/>
      <c r="BF141" s="26"/>
      <c r="BG141" s="26"/>
      <c r="BH141" s="26"/>
      <c r="BI141" s="26"/>
      <c r="BJ141" s="26"/>
      <c r="BK141" s="26"/>
    </row>
    <row r="142" ht="14.25" customHeight="1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  <c r="AM142" s="26"/>
      <c r="AN142" s="26"/>
      <c r="AO142" s="26"/>
      <c r="AP142" s="26"/>
      <c r="AQ142" s="26"/>
      <c r="AR142" s="26"/>
      <c r="AS142" s="26"/>
      <c r="AT142" s="26"/>
      <c r="AU142" s="26"/>
      <c r="AV142" s="26"/>
      <c r="AW142" s="26"/>
      <c r="AX142" s="26"/>
      <c r="AY142" s="26"/>
      <c r="AZ142" s="26"/>
      <c r="BA142" s="26"/>
      <c r="BB142" s="26"/>
      <c r="BC142" s="26"/>
      <c r="BD142" s="26"/>
      <c r="BE142" s="26"/>
      <c r="BF142" s="26"/>
      <c r="BG142" s="26"/>
      <c r="BH142" s="26"/>
      <c r="BI142" s="26"/>
      <c r="BJ142" s="26"/>
      <c r="BK142" s="26"/>
    </row>
    <row r="143" ht="14.25" customHeight="1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  <c r="AM143" s="26"/>
      <c r="AN143" s="26"/>
      <c r="AO143" s="26"/>
      <c r="AP143" s="26"/>
      <c r="AQ143" s="26"/>
      <c r="AR143" s="26"/>
      <c r="AS143" s="26"/>
      <c r="AT143" s="26"/>
      <c r="AU143" s="26"/>
      <c r="AV143" s="26"/>
      <c r="AW143" s="26"/>
      <c r="AX143" s="26"/>
      <c r="AY143" s="26"/>
      <c r="AZ143" s="26"/>
      <c r="BA143" s="26"/>
      <c r="BB143" s="26"/>
      <c r="BC143" s="26"/>
      <c r="BD143" s="26"/>
      <c r="BE143" s="26"/>
      <c r="BF143" s="26"/>
      <c r="BG143" s="26"/>
      <c r="BH143" s="26"/>
      <c r="BI143" s="26"/>
      <c r="BJ143" s="26"/>
      <c r="BK143" s="26"/>
    </row>
    <row r="144" ht="14.25" customHeight="1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  <c r="AM144" s="26"/>
      <c r="AN144" s="26"/>
      <c r="AO144" s="26"/>
      <c r="AP144" s="26"/>
      <c r="AQ144" s="26"/>
      <c r="AR144" s="26"/>
      <c r="AS144" s="26"/>
      <c r="AT144" s="26"/>
      <c r="AU144" s="26"/>
      <c r="AV144" s="26"/>
      <c r="AW144" s="26"/>
      <c r="AX144" s="26"/>
      <c r="AY144" s="26"/>
      <c r="AZ144" s="26"/>
      <c r="BA144" s="26"/>
      <c r="BB144" s="26"/>
      <c r="BC144" s="26"/>
      <c r="BD144" s="26"/>
      <c r="BE144" s="26"/>
      <c r="BF144" s="26"/>
      <c r="BG144" s="26"/>
      <c r="BH144" s="26"/>
      <c r="BI144" s="26"/>
      <c r="BJ144" s="26"/>
      <c r="BK144" s="26"/>
    </row>
    <row r="145" ht="14.25" customHeight="1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  <c r="AM145" s="26"/>
      <c r="AN145" s="26"/>
      <c r="AO145" s="26"/>
      <c r="AP145" s="26"/>
      <c r="AQ145" s="26"/>
      <c r="AR145" s="26"/>
      <c r="AS145" s="26"/>
      <c r="AT145" s="26"/>
      <c r="AU145" s="26"/>
      <c r="AV145" s="26"/>
      <c r="AW145" s="26"/>
      <c r="AX145" s="26"/>
      <c r="AY145" s="26"/>
      <c r="AZ145" s="26"/>
      <c r="BA145" s="26"/>
      <c r="BB145" s="26"/>
      <c r="BC145" s="26"/>
      <c r="BD145" s="26"/>
      <c r="BE145" s="26"/>
      <c r="BF145" s="26"/>
      <c r="BG145" s="26"/>
      <c r="BH145" s="26"/>
      <c r="BI145" s="26"/>
      <c r="BJ145" s="26"/>
      <c r="BK145" s="26"/>
    </row>
    <row r="146" ht="14.25" customHeight="1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  <c r="AM146" s="26"/>
      <c r="AN146" s="26"/>
      <c r="AO146" s="26"/>
      <c r="AP146" s="26"/>
      <c r="AQ146" s="26"/>
      <c r="AR146" s="26"/>
      <c r="AS146" s="26"/>
      <c r="AT146" s="26"/>
      <c r="AU146" s="26"/>
      <c r="AV146" s="26"/>
      <c r="AW146" s="26"/>
      <c r="AX146" s="26"/>
      <c r="AY146" s="26"/>
      <c r="AZ146" s="26"/>
      <c r="BA146" s="26"/>
      <c r="BB146" s="26"/>
      <c r="BC146" s="26"/>
      <c r="BD146" s="26"/>
      <c r="BE146" s="26"/>
      <c r="BF146" s="26"/>
      <c r="BG146" s="26"/>
      <c r="BH146" s="26"/>
      <c r="BI146" s="26"/>
      <c r="BJ146" s="26"/>
      <c r="BK146" s="26"/>
    </row>
    <row r="147" ht="14.25" customHeight="1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  <c r="AM147" s="26"/>
      <c r="AN147" s="26"/>
      <c r="AO147" s="26"/>
      <c r="AP147" s="26"/>
      <c r="AQ147" s="26"/>
      <c r="AR147" s="26"/>
      <c r="AS147" s="26"/>
      <c r="AT147" s="26"/>
      <c r="AU147" s="26"/>
      <c r="AV147" s="26"/>
      <c r="AW147" s="26"/>
      <c r="AX147" s="26"/>
      <c r="AY147" s="26"/>
      <c r="AZ147" s="26"/>
      <c r="BA147" s="26"/>
      <c r="BB147" s="26"/>
      <c r="BC147" s="26"/>
      <c r="BD147" s="26"/>
      <c r="BE147" s="26"/>
      <c r="BF147" s="26"/>
      <c r="BG147" s="26"/>
      <c r="BH147" s="26"/>
      <c r="BI147" s="26"/>
      <c r="BJ147" s="26"/>
      <c r="BK147" s="26"/>
    </row>
    <row r="148" ht="14.25" customHeight="1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  <c r="AM148" s="26"/>
      <c r="AN148" s="26"/>
      <c r="AO148" s="26"/>
      <c r="AP148" s="26"/>
      <c r="AQ148" s="26"/>
      <c r="AR148" s="26"/>
      <c r="AS148" s="26"/>
      <c r="AT148" s="26"/>
      <c r="AU148" s="26"/>
      <c r="AV148" s="26"/>
      <c r="AW148" s="26"/>
      <c r="AX148" s="26"/>
      <c r="AY148" s="26"/>
      <c r="AZ148" s="26"/>
      <c r="BA148" s="26"/>
      <c r="BB148" s="26"/>
      <c r="BC148" s="26"/>
      <c r="BD148" s="26"/>
      <c r="BE148" s="26"/>
      <c r="BF148" s="26"/>
      <c r="BG148" s="26"/>
      <c r="BH148" s="26"/>
      <c r="BI148" s="26"/>
      <c r="BJ148" s="26"/>
      <c r="BK148" s="26"/>
    </row>
    <row r="149" ht="14.25" customHeight="1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  <c r="AM149" s="26"/>
      <c r="AN149" s="26"/>
      <c r="AO149" s="26"/>
      <c r="AP149" s="26"/>
      <c r="AQ149" s="26"/>
      <c r="AR149" s="26"/>
      <c r="AS149" s="26"/>
      <c r="AT149" s="26"/>
      <c r="AU149" s="26"/>
      <c r="AV149" s="26"/>
      <c r="AW149" s="26"/>
      <c r="AX149" s="26"/>
      <c r="AY149" s="26"/>
      <c r="AZ149" s="26"/>
      <c r="BA149" s="26"/>
      <c r="BB149" s="26"/>
      <c r="BC149" s="26"/>
      <c r="BD149" s="26"/>
      <c r="BE149" s="26"/>
      <c r="BF149" s="26"/>
      <c r="BG149" s="26"/>
      <c r="BH149" s="26"/>
      <c r="BI149" s="26"/>
      <c r="BJ149" s="26"/>
      <c r="BK149" s="26"/>
    </row>
    <row r="150" ht="14.25" customHeight="1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  <c r="AM150" s="26"/>
      <c r="AN150" s="26"/>
      <c r="AO150" s="26"/>
      <c r="AP150" s="26"/>
      <c r="AQ150" s="26"/>
      <c r="AR150" s="26"/>
      <c r="AS150" s="26"/>
      <c r="AT150" s="26"/>
      <c r="AU150" s="26"/>
      <c r="AV150" s="26"/>
      <c r="AW150" s="26"/>
      <c r="AX150" s="26"/>
      <c r="AY150" s="26"/>
      <c r="AZ150" s="26"/>
      <c r="BA150" s="26"/>
      <c r="BB150" s="26"/>
      <c r="BC150" s="26"/>
      <c r="BD150" s="26"/>
      <c r="BE150" s="26"/>
      <c r="BF150" s="26"/>
      <c r="BG150" s="26"/>
      <c r="BH150" s="26"/>
      <c r="BI150" s="26"/>
      <c r="BJ150" s="26"/>
      <c r="BK150" s="26"/>
    </row>
    <row r="151" ht="14.25" customHeight="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  <c r="AM151" s="26"/>
      <c r="AN151" s="26"/>
      <c r="AO151" s="26"/>
      <c r="AP151" s="26"/>
      <c r="AQ151" s="26"/>
      <c r="AR151" s="26"/>
      <c r="AS151" s="26"/>
      <c r="AT151" s="26"/>
      <c r="AU151" s="26"/>
      <c r="AV151" s="26"/>
      <c r="AW151" s="26"/>
      <c r="AX151" s="26"/>
      <c r="AY151" s="26"/>
      <c r="AZ151" s="26"/>
      <c r="BA151" s="26"/>
      <c r="BB151" s="26"/>
      <c r="BC151" s="26"/>
      <c r="BD151" s="26"/>
      <c r="BE151" s="26"/>
      <c r="BF151" s="26"/>
      <c r="BG151" s="26"/>
      <c r="BH151" s="26"/>
      <c r="BI151" s="26"/>
      <c r="BJ151" s="26"/>
      <c r="BK151" s="26"/>
    </row>
    <row r="152" ht="14.25" customHeight="1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  <c r="AM152" s="26"/>
      <c r="AN152" s="26"/>
      <c r="AO152" s="26"/>
      <c r="AP152" s="26"/>
      <c r="AQ152" s="26"/>
      <c r="AR152" s="26"/>
      <c r="AS152" s="26"/>
      <c r="AT152" s="26"/>
      <c r="AU152" s="26"/>
      <c r="AV152" s="26"/>
      <c r="AW152" s="26"/>
      <c r="AX152" s="26"/>
      <c r="AY152" s="26"/>
      <c r="AZ152" s="26"/>
      <c r="BA152" s="26"/>
      <c r="BB152" s="26"/>
      <c r="BC152" s="26"/>
      <c r="BD152" s="26"/>
      <c r="BE152" s="26"/>
      <c r="BF152" s="26"/>
      <c r="BG152" s="26"/>
      <c r="BH152" s="26"/>
      <c r="BI152" s="26"/>
      <c r="BJ152" s="26"/>
      <c r="BK152" s="26"/>
    </row>
    <row r="153" ht="14.25" customHeight="1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  <c r="AM153" s="26"/>
      <c r="AN153" s="26"/>
      <c r="AO153" s="26"/>
      <c r="AP153" s="26"/>
      <c r="AQ153" s="26"/>
      <c r="AR153" s="26"/>
      <c r="AS153" s="26"/>
      <c r="AT153" s="26"/>
      <c r="AU153" s="26"/>
      <c r="AV153" s="26"/>
      <c r="AW153" s="26"/>
      <c r="AX153" s="26"/>
      <c r="AY153" s="26"/>
      <c r="AZ153" s="26"/>
      <c r="BA153" s="26"/>
      <c r="BB153" s="26"/>
      <c r="BC153" s="26"/>
      <c r="BD153" s="26"/>
      <c r="BE153" s="26"/>
      <c r="BF153" s="26"/>
      <c r="BG153" s="26"/>
      <c r="BH153" s="26"/>
      <c r="BI153" s="26"/>
      <c r="BJ153" s="26"/>
      <c r="BK153" s="26"/>
    </row>
    <row r="154" ht="14.25" customHeight="1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  <c r="AM154" s="26"/>
      <c r="AN154" s="26"/>
      <c r="AO154" s="26"/>
      <c r="AP154" s="26"/>
      <c r="AQ154" s="26"/>
      <c r="AR154" s="26"/>
      <c r="AS154" s="26"/>
      <c r="AT154" s="26"/>
      <c r="AU154" s="26"/>
      <c r="AV154" s="26"/>
      <c r="AW154" s="26"/>
      <c r="AX154" s="26"/>
      <c r="AY154" s="26"/>
      <c r="AZ154" s="26"/>
      <c r="BA154" s="26"/>
      <c r="BB154" s="26"/>
      <c r="BC154" s="26"/>
      <c r="BD154" s="26"/>
      <c r="BE154" s="26"/>
      <c r="BF154" s="26"/>
      <c r="BG154" s="26"/>
      <c r="BH154" s="26"/>
      <c r="BI154" s="26"/>
      <c r="BJ154" s="26"/>
      <c r="BK154" s="26"/>
    </row>
    <row r="155" ht="14.25" customHeight="1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  <c r="AM155" s="26"/>
      <c r="AN155" s="26"/>
      <c r="AO155" s="26"/>
      <c r="AP155" s="26"/>
      <c r="AQ155" s="26"/>
      <c r="AR155" s="26"/>
      <c r="AS155" s="26"/>
      <c r="AT155" s="26"/>
      <c r="AU155" s="26"/>
      <c r="AV155" s="26"/>
      <c r="AW155" s="26"/>
      <c r="AX155" s="26"/>
      <c r="AY155" s="26"/>
      <c r="AZ155" s="26"/>
      <c r="BA155" s="26"/>
      <c r="BB155" s="26"/>
      <c r="BC155" s="26"/>
      <c r="BD155" s="26"/>
      <c r="BE155" s="26"/>
      <c r="BF155" s="26"/>
      <c r="BG155" s="26"/>
      <c r="BH155" s="26"/>
      <c r="BI155" s="26"/>
      <c r="BJ155" s="26"/>
      <c r="BK155" s="26"/>
    </row>
    <row r="156" ht="14.25" customHeight="1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  <c r="AM156" s="26"/>
      <c r="AN156" s="26"/>
      <c r="AO156" s="26"/>
      <c r="AP156" s="26"/>
      <c r="AQ156" s="26"/>
      <c r="AR156" s="26"/>
      <c r="AS156" s="26"/>
      <c r="AT156" s="26"/>
      <c r="AU156" s="26"/>
      <c r="AV156" s="26"/>
      <c r="AW156" s="26"/>
      <c r="AX156" s="26"/>
      <c r="AY156" s="26"/>
      <c r="AZ156" s="26"/>
      <c r="BA156" s="26"/>
      <c r="BB156" s="26"/>
      <c r="BC156" s="26"/>
      <c r="BD156" s="26"/>
      <c r="BE156" s="26"/>
      <c r="BF156" s="26"/>
      <c r="BG156" s="26"/>
      <c r="BH156" s="26"/>
      <c r="BI156" s="26"/>
      <c r="BJ156" s="26"/>
      <c r="BK156" s="26"/>
    </row>
    <row r="157" ht="14.25" customHeight="1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  <c r="AM157" s="26"/>
      <c r="AN157" s="26"/>
      <c r="AO157" s="26"/>
      <c r="AP157" s="26"/>
      <c r="AQ157" s="26"/>
      <c r="AR157" s="26"/>
      <c r="AS157" s="26"/>
      <c r="AT157" s="26"/>
      <c r="AU157" s="26"/>
      <c r="AV157" s="26"/>
      <c r="AW157" s="26"/>
      <c r="AX157" s="26"/>
      <c r="AY157" s="26"/>
      <c r="AZ157" s="26"/>
      <c r="BA157" s="26"/>
      <c r="BB157" s="26"/>
      <c r="BC157" s="26"/>
      <c r="BD157" s="26"/>
      <c r="BE157" s="26"/>
      <c r="BF157" s="26"/>
      <c r="BG157" s="26"/>
      <c r="BH157" s="26"/>
      <c r="BI157" s="26"/>
      <c r="BJ157" s="26"/>
      <c r="BK157" s="26"/>
    </row>
    <row r="158" ht="14.25" customHeight="1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  <c r="AM158" s="26"/>
      <c r="AN158" s="26"/>
      <c r="AO158" s="26"/>
      <c r="AP158" s="26"/>
      <c r="AQ158" s="26"/>
      <c r="AR158" s="26"/>
      <c r="AS158" s="26"/>
      <c r="AT158" s="26"/>
      <c r="AU158" s="26"/>
      <c r="AV158" s="26"/>
      <c r="AW158" s="26"/>
      <c r="AX158" s="26"/>
      <c r="AY158" s="26"/>
      <c r="AZ158" s="26"/>
      <c r="BA158" s="26"/>
      <c r="BB158" s="26"/>
      <c r="BC158" s="26"/>
      <c r="BD158" s="26"/>
      <c r="BE158" s="26"/>
      <c r="BF158" s="26"/>
      <c r="BG158" s="26"/>
      <c r="BH158" s="26"/>
      <c r="BI158" s="26"/>
      <c r="BJ158" s="26"/>
      <c r="BK158" s="26"/>
    </row>
    <row r="159" ht="14.25" customHeight="1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  <c r="AM159" s="26"/>
      <c r="AN159" s="26"/>
      <c r="AO159" s="26"/>
      <c r="AP159" s="26"/>
      <c r="AQ159" s="26"/>
      <c r="AR159" s="26"/>
      <c r="AS159" s="26"/>
      <c r="AT159" s="26"/>
      <c r="AU159" s="26"/>
      <c r="AV159" s="26"/>
      <c r="AW159" s="26"/>
      <c r="AX159" s="26"/>
      <c r="AY159" s="26"/>
      <c r="AZ159" s="26"/>
      <c r="BA159" s="26"/>
      <c r="BB159" s="26"/>
      <c r="BC159" s="26"/>
      <c r="BD159" s="26"/>
      <c r="BE159" s="26"/>
      <c r="BF159" s="26"/>
      <c r="BG159" s="26"/>
      <c r="BH159" s="26"/>
      <c r="BI159" s="26"/>
      <c r="BJ159" s="26"/>
      <c r="BK159" s="26"/>
    </row>
    <row r="160" ht="14.25" customHeight="1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  <c r="AM160" s="26"/>
      <c r="AN160" s="26"/>
      <c r="AO160" s="26"/>
      <c r="AP160" s="26"/>
      <c r="AQ160" s="26"/>
      <c r="AR160" s="26"/>
      <c r="AS160" s="26"/>
      <c r="AT160" s="26"/>
      <c r="AU160" s="26"/>
      <c r="AV160" s="26"/>
      <c r="AW160" s="26"/>
      <c r="AX160" s="26"/>
      <c r="AY160" s="26"/>
      <c r="AZ160" s="26"/>
      <c r="BA160" s="26"/>
      <c r="BB160" s="26"/>
      <c r="BC160" s="26"/>
      <c r="BD160" s="26"/>
      <c r="BE160" s="26"/>
      <c r="BF160" s="26"/>
      <c r="BG160" s="26"/>
      <c r="BH160" s="26"/>
      <c r="BI160" s="26"/>
      <c r="BJ160" s="26"/>
      <c r="BK160" s="26"/>
    </row>
    <row r="161" ht="14.25" customHeight="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  <c r="AM161" s="26"/>
      <c r="AN161" s="26"/>
      <c r="AO161" s="26"/>
      <c r="AP161" s="26"/>
      <c r="AQ161" s="26"/>
      <c r="AR161" s="26"/>
      <c r="AS161" s="26"/>
      <c r="AT161" s="26"/>
      <c r="AU161" s="26"/>
      <c r="AV161" s="26"/>
      <c r="AW161" s="26"/>
      <c r="AX161" s="26"/>
      <c r="AY161" s="26"/>
      <c r="AZ161" s="26"/>
      <c r="BA161" s="26"/>
      <c r="BB161" s="26"/>
      <c r="BC161" s="26"/>
      <c r="BD161" s="26"/>
      <c r="BE161" s="26"/>
      <c r="BF161" s="26"/>
      <c r="BG161" s="26"/>
      <c r="BH161" s="26"/>
      <c r="BI161" s="26"/>
      <c r="BJ161" s="26"/>
      <c r="BK161" s="26"/>
    </row>
    <row r="162" ht="14.25" customHeight="1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  <c r="AM162" s="26"/>
      <c r="AN162" s="26"/>
      <c r="AO162" s="26"/>
      <c r="AP162" s="26"/>
      <c r="AQ162" s="26"/>
      <c r="AR162" s="26"/>
      <c r="AS162" s="26"/>
      <c r="AT162" s="26"/>
      <c r="AU162" s="26"/>
      <c r="AV162" s="26"/>
      <c r="AW162" s="26"/>
      <c r="AX162" s="26"/>
      <c r="AY162" s="26"/>
      <c r="AZ162" s="26"/>
      <c r="BA162" s="26"/>
      <c r="BB162" s="26"/>
      <c r="BC162" s="26"/>
      <c r="BD162" s="26"/>
      <c r="BE162" s="26"/>
      <c r="BF162" s="26"/>
      <c r="BG162" s="26"/>
      <c r="BH162" s="26"/>
      <c r="BI162" s="26"/>
      <c r="BJ162" s="26"/>
      <c r="BK162" s="26"/>
    </row>
    <row r="163" ht="14.25" customHeight="1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  <c r="AM163" s="26"/>
      <c r="AN163" s="26"/>
      <c r="AO163" s="26"/>
      <c r="AP163" s="26"/>
      <c r="AQ163" s="26"/>
      <c r="AR163" s="26"/>
      <c r="AS163" s="26"/>
      <c r="AT163" s="26"/>
      <c r="AU163" s="26"/>
      <c r="AV163" s="26"/>
      <c r="AW163" s="26"/>
      <c r="AX163" s="26"/>
      <c r="AY163" s="26"/>
      <c r="AZ163" s="26"/>
      <c r="BA163" s="26"/>
      <c r="BB163" s="26"/>
      <c r="BC163" s="26"/>
      <c r="BD163" s="26"/>
      <c r="BE163" s="26"/>
      <c r="BF163" s="26"/>
      <c r="BG163" s="26"/>
      <c r="BH163" s="26"/>
      <c r="BI163" s="26"/>
      <c r="BJ163" s="26"/>
      <c r="BK163" s="26"/>
    </row>
    <row r="164" ht="14.25" customHeight="1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  <c r="AM164" s="26"/>
      <c r="AN164" s="26"/>
      <c r="AO164" s="26"/>
      <c r="AP164" s="26"/>
      <c r="AQ164" s="26"/>
      <c r="AR164" s="26"/>
      <c r="AS164" s="26"/>
      <c r="AT164" s="26"/>
      <c r="AU164" s="26"/>
      <c r="AV164" s="26"/>
      <c r="AW164" s="26"/>
      <c r="AX164" s="26"/>
      <c r="AY164" s="26"/>
      <c r="AZ164" s="26"/>
      <c r="BA164" s="26"/>
      <c r="BB164" s="26"/>
      <c r="BC164" s="26"/>
      <c r="BD164" s="26"/>
      <c r="BE164" s="26"/>
      <c r="BF164" s="26"/>
      <c r="BG164" s="26"/>
      <c r="BH164" s="26"/>
      <c r="BI164" s="26"/>
      <c r="BJ164" s="26"/>
      <c r="BK164" s="26"/>
    </row>
    <row r="165" ht="14.25" customHeight="1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  <c r="AM165" s="26"/>
      <c r="AN165" s="26"/>
      <c r="AO165" s="26"/>
      <c r="AP165" s="26"/>
      <c r="AQ165" s="26"/>
      <c r="AR165" s="26"/>
      <c r="AS165" s="26"/>
      <c r="AT165" s="26"/>
      <c r="AU165" s="26"/>
      <c r="AV165" s="26"/>
      <c r="AW165" s="26"/>
      <c r="AX165" s="26"/>
      <c r="AY165" s="26"/>
      <c r="AZ165" s="26"/>
      <c r="BA165" s="26"/>
      <c r="BB165" s="26"/>
      <c r="BC165" s="26"/>
      <c r="BD165" s="26"/>
      <c r="BE165" s="26"/>
      <c r="BF165" s="26"/>
      <c r="BG165" s="26"/>
      <c r="BH165" s="26"/>
      <c r="BI165" s="26"/>
      <c r="BJ165" s="26"/>
      <c r="BK165" s="26"/>
    </row>
    <row r="166" ht="14.25" customHeight="1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  <c r="AM166" s="26"/>
      <c r="AN166" s="26"/>
      <c r="AO166" s="26"/>
      <c r="AP166" s="26"/>
      <c r="AQ166" s="26"/>
      <c r="AR166" s="26"/>
      <c r="AS166" s="26"/>
      <c r="AT166" s="26"/>
      <c r="AU166" s="26"/>
      <c r="AV166" s="26"/>
      <c r="AW166" s="26"/>
      <c r="AX166" s="26"/>
      <c r="AY166" s="26"/>
      <c r="AZ166" s="26"/>
      <c r="BA166" s="26"/>
      <c r="BB166" s="26"/>
      <c r="BC166" s="26"/>
      <c r="BD166" s="26"/>
      <c r="BE166" s="26"/>
      <c r="BF166" s="26"/>
      <c r="BG166" s="26"/>
      <c r="BH166" s="26"/>
      <c r="BI166" s="26"/>
      <c r="BJ166" s="26"/>
      <c r="BK166" s="26"/>
    </row>
    <row r="167" ht="14.25" customHeight="1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  <c r="AM167" s="26"/>
      <c r="AN167" s="26"/>
      <c r="AO167" s="26"/>
      <c r="AP167" s="26"/>
      <c r="AQ167" s="26"/>
      <c r="AR167" s="26"/>
      <c r="AS167" s="26"/>
      <c r="AT167" s="26"/>
      <c r="AU167" s="26"/>
      <c r="AV167" s="26"/>
      <c r="AW167" s="26"/>
      <c r="AX167" s="26"/>
      <c r="AY167" s="26"/>
      <c r="AZ167" s="26"/>
      <c r="BA167" s="26"/>
      <c r="BB167" s="26"/>
      <c r="BC167" s="26"/>
      <c r="BD167" s="26"/>
      <c r="BE167" s="26"/>
      <c r="BF167" s="26"/>
      <c r="BG167" s="26"/>
      <c r="BH167" s="26"/>
      <c r="BI167" s="26"/>
      <c r="BJ167" s="26"/>
      <c r="BK167" s="26"/>
    </row>
    <row r="168" ht="14.25" customHeight="1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  <c r="AM168" s="26"/>
      <c r="AN168" s="26"/>
      <c r="AO168" s="26"/>
      <c r="AP168" s="26"/>
      <c r="AQ168" s="26"/>
      <c r="AR168" s="26"/>
      <c r="AS168" s="26"/>
      <c r="AT168" s="26"/>
      <c r="AU168" s="26"/>
      <c r="AV168" s="26"/>
      <c r="AW168" s="26"/>
      <c r="AX168" s="26"/>
      <c r="AY168" s="26"/>
      <c r="AZ168" s="26"/>
      <c r="BA168" s="26"/>
      <c r="BB168" s="26"/>
      <c r="BC168" s="26"/>
      <c r="BD168" s="26"/>
      <c r="BE168" s="26"/>
      <c r="BF168" s="26"/>
      <c r="BG168" s="26"/>
      <c r="BH168" s="26"/>
      <c r="BI168" s="26"/>
      <c r="BJ168" s="26"/>
      <c r="BK168" s="26"/>
    </row>
    <row r="169" ht="14.25" customHeight="1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  <c r="AM169" s="26"/>
      <c r="AN169" s="26"/>
      <c r="AO169" s="26"/>
      <c r="AP169" s="26"/>
      <c r="AQ169" s="26"/>
      <c r="AR169" s="26"/>
      <c r="AS169" s="26"/>
      <c r="AT169" s="26"/>
      <c r="AU169" s="26"/>
      <c r="AV169" s="26"/>
      <c r="AW169" s="26"/>
      <c r="AX169" s="26"/>
      <c r="AY169" s="26"/>
      <c r="AZ169" s="26"/>
      <c r="BA169" s="26"/>
      <c r="BB169" s="26"/>
      <c r="BC169" s="26"/>
      <c r="BD169" s="26"/>
      <c r="BE169" s="26"/>
      <c r="BF169" s="26"/>
      <c r="BG169" s="26"/>
      <c r="BH169" s="26"/>
      <c r="BI169" s="26"/>
      <c r="BJ169" s="26"/>
      <c r="BK169" s="26"/>
    </row>
    <row r="170" ht="14.25" customHeight="1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  <c r="AM170" s="26"/>
      <c r="AN170" s="26"/>
      <c r="AO170" s="26"/>
      <c r="AP170" s="26"/>
      <c r="AQ170" s="26"/>
      <c r="AR170" s="26"/>
      <c r="AS170" s="26"/>
      <c r="AT170" s="26"/>
      <c r="AU170" s="26"/>
      <c r="AV170" s="26"/>
      <c r="AW170" s="26"/>
      <c r="AX170" s="26"/>
      <c r="AY170" s="26"/>
      <c r="AZ170" s="26"/>
      <c r="BA170" s="26"/>
      <c r="BB170" s="26"/>
      <c r="BC170" s="26"/>
      <c r="BD170" s="26"/>
      <c r="BE170" s="26"/>
      <c r="BF170" s="26"/>
      <c r="BG170" s="26"/>
      <c r="BH170" s="26"/>
      <c r="BI170" s="26"/>
      <c r="BJ170" s="26"/>
      <c r="BK170" s="26"/>
    </row>
    <row r="171" ht="14.25" customHeight="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  <c r="AM171" s="26"/>
      <c r="AN171" s="26"/>
      <c r="AO171" s="26"/>
      <c r="AP171" s="26"/>
      <c r="AQ171" s="26"/>
      <c r="AR171" s="26"/>
      <c r="AS171" s="26"/>
      <c r="AT171" s="26"/>
      <c r="AU171" s="26"/>
      <c r="AV171" s="26"/>
      <c r="AW171" s="26"/>
      <c r="AX171" s="26"/>
      <c r="AY171" s="26"/>
      <c r="AZ171" s="26"/>
      <c r="BA171" s="26"/>
      <c r="BB171" s="26"/>
      <c r="BC171" s="26"/>
      <c r="BD171" s="26"/>
      <c r="BE171" s="26"/>
      <c r="BF171" s="26"/>
      <c r="BG171" s="26"/>
      <c r="BH171" s="26"/>
      <c r="BI171" s="26"/>
      <c r="BJ171" s="26"/>
      <c r="BK171" s="26"/>
    </row>
    <row r="172" ht="14.25" customHeight="1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  <c r="AM172" s="26"/>
      <c r="AN172" s="26"/>
      <c r="AO172" s="26"/>
      <c r="AP172" s="26"/>
      <c r="AQ172" s="26"/>
      <c r="AR172" s="26"/>
      <c r="AS172" s="26"/>
      <c r="AT172" s="26"/>
      <c r="AU172" s="26"/>
      <c r="AV172" s="26"/>
      <c r="AW172" s="26"/>
      <c r="AX172" s="26"/>
      <c r="AY172" s="26"/>
      <c r="AZ172" s="26"/>
      <c r="BA172" s="26"/>
      <c r="BB172" s="26"/>
      <c r="BC172" s="26"/>
      <c r="BD172" s="26"/>
      <c r="BE172" s="26"/>
      <c r="BF172" s="26"/>
      <c r="BG172" s="26"/>
      <c r="BH172" s="26"/>
      <c r="BI172" s="26"/>
      <c r="BJ172" s="26"/>
      <c r="BK172" s="26"/>
    </row>
    <row r="173" ht="14.25" customHeight="1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  <c r="AM173" s="26"/>
      <c r="AN173" s="26"/>
      <c r="AO173" s="26"/>
      <c r="AP173" s="26"/>
      <c r="AQ173" s="26"/>
      <c r="AR173" s="26"/>
      <c r="AS173" s="26"/>
      <c r="AT173" s="26"/>
      <c r="AU173" s="26"/>
      <c r="AV173" s="26"/>
      <c r="AW173" s="26"/>
      <c r="AX173" s="26"/>
      <c r="AY173" s="26"/>
      <c r="AZ173" s="26"/>
      <c r="BA173" s="26"/>
      <c r="BB173" s="26"/>
      <c r="BC173" s="26"/>
      <c r="BD173" s="26"/>
      <c r="BE173" s="26"/>
      <c r="BF173" s="26"/>
      <c r="BG173" s="26"/>
      <c r="BH173" s="26"/>
      <c r="BI173" s="26"/>
      <c r="BJ173" s="26"/>
      <c r="BK173" s="26"/>
    </row>
    <row r="174" ht="14.25" customHeight="1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  <c r="AM174" s="26"/>
      <c r="AN174" s="26"/>
      <c r="AO174" s="26"/>
      <c r="AP174" s="26"/>
      <c r="AQ174" s="26"/>
      <c r="AR174" s="26"/>
      <c r="AS174" s="26"/>
      <c r="AT174" s="26"/>
      <c r="AU174" s="26"/>
      <c r="AV174" s="26"/>
      <c r="AW174" s="26"/>
      <c r="AX174" s="26"/>
      <c r="AY174" s="26"/>
      <c r="AZ174" s="26"/>
      <c r="BA174" s="26"/>
      <c r="BB174" s="26"/>
      <c r="BC174" s="26"/>
      <c r="BD174" s="26"/>
      <c r="BE174" s="26"/>
      <c r="BF174" s="26"/>
      <c r="BG174" s="26"/>
      <c r="BH174" s="26"/>
      <c r="BI174" s="26"/>
      <c r="BJ174" s="26"/>
      <c r="BK174" s="26"/>
    </row>
    <row r="175" ht="14.25" customHeight="1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  <c r="AM175" s="26"/>
      <c r="AN175" s="26"/>
      <c r="AO175" s="26"/>
      <c r="AP175" s="26"/>
      <c r="AQ175" s="26"/>
      <c r="AR175" s="26"/>
      <c r="AS175" s="26"/>
      <c r="AT175" s="26"/>
      <c r="AU175" s="26"/>
      <c r="AV175" s="26"/>
      <c r="AW175" s="26"/>
      <c r="AX175" s="26"/>
      <c r="AY175" s="26"/>
      <c r="AZ175" s="26"/>
      <c r="BA175" s="26"/>
      <c r="BB175" s="26"/>
      <c r="BC175" s="26"/>
      <c r="BD175" s="26"/>
      <c r="BE175" s="26"/>
      <c r="BF175" s="26"/>
      <c r="BG175" s="26"/>
      <c r="BH175" s="26"/>
      <c r="BI175" s="26"/>
      <c r="BJ175" s="26"/>
      <c r="BK175" s="26"/>
    </row>
    <row r="176" ht="14.25" customHeight="1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  <c r="AM176" s="26"/>
      <c r="AN176" s="26"/>
      <c r="AO176" s="26"/>
      <c r="AP176" s="26"/>
      <c r="AQ176" s="26"/>
      <c r="AR176" s="26"/>
      <c r="AS176" s="26"/>
      <c r="AT176" s="26"/>
      <c r="AU176" s="26"/>
      <c r="AV176" s="26"/>
      <c r="AW176" s="26"/>
      <c r="AX176" s="26"/>
      <c r="AY176" s="26"/>
      <c r="AZ176" s="26"/>
      <c r="BA176" s="26"/>
      <c r="BB176" s="26"/>
      <c r="BC176" s="26"/>
      <c r="BD176" s="26"/>
      <c r="BE176" s="26"/>
      <c r="BF176" s="26"/>
      <c r="BG176" s="26"/>
      <c r="BH176" s="26"/>
      <c r="BI176" s="26"/>
      <c r="BJ176" s="26"/>
      <c r="BK176" s="26"/>
    </row>
    <row r="177" ht="14.25" customHeight="1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  <c r="AM177" s="26"/>
      <c r="AN177" s="26"/>
      <c r="AO177" s="26"/>
      <c r="AP177" s="26"/>
      <c r="AQ177" s="26"/>
      <c r="AR177" s="26"/>
      <c r="AS177" s="26"/>
      <c r="AT177" s="26"/>
      <c r="AU177" s="26"/>
      <c r="AV177" s="26"/>
      <c r="AW177" s="26"/>
      <c r="AX177" s="26"/>
      <c r="AY177" s="26"/>
      <c r="AZ177" s="26"/>
      <c r="BA177" s="26"/>
      <c r="BB177" s="26"/>
      <c r="BC177" s="26"/>
      <c r="BD177" s="26"/>
      <c r="BE177" s="26"/>
      <c r="BF177" s="26"/>
      <c r="BG177" s="26"/>
      <c r="BH177" s="26"/>
      <c r="BI177" s="26"/>
      <c r="BJ177" s="26"/>
      <c r="BK177" s="26"/>
    </row>
    <row r="178" ht="14.25" customHeight="1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  <c r="AM178" s="26"/>
      <c r="AN178" s="26"/>
      <c r="AO178" s="26"/>
      <c r="AP178" s="26"/>
      <c r="AQ178" s="26"/>
      <c r="AR178" s="26"/>
      <c r="AS178" s="26"/>
      <c r="AT178" s="26"/>
      <c r="AU178" s="26"/>
      <c r="AV178" s="26"/>
      <c r="AW178" s="26"/>
      <c r="AX178" s="26"/>
      <c r="AY178" s="26"/>
      <c r="AZ178" s="26"/>
      <c r="BA178" s="26"/>
      <c r="BB178" s="26"/>
      <c r="BC178" s="26"/>
      <c r="BD178" s="26"/>
      <c r="BE178" s="26"/>
      <c r="BF178" s="26"/>
      <c r="BG178" s="26"/>
      <c r="BH178" s="26"/>
      <c r="BI178" s="26"/>
      <c r="BJ178" s="26"/>
      <c r="BK178" s="26"/>
    </row>
    <row r="179" ht="14.25" customHeight="1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  <c r="AM179" s="26"/>
      <c r="AN179" s="26"/>
      <c r="AO179" s="26"/>
      <c r="AP179" s="26"/>
      <c r="AQ179" s="26"/>
      <c r="AR179" s="26"/>
      <c r="AS179" s="26"/>
      <c r="AT179" s="26"/>
      <c r="AU179" s="26"/>
      <c r="AV179" s="26"/>
      <c r="AW179" s="26"/>
      <c r="AX179" s="26"/>
      <c r="AY179" s="26"/>
      <c r="AZ179" s="26"/>
      <c r="BA179" s="26"/>
      <c r="BB179" s="26"/>
      <c r="BC179" s="26"/>
      <c r="BD179" s="26"/>
      <c r="BE179" s="26"/>
      <c r="BF179" s="26"/>
      <c r="BG179" s="26"/>
      <c r="BH179" s="26"/>
      <c r="BI179" s="26"/>
      <c r="BJ179" s="26"/>
      <c r="BK179" s="26"/>
    </row>
    <row r="180" ht="14.25" customHeight="1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  <c r="AM180" s="26"/>
      <c r="AN180" s="26"/>
      <c r="AO180" s="26"/>
      <c r="AP180" s="26"/>
      <c r="AQ180" s="26"/>
      <c r="AR180" s="26"/>
      <c r="AS180" s="26"/>
      <c r="AT180" s="26"/>
      <c r="AU180" s="26"/>
      <c r="AV180" s="26"/>
      <c r="AW180" s="26"/>
      <c r="AX180" s="26"/>
      <c r="AY180" s="26"/>
      <c r="AZ180" s="26"/>
      <c r="BA180" s="26"/>
      <c r="BB180" s="26"/>
      <c r="BC180" s="26"/>
      <c r="BD180" s="26"/>
      <c r="BE180" s="26"/>
      <c r="BF180" s="26"/>
      <c r="BG180" s="26"/>
      <c r="BH180" s="26"/>
      <c r="BI180" s="26"/>
      <c r="BJ180" s="26"/>
      <c r="BK180" s="26"/>
    </row>
    <row r="181" ht="14.25" customHeight="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  <c r="AM181" s="26"/>
      <c r="AN181" s="26"/>
      <c r="AO181" s="26"/>
      <c r="AP181" s="26"/>
      <c r="AQ181" s="26"/>
      <c r="AR181" s="26"/>
      <c r="AS181" s="26"/>
      <c r="AT181" s="26"/>
      <c r="AU181" s="26"/>
      <c r="AV181" s="26"/>
      <c r="AW181" s="26"/>
      <c r="AX181" s="26"/>
      <c r="AY181" s="26"/>
      <c r="AZ181" s="26"/>
      <c r="BA181" s="26"/>
      <c r="BB181" s="26"/>
      <c r="BC181" s="26"/>
      <c r="BD181" s="26"/>
      <c r="BE181" s="26"/>
      <c r="BF181" s="26"/>
      <c r="BG181" s="26"/>
      <c r="BH181" s="26"/>
      <c r="BI181" s="26"/>
      <c r="BJ181" s="26"/>
      <c r="BK181" s="26"/>
    </row>
    <row r="182" ht="14.25" customHeight="1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  <c r="AM182" s="26"/>
      <c r="AN182" s="26"/>
      <c r="AO182" s="26"/>
      <c r="AP182" s="26"/>
      <c r="AQ182" s="26"/>
      <c r="AR182" s="26"/>
      <c r="AS182" s="26"/>
      <c r="AT182" s="26"/>
      <c r="AU182" s="26"/>
      <c r="AV182" s="26"/>
      <c r="AW182" s="26"/>
      <c r="AX182" s="26"/>
      <c r="AY182" s="26"/>
      <c r="AZ182" s="26"/>
      <c r="BA182" s="26"/>
      <c r="BB182" s="26"/>
      <c r="BC182" s="26"/>
      <c r="BD182" s="26"/>
      <c r="BE182" s="26"/>
      <c r="BF182" s="26"/>
      <c r="BG182" s="26"/>
      <c r="BH182" s="26"/>
      <c r="BI182" s="26"/>
      <c r="BJ182" s="26"/>
      <c r="BK182" s="26"/>
    </row>
    <row r="183" ht="14.25" customHeight="1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  <c r="AM183" s="26"/>
      <c r="AN183" s="26"/>
      <c r="AO183" s="26"/>
      <c r="AP183" s="26"/>
      <c r="AQ183" s="26"/>
      <c r="AR183" s="26"/>
      <c r="AS183" s="26"/>
      <c r="AT183" s="26"/>
      <c r="AU183" s="26"/>
      <c r="AV183" s="26"/>
      <c r="AW183" s="26"/>
      <c r="AX183" s="26"/>
      <c r="AY183" s="26"/>
      <c r="AZ183" s="26"/>
      <c r="BA183" s="26"/>
      <c r="BB183" s="26"/>
      <c r="BC183" s="26"/>
      <c r="BD183" s="26"/>
      <c r="BE183" s="26"/>
      <c r="BF183" s="26"/>
      <c r="BG183" s="26"/>
      <c r="BH183" s="26"/>
      <c r="BI183" s="26"/>
      <c r="BJ183" s="26"/>
      <c r="BK183" s="26"/>
    </row>
    <row r="184" ht="14.25" customHeight="1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  <c r="AM184" s="26"/>
      <c r="AN184" s="26"/>
      <c r="AO184" s="26"/>
      <c r="AP184" s="26"/>
      <c r="AQ184" s="26"/>
      <c r="AR184" s="26"/>
      <c r="AS184" s="26"/>
      <c r="AT184" s="26"/>
      <c r="AU184" s="26"/>
      <c r="AV184" s="26"/>
      <c r="AW184" s="26"/>
      <c r="AX184" s="26"/>
      <c r="AY184" s="26"/>
      <c r="AZ184" s="26"/>
      <c r="BA184" s="26"/>
      <c r="BB184" s="26"/>
      <c r="BC184" s="26"/>
      <c r="BD184" s="26"/>
      <c r="BE184" s="26"/>
      <c r="BF184" s="26"/>
      <c r="BG184" s="26"/>
      <c r="BH184" s="26"/>
      <c r="BI184" s="26"/>
      <c r="BJ184" s="26"/>
      <c r="BK184" s="26"/>
    </row>
    <row r="185" ht="14.25" customHeight="1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  <c r="AM185" s="26"/>
      <c r="AN185" s="26"/>
      <c r="AO185" s="26"/>
      <c r="AP185" s="26"/>
      <c r="AQ185" s="26"/>
      <c r="AR185" s="26"/>
      <c r="AS185" s="26"/>
      <c r="AT185" s="26"/>
      <c r="AU185" s="26"/>
      <c r="AV185" s="26"/>
      <c r="AW185" s="26"/>
      <c r="AX185" s="26"/>
      <c r="AY185" s="26"/>
      <c r="AZ185" s="26"/>
      <c r="BA185" s="26"/>
      <c r="BB185" s="26"/>
      <c r="BC185" s="26"/>
      <c r="BD185" s="26"/>
      <c r="BE185" s="26"/>
      <c r="BF185" s="26"/>
      <c r="BG185" s="26"/>
      <c r="BH185" s="26"/>
      <c r="BI185" s="26"/>
      <c r="BJ185" s="26"/>
      <c r="BK185" s="26"/>
    </row>
    <row r="186" ht="14.25" customHeight="1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  <c r="AM186" s="26"/>
      <c r="AN186" s="26"/>
      <c r="AO186" s="26"/>
      <c r="AP186" s="26"/>
      <c r="AQ186" s="26"/>
      <c r="AR186" s="26"/>
      <c r="AS186" s="26"/>
      <c r="AT186" s="26"/>
      <c r="AU186" s="26"/>
      <c r="AV186" s="26"/>
      <c r="AW186" s="26"/>
      <c r="AX186" s="26"/>
      <c r="AY186" s="26"/>
      <c r="AZ186" s="26"/>
      <c r="BA186" s="26"/>
      <c r="BB186" s="26"/>
      <c r="BC186" s="26"/>
      <c r="BD186" s="26"/>
      <c r="BE186" s="26"/>
      <c r="BF186" s="26"/>
      <c r="BG186" s="26"/>
      <c r="BH186" s="26"/>
      <c r="BI186" s="26"/>
      <c r="BJ186" s="26"/>
      <c r="BK186" s="26"/>
    </row>
    <row r="187" ht="14.25" customHeight="1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  <c r="AM187" s="26"/>
      <c r="AN187" s="26"/>
      <c r="AO187" s="26"/>
      <c r="AP187" s="26"/>
      <c r="AQ187" s="26"/>
      <c r="AR187" s="26"/>
      <c r="AS187" s="26"/>
      <c r="AT187" s="26"/>
      <c r="AU187" s="26"/>
      <c r="AV187" s="26"/>
      <c r="AW187" s="26"/>
      <c r="AX187" s="26"/>
      <c r="AY187" s="26"/>
      <c r="AZ187" s="26"/>
      <c r="BA187" s="26"/>
      <c r="BB187" s="26"/>
      <c r="BC187" s="26"/>
      <c r="BD187" s="26"/>
      <c r="BE187" s="26"/>
      <c r="BF187" s="26"/>
      <c r="BG187" s="26"/>
      <c r="BH187" s="26"/>
      <c r="BI187" s="26"/>
      <c r="BJ187" s="26"/>
      <c r="BK187" s="26"/>
    </row>
    <row r="188" ht="14.25" customHeight="1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  <c r="AM188" s="26"/>
      <c r="AN188" s="26"/>
      <c r="AO188" s="26"/>
      <c r="AP188" s="26"/>
      <c r="AQ188" s="26"/>
      <c r="AR188" s="26"/>
      <c r="AS188" s="26"/>
      <c r="AT188" s="26"/>
      <c r="AU188" s="26"/>
      <c r="AV188" s="26"/>
      <c r="AW188" s="26"/>
      <c r="AX188" s="26"/>
      <c r="AY188" s="26"/>
      <c r="AZ188" s="26"/>
      <c r="BA188" s="26"/>
      <c r="BB188" s="26"/>
      <c r="BC188" s="26"/>
      <c r="BD188" s="26"/>
      <c r="BE188" s="26"/>
      <c r="BF188" s="26"/>
      <c r="BG188" s="26"/>
      <c r="BH188" s="26"/>
      <c r="BI188" s="26"/>
      <c r="BJ188" s="26"/>
      <c r="BK188" s="26"/>
    </row>
    <row r="189" ht="14.25" customHeight="1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  <c r="AM189" s="26"/>
      <c r="AN189" s="26"/>
      <c r="AO189" s="26"/>
      <c r="AP189" s="26"/>
      <c r="AQ189" s="26"/>
      <c r="AR189" s="26"/>
      <c r="AS189" s="26"/>
      <c r="AT189" s="26"/>
      <c r="AU189" s="26"/>
      <c r="AV189" s="26"/>
      <c r="AW189" s="26"/>
      <c r="AX189" s="26"/>
      <c r="AY189" s="26"/>
      <c r="AZ189" s="26"/>
      <c r="BA189" s="26"/>
      <c r="BB189" s="26"/>
      <c r="BC189" s="26"/>
      <c r="BD189" s="26"/>
      <c r="BE189" s="26"/>
      <c r="BF189" s="26"/>
      <c r="BG189" s="26"/>
      <c r="BH189" s="26"/>
      <c r="BI189" s="26"/>
      <c r="BJ189" s="26"/>
      <c r="BK189" s="26"/>
    </row>
    <row r="190" ht="14.25" customHeight="1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  <c r="AM190" s="26"/>
      <c r="AN190" s="26"/>
      <c r="AO190" s="26"/>
      <c r="AP190" s="26"/>
      <c r="AQ190" s="26"/>
      <c r="AR190" s="26"/>
      <c r="AS190" s="26"/>
      <c r="AT190" s="26"/>
      <c r="AU190" s="26"/>
      <c r="AV190" s="26"/>
      <c r="AW190" s="26"/>
      <c r="AX190" s="26"/>
      <c r="AY190" s="26"/>
      <c r="AZ190" s="26"/>
      <c r="BA190" s="26"/>
      <c r="BB190" s="26"/>
      <c r="BC190" s="26"/>
      <c r="BD190" s="26"/>
      <c r="BE190" s="26"/>
      <c r="BF190" s="26"/>
      <c r="BG190" s="26"/>
      <c r="BH190" s="26"/>
      <c r="BI190" s="26"/>
      <c r="BJ190" s="26"/>
      <c r="BK190" s="26"/>
    </row>
    <row r="191" ht="14.25" customHeight="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  <c r="AM191" s="26"/>
      <c r="AN191" s="26"/>
      <c r="AO191" s="26"/>
      <c r="AP191" s="26"/>
      <c r="AQ191" s="26"/>
      <c r="AR191" s="26"/>
      <c r="AS191" s="26"/>
      <c r="AT191" s="26"/>
      <c r="AU191" s="26"/>
      <c r="AV191" s="26"/>
      <c r="AW191" s="26"/>
      <c r="AX191" s="26"/>
      <c r="AY191" s="26"/>
      <c r="AZ191" s="26"/>
      <c r="BA191" s="26"/>
      <c r="BB191" s="26"/>
      <c r="BC191" s="26"/>
      <c r="BD191" s="26"/>
      <c r="BE191" s="26"/>
      <c r="BF191" s="26"/>
      <c r="BG191" s="26"/>
      <c r="BH191" s="26"/>
      <c r="BI191" s="26"/>
      <c r="BJ191" s="26"/>
      <c r="BK191" s="26"/>
    </row>
    <row r="192" ht="14.25" customHeight="1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  <c r="AM192" s="26"/>
      <c r="AN192" s="26"/>
      <c r="AO192" s="26"/>
      <c r="AP192" s="26"/>
      <c r="AQ192" s="26"/>
      <c r="AR192" s="26"/>
      <c r="AS192" s="26"/>
      <c r="AT192" s="26"/>
      <c r="AU192" s="26"/>
      <c r="AV192" s="26"/>
      <c r="AW192" s="26"/>
      <c r="AX192" s="26"/>
      <c r="AY192" s="26"/>
      <c r="AZ192" s="26"/>
      <c r="BA192" s="26"/>
      <c r="BB192" s="26"/>
      <c r="BC192" s="26"/>
      <c r="BD192" s="26"/>
      <c r="BE192" s="26"/>
      <c r="BF192" s="26"/>
      <c r="BG192" s="26"/>
      <c r="BH192" s="26"/>
      <c r="BI192" s="26"/>
      <c r="BJ192" s="26"/>
      <c r="BK192" s="26"/>
    </row>
    <row r="193" ht="14.25" customHeight="1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  <c r="AM193" s="26"/>
      <c r="AN193" s="26"/>
      <c r="AO193" s="26"/>
      <c r="AP193" s="26"/>
      <c r="AQ193" s="26"/>
      <c r="AR193" s="26"/>
      <c r="AS193" s="26"/>
      <c r="AT193" s="26"/>
      <c r="AU193" s="26"/>
      <c r="AV193" s="26"/>
      <c r="AW193" s="26"/>
      <c r="AX193" s="26"/>
      <c r="AY193" s="26"/>
      <c r="AZ193" s="26"/>
      <c r="BA193" s="26"/>
      <c r="BB193" s="26"/>
      <c r="BC193" s="26"/>
      <c r="BD193" s="26"/>
      <c r="BE193" s="26"/>
      <c r="BF193" s="26"/>
      <c r="BG193" s="26"/>
      <c r="BH193" s="26"/>
      <c r="BI193" s="26"/>
      <c r="BJ193" s="26"/>
      <c r="BK193" s="26"/>
    </row>
    <row r="194" ht="14.25" customHeight="1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  <c r="AM194" s="26"/>
      <c r="AN194" s="26"/>
      <c r="AO194" s="26"/>
      <c r="AP194" s="26"/>
      <c r="AQ194" s="26"/>
      <c r="AR194" s="26"/>
      <c r="AS194" s="26"/>
      <c r="AT194" s="26"/>
      <c r="AU194" s="26"/>
      <c r="AV194" s="26"/>
      <c r="AW194" s="26"/>
      <c r="AX194" s="26"/>
      <c r="AY194" s="26"/>
      <c r="AZ194" s="26"/>
      <c r="BA194" s="26"/>
      <c r="BB194" s="26"/>
      <c r="BC194" s="26"/>
      <c r="BD194" s="26"/>
      <c r="BE194" s="26"/>
      <c r="BF194" s="26"/>
      <c r="BG194" s="26"/>
      <c r="BH194" s="26"/>
      <c r="BI194" s="26"/>
      <c r="BJ194" s="26"/>
      <c r="BK194" s="26"/>
    </row>
    <row r="195" ht="14.25" customHeight="1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  <c r="AM195" s="26"/>
      <c r="AN195" s="26"/>
      <c r="AO195" s="26"/>
      <c r="AP195" s="26"/>
      <c r="AQ195" s="26"/>
      <c r="AR195" s="26"/>
      <c r="AS195" s="26"/>
      <c r="AT195" s="26"/>
      <c r="AU195" s="26"/>
      <c r="AV195" s="26"/>
      <c r="AW195" s="26"/>
      <c r="AX195" s="26"/>
      <c r="AY195" s="26"/>
      <c r="AZ195" s="26"/>
      <c r="BA195" s="26"/>
      <c r="BB195" s="26"/>
      <c r="BC195" s="26"/>
      <c r="BD195" s="26"/>
      <c r="BE195" s="26"/>
      <c r="BF195" s="26"/>
      <c r="BG195" s="26"/>
      <c r="BH195" s="26"/>
      <c r="BI195" s="26"/>
      <c r="BJ195" s="26"/>
      <c r="BK195" s="26"/>
    </row>
    <row r="196" ht="14.25" customHeight="1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  <c r="AM196" s="26"/>
      <c r="AN196" s="26"/>
      <c r="AO196" s="26"/>
      <c r="AP196" s="26"/>
      <c r="AQ196" s="26"/>
      <c r="AR196" s="26"/>
      <c r="AS196" s="26"/>
      <c r="AT196" s="26"/>
      <c r="AU196" s="26"/>
      <c r="AV196" s="26"/>
      <c r="AW196" s="26"/>
      <c r="AX196" s="26"/>
      <c r="AY196" s="26"/>
      <c r="AZ196" s="26"/>
      <c r="BA196" s="26"/>
      <c r="BB196" s="26"/>
      <c r="BC196" s="26"/>
      <c r="BD196" s="26"/>
      <c r="BE196" s="26"/>
      <c r="BF196" s="26"/>
      <c r="BG196" s="26"/>
      <c r="BH196" s="26"/>
      <c r="BI196" s="26"/>
      <c r="BJ196" s="26"/>
      <c r="BK196" s="26"/>
    </row>
    <row r="197" ht="14.25" customHeight="1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  <c r="AM197" s="26"/>
      <c r="AN197" s="26"/>
      <c r="AO197" s="26"/>
      <c r="AP197" s="26"/>
      <c r="AQ197" s="26"/>
      <c r="AR197" s="26"/>
      <c r="AS197" s="26"/>
      <c r="AT197" s="26"/>
      <c r="AU197" s="26"/>
      <c r="AV197" s="26"/>
      <c r="AW197" s="26"/>
      <c r="AX197" s="26"/>
      <c r="AY197" s="26"/>
      <c r="AZ197" s="26"/>
      <c r="BA197" s="26"/>
      <c r="BB197" s="26"/>
      <c r="BC197" s="26"/>
      <c r="BD197" s="26"/>
      <c r="BE197" s="26"/>
      <c r="BF197" s="26"/>
      <c r="BG197" s="26"/>
      <c r="BH197" s="26"/>
      <c r="BI197" s="26"/>
      <c r="BJ197" s="26"/>
      <c r="BK197" s="26"/>
    </row>
    <row r="198" ht="14.25" customHeight="1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  <c r="AM198" s="26"/>
      <c r="AN198" s="26"/>
      <c r="AO198" s="26"/>
      <c r="AP198" s="26"/>
      <c r="AQ198" s="26"/>
      <c r="AR198" s="26"/>
      <c r="AS198" s="26"/>
      <c r="AT198" s="26"/>
      <c r="AU198" s="26"/>
      <c r="AV198" s="26"/>
      <c r="AW198" s="26"/>
      <c r="AX198" s="26"/>
      <c r="AY198" s="26"/>
      <c r="AZ198" s="26"/>
      <c r="BA198" s="26"/>
      <c r="BB198" s="26"/>
      <c r="BC198" s="26"/>
      <c r="BD198" s="26"/>
      <c r="BE198" s="26"/>
      <c r="BF198" s="26"/>
      <c r="BG198" s="26"/>
      <c r="BH198" s="26"/>
      <c r="BI198" s="26"/>
      <c r="BJ198" s="26"/>
      <c r="BK198" s="26"/>
    </row>
    <row r="199" ht="14.25" customHeight="1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  <c r="AM199" s="26"/>
      <c r="AN199" s="26"/>
      <c r="AO199" s="26"/>
      <c r="AP199" s="26"/>
      <c r="AQ199" s="26"/>
      <c r="AR199" s="26"/>
      <c r="AS199" s="26"/>
      <c r="AT199" s="26"/>
      <c r="AU199" s="26"/>
      <c r="AV199" s="26"/>
      <c r="AW199" s="26"/>
      <c r="AX199" s="26"/>
      <c r="AY199" s="26"/>
      <c r="AZ199" s="26"/>
      <c r="BA199" s="26"/>
      <c r="BB199" s="26"/>
      <c r="BC199" s="26"/>
      <c r="BD199" s="26"/>
      <c r="BE199" s="26"/>
      <c r="BF199" s="26"/>
      <c r="BG199" s="26"/>
      <c r="BH199" s="26"/>
      <c r="BI199" s="26"/>
      <c r="BJ199" s="26"/>
      <c r="BK199" s="26"/>
    </row>
    <row r="200" ht="14.25" customHeight="1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  <c r="AM200" s="26"/>
      <c r="AN200" s="26"/>
      <c r="AO200" s="26"/>
      <c r="AP200" s="26"/>
      <c r="AQ200" s="26"/>
      <c r="AR200" s="26"/>
      <c r="AS200" s="26"/>
      <c r="AT200" s="26"/>
      <c r="AU200" s="26"/>
      <c r="AV200" s="26"/>
      <c r="AW200" s="26"/>
      <c r="AX200" s="26"/>
      <c r="AY200" s="26"/>
      <c r="AZ200" s="26"/>
      <c r="BA200" s="26"/>
      <c r="BB200" s="26"/>
      <c r="BC200" s="26"/>
      <c r="BD200" s="26"/>
      <c r="BE200" s="26"/>
      <c r="BF200" s="26"/>
      <c r="BG200" s="26"/>
      <c r="BH200" s="26"/>
      <c r="BI200" s="26"/>
      <c r="BJ200" s="26"/>
      <c r="BK200" s="26"/>
    </row>
    <row r="201" ht="14.25" customHeight="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  <c r="AM201" s="26"/>
      <c r="AN201" s="26"/>
      <c r="AO201" s="26"/>
      <c r="AP201" s="26"/>
      <c r="AQ201" s="26"/>
      <c r="AR201" s="26"/>
      <c r="AS201" s="26"/>
      <c r="AT201" s="26"/>
      <c r="AU201" s="26"/>
      <c r="AV201" s="26"/>
      <c r="AW201" s="26"/>
      <c r="AX201" s="26"/>
      <c r="AY201" s="26"/>
      <c r="AZ201" s="26"/>
      <c r="BA201" s="26"/>
      <c r="BB201" s="26"/>
      <c r="BC201" s="26"/>
      <c r="BD201" s="26"/>
      <c r="BE201" s="26"/>
      <c r="BF201" s="26"/>
      <c r="BG201" s="26"/>
      <c r="BH201" s="26"/>
      <c r="BI201" s="26"/>
      <c r="BJ201" s="26"/>
      <c r="BK201" s="26"/>
    </row>
    <row r="202" ht="14.25" customHeight="1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  <c r="AM202" s="26"/>
      <c r="AN202" s="26"/>
      <c r="AO202" s="26"/>
      <c r="AP202" s="26"/>
      <c r="AQ202" s="26"/>
      <c r="AR202" s="26"/>
      <c r="AS202" s="26"/>
      <c r="AT202" s="26"/>
      <c r="AU202" s="26"/>
      <c r="AV202" s="26"/>
      <c r="AW202" s="26"/>
      <c r="AX202" s="26"/>
      <c r="AY202" s="26"/>
      <c r="AZ202" s="26"/>
      <c r="BA202" s="26"/>
      <c r="BB202" s="26"/>
      <c r="BC202" s="26"/>
      <c r="BD202" s="26"/>
      <c r="BE202" s="26"/>
      <c r="BF202" s="26"/>
      <c r="BG202" s="26"/>
      <c r="BH202" s="26"/>
      <c r="BI202" s="26"/>
      <c r="BJ202" s="26"/>
      <c r="BK202" s="26"/>
    </row>
    <row r="203" ht="14.25" customHeight="1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  <c r="AM203" s="26"/>
      <c r="AN203" s="26"/>
      <c r="AO203" s="26"/>
      <c r="AP203" s="26"/>
      <c r="AQ203" s="26"/>
      <c r="AR203" s="26"/>
      <c r="AS203" s="26"/>
      <c r="AT203" s="26"/>
      <c r="AU203" s="26"/>
      <c r="AV203" s="26"/>
      <c r="AW203" s="26"/>
      <c r="AX203" s="26"/>
      <c r="AY203" s="26"/>
      <c r="AZ203" s="26"/>
      <c r="BA203" s="26"/>
      <c r="BB203" s="26"/>
      <c r="BC203" s="26"/>
      <c r="BD203" s="26"/>
      <c r="BE203" s="26"/>
      <c r="BF203" s="26"/>
      <c r="BG203" s="26"/>
      <c r="BH203" s="26"/>
      <c r="BI203" s="26"/>
      <c r="BJ203" s="26"/>
      <c r="BK203" s="26"/>
    </row>
    <row r="204" ht="14.25" customHeight="1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  <c r="AM204" s="26"/>
      <c r="AN204" s="26"/>
      <c r="AO204" s="26"/>
      <c r="AP204" s="26"/>
      <c r="AQ204" s="26"/>
      <c r="AR204" s="26"/>
      <c r="AS204" s="26"/>
      <c r="AT204" s="26"/>
      <c r="AU204" s="26"/>
      <c r="AV204" s="26"/>
      <c r="AW204" s="26"/>
      <c r="AX204" s="26"/>
      <c r="AY204" s="26"/>
      <c r="AZ204" s="26"/>
      <c r="BA204" s="26"/>
      <c r="BB204" s="26"/>
      <c r="BC204" s="26"/>
      <c r="BD204" s="26"/>
      <c r="BE204" s="26"/>
      <c r="BF204" s="26"/>
      <c r="BG204" s="26"/>
      <c r="BH204" s="26"/>
      <c r="BI204" s="26"/>
      <c r="BJ204" s="26"/>
      <c r="BK204" s="26"/>
    </row>
    <row r="205" ht="14.25" customHeight="1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  <c r="AM205" s="26"/>
      <c r="AN205" s="26"/>
      <c r="AO205" s="26"/>
      <c r="AP205" s="26"/>
      <c r="AQ205" s="26"/>
      <c r="AR205" s="26"/>
      <c r="AS205" s="26"/>
      <c r="AT205" s="26"/>
      <c r="AU205" s="26"/>
      <c r="AV205" s="26"/>
      <c r="AW205" s="26"/>
      <c r="AX205" s="26"/>
      <c r="AY205" s="26"/>
      <c r="AZ205" s="26"/>
      <c r="BA205" s="26"/>
      <c r="BB205" s="26"/>
      <c r="BC205" s="26"/>
      <c r="BD205" s="26"/>
      <c r="BE205" s="26"/>
      <c r="BF205" s="26"/>
      <c r="BG205" s="26"/>
      <c r="BH205" s="26"/>
      <c r="BI205" s="26"/>
      <c r="BJ205" s="26"/>
      <c r="BK205" s="26"/>
    </row>
    <row r="206" ht="14.25" customHeight="1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  <c r="AM206" s="26"/>
      <c r="AN206" s="26"/>
      <c r="AO206" s="26"/>
      <c r="AP206" s="26"/>
      <c r="AQ206" s="26"/>
      <c r="AR206" s="26"/>
      <c r="AS206" s="26"/>
      <c r="AT206" s="26"/>
      <c r="AU206" s="26"/>
      <c r="AV206" s="26"/>
      <c r="AW206" s="26"/>
      <c r="AX206" s="26"/>
      <c r="AY206" s="26"/>
      <c r="AZ206" s="26"/>
      <c r="BA206" s="26"/>
      <c r="BB206" s="26"/>
      <c r="BC206" s="26"/>
      <c r="BD206" s="26"/>
      <c r="BE206" s="26"/>
      <c r="BF206" s="26"/>
      <c r="BG206" s="26"/>
      <c r="BH206" s="26"/>
      <c r="BI206" s="26"/>
      <c r="BJ206" s="26"/>
      <c r="BK206" s="26"/>
    </row>
    <row r="207" ht="14.25" customHeight="1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  <c r="AM207" s="26"/>
      <c r="AN207" s="26"/>
      <c r="AO207" s="26"/>
      <c r="AP207" s="26"/>
      <c r="AQ207" s="26"/>
      <c r="AR207" s="26"/>
      <c r="AS207" s="26"/>
      <c r="AT207" s="26"/>
      <c r="AU207" s="26"/>
      <c r="AV207" s="26"/>
      <c r="AW207" s="26"/>
      <c r="AX207" s="26"/>
      <c r="AY207" s="26"/>
      <c r="AZ207" s="26"/>
      <c r="BA207" s="26"/>
      <c r="BB207" s="26"/>
      <c r="BC207" s="26"/>
      <c r="BD207" s="26"/>
      <c r="BE207" s="26"/>
      <c r="BF207" s="26"/>
      <c r="BG207" s="26"/>
      <c r="BH207" s="26"/>
      <c r="BI207" s="26"/>
      <c r="BJ207" s="26"/>
      <c r="BK207" s="26"/>
    </row>
    <row r="208" ht="14.25" customHeight="1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  <c r="AM208" s="26"/>
      <c r="AN208" s="26"/>
      <c r="AO208" s="26"/>
      <c r="AP208" s="26"/>
      <c r="AQ208" s="26"/>
      <c r="AR208" s="26"/>
      <c r="AS208" s="26"/>
      <c r="AT208" s="26"/>
      <c r="AU208" s="26"/>
      <c r="AV208" s="26"/>
      <c r="AW208" s="26"/>
      <c r="AX208" s="26"/>
      <c r="AY208" s="26"/>
      <c r="AZ208" s="26"/>
      <c r="BA208" s="26"/>
      <c r="BB208" s="26"/>
      <c r="BC208" s="26"/>
      <c r="BD208" s="26"/>
      <c r="BE208" s="26"/>
      <c r="BF208" s="26"/>
      <c r="BG208" s="26"/>
      <c r="BH208" s="26"/>
      <c r="BI208" s="26"/>
      <c r="BJ208" s="26"/>
      <c r="BK208" s="26"/>
    </row>
    <row r="209" ht="14.25" customHeight="1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  <c r="AM209" s="26"/>
      <c r="AN209" s="26"/>
      <c r="AO209" s="26"/>
      <c r="AP209" s="26"/>
      <c r="AQ209" s="26"/>
      <c r="AR209" s="26"/>
      <c r="AS209" s="26"/>
      <c r="AT209" s="26"/>
      <c r="AU209" s="26"/>
      <c r="AV209" s="26"/>
      <c r="AW209" s="26"/>
      <c r="AX209" s="26"/>
      <c r="AY209" s="26"/>
      <c r="AZ209" s="26"/>
      <c r="BA209" s="26"/>
      <c r="BB209" s="26"/>
      <c r="BC209" s="26"/>
      <c r="BD209" s="26"/>
      <c r="BE209" s="26"/>
      <c r="BF209" s="26"/>
      <c r="BG209" s="26"/>
      <c r="BH209" s="26"/>
      <c r="BI209" s="26"/>
      <c r="BJ209" s="26"/>
      <c r="BK209" s="26"/>
    </row>
    <row r="210" ht="14.25" customHeight="1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  <c r="AM210" s="26"/>
      <c r="AN210" s="26"/>
      <c r="AO210" s="26"/>
      <c r="AP210" s="26"/>
      <c r="AQ210" s="26"/>
      <c r="AR210" s="26"/>
      <c r="AS210" s="26"/>
      <c r="AT210" s="26"/>
      <c r="AU210" s="26"/>
      <c r="AV210" s="26"/>
      <c r="AW210" s="26"/>
      <c r="AX210" s="26"/>
      <c r="AY210" s="26"/>
      <c r="AZ210" s="26"/>
      <c r="BA210" s="26"/>
      <c r="BB210" s="26"/>
      <c r="BC210" s="26"/>
      <c r="BD210" s="26"/>
      <c r="BE210" s="26"/>
      <c r="BF210" s="26"/>
      <c r="BG210" s="26"/>
      <c r="BH210" s="26"/>
      <c r="BI210" s="26"/>
      <c r="BJ210" s="26"/>
      <c r="BK210" s="26"/>
    </row>
    <row r="211" ht="14.25" customHeight="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  <c r="AM211" s="26"/>
      <c r="AN211" s="26"/>
      <c r="AO211" s="26"/>
      <c r="AP211" s="26"/>
      <c r="AQ211" s="26"/>
      <c r="AR211" s="26"/>
      <c r="AS211" s="26"/>
      <c r="AT211" s="26"/>
      <c r="AU211" s="26"/>
      <c r="AV211" s="26"/>
      <c r="AW211" s="26"/>
      <c r="AX211" s="26"/>
      <c r="AY211" s="26"/>
      <c r="AZ211" s="26"/>
      <c r="BA211" s="26"/>
      <c r="BB211" s="26"/>
      <c r="BC211" s="26"/>
      <c r="BD211" s="26"/>
      <c r="BE211" s="26"/>
      <c r="BF211" s="26"/>
      <c r="BG211" s="26"/>
      <c r="BH211" s="26"/>
      <c r="BI211" s="26"/>
      <c r="BJ211" s="26"/>
      <c r="BK211" s="26"/>
    </row>
    <row r="212" ht="14.25" customHeight="1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  <c r="AM212" s="26"/>
      <c r="AN212" s="26"/>
      <c r="AO212" s="26"/>
      <c r="AP212" s="26"/>
      <c r="AQ212" s="26"/>
      <c r="AR212" s="26"/>
      <c r="AS212" s="26"/>
      <c r="AT212" s="26"/>
      <c r="AU212" s="26"/>
      <c r="AV212" s="26"/>
      <c r="AW212" s="26"/>
      <c r="AX212" s="26"/>
      <c r="AY212" s="26"/>
      <c r="AZ212" s="26"/>
      <c r="BA212" s="26"/>
      <c r="BB212" s="26"/>
      <c r="BC212" s="26"/>
      <c r="BD212" s="26"/>
      <c r="BE212" s="26"/>
      <c r="BF212" s="26"/>
      <c r="BG212" s="26"/>
      <c r="BH212" s="26"/>
      <c r="BI212" s="26"/>
      <c r="BJ212" s="26"/>
      <c r="BK212" s="26"/>
    </row>
    <row r="213" ht="14.25" customHeight="1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  <c r="AM213" s="26"/>
      <c r="AN213" s="26"/>
      <c r="AO213" s="26"/>
      <c r="AP213" s="26"/>
      <c r="AQ213" s="26"/>
      <c r="AR213" s="26"/>
      <c r="AS213" s="26"/>
      <c r="AT213" s="26"/>
      <c r="AU213" s="26"/>
      <c r="AV213" s="26"/>
      <c r="AW213" s="26"/>
      <c r="AX213" s="26"/>
      <c r="AY213" s="26"/>
      <c r="AZ213" s="26"/>
      <c r="BA213" s="26"/>
      <c r="BB213" s="26"/>
      <c r="BC213" s="26"/>
      <c r="BD213" s="26"/>
      <c r="BE213" s="26"/>
      <c r="BF213" s="26"/>
      <c r="BG213" s="26"/>
      <c r="BH213" s="26"/>
      <c r="BI213" s="26"/>
      <c r="BJ213" s="26"/>
      <c r="BK213" s="26"/>
    </row>
    <row r="214" ht="14.25" customHeight="1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  <c r="AM214" s="26"/>
      <c r="AN214" s="26"/>
      <c r="AO214" s="26"/>
      <c r="AP214" s="26"/>
      <c r="AQ214" s="26"/>
      <c r="AR214" s="26"/>
      <c r="AS214" s="26"/>
      <c r="AT214" s="26"/>
      <c r="AU214" s="26"/>
      <c r="AV214" s="26"/>
      <c r="AW214" s="26"/>
      <c r="AX214" s="26"/>
      <c r="AY214" s="26"/>
      <c r="AZ214" s="26"/>
      <c r="BA214" s="26"/>
      <c r="BB214" s="26"/>
      <c r="BC214" s="26"/>
      <c r="BD214" s="26"/>
      <c r="BE214" s="26"/>
      <c r="BF214" s="26"/>
      <c r="BG214" s="26"/>
      <c r="BH214" s="26"/>
      <c r="BI214" s="26"/>
      <c r="BJ214" s="26"/>
      <c r="BK214" s="26"/>
    </row>
    <row r="215" ht="14.25" customHeight="1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  <c r="AM215" s="26"/>
      <c r="AN215" s="26"/>
      <c r="AO215" s="26"/>
      <c r="AP215" s="26"/>
      <c r="AQ215" s="26"/>
      <c r="AR215" s="26"/>
      <c r="AS215" s="26"/>
      <c r="AT215" s="26"/>
      <c r="AU215" s="26"/>
      <c r="AV215" s="26"/>
      <c r="AW215" s="26"/>
      <c r="AX215" s="26"/>
      <c r="AY215" s="26"/>
      <c r="AZ215" s="26"/>
      <c r="BA215" s="26"/>
      <c r="BB215" s="26"/>
      <c r="BC215" s="26"/>
      <c r="BD215" s="26"/>
      <c r="BE215" s="26"/>
      <c r="BF215" s="26"/>
      <c r="BG215" s="26"/>
      <c r="BH215" s="26"/>
      <c r="BI215" s="26"/>
      <c r="BJ215" s="26"/>
      <c r="BK215" s="26"/>
    </row>
    <row r="216" ht="14.25" customHeight="1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  <c r="AM216" s="26"/>
      <c r="AN216" s="26"/>
      <c r="AO216" s="26"/>
      <c r="AP216" s="26"/>
      <c r="AQ216" s="26"/>
      <c r="AR216" s="26"/>
      <c r="AS216" s="26"/>
      <c r="AT216" s="26"/>
      <c r="AU216" s="26"/>
      <c r="AV216" s="26"/>
      <c r="AW216" s="26"/>
      <c r="AX216" s="26"/>
      <c r="AY216" s="26"/>
      <c r="AZ216" s="26"/>
      <c r="BA216" s="26"/>
      <c r="BB216" s="26"/>
      <c r="BC216" s="26"/>
      <c r="BD216" s="26"/>
      <c r="BE216" s="26"/>
      <c r="BF216" s="26"/>
      <c r="BG216" s="26"/>
      <c r="BH216" s="26"/>
      <c r="BI216" s="26"/>
      <c r="BJ216" s="26"/>
      <c r="BK216" s="26"/>
    </row>
    <row r="217" ht="14.25" customHeight="1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  <c r="AM217" s="26"/>
      <c r="AN217" s="26"/>
      <c r="AO217" s="26"/>
      <c r="AP217" s="26"/>
      <c r="AQ217" s="26"/>
      <c r="AR217" s="26"/>
      <c r="AS217" s="26"/>
      <c r="AT217" s="26"/>
      <c r="AU217" s="26"/>
      <c r="AV217" s="26"/>
      <c r="AW217" s="26"/>
      <c r="AX217" s="26"/>
      <c r="AY217" s="26"/>
      <c r="AZ217" s="26"/>
      <c r="BA217" s="26"/>
      <c r="BB217" s="26"/>
      <c r="BC217" s="26"/>
      <c r="BD217" s="26"/>
      <c r="BE217" s="26"/>
      <c r="BF217" s="26"/>
      <c r="BG217" s="26"/>
      <c r="BH217" s="26"/>
      <c r="BI217" s="26"/>
      <c r="BJ217" s="26"/>
      <c r="BK217" s="26"/>
    </row>
    <row r="218" ht="14.25" customHeight="1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  <c r="AM218" s="26"/>
      <c r="AN218" s="26"/>
      <c r="AO218" s="26"/>
      <c r="AP218" s="26"/>
      <c r="AQ218" s="26"/>
      <c r="AR218" s="26"/>
      <c r="AS218" s="26"/>
      <c r="AT218" s="26"/>
      <c r="AU218" s="26"/>
      <c r="AV218" s="26"/>
      <c r="AW218" s="26"/>
      <c r="AX218" s="26"/>
      <c r="AY218" s="26"/>
      <c r="AZ218" s="26"/>
      <c r="BA218" s="26"/>
      <c r="BB218" s="26"/>
      <c r="BC218" s="26"/>
      <c r="BD218" s="26"/>
      <c r="BE218" s="26"/>
      <c r="BF218" s="26"/>
      <c r="BG218" s="26"/>
      <c r="BH218" s="26"/>
      <c r="BI218" s="26"/>
      <c r="BJ218" s="26"/>
      <c r="BK218" s="26"/>
    </row>
    <row r="219" ht="14.25" customHeight="1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  <c r="AM219" s="26"/>
      <c r="AN219" s="26"/>
      <c r="AO219" s="26"/>
      <c r="AP219" s="26"/>
      <c r="AQ219" s="26"/>
      <c r="AR219" s="26"/>
      <c r="AS219" s="26"/>
      <c r="AT219" s="26"/>
      <c r="AU219" s="26"/>
      <c r="AV219" s="26"/>
      <c r="AW219" s="26"/>
      <c r="AX219" s="26"/>
      <c r="AY219" s="26"/>
      <c r="AZ219" s="26"/>
      <c r="BA219" s="26"/>
      <c r="BB219" s="26"/>
      <c r="BC219" s="26"/>
      <c r="BD219" s="26"/>
      <c r="BE219" s="26"/>
      <c r="BF219" s="26"/>
      <c r="BG219" s="26"/>
      <c r="BH219" s="26"/>
      <c r="BI219" s="26"/>
      <c r="BJ219" s="26"/>
      <c r="BK219" s="26"/>
    </row>
    <row r="220" ht="14.25" customHeight="1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  <c r="AM220" s="26"/>
      <c r="AN220" s="26"/>
      <c r="AO220" s="26"/>
      <c r="AP220" s="26"/>
      <c r="AQ220" s="26"/>
      <c r="AR220" s="26"/>
      <c r="AS220" s="26"/>
      <c r="AT220" s="26"/>
      <c r="AU220" s="26"/>
      <c r="AV220" s="26"/>
      <c r="AW220" s="26"/>
      <c r="AX220" s="26"/>
      <c r="AY220" s="26"/>
      <c r="AZ220" s="26"/>
      <c r="BA220" s="26"/>
      <c r="BB220" s="26"/>
      <c r="BC220" s="26"/>
      <c r="BD220" s="26"/>
      <c r="BE220" s="26"/>
      <c r="BF220" s="26"/>
      <c r="BG220" s="26"/>
      <c r="BH220" s="26"/>
      <c r="BI220" s="26"/>
      <c r="BJ220" s="26"/>
      <c r="BK220" s="26"/>
    </row>
    <row r="221" ht="14.25" customHeight="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  <c r="AM221" s="26"/>
      <c r="AN221" s="26"/>
      <c r="AO221" s="26"/>
      <c r="AP221" s="26"/>
      <c r="AQ221" s="26"/>
      <c r="AR221" s="26"/>
      <c r="AS221" s="26"/>
      <c r="AT221" s="26"/>
      <c r="AU221" s="26"/>
      <c r="AV221" s="26"/>
      <c r="AW221" s="26"/>
      <c r="AX221" s="26"/>
      <c r="AY221" s="26"/>
      <c r="AZ221" s="26"/>
      <c r="BA221" s="26"/>
      <c r="BB221" s="26"/>
      <c r="BC221" s="26"/>
      <c r="BD221" s="26"/>
      <c r="BE221" s="26"/>
      <c r="BF221" s="26"/>
      <c r="BG221" s="26"/>
      <c r="BH221" s="26"/>
      <c r="BI221" s="26"/>
      <c r="BJ221" s="26"/>
      <c r="BK221" s="26"/>
    </row>
    <row r="222" ht="14.25" customHeight="1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  <c r="AM222" s="26"/>
      <c r="AN222" s="26"/>
      <c r="AO222" s="26"/>
      <c r="AP222" s="26"/>
      <c r="AQ222" s="26"/>
      <c r="AR222" s="26"/>
      <c r="AS222" s="26"/>
      <c r="AT222" s="26"/>
      <c r="AU222" s="26"/>
      <c r="AV222" s="26"/>
      <c r="AW222" s="26"/>
      <c r="AX222" s="26"/>
      <c r="AY222" s="26"/>
      <c r="AZ222" s="26"/>
      <c r="BA222" s="26"/>
      <c r="BB222" s="26"/>
      <c r="BC222" s="26"/>
      <c r="BD222" s="26"/>
      <c r="BE222" s="26"/>
      <c r="BF222" s="26"/>
      <c r="BG222" s="26"/>
      <c r="BH222" s="26"/>
      <c r="BI222" s="26"/>
      <c r="BJ222" s="26"/>
      <c r="BK222" s="26"/>
    </row>
    <row r="223" ht="14.25" customHeight="1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  <c r="AM223" s="26"/>
      <c r="AN223" s="26"/>
      <c r="AO223" s="26"/>
      <c r="AP223" s="26"/>
      <c r="AQ223" s="26"/>
      <c r="AR223" s="26"/>
      <c r="AS223" s="26"/>
      <c r="AT223" s="26"/>
      <c r="AU223" s="26"/>
      <c r="AV223" s="26"/>
      <c r="AW223" s="26"/>
      <c r="AX223" s="26"/>
      <c r="AY223" s="26"/>
      <c r="AZ223" s="26"/>
      <c r="BA223" s="26"/>
      <c r="BB223" s="26"/>
      <c r="BC223" s="26"/>
      <c r="BD223" s="26"/>
      <c r="BE223" s="26"/>
      <c r="BF223" s="26"/>
      <c r="BG223" s="26"/>
      <c r="BH223" s="26"/>
      <c r="BI223" s="26"/>
      <c r="BJ223" s="26"/>
      <c r="BK223" s="26"/>
    </row>
    <row r="224" ht="14.25" customHeight="1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  <c r="AM224" s="26"/>
      <c r="AN224" s="26"/>
      <c r="AO224" s="26"/>
      <c r="AP224" s="26"/>
      <c r="AQ224" s="26"/>
      <c r="AR224" s="26"/>
      <c r="AS224" s="26"/>
      <c r="AT224" s="26"/>
      <c r="AU224" s="26"/>
      <c r="AV224" s="26"/>
      <c r="AW224" s="26"/>
      <c r="AX224" s="26"/>
      <c r="AY224" s="26"/>
      <c r="AZ224" s="26"/>
      <c r="BA224" s="26"/>
      <c r="BB224" s="26"/>
      <c r="BC224" s="26"/>
      <c r="BD224" s="26"/>
      <c r="BE224" s="26"/>
      <c r="BF224" s="26"/>
      <c r="BG224" s="26"/>
      <c r="BH224" s="26"/>
      <c r="BI224" s="26"/>
      <c r="BJ224" s="26"/>
      <c r="BK224" s="26"/>
    </row>
    <row r="225" ht="14.25" customHeight="1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  <c r="AM225" s="26"/>
      <c r="AN225" s="26"/>
      <c r="AO225" s="26"/>
      <c r="AP225" s="26"/>
      <c r="AQ225" s="26"/>
      <c r="AR225" s="26"/>
      <c r="AS225" s="26"/>
      <c r="AT225" s="26"/>
      <c r="AU225" s="26"/>
      <c r="AV225" s="26"/>
      <c r="AW225" s="26"/>
      <c r="AX225" s="26"/>
      <c r="AY225" s="26"/>
      <c r="AZ225" s="26"/>
      <c r="BA225" s="26"/>
      <c r="BB225" s="26"/>
      <c r="BC225" s="26"/>
      <c r="BD225" s="26"/>
      <c r="BE225" s="26"/>
      <c r="BF225" s="26"/>
      <c r="BG225" s="26"/>
      <c r="BH225" s="26"/>
      <c r="BI225" s="26"/>
      <c r="BJ225" s="26"/>
      <c r="BK225" s="26"/>
    </row>
    <row r="226" ht="14.25" customHeight="1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  <c r="AM226" s="26"/>
      <c r="AN226" s="26"/>
      <c r="AO226" s="26"/>
      <c r="AP226" s="26"/>
      <c r="AQ226" s="26"/>
      <c r="AR226" s="26"/>
      <c r="AS226" s="26"/>
      <c r="AT226" s="26"/>
      <c r="AU226" s="26"/>
      <c r="AV226" s="26"/>
      <c r="AW226" s="26"/>
      <c r="AX226" s="26"/>
      <c r="AY226" s="26"/>
      <c r="AZ226" s="26"/>
      <c r="BA226" s="26"/>
      <c r="BB226" s="26"/>
      <c r="BC226" s="26"/>
      <c r="BD226" s="26"/>
      <c r="BE226" s="26"/>
      <c r="BF226" s="26"/>
      <c r="BG226" s="26"/>
      <c r="BH226" s="26"/>
      <c r="BI226" s="26"/>
      <c r="BJ226" s="26"/>
      <c r="BK226" s="26"/>
    </row>
    <row r="227" ht="14.25" customHeight="1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  <c r="AM227" s="26"/>
      <c r="AN227" s="26"/>
      <c r="AO227" s="26"/>
      <c r="AP227" s="26"/>
      <c r="AQ227" s="26"/>
      <c r="AR227" s="26"/>
      <c r="AS227" s="26"/>
      <c r="AT227" s="26"/>
      <c r="AU227" s="26"/>
      <c r="AV227" s="26"/>
      <c r="AW227" s="26"/>
      <c r="AX227" s="26"/>
      <c r="AY227" s="26"/>
      <c r="AZ227" s="26"/>
      <c r="BA227" s="26"/>
      <c r="BB227" s="26"/>
      <c r="BC227" s="26"/>
      <c r="BD227" s="26"/>
      <c r="BE227" s="26"/>
      <c r="BF227" s="26"/>
      <c r="BG227" s="26"/>
      <c r="BH227" s="26"/>
      <c r="BI227" s="26"/>
      <c r="BJ227" s="26"/>
      <c r="BK227" s="26"/>
    </row>
    <row r="228" ht="14.25" customHeight="1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  <c r="AM228" s="26"/>
      <c r="AN228" s="26"/>
      <c r="AO228" s="26"/>
      <c r="AP228" s="26"/>
      <c r="AQ228" s="26"/>
      <c r="AR228" s="26"/>
      <c r="AS228" s="26"/>
      <c r="AT228" s="26"/>
      <c r="AU228" s="26"/>
      <c r="AV228" s="26"/>
      <c r="AW228" s="26"/>
      <c r="AX228" s="26"/>
      <c r="AY228" s="26"/>
      <c r="AZ228" s="26"/>
      <c r="BA228" s="26"/>
      <c r="BB228" s="26"/>
      <c r="BC228" s="26"/>
      <c r="BD228" s="26"/>
      <c r="BE228" s="26"/>
      <c r="BF228" s="26"/>
      <c r="BG228" s="26"/>
      <c r="BH228" s="26"/>
      <c r="BI228" s="26"/>
      <c r="BJ228" s="26"/>
      <c r="BK228" s="26"/>
    </row>
    <row r="229" ht="14.25" customHeight="1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  <c r="AM229" s="26"/>
      <c r="AN229" s="26"/>
      <c r="AO229" s="26"/>
      <c r="AP229" s="26"/>
      <c r="AQ229" s="26"/>
      <c r="AR229" s="26"/>
      <c r="AS229" s="26"/>
      <c r="AT229" s="26"/>
      <c r="AU229" s="26"/>
      <c r="AV229" s="26"/>
      <c r="AW229" s="26"/>
      <c r="AX229" s="26"/>
      <c r="AY229" s="26"/>
      <c r="AZ229" s="26"/>
      <c r="BA229" s="26"/>
      <c r="BB229" s="26"/>
      <c r="BC229" s="26"/>
      <c r="BD229" s="26"/>
      <c r="BE229" s="26"/>
      <c r="BF229" s="26"/>
      <c r="BG229" s="26"/>
      <c r="BH229" s="26"/>
      <c r="BI229" s="26"/>
      <c r="BJ229" s="26"/>
      <c r="BK229" s="26"/>
    </row>
    <row r="230" ht="14.25" customHeight="1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  <c r="AM230" s="26"/>
      <c r="AN230" s="26"/>
      <c r="AO230" s="26"/>
      <c r="AP230" s="26"/>
      <c r="AQ230" s="26"/>
      <c r="AR230" s="26"/>
      <c r="AS230" s="26"/>
      <c r="AT230" s="26"/>
      <c r="AU230" s="26"/>
      <c r="AV230" s="26"/>
      <c r="AW230" s="26"/>
      <c r="AX230" s="26"/>
      <c r="AY230" s="26"/>
      <c r="AZ230" s="26"/>
      <c r="BA230" s="26"/>
      <c r="BB230" s="26"/>
      <c r="BC230" s="26"/>
      <c r="BD230" s="26"/>
      <c r="BE230" s="26"/>
      <c r="BF230" s="26"/>
      <c r="BG230" s="26"/>
      <c r="BH230" s="26"/>
      <c r="BI230" s="26"/>
      <c r="BJ230" s="26"/>
      <c r="BK230" s="26"/>
    </row>
    <row r="231" ht="14.25" customHeight="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  <c r="AM231" s="26"/>
      <c r="AN231" s="26"/>
      <c r="AO231" s="26"/>
      <c r="AP231" s="26"/>
      <c r="AQ231" s="26"/>
      <c r="AR231" s="26"/>
      <c r="AS231" s="26"/>
      <c r="AT231" s="26"/>
      <c r="AU231" s="26"/>
      <c r="AV231" s="26"/>
      <c r="AW231" s="26"/>
      <c r="AX231" s="26"/>
      <c r="AY231" s="26"/>
      <c r="AZ231" s="26"/>
      <c r="BA231" s="26"/>
      <c r="BB231" s="26"/>
      <c r="BC231" s="26"/>
      <c r="BD231" s="26"/>
      <c r="BE231" s="26"/>
      <c r="BF231" s="26"/>
      <c r="BG231" s="26"/>
      <c r="BH231" s="26"/>
      <c r="BI231" s="26"/>
      <c r="BJ231" s="26"/>
      <c r="BK231" s="26"/>
    </row>
    <row r="232" ht="14.25" customHeight="1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  <c r="AM232" s="26"/>
      <c r="AN232" s="26"/>
      <c r="AO232" s="26"/>
      <c r="AP232" s="26"/>
      <c r="AQ232" s="26"/>
      <c r="AR232" s="26"/>
      <c r="AS232" s="26"/>
      <c r="AT232" s="26"/>
      <c r="AU232" s="26"/>
      <c r="AV232" s="26"/>
      <c r="AW232" s="26"/>
      <c r="AX232" s="26"/>
      <c r="AY232" s="26"/>
      <c r="AZ232" s="26"/>
      <c r="BA232" s="26"/>
      <c r="BB232" s="26"/>
      <c r="BC232" s="26"/>
      <c r="BD232" s="26"/>
      <c r="BE232" s="26"/>
      <c r="BF232" s="26"/>
      <c r="BG232" s="26"/>
      <c r="BH232" s="26"/>
      <c r="BI232" s="26"/>
      <c r="BJ232" s="26"/>
      <c r="BK232" s="26"/>
    </row>
    <row r="233" ht="14.25" customHeight="1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  <c r="AM233" s="26"/>
      <c r="AN233" s="26"/>
      <c r="AO233" s="26"/>
      <c r="AP233" s="26"/>
      <c r="AQ233" s="26"/>
      <c r="AR233" s="26"/>
      <c r="AS233" s="26"/>
      <c r="AT233" s="26"/>
      <c r="AU233" s="26"/>
      <c r="AV233" s="26"/>
      <c r="AW233" s="26"/>
      <c r="AX233" s="26"/>
      <c r="AY233" s="26"/>
      <c r="AZ233" s="26"/>
      <c r="BA233" s="26"/>
      <c r="BB233" s="26"/>
      <c r="BC233" s="26"/>
      <c r="BD233" s="26"/>
      <c r="BE233" s="26"/>
      <c r="BF233" s="26"/>
      <c r="BG233" s="26"/>
      <c r="BH233" s="26"/>
      <c r="BI233" s="26"/>
      <c r="BJ233" s="26"/>
      <c r="BK233" s="26"/>
    </row>
    <row r="234" ht="14.25" customHeight="1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  <c r="AM234" s="26"/>
      <c r="AN234" s="26"/>
      <c r="AO234" s="26"/>
      <c r="AP234" s="26"/>
      <c r="AQ234" s="26"/>
      <c r="AR234" s="26"/>
      <c r="AS234" s="26"/>
      <c r="AT234" s="26"/>
      <c r="AU234" s="26"/>
      <c r="AV234" s="26"/>
      <c r="AW234" s="26"/>
      <c r="AX234" s="26"/>
      <c r="AY234" s="26"/>
      <c r="AZ234" s="26"/>
      <c r="BA234" s="26"/>
      <c r="BB234" s="26"/>
      <c r="BC234" s="26"/>
      <c r="BD234" s="26"/>
      <c r="BE234" s="26"/>
      <c r="BF234" s="26"/>
      <c r="BG234" s="26"/>
      <c r="BH234" s="26"/>
      <c r="BI234" s="26"/>
      <c r="BJ234" s="26"/>
      <c r="BK234" s="26"/>
    </row>
    <row r="235" ht="14.25" customHeight="1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  <c r="AM235" s="26"/>
      <c r="AN235" s="26"/>
      <c r="AO235" s="26"/>
      <c r="AP235" s="26"/>
      <c r="AQ235" s="26"/>
      <c r="AR235" s="26"/>
      <c r="AS235" s="26"/>
      <c r="AT235" s="26"/>
      <c r="AU235" s="26"/>
      <c r="AV235" s="26"/>
      <c r="AW235" s="26"/>
      <c r="AX235" s="26"/>
      <c r="AY235" s="26"/>
      <c r="AZ235" s="26"/>
      <c r="BA235" s="26"/>
      <c r="BB235" s="26"/>
      <c r="BC235" s="26"/>
      <c r="BD235" s="26"/>
      <c r="BE235" s="26"/>
      <c r="BF235" s="26"/>
      <c r="BG235" s="26"/>
      <c r="BH235" s="26"/>
      <c r="BI235" s="26"/>
      <c r="BJ235" s="26"/>
      <c r="BK235" s="26"/>
    </row>
    <row r="236" ht="14.25" customHeight="1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  <c r="AM236" s="26"/>
      <c r="AN236" s="26"/>
      <c r="AO236" s="26"/>
      <c r="AP236" s="26"/>
      <c r="AQ236" s="26"/>
      <c r="AR236" s="26"/>
      <c r="AS236" s="26"/>
      <c r="AT236" s="26"/>
      <c r="AU236" s="26"/>
      <c r="AV236" s="26"/>
      <c r="AW236" s="26"/>
      <c r="AX236" s="26"/>
      <c r="AY236" s="26"/>
      <c r="AZ236" s="26"/>
      <c r="BA236" s="26"/>
      <c r="BB236" s="26"/>
      <c r="BC236" s="26"/>
      <c r="BD236" s="26"/>
      <c r="BE236" s="26"/>
      <c r="BF236" s="26"/>
      <c r="BG236" s="26"/>
      <c r="BH236" s="26"/>
      <c r="BI236" s="26"/>
      <c r="BJ236" s="26"/>
      <c r="BK236" s="26"/>
    </row>
    <row r="237" ht="14.25" customHeight="1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  <c r="AM237" s="26"/>
      <c r="AN237" s="26"/>
      <c r="AO237" s="26"/>
      <c r="AP237" s="26"/>
      <c r="AQ237" s="26"/>
      <c r="AR237" s="26"/>
      <c r="AS237" s="26"/>
      <c r="AT237" s="26"/>
      <c r="AU237" s="26"/>
      <c r="AV237" s="26"/>
      <c r="AW237" s="26"/>
      <c r="AX237" s="26"/>
      <c r="AY237" s="26"/>
      <c r="AZ237" s="26"/>
      <c r="BA237" s="26"/>
      <c r="BB237" s="26"/>
      <c r="BC237" s="26"/>
      <c r="BD237" s="26"/>
      <c r="BE237" s="26"/>
      <c r="BF237" s="26"/>
      <c r="BG237" s="26"/>
      <c r="BH237" s="26"/>
      <c r="BI237" s="26"/>
      <c r="BJ237" s="26"/>
      <c r="BK237" s="26"/>
    </row>
    <row r="238" ht="14.25" customHeight="1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  <c r="AM238" s="26"/>
      <c r="AN238" s="26"/>
      <c r="AO238" s="26"/>
      <c r="AP238" s="26"/>
      <c r="AQ238" s="26"/>
      <c r="AR238" s="26"/>
      <c r="AS238" s="26"/>
      <c r="AT238" s="26"/>
      <c r="AU238" s="26"/>
      <c r="AV238" s="26"/>
      <c r="AW238" s="26"/>
      <c r="AX238" s="26"/>
      <c r="AY238" s="26"/>
      <c r="AZ238" s="26"/>
      <c r="BA238" s="26"/>
      <c r="BB238" s="26"/>
      <c r="BC238" s="26"/>
      <c r="BD238" s="26"/>
      <c r="BE238" s="26"/>
      <c r="BF238" s="26"/>
      <c r="BG238" s="26"/>
      <c r="BH238" s="26"/>
      <c r="BI238" s="26"/>
      <c r="BJ238" s="26"/>
      <c r="BK238" s="26"/>
    </row>
    <row r="239" ht="14.25" customHeight="1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  <c r="AM239" s="26"/>
      <c r="AN239" s="26"/>
      <c r="AO239" s="26"/>
      <c r="AP239" s="26"/>
      <c r="AQ239" s="26"/>
      <c r="AR239" s="26"/>
      <c r="AS239" s="26"/>
      <c r="AT239" s="26"/>
      <c r="AU239" s="26"/>
      <c r="AV239" s="26"/>
      <c r="AW239" s="26"/>
      <c r="AX239" s="26"/>
      <c r="AY239" s="26"/>
      <c r="AZ239" s="26"/>
      <c r="BA239" s="26"/>
      <c r="BB239" s="26"/>
      <c r="BC239" s="26"/>
      <c r="BD239" s="26"/>
      <c r="BE239" s="26"/>
      <c r="BF239" s="26"/>
      <c r="BG239" s="26"/>
      <c r="BH239" s="26"/>
      <c r="BI239" s="26"/>
      <c r="BJ239" s="26"/>
      <c r="BK239" s="26"/>
    </row>
    <row r="240" ht="14.25" customHeight="1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  <c r="AM240" s="26"/>
      <c r="AN240" s="26"/>
      <c r="AO240" s="26"/>
      <c r="AP240" s="26"/>
      <c r="AQ240" s="26"/>
      <c r="AR240" s="26"/>
      <c r="AS240" s="26"/>
      <c r="AT240" s="26"/>
      <c r="AU240" s="26"/>
      <c r="AV240" s="26"/>
      <c r="AW240" s="26"/>
      <c r="AX240" s="26"/>
      <c r="AY240" s="26"/>
      <c r="AZ240" s="26"/>
      <c r="BA240" s="26"/>
      <c r="BB240" s="26"/>
      <c r="BC240" s="26"/>
      <c r="BD240" s="26"/>
      <c r="BE240" s="26"/>
      <c r="BF240" s="26"/>
      <c r="BG240" s="26"/>
      <c r="BH240" s="26"/>
      <c r="BI240" s="26"/>
      <c r="BJ240" s="26"/>
      <c r="BK240" s="26"/>
    </row>
    <row r="241" ht="14.25" customHeight="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  <c r="AM241" s="26"/>
      <c r="AN241" s="26"/>
      <c r="AO241" s="26"/>
      <c r="AP241" s="26"/>
      <c r="AQ241" s="26"/>
      <c r="AR241" s="26"/>
      <c r="AS241" s="26"/>
      <c r="AT241" s="26"/>
      <c r="AU241" s="26"/>
      <c r="AV241" s="26"/>
      <c r="AW241" s="26"/>
      <c r="AX241" s="26"/>
      <c r="AY241" s="26"/>
      <c r="AZ241" s="26"/>
      <c r="BA241" s="26"/>
      <c r="BB241" s="26"/>
      <c r="BC241" s="26"/>
      <c r="BD241" s="26"/>
      <c r="BE241" s="26"/>
      <c r="BF241" s="26"/>
      <c r="BG241" s="26"/>
      <c r="BH241" s="26"/>
      <c r="BI241" s="26"/>
      <c r="BJ241" s="26"/>
      <c r="BK241" s="26"/>
    </row>
    <row r="242" ht="14.25" customHeight="1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  <c r="AM242" s="26"/>
      <c r="AN242" s="26"/>
      <c r="AO242" s="26"/>
      <c r="AP242" s="26"/>
      <c r="AQ242" s="26"/>
      <c r="AR242" s="26"/>
      <c r="AS242" s="26"/>
      <c r="AT242" s="26"/>
      <c r="AU242" s="26"/>
      <c r="AV242" s="26"/>
      <c r="AW242" s="26"/>
      <c r="AX242" s="26"/>
      <c r="AY242" s="26"/>
      <c r="AZ242" s="26"/>
      <c r="BA242" s="26"/>
      <c r="BB242" s="26"/>
      <c r="BC242" s="26"/>
      <c r="BD242" s="26"/>
      <c r="BE242" s="26"/>
      <c r="BF242" s="26"/>
      <c r="BG242" s="26"/>
      <c r="BH242" s="26"/>
      <c r="BI242" s="26"/>
      <c r="BJ242" s="26"/>
      <c r="BK242" s="26"/>
    </row>
    <row r="243" ht="14.25" customHeight="1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  <c r="AM243" s="26"/>
      <c r="AN243" s="26"/>
      <c r="AO243" s="26"/>
      <c r="AP243" s="26"/>
      <c r="AQ243" s="26"/>
      <c r="AR243" s="26"/>
      <c r="AS243" s="26"/>
      <c r="AT243" s="26"/>
      <c r="AU243" s="26"/>
      <c r="AV243" s="26"/>
      <c r="AW243" s="26"/>
      <c r="AX243" s="26"/>
      <c r="AY243" s="26"/>
      <c r="AZ243" s="26"/>
      <c r="BA243" s="26"/>
      <c r="BB243" s="26"/>
      <c r="BC243" s="26"/>
      <c r="BD243" s="26"/>
      <c r="BE243" s="26"/>
      <c r="BF243" s="26"/>
      <c r="BG243" s="26"/>
      <c r="BH243" s="26"/>
      <c r="BI243" s="26"/>
      <c r="BJ243" s="26"/>
      <c r="BK243" s="26"/>
    </row>
    <row r="244" ht="14.25" customHeight="1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  <c r="AM244" s="26"/>
      <c r="AN244" s="26"/>
      <c r="AO244" s="26"/>
      <c r="AP244" s="26"/>
      <c r="AQ244" s="26"/>
      <c r="AR244" s="26"/>
      <c r="AS244" s="26"/>
      <c r="AT244" s="26"/>
      <c r="AU244" s="26"/>
      <c r="AV244" s="26"/>
      <c r="AW244" s="26"/>
      <c r="AX244" s="26"/>
      <c r="AY244" s="26"/>
      <c r="AZ244" s="26"/>
      <c r="BA244" s="26"/>
      <c r="BB244" s="26"/>
      <c r="BC244" s="26"/>
      <c r="BD244" s="26"/>
      <c r="BE244" s="26"/>
      <c r="BF244" s="26"/>
      <c r="BG244" s="26"/>
      <c r="BH244" s="26"/>
      <c r="BI244" s="26"/>
      <c r="BJ244" s="26"/>
      <c r="BK244" s="26"/>
    </row>
    <row r="245" ht="14.25" customHeight="1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  <c r="AM245" s="26"/>
      <c r="AN245" s="26"/>
      <c r="AO245" s="26"/>
      <c r="AP245" s="26"/>
      <c r="AQ245" s="26"/>
      <c r="AR245" s="26"/>
      <c r="AS245" s="26"/>
      <c r="AT245" s="26"/>
      <c r="AU245" s="26"/>
      <c r="AV245" s="26"/>
      <c r="AW245" s="26"/>
      <c r="AX245" s="26"/>
      <c r="AY245" s="26"/>
      <c r="AZ245" s="26"/>
      <c r="BA245" s="26"/>
      <c r="BB245" s="26"/>
      <c r="BC245" s="26"/>
      <c r="BD245" s="26"/>
      <c r="BE245" s="26"/>
      <c r="BF245" s="26"/>
      <c r="BG245" s="26"/>
      <c r="BH245" s="26"/>
      <c r="BI245" s="26"/>
      <c r="BJ245" s="26"/>
      <c r="BK245" s="26"/>
    </row>
    <row r="246" ht="14.25" customHeight="1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  <c r="AM246" s="26"/>
      <c r="AN246" s="26"/>
      <c r="AO246" s="26"/>
      <c r="AP246" s="26"/>
      <c r="AQ246" s="26"/>
      <c r="AR246" s="26"/>
      <c r="AS246" s="26"/>
      <c r="AT246" s="26"/>
      <c r="AU246" s="26"/>
      <c r="AV246" s="26"/>
      <c r="AW246" s="26"/>
      <c r="AX246" s="26"/>
      <c r="AY246" s="26"/>
      <c r="AZ246" s="26"/>
      <c r="BA246" s="26"/>
      <c r="BB246" s="26"/>
      <c r="BC246" s="26"/>
      <c r="BD246" s="26"/>
      <c r="BE246" s="26"/>
      <c r="BF246" s="26"/>
      <c r="BG246" s="26"/>
      <c r="BH246" s="26"/>
      <c r="BI246" s="26"/>
      <c r="BJ246" s="26"/>
      <c r="BK246" s="26"/>
    </row>
    <row r="247" ht="14.25" customHeight="1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  <c r="AM247" s="26"/>
      <c r="AN247" s="26"/>
      <c r="AO247" s="26"/>
      <c r="AP247" s="26"/>
      <c r="AQ247" s="26"/>
      <c r="AR247" s="26"/>
      <c r="AS247" s="26"/>
      <c r="AT247" s="26"/>
      <c r="AU247" s="26"/>
      <c r="AV247" s="26"/>
      <c r="AW247" s="26"/>
      <c r="AX247" s="26"/>
      <c r="AY247" s="26"/>
      <c r="AZ247" s="26"/>
      <c r="BA247" s="26"/>
      <c r="BB247" s="26"/>
      <c r="BC247" s="26"/>
      <c r="BD247" s="26"/>
      <c r="BE247" s="26"/>
      <c r="BF247" s="26"/>
      <c r="BG247" s="26"/>
      <c r="BH247" s="26"/>
      <c r="BI247" s="26"/>
      <c r="BJ247" s="26"/>
      <c r="BK247" s="26"/>
    </row>
    <row r="248" ht="14.25" customHeight="1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  <c r="AM248" s="26"/>
      <c r="AN248" s="26"/>
      <c r="AO248" s="26"/>
      <c r="AP248" s="26"/>
      <c r="AQ248" s="26"/>
      <c r="AR248" s="26"/>
      <c r="AS248" s="26"/>
      <c r="AT248" s="26"/>
      <c r="AU248" s="26"/>
      <c r="AV248" s="26"/>
      <c r="AW248" s="26"/>
      <c r="AX248" s="26"/>
      <c r="AY248" s="26"/>
      <c r="AZ248" s="26"/>
      <c r="BA248" s="26"/>
      <c r="BB248" s="26"/>
      <c r="BC248" s="26"/>
      <c r="BD248" s="26"/>
      <c r="BE248" s="26"/>
      <c r="BF248" s="26"/>
      <c r="BG248" s="26"/>
      <c r="BH248" s="26"/>
      <c r="BI248" s="26"/>
      <c r="BJ248" s="26"/>
      <c r="BK248" s="26"/>
    </row>
    <row r="249" ht="14.25" customHeight="1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  <c r="AM249" s="26"/>
      <c r="AN249" s="26"/>
      <c r="AO249" s="26"/>
      <c r="AP249" s="26"/>
      <c r="AQ249" s="26"/>
      <c r="AR249" s="26"/>
      <c r="AS249" s="26"/>
      <c r="AT249" s="26"/>
      <c r="AU249" s="26"/>
      <c r="AV249" s="26"/>
      <c r="AW249" s="26"/>
      <c r="AX249" s="26"/>
      <c r="AY249" s="26"/>
      <c r="AZ249" s="26"/>
      <c r="BA249" s="26"/>
      <c r="BB249" s="26"/>
      <c r="BC249" s="26"/>
      <c r="BD249" s="26"/>
      <c r="BE249" s="26"/>
      <c r="BF249" s="26"/>
      <c r="BG249" s="26"/>
      <c r="BH249" s="26"/>
      <c r="BI249" s="26"/>
      <c r="BJ249" s="26"/>
      <c r="BK249" s="26"/>
    </row>
    <row r="250" ht="14.25" customHeight="1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  <c r="AM250" s="26"/>
      <c r="AN250" s="26"/>
      <c r="AO250" s="26"/>
      <c r="AP250" s="26"/>
      <c r="AQ250" s="26"/>
      <c r="AR250" s="26"/>
      <c r="AS250" s="26"/>
      <c r="AT250" s="26"/>
      <c r="AU250" s="26"/>
      <c r="AV250" s="26"/>
      <c r="AW250" s="26"/>
      <c r="AX250" s="26"/>
      <c r="AY250" s="26"/>
      <c r="AZ250" s="26"/>
      <c r="BA250" s="26"/>
      <c r="BB250" s="26"/>
      <c r="BC250" s="26"/>
      <c r="BD250" s="26"/>
      <c r="BE250" s="26"/>
      <c r="BF250" s="26"/>
      <c r="BG250" s="26"/>
      <c r="BH250" s="26"/>
      <c r="BI250" s="26"/>
      <c r="BJ250" s="26"/>
      <c r="BK250" s="26"/>
    </row>
    <row r="251" ht="14.25" customHeight="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  <c r="AM251" s="26"/>
      <c r="AN251" s="26"/>
      <c r="AO251" s="26"/>
      <c r="AP251" s="26"/>
      <c r="AQ251" s="26"/>
      <c r="AR251" s="26"/>
      <c r="AS251" s="26"/>
      <c r="AT251" s="26"/>
      <c r="AU251" s="26"/>
      <c r="AV251" s="26"/>
      <c r="AW251" s="26"/>
      <c r="AX251" s="26"/>
      <c r="AY251" s="26"/>
      <c r="AZ251" s="26"/>
      <c r="BA251" s="26"/>
      <c r="BB251" s="26"/>
      <c r="BC251" s="26"/>
      <c r="BD251" s="26"/>
      <c r="BE251" s="26"/>
      <c r="BF251" s="26"/>
      <c r="BG251" s="26"/>
      <c r="BH251" s="26"/>
      <c r="BI251" s="26"/>
      <c r="BJ251" s="26"/>
      <c r="BK251" s="26"/>
    </row>
    <row r="252" ht="14.25" customHeight="1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  <c r="AH252" s="26"/>
      <c r="AI252" s="26"/>
      <c r="AJ252" s="26"/>
      <c r="AK252" s="26"/>
      <c r="AL252" s="26"/>
      <c r="AM252" s="26"/>
      <c r="AN252" s="26"/>
      <c r="AO252" s="26"/>
      <c r="AP252" s="26"/>
      <c r="AQ252" s="26"/>
      <c r="AR252" s="26"/>
      <c r="AS252" s="26"/>
      <c r="AT252" s="26"/>
      <c r="AU252" s="26"/>
      <c r="AV252" s="26"/>
      <c r="AW252" s="26"/>
      <c r="AX252" s="26"/>
      <c r="AY252" s="26"/>
      <c r="AZ252" s="26"/>
      <c r="BA252" s="26"/>
      <c r="BB252" s="26"/>
      <c r="BC252" s="26"/>
      <c r="BD252" s="26"/>
      <c r="BE252" s="26"/>
      <c r="BF252" s="26"/>
      <c r="BG252" s="26"/>
      <c r="BH252" s="26"/>
      <c r="BI252" s="26"/>
      <c r="BJ252" s="26"/>
      <c r="BK252" s="26"/>
    </row>
    <row r="253" ht="14.25" customHeight="1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26"/>
      <c r="AH253" s="26"/>
      <c r="AI253" s="26"/>
      <c r="AJ253" s="26"/>
      <c r="AK253" s="26"/>
      <c r="AL253" s="26"/>
      <c r="AM253" s="26"/>
      <c r="AN253" s="26"/>
      <c r="AO253" s="26"/>
      <c r="AP253" s="26"/>
      <c r="AQ253" s="26"/>
      <c r="AR253" s="26"/>
      <c r="AS253" s="26"/>
      <c r="AT253" s="26"/>
      <c r="AU253" s="26"/>
      <c r="AV253" s="26"/>
      <c r="AW253" s="26"/>
      <c r="AX253" s="26"/>
      <c r="AY253" s="26"/>
      <c r="AZ253" s="26"/>
      <c r="BA253" s="26"/>
      <c r="BB253" s="26"/>
      <c r="BC253" s="26"/>
      <c r="BD253" s="26"/>
      <c r="BE253" s="26"/>
      <c r="BF253" s="26"/>
      <c r="BG253" s="26"/>
      <c r="BH253" s="26"/>
      <c r="BI253" s="26"/>
      <c r="BJ253" s="26"/>
      <c r="BK253" s="26"/>
    </row>
    <row r="254" ht="14.25" customHeight="1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  <c r="AG254" s="26"/>
      <c r="AH254" s="26"/>
      <c r="AI254" s="26"/>
      <c r="AJ254" s="26"/>
      <c r="AK254" s="26"/>
      <c r="AL254" s="26"/>
      <c r="AM254" s="26"/>
      <c r="AN254" s="26"/>
      <c r="AO254" s="26"/>
      <c r="AP254" s="26"/>
      <c r="AQ254" s="26"/>
      <c r="AR254" s="26"/>
      <c r="AS254" s="26"/>
      <c r="AT254" s="26"/>
      <c r="AU254" s="26"/>
      <c r="AV254" s="26"/>
      <c r="AW254" s="26"/>
      <c r="AX254" s="26"/>
      <c r="AY254" s="26"/>
      <c r="AZ254" s="26"/>
      <c r="BA254" s="26"/>
      <c r="BB254" s="26"/>
      <c r="BC254" s="26"/>
      <c r="BD254" s="26"/>
      <c r="BE254" s="26"/>
      <c r="BF254" s="26"/>
      <c r="BG254" s="26"/>
      <c r="BH254" s="26"/>
      <c r="BI254" s="26"/>
      <c r="BJ254" s="26"/>
      <c r="BK254" s="26"/>
    </row>
    <row r="255" ht="14.25" customHeight="1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AG255" s="26"/>
      <c r="AH255" s="26"/>
      <c r="AI255" s="26"/>
      <c r="AJ255" s="26"/>
      <c r="AK255" s="26"/>
      <c r="AL255" s="26"/>
      <c r="AM255" s="26"/>
      <c r="AN255" s="26"/>
      <c r="AO255" s="26"/>
      <c r="AP255" s="26"/>
      <c r="AQ255" s="26"/>
      <c r="AR255" s="26"/>
      <c r="AS255" s="26"/>
      <c r="AT255" s="26"/>
      <c r="AU255" s="26"/>
      <c r="AV255" s="26"/>
      <c r="AW255" s="26"/>
      <c r="AX255" s="26"/>
      <c r="AY255" s="26"/>
      <c r="AZ255" s="26"/>
      <c r="BA255" s="26"/>
      <c r="BB255" s="26"/>
      <c r="BC255" s="26"/>
      <c r="BD255" s="26"/>
      <c r="BE255" s="26"/>
      <c r="BF255" s="26"/>
      <c r="BG255" s="26"/>
      <c r="BH255" s="26"/>
      <c r="BI255" s="26"/>
      <c r="BJ255" s="26"/>
      <c r="BK255" s="26"/>
    </row>
    <row r="256" ht="14.25" customHeight="1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26"/>
      <c r="AH256" s="26"/>
      <c r="AI256" s="26"/>
      <c r="AJ256" s="26"/>
      <c r="AK256" s="26"/>
      <c r="AL256" s="26"/>
      <c r="AM256" s="26"/>
      <c r="AN256" s="26"/>
      <c r="AO256" s="26"/>
      <c r="AP256" s="26"/>
      <c r="AQ256" s="26"/>
      <c r="AR256" s="26"/>
      <c r="AS256" s="26"/>
      <c r="AT256" s="26"/>
      <c r="AU256" s="26"/>
      <c r="AV256" s="26"/>
      <c r="AW256" s="26"/>
      <c r="AX256" s="26"/>
      <c r="AY256" s="26"/>
      <c r="AZ256" s="26"/>
      <c r="BA256" s="26"/>
      <c r="BB256" s="26"/>
      <c r="BC256" s="26"/>
      <c r="BD256" s="26"/>
      <c r="BE256" s="26"/>
      <c r="BF256" s="26"/>
      <c r="BG256" s="26"/>
      <c r="BH256" s="26"/>
      <c r="BI256" s="26"/>
      <c r="BJ256" s="26"/>
      <c r="BK256" s="26"/>
    </row>
    <row r="257" ht="14.25" customHeight="1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26"/>
      <c r="AH257" s="26"/>
      <c r="AI257" s="26"/>
      <c r="AJ257" s="26"/>
      <c r="AK257" s="26"/>
      <c r="AL257" s="26"/>
      <c r="AM257" s="26"/>
      <c r="AN257" s="26"/>
      <c r="AO257" s="26"/>
      <c r="AP257" s="26"/>
      <c r="AQ257" s="26"/>
      <c r="AR257" s="26"/>
      <c r="AS257" s="26"/>
      <c r="AT257" s="26"/>
      <c r="AU257" s="26"/>
      <c r="AV257" s="26"/>
      <c r="AW257" s="26"/>
      <c r="AX257" s="26"/>
      <c r="AY257" s="26"/>
      <c r="AZ257" s="26"/>
      <c r="BA257" s="26"/>
      <c r="BB257" s="26"/>
      <c r="BC257" s="26"/>
      <c r="BD257" s="26"/>
      <c r="BE257" s="26"/>
      <c r="BF257" s="26"/>
      <c r="BG257" s="26"/>
      <c r="BH257" s="26"/>
      <c r="BI257" s="26"/>
      <c r="BJ257" s="26"/>
      <c r="BK257" s="26"/>
    </row>
    <row r="258" ht="14.25" customHeight="1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26"/>
      <c r="AH258" s="26"/>
      <c r="AI258" s="26"/>
      <c r="AJ258" s="26"/>
      <c r="AK258" s="26"/>
      <c r="AL258" s="26"/>
      <c r="AM258" s="26"/>
      <c r="AN258" s="26"/>
      <c r="AO258" s="26"/>
      <c r="AP258" s="26"/>
      <c r="AQ258" s="26"/>
      <c r="AR258" s="26"/>
      <c r="AS258" s="26"/>
      <c r="AT258" s="26"/>
      <c r="AU258" s="26"/>
      <c r="AV258" s="26"/>
      <c r="AW258" s="26"/>
      <c r="AX258" s="26"/>
      <c r="AY258" s="26"/>
      <c r="AZ258" s="26"/>
      <c r="BA258" s="26"/>
      <c r="BB258" s="26"/>
      <c r="BC258" s="26"/>
      <c r="BD258" s="26"/>
      <c r="BE258" s="26"/>
      <c r="BF258" s="26"/>
      <c r="BG258" s="26"/>
      <c r="BH258" s="26"/>
      <c r="BI258" s="26"/>
      <c r="BJ258" s="26"/>
      <c r="BK258" s="26"/>
    </row>
    <row r="259" ht="14.25" customHeight="1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  <c r="AF259" s="26"/>
      <c r="AG259" s="26"/>
      <c r="AH259" s="26"/>
      <c r="AI259" s="26"/>
      <c r="AJ259" s="26"/>
      <c r="AK259" s="26"/>
      <c r="AL259" s="26"/>
      <c r="AM259" s="26"/>
      <c r="AN259" s="26"/>
      <c r="AO259" s="26"/>
      <c r="AP259" s="26"/>
      <c r="AQ259" s="26"/>
      <c r="AR259" s="26"/>
      <c r="AS259" s="26"/>
      <c r="AT259" s="26"/>
      <c r="AU259" s="26"/>
      <c r="AV259" s="26"/>
      <c r="AW259" s="26"/>
      <c r="AX259" s="26"/>
      <c r="AY259" s="26"/>
      <c r="AZ259" s="26"/>
      <c r="BA259" s="26"/>
      <c r="BB259" s="26"/>
      <c r="BC259" s="26"/>
      <c r="BD259" s="26"/>
      <c r="BE259" s="26"/>
      <c r="BF259" s="26"/>
      <c r="BG259" s="26"/>
      <c r="BH259" s="26"/>
      <c r="BI259" s="26"/>
      <c r="BJ259" s="26"/>
      <c r="BK259" s="26"/>
    </row>
    <row r="260" ht="14.25" customHeight="1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26"/>
      <c r="AH260" s="26"/>
      <c r="AI260" s="26"/>
      <c r="AJ260" s="26"/>
      <c r="AK260" s="26"/>
      <c r="AL260" s="26"/>
      <c r="AM260" s="26"/>
      <c r="AN260" s="26"/>
      <c r="AO260" s="26"/>
      <c r="AP260" s="26"/>
      <c r="AQ260" s="26"/>
      <c r="AR260" s="26"/>
      <c r="AS260" s="26"/>
      <c r="AT260" s="26"/>
      <c r="AU260" s="26"/>
      <c r="AV260" s="26"/>
      <c r="AW260" s="26"/>
      <c r="AX260" s="26"/>
      <c r="AY260" s="26"/>
      <c r="AZ260" s="26"/>
      <c r="BA260" s="26"/>
      <c r="BB260" s="26"/>
      <c r="BC260" s="26"/>
      <c r="BD260" s="26"/>
      <c r="BE260" s="26"/>
      <c r="BF260" s="26"/>
      <c r="BG260" s="26"/>
      <c r="BH260" s="26"/>
      <c r="BI260" s="26"/>
      <c r="BJ260" s="26"/>
      <c r="BK260" s="26"/>
    </row>
    <row r="261" ht="14.25" customHeight="1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26"/>
      <c r="AH261" s="26"/>
      <c r="AI261" s="26"/>
      <c r="AJ261" s="26"/>
      <c r="AK261" s="26"/>
      <c r="AL261" s="26"/>
      <c r="AM261" s="26"/>
      <c r="AN261" s="26"/>
      <c r="AO261" s="26"/>
      <c r="AP261" s="26"/>
      <c r="AQ261" s="26"/>
      <c r="AR261" s="26"/>
      <c r="AS261" s="26"/>
      <c r="AT261" s="26"/>
      <c r="AU261" s="26"/>
      <c r="AV261" s="26"/>
      <c r="AW261" s="26"/>
      <c r="AX261" s="26"/>
      <c r="AY261" s="26"/>
      <c r="AZ261" s="26"/>
      <c r="BA261" s="26"/>
      <c r="BB261" s="26"/>
      <c r="BC261" s="26"/>
      <c r="BD261" s="26"/>
      <c r="BE261" s="26"/>
      <c r="BF261" s="26"/>
      <c r="BG261" s="26"/>
      <c r="BH261" s="26"/>
      <c r="BI261" s="26"/>
      <c r="BJ261" s="26"/>
      <c r="BK261" s="26"/>
    </row>
    <row r="262" ht="14.25" customHeight="1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26"/>
      <c r="AH262" s="26"/>
      <c r="AI262" s="26"/>
      <c r="AJ262" s="26"/>
      <c r="AK262" s="26"/>
      <c r="AL262" s="26"/>
      <c r="AM262" s="26"/>
      <c r="AN262" s="26"/>
      <c r="AO262" s="26"/>
      <c r="AP262" s="26"/>
      <c r="AQ262" s="26"/>
      <c r="AR262" s="26"/>
      <c r="AS262" s="26"/>
      <c r="AT262" s="26"/>
      <c r="AU262" s="26"/>
      <c r="AV262" s="26"/>
      <c r="AW262" s="26"/>
      <c r="AX262" s="26"/>
      <c r="AY262" s="26"/>
      <c r="AZ262" s="26"/>
      <c r="BA262" s="26"/>
      <c r="BB262" s="26"/>
      <c r="BC262" s="26"/>
      <c r="BD262" s="26"/>
      <c r="BE262" s="26"/>
      <c r="BF262" s="26"/>
      <c r="BG262" s="26"/>
      <c r="BH262" s="26"/>
      <c r="BI262" s="26"/>
      <c r="BJ262" s="26"/>
      <c r="BK262" s="26"/>
    </row>
    <row r="263" ht="14.25" customHeight="1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26"/>
      <c r="AH263" s="26"/>
      <c r="AI263" s="26"/>
      <c r="AJ263" s="26"/>
      <c r="AK263" s="26"/>
      <c r="AL263" s="26"/>
      <c r="AM263" s="26"/>
      <c r="AN263" s="26"/>
      <c r="AO263" s="26"/>
      <c r="AP263" s="26"/>
      <c r="AQ263" s="26"/>
      <c r="AR263" s="26"/>
      <c r="AS263" s="26"/>
      <c r="AT263" s="26"/>
      <c r="AU263" s="26"/>
      <c r="AV263" s="26"/>
      <c r="AW263" s="26"/>
      <c r="AX263" s="26"/>
      <c r="AY263" s="26"/>
      <c r="AZ263" s="26"/>
      <c r="BA263" s="26"/>
      <c r="BB263" s="26"/>
      <c r="BC263" s="26"/>
      <c r="BD263" s="26"/>
      <c r="BE263" s="26"/>
      <c r="BF263" s="26"/>
      <c r="BG263" s="26"/>
      <c r="BH263" s="26"/>
      <c r="BI263" s="26"/>
      <c r="BJ263" s="26"/>
      <c r="BK263" s="26"/>
    </row>
    <row r="264" ht="14.25" customHeight="1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26"/>
      <c r="AH264" s="26"/>
      <c r="AI264" s="26"/>
      <c r="AJ264" s="26"/>
      <c r="AK264" s="26"/>
      <c r="AL264" s="26"/>
      <c r="AM264" s="26"/>
      <c r="AN264" s="26"/>
      <c r="AO264" s="26"/>
      <c r="AP264" s="26"/>
      <c r="AQ264" s="26"/>
      <c r="AR264" s="26"/>
      <c r="AS264" s="26"/>
      <c r="AT264" s="26"/>
      <c r="AU264" s="26"/>
      <c r="AV264" s="26"/>
      <c r="AW264" s="26"/>
      <c r="AX264" s="26"/>
      <c r="AY264" s="26"/>
      <c r="AZ264" s="26"/>
      <c r="BA264" s="26"/>
      <c r="BB264" s="26"/>
      <c r="BC264" s="26"/>
      <c r="BD264" s="26"/>
      <c r="BE264" s="26"/>
      <c r="BF264" s="26"/>
      <c r="BG264" s="26"/>
      <c r="BH264" s="26"/>
      <c r="BI264" s="26"/>
      <c r="BJ264" s="26"/>
      <c r="BK264" s="26"/>
    </row>
    <row r="265" ht="14.25" customHeight="1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26"/>
      <c r="AH265" s="26"/>
      <c r="AI265" s="26"/>
      <c r="AJ265" s="26"/>
      <c r="AK265" s="26"/>
      <c r="AL265" s="26"/>
      <c r="AM265" s="26"/>
      <c r="AN265" s="26"/>
      <c r="AO265" s="26"/>
      <c r="AP265" s="26"/>
      <c r="AQ265" s="26"/>
      <c r="AR265" s="26"/>
      <c r="AS265" s="26"/>
      <c r="AT265" s="26"/>
      <c r="AU265" s="26"/>
      <c r="AV265" s="26"/>
      <c r="AW265" s="26"/>
      <c r="AX265" s="26"/>
      <c r="AY265" s="26"/>
      <c r="AZ265" s="26"/>
      <c r="BA265" s="26"/>
      <c r="BB265" s="26"/>
      <c r="BC265" s="26"/>
      <c r="BD265" s="26"/>
      <c r="BE265" s="26"/>
      <c r="BF265" s="26"/>
      <c r="BG265" s="26"/>
      <c r="BH265" s="26"/>
      <c r="BI265" s="26"/>
      <c r="BJ265" s="26"/>
      <c r="BK265" s="26"/>
    </row>
    <row r="266" ht="14.25" customHeight="1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26"/>
      <c r="AH266" s="26"/>
      <c r="AI266" s="26"/>
      <c r="AJ266" s="26"/>
      <c r="AK266" s="26"/>
      <c r="AL266" s="26"/>
      <c r="AM266" s="26"/>
      <c r="AN266" s="26"/>
      <c r="AO266" s="26"/>
      <c r="AP266" s="26"/>
      <c r="AQ266" s="26"/>
      <c r="AR266" s="26"/>
      <c r="AS266" s="26"/>
      <c r="AT266" s="26"/>
      <c r="AU266" s="26"/>
      <c r="AV266" s="26"/>
      <c r="AW266" s="26"/>
      <c r="AX266" s="26"/>
      <c r="AY266" s="26"/>
      <c r="AZ266" s="26"/>
      <c r="BA266" s="26"/>
      <c r="BB266" s="26"/>
      <c r="BC266" s="26"/>
      <c r="BD266" s="26"/>
      <c r="BE266" s="26"/>
      <c r="BF266" s="26"/>
      <c r="BG266" s="26"/>
      <c r="BH266" s="26"/>
      <c r="BI266" s="26"/>
      <c r="BJ266" s="26"/>
      <c r="BK266" s="26"/>
    </row>
    <row r="267" ht="14.25" customHeight="1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  <c r="AG267" s="26"/>
      <c r="AH267" s="26"/>
      <c r="AI267" s="26"/>
      <c r="AJ267" s="26"/>
      <c r="AK267" s="26"/>
      <c r="AL267" s="26"/>
      <c r="AM267" s="26"/>
      <c r="AN267" s="26"/>
      <c r="AO267" s="26"/>
      <c r="AP267" s="26"/>
      <c r="AQ267" s="26"/>
      <c r="AR267" s="26"/>
      <c r="AS267" s="26"/>
      <c r="AT267" s="26"/>
      <c r="AU267" s="26"/>
      <c r="AV267" s="26"/>
      <c r="AW267" s="26"/>
      <c r="AX267" s="26"/>
      <c r="AY267" s="26"/>
      <c r="AZ267" s="26"/>
      <c r="BA267" s="26"/>
      <c r="BB267" s="26"/>
      <c r="BC267" s="26"/>
      <c r="BD267" s="26"/>
      <c r="BE267" s="26"/>
      <c r="BF267" s="26"/>
      <c r="BG267" s="26"/>
      <c r="BH267" s="26"/>
      <c r="BI267" s="26"/>
      <c r="BJ267" s="26"/>
      <c r="BK267" s="26"/>
    </row>
    <row r="268" ht="14.25" customHeight="1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26"/>
      <c r="AH268" s="26"/>
      <c r="AI268" s="26"/>
      <c r="AJ268" s="26"/>
      <c r="AK268" s="26"/>
      <c r="AL268" s="26"/>
      <c r="AM268" s="26"/>
      <c r="AN268" s="26"/>
      <c r="AO268" s="26"/>
      <c r="AP268" s="26"/>
      <c r="AQ268" s="26"/>
      <c r="AR268" s="26"/>
      <c r="AS268" s="26"/>
      <c r="AT268" s="26"/>
      <c r="AU268" s="26"/>
      <c r="AV268" s="26"/>
      <c r="AW268" s="26"/>
      <c r="AX268" s="26"/>
      <c r="AY268" s="26"/>
      <c r="AZ268" s="26"/>
      <c r="BA268" s="26"/>
      <c r="BB268" s="26"/>
      <c r="BC268" s="26"/>
      <c r="BD268" s="26"/>
      <c r="BE268" s="26"/>
      <c r="BF268" s="26"/>
      <c r="BG268" s="26"/>
      <c r="BH268" s="26"/>
      <c r="BI268" s="26"/>
      <c r="BJ268" s="26"/>
      <c r="BK268" s="26"/>
    </row>
    <row r="269" ht="14.25" customHeight="1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  <c r="AE269" s="26"/>
      <c r="AF269" s="26"/>
      <c r="AG269" s="26"/>
      <c r="AH269" s="26"/>
      <c r="AI269" s="26"/>
      <c r="AJ269" s="26"/>
      <c r="AK269" s="26"/>
      <c r="AL269" s="26"/>
      <c r="AM269" s="26"/>
      <c r="AN269" s="26"/>
      <c r="AO269" s="26"/>
      <c r="AP269" s="26"/>
      <c r="AQ269" s="26"/>
      <c r="AR269" s="26"/>
      <c r="AS269" s="26"/>
      <c r="AT269" s="26"/>
      <c r="AU269" s="26"/>
      <c r="AV269" s="26"/>
      <c r="AW269" s="26"/>
      <c r="AX269" s="26"/>
      <c r="AY269" s="26"/>
      <c r="AZ269" s="26"/>
      <c r="BA269" s="26"/>
      <c r="BB269" s="26"/>
      <c r="BC269" s="26"/>
      <c r="BD269" s="26"/>
      <c r="BE269" s="26"/>
      <c r="BF269" s="26"/>
      <c r="BG269" s="26"/>
      <c r="BH269" s="26"/>
      <c r="BI269" s="26"/>
      <c r="BJ269" s="26"/>
      <c r="BK269" s="26"/>
    </row>
    <row r="270" ht="14.25" customHeight="1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26"/>
      <c r="AH270" s="26"/>
      <c r="AI270" s="26"/>
      <c r="AJ270" s="26"/>
      <c r="AK270" s="26"/>
      <c r="AL270" s="26"/>
      <c r="AM270" s="26"/>
      <c r="AN270" s="26"/>
      <c r="AO270" s="26"/>
      <c r="AP270" s="26"/>
      <c r="AQ270" s="26"/>
      <c r="AR270" s="26"/>
      <c r="AS270" s="26"/>
      <c r="AT270" s="26"/>
      <c r="AU270" s="26"/>
      <c r="AV270" s="26"/>
      <c r="AW270" s="26"/>
      <c r="AX270" s="26"/>
      <c r="AY270" s="26"/>
      <c r="AZ270" s="26"/>
      <c r="BA270" s="26"/>
      <c r="BB270" s="26"/>
      <c r="BC270" s="26"/>
      <c r="BD270" s="26"/>
      <c r="BE270" s="26"/>
      <c r="BF270" s="26"/>
      <c r="BG270" s="26"/>
      <c r="BH270" s="26"/>
      <c r="BI270" s="26"/>
      <c r="BJ270" s="26"/>
      <c r="BK270" s="26"/>
    </row>
    <row r="271" ht="14.25" customHeight="1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  <c r="AG271" s="26"/>
      <c r="AH271" s="26"/>
      <c r="AI271" s="26"/>
      <c r="AJ271" s="26"/>
      <c r="AK271" s="26"/>
      <c r="AL271" s="26"/>
      <c r="AM271" s="26"/>
      <c r="AN271" s="26"/>
      <c r="AO271" s="26"/>
      <c r="AP271" s="26"/>
      <c r="AQ271" s="26"/>
      <c r="AR271" s="26"/>
      <c r="AS271" s="26"/>
      <c r="AT271" s="26"/>
      <c r="AU271" s="26"/>
      <c r="AV271" s="26"/>
      <c r="AW271" s="26"/>
      <c r="AX271" s="26"/>
      <c r="AY271" s="26"/>
      <c r="AZ271" s="26"/>
      <c r="BA271" s="26"/>
      <c r="BB271" s="26"/>
      <c r="BC271" s="26"/>
      <c r="BD271" s="26"/>
      <c r="BE271" s="26"/>
      <c r="BF271" s="26"/>
      <c r="BG271" s="26"/>
      <c r="BH271" s="26"/>
      <c r="BI271" s="26"/>
      <c r="BJ271" s="26"/>
      <c r="BK271" s="26"/>
    </row>
    <row r="272" ht="14.25" customHeight="1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26"/>
      <c r="AH272" s="26"/>
      <c r="AI272" s="26"/>
      <c r="AJ272" s="26"/>
      <c r="AK272" s="26"/>
      <c r="AL272" s="26"/>
      <c r="AM272" s="26"/>
      <c r="AN272" s="26"/>
      <c r="AO272" s="26"/>
      <c r="AP272" s="26"/>
      <c r="AQ272" s="26"/>
      <c r="AR272" s="26"/>
      <c r="AS272" s="26"/>
      <c r="AT272" s="26"/>
      <c r="AU272" s="26"/>
      <c r="AV272" s="26"/>
      <c r="AW272" s="26"/>
      <c r="AX272" s="26"/>
      <c r="AY272" s="26"/>
      <c r="AZ272" s="26"/>
      <c r="BA272" s="26"/>
      <c r="BB272" s="26"/>
      <c r="BC272" s="26"/>
      <c r="BD272" s="26"/>
      <c r="BE272" s="26"/>
      <c r="BF272" s="26"/>
      <c r="BG272" s="26"/>
      <c r="BH272" s="26"/>
      <c r="BI272" s="26"/>
      <c r="BJ272" s="26"/>
      <c r="BK272" s="26"/>
    </row>
    <row r="273" ht="14.25" customHeight="1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  <c r="AG273" s="26"/>
      <c r="AH273" s="26"/>
      <c r="AI273" s="26"/>
      <c r="AJ273" s="26"/>
      <c r="AK273" s="26"/>
      <c r="AL273" s="26"/>
      <c r="AM273" s="26"/>
      <c r="AN273" s="26"/>
      <c r="AO273" s="26"/>
      <c r="AP273" s="26"/>
      <c r="AQ273" s="26"/>
      <c r="AR273" s="26"/>
      <c r="AS273" s="26"/>
      <c r="AT273" s="26"/>
      <c r="AU273" s="26"/>
      <c r="AV273" s="26"/>
      <c r="AW273" s="26"/>
      <c r="AX273" s="26"/>
      <c r="AY273" s="26"/>
      <c r="AZ273" s="26"/>
      <c r="BA273" s="26"/>
      <c r="BB273" s="26"/>
      <c r="BC273" s="26"/>
      <c r="BD273" s="26"/>
      <c r="BE273" s="26"/>
      <c r="BF273" s="26"/>
      <c r="BG273" s="26"/>
      <c r="BH273" s="26"/>
      <c r="BI273" s="26"/>
      <c r="BJ273" s="26"/>
      <c r="BK273" s="26"/>
    </row>
    <row r="274" ht="14.25" customHeight="1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26"/>
      <c r="AH274" s="26"/>
      <c r="AI274" s="26"/>
      <c r="AJ274" s="26"/>
      <c r="AK274" s="26"/>
      <c r="AL274" s="26"/>
      <c r="AM274" s="26"/>
      <c r="AN274" s="26"/>
      <c r="AO274" s="26"/>
      <c r="AP274" s="26"/>
      <c r="AQ274" s="26"/>
      <c r="AR274" s="26"/>
      <c r="AS274" s="26"/>
      <c r="AT274" s="26"/>
      <c r="AU274" s="26"/>
      <c r="AV274" s="26"/>
      <c r="AW274" s="26"/>
      <c r="AX274" s="26"/>
      <c r="AY274" s="26"/>
      <c r="AZ274" s="26"/>
      <c r="BA274" s="26"/>
      <c r="BB274" s="26"/>
      <c r="BC274" s="26"/>
      <c r="BD274" s="26"/>
      <c r="BE274" s="26"/>
      <c r="BF274" s="26"/>
      <c r="BG274" s="26"/>
      <c r="BH274" s="26"/>
      <c r="BI274" s="26"/>
      <c r="BJ274" s="26"/>
      <c r="BK274" s="26"/>
    </row>
    <row r="275" ht="14.25" customHeight="1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  <c r="AG275" s="26"/>
      <c r="AH275" s="26"/>
      <c r="AI275" s="26"/>
      <c r="AJ275" s="26"/>
      <c r="AK275" s="26"/>
      <c r="AL275" s="26"/>
      <c r="AM275" s="26"/>
      <c r="AN275" s="26"/>
      <c r="AO275" s="26"/>
      <c r="AP275" s="26"/>
      <c r="AQ275" s="26"/>
      <c r="AR275" s="26"/>
      <c r="AS275" s="26"/>
      <c r="AT275" s="26"/>
      <c r="AU275" s="26"/>
      <c r="AV275" s="26"/>
      <c r="AW275" s="26"/>
      <c r="AX275" s="26"/>
      <c r="AY275" s="26"/>
      <c r="AZ275" s="26"/>
      <c r="BA275" s="26"/>
      <c r="BB275" s="26"/>
      <c r="BC275" s="26"/>
      <c r="BD275" s="26"/>
      <c r="BE275" s="26"/>
      <c r="BF275" s="26"/>
      <c r="BG275" s="26"/>
      <c r="BH275" s="26"/>
      <c r="BI275" s="26"/>
      <c r="BJ275" s="26"/>
      <c r="BK275" s="26"/>
    </row>
    <row r="276" ht="14.25" customHeight="1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26"/>
      <c r="AH276" s="26"/>
      <c r="AI276" s="26"/>
      <c r="AJ276" s="26"/>
      <c r="AK276" s="26"/>
      <c r="AL276" s="26"/>
      <c r="AM276" s="26"/>
      <c r="AN276" s="26"/>
      <c r="AO276" s="26"/>
      <c r="AP276" s="26"/>
      <c r="AQ276" s="26"/>
      <c r="AR276" s="26"/>
      <c r="AS276" s="26"/>
      <c r="AT276" s="26"/>
      <c r="AU276" s="26"/>
      <c r="AV276" s="26"/>
      <c r="AW276" s="26"/>
      <c r="AX276" s="26"/>
      <c r="AY276" s="26"/>
      <c r="AZ276" s="26"/>
      <c r="BA276" s="26"/>
      <c r="BB276" s="26"/>
      <c r="BC276" s="26"/>
      <c r="BD276" s="26"/>
      <c r="BE276" s="26"/>
      <c r="BF276" s="26"/>
      <c r="BG276" s="26"/>
      <c r="BH276" s="26"/>
      <c r="BI276" s="26"/>
      <c r="BJ276" s="26"/>
      <c r="BK276" s="26"/>
    </row>
    <row r="277" ht="14.25" customHeight="1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  <c r="AF277" s="26"/>
      <c r="AG277" s="26"/>
      <c r="AH277" s="26"/>
      <c r="AI277" s="26"/>
      <c r="AJ277" s="26"/>
      <c r="AK277" s="26"/>
      <c r="AL277" s="26"/>
      <c r="AM277" s="26"/>
      <c r="AN277" s="26"/>
      <c r="AO277" s="26"/>
      <c r="AP277" s="26"/>
      <c r="AQ277" s="26"/>
      <c r="AR277" s="26"/>
      <c r="AS277" s="26"/>
      <c r="AT277" s="26"/>
      <c r="AU277" s="26"/>
      <c r="AV277" s="26"/>
      <c r="AW277" s="26"/>
      <c r="AX277" s="26"/>
      <c r="AY277" s="26"/>
      <c r="AZ277" s="26"/>
      <c r="BA277" s="26"/>
      <c r="BB277" s="26"/>
      <c r="BC277" s="26"/>
      <c r="BD277" s="26"/>
      <c r="BE277" s="26"/>
      <c r="BF277" s="26"/>
      <c r="BG277" s="26"/>
      <c r="BH277" s="26"/>
      <c r="BI277" s="26"/>
      <c r="BJ277" s="26"/>
      <c r="BK277" s="26"/>
    </row>
    <row r="278" ht="14.25" customHeight="1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  <c r="AF278" s="26"/>
      <c r="AG278" s="26"/>
      <c r="AH278" s="26"/>
      <c r="AI278" s="26"/>
      <c r="AJ278" s="26"/>
      <c r="AK278" s="26"/>
      <c r="AL278" s="26"/>
      <c r="AM278" s="26"/>
      <c r="AN278" s="26"/>
      <c r="AO278" s="26"/>
      <c r="AP278" s="26"/>
      <c r="AQ278" s="26"/>
      <c r="AR278" s="26"/>
      <c r="AS278" s="26"/>
      <c r="AT278" s="26"/>
      <c r="AU278" s="26"/>
      <c r="AV278" s="26"/>
      <c r="AW278" s="26"/>
      <c r="AX278" s="26"/>
      <c r="AY278" s="26"/>
      <c r="AZ278" s="26"/>
      <c r="BA278" s="26"/>
      <c r="BB278" s="26"/>
      <c r="BC278" s="26"/>
      <c r="BD278" s="26"/>
      <c r="BE278" s="26"/>
      <c r="BF278" s="26"/>
      <c r="BG278" s="26"/>
      <c r="BH278" s="26"/>
      <c r="BI278" s="26"/>
      <c r="BJ278" s="26"/>
      <c r="BK278" s="26"/>
    </row>
    <row r="279" ht="14.25" customHeight="1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  <c r="AE279" s="26"/>
      <c r="AF279" s="26"/>
      <c r="AG279" s="26"/>
      <c r="AH279" s="26"/>
      <c r="AI279" s="26"/>
      <c r="AJ279" s="26"/>
      <c r="AK279" s="26"/>
      <c r="AL279" s="26"/>
      <c r="AM279" s="26"/>
      <c r="AN279" s="26"/>
      <c r="AO279" s="26"/>
      <c r="AP279" s="26"/>
      <c r="AQ279" s="26"/>
      <c r="AR279" s="26"/>
      <c r="AS279" s="26"/>
      <c r="AT279" s="26"/>
      <c r="AU279" s="26"/>
      <c r="AV279" s="26"/>
      <c r="AW279" s="26"/>
      <c r="AX279" s="26"/>
      <c r="AY279" s="26"/>
      <c r="AZ279" s="26"/>
      <c r="BA279" s="26"/>
      <c r="BB279" s="26"/>
      <c r="BC279" s="26"/>
      <c r="BD279" s="26"/>
      <c r="BE279" s="26"/>
      <c r="BF279" s="26"/>
      <c r="BG279" s="26"/>
      <c r="BH279" s="26"/>
      <c r="BI279" s="26"/>
      <c r="BJ279" s="26"/>
      <c r="BK279" s="26"/>
    </row>
    <row r="280" ht="14.25" customHeight="1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  <c r="AG280" s="26"/>
      <c r="AH280" s="26"/>
      <c r="AI280" s="26"/>
      <c r="AJ280" s="26"/>
      <c r="AK280" s="26"/>
      <c r="AL280" s="26"/>
      <c r="AM280" s="26"/>
      <c r="AN280" s="26"/>
      <c r="AO280" s="26"/>
      <c r="AP280" s="26"/>
      <c r="AQ280" s="26"/>
      <c r="AR280" s="26"/>
      <c r="AS280" s="26"/>
      <c r="AT280" s="26"/>
      <c r="AU280" s="26"/>
      <c r="AV280" s="26"/>
      <c r="AW280" s="26"/>
      <c r="AX280" s="26"/>
      <c r="AY280" s="26"/>
      <c r="AZ280" s="26"/>
      <c r="BA280" s="26"/>
      <c r="BB280" s="26"/>
      <c r="BC280" s="26"/>
      <c r="BD280" s="26"/>
      <c r="BE280" s="26"/>
      <c r="BF280" s="26"/>
      <c r="BG280" s="26"/>
      <c r="BH280" s="26"/>
      <c r="BI280" s="26"/>
      <c r="BJ280" s="26"/>
      <c r="BK280" s="26"/>
    </row>
    <row r="281" ht="14.25" customHeight="1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  <c r="AF281" s="26"/>
      <c r="AG281" s="26"/>
      <c r="AH281" s="26"/>
      <c r="AI281" s="26"/>
      <c r="AJ281" s="26"/>
      <c r="AK281" s="26"/>
      <c r="AL281" s="26"/>
      <c r="AM281" s="26"/>
      <c r="AN281" s="26"/>
      <c r="AO281" s="26"/>
      <c r="AP281" s="26"/>
      <c r="AQ281" s="26"/>
      <c r="AR281" s="26"/>
      <c r="AS281" s="26"/>
      <c r="AT281" s="26"/>
      <c r="AU281" s="26"/>
      <c r="AV281" s="26"/>
      <c r="AW281" s="26"/>
      <c r="AX281" s="26"/>
      <c r="AY281" s="26"/>
      <c r="AZ281" s="26"/>
      <c r="BA281" s="26"/>
      <c r="BB281" s="26"/>
      <c r="BC281" s="26"/>
      <c r="BD281" s="26"/>
      <c r="BE281" s="26"/>
      <c r="BF281" s="26"/>
      <c r="BG281" s="26"/>
      <c r="BH281" s="26"/>
      <c r="BI281" s="26"/>
      <c r="BJ281" s="26"/>
      <c r="BK281" s="26"/>
    </row>
    <row r="282" ht="14.25" customHeight="1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  <c r="AG282" s="26"/>
      <c r="AH282" s="26"/>
      <c r="AI282" s="26"/>
      <c r="AJ282" s="26"/>
      <c r="AK282" s="26"/>
      <c r="AL282" s="26"/>
      <c r="AM282" s="26"/>
      <c r="AN282" s="26"/>
      <c r="AO282" s="26"/>
      <c r="AP282" s="26"/>
      <c r="AQ282" s="26"/>
      <c r="AR282" s="26"/>
      <c r="AS282" s="26"/>
      <c r="AT282" s="26"/>
      <c r="AU282" s="26"/>
      <c r="AV282" s="26"/>
      <c r="AW282" s="26"/>
      <c r="AX282" s="26"/>
      <c r="AY282" s="26"/>
      <c r="AZ282" s="26"/>
      <c r="BA282" s="26"/>
      <c r="BB282" s="26"/>
      <c r="BC282" s="26"/>
      <c r="BD282" s="26"/>
      <c r="BE282" s="26"/>
      <c r="BF282" s="26"/>
      <c r="BG282" s="26"/>
      <c r="BH282" s="26"/>
      <c r="BI282" s="26"/>
      <c r="BJ282" s="26"/>
      <c r="BK282" s="26"/>
    </row>
    <row r="283" ht="14.25" customHeight="1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  <c r="AF283" s="26"/>
      <c r="AG283" s="26"/>
      <c r="AH283" s="26"/>
      <c r="AI283" s="26"/>
      <c r="AJ283" s="26"/>
      <c r="AK283" s="26"/>
      <c r="AL283" s="26"/>
      <c r="AM283" s="26"/>
      <c r="AN283" s="26"/>
      <c r="AO283" s="26"/>
      <c r="AP283" s="26"/>
      <c r="AQ283" s="26"/>
      <c r="AR283" s="26"/>
      <c r="AS283" s="26"/>
      <c r="AT283" s="26"/>
      <c r="AU283" s="26"/>
      <c r="AV283" s="26"/>
      <c r="AW283" s="26"/>
      <c r="AX283" s="26"/>
      <c r="AY283" s="26"/>
      <c r="AZ283" s="26"/>
      <c r="BA283" s="26"/>
      <c r="BB283" s="26"/>
      <c r="BC283" s="26"/>
      <c r="BD283" s="26"/>
      <c r="BE283" s="26"/>
      <c r="BF283" s="26"/>
      <c r="BG283" s="26"/>
      <c r="BH283" s="26"/>
      <c r="BI283" s="26"/>
      <c r="BJ283" s="26"/>
      <c r="BK283" s="26"/>
    </row>
    <row r="284" ht="14.25" customHeight="1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  <c r="AE284" s="26"/>
      <c r="AF284" s="26"/>
      <c r="AG284" s="26"/>
      <c r="AH284" s="26"/>
      <c r="AI284" s="26"/>
      <c r="AJ284" s="26"/>
      <c r="AK284" s="26"/>
      <c r="AL284" s="26"/>
      <c r="AM284" s="26"/>
      <c r="AN284" s="26"/>
      <c r="AO284" s="26"/>
      <c r="AP284" s="26"/>
      <c r="AQ284" s="26"/>
      <c r="AR284" s="26"/>
      <c r="AS284" s="26"/>
      <c r="AT284" s="26"/>
      <c r="AU284" s="26"/>
      <c r="AV284" s="26"/>
      <c r="AW284" s="26"/>
      <c r="AX284" s="26"/>
      <c r="AY284" s="26"/>
      <c r="AZ284" s="26"/>
      <c r="BA284" s="26"/>
      <c r="BB284" s="26"/>
      <c r="BC284" s="26"/>
      <c r="BD284" s="26"/>
      <c r="BE284" s="26"/>
      <c r="BF284" s="26"/>
      <c r="BG284" s="26"/>
      <c r="BH284" s="26"/>
      <c r="BI284" s="26"/>
      <c r="BJ284" s="26"/>
      <c r="BK284" s="26"/>
    </row>
    <row r="285" ht="14.25" customHeight="1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  <c r="AG285" s="26"/>
      <c r="AH285" s="26"/>
      <c r="AI285" s="26"/>
      <c r="AJ285" s="26"/>
      <c r="AK285" s="26"/>
      <c r="AL285" s="26"/>
      <c r="AM285" s="26"/>
      <c r="AN285" s="26"/>
      <c r="AO285" s="26"/>
      <c r="AP285" s="26"/>
      <c r="AQ285" s="26"/>
      <c r="AR285" s="26"/>
      <c r="AS285" s="26"/>
      <c r="AT285" s="26"/>
      <c r="AU285" s="26"/>
      <c r="AV285" s="26"/>
      <c r="AW285" s="26"/>
      <c r="AX285" s="26"/>
      <c r="AY285" s="26"/>
      <c r="AZ285" s="26"/>
      <c r="BA285" s="26"/>
      <c r="BB285" s="26"/>
      <c r="BC285" s="26"/>
      <c r="BD285" s="26"/>
      <c r="BE285" s="26"/>
      <c r="BF285" s="26"/>
      <c r="BG285" s="26"/>
      <c r="BH285" s="26"/>
      <c r="BI285" s="26"/>
      <c r="BJ285" s="26"/>
      <c r="BK285" s="26"/>
    </row>
    <row r="286" ht="14.25" customHeight="1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  <c r="AE286" s="26"/>
      <c r="AF286" s="26"/>
      <c r="AG286" s="26"/>
      <c r="AH286" s="26"/>
      <c r="AI286" s="26"/>
      <c r="AJ286" s="26"/>
      <c r="AK286" s="26"/>
      <c r="AL286" s="26"/>
      <c r="AM286" s="26"/>
      <c r="AN286" s="26"/>
      <c r="AO286" s="26"/>
      <c r="AP286" s="26"/>
      <c r="AQ286" s="26"/>
      <c r="AR286" s="26"/>
      <c r="AS286" s="26"/>
      <c r="AT286" s="26"/>
      <c r="AU286" s="26"/>
      <c r="AV286" s="26"/>
      <c r="AW286" s="26"/>
      <c r="AX286" s="26"/>
      <c r="AY286" s="26"/>
      <c r="AZ286" s="26"/>
      <c r="BA286" s="26"/>
      <c r="BB286" s="26"/>
      <c r="BC286" s="26"/>
      <c r="BD286" s="26"/>
      <c r="BE286" s="26"/>
      <c r="BF286" s="26"/>
      <c r="BG286" s="26"/>
      <c r="BH286" s="26"/>
      <c r="BI286" s="26"/>
      <c r="BJ286" s="26"/>
      <c r="BK286" s="26"/>
    </row>
    <row r="287" ht="14.25" customHeight="1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  <c r="AE287" s="26"/>
      <c r="AF287" s="26"/>
      <c r="AG287" s="26"/>
      <c r="AH287" s="26"/>
      <c r="AI287" s="26"/>
      <c r="AJ287" s="26"/>
      <c r="AK287" s="26"/>
      <c r="AL287" s="26"/>
      <c r="AM287" s="26"/>
      <c r="AN287" s="26"/>
      <c r="AO287" s="26"/>
      <c r="AP287" s="26"/>
      <c r="AQ287" s="26"/>
      <c r="AR287" s="26"/>
      <c r="AS287" s="26"/>
      <c r="AT287" s="26"/>
      <c r="AU287" s="26"/>
      <c r="AV287" s="26"/>
      <c r="AW287" s="26"/>
      <c r="AX287" s="26"/>
      <c r="AY287" s="26"/>
      <c r="AZ287" s="26"/>
      <c r="BA287" s="26"/>
      <c r="BB287" s="26"/>
      <c r="BC287" s="26"/>
      <c r="BD287" s="26"/>
      <c r="BE287" s="26"/>
      <c r="BF287" s="26"/>
      <c r="BG287" s="26"/>
      <c r="BH287" s="26"/>
      <c r="BI287" s="26"/>
      <c r="BJ287" s="26"/>
      <c r="BK287" s="26"/>
    </row>
    <row r="288" ht="14.25" customHeight="1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  <c r="AF288" s="26"/>
      <c r="AG288" s="26"/>
      <c r="AH288" s="26"/>
      <c r="AI288" s="26"/>
      <c r="AJ288" s="26"/>
      <c r="AK288" s="26"/>
      <c r="AL288" s="26"/>
      <c r="AM288" s="26"/>
      <c r="AN288" s="26"/>
      <c r="AO288" s="26"/>
      <c r="AP288" s="26"/>
      <c r="AQ288" s="26"/>
      <c r="AR288" s="26"/>
      <c r="AS288" s="26"/>
      <c r="AT288" s="26"/>
      <c r="AU288" s="26"/>
      <c r="AV288" s="26"/>
      <c r="AW288" s="26"/>
      <c r="AX288" s="26"/>
      <c r="AY288" s="26"/>
      <c r="AZ288" s="26"/>
      <c r="BA288" s="26"/>
      <c r="BB288" s="26"/>
      <c r="BC288" s="26"/>
      <c r="BD288" s="26"/>
      <c r="BE288" s="26"/>
      <c r="BF288" s="26"/>
      <c r="BG288" s="26"/>
      <c r="BH288" s="26"/>
      <c r="BI288" s="26"/>
      <c r="BJ288" s="26"/>
      <c r="BK288" s="26"/>
    </row>
    <row r="289" ht="14.25" customHeight="1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  <c r="AF289" s="26"/>
      <c r="AG289" s="26"/>
      <c r="AH289" s="26"/>
      <c r="AI289" s="26"/>
      <c r="AJ289" s="26"/>
      <c r="AK289" s="26"/>
      <c r="AL289" s="26"/>
      <c r="AM289" s="26"/>
      <c r="AN289" s="26"/>
      <c r="AO289" s="26"/>
      <c r="AP289" s="26"/>
      <c r="AQ289" s="26"/>
      <c r="AR289" s="26"/>
      <c r="AS289" s="26"/>
      <c r="AT289" s="26"/>
      <c r="AU289" s="26"/>
      <c r="AV289" s="26"/>
      <c r="AW289" s="26"/>
      <c r="AX289" s="26"/>
      <c r="AY289" s="26"/>
      <c r="AZ289" s="26"/>
      <c r="BA289" s="26"/>
      <c r="BB289" s="26"/>
      <c r="BC289" s="26"/>
      <c r="BD289" s="26"/>
      <c r="BE289" s="26"/>
      <c r="BF289" s="26"/>
      <c r="BG289" s="26"/>
      <c r="BH289" s="26"/>
      <c r="BI289" s="26"/>
      <c r="BJ289" s="26"/>
      <c r="BK289" s="26"/>
    </row>
    <row r="290" ht="14.25" customHeight="1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  <c r="AF290" s="26"/>
      <c r="AG290" s="26"/>
      <c r="AH290" s="26"/>
      <c r="AI290" s="26"/>
      <c r="AJ290" s="26"/>
      <c r="AK290" s="26"/>
      <c r="AL290" s="26"/>
      <c r="AM290" s="26"/>
      <c r="AN290" s="26"/>
      <c r="AO290" s="26"/>
      <c r="AP290" s="26"/>
      <c r="AQ290" s="26"/>
      <c r="AR290" s="26"/>
      <c r="AS290" s="26"/>
      <c r="AT290" s="26"/>
      <c r="AU290" s="26"/>
      <c r="AV290" s="26"/>
      <c r="AW290" s="26"/>
      <c r="AX290" s="26"/>
      <c r="AY290" s="26"/>
      <c r="AZ290" s="26"/>
      <c r="BA290" s="26"/>
      <c r="BB290" s="26"/>
      <c r="BC290" s="26"/>
      <c r="BD290" s="26"/>
      <c r="BE290" s="26"/>
      <c r="BF290" s="26"/>
      <c r="BG290" s="26"/>
      <c r="BH290" s="26"/>
      <c r="BI290" s="26"/>
      <c r="BJ290" s="26"/>
      <c r="BK290" s="26"/>
    </row>
    <row r="291" ht="14.25" customHeight="1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  <c r="AF291" s="26"/>
      <c r="AG291" s="26"/>
      <c r="AH291" s="26"/>
      <c r="AI291" s="26"/>
      <c r="AJ291" s="26"/>
      <c r="AK291" s="26"/>
      <c r="AL291" s="26"/>
      <c r="AM291" s="26"/>
      <c r="AN291" s="26"/>
      <c r="AO291" s="26"/>
      <c r="AP291" s="26"/>
      <c r="AQ291" s="26"/>
      <c r="AR291" s="26"/>
      <c r="AS291" s="26"/>
      <c r="AT291" s="26"/>
      <c r="AU291" s="26"/>
      <c r="AV291" s="26"/>
      <c r="AW291" s="26"/>
      <c r="AX291" s="26"/>
      <c r="AY291" s="26"/>
      <c r="AZ291" s="26"/>
      <c r="BA291" s="26"/>
      <c r="BB291" s="26"/>
      <c r="BC291" s="26"/>
      <c r="BD291" s="26"/>
      <c r="BE291" s="26"/>
      <c r="BF291" s="26"/>
      <c r="BG291" s="26"/>
      <c r="BH291" s="26"/>
      <c r="BI291" s="26"/>
      <c r="BJ291" s="26"/>
      <c r="BK291" s="26"/>
    </row>
    <row r="292" ht="14.25" customHeight="1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  <c r="AF292" s="26"/>
      <c r="AG292" s="26"/>
      <c r="AH292" s="26"/>
      <c r="AI292" s="26"/>
      <c r="AJ292" s="26"/>
      <c r="AK292" s="26"/>
      <c r="AL292" s="26"/>
      <c r="AM292" s="26"/>
      <c r="AN292" s="26"/>
      <c r="AO292" s="26"/>
      <c r="AP292" s="26"/>
      <c r="AQ292" s="26"/>
      <c r="AR292" s="26"/>
      <c r="AS292" s="26"/>
      <c r="AT292" s="26"/>
      <c r="AU292" s="26"/>
      <c r="AV292" s="26"/>
      <c r="AW292" s="26"/>
      <c r="AX292" s="26"/>
      <c r="AY292" s="26"/>
      <c r="AZ292" s="26"/>
      <c r="BA292" s="26"/>
      <c r="BB292" s="26"/>
      <c r="BC292" s="26"/>
      <c r="BD292" s="26"/>
      <c r="BE292" s="26"/>
      <c r="BF292" s="26"/>
      <c r="BG292" s="26"/>
      <c r="BH292" s="26"/>
      <c r="BI292" s="26"/>
      <c r="BJ292" s="26"/>
      <c r="BK292" s="26"/>
    </row>
    <row r="293" ht="14.25" customHeight="1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  <c r="AE293" s="26"/>
      <c r="AF293" s="26"/>
      <c r="AG293" s="26"/>
      <c r="AH293" s="26"/>
      <c r="AI293" s="26"/>
      <c r="AJ293" s="26"/>
      <c r="AK293" s="26"/>
      <c r="AL293" s="26"/>
      <c r="AM293" s="26"/>
      <c r="AN293" s="26"/>
      <c r="AO293" s="26"/>
      <c r="AP293" s="26"/>
      <c r="AQ293" s="26"/>
      <c r="AR293" s="26"/>
      <c r="AS293" s="26"/>
      <c r="AT293" s="26"/>
      <c r="AU293" s="26"/>
      <c r="AV293" s="26"/>
      <c r="AW293" s="26"/>
      <c r="AX293" s="26"/>
      <c r="AY293" s="26"/>
      <c r="AZ293" s="26"/>
      <c r="BA293" s="26"/>
      <c r="BB293" s="26"/>
      <c r="BC293" s="26"/>
      <c r="BD293" s="26"/>
      <c r="BE293" s="26"/>
      <c r="BF293" s="26"/>
      <c r="BG293" s="26"/>
      <c r="BH293" s="26"/>
      <c r="BI293" s="26"/>
      <c r="BJ293" s="26"/>
      <c r="BK293" s="26"/>
    </row>
    <row r="294" ht="14.25" customHeight="1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  <c r="AE294" s="26"/>
      <c r="AF294" s="26"/>
      <c r="AG294" s="26"/>
      <c r="AH294" s="26"/>
      <c r="AI294" s="26"/>
      <c r="AJ294" s="26"/>
      <c r="AK294" s="26"/>
      <c r="AL294" s="26"/>
      <c r="AM294" s="26"/>
      <c r="AN294" s="26"/>
      <c r="AO294" s="26"/>
      <c r="AP294" s="26"/>
      <c r="AQ294" s="26"/>
      <c r="AR294" s="26"/>
      <c r="AS294" s="26"/>
      <c r="AT294" s="26"/>
      <c r="AU294" s="26"/>
      <c r="AV294" s="26"/>
      <c r="AW294" s="26"/>
      <c r="AX294" s="26"/>
      <c r="AY294" s="26"/>
      <c r="AZ294" s="26"/>
      <c r="BA294" s="26"/>
      <c r="BB294" s="26"/>
      <c r="BC294" s="26"/>
      <c r="BD294" s="26"/>
      <c r="BE294" s="26"/>
      <c r="BF294" s="26"/>
      <c r="BG294" s="26"/>
      <c r="BH294" s="26"/>
      <c r="BI294" s="26"/>
      <c r="BJ294" s="26"/>
      <c r="BK294" s="26"/>
    </row>
    <row r="295" ht="14.25" customHeight="1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  <c r="AE295" s="26"/>
      <c r="AF295" s="26"/>
      <c r="AG295" s="26"/>
      <c r="AH295" s="26"/>
      <c r="AI295" s="26"/>
      <c r="AJ295" s="26"/>
      <c r="AK295" s="26"/>
      <c r="AL295" s="26"/>
      <c r="AM295" s="26"/>
      <c r="AN295" s="26"/>
      <c r="AO295" s="26"/>
      <c r="AP295" s="26"/>
      <c r="AQ295" s="26"/>
      <c r="AR295" s="26"/>
      <c r="AS295" s="26"/>
      <c r="AT295" s="26"/>
      <c r="AU295" s="26"/>
      <c r="AV295" s="26"/>
      <c r="AW295" s="26"/>
      <c r="AX295" s="26"/>
      <c r="AY295" s="26"/>
      <c r="AZ295" s="26"/>
      <c r="BA295" s="26"/>
      <c r="BB295" s="26"/>
      <c r="BC295" s="26"/>
      <c r="BD295" s="26"/>
      <c r="BE295" s="26"/>
      <c r="BF295" s="26"/>
      <c r="BG295" s="26"/>
      <c r="BH295" s="26"/>
      <c r="BI295" s="26"/>
      <c r="BJ295" s="26"/>
      <c r="BK295" s="26"/>
    </row>
    <row r="296" ht="14.25" customHeight="1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  <c r="AE296" s="26"/>
      <c r="AF296" s="26"/>
      <c r="AG296" s="26"/>
      <c r="AH296" s="26"/>
      <c r="AI296" s="26"/>
      <c r="AJ296" s="26"/>
      <c r="AK296" s="26"/>
      <c r="AL296" s="26"/>
      <c r="AM296" s="26"/>
      <c r="AN296" s="26"/>
      <c r="AO296" s="26"/>
      <c r="AP296" s="26"/>
      <c r="AQ296" s="26"/>
      <c r="AR296" s="26"/>
      <c r="AS296" s="26"/>
      <c r="AT296" s="26"/>
      <c r="AU296" s="26"/>
      <c r="AV296" s="26"/>
      <c r="AW296" s="26"/>
      <c r="AX296" s="26"/>
      <c r="AY296" s="26"/>
      <c r="AZ296" s="26"/>
      <c r="BA296" s="26"/>
      <c r="BB296" s="26"/>
      <c r="BC296" s="26"/>
      <c r="BD296" s="26"/>
      <c r="BE296" s="26"/>
      <c r="BF296" s="26"/>
      <c r="BG296" s="26"/>
      <c r="BH296" s="26"/>
      <c r="BI296" s="26"/>
      <c r="BJ296" s="26"/>
      <c r="BK296" s="26"/>
    </row>
    <row r="297" ht="14.25" customHeight="1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  <c r="AE297" s="26"/>
      <c r="AF297" s="26"/>
      <c r="AG297" s="26"/>
      <c r="AH297" s="26"/>
      <c r="AI297" s="26"/>
      <c r="AJ297" s="26"/>
      <c r="AK297" s="26"/>
      <c r="AL297" s="26"/>
      <c r="AM297" s="26"/>
      <c r="AN297" s="26"/>
      <c r="AO297" s="26"/>
      <c r="AP297" s="26"/>
      <c r="AQ297" s="26"/>
      <c r="AR297" s="26"/>
      <c r="AS297" s="26"/>
      <c r="AT297" s="26"/>
      <c r="AU297" s="26"/>
      <c r="AV297" s="26"/>
      <c r="AW297" s="26"/>
      <c r="AX297" s="26"/>
      <c r="AY297" s="26"/>
      <c r="AZ297" s="26"/>
      <c r="BA297" s="26"/>
      <c r="BB297" s="26"/>
      <c r="BC297" s="26"/>
      <c r="BD297" s="26"/>
      <c r="BE297" s="26"/>
      <c r="BF297" s="26"/>
      <c r="BG297" s="26"/>
      <c r="BH297" s="26"/>
      <c r="BI297" s="26"/>
      <c r="BJ297" s="26"/>
      <c r="BK297" s="26"/>
    </row>
    <row r="298" ht="14.25" customHeight="1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  <c r="AE298" s="26"/>
      <c r="AF298" s="26"/>
      <c r="AG298" s="26"/>
      <c r="AH298" s="26"/>
      <c r="AI298" s="26"/>
      <c r="AJ298" s="26"/>
      <c r="AK298" s="26"/>
      <c r="AL298" s="26"/>
      <c r="AM298" s="26"/>
      <c r="AN298" s="26"/>
      <c r="AO298" s="26"/>
      <c r="AP298" s="26"/>
      <c r="AQ298" s="26"/>
      <c r="AR298" s="26"/>
      <c r="AS298" s="26"/>
      <c r="AT298" s="26"/>
      <c r="AU298" s="26"/>
      <c r="AV298" s="26"/>
      <c r="AW298" s="26"/>
      <c r="AX298" s="26"/>
      <c r="AY298" s="26"/>
      <c r="AZ298" s="26"/>
      <c r="BA298" s="26"/>
      <c r="BB298" s="26"/>
      <c r="BC298" s="26"/>
      <c r="BD298" s="26"/>
      <c r="BE298" s="26"/>
      <c r="BF298" s="26"/>
      <c r="BG298" s="26"/>
      <c r="BH298" s="26"/>
      <c r="BI298" s="26"/>
      <c r="BJ298" s="26"/>
      <c r="BK298" s="26"/>
    </row>
    <row r="299" ht="14.25" customHeight="1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  <c r="AE299" s="26"/>
      <c r="AF299" s="26"/>
      <c r="AG299" s="26"/>
      <c r="AH299" s="26"/>
      <c r="AI299" s="26"/>
      <c r="AJ299" s="26"/>
      <c r="AK299" s="26"/>
      <c r="AL299" s="26"/>
      <c r="AM299" s="26"/>
      <c r="AN299" s="26"/>
      <c r="AO299" s="26"/>
      <c r="AP299" s="26"/>
      <c r="AQ299" s="26"/>
      <c r="AR299" s="26"/>
      <c r="AS299" s="26"/>
      <c r="AT299" s="26"/>
      <c r="AU299" s="26"/>
      <c r="AV299" s="26"/>
      <c r="AW299" s="26"/>
      <c r="AX299" s="26"/>
      <c r="AY299" s="26"/>
      <c r="AZ299" s="26"/>
      <c r="BA299" s="26"/>
      <c r="BB299" s="26"/>
      <c r="BC299" s="26"/>
      <c r="BD299" s="26"/>
      <c r="BE299" s="26"/>
      <c r="BF299" s="26"/>
      <c r="BG299" s="26"/>
      <c r="BH299" s="26"/>
      <c r="BI299" s="26"/>
      <c r="BJ299" s="26"/>
      <c r="BK299" s="26"/>
    </row>
    <row r="300" ht="14.25" customHeight="1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  <c r="AF300" s="26"/>
      <c r="AG300" s="26"/>
      <c r="AH300" s="26"/>
      <c r="AI300" s="26"/>
      <c r="AJ300" s="26"/>
      <c r="AK300" s="26"/>
      <c r="AL300" s="26"/>
      <c r="AM300" s="26"/>
      <c r="AN300" s="26"/>
      <c r="AO300" s="26"/>
      <c r="AP300" s="26"/>
      <c r="AQ300" s="26"/>
      <c r="AR300" s="26"/>
      <c r="AS300" s="26"/>
      <c r="AT300" s="26"/>
      <c r="AU300" s="26"/>
      <c r="AV300" s="26"/>
      <c r="AW300" s="26"/>
      <c r="AX300" s="26"/>
      <c r="AY300" s="26"/>
      <c r="AZ300" s="26"/>
      <c r="BA300" s="26"/>
      <c r="BB300" s="26"/>
      <c r="BC300" s="26"/>
      <c r="BD300" s="26"/>
      <c r="BE300" s="26"/>
      <c r="BF300" s="26"/>
      <c r="BG300" s="26"/>
      <c r="BH300" s="26"/>
      <c r="BI300" s="26"/>
      <c r="BJ300" s="26"/>
      <c r="BK300" s="26"/>
    </row>
    <row r="301" ht="14.25" customHeight="1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  <c r="AE301" s="26"/>
      <c r="AF301" s="26"/>
      <c r="AG301" s="26"/>
      <c r="AH301" s="26"/>
      <c r="AI301" s="26"/>
      <c r="AJ301" s="26"/>
      <c r="AK301" s="26"/>
      <c r="AL301" s="26"/>
      <c r="AM301" s="26"/>
      <c r="AN301" s="26"/>
      <c r="AO301" s="26"/>
      <c r="AP301" s="26"/>
      <c r="AQ301" s="26"/>
      <c r="AR301" s="26"/>
      <c r="AS301" s="26"/>
      <c r="AT301" s="26"/>
      <c r="AU301" s="26"/>
      <c r="AV301" s="26"/>
      <c r="AW301" s="26"/>
      <c r="AX301" s="26"/>
      <c r="AY301" s="26"/>
      <c r="AZ301" s="26"/>
      <c r="BA301" s="26"/>
      <c r="BB301" s="26"/>
      <c r="BC301" s="26"/>
      <c r="BD301" s="26"/>
      <c r="BE301" s="26"/>
      <c r="BF301" s="26"/>
      <c r="BG301" s="26"/>
      <c r="BH301" s="26"/>
      <c r="BI301" s="26"/>
      <c r="BJ301" s="26"/>
      <c r="BK301" s="26"/>
    </row>
    <row r="302" ht="14.25" customHeight="1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  <c r="AF302" s="26"/>
      <c r="AG302" s="26"/>
      <c r="AH302" s="26"/>
      <c r="AI302" s="26"/>
      <c r="AJ302" s="26"/>
      <c r="AK302" s="26"/>
      <c r="AL302" s="26"/>
      <c r="AM302" s="26"/>
      <c r="AN302" s="26"/>
      <c r="AO302" s="26"/>
      <c r="AP302" s="26"/>
      <c r="AQ302" s="26"/>
      <c r="AR302" s="26"/>
      <c r="AS302" s="26"/>
      <c r="AT302" s="26"/>
      <c r="AU302" s="26"/>
      <c r="AV302" s="26"/>
      <c r="AW302" s="26"/>
      <c r="AX302" s="26"/>
      <c r="AY302" s="26"/>
      <c r="AZ302" s="26"/>
      <c r="BA302" s="26"/>
      <c r="BB302" s="26"/>
      <c r="BC302" s="26"/>
      <c r="BD302" s="26"/>
      <c r="BE302" s="26"/>
      <c r="BF302" s="26"/>
      <c r="BG302" s="26"/>
      <c r="BH302" s="26"/>
      <c r="BI302" s="26"/>
      <c r="BJ302" s="26"/>
      <c r="BK302" s="26"/>
    </row>
    <row r="303" ht="14.25" customHeight="1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  <c r="AF303" s="26"/>
      <c r="AG303" s="26"/>
      <c r="AH303" s="26"/>
      <c r="AI303" s="26"/>
      <c r="AJ303" s="26"/>
      <c r="AK303" s="26"/>
      <c r="AL303" s="26"/>
      <c r="AM303" s="26"/>
      <c r="AN303" s="26"/>
      <c r="AO303" s="26"/>
      <c r="AP303" s="26"/>
      <c r="AQ303" s="26"/>
      <c r="AR303" s="26"/>
      <c r="AS303" s="26"/>
      <c r="AT303" s="26"/>
      <c r="AU303" s="26"/>
      <c r="AV303" s="26"/>
      <c r="AW303" s="26"/>
      <c r="AX303" s="26"/>
      <c r="AY303" s="26"/>
      <c r="AZ303" s="26"/>
      <c r="BA303" s="26"/>
      <c r="BB303" s="26"/>
      <c r="BC303" s="26"/>
      <c r="BD303" s="26"/>
      <c r="BE303" s="26"/>
      <c r="BF303" s="26"/>
      <c r="BG303" s="26"/>
      <c r="BH303" s="26"/>
      <c r="BI303" s="26"/>
      <c r="BJ303" s="26"/>
      <c r="BK303" s="26"/>
    </row>
    <row r="304" ht="14.25" customHeight="1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  <c r="AG304" s="26"/>
      <c r="AH304" s="26"/>
      <c r="AI304" s="26"/>
      <c r="AJ304" s="26"/>
      <c r="AK304" s="26"/>
      <c r="AL304" s="26"/>
      <c r="AM304" s="26"/>
      <c r="AN304" s="26"/>
      <c r="AO304" s="26"/>
      <c r="AP304" s="26"/>
      <c r="AQ304" s="26"/>
      <c r="AR304" s="26"/>
      <c r="AS304" s="26"/>
      <c r="AT304" s="26"/>
      <c r="AU304" s="26"/>
      <c r="AV304" s="26"/>
      <c r="AW304" s="26"/>
      <c r="AX304" s="26"/>
      <c r="AY304" s="26"/>
      <c r="AZ304" s="26"/>
      <c r="BA304" s="26"/>
      <c r="BB304" s="26"/>
      <c r="BC304" s="26"/>
      <c r="BD304" s="26"/>
      <c r="BE304" s="26"/>
      <c r="BF304" s="26"/>
      <c r="BG304" s="26"/>
      <c r="BH304" s="26"/>
      <c r="BI304" s="26"/>
      <c r="BJ304" s="26"/>
      <c r="BK304" s="26"/>
    </row>
    <row r="305" ht="14.25" customHeight="1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  <c r="AF305" s="26"/>
      <c r="AG305" s="26"/>
      <c r="AH305" s="26"/>
      <c r="AI305" s="26"/>
      <c r="AJ305" s="26"/>
      <c r="AK305" s="26"/>
      <c r="AL305" s="26"/>
      <c r="AM305" s="26"/>
      <c r="AN305" s="26"/>
      <c r="AO305" s="26"/>
      <c r="AP305" s="26"/>
      <c r="AQ305" s="26"/>
      <c r="AR305" s="26"/>
      <c r="AS305" s="26"/>
      <c r="AT305" s="26"/>
      <c r="AU305" s="26"/>
      <c r="AV305" s="26"/>
      <c r="AW305" s="26"/>
      <c r="AX305" s="26"/>
      <c r="AY305" s="26"/>
      <c r="AZ305" s="26"/>
      <c r="BA305" s="26"/>
      <c r="BB305" s="26"/>
      <c r="BC305" s="26"/>
      <c r="BD305" s="26"/>
      <c r="BE305" s="26"/>
      <c r="BF305" s="26"/>
      <c r="BG305" s="26"/>
      <c r="BH305" s="26"/>
      <c r="BI305" s="26"/>
      <c r="BJ305" s="26"/>
      <c r="BK305" s="26"/>
    </row>
    <row r="306" ht="14.25" customHeight="1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  <c r="AF306" s="26"/>
      <c r="AG306" s="26"/>
      <c r="AH306" s="26"/>
      <c r="AI306" s="26"/>
      <c r="AJ306" s="26"/>
      <c r="AK306" s="26"/>
      <c r="AL306" s="26"/>
      <c r="AM306" s="26"/>
      <c r="AN306" s="26"/>
      <c r="AO306" s="26"/>
      <c r="AP306" s="26"/>
      <c r="AQ306" s="26"/>
      <c r="AR306" s="26"/>
      <c r="AS306" s="26"/>
      <c r="AT306" s="26"/>
      <c r="AU306" s="26"/>
      <c r="AV306" s="26"/>
      <c r="AW306" s="26"/>
      <c r="AX306" s="26"/>
      <c r="AY306" s="26"/>
      <c r="AZ306" s="26"/>
      <c r="BA306" s="26"/>
      <c r="BB306" s="26"/>
      <c r="BC306" s="26"/>
      <c r="BD306" s="26"/>
      <c r="BE306" s="26"/>
      <c r="BF306" s="26"/>
      <c r="BG306" s="26"/>
      <c r="BH306" s="26"/>
      <c r="BI306" s="26"/>
      <c r="BJ306" s="26"/>
      <c r="BK306" s="26"/>
    </row>
    <row r="307" ht="14.25" customHeight="1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  <c r="AE307" s="26"/>
      <c r="AF307" s="26"/>
      <c r="AG307" s="26"/>
      <c r="AH307" s="26"/>
      <c r="AI307" s="26"/>
      <c r="AJ307" s="26"/>
      <c r="AK307" s="26"/>
      <c r="AL307" s="26"/>
      <c r="AM307" s="26"/>
      <c r="AN307" s="26"/>
      <c r="AO307" s="26"/>
      <c r="AP307" s="26"/>
      <c r="AQ307" s="26"/>
      <c r="AR307" s="26"/>
      <c r="AS307" s="26"/>
      <c r="AT307" s="26"/>
      <c r="AU307" s="26"/>
      <c r="AV307" s="26"/>
      <c r="AW307" s="26"/>
      <c r="AX307" s="26"/>
      <c r="AY307" s="26"/>
      <c r="AZ307" s="26"/>
      <c r="BA307" s="26"/>
      <c r="BB307" s="26"/>
      <c r="BC307" s="26"/>
      <c r="BD307" s="26"/>
      <c r="BE307" s="26"/>
      <c r="BF307" s="26"/>
      <c r="BG307" s="26"/>
      <c r="BH307" s="26"/>
      <c r="BI307" s="26"/>
      <c r="BJ307" s="26"/>
      <c r="BK307" s="26"/>
    </row>
    <row r="308" ht="14.25" customHeight="1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  <c r="AE308" s="26"/>
      <c r="AF308" s="26"/>
      <c r="AG308" s="26"/>
      <c r="AH308" s="26"/>
      <c r="AI308" s="26"/>
      <c r="AJ308" s="26"/>
      <c r="AK308" s="26"/>
      <c r="AL308" s="26"/>
      <c r="AM308" s="26"/>
      <c r="AN308" s="26"/>
      <c r="AO308" s="26"/>
      <c r="AP308" s="26"/>
      <c r="AQ308" s="26"/>
      <c r="AR308" s="26"/>
      <c r="AS308" s="26"/>
      <c r="AT308" s="26"/>
      <c r="AU308" s="26"/>
      <c r="AV308" s="26"/>
      <c r="AW308" s="26"/>
      <c r="AX308" s="26"/>
      <c r="AY308" s="26"/>
      <c r="AZ308" s="26"/>
      <c r="BA308" s="26"/>
      <c r="BB308" s="26"/>
      <c r="BC308" s="26"/>
      <c r="BD308" s="26"/>
      <c r="BE308" s="26"/>
      <c r="BF308" s="26"/>
      <c r="BG308" s="26"/>
      <c r="BH308" s="26"/>
      <c r="BI308" s="26"/>
      <c r="BJ308" s="26"/>
      <c r="BK308" s="26"/>
    </row>
    <row r="309" ht="14.25" customHeight="1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  <c r="AE309" s="26"/>
      <c r="AF309" s="26"/>
      <c r="AG309" s="26"/>
      <c r="AH309" s="26"/>
      <c r="AI309" s="26"/>
      <c r="AJ309" s="26"/>
      <c r="AK309" s="26"/>
      <c r="AL309" s="26"/>
      <c r="AM309" s="26"/>
      <c r="AN309" s="26"/>
      <c r="AO309" s="26"/>
      <c r="AP309" s="26"/>
      <c r="AQ309" s="26"/>
      <c r="AR309" s="26"/>
      <c r="AS309" s="26"/>
      <c r="AT309" s="26"/>
      <c r="AU309" s="26"/>
      <c r="AV309" s="26"/>
      <c r="AW309" s="26"/>
      <c r="AX309" s="26"/>
      <c r="AY309" s="26"/>
      <c r="AZ309" s="26"/>
      <c r="BA309" s="26"/>
      <c r="BB309" s="26"/>
      <c r="BC309" s="26"/>
      <c r="BD309" s="26"/>
      <c r="BE309" s="26"/>
      <c r="BF309" s="26"/>
      <c r="BG309" s="26"/>
      <c r="BH309" s="26"/>
      <c r="BI309" s="26"/>
      <c r="BJ309" s="26"/>
      <c r="BK309" s="26"/>
    </row>
    <row r="310" ht="14.25" customHeight="1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  <c r="AE310" s="26"/>
      <c r="AF310" s="26"/>
      <c r="AG310" s="26"/>
      <c r="AH310" s="26"/>
      <c r="AI310" s="26"/>
      <c r="AJ310" s="26"/>
      <c r="AK310" s="26"/>
      <c r="AL310" s="26"/>
      <c r="AM310" s="26"/>
      <c r="AN310" s="26"/>
      <c r="AO310" s="26"/>
      <c r="AP310" s="26"/>
      <c r="AQ310" s="26"/>
      <c r="AR310" s="26"/>
      <c r="AS310" s="26"/>
      <c r="AT310" s="26"/>
      <c r="AU310" s="26"/>
      <c r="AV310" s="26"/>
      <c r="AW310" s="26"/>
      <c r="AX310" s="26"/>
      <c r="AY310" s="26"/>
      <c r="AZ310" s="26"/>
      <c r="BA310" s="26"/>
      <c r="BB310" s="26"/>
      <c r="BC310" s="26"/>
      <c r="BD310" s="26"/>
      <c r="BE310" s="26"/>
      <c r="BF310" s="26"/>
      <c r="BG310" s="26"/>
      <c r="BH310" s="26"/>
      <c r="BI310" s="26"/>
      <c r="BJ310" s="26"/>
      <c r="BK310" s="26"/>
    </row>
    <row r="311" ht="14.25" customHeight="1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  <c r="AE311" s="26"/>
      <c r="AF311" s="26"/>
      <c r="AG311" s="26"/>
      <c r="AH311" s="26"/>
      <c r="AI311" s="26"/>
      <c r="AJ311" s="26"/>
      <c r="AK311" s="26"/>
      <c r="AL311" s="26"/>
      <c r="AM311" s="26"/>
      <c r="AN311" s="26"/>
      <c r="AO311" s="26"/>
      <c r="AP311" s="26"/>
      <c r="AQ311" s="26"/>
      <c r="AR311" s="26"/>
      <c r="AS311" s="26"/>
      <c r="AT311" s="26"/>
      <c r="AU311" s="26"/>
      <c r="AV311" s="26"/>
      <c r="AW311" s="26"/>
      <c r="AX311" s="26"/>
      <c r="AY311" s="26"/>
      <c r="AZ311" s="26"/>
      <c r="BA311" s="26"/>
      <c r="BB311" s="26"/>
      <c r="BC311" s="26"/>
      <c r="BD311" s="26"/>
      <c r="BE311" s="26"/>
      <c r="BF311" s="26"/>
      <c r="BG311" s="26"/>
      <c r="BH311" s="26"/>
      <c r="BI311" s="26"/>
      <c r="BJ311" s="26"/>
      <c r="BK311" s="26"/>
    </row>
    <row r="312" ht="14.25" customHeight="1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26"/>
      <c r="AF312" s="26"/>
      <c r="AG312" s="26"/>
      <c r="AH312" s="26"/>
      <c r="AI312" s="26"/>
      <c r="AJ312" s="26"/>
      <c r="AK312" s="26"/>
      <c r="AL312" s="26"/>
      <c r="AM312" s="26"/>
      <c r="AN312" s="26"/>
      <c r="AO312" s="26"/>
      <c r="AP312" s="26"/>
      <c r="AQ312" s="26"/>
      <c r="AR312" s="26"/>
      <c r="AS312" s="26"/>
      <c r="AT312" s="26"/>
      <c r="AU312" s="26"/>
      <c r="AV312" s="26"/>
      <c r="AW312" s="26"/>
      <c r="AX312" s="26"/>
      <c r="AY312" s="26"/>
      <c r="AZ312" s="26"/>
      <c r="BA312" s="26"/>
      <c r="BB312" s="26"/>
      <c r="BC312" s="26"/>
      <c r="BD312" s="26"/>
      <c r="BE312" s="26"/>
      <c r="BF312" s="26"/>
      <c r="BG312" s="26"/>
      <c r="BH312" s="26"/>
      <c r="BI312" s="26"/>
      <c r="BJ312" s="26"/>
      <c r="BK312" s="26"/>
    </row>
    <row r="313" ht="14.25" customHeight="1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  <c r="AE313" s="26"/>
      <c r="AF313" s="26"/>
      <c r="AG313" s="26"/>
      <c r="AH313" s="26"/>
      <c r="AI313" s="26"/>
      <c r="AJ313" s="26"/>
      <c r="AK313" s="26"/>
      <c r="AL313" s="26"/>
      <c r="AM313" s="26"/>
      <c r="AN313" s="26"/>
      <c r="AO313" s="26"/>
      <c r="AP313" s="26"/>
      <c r="AQ313" s="26"/>
      <c r="AR313" s="26"/>
      <c r="AS313" s="26"/>
      <c r="AT313" s="26"/>
      <c r="AU313" s="26"/>
      <c r="AV313" s="26"/>
      <c r="AW313" s="26"/>
      <c r="AX313" s="26"/>
      <c r="AY313" s="26"/>
      <c r="AZ313" s="26"/>
      <c r="BA313" s="26"/>
      <c r="BB313" s="26"/>
      <c r="BC313" s="26"/>
      <c r="BD313" s="26"/>
      <c r="BE313" s="26"/>
      <c r="BF313" s="26"/>
      <c r="BG313" s="26"/>
      <c r="BH313" s="26"/>
      <c r="BI313" s="26"/>
      <c r="BJ313" s="26"/>
      <c r="BK313" s="26"/>
    </row>
    <row r="314" ht="14.25" customHeight="1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  <c r="AF314" s="26"/>
      <c r="AG314" s="26"/>
      <c r="AH314" s="26"/>
      <c r="AI314" s="26"/>
      <c r="AJ314" s="26"/>
      <c r="AK314" s="26"/>
      <c r="AL314" s="26"/>
      <c r="AM314" s="26"/>
      <c r="AN314" s="26"/>
      <c r="AO314" s="26"/>
      <c r="AP314" s="26"/>
      <c r="AQ314" s="26"/>
      <c r="AR314" s="26"/>
      <c r="AS314" s="26"/>
      <c r="AT314" s="26"/>
      <c r="AU314" s="26"/>
      <c r="AV314" s="26"/>
      <c r="AW314" s="26"/>
      <c r="AX314" s="26"/>
      <c r="AY314" s="26"/>
      <c r="AZ314" s="26"/>
      <c r="BA314" s="26"/>
      <c r="BB314" s="26"/>
      <c r="BC314" s="26"/>
      <c r="BD314" s="26"/>
      <c r="BE314" s="26"/>
      <c r="BF314" s="26"/>
      <c r="BG314" s="26"/>
      <c r="BH314" s="26"/>
      <c r="BI314" s="26"/>
      <c r="BJ314" s="26"/>
      <c r="BK314" s="26"/>
    </row>
    <row r="315" ht="14.25" customHeight="1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  <c r="AF315" s="26"/>
      <c r="AG315" s="26"/>
      <c r="AH315" s="26"/>
      <c r="AI315" s="26"/>
      <c r="AJ315" s="26"/>
      <c r="AK315" s="26"/>
      <c r="AL315" s="26"/>
      <c r="AM315" s="26"/>
      <c r="AN315" s="26"/>
      <c r="AO315" s="26"/>
      <c r="AP315" s="26"/>
      <c r="AQ315" s="26"/>
      <c r="AR315" s="26"/>
      <c r="AS315" s="26"/>
      <c r="AT315" s="26"/>
      <c r="AU315" s="26"/>
      <c r="AV315" s="26"/>
      <c r="AW315" s="26"/>
      <c r="AX315" s="26"/>
      <c r="AY315" s="26"/>
      <c r="AZ315" s="26"/>
      <c r="BA315" s="26"/>
      <c r="BB315" s="26"/>
      <c r="BC315" s="26"/>
      <c r="BD315" s="26"/>
      <c r="BE315" s="26"/>
      <c r="BF315" s="26"/>
      <c r="BG315" s="26"/>
      <c r="BH315" s="26"/>
      <c r="BI315" s="26"/>
      <c r="BJ315" s="26"/>
      <c r="BK315" s="26"/>
    </row>
    <row r="316" ht="14.25" customHeight="1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  <c r="AE316" s="26"/>
      <c r="AF316" s="26"/>
      <c r="AG316" s="26"/>
      <c r="AH316" s="26"/>
      <c r="AI316" s="26"/>
      <c r="AJ316" s="26"/>
      <c r="AK316" s="26"/>
      <c r="AL316" s="26"/>
      <c r="AM316" s="26"/>
      <c r="AN316" s="26"/>
      <c r="AO316" s="26"/>
      <c r="AP316" s="26"/>
      <c r="AQ316" s="26"/>
      <c r="AR316" s="26"/>
      <c r="AS316" s="26"/>
      <c r="AT316" s="26"/>
      <c r="AU316" s="26"/>
      <c r="AV316" s="26"/>
      <c r="AW316" s="26"/>
      <c r="AX316" s="26"/>
      <c r="AY316" s="26"/>
      <c r="AZ316" s="26"/>
      <c r="BA316" s="26"/>
      <c r="BB316" s="26"/>
      <c r="BC316" s="26"/>
      <c r="BD316" s="26"/>
      <c r="BE316" s="26"/>
      <c r="BF316" s="26"/>
      <c r="BG316" s="26"/>
      <c r="BH316" s="26"/>
      <c r="BI316" s="26"/>
      <c r="BJ316" s="26"/>
      <c r="BK316" s="26"/>
    </row>
    <row r="317" ht="14.25" customHeight="1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  <c r="AE317" s="26"/>
      <c r="AF317" s="26"/>
      <c r="AG317" s="26"/>
      <c r="AH317" s="26"/>
      <c r="AI317" s="26"/>
      <c r="AJ317" s="26"/>
      <c r="AK317" s="26"/>
      <c r="AL317" s="26"/>
      <c r="AM317" s="26"/>
      <c r="AN317" s="26"/>
      <c r="AO317" s="26"/>
      <c r="AP317" s="26"/>
      <c r="AQ317" s="26"/>
      <c r="AR317" s="26"/>
      <c r="AS317" s="26"/>
      <c r="AT317" s="26"/>
      <c r="AU317" s="26"/>
      <c r="AV317" s="26"/>
      <c r="AW317" s="26"/>
      <c r="AX317" s="26"/>
      <c r="AY317" s="26"/>
      <c r="AZ317" s="26"/>
      <c r="BA317" s="26"/>
      <c r="BB317" s="26"/>
      <c r="BC317" s="26"/>
      <c r="BD317" s="26"/>
      <c r="BE317" s="26"/>
      <c r="BF317" s="26"/>
      <c r="BG317" s="26"/>
      <c r="BH317" s="26"/>
      <c r="BI317" s="26"/>
      <c r="BJ317" s="26"/>
      <c r="BK317" s="26"/>
    </row>
    <row r="318" ht="14.25" customHeight="1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  <c r="AF318" s="26"/>
      <c r="AG318" s="26"/>
      <c r="AH318" s="26"/>
      <c r="AI318" s="26"/>
      <c r="AJ318" s="26"/>
      <c r="AK318" s="26"/>
      <c r="AL318" s="26"/>
      <c r="AM318" s="26"/>
      <c r="AN318" s="26"/>
      <c r="AO318" s="26"/>
      <c r="AP318" s="26"/>
      <c r="AQ318" s="26"/>
      <c r="AR318" s="26"/>
      <c r="AS318" s="26"/>
      <c r="AT318" s="26"/>
      <c r="AU318" s="26"/>
      <c r="AV318" s="26"/>
      <c r="AW318" s="26"/>
      <c r="AX318" s="26"/>
      <c r="AY318" s="26"/>
      <c r="AZ318" s="26"/>
      <c r="BA318" s="26"/>
      <c r="BB318" s="26"/>
      <c r="BC318" s="26"/>
      <c r="BD318" s="26"/>
      <c r="BE318" s="26"/>
      <c r="BF318" s="26"/>
      <c r="BG318" s="26"/>
      <c r="BH318" s="26"/>
      <c r="BI318" s="26"/>
      <c r="BJ318" s="26"/>
      <c r="BK318" s="26"/>
    </row>
    <row r="319" ht="14.25" customHeight="1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  <c r="AE319" s="26"/>
      <c r="AF319" s="26"/>
      <c r="AG319" s="26"/>
      <c r="AH319" s="26"/>
      <c r="AI319" s="26"/>
      <c r="AJ319" s="26"/>
      <c r="AK319" s="26"/>
      <c r="AL319" s="26"/>
      <c r="AM319" s="26"/>
      <c r="AN319" s="26"/>
      <c r="AO319" s="26"/>
      <c r="AP319" s="26"/>
      <c r="AQ319" s="26"/>
      <c r="AR319" s="26"/>
      <c r="AS319" s="26"/>
      <c r="AT319" s="26"/>
      <c r="AU319" s="26"/>
      <c r="AV319" s="26"/>
      <c r="AW319" s="26"/>
      <c r="AX319" s="26"/>
      <c r="AY319" s="26"/>
      <c r="AZ319" s="26"/>
      <c r="BA319" s="26"/>
      <c r="BB319" s="26"/>
      <c r="BC319" s="26"/>
      <c r="BD319" s="26"/>
      <c r="BE319" s="26"/>
      <c r="BF319" s="26"/>
      <c r="BG319" s="26"/>
      <c r="BH319" s="26"/>
      <c r="BI319" s="26"/>
      <c r="BJ319" s="26"/>
      <c r="BK319" s="26"/>
    </row>
    <row r="320" ht="14.25" customHeight="1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  <c r="AF320" s="26"/>
      <c r="AG320" s="26"/>
      <c r="AH320" s="26"/>
      <c r="AI320" s="26"/>
      <c r="AJ320" s="26"/>
      <c r="AK320" s="26"/>
      <c r="AL320" s="26"/>
      <c r="AM320" s="26"/>
      <c r="AN320" s="26"/>
      <c r="AO320" s="26"/>
      <c r="AP320" s="26"/>
      <c r="AQ320" s="26"/>
      <c r="AR320" s="26"/>
      <c r="AS320" s="26"/>
      <c r="AT320" s="26"/>
      <c r="AU320" s="26"/>
      <c r="AV320" s="26"/>
      <c r="AW320" s="26"/>
      <c r="AX320" s="26"/>
      <c r="AY320" s="26"/>
      <c r="AZ320" s="26"/>
      <c r="BA320" s="26"/>
      <c r="BB320" s="26"/>
      <c r="BC320" s="26"/>
      <c r="BD320" s="26"/>
      <c r="BE320" s="26"/>
      <c r="BF320" s="26"/>
      <c r="BG320" s="26"/>
      <c r="BH320" s="26"/>
      <c r="BI320" s="26"/>
      <c r="BJ320" s="26"/>
      <c r="BK320" s="26"/>
    </row>
    <row r="321" ht="14.25" customHeight="1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  <c r="AE321" s="26"/>
      <c r="AF321" s="26"/>
      <c r="AG321" s="26"/>
      <c r="AH321" s="26"/>
      <c r="AI321" s="26"/>
      <c r="AJ321" s="26"/>
      <c r="AK321" s="26"/>
      <c r="AL321" s="26"/>
      <c r="AM321" s="26"/>
      <c r="AN321" s="26"/>
      <c r="AO321" s="26"/>
      <c r="AP321" s="26"/>
      <c r="AQ321" s="26"/>
      <c r="AR321" s="26"/>
      <c r="AS321" s="26"/>
      <c r="AT321" s="26"/>
      <c r="AU321" s="26"/>
      <c r="AV321" s="26"/>
      <c r="AW321" s="26"/>
      <c r="AX321" s="26"/>
      <c r="AY321" s="26"/>
      <c r="AZ321" s="26"/>
      <c r="BA321" s="26"/>
      <c r="BB321" s="26"/>
      <c r="BC321" s="26"/>
      <c r="BD321" s="26"/>
      <c r="BE321" s="26"/>
      <c r="BF321" s="26"/>
      <c r="BG321" s="26"/>
      <c r="BH321" s="26"/>
      <c r="BI321" s="26"/>
      <c r="BJ321" s="26"/>
      <c r="BK321" s="26"/>
    </row>
    <row r="322" ht="14.25" customHeight="1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  <c r="AE322" s="26"/>
      <c r="AF322" s="26"/>
      <c r="AG322" s="26"/>
      <c r="AH322" s="26"/>
      <c r="AI322" s="26"/>
      <c r="AJ322" s="26"/>
      <c r="AK322" s="26"/>
      <c r="AL322" s="26"/>
      <c r="AM322" s="26"/>
      <c r="AN322" s="26"/>
      <c r="AO322" s="26"/>
      <c r="AP322" s="26"/>
      <c r="AQ322" s="26"/>
      <c r="AR322" s="26"/>
      <c r="AS322" s="26"/>
      <c r="AT322" s="26"/>
      <c r="AU322" s="26"/>
      <c r="AV322" s="26"/>
      <c r="AW322" s="26"/>
      <c r="AX322" s="26"/>
      <c r="AY322" s="26"/>
      <c r="AZ322" s="26"/>
      <c r="BA322" s="26"/>
      <c r="BB322" s="26"/>
      <c r="BC322" s="26"/>
      <c r="BD322" s="26"/>
      <c r="BE322" s="26"/>
      <c r="BF322" s="26"/>
      <c r="BG322" s="26"/>
      <c r="BH322" s="26"/>
      <c r="BI322" s="26"/>
      <c r="BJ322" s="26"/>
      <c r="BK322" s="26"/>
    </row>
    <row r="323" ht="14.25" customHeight="1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  <c r="AE323" s="26"/>
      <c r="AF323" s="26"/>
      <c r="AG323" s="26"/>
      <c r="AH323" s="26"/>
      <c r="AI323" s="26"/>
      <c r="AJ323" s="26"/>
      <c r="AK323" s="26"/>
      <c r="AL323" s="26"/>
      <c r="AM323" s="26"/>
      <c r="AN323" s="26"/>
      <c r="AO323" s="26"/>
      <c r="AP323" s="26"/>
      <c r="AQ323" s="26"/>
      <c r="AR323" s="26"/>
      <c r="AS323" s="26"/>
      <c r="AT323" s="26"/>
      <c r="AU323" s="26"/>
      <c r="AV323" s="26"/>
      <c r="AW323" s="26"/>
      <c r="AX323" s="26"/>
      <c r="AY323" s="26"/>
      <c r="AZ323" s="26"/>
      <c r="BA323" s="26"/>
      <c r="BB323" s="26"/>
      <c r="BC323" s="26"/>
      <c r="BD323" s="26"/>
      <c r="BE323" s="26"/>
      <c r="BF323" s="26"/>
      <c r="BG323" s="26"/>
      <c r="BH323" s="26"/>
      <c r="BI323" s="26"/>
      <c r="BJ323" s="26"/>
      <c r="BK323" s="26"/>
    </row>
    <row r="324" ht="14.25" customHeight="1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  <c r="AE324" s="26"/>
      <c r="AF324" s="26"/>
      <c r="AG324" s="26"/>
      <c r="AH324" s="26"/>
      <c r="AI324" s="26"/>
      <c r="AJ324" s="26"/>
      <c r="AK324" s="26"/>
      <c r="AL324" s="26"/>
      <c r="AM324" s="26"/>
      <c r="AN324" s="26"/>
      <c r="AO324" s="26"/>
      <c r="AP324" s="26"/>
      <c r="AQ324" s="26"/>
      <c r="AR324" s="26"/>
      <c r="AS324" s="26"/>
      <c r="AT324" s="26"/>
      <c r="AU324" s="26"/>
      <c r="AV324" s="26"/>
      <c r="AW324" s="26"/>
      <c r="AX324" s="26"/>
      <c r="AY324" s="26"/>
      <c r="AZ324" s="26"/>
      <c r="BA324" s="26"/>
      <c r="BB324" s="26"/>
      <c r="BC324" s="26"/>
      <c r="BD324" s="26"/>
      <c r="BE324" s="26"/>
      <c r="BF324" s="26"/>
      <c r="BG324" s="26"/>
      <c r="BH324" s="26"/>
      <c r="BI324" s="26"/>
      <c r="BJ324" s="26"/>
      <c r="BK324" s="26"/>
    </row>
    <row r="325" ht="14.25" customHeight="1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  <c r="AE325" s="26"/>
      <c r="AF325" s="26"/>
      <c r="AG325" s="26"/>
      <c r="AH325" s="26"/>
      <c r="AI325" s="26"/>
      <c r="AJ325" s="26"/>
      <c r="AK325" s="26"/>
      <c r="AL325" s="26"/>
      <c r="AM325" s="26"/>
      <c r="AN325" s="26"/>
      <c r="AO325" s="26"/>
      <c r="AP325" s="26"/>
      <c r="AQ325" s="26"/>
      <c r="AR325" s="26"/>
      <c r="AS325" s="26"/>
      <c r="AT325" s="26"/>
      <c r="AU325" s="26"/>
      <c r="AV325" s="26"/>
      <c r="AW325" s="26"/>
      <c r="AX325" s="26"/>
      <c r="AY325" s="26"/>
      <c r="AZ325" s="26"/>
      <c r="BA325" s="26"/>
      <c r="BB325" s="26"/>
      <c r="BC325" s="26"/>
      <c r="BD325" s="26"/>
      <c r="BE325" s="26"/>
      <c r="BF325" s="26"/>
      <c r="BG325" s="26"/>
      <c r="BH325" s="26"/>
      <c r="BI325" s="26"/>
      <c r="BJ325" s="26"/>
      <c r="BK325" s="26"/>
    </row>
    <row r="326" ht="14.25" customHeight="1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  <c r="AE326" s="26"/>
      <c r="AF326" s="26"/>
      <c r="AG326" s="26"/>
      <c r="AH326" s="26"/>
      <c r="AI326" s="26"/>
      <c r="AJ326" s="26"/>
      <c r="AK326" s="26"/>
      <c r="AL326" s="26"/>
      <c r="AM326" s="26"/>
      <c r="AN326" s="26"/>
      <c r="AO326" s="26"/>
      <c r="AP326" s="26"/>
      <c r="AQ326" s="26"/>
      <c r="AR326" s="26"/>
      <c r="AS326" s="26"/>
      <c r="AT326" s="26"/>
      <c r="AU326" s="26"/>
      <c r="AV326" s="26"/>
      <c r="AW326" s="26"/>
      <c r="AX326" s="26"/>
      <c r="AY326" s="26"/>
      <c r="AZ326" s="26"/>
      <c r="BA326" s="26"/>
      <c r="BB326" s="26"/>
      <c r="BC326" s="26"/>
      <c r="BD326" s="26"/>
      <c r="BE326" s="26"/>
      <c r="BF326" s="26"/>
      <c r="BG326" s="26"/>
      <c r="BH326" s="26"/>
      <c r="BI326" s="26"/>
      <c r="BJ326" s="26"/>
      <c r="BK326" s="26"/>
    </row>
    <row r="327" ht="14.25" customHeight="1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  <c r="AE327" s="26"/>
      <c r="AF327" s="26"/>
      <c r="AG327" s="26"/>
      <c r="AH327" s="26"/>
      <c r="AI327" s="26"/>
      <c r="AJ327" s="26"/>
      <c r="AK327" s="26"/>
      <c r="AL327" s="26"/>
      <c r="AM327" s="26"/>
      <c r="AN327" s="26"/>
      <c r="AO327" s="26"/>
      <c r="AP327" s="26"/>
      <c r="AQ327" s="26"/>
      <c r="AR327" s="26"/>
      <c r="AS327" s="26"/>
      <c r="AT327" s="26"/>
      <c r="AU327" s="26"/>
      <c r="AV327" s="26"/>
      <c r="AW327" s="26"/>
      <c r="AX327" s="26"/>
      <c r="AY327" s="26"/>
      <c r="AZ327" s="26"/>
      <c r="BA327" s="26"/>
      <c r="BB327" s="26"/>
      <c r="BC327" s="26"/>
      <c r="BD327" s="26"/>
      <c r="BE327" s="26"/>
      <c r="BF327" s="26"/>
      <c r="BG327" s="26"/>
      <c r="BH327" s="26"/>
      <c r="BI327" s="26"/>
      <c r="BJ327" s="26"/>
      <c r="BK327" s="26"/>
    </row>
    <row r="328" ht="14.25" customHeight="1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  <c r="AE328" s="26"/>
      <c r="AF328" s="26"/>
      <c r="AG328" s="26"/>
      <c r="AH328" s="26"/>
      <c r="AI328" s="26"/>
      <c r="AJ328" s="26"/>
      <c r="AK328" s="26"/>
      <c r="AL328" s="26"/>
      <c r="AM328" s="26"/>
      <c r="AN328" s="26"/>
      <c r="AO328" s="26"/>
      <c r="AP328" s="26"/>
      <c r="AQ328" s="26"/>
      <c r="AR328" s="26"/>
      <c r="AS328" s="26"/>
      <c r="AT328" s="26"/>
      <c r="AU328" s="26"/>
      <c r="AV328" s="26"/>
      <c r="AW328" s="26"/>
      <c r="AX328" s="26"/>
      <c r="AY328" s="26"/>
      <c r="AZ328" s="26"/>
      <c r="BA328" s="26"/>
      <c r="BB328" s="26"/>
      <c r="BC328" s="26"/>
      <c r="BD328" s="26"/>
      <c r="BE328" s="26"/>
      <c r="BF328" s="26"/>
      <c r="BG328" s="26"/>
      <c r="BH328" s="26"/>
      <c r="BI328" s="26"/>
      <c r="BJ328" s="26"/>
      <c r="BK328" s="26"/>
    </row>
    <row r="329" ht="14.25" customHeight="1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  <c r="AE329" s="26"/>
      <c r="AF329" s="26"/>
      <c r="AG329" s="26"/>
      <c r="AH329" s="26"/>
      <c r="AI329" s="26"/>
      <c r="AJ329" s="26"/>
      <c r="AK329" s="26"/>
      <c r="AL329" s="26"/>
      <c r="AM329" s="26"/>
      <c r="AN329" s="26"/>
      <c r="AO329" s="26"/>
      <c r="AP329" s="26"/>
      <c r="AQ329" s="26"/>
      <c r="AR329" s="26"/>
      <c r="AS329" s="26"/>
      <c r="AT329" s="26"/>
      <c r="AU329" s="26"/>
      <c r="AV329" s="26"/>
      <c r="AW329" s="26"/>
      <c r="AX329" s="26"/>
      <c r="AY329" s="26"/>
      <c r="AZ329" s="26"/>
      <c r="BA329" s="26"/>
      <c r="BB329" s="26"/>
      <c r="BC329" s="26"/>
      <c r="BD329" s="26"/>
      <c r="BE329" s="26"/>
      <c r="BF329" s="26"/>
      <c r="BG329" s="26"/>
      <c r="BH329" s="26"/>
      <c r="BI329" s="26"/>
      <c r="BJ329" s="26"/>
      <c r="BK329" s="26"/>
    </row>
    <row r="330" ht="14.25" customHeight="1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  <c r="AE330" s="26"/>
      <c r="AF330" s="26"/>
      <c r="AG330" s="26"/>
      <c r="AH330" s="26"/>
      <c r="AI330" s="26"/>
      <c r="AJ330" s="26"/>
      <c r="AK330" s="26"/>
      <c r="AL330" s="26"/>
      <c r="AM330" s="26"/>
      <c r="AN330" s="26"/>
      <c r="AO330" s="26"/>
      <c r="AP330" s="26"/>
      <c r="AQ330" s="26"/>
      <c r="AR330" s="26"/>
      <c r="AS330" s="26"/>
      <c r="AT330" s="26"/>
      <c r="AU330" s="26"/>
      <c r="AV330" s="26"/>
      <c r="AW330" s="26"/>
      <c r="AX330" s="26"/>
      <c r="AY330" s="26"/>
      <c r="AZ330" s="26"/>
      <c r="BA330" s="26"/>
      <c r="BB330" s="26"/>
      <c r="BC330" s="26"/>
      <c r="BD330" s="26"/>
      <c r="BE330" s="26"/>
      <c r="BF330" s="26"/>
      <c r="BG330" s="26"/>
      <c r="BH330" s="26"/>
      <c r="BI330" s="26"/>
      <c r="BJ330" s="26"/>
      <c r="BK330" s="26"/>
    </row>
    <row r="331" ht="14.25" customHeight="1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  <c r="AE331" s="26"/>
      <c r="AF331" s="26"/>
      <c r="AG331" s="26"/>
      <c r="AH331" s="26"/>
      <c r="AI331" s="26"/>
      <c r="AJ331" s="26"/>
      <c r="AK331" s="26"/>
      <c r="AL331" s="26"/>
      <c r="AM331" s="26"/>
      <c r="AN331" s="26"/>
      <c r="AO331" s="26"/>
      <c r="AP331" s="26"/>
      <c r="AQ331" s="26"/>
      <c r="AR331" s="26"/>
      <c r="AS331" s="26"/>
      <c r="AT331" s="26"/>
      <c r="AU331" s="26"/>
      <c r="AV331" s="26"/>
      <c r="AW331" s="26"/>
      <c r="AX331" s="26"/>
      <c r="AY331" s="26"/>
      <c r="AZ331" s="26"/>
      <c r="BA331" s="26"/>
      <c r="BB331" s="26"/>
      <c r="BC331" s="26"/>
      <c r="BD331" s="26"/>
      <c r="BE331" s="26"/>
      <c r="BF331" s="26"/>
      <c r="BG331" s="26"/>
      <c r="BH331" s="26"/>
      <c r="BI331" s="26"/>
      <c r="BJ331" s="26"/>
      <c r="BK331" s="26"/>
    </row>
    <row r="332" ht="14.25" customHeight="1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  <c r="AE332" s="26"/>
      <c r="AF332" s="26"/>
      <c r="AG332" s="26"/>
      <c r="AH332" s="26"/>
      <c r="AI332" s="26"/>
      <c r="AJ332" s="26"/>
      <c r="AK332" s="26"/>
      <c r="AL332" s="26"/>
      <c r="AM332" s="26"/>
      <c r="AN332" s="26"/>
      <c r="AO332" s="26"/>
      <c r="AP332" s="26"/>
      <c r="AQ332" s="26"/>
      <c r="AR332" s="26"/>
      <c r="AS332" s="26"/>
      <c r="AT332" s="26"/>
      <c r="AU332" s="26"/>
      <c r="AV332" s="26"/>
      <c r="AW332" s="26"/>
      <c r="AX332" s="26"/>
      <c r="AY332" s="26"/>
      <c r="AZ332" s="26"/>
      <c r="BA332" s="26"/>
      <c r="BB332" s="26"/>
      <c r="BC332" s="26"/>
      <c r="BD332" s="26"/>
      <c r="BE332" s="26"/>
      <c r="BF332" s="26"/>
      <c r="BG332" s="26"/>
      <c r="BH332" s="26"/>
      <c r="BI332" s="26"/>
      <c r="BJ332" s="26"/>
      <c r="BK332" s="26"/>
    </row>
    <row r="333" ht="14.25" customHeight="1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  <c r="AE333" s="26"/>
      <c r="AF333" s="26"/>
      <c r="AG333" s="26"/>
      <c r="AH333" s="26"/>
      <c r="AI333" s="26"/>
      <c r="AJ333" s="26"/>
      <c r="AK333" s="26"/>
      <c r="AL333" s="26"/>
      <c r="AM333" s="26"/>
      <c r="AN333" s="26"/>
      <c r="AO333" s="26"/>
      <c r="AP333" s="26"/>
      <c r="AQ333" s="26"/>
      <c r="AR333" s="26"/>
      <c r="AS333" s="26"/>
      <c r="AT333" s="26"/>
      <c r="AU333" s="26"/>
      <c r="AV333" s="26"/>
      <c r="AW333" s="26"/>
      <c r="AX333" s="26"/>
      <c r="AY333" s="26"/>
      <c r="AZ333" s="26"/>
      <c r="BA333" s="26"/>
      <c r="BB333" s="26"/>
      <c r="BC333" s="26"/>
      <c r="BD333" s="26"/>
      <c r="BE333" s="26"/>
      <c r="BF333" s="26"/>
      <c r="BG333" s="26"/>
      <c r="BH333" s="26"/>
      <c r="BI333" s="26"/>
      <c r="BJ333" s="26"/>
      <c r="BK333" s="26"/>
    </row>
    <row r="334" ht="14.25" customHeight="1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  <c r="AE334" s="26"/>
      <c r="AF334" s="26"/>
      <c r="AG334" s="26"/>
      <c r="AH334" s="26"/>
      <c r="AI334" s="26"/>
      <c r="AJ334" s="26"/>
      <c r="AK334" s="26"/>
      <c r="AL334" s="26"/>
      <c r="AM334" s="26"/>
      <c r="AN334" s="26"/>
      <c r="AO334" s="26"/>
      <c r="AP334" s="26"/>
      <c r="AQ334" s="26"/>
      <c r="AR334" s="26"/>
      <c r="AS334" s="26"/>
      <c r="AT334" s="26"/>
      <c r="AU334" s="26"/>
      <c r="AV334" s="26"/>
      <c r="AW334" s="26"/>
      <c r="AX334" s="26"/>
      <c r="AY334" s="26"/>
      <c r="AZ334" s="26"/>
      <c r="BA334" s="26"/>
      <c r="BB334" s="26"/>
      <c r="BC334" s="26"/>
      <c r="BD334" s="26"/>
      <c r="BE334" s="26"/>
      <c r="BF334" s="26"/>
      <c r="BG334" s="26"/>
      <c r="BH334" s="26"/>
      <c r="BI334" s="26"/>
      <c r="BJ334" s="26"/>
      <c r="BK334" s="26"/>
    </row>
    <row r="335" ht="14.25" customHeight="1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  <c r="AE335" s="26"/>
      <c r="AF335" s="26"/>
      <c r="AG335" s="26"/>
      <c r="AH335" s="26"/>
      <c r="AI335" s="26"/>
      <c r="AJ335" s="26"/>
      <c r="AK335" s="26"/>
      <c r="AL335" s="26"/>
      <c r="AM335" s="26"/>
      <c r="AN335" s="26"/>
      <c r="AO335" s="26"/>
      <c r="AP335" s="26"/>
      <c r="AQ335" s="26"/>
      <c r="AR335" s="26"/>
      <c r="AS335" s="26"/>
      <c r="AT335" s="26"/>
      <c r="AU335" s="26"/>
      <c r="AV335" s="26"/>
      <c r="AW335" s="26"/>
      <c r="AX335" s="26"/>
      <c r="AY335" s="26"/>
      <c r="AZ335" s="26"/>
      <c r="BA335" s="26"/>
      <c r="BB335" s="26"/>
      <c r="BC335" s="26"/>
      <c r="BD335" s="26"/>
      <c r="BE335" s="26"/>
      <c r="BF335" s="26"/>
      <c r="BG335" s="26"/>
      <c r="BH335" s="26"/>
      <c r="BI335" s="26"/>
      <c r="BJ335" s="26"/>
      <c r="BK335" s="26"/>
    </row>
    <row r="336" ht="14.25" customHeight="1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  <c r="AE336" s="26"/>
      <c r="AF336" s="26"/>
      <c r="AG336" s="26"/>
      <c r="AH336" s="26"/>
      <c r="AI336" s="26"/>
      <c r="AJ336" s="26"/>
      <c r="AK336" s="26"/>
      <c r="AL336" s="26"/>
      <c r="AM336" s="26"/>
      <c r="AN336" s="26"/>
      <c r="AO336" s="26"/>
      <c r="AP336" s="26"/>
      <c r="AQ336" s="26"/>
      <c r="AR336" s="26"/>
      <c r="AS336" s="26"/>
      <c r="AT336" s="26"/>
      <c r="AU336" s="26"/>
      <c r="AV336" s="26"/>
      <c r="AW336" s="26"/>
      <c r="AX336" s="26"/>
      <c r="AY336" s="26"/>
      <c r="AZ336" s="26"/>
      <c r="BA336" s="26"/>
      <c r="BB336" s="26"/>
      <c r="BC336" s="26"/>
      <c r="BD336" s="26"/>
      <c r="BE336" s="26"/>
      <c r="BF336" s="26"/>
      <c r="BG336" s="26"/>
      <c r="BH336" s="26"/>
      <c r="BI336" s="26"/>
      <c r="BJ336" s="26"/>
      <c r="BK336" s="26"/>
    </row>
    <row r="337" ht="14.25" customHeight="1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  <c r="AE337" s="26"/>
      <c r="AF337" s="26"/>
      <c r="AG337" s="26"/>
      <c r="AH337" s="26"/>
      <c r="AI337" s="26"/>
      <c r="AJ337" s="26"/>
      <c r="AK337" s="26"/>
      <c r="AL337" s="26"/>
      <c r="AM337" s="26"/>
      <c r="AN337" s="26"/>
      <c r="AO337" s="26"/>
      <c r="AP337" s="26"/>
      <c r="AQ337" s="26"/>
      <c r="AR337" s="26"/>
      <c r="AS337" s="26"/>
      <c r="AT337" s="26"/>
      <c r="AU337" s="26"/>
      <c r="AV337" s="26"/>
      <c r="AW337" s="26"/>
      <c r="AX337" s="26"/>
      <c r="AY337" s="26"/>
      <c r="AZ337" s="26"/>
      <c r="BA337" s="26"/>
      <c r="BB337" s="26"/>
      <c r="BC337" s="26"/>
      <c r="BD337" s="26"/>
      <c r="BE337" s="26"/>
      <c r="BF337" s="26"/>
      <c r="BG337" s="26"/>
      <c r="BH337" s="26"/>
      <c r="BI337" s="26"/>
      <c r="BJ337" s="26"/>
      <c r="BK337" s="26"/>
    </row>
    <row r="338" ht="14.25" customHeight="1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  <c r="AE338" s="26"/>
      <c r="AF338" s="26"/>
      <c r="AG338" s="26"/>
      <c r="AH338" s="26"/>
      <c r="AI338" s="26"/>
      <c r="AJ338" s="26"/>
      <c r="AK338" s="26"/>
      <c r="AL338" s="26"/>
      <c r="AM338" s="26"/>
      <c r="AN338" s="26"/>
      <c r="AO338" s="26"/>
      <c r="AP338" s="26"/>
      <c r="AQ338" s="26"/>
      <c r="AR338" s="26"/>
      <c r="AS338" s="26"/>
      <c r="AT338" s="26"/>
      <c r="AU338" s="26"/>
      <c r="AV338" s="26"/>
      <c r="AW338" s="26"/>
      <c r="AX338" s="26"/>
      <c r="AY338" s="26"/>
      <c r="AZ338" s="26"/>
      <c r="BA338" s="26"/>
      <c r="BB338" s="26"/>
      <c r="BC338" s="26"/>
      <c r="BD338" s="26"/>
      <c r="BE338" s="26"/>
      <c r="BF338" s="26"/>
      <c r="BG338" s="26"/>
      <c r="BH338" s="26"/>
      <c r="BI338" s="26"/>
      <c r="BJ338" s="26"/>
      <c r="BK338" s="26"/>
    </row>
    <row r="339" ht="14.25" customHeight="1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  <c r="AD339" s="26"/>
      <c r="AE339" s="26"/>
      <c r="AF339" s="26"/>
      <c r="AG339" s="26"/>
      <c r="AH339" s="26"/>
      <c r="AI339" s="26"/>
      <c r="AJ339" s="26"/>
      <c r="AK339" s="26"/>
      <c r="AL339" s="26"/>
      <c r="AM339" s="26"/>
      <c r="AN339" s="26"/>
      <c r="AO339" s="26"/>
      <c r="AP339" s="26"/>
      <c r="AQ339" s="26"/>
      <c r="AR339" s="26"/>
      <c r="AS339" s="26"/>
      <c r="AT339" s="26"/>
      <c r="AU339" s="26"/>
      <c r="AV339" s="26"/>
      <c r="AW339" s="26"/>
      <c r="AX339" s="26"/>
      <c r="AY339" s="26"/>
      <c r="AZ339" s="26"/>
      <c r="BA339" s="26"/>
      <c r="BB339" s="26"/>
      <c r="BC339" s="26"/>
      <c r="BD339" s="26"/>
      <c r="BE339" s="26"/>
      <c r="BF339" s="26"/>
      <c r="BG339" s="26"/>
      <c r="BH339" s="26"/>
      <c r="BI339" s="26"/>
      <c r="BJ339" s="26"/>
      <c r="BK339" s="26"/>
    </row>
    <row r="340" ht="14.25" customHeight="1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  <c r="AE340" s="26"/>
      <c r="AF340" s="26"/>
      <c r="AG340" s="26"/>
      <c r="AH340" s="26"/>
      <c r="AI340" s="26"/>
      <c r="AJ340" s="26"/>
      <c r="AK340" s="26"/>
      <c r="AL340" s="26"/>
      <c r="AM340" s="26"/>
      <c r="AN340" s="26"/>
      <c r="AO340" s="26"/>
      <c r="AP340" s="26"/>
      <c r="AQ340" s="26"/>
      <c r="AR340" s="26"/>
      <c r="AS340" s="26"/>
      <c r="AT340" s="26"/>
      <c r="AU340" s="26"/>
      <c r="AV340" s="26"/>
      <c r="AW340" s="26"/>
      <c r="AX340" s="26"/>
      <c r="AY340" s="26"/>
      <c r="AZ340" s="26"/>
      <c r="BA340" s="26"/>
      <c r="BB340" s="26"/>
      <c r="BC340" s="26"/>
      <c r="BD340" s="26"/>
      <c r="BE340" s="26"/>
      <c r="BF340" s="26"/>
      <c r="BG340" s="26"/>
      <c r="BH340" s="26"/>
      <c r="BI340" s="26"/>
      <c r="BJ340" s="26"/>
      <c r="BK340" s="26"/>
    </row>
    <row r="341" ht="14.25" customHeight="1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  <c r="AE341" s="26"/>
      <c r="AF341" s="26"/>
      <c r="AG341" s="26"/>
      <c r="AH341" s="26"/>
      <c r="AI341" s="26"/>
      <c r="AJ341" s="26"/>
      <c r="AK341" s="26"/>
      <c r="AL341" s="26"/>
      <c r="AM341" s="26"/>
      <c r="AN341" s="26"/>
      <c r="AO341" s="26"/>
      <c r="AP341" s="26"/>
      <c r="AQ341" s="26"/>
      <c r="AR341" s="26"/>
      <c r="AS341" s="26"/>
      <c r="AT341" s="26"/>
      <c r="AU341" s="26"/>
      <c r="AV341" s="26"/>
      <c r="AW341" s="26"/>
      <c r="AX341" s="26"/>
      <c r="AY341" s="26"/>
      <c r="AZ341" s="26"/>
      <c r="BA341" s="26"/>
      <c r="BB341" s="26"/>
      <c r="BC341" s="26"/>
      <c r="BD341" s="26"/>
      <c r="BE341" s="26"/>
      <c r="BF341" s="26"/>
      <c r="BG341" s="26"/>
      <c r="BH341" s="26"/>
      <c r="BI341" s="26"/>
      <c r="BJ341" s="26"/>
      <c r="BK341" s="26"/>
    </row>
    <row r="342" ht="14.25" customHeight="1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  <c r="AE342" s="26"/>
      <c r="AF342" s="26"/>
      <c r="AG342" s="26"/>
      <c r="AH342" s="26"/>
      <c r="AI342" s="26"/>
      <c r="AJ342" s="26"/>
      <c r="AK342" s="26"/>
      <c r="AL342" s="26"/>
      <c r="AM342" s="26"/>
      <c r="AN342" s="26"/>
      <c r="AO342" s="26"/>
      <c r="AP342" s="26"/>
      <c r="AQ342" s="26"/>
      <c r="AR342" s="26"/>
      <c r="AS342" s="26"/>
      <c r="AT342" s="26"/>
      <c r="AU342" s="26"/>
      <c r="AV342" s="26"/>
      <c r="AW342" s="26"/>
      <c r="AX342" s="26"/>
      <c r="AY342" s="26"/>
      <c r="AZ342" s="26"/>
      <c r="BA342" s="26"/>
      <c r="BB342" s="26"/>
      <c r="BC342" s="26"/>
      <c r="BD342" s="26"/>
      <c r="BE342" s="26"/>
      <c r="BF342" s="26"/>
      <c r="BG342" s="26"/>
      <c r="BH342" s="26"/>
      <c r="BI342" s="26"/>
      <c r="BJ342" s="26"/>
      <c r="BK342" s="26"/>
    </row>
    <row r="343" ht="14.25" customHeight="1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  <c r="AE343" s="26"/>
      <c r="AF343" s="26"/>
      <c r="AG343" s="26"/>
      <c r="AH343" s="26"/>
      <c r="AI343" s="26"/>
      <c r="AJ343" s="26"/>
      <c r="AK343" s="26"/>
      <c r="AL343" s="26"/>
      <c r="AM343" s="26"/>
      <c r="AN343" s="26"/>
      <c r="AO343" s="26"/>
      <c r="AP343" s="26"/>
      <c r="AQ343" s="26"/>
      <c r="AR343" s="26"/>
      <c r="AS343" s="26"/>
      <c r="AT343" s="26"/>
      <c r="AU343" s="26"/>
      <c r="AV343" s="26"/>
      <c r="AW343" s="26"/>
      <c r="AX343" s="26"/>
      <c r="AY343" s="26"/>
      <c r="AZ343" s="26"/>
      <c r="BA343" s="26"/>
      <c r="BB343" s="26"/>
      <c r="BC343" s="26"/>
      <c r="BD343" s="26"/>
      <c r="BE343" s="26"/>
      <c r="BF343" s="26"/>
      <c r="BG343" s="26"/>
      <c r="BH343" s="26"/>
      <c r="BI343" s="26"/>
      <c r="BJ343" s="26"/>
      <c r="BK343" s="26"/>
    </row>
    <row r="344" ht="14.25" customHeight="1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  <c r="AF344" s="26"/>
      <c r="AG344" s="26"/>
      <c r="AH344" s="26"/>
      <c r="AI344" s="26"/>
      <c r="AJ344" s="26"/>
      <c r="AK344" s="26"/>
      <c r="AL344" s="26"/>
      <c r="AM344" s="26"/>
      <c r="AN344" s="26"/>
      <c r="AO344" s="26"/>
      <c r="AP344" s="26"/>
      <c r="AQ344" s="26"/>
      <c r="AR344" s="26"/>
      <c r="AS344" s="26"/>
      <c r="AT344" s="26"/>
      <c r="AU344" s="26"/>
      <c r="AV344" s="26"/>
      <c r="AW344" s="26"/>
      <c r="AX344" s="26"/>
      <c r="AY344" s="26"/>
      <c r="AZ344" s="26"/>
      <c r="BA344" s="26"/>
      <c r="BB344" s="26"/>
      <c r="BC344" s="26"/>
      <c r="BD344" s="26"/>
      <c r="BE344" s="26"/>
      <c r="BF344" s="26"/>
      <c r="BG344" s="26"/>
      <c r="BH344" s="26"/>
      <c r="BI344" s="26"/>
      <c r="BJ344" s="26"/>
      <c r="BK344" s="26"/>
    </row>
    <row r="345" ht="14.25" customHeight="1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  <c r="AE345" s="26"/>
      <c r="AF345" s="26"/>
      <c r="AG345" s="26"/>
      <c r="AH345" s="26"/>
      <c r="AI345" s="26"/>
      <c r="AJ345" s="26"/>
      <c r="AK345" s="26"/>
      <c r="AL345" s="26"/>
      <c r="AM345" s="26"/>
      <c r="AN345" s="26"/>
      <c r="AO345" s="26"/>
      <c r="AP345" s="26"/>
      <c r="AQ345" s="26"/>
      <c r="AR345" s="26"/>
      <c r="AS345" s="26"/>
      <c r="AT345" s="26"/>
      <c r="AU345" s="26"/>
      <c r="AV345" s="26"/>
      <c r="AW345" s="26"/>
      <c r="AX345" s="26"/>
      <c r="AY345" s="26"/>
      <c r="AZ345" s="26"/>
      <c r="BA345" s="26"/>
      <c r="BB345" s="26"/>
      <c r="BC345" s="26"/>
      <c r="BD345" s="26"/>
      <c r="BE345" s="26"/>
      <c r="BF345" s="26"/>
      <c r="BG345" s="26"/>
      <c r="BH345" s="26"/>
      <c r="BI345" s="26"/>
      <c r="BJ345" s="26"/>
      <c r="BK345" s="26"/>
    </row>
    <row r="346" ht="14.25" customHeight="1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  <c r="AF346" s="26"/>
      <c r="AG346" s="26"/>
      <c r="AH346" s="26"/>
      <c r="AI346" s="26"/>
      <c r="AJ346" s="26"/>
      <c r="AK346" s="26"/>
      <c r="AL346" s="26"/>
      <c r="AM346" s="26"/>
      <c r="AN346" s="26"/>
      <c r="AO346" s="26"/>
      <c r="AP346" s="26"/>
      <c r="AQ346" s="26"/>
      <c r="AR346" s="26"/>
      <c r="AS346" s="26"/>
      <c r="AT346" s="26"/>
      <c r="AU346" s="26"/>
      <c r="AV346" s="26"/>
      <c r="AW346" s="26"/>
      <c r="AX346" s="26"/>
      <c r="AY346" s="26"/>
      <c r="AZ346" s="26"/>
      <c r="BA346" s="26"/>
      <c r="BB346" s="26"/>
      <c r="BC346" s="26"/>
      <c r="BD346" s="26"/>
      <c r="BE346" s="26"/>
      <c r="BF346" s="26"/>
      <c r="BG346" s="26"/>
      <c r="BH346" s="26"/>
      <c r="BI346" s="26"/>
      <c r="BJ346" s="26"/>
      <c r="BK346" s="26"/>
    </row>
    <row r="347" ht="14.25" customHeight="1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  <c r="AE347" s="26"/>
      <c r="AF347" s="26"/>
      <c r="AG347" s="26"/>
      <c r="AH347" s="26"/>
      <c r="AI347" s="26"/>
      <c r="AJ347" s="26"/>
      <c r="AK347" s="26"/>
      <c r="AL347" s="26"/>
      <c r="AM347" s="26"/>
      <c r="AN347" s="26"/>
      <c r="AO347" s="26"/>
      <c r="AP347" s="26"/>
      <c r="AQ347" s="26"/>
      <c r="AR347" s="26"/>
      <c r="AS347" s="26"/>
      <c r="AT347" s="26"/>
      <c r="AU347" s="26"/>
      <c r="AV347" s="26"/>
      <c r="AW347" s="26"/>
      <c r="AX347" s="26"/>
      <c r="AY347" s="26"/>
      <c r="AZ347" s="26"/>
      <c r="BA347" s="26"/>
      <c r="BB347" s="26"/>
      <c r="BC347" s="26"/>
      <c r="BD347" s="26"/>
      <c r="BE347" s="26"/>
      <c r="BF347" s="26"/>
      <c r="BG347" s="26"/>
      <c r="BH347" s="26"/>
      <c r="BI347" s="26"/>
      <c r="BJ347" s="26"/>
      <c r="BK347" s="26"/>
    </row>
    <row r="348" ht="14.25" customHeight="1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  <c r="AE348" s="26"/>
      <c r="AF348" s="26"/>
      <c r="AG348" s="26"/>
      <c r="AH348" s="26"/>
      <c r="AI348" s="26"/>
      <c r="AJ348" s="26"/>
      <c r="AK348" s="26"/>
      <c r="AL348" s="26"/>
      <c r="AM348" s="26"/>
      <c r="AN348" s="26"/>
      <c r="AO348" s="26"/>
      <c r="AP348" s="26"/>
      <c r="AQ348" s="26"/>
      <c r="AR348" s="26"/>
      <c r="AS348" s="26"/>
      <c r="AT348" s="26"/>
      <c r="AU348" s="26"/>
      <c r="AV348" s="26"/>
      <c r="AW348" s="26"/>
      <c r="AX348" s="26"/>
      <c r="AY348" s="26"/>
      <c r="AZ348" s="26"/>
      <c r="BA348" s="26"/>
      <c r="BB348" s="26"/>
      <c r="BC348" s="26"/>
      <c r="BD348" s="26"/>
      <c r="BE348" s="26"/>
      <c r="BF348" s="26"/>
      <c r="BG348" s="26"/>
      <c r="BH348" s="26"/>
      <c r="BI348" s="26"/>
      <c r="BJ348" s="26"/>
      <c r="BK348" s="26"/>
    </row>
    <row r="349" ht="14.25" customHeight="1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  <c r="AE349" s="26"/>
      <c r="AF349" s="26"/>
      <c r="AG349" s="26"/>
      <c r="AH349" s="26"/>
      <c r="AI349" s="26"/>
      <c r="AJ349" s="26"/>
      <c r="AK349" s="26"/>
      <c r="AL349" s="26"/>
      <c r="AM349" s="26"/>
      <c r="AN349" s="26"/>
      <c r="AO349" s="26"/>
      <c r="AP349" s="26"/>
      <c r="AQ349" s="26"/>
      <c r="AR349" s="26"/>
      <c r="AS349" s="26"/>
      <c r="AT349" s="26"/>
      <c r="AU349" s="26"/>
      <c r="AV349" s="26"/>
      <c r="AW349" s="26"/>
      <c r="AX349" s="26"/>
      <c r="AY349" s="26"/>
      <c r="AZ349" s="26"/>
      <c r="BA349" s="26"/>
      <c r="BB349" s="26"/>
      <c r="BC349" s="26"/>
      <c r="BD349" s="26"/>
      <c r="BE349" s="26"/>
      <c r="BF349" s="26"/>
      <c r="BG349" s="26"/>
      <c r="BH349" s="26"/>
      <c r="BI349" s="26"/>
      <c r="BJ349" s="26"/>
      <c r="BK349" s="26"/>
    </row>
    <row r="350" ht="14.25" customHeight="1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  <c r="AE350" s="26"/>
      <c r="AF350" s="26"/>
      <c r="AG350" s="26"/>
      <c r="AH350" s="26"/>
      <c r="AI350" s="26"/>
      <c r="AJ350" s="26"/>
      <c r="AK350" s="26"/>
      <c r="AL350" s="26"/>
      <c r="AM350" s="26"/>
      <c r="AN350" s="26"/>
      <c r="AO350" s="26"/>
      <c r="AP350" s="26"/>
      <c r="AQ350" s="26"/>
      <c r="AR350" s="26"/>
      <c r="AS350" s="26"/>
      <c r="AT350" s="26"/>
      <c r="AU350" s="26"/>
      <c r="AV350" s="26"/>
      <c r="AW350" s="26"/>
      <c r="AX350" s="26"/>
      <c r="AY350" s="26"/>
      <c r="AZ350" s="26"/>
      <c r="BA350" s="26"/>
      <c r="BB350" s="26"/>
      <c r="BC350" s="26"/>
      <c r="BD350" s="26"/>
      <c r="BE350" s="26"/>
      <c r="BF350" s="26"/>
      <c r="BG350" s="26"/>
      <c r="BH350" s="26"/>
      <c r="BI350" s="26"/>
      <c r="BJ350" s="26"/>
      <c r="BK350" s="26"/>
    </row>
    <row r="351" ht="14.25" customHeight="1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  <c r="AE351" s="26"/>
      <c r="AF351" s="26"/>
      <c r="AG351" s="26"/>
      <c r="AH351" s="26"/>
      <c r="AI351" s="26"/>
      <c r="AJ351" s="26"/>
      <c r="AK351" s="26"/>
      <c r="AL351" s="26"/>
      <c r="AM351" s="26"/>
      <c r="AN351" s="26"/>
      <c r="AO351" s="26"/>
      <c r="AP351" s="26"/>
      <c r="AQ351" s="26"/>
      <c r="AR351" s="26"/>
      <c r="AS351" s="26"/>
      <c r="AT351" s="26"/>
      <c r="AU351" s="26"/>
      <c r="AV351" s="26"/>
      <c r="AW351" s="26"/>
      <c r="AX351" s="26"/>
      <c r="AY351" s="26"/>
      <c r="AZ351" s="26"/>
      <c r="BA351" s="26"/>
      <c r="BB351" s="26"/>
      <c r="BC351" s="26"/>
      <c r="BD351" s="26"/>
      <c r="BE351" s="26"/>
      <c r="BF351" s="26"/>
      <c r="BG351" s="26"/>
      <c r="BH351" s="26"/>
      <c r="BI351" s="26"/>
      <c r="BJ351" s="26"/>
      <c r="BK351" s="26"/>
    </row>
    <row r="352" ht="14.25" customHeight="1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  <c r="AE352" s="26"/>
      <c r="AF352" s="26"/>
      <c r="AG352" s="26"/>
      <c r="AH352" s="26"/>
      <c r="AI352" s="26"/>
      <c r="AJ352" s="26"/>
      <c r="AK352" s="26"/>
      <c r="AL352" s="26"/>
      <c r="AM352" s="26"/>
      <c r="AN352" s="26"/>
      <c r="AO352" s="26"/>
      <c r="AP352" s="26"/>
      <c r="AQ352" s="26"/>
      <c r="AR352" s="26"/>
      <c r="AS352" s="26"/>
      <c r="AT352" s="26"/>
      <c r="AU352" s="26"/>
      <c r="AV352" s="26"/>
      <c r="AW352" s="26"/>
      <c r="AX352" s="26"/>
      <c r="AY352" s="26"/>
      <c r="AZ352" s="26"/>
      <c r="BA352" s="26"/>
      <c r="BB352" s="26"/>
      <c r="BC352" s="26"/>
      <c r="BD352" s="26"/>
      <c r="BE352" s="26"/>
      <c r="BF352" s="26"/>
      <c r="BG352" s="26"/>
      <c r="BH352" s="26"/>
      <c r="BI352" s="26"/>
      <c r="BJ352" s="26"/>
      <c r="BK352" s="26"/>
    </row>
    <row r="353" ht="14.25" customHeight="1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  <c r="AE353" s="26"/>
      <c r="AF353" s="26"/>
      <c r="AG353" s="26"/>
      <c r="AH353" s="26"/>
      <c r="AI353" s="26"/>
      <c r="AJ353" s="26"/>
      <c r="AK353" s="26"/>
      <c r="AL353" s="26"/>
      <c r="AM353" s="26"/>
      <c r="AN353" s="26"/>
      <c r="AO353" s="26"/>
      <c r="AP353" s="26"/>
      <c r="AQ353" s="26"/>
      <c r="AR353" s="26"/>
      <c r="AS353" s="26"/>
      <c r="AT353" s="26"/>
      <c r="AU353" s="26"/>
      <c r="AV353" s="26"/>
      <c r="AW353" s="26"/>
      <c r="AX353" s="26"/>
      <c r="AY353" s="26"/>
      <c r="AZ353" s="26"/>
      <c r="BA353" s="26"/>
      <c r="BB353" s="26"/>
      <c r="BC353" s="26"/>
      <c r="BD353" s="26"/>
      <c r="BE353" s="26"/>
      <c r="BF353" s="26"/>
      <c r="BG353" s="26"/>
      <c r="BH353" s="26"/>
      <c r="BI353" s="26"/>
      <c r="BJ353" s="26"/>
      <c r="BK353" s="26"/>
    </row>
    <row r="354" ht="14.25" customHeight="1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  <c r="AE354" s="26"/>
      <c r="AF354" s="26"/>
      <c r="AG354" s="26"/>
      <c r="AH354" s="26"/>
      <c r="AI354" s="26"/>
      <c r="AJ354" s="26"/>
      <c r="AK354" s="26"/>
      <c r="AL354" s="26"/>
      <c r="AM354" s="26"/>
      <c r="AN354" s="26"/>
      <c r="AO354" s="26"/>
      <c r="AP354" s="26"/>
      <c r="AQ354" s="26"/>
      <c r="AR354" s="26"/>
      <c r="AS354" s="26"/>
      <c r="AT354" s="26"/>
      <c r="AU354" s="26"/>
      <c r="AV354" s="26"/>
      <c r="AW354" s="26"/>
      <c r="AX354" s="26"/>
      <c r="AY354" s="26"/>
      <c r="AZ354" s="26"/>
      <c r="BA354" s="26"/>
      <c r="BB354" s="26"/>
      <c r="BC354" s="26"/>
      <c r="BD354" s="26"/>
      <c r="BE354" s="26"/>
      <c r="BF354" s="26"/>
      <c r="BG354" s="26"/>
      <c r="BH354" s="26"/>
      <c r="BI354" s="26"/>
      <c r="BJ354" s="26"/>
      <c r="BK354" s="26"/>
    </row>
    <row r="355" ht="14.25" customHeight="1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  <c r="AE355" s="26"/>
      <c r="AF355" s="26"/>
      <c r="AG355" s="26"/>
      <c r="AH355" s="26"/>
      <c r="AI355" s="26"/>
      <c r="AJ355" s="26"/>
      <c r="AK355" s="26"/>
      <c r="AL355" s="26"/>
      <c r="AM355" s="26"/>
      <c r="AN355" s="26"/>
      <c r="AO355" s="26"/>
      <c r="AP355" s="26"/>
      <c r="AQ355" s="26"/>
      <c r="AR355" s="26"/>
      <c r="AS355" s="26"/>
      <c r="AT355" s="26"/>
      <c r="AU355" s="26"/>
      <c r="AV355" s="26"/>
      <c r="AW355" s="26"/>
      <c r="AX355" s="26"/>
      <c r="AY355" s="26"/>
      <c r="AZ355" s="26"/>
      <c r="BA355" s="26"/>
      <c r="BB355" s="26"/>
      <c r="BC355" s="26"/>
      <c r="BD355" s="26"/>
      <c r="BE355" s="26"/>
      <c r="BF355" s="26"/>
      <c r="BG355" s="26"/>
      <c r="BH355" s="26"/>
      <c r="BI355" s="26"/>
      <c r="BJ355" s="26"/>
      <c r="BK355" s="26"/>
    </row>
    <row r="356" ht="14.25" customHeight="1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  <c r="AE356" s="26"/>
      <c r="AF356" s="26"/>
      <c r="AG356" s="26"/>
      <c r="AH356" s="26"/>
      <c r="AI356" s="26"/>
      <c r="AJ356" s="26"/>
      <c r="AK356" s="26"/>
      <c r="AL356" s="26"/>
      <c r="AM356" s="26"/>
      <c r="AN356" s="26"/>
      <c r="AO356" s="26"/>
      <c r="AP356" s="26"/>
      <c r="AQ356" s="26"/>
      <c r="AR356" s="26"/>
      <c r="AS356" s="26"/>
      <c r="AT356" s="26"/>
      <c r="AU356" s="26"/>
      <c r="AV356" s="26"/>
      <c r="AW356" s="26"/>
      <c r="AX356" s="26"/>
      <c r="AY356" s="26"/>
      <c r="AZ356" s="26"/>
      <c r="BA356" s="26"/>
      <c r="BB356" s="26"/>
      <c r="BC356" s="26"/>
      <c r="BD356" s="26"/>
      <c r="BE356" s="26"/>
      <c r="BF356" s="26"/>
      <c r="BG356" s="26"/>
      <c r="BH356" s="26"/>
      <c r="BI356" s="26"/>
      <c r="BJ356" s="26"/>
      <c r="BK356" s="26"/>
    </row>
    <row r="357" ht="14.25" customHeight="1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  <c r="AE357" s="26"/>
      <c r="AF357" s="26"/>
      <c r="AG357" s="26"/>
      <c r="AH357" s="26"/>
      <c r="AI357" s="26"/>
      <c r="AJ357" s="26"/>
      <c r="AK357" s="26"/>
      <c r="AL357" s="26"/>
      <c r="AM357" s="26"/>
      <c r="AN357" s="26"/>
      <c r="AO357" s="26"/>
      <c r="AP357" s="26"/>
      <c r="AQ357" s="26"/>
      <c r="AR357" s="26"/>
      <c r="AS357" s="26"/>
      <c r="AT357" s="26"/>
      <c r="AU357" s="26"/>
      <c r="AV357" s="26"/>
      <c r="AW357" s="26"/>
      <c r="AX357" s="26"/>
      <c r="AY357" s="26"/>
      <c r="AZ357" s="26"/>
      <c r="BA357" s="26"/>
      <c r="BB357" s="26"/>
      <c r="BC357" s="26"/>
      <c r="BD357" s="26"/>
      <c r="BE357" s="26"/>
      <c r="BF357" s="26"/>
      <c r="BG357" s="26"/>
      <c r="BH357" s="26"/>
      <c r="BI357" s="26"/>
      <c r="BJ357" s="26"/>
      <c r="BK357" s="26"/>
    </row>
    <row r="358" ht="14.25" customHeight="1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  <c r="AF358" s="26"/>
      <c r="AG358" s="26"/>
      <c r="AH358" s="26"/>
      <c r="AI358" s="26"/>
      <c r="AJ358" s="26"/>
      <c r="AK358" s="26"/>
      <c r="AL358" s="26"/>
      <c r="AM358" s="26"/>
      <c r="AN358" s="26"/>
      <c r="AO358" s="26"/>
      <c r="AP358" s="26"/>
      <c r="AQ358" s="26"/>
      <c r="AR358" s="26"/>
      <c r="AS358" s="26"/>
      <c r="AT358" s="26"/>
      <c r="AU358" s="26"/>
      <c r="AV358" s="26"/>
      <c r="AW358" s="26"/>
      <c r="AX358" s="26"/>
      <c r="AY358" s="26"/>
      <c r="AZ358" s="26"/>
      <c r="BA358" s="26"/>
      <c r="BB358" s="26"/>
      <c r="BC358" s="26"/>
      <c r="BD358" s="26"/>
      <c r="BE358" s="26"/>
      <c r="BF358" s="26"/>
      <c r="BG358" s="26"/>
      <c r="BH358" s="26"/>
      <c r="BI358" s="26"/>
      <c r="BJ358" s="26"/>
      <c r="BK358" s="26"/>
    </row>
    <row r="359" ht="14.25" customHeight="1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  <c r="AE359" s="26"/>
      <c r="AF359" s="26"/>
      <c r="AG359" s="26"/>
      <c r="AH359" s="26"/>
      <c r="AI359" s="26"/>
      <c r="AJ359" s="26"/>
      <c r="AK359" s="26"/>
      <c r="AL359" s="26"/>
      <c r="AM359" s="26"/>
      <c r="AN359" s="26"/>
      <c r="AO359" s="26"/>
      <c r="AP359" s="26"/>
      <c r="AQ359" s="26"/>
      <c r="AR359" s="26"/>
      <c r="AS359" s="26"/>
      <c r="AT359" s="26"/>
      <c r="AU359" s="26"/>
      <c r="AV359" s="26"/>
      <c r="AW359" s="26"/>
      <c r="AX359" s="26"/>
      <c r="AY359" s="26"/>
      <c r="AZ359" s="26"/>
      <c r="BA359" s="26"/>
      <c r="BB359" s="26"/>
      <c r="BC359" s="26"/>
      <c r="BD359" s="26"/>
      <c r="BE359" s="26"/>
      <c r="BF359" s="26"/>
      <c r="BG359" s="26"/>
      <c r="BH359" s="26"/>
      <c r="BI359" s="26"/>
      <c r="BJ359" s="26"/>
      <c r="BK359" s="26"/>
    </row>
    <row r="360" ht="14.25" customHeight="1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  <c r="AE360" s="26"/>
      <c r="AF360" s="26"/>
      <c r="AG360" s="26"/>
      <c r="AH360" s="26"/>
      <c r="AI360" s="26"/>
      <c r="AJ360" s="26"/>
      <c r="AK360" s="26"/>
      <c r="AL360" s="26"/>
      <c r="AM360" s="26"/>
      <c r="AN360" s="26"/>
      <c r="AO360" s="26"/>
      <c r="AP360" s="26"/>
      <c r="AQ360" s="26"/>
      <c r="AR360" s="26"/>
      <c r="AS360" s="26"/>
      <c r="AT360" s="26"/>
      <c r="AU360" s="26"/>
      <c r="AV360" s="26"/>
      <c r="AW360" s="26"/>
      <c r="AX360" s="26"/>
      <c r="AY360" s="26"/>
      <c r="AZ360" s="26"/>
      <c r="BA360" s="26"/>
      <c r="BB360" s="26"/>
      <c r="BC360" s="26"/>
      <c r="BD360" s="26"/>
      <c r="BE360" s="26"/>
      <c r="BF360" s="26"/>
      <c r="BG360" s="26"/>
      <c r="BH360" s="26"/>
      <c r="BI360" s="26"/>
      <c r="BJ360" s="26"/>
      <c r="BK360" s="26"/>
    </row>
    <row r="361" ht="14.25" customHeight="1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  <c r="AE361" s="26"/>
      <c r="AF361" s="26"/>
      <c r="AG361" s="26"/>
      <c r="AH361" s="26"/>
      <c r="AI361" s="26"/>
      <c r="AJ361" s="26"/>
      <c r="AK361" s="26"/>
      <c r="AL361" s="26"/>
      <c r="AM361" s="26"/>
      <c r="AN361" s="26"/>
      <c r="AO361" s="26"/>
      <c r="AP361" s="26"/>
      <c r="AQ361" s="26"/>
      <c r="AR361" s="26"/>
      <c r="AS361" s="26"/>
      <c r="AT361" s="26"/>
      <c r="AU361" s="26"/>
      <c r="AV361" s="26"/>
      <c r="AW361" s="26"/>
      <c r="AX361" s="26"/>
      <c r="AY361" s="26"/>
      <c r="AZ361" s="26"/>
      <c r="BA361" s="26"/>
      <c r="BB361" s="26"/>
      <c r="BC361" s="26"/>
      <c r="BD361" s="26"/>
      <c r="BE361" s="26"/>
      <c r="BF361" s="26"/>
      <c r="BG361" s="26"/>
      <c r="BH361" s="26"/>
      <c r="BI361" s="26"/>
      <c r="BJ361" s="26"/>
      <c r="BK361" s="26"/>
    </row>
    <row r="362" ht="14.25" customHeight="1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  <c r="AE362" s="26"/>
      <c r="AF362" s="26"/>
      <c r="AG362" s="26"/>
      <c r="AH362" s="26"/>
      <c r="AI362" s="26"/>
      <c r="AJ362" s="26"/>
      <c r="AK362" s="26"/>
      <c r="AL362" s="26"/>
      <c r="AM362" s="26"/>
      <c r="AN362" s="26"/>
      <c r="AO362" s="26"/>
      <c r="AP362" s="26"/>
      <c r="AQ362" s="26"/>
      <c r="AR362" s="26"/>
      <c r="AS362" s="26"/>
      <c r="AT362" s="26"/>
      <c r="AU362" s="26"/>
      <c r="AV362" s="26"/>
      <c r="AW362" s="26"/>
      <c r="AX362" s="26"/>
      <c r="AY362" s="26"/>
      <c r="AZ362" s="26"/>
      <c r="BA362" s="26"/>
      <c r="BB362" s="26"/>
      <c r="BC362" s="26"/>
      <c r="BD362" s="26"/>
      <c r="BE362" s="26"/>
      <c r="BF362" s="26"/>
      <c r="BG362" s="26"/>
      <c r="BH362" s="26"/>
      <c r="BI362" s="26"/>
      <c r="BJ362" s="26"/>
      <c r="BK362" s="26"/>
    </row>
    <row r="363" ht="14.25" customHeight="1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  <c r="AE363" s="26"/>
      <c r="AF363" s="26"/>
      <c r="AG363" s="26"/>
      <c r="AH363" s="26"/>
      <c r="AI363" s="26"/>
      <c r="AJ363" s="26"/>
      <c r="AK363" s="26"/>
      <c r="AL363" s="26"/>
      <c r="AM363" s="26"/>
      <c r="AN363" s="26"/>
      <c r="AO363" s="26"/>
      <c r="AP363" s="26"/>
      <c r="AQ363" s="26"/>
      <c r="AR363" s="26"/>
      <c r="AS363" s="26"/>
      <c r="AT363" s="26"/>
      <c r="AU363" s="26"/>
      <c r="AV363" s="26"/>
      <c r="AW363" s="26"/>
      <c r="AX363" s="26"/>
      <c r="AY363" s="26"/>
      <c r="AZ363" s="26"/>
      <c r="BA363" s="26"/>
      <c r="BB363" s="26"/>
      <c r="BC363" s="26"/>
      <c r="BD363" s="26"/>
      <c r="BE363" s="26"/>
      <c r="BF363" s="26"/>
      <c r="BG363" s="26"/>
      <c r="BH363" s="26"/>
      <c r="BI363" s="26"/>
      <c r="BJ363" s="26"/>
      <c r="BK363" s="26"/>
    </row>
    <row r="364" ht="14.25" customHeight="1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  <c r="AE364" s="26"/>
      <c r="AF364" s="26"/>
      <c r="AG364" s="26"/>
      <c r="AH364" s="26"/>
      <c r="AI364" s="26"/>
      <c r="AJ364" s="26"/>
      <c r="AK364" s="26"/>
      <c r="AL364" s="26"/>
      <c r="AM364" s="26"/>
      <c r="AN364" s="26"/>
      <c r="AO364" s="26"/>
      <c r="AP364" s="26"/>
      <c r="AQ364" s="26"/>
      <c r="AR364" s="26"/>
      <c r="AS364" s="26"/>
      <c r="AT364" s="26"/>
      <c r="AU364" s="26"/>
      <c r="AV364" s="26"/>
      <c r="AW364" s="26"/>
      <c r="AX364" s="26"/>
      <c r="AY364" s="26"/>
      <c r="AZ364" s="26"/>
      <c r="BA364" s="26"/>
      <c r="BB364" s="26"/>
      <c r="BC364" s="26"/>
      <c r="BD364" s="26"/>
      <c r="BE364" s="26"/>
      <c r="BF364" s="26"/>
      <c r="BG364" s="26"/>
      <c r="BH364" s="26"/>
      <c r="BI364" s="26"/>
      <c r="BJ364" s="26"/>
      <c r="BK364" s="26"/>
    </row>
    <row r="365" ht="14.25" customHeight="1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  <c r="AE365" s="26"/>
      <c r="AF365" s="26"/>
      <c r="AG365" s="26"/>
      <c r="AH365" s="26"/>
      <c r="AI365" s="26"/>
      <c r="AJ365" s="26"/>
      <c r="AK365" s="26"/>
      <c r="AL365" s="26"/>
      <c r="AM365" s="26"/>
      <c r="AN365" s="26"/>
      <c r="AO365" s="26"/>
      <c r="AP365" s="26"/>
      <c r="AQ365" s="26"/>
      <c r="AR365" s="26"/>
      <c r="AS365" s="26"/>
      <c r="AT365" s="26"/>
      <c r="AU365" s="26"/>
      <c r="AV365" s="26"/>
      <c r="AW365" s="26"/>
      <c r="AX365" s="26"/>
      <c r="AY365" s="26"/>
      <c r="AZ365" s="26"/>
      <c r="BA365" s="26"/>
      <c r="BB365" s="26"/>
      <c r="BC365" s="26"/>
      <c r="BD365" s="26"/>
      <c r="BE365" s="26"/>
      <c r="BF365" s="26"/>
      <c r="BG365" s="26"/>
      <c r="BH365" s="26"/>
      <c r="BI365" s="26"/>
      <c r="BJ365" s="26"/>
      <c r="BK365" s="26"/>
    </row>
    <row r="366" ht="14.25" customHeight="1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  <c r="AF366" s="26"/>
      <c r="AG366" s="26"/>
      <c r="AH366" s="26"/>
      <c r="AI366" s="26"/>
      <c r="AJ366" s="26"/>
      <c r="AK366" s="26"/>
      <c r="AL366" s="26"/>
      <c r="AM366" s="26"/>
      <c r="AN366" s="26"/>
      <c r="AO366" s="26"/>
      <c r="AP366" s="26"/>
      <c r="AQ366" s="26"/>
      <c r="AR366" s="26"/>
      <c r="AS366" s="26"/>
      <c r="AT366" s="26"/>
      <c r="AU366" s="26"/>
      <c r="AV366" s="26"/>
      <c r="AW366" s="26"/>
      <c r="AX366" s="26"/>
      <c r="AY366" s="26"/>
      <c r="AZ366" s="26"/>
      <c r="BA366" s="26"/>
      <c r="BB366" s="26"/>
      <c r="BC366" s="26"/>
      <c r="BD366" s="26"/>
      <c r="BE366" s="26"/>
      <c r="BF366" s="26"/>
      <c r="BG366" s="26"/>
      <c r="BH366" s="26"/>
      <c r="BI366" s="26"/>
      <c r="BJ366" s="26"/>
      <c r="BK366" s="26"/>
    </row>
    <row r="367" ht="14.25" customHeight="1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  <c r="AE367" s="26"/>
      <c r="AF367" s="26"/>
      <c r="AG367" s="26"/>
      <c r="AH367" s="26"/>
      <c r="AI367" s="26"/>
      <c r="AJ367" s="26"/>
      <c r="AK367" s="26"/>
      <c r="AL367" s="26"/>
      <c r="AM367" s="26"/>
      <c r="AN367" s="26"/>
      <c r="AO367" s="26"/>
      <c r="AP367" s="26"/>
      <c r="AQ367" s="26"/>
      <c r="AR367" s="26"/>
      <c r="AS367" s="26"/>
      <c r="AT367" s="26"/>
      <c r="AU367" s="26"/>
      <c r="AV367" s="26"/>
      <c r="AW367" s="26"/>
      <c r="AX367" s="26"/>
      <c r="AY367" s="26"/>
      <c r="AZ367" s="26"/>
      <c r="BA367" s="26"/>
      <c r="BB367" s="26"/>
      <c r="BC367" s="26"/>
      <c r="BD367" s="26"/>
      <c r="BE367" s="26"/>
      <c r="BF367" s="26"/>
      <c r="BG367" s="26"/>
      <c r="BH367" s="26"/>
      <c r="BI367" s="26"/>
      <c r="BJ367" s="26"/>
      <c r="BK367" s="26"/>
    </row>
    <row r="368" ht="14.25" customHeight="1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  <c r="AE368" s="26"/>
      <c r="AF368" s="26"/>
      <c r="AG368" s="26"/>
      <c r="AH368" s="26"/>
      <c r="AI368" s="26"/>
      <c r="AJ368" s="26"/>
      <c r="AK368" s="26"/>
      <c r="AL368" s="26"/>
      <c r="AM368" s="26"/>
      <c r="AN368" s="26"/>
      <c r="AO368" s="26"/>
      <c r="AP368" s="26"/>
      <c r="AQ368" s="26"/>
      <c r="AR368" s="26"/>
      <c r="AS368" s="26"/>
      <c r="AT368" s="26"/>
      <c r="AU368" s="26"/>
      <c r="AV368" s="26"/>
      <c r="AW368" s="26"/>
      <c r="AX368" s="26"/>
      <c r="AY368" s="26"/>
      <c r="AZ368" s="26"/>
      <c r="BA368" s="26"/>
      <c r="BB368" s="26"/>
      <c r="BC368" s="26"/>
      <c r="BD368" s="26"/>
      <c r="BE368" s="26"/>
      <c r="BF368" s="26"/>
      <c r="BG368" s="26"/>
      <c r="BH368" s="26"/>
      <c r="BI368" s="26"/>
      <c r="BJ368" s="26"/>
      <c r="BK368" s="26"/>
    </row>
    <row r="369" ht="14.25" customHeight="1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  <c r="AE369" s="26"/>
      <c r="AF369" s="26"/>
      <c r="AG369" s="26"/>
      <c r="AH369" s="26"/>
      <c r="AI369" s="26"/>
      <c r="AJ369" s="26"/>
      <c r="AK369" s="26"/>
      <c r="AL369" s="26"/>
      <c r="AM369" s="26"/>
      <c r="AN369" s="26"/>
      <c r="AO369" s="26"/>
      <c r="AP369" s="26"/>
      <c r="AQ369" s="26"/>
      <c r="AR369" s="26"/>
      <c r="AS369" s="26"/>
      <c r="AT369" s="26"/>
      <c r="AU369" s="26"/>
      <c r="AV369" s="26"/>
      <c r="AW369" s="26"/>
      <c r="AX369" s="26"/>
      <c r="AY369" s="26"/>
      <c r="AZ369" s="26"/>
      <c r="BA369" s="26"/>
      <c r="BB369" s="26"/>
      <c r="BC369" s="26"/>
      <c r="BD369" s="26"/>
      <c r="BE369" s="26"/>
      <c r="BF369" s="26"/>
      <c r="BG369" s="26"/>
      <c r="BH369" s="26"/>
      <c r="BI369" s="26"/>
      <c r="BJ369" s="26"/>
      <c r="BK369" s="26"/>
    </row>
    <row r="370" ht="14.25" customHeight="1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  <c r="AF370" s="26"/>
      <c r="AG370" s="26"/>
      <c r="AH370" s="26"/>
      <c r="AI370" s="26"/>
      <c r="AJ370" s="26"/>
      <c r="AK370" s="26"/>
      <c r="AL370" s="26"/>
      <c r="AM370" s="26"/>
      <c r="AN370" s="26"/>
      <c r="AO370" s="26"/>
      <c r="AP370" s="26"/>
      <c r="AQ370" s="26"/>
      <c r="AR370" s="26"/>
      <c r="AS370" s="26"/>
      <c r="AT370" s="26"/>
      <c r="AU370" s="26"/>
      <c r="AV370" s="26"/>
      <c r="AW370" s="26"/>
      <c r="AX370" s="26"/>
      <c r="AY370" s="26"/>
      <c r="AZ370" s="26"/>
      <c r="BA370" s="26"/>
      <c r="BB370" s="26"/>
      <c r="BC370" s="26"/>
      <c r="BD370" s="26"/>
      <c r="BE370" s="26"/>
      <c r="BF370" s="26"/>
      <c r="BG370" s="26"/>
      <c r="BH370" s="26"/>
      <c r="BI370" s="26"/>
      <c r="BJ370" s="26"/>
      <c r="BK370" s="26"/>
    </row>
    <row r="371" ht="14.25" customHeight="1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  <c r="AE371" s="26"/>
      <c r="AF371" s="26"/>
      <c r="AG371" s="26"/>
      <c r="AH371" s="26"/>
      <c r="AI371" s="26"/>
      <c r="AJ371" s="26"/>
      <c r="AK371" s="26"/>
      <c r="AL371" s="26"/>
      <c r="AM371" s="26"/>
      <c r="AN371" s="26"/>
      <c r="AO371" s="26"/>
      <c r="AP371" s="26"/>
      <c r="AQ371" s="26"/>
      <c r="AR371" s="26"/>
      <c r="AS371" s="26"/>
      <c r="AT371" s="26"/>
      <c r="AU371" s="26"/>
      <c r="AV371" s="26"/>
      <c r="AW371" s="26"/>
      <c r="AX371" s="26"/>
      <c r="AY371" s="26"/>
      <c r="AZ371" s="26"/>
      <c r="BA371" s="26"/>
      <c r="BB371" s="26"/>
      <c r="BC371" s="26"/>
      <c r="BD371" s="26"/>
      <c r="BE371" s="26"/>
      <c r="BF371" s="26"/>
      <c r="BG371" s="26"/>
      <c r="BH371" s="26"/>
      <c r="BI371" s="26"/>
      <c r="BJ371" s="26"/>
      <c r="BK371" s="26"/>
    </row>
    <row r="372" ht="14.25" customHeight="1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  <c r="AE372" s="26"/>
      <c r="AF372" s="26"/>
      <c r="AG372" s="26"/>
      <c r="AH372" s="26"/>
      <c r="AI372" s="26"/>
      <c r="AJ372" s="26"/>
      <c r="AK372" s="26"/>
      <c r="AL372" s="26"/>
      <c r="AM372" s="26"/>
      <c r="AN372" s="26"/>
      <c r="AO372" s="26"/>
      <c r="AP372" s="26"/>
      <c r="AQ372" s="26"/>
      <c r="AR372" s="26"/>
      <c r="AS372" s="26"/>
      <c r="AT372" s="26"/>
      <c r="AU372" s="26"/>
      <c r="AV372" s="26"/>
      <c r="AW372" s="26"/>
      <c r="AX372" s="26"/>
      <c r="AY372" s="26"/>
      <c r="AZ372" s="26"/>
      <c r="BA372" s="26"/>
      <c r="BB372" s="26"/>
      <c r="BC372" s="26"/>
      <c r="BD372" s="26"/>
      <c r="BE372" s="26"/>
      <c r="BF372" s="26"/>
      <c r="BG372" s="26"/>
      <c r="BH372" s="26"/>
      <c r="BI372" s="26"/>
      <c r="BJ372" s="26"/>
      <c r="BK372" s="26"/>
    </row>
    <row r="373" ht="14.25" customHeight="1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  <c r="AE373" s="26"/>
      <c r="AF373" s="26"/>
      <c r="AG373" s="26"/>
      <c r="AH373" s="26"/>
      <c r="AI373" s="26"/>
      <c r="AJ373" s="26"/>
      <c r="AK373" s="26"/>
      <c r="AL373" s="26"/>
      <c r="AM373" s="26"/>
      <c r="AN373" s="26"/>
      <c r="AO373" s="26"/>
      <c r="AP373" s="26"/>
      <c r="AQ373" s="26"/>
      <c r="AR373" s="26"/>
      <c r="AS373" s="26"/>
      <c r="AT373" s="26"/>
      <c r="AU373" s="26"/>
      <c r="AV373" s="26"/>
      <c r="AW373" s="26"/>
      <c r="AX373" s="26"/>
      <c r="AY373" s="26"/>
      <c r="AZ373" s="26"/>
      <c r="BA373" s="26"/>
      <c r="BB373" s="26"/>
      <c r="BC373" s="26"/>
      <c r="BD373" s="26"/>
      <c r="BE373" s="26"/>
      <c r="BF373" s="26"/>
      <c r="BG373" s="26"/>
      <c r="BH373" s="26"/>
      <c r="BI373" s="26"/>
      <c r="BJ373" s="26"/>
      <c r="BK373" s="26"/>
    </row>
    <row r="374" ht="14.25" customHeight="1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  <c r="AE374" s="26"/>
      <c r="AF374" s="26"/>
      <c r="AG374" s="26"/>
      <c r="AH374" s="26"/>
      <c r="AI374" s="26"/>
      <c r="AJ374" s="26"/>
      <c r="AK374" s="26"/>
      <c r="AL374" s="26"/>
      <c r="AM374" s="26"/>
      <c r="AN374" s="26"/>
      <c r="AO374" s="26"/>
      <c r="AP374" s="26"/>
      <c r="AQ374" s="26"/>
      <c r="AR374" s="26"/>
      <c r="AS374" s="26"/>
      <c r="AT374" s="26"/>
      <c r="AU374" s="26"/>
      <c r="AV374" s="26"/>
      <c r="AW374" s="26"/>
      <c r="AX374" s="26"/>
      <c r="AY374" s="26"/>
      <c r="AZ374" s="26"/>
      <c r="BA374" s="26"/>
      <c r="BB374" s="26"/>
      <c r="BC374" s="26"/>
      <c r="BD374" s="26"/>
      <c r="BE374" s="26"/>
      <c r="BF374" s="26"/>
      <c r="BG374" s="26"/>
      <c r="BH374" s="26"/>
      <c r="BI374" s="26"/>
      <c r="BJ374" s="26"/>
      <c r="BK374" s="26"/>
    </row>
    <row r="375" ht="14.25" customHeight="1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  <c r="AE375" s="26"/>
      <c r="AF375" s="26"/>
      <c r="AG375" s="26"/>
      <c r="AH375" s="26"/>
      <c r="AI375" s="26"/>
      <c r="AJ375" s="26"/>
      <c r="AK375" s="26"/>
      <c r="AL375" s="26"/>
      <c r="AM375" s="26"/>
      <c r="AN375" s="26"/>
      <c r="AO375" s="26"/>
      <c r="AP375" s="26"/>
      <c r="AQ375" s="26"/>
      <c r="AR375" s="26"/>
      <c r="AS375" s="26"/>
      <c r="AT375" s="26"/>
      <c r="AU375" s="26"/>
      <c r="AV375" s="26"/>
      <c r="AW375" s="26"/>
      <c r="AX375" s="26"/>
      <c r="AY375" s="26"/>
      <c r="AZ375" s="26"/>
      <c r="BA375" s="26"/>
      <c r="BB375" s="26"/>
      <c r="BC375" s="26"/>
      <c r="BD375" s="26"/>
      <c r="BE375" s="26"/>
      <c r="BF375" s="26"/>
      <c r="BG375" s="26"/>
      <c r="BH375" s="26"/>
      <c r="BI375" s="26"/>
      <c r="BJ375" s="26"/>
      <c r="BK375" s="26"/>
    </row>
    <row r="376" ht="14.25" customHeight="1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26"/>
      <c r="AF376" s="26"/>
      <c r="AG376" s="26"/>
      <c r="AH376" s="26"/>
      <c r="AI376" s="26"/>
      <c r="AJ376" s="26"/>
      <c r="AK376" s="26"/>
      <c r="AL376" s="26"/>
      <c r="AM376" s="26"/>
      <c r="AN376" s="26"/>
      <c r="AO376" s="26"/>
      <c r="AP376" s="26"/>
      <c r="AQ376" s="26"/>
      <c r="AR376" s="26"/>
      <c r="AS376" s="26"/>
      <c r="AT376" s="26"/>
      <c r="AU376" s="26"/>
      <c r="AV376" s="26"/>
      <c r="AW376" s="26"/>
      <c r="AX376" s="26"/>
      <c r="AY376" s="26"/>
      <c r="AZ376" s="26"/>
      <c r="BA376" s="26"/>
      <c r="BB376" s="26"/>
      <c r="BC376" s="26"/>
      <c r="BD376" s="26"/>
      <c r="BE376" s="26"/>
      <c r="BF376" s="26"/>
      <c r="BG376" s="26"/>
      <c r="BH376" s="26"/>
      <c r="BI376" s="26"/>
      <c r="BJ376" s="26"/>
      <c r="BK376" s="26"/>
    </row>
    <row r="377" ht="14.25" customHeight="1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  <c r="AE377" s="26"/>
      <c r="AF377" s="26"/>
      <c r="AG377" s="26"/>
      <c r="AH377" s="26"/>
      <c r="AI377" s="26"/>
      <c r="AJ377" s="26"/>
      <c r="AK377" s="26"/>
      <c r="AL377" s="26"/>
      <c r="AM377" s="26"/>
      <c r="AN377" s="26"/>
      <c r="AO377" s="26"/>
      <c r="AP377" s="26"/>
      <c r="AQ377" s="26"/>
      <c r="AR377" s="26"/>
      <c r="AS377" s="26"/>
      <c r="AT377" s="26"/>
      <c r="AU377" s="26"/>
      <c r="AV377" s="26"/>
      <c r="AW377" s="26"/>
      <c r="AX377" s="26"/>
      <c r="AY377" s="26"/>
      <c r="AZ377" s="26"/>
      <c r="BA377" s="26"/>
      <c r="BB377" s="26"/>
      <c r="BC377" s="26"/>
      <c r="BD377" s="26"/>
      <c r="BE377" s="26"/>
      <c r="BF377" s="26"/>
      <c r="BG377" s="26"/>
      <c r="BH377" s="26"/>
      <c r="BI377" s="26"/>
      <c r="BJ377" s="26"/>
      <c r="BK377" s="26"/>
    </row>
    <row r="378" ht="14.25" customHeight="1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  <c r="AE378" s="26"/>
      <c r="AF378" s="26"/>
      <c r="AG378" s="26"/>
      <c r="AH378" s="26"/>
      <c r="AI378" s="26"/>
      <c r="AJ378" s="26"/>
      <c r="AK378" s="26"/>
      <c r="AL378" s="26"/>
      <c r="AM378" s="26"/>
      <c r="AN378" s="26"/>
      <c r="AO378" s="26"/>
      <c r="AP378" s="26"/>
      <c r="AQ378" s="26"/>
      <c r="AR378" s="26"/>
      <c r="AS378" s="26"/>
      <c r="AT378" s="26"/>
      <c r="AU378" s="26"/>
      <c r="AV378" s="26"/>
      <c r="AW378" s="26"/>
      <c r="AX378" s="26"/>
      <c r="AY378" s="26"/>
      <c r="AZ378" s="26"/>
      <c r="BA378" s="26"/>
      <c r="BB378" s="26"/>
      <c r="BC378" s="26"/>
      <c r="BD378" s="26"/>
      <c r="BE378" s="26"/>
      <c r="BF378" s="26"/>
      <c r="BG378" s="26"/>
      <c r="BH378" s="26"/>
      <c r="BI378" s="26"/>
      <c r="BJ378" s="26"/>
      <c r="BK378" s="26"/>
    </row>
    <row r="379" ht="14.25" customHeight="1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  <c r="AE379" s="26"/>
      <c r="AF379" s="26"/>
      <c r="AG379" s="26"/>
      <c r="AH379" s="26"/>
      <c r="AI379" s="26"/>
      <c r="AJ379" s="26"/>
      <c r="AK379" s="26"/>
      <c r="AL379" s="26"/>
      <c r="AM379" s="26"/>
      <c r="AN379" s="26"/>
      <c r="AO379" s="26"/>
      <c r="AP379" s="26"/>
      <c r="AQ379" s="26"/>
      <c r="AR379" s="26"/>
      <c r="AS379" s="26"/>
      <c r="AT379" s="26"/>
      <c r="AU379" s="26"/>
      <c r="AV379" s="26"/>
      <c r="AW379" s="26"/>
      <c r="AX379" s="26"/>
      <c r="AY379" s="26"/>
      <c r="AZ379" s="26"/>
      <c r="BA379" s="26"/>
      <c r="BB379" s="26"/>
      <c r="BC379" s="26"/>
      <c r="BD379" s="26"/>
      <c r="BE379" s="26"/>
      <c r="BF379" s="26"/>
      <c r="BG379" s="26"/>
      <c r="BH379" s="26"/>
      <c r="BI379" s="26"/>
      <c r="BJ379" s="26"/>
      <c r="BK379" s="26"/>
    </row>
    <row r="380" ht="14.25" customHeight="1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  <c r="AF380" s="26"/>
      <c r="AG380" s="26"/>
      <c r="AH380" s="26"/>
      <c r="AI380" s="26"/>
      <c r="AJ380" s="26"/>
      <c r="AK380" s="26"/>
      <c r="AL380" s="26"/>
      <c r="AM380" s="26"/>
      <c r="AN380" s="26"/>
      <c r="AO380" s="26"/>
      <c r="AP380" s="26"/>
      <c r="AQ380" s="26"/>
      <c r="AR380" s="26"/>
      <c r="AS380" s="26"/>
      <c r="AT380" s="26"/>
      <c r="AU380" s="26"/>
      <c r="AV380" s="26"/>
      <c r="AW380" s="26"/>
      <c r="AX380" s="26"/>
      <c r="AY380" s="26"/>
      <c r="AZ380" s="26"/>
      <c r="BA380" s="26"/>
      <c r="BB380" s="26"/>
      <c r="BC380" s="26"/>
      <c r="BD380" s="26"/>
      <c r="BE380" s="26"/>
      <c r="BF380" s="26"/>
      <c r="BG380" s="26"/>
      <c r="BH380" s="26"/>
      <c r="BI380" s="26"/>
      <c r="BJ380" s="26"/>
      <c r="BK380" s="26"/>
    </row>
    <row r="381" ht="14.25" customHeight="1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  <c r="AE381" s="26"/>
      <c r="AF381" s="26"/>
      <c r="AG381" s="26"/>
      <c r="AH381" s="26"/>
      <c r="AI381" s="26"/>
      <c r="AJ381" s="26"/>
      <c r="AK381" s="26"/>
      <c r="AL381" s="26"/>
      <c r="AM381" s="26"/>
      <c r="AN381" s="26"/>
      <c r="AO381" s="26"/>
      <c r="AP381" s="26"/>
      <c r="AQ381" s="26"/>
      <c r="AR381" s="26"/>
      <c r="AS381" s="26"/>
      <c r="AT381" s="26"/>
      <c r="AU381" s="26"/>
      <c r="AV381" s="26"/>
      <c r="AW381" s="26"/>
      <c r="AX381" s="26"/>
      <c r="AY381" s="26"/>
      <c r="AZ381" s="26"/>
      <c r="BA381" s="26"/>
      <c r="BB381" s="26"/>
      <c r="BC381" s="26"/>
      <c r="BD381" s="26"/>
      <c r="BE381" s="26"/>
      <c r="BF381" s="26"/>
      <c r="BG381" s="26"/>
      <c r="BH381" s="26"/>
      <c r="BI381" s="26"/>
      <c r="BJ381" s="26"/>
      <c r="BK381" s="26"/>
    </row>
    <row r="382" ht="14.25" customHeight="1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  <c r="AE382" s="26"/>
      <c r="AF382" s="26"/>
      <c r="AG382" s="26"/>
      <c r="AH382" s="26"/>
      <c r="AI382" s="26"/>
      <c r="AJ382" s="26"/>
      <c r="AK382" s="26"/>
      <c r="AL382" s="26"/>
      <c r="AM382" s="26"/>
      <c r="AN382" s="26"/>
      <c r="AO382" s="26"/>
      <c r="AP382" s="26"/>
      <c r="AQ382" s="26"/>
      <c r="AR382" s="26"/>
      <c r="AS382" s="26"/>
      <c r="AT382" s="26"/>
      <c r="AU382" s="26"/>
      <c r="AV382" s="26"/>
      <c r="AW382" s="26"/>
      <c r="AX382" s="26"/>
      <c r="AY382" s="26"/>
      <c r="AZ382" s="26"/>
      <c r="BA382" s="26"/>
      <c r="BB382" s="26"/>
      <c r="BC382" s="26"/>
      <c r="BD382" s="26"/>
      <c r="BE382" s="26"/>
      <c r="BF382" s="26"/>
      <c r="BG382" s="26"/>
      <c r="BH382" s="26"/>
      <c r="BI382" s="26"/>
      <c r="BJ382" s="26"/>
      <c r="BK382" s="26"/>
    </row>
    <row r="383" ht="14.25" customHeight="1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  <c r="AE383" s="26"/>
      <c r="AF383" s="26"/>
      <c r="AG383" s="26"/>
      <c r="AH383" s="26"/>
      <c r="AI383" s="26"/>
      <c r="AJ383" s="26"/>
      <c r="AK383" s="26"/>
      <c r="AL383" s="26"/>
      <c r="AM383" s="26"/>
      <c r="AN383" s="26"/>
      <c r="AO383" s="26"/>
      <c r="AP383" s="26"/>
      <c r="AQ383" s="26"/>
      <c r="AR383" s="26"/>
      <c r="AS383" s="26"/>
      <c r="AT383" s="26"/>
      <c r="AU383" s="26"/>
      <c r="AV383" s="26"/>
      <c r="AW383" s="26"/>
      <c r="AX383" s="26"/>
      <c r="AY383" s="26"/>
      <c r="AZ383" s="26"/>
      <c r="BA383" s="26"/>
      <c r="BB383" s="26"/>
      <c r="BC383" s="26"/>
      <c r="BD383" s="26"/>
      <c r="BE383" s="26"/>
      <c r="BF383" s="26"/>
      <c r="BG383" s="26"/>
      <c r="BH383" s="26"/>
      <c r="BI383" s="26"/>
      <c r="BJ383" s="26"/>
      <c r="BK383" s="26"/>
    </row>
    <row r="384" ht="14.25" customHeight="1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  <c r="AE384" s="26"/>
      <c r="AF384" s="26"/>
      <c r="AG384" s="26"/>
      <c r="AH384" s="26"/>
      <c r="AI384" s="26"/>
      <c r="AJ384" s="26"/>
      <c r="AK384" s="26"/>
      <c r="AL384" s="26"/>
      <c r="AM384" s="26"/>
      <c r="AN384" s="26"/>
      <c r="AO384" s="26"/>
      <c r="AP384" s="26"/>
      <c r="AQ384" s="26"/>
      <c r="AR384" s="26"/>
      <c r="AS384" s="26"/>
      <c r="AT384" s="26"/>
      <c r="AU384" s="26"/>
      <c r="AV384" s="26"/>
      <c r="AW384" s="26"/>
      <c r="AX384" s="26"/>
      <c r="AY384" s="26"/>
      <c r="AZ384" s="26"/>
      <c r="BA384" s="26"/>
      <c r="BB384" s="26"/>
      <c r="BC384" s="26"/>
      <c r="BD384" s="26"/>
      <c r="BE384" s="26"/>
      <c r="BF384" s="26"/>
      <c r="BG384" s="26"/>
      <c r="BH384" s="26"/>
      <c r="BI384" s="26"/>
      <c r="BJ384" s="26"/>
      <c r="BK384" s="26"/>
    </row>
    <row r="385" ht="14.25" customHeight="1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  <c r="AE385" s="26"/>
      <c r="AF385" s="26"/>
      <c r="AG385" s="26"/>
      <c r="AH385" s="26"/>
      <c r="AI385" s="26"/>
      <c r="AJ385" s="26"/>
      <c r="AK385" s="26"/>
      <c r="AL385" s="26"/>
      <c r="AM385" s="26"/>
      <c r="AN385" s="26"/>
      <c r="AO385" s="26"/>
      <c r="AP385" s="26"/>
      <c r="AQ385" s="26"/>
      <c r="AR385" s="26"/>
      <c r="AS385" s="26"/>
      <c r="AT385" s="26"/>
      <c r="AU385" s="26"/>
      <c r="AV385" s="26"/>
      <c r="AW385" s="26"/>
      <c r="AX385" s="26"/>
      <c r="AY385" s="26"/>
      <c r="AZ385" s="26"/>
      <c r="BA385" s="26"/>
      <c r="BB385" s="26"/>
      <c r="BC385" s="26"/>
      <c r="BD385" s="26"/>
      <c r="BE385" s="26"/>
      <c r="BF385" s="26"/>
      <c r="BG385" s="26"/>
      <c r="BH385" s="26"/>
      <c r="BI385" s="26"/>
      <c r="BJ385" s="26"/>
      <c r="BK385" s="26"/>
    </row>
    <row r="386" ht="14.25" customHeight="1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  <c r="AE386" s="26"/>
      <c r="AF386" s="26"/>
      <c r="AG386" s="26"/>
      <c r="AH386" s="26"/>
      <c r="AI386" s="26"/>
      <c r="AJ386" s="26"/>
      <c r="AK386" s="26"/>
      <c r="AL386" s="26"/>
      <c r="AM386" s="26"/>
      <c r="AN386" s="26"/>
      <c r="AO386" s="26"/>
      <c r="AP386" s="26"/>
      <c r="AQ386" s="26"/>
      <c r="AR386" s="26"/>
      <c r="AS386" s="26"/>
      <c r="AT386" s="26"/>
      <c r="AU386" s="26"/>
      <c r="AV386" s="26"/>
      <c r="AW386" s="26"/>
      <c r="AX386" s="26"/>
      <c r="AY386" s="26"/>
      <c r="AZ386" s="26"/>
      <c r="BA386" s="26"/>
      <c r="BB386" s="26"/>
      <c r="BC386" s="26"/>
      <c r="BD386" s="26"/>
      <c r="BE386" s="26"/>
      <c r="BF386" s="26"/>
      <c r="BG386" s="26"/>
      <c r="BH386" s="26"/>
      <c r="BI386" s="26"/>
      <c r="BJ386" s="26"/>
      <c r="BK386" s="26"/>
    </row>
    <row r="387" ht="14.25" customHeight="1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  <c r="AD387" s="26"/>
      <c r="AE387" s="26"/>
      <c r="AF387" s="26"/>
      <c r="AG387" s="26"/>
      <c r="AH387" s="26"/>
      <c r="AI387" s="26"/>
      <c r="AJ387" s="26"/>
      <c r="AK387" s="26"/>
      <c r="AL387" s="26"/>
      <c r="AM387" s="26"/>
      <c r="AN387" s="26"/>
      <c r="AO387" s="26"/>
      <c r="AP387" s="26"/>
      <c r="AQ387" s="26"/>
      <c r="AR387" s="26"/>
      <c r="AS387" s="26"/>
      <c r="AT387" s="26"/>
      <c r="AU387" s="26"/>
      <c r="AV387" s="26"/>
      <c r="AW387" s="26"/>
      <c r="AX387" s="26"/>
      <c r="AY387" s="26"/>
      <c r="AZ387" s="26"/>
      <c r="BA387" s="26"/>
      <c r="BB387" s="26"/>
      <c r="BC387" s="26"/>
      <c r="BD387" s="26"/>
      <c r="BE387" s="26"/>
      <c r="BF387" s="26"/>
      <c r="BG387" s="26"/>
      <c r="BH387" s="26"/>
      <c r="BI387" s="26"/>
      <c r="BJ387" s="26"/>
      <c r="BK387" s="26"/>
    </row>
    <row r="388" ht="14.25" customHeight="1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  <c r="AE388" s="26"/>
      <c r="AF388" s="26"/>
      <c r="AG388" s="26"/>
      <c r="AH388" s="26"/>
      <c r="AI388" s="26"/>
      <c r="AJ388" s="26"/>
      <c r="AK388" s="26"/>
      <c r="AL388" s="26"/>
      <c r="AM388" s="26"/>
      <c r="AN388" s="26"/>
      <c r="AO388" s="26"/>
      <c r="AP388" s="26"/>
      <c r="AQ388" s="26"/>
      <c r="AR388" s="26"/>
      <c r="AS388" s="26"/>
      <c r="AT388" s="26"/>
      <c r="AU388" s="26"/>
      <c r="AV388" s="26"/>
      <c r="AW388" s="26"/>
      <c r="AX388" s="26"/>
      <c r="AY388" s="26"/>
      <c r="AZ388" s="26"/>
      <c r="BA388" s="26"/>
      <c r="BB388" s="26"/>
      <c r="BC388" s="26"/>
      <c r="BD388" s="26"/>
      <c r="BE388" s="26"/>
      <c r="BF388" s="26"/>
      <c r="BG388" s="26"/>
      <c r="BH388" s="26"/>
      <c r="BI388" s="26"/>
      <c r="BJ388" s="26"/>
      <c r="BK388" s="26"/>
    </row>
    <row r="389" ht="14.25" customHeight="1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26"/>
      <c r="AE389" s="26"/>
      <c r="AF389" s="26"/>
      <c r="AG389" s="26"/>
      <c r="AH389" s="26"/>
      <c r="AI389" s="26"/>
      <c r="AJ389" s="26"/>
      <c r="AK389" s="26"/>
      <c r="AL389" s="26"/>
      <c r="AM389" s="26"/>
      <c r="AN389" s="26"/>
      <c r="AO389" s="26"/>
      <c r="AP389" s="26"/>
      <c r="AQ389" s="26"/>
      <c r="AR389" s="26"/>
      <c r="AS389" s="26"/>
      <c r="AT389" s="26"/>
      <c r="AU389" s="26"/>
      <c r="AV389" s="26"/>
      <c r="AW389" s="26"/>
      <c r="AX389" s="26"/>
      <c r="AY389" s="26"/>
      <c r="AZ389" s="26"/>
      <c r="BA389" s="26"/>
      <c r="BB389" s="26"/>
      <c r="BC389" s="26"/>
      <c r="BD389" s="26"/>
      <c r="BE389" s="26"/>
      <c r="BF389" s="26"/>
      <c r="BG389" s="26"/>
      <c r="BH389" s="26"/>
      <c r="BI389" s="26"/>
      <c r="BJ389" s="26"/>
      <c r="BK389" s="26"/>
    </row>
    <row r="390" ht="14.25" customHeight="1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  <c r="AE390" s="26"/>
      <c r="AF390" s="26"/>
      <c r="AG390" s="26"/>
      <c r="AH390" s="26"/>
      <c r="AI390" s="26"/>
      <c r="AJ390" s="26"/>
      <c r="AK390" s="26"/>
      <c r="AL390" s="26"/>
      <c r="AM390" s="26"/>
      <c r="AN390" s="26"/>
      <c r="AO390" s="26"/>
      <c r="AP390" s="26"/>
      <c r="AQ390" s="26"/>
      <c r="AR390" s="26"/>
      <c r="AS390" s="26"/>
      <c r="AT390" s="26"/>
      <c r="AU390" s="26"/>
      <c r="AV390" s="26"/>
      <c r="AW390" s="26"/>
      <c r="AX390" s="26"/>
      <c r="AY390" s="26"/>
      <c r="AZ390" s="26"/>
      <c r="BA390" s="26"/>
      <c r="BB390" s="26"/>
      <c r="BC390" s="26"/>
      <c r="BD390" s="26"/>
      <c r="BE390" s="26"/>
      <c r="BF390" s="26"/>
      <c r="BG390" s="26"/>
      <c r="BH390" s="26"/>
      <c r="BI390" s="26"/>
      <c r="BJ390" s="26"/>
      <c r="BK390" s="26"/>
    </row>
    <row r="391" ht="14.25" customHeight="1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  <c r="AD391" s="26"/>
      <c r="AE391" s="26"/>
      <c r="AF391" s="26"/>
      <c r="AG391" s="26"/>
      <c r="AH391" s="26"/>
      <c r="AI391" s="26"/>
      <c r="AJ391" s="26"/>
      <c r="AK391" s="26"/>
      <c r="AL391" s="26"/>
      <c r="AM391" s="26"/>
      <c r="AN391" s="26"/>
      <c r="AO391" s="26"/>
      <c r="AP391" s="26"/>
      <c r="AQ391" s="26"/>
      <c r="AR391" s="26"/>
      <c r="AS391" s="26"/>
      <c r="AT391" s="26"/>
      <c r="AU391" s="26"/>
      <c r="AV391" s="26"/>
      <c r="AW391" s="26"/>
      <c r="AX391" s="26"/>
      <c r="AY391" s="26"/>
      <c r="AZ391" s="26"/>
      <c r="BA391" s="26"/>
      <c r="BB391" s="26"/>
      <c r="BC391" s="26"/>
      <c r="BD391" s="26"/>
      <c r="BE391" s="26"/>
      <c r="BF391" s="26"/>
      <c r="BG391" s="26"/>
      <c r="BH391" s="26"/>
      <c r="BI391" s="26"/>
      <c r="BJ391" s="26"/>
      <c r="BK391" s="26"/>
    </row>
    <row r="392" ht="14.25" customHeight="1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  <c r="AE392" s="26"/>
      <c r="AF392" s="26"/>
      <c r="AG392" s="26"/>
      <c r="AH392" s="26"/>
      <c r="AI392" s="26"/>
      <c r="AJ392" s="26"/>
      <c r="AK392" s="26"/>
      <c r="AL392" s="26"/>
      <c r="AM392" s="26"/>
      <c r="AN392" s="26"/>
      <c r="AO392" s="26"/>
      <c r="AP392" s="26"/>
      <c r="AQ392" s="26"/>
      <c r="AR392" s="26"/>
      <c r="AS392" s="26"/>
      <c r="AT392" s="26"/>
      <c r="AU392" s="26"/>
      <c r="AV392" s="26"/>
      <c r="AW392" s="26"/>
      <c r="AX392" s="26"/>
      <c r="AY392" s="26"/>
      <c r="AZ392" s="26"/>
      <c r="BA392" s="26"/>
      <c r="BB392" s="26"/>
      <c r="BC392" s="26"/>
      <c r="BD392" s="26"/>
      <c r="BE392" s="26"/>
      <c r="BF392" s="26"/>
      <c r="BG392" s="26"/>
      <c r="BH392" s="26"/>
      <c r="BI392" s="26"/>
      <c r="BJ392" s="26"/>
      <c r="BK392" s="26"/>
    </row>
    <row r="393" ht="14.25" customHeight="1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  <c r="AE393" s="26"/>
      <c r="AF393" s="26"/>
      <c r="AG393" s="26"/>
      <c r="AH393" s="26"/>
      <c r="AI393" s="26"/>
      <c r="AJ393" s="26"/>
      <c r="AK393" s="26"/>
      <c r="AL393" s="26"/>
      <c r="AM393" s="26"/>
      <c r="AN393" s="26"/>
      <c r="AO393" s="26"/>
      <c r="AP393" s="26"/>
      <c r="AQ393" s="26"/>
      <c r="AR393" s="26"/>
      <c r="AS393" s="26"/>
      <c r="AT393" s="26"/>
      <c r="AU393" s="26"/>
      <c r="AV393" s="26"/>
      <c r="AW393" s="26"/>
      <c r="AX393" s="26"/>
      <c r="AY393" s="26"/>
      <c r="AZ393" s="26"/>
      <c r="BA393" s="26"/>
      <c r="BB393" s="26"/>
      <c r="BC393" s="26"/>
      <c r="BD393" s="26"/>
      <c r="BE393" s="26"/>
      <c r="BF393" s="26"/>
      <c r="BG393" s="26"/>
      <c r="BH393" s="26"/>
      <c r="BI393" s="26"/>
      <c r="BJ393" s="26"/>
      <c r="BK393" s="26"/>
    </row>
    <row r="394" ht="14.25" customHeight="1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  <c r="AE394" s="26"/>
      <c r="AF394" s="26"/>
      <c r="AG394" s="26"/>
      <c r="AH394" s="26"/>
      <c r="AI394" s="26"/>
      <c r="AJ394" s="26"/>
      <c r="AK394" s="26"/>
      <c r="AL394" s="26"/>
      <c r="AM394" s="26"/>
      <c r="AN394" s="26"/>
      <c r="AO394" s="26"/>
      <c r="AP394" s="26"/>
      <c r="AQ394" s="26"/>
      <c r="AR394" s="26"/>
      <c r="AS394" s="26"/>
      <c r="AT394" s="26"/>
      <c r="AU394" s="26"/>
      <c r="AV394" s="26"/>
      <c r="AW394" s="26"/>
      <c r="AX394" s="26"/>
      <c r="AY394" s="26"/>
      <c r="AZ394" s="26"/>
      <c r="BA394" s="26"/>
      <c r="BB394" s="26"/>
      <c r="BC394" s="26"/>
      <c r="BD394" s="26"/>
      <c r="BE394" s="26"/>
      <c r="BF394" s="26"/>
      <c r="BG394" s="26"/>
      <c r="BH394" s="26"/>
      <c r="BI394" s="26"/>
      <c r="BJ394" s="26"/>
      <c r="BK394" s="26"/>
    </row>
    <row r="395" ht="14.25" customHeight="1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  <c r="AE395" s="26"/>
      <c r="AF395" s="26"/>
      <c r="AG395" s="26"/>
      <c r="AH395" s="26"/>
      <c r="AI395" s="26"/>
      <c r="AJ395" s="26"/>
      <c r="AK395" s="26"/>
      <c r="AL395" s="26"/>
      <c r="AM395" s="26"/>
      <c r="AN395" s="26"/>
      <c r="AO395" s="26"/>
      <c r="AP395" s="26"/>
      <c r="AQ395" s="26"/>
      <c r="AR395" s="26"/>
      <c r="AS395" s="26"/>
      <c r="AT395" s="26"/>
      <c r="AU395" s="26"/>
      <c r="AV395" s="26"/>
      <c r="AW395" s="26"/>
      <c r="AX395" s="26"/>
      <c r="AY395" s="26"/>
      <c r="AZ395" s="26"/>
      <c r="BA395" s="26"/>
      <c r="BB395" s="26"/>
      <c r="BC395" s="26"/>
      <c r="BD395" s="26"/>
      <c r="BE395" s="26"/>
      <c r="BF395" s="26"/>
      <c r="BG395" s="26"/>
      <c r="BH395" s="26"/>
      <c r="BI395" s="26"/>
      <c r="BJ395" s="26"/>
      <c r="BK395" s="26"/>
    </row>
    <row r="396" ht="14.25" customHeight="1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  <c r="AE396" s="26"/>
      <c r="AF396" s="26"/>
      <c r="AG396" s="26"/>
      <c r="AH396" s="26"/>
      <c r="AI396" s="26"/>
      <c r="AJ396" s="26"/>
      <c r="AK396" s="26"/>
      <c r="AL396" s="26"/>
      <c r="AM396" s="26"/>
      <c r="AN396" s="26"/>
      <c r="AO396" s="26"/>
      <c r="AP396" s="26"/>
      <c r="AQ396" s="26"/>
      <c r="AR396" s="26"/>
      <c r="AS396" s="26"/>
      <c r="AT396" s="26"/>
      <c r="AU396" s="26"/>
      <c r="AV396" s="26"/>
      <c r="AW396" s="26"/>
      <c r="AX396" s="26"/>
      <c r="AY396" s="26"/>
      <c r="AZ396" s="26"/>
      <c r="BA396" s="26"/>
      <c r="BB396" s="26"/>
      <c r="BC396" s="26"/>
      <c r="BD396" s="26"/>
      <c r="BE396" s="26"/>
      <c r="BF396" s="26"/>
      <c r="BG396" s="26"/>
      <c r="BH396" s="26"/>
      <c r="BI396" s="26"/>
      <c r="BJ396" s="26"/>
      <c r="BK396" s="26"/>
    </row>
    <row r="397" ht="14.25" customHeight="1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  <c r="AE397" s="26"/>
      <c r="AF397" s="26"/>
      <c r="AG397" s="26"/>
      <c r="AH397" s="26"/>
      <c r="AI397" s="26"/>
      <c r="AJ397" s="26"/>
      <c r="AK397" s="26"/>
      <c r="AL397" s="26"/>
      <c r="AM397" s="26"/>
      <c r="AN397" s="26"/>
      <c r="AO397" s="26"/>
      <c r="AP397" s="26"/>
      <c r="AQ397" s="26"/>
      <c r="AR397" s="26"/>
      <c r="AS397" s="26"/>
      <c r="AT397" s="26"/>
      <c r="AU397" s="26"/>
      <c r="AV397" s="26"/>
      <c r="AW397" s="26"/>
      <c r="AX397" s="26"/>
      <c r="AY397" s="26"/>
      <c r="AZ397" s="26"/>
      <c r="BA397" s="26"/>
      <c r="BB397" s="26"/>
      <c r="BC397" s="26"/>
      <c r="BD397" s="26"/>
      <c r="BE397" s="26"/>
      <c r="BF397" s="26"/>
      <c r="BG397" s="26"/>
      <c r="BH397" s="26"/>
      <c r="BI397" s="26"/>
      <c r="BJ397" s="26"/>
      <c r="BK397" s="26"/>
    </row>
    <row r="398" ht="14.25" customHeight="1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  <c r="AE398" s="26"/>
      <c r="AF398" s="26"/>
      <c r="AG398" s="26"/>
      <c r="AH398" s="26"/>
      <c r="AI398" s="26"/>
      <c r="AJ398" s="26"/>
      <c r="AK398" s="26"/>
      <c r="AL398" s="26"/>
      <c r="AM398" s="26"/>
      <c r="AN398" s="26"/>
      <c r="AO398" s="26"/>
      <c r="AP398" s="26"/>
      <c r="AQ398" s="26"/>
      <c r="AR398" s="26"/>
      <c r="AS398" s="26"/>
      <c r="AT398" s="26"/>
      <c r="AU398" s="26"/>
      <c r="AV398" s="26"/>
      <c r="AW398" s="26"/>
      <c r="AX398" s="26"/>
      <c r="AY398" s="26"/>
      <c r="AZ398" s="26"/>
      <c r="BA398" s="26"/>
      <c r="BB398" s="26"/>
      <c r="BC398" s="26"/>
      <c r="BD398" s="26"/>
      <c r="BE398" s="26"/>
      <c r="BF398" s="26"/>
      <c r="BG398" s="26"/>
      <c r="BH398" s="26"/>
      <c r="BI398" s="26"/>
      <c r="BJ398" s="26"/>
      <c r="BK398" s="26"/>
    </row>
    <row r="399" ht="14.25" customHeight="1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  <c r="AE399" s="26"/>
      <c r="AF399" s="26"/>
      <c r="AG399" s="26"/>
      <c r="AH399" s="26"/>
      <c r="AI399" s="26"/>
      <c r="AJ399" s="26"/>
      <c r="AK399" s="26"/>
      <c r="AL399" s="26"/>
      <c r="AM399" s="26"/>
      <c r="AN399" s="26"/>
      <c r="AO399" s="26"/>
      <c r="AP399" s="26"/>
      <c r="AQ399" s="26"/>
      <c r="AR399" s="26"/>
      <c r="AS399" s="26"/>
      <c r="AT399" s="26"/>
      <c r="AU399" s="26"/>
      <c r="AV399" s="26"/>
      <c r="AW399" s="26"/>
      <c r="AX399" s="26"/>
      <c r="AY399" s="26"/>
      <c r="AZ399" s="26"/>
      <c r="BA399" s="26"/>
      <c r="BB399" s="26"/>
      <c r="BC399" s="26"/>
      <c r="BD399" s="26"/>
      <c r="BE399" s="26"/>
      <c r="BF399" s="26"/>
      <c r="BG399" s="26"/>
      <c r="BH399" s="26"/>
      <c r="BI399" s="26"/>
      <c r="BJ399" s="26"/>
      <c r="BK399" s="26"/>
    </row>
    <row r="400" ht="14.25" customHeight="1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  <c r="AE400" s="26"/>
      <c r="AF400" s="26"/>
      <c r="AG400" s="26"/>
      <c r="AH400" s="26"/>
      <c r="AI400" s="26"/>
      <c r="AJ400" s="26"/>
      <c r="AK400" s="26"/>
      <c r="AL400" s="26"/>
      <c r="AM400" s="26"/>
      <c r="AN400" s="26"/>
      <c r="AO400" s="26"/>
      <c r="AP400" s="26"/>
      <c r="AQ400" s="26"/>
      <c r="AR400" s="26"/>
      <c r="AS400" s="26"/>
      <c r="AT400" s="26"/>
      <c r="AU400" s="26"/>
      <c r="AV400" s="26"/>
      <c r="AW400" s="26"/>
      <c r="AX400" s="26"/>
      <c r="AY400" s="26"/>
      <c r="AZ400" s="26"/>
      <c r="BA400" s="26"/>
      <c r="BB400" s="26"/>
      <c r="BC400" s="26"/>
      <c r="BD400" s="26"/>
      <c r="BE400" s="26"/>
      <c r="BF400" s="26"/>
      <c r="BG400" s="26"/>
      <c r="BH400" s="26"/>
      <c r="BI400" s="26"/>
      <c r="BJ400" s="26"/>
      <c r="BK400" s="26"/>
    </row>
    <row r="401" ht="14.25" customHeight="1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  <c r="AD401" s="26"/>
      <c r="AE401" s="26"/>
      <c r="AF401" s="26"/>
      <c r="AG401" s="26"/>
      <c r="AH401" s="26"/>
      <c r="AI401" s="26"/>
      <c r="AJ401" s="26"/>
      <c r="AK401" s="26"/>
      <c r="AL401" s="26"/>
      <c r="AM401" s="26"/>
      <c r="AN401" s="26"/>
      <c r="AO401" s="26"/>
      <c r="AP401" s="26"/>
      <c r="AQ401" s="26"/>
      <c r="AR401" s="26"/>
      <c r="AS401" s="26"/>
      <c r="AT401" s="26"/>
      <c r="AU401" s="26"/>
      <c r="AV401" s="26"/>
      <c r="AW401" s="26"/>
      <c r="AX401" s="26"/>
      <c r="AY401" s="26"/>
      <c r="AZ401" s="26"/>
      <c r="BA401" s="26"/>
      <c r="BB401" s="26"/>
      <c r="BC401" s="26"/>
      <c r="BD401" s="26"/>
      <c r="BE401" s="26"/>
      <c r="BF401" s="26"/>
      <c r="BG401" s="26"/>
      <c r="BH401" s="26"/>
      <c r="BI401" s="26"/>
      <c r="BJ401" s="26"/>
      <c r="BK401" s="26"/>
    </row>
    <row r="402" ht="14.25" customHeight="1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  <c r="AD402" s="26"/>
      <c r="AE402" s="26"/>
      <c r="AF402" s="26"/>
      <c r="AG402" s="26"/>
      <c r="AH402" s="26"/>
      <c r="AI402" s="26"/>
      <c r="AJ402" s="26"/>
      <c r="AK402" s="26"/>
      <c r="AL402" s="26"/>
      <c r="AM402" s="26"/>
      <c r="AN402" s="26"/>
      <c r="AO402" s="26"/>
      <c r="AP402" s="26"/>
      <c r="AQ402" s="26"/>
      <c r="AR402" s="26"/>
      <c r="AS402" s="26"/>
      <c r="AT402" s="26"/>
      <c r="AU402" s="26"/>
      <c r="AV402" s="26"/>
      <c r="AW402" s="26"/>
      <c r="AX402" s="26"/>
      <c r="AY402" s="26"/>
      <c r="AZ402" s="26"/>
      <c r="BA402" s="26"/>
      <c r="BB402" s="26"/>
      <c r="BC402" s="26"/>
      <c r="BD402" s="26"/>
      <c r="BE402" s="26"/>
      <c r="BF402" s="26"/>
      <c r="BG402" s="26"/>
      <c r="BH402" s="26"/>
      <c r="BI402" s="26"/>
      <c r="BJ402" s="26"/>
      <c r="BK402" s="26"/>
    </row>
    <row r="403" ht="14.25" customHeight="1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  <c r="AD403" s="26"/>
      <c r="AE403" s="26"/>
      <c r="AF403" s="26"/>
      <c r="AG403" s="26"/>
      <c r="AH403" s="26"/>
      <c r="AI403" s="26"/>
      <c r="AJ403" s="26"/>
      <c r="AK403" s="26"/>
      <c r="AL403" s="26"/>
      <c r="AM403" s="26"/>
      <c r="AN403" s="26"/>
      <c r="AO403" s="26"/>
      <c r="AP403" s="26"/>
      <c r="AQ403" s="26"/>
      <c r="AR403" s="26"/>
      <c r="AS403" s="26"/>
      <c r="AT403" s="26"/>
      <c r="AU403" s="26"/>
      <c r="AV403" s="26"/>
      <c r="AW403" s="26"/>
      <c r="AX403" s="26"/>
      <c r="AY403" s="26"/>
      <c r="AZ403" s="26"/>
      <c r="BA403" s="26"/>
      <c r="BB403" s="26"/>
      <c r="BC403" s="26"/>
      <c r="BD403" s="26"/>
      <c r="BE403" s="26"/>
      <c r="BF403" s="26"/>
      <c r="BG403" s="26"/>
      <c r="BH403" s="26"/>
      <c r="BI403" s="26"/>
      <c r="BJ403" s="26"/>
      <c r="BK403" s="26"/>
    </row>
    <row r="404" ht="14.25" customHeight="1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  <c r="AE404" s="26"/>
      <c r="AF404" s="26"/>
      <c r="AG404" s="26"/>
      <c r="AH404" s="26"/>
      <c r="AI404" s="26"/>
      <c r="AJ404" s="26"/>
      <c r="AK404" s="26"/>
      <c r="AL404" s="26"/>
      <c r="AM404" s="26"/>
      <c r="AN404" s="26"/>
      <c r="AO404" s="26"/>
      <c r="AP404" s="26"/>
      <c r="AQ404" s="26"/>
      <c r="AR404" s="26"/>
      <c r="AS404" s="26"/>
      <c r="AT404" s="26"/>
      <c r="AU404" s="26"/>
      <c r="AV404" s="26"/>
      <c r="AW404" s="26"/>
      <c r="AX404" s="26"/>
      <c r="AY404" s="26"/>
      <c r="AZ404" s="26"/>
      <c r="BA404" s="26"/>
      <c r="BB404" s="26"/>
      <c r="BC404" s="26"/>
      <c r="BD404" s="26"/>
      <c r="BE404" s="26"/>
      <c r="BF404" s="26"/>
      <c r="BG404" s="26"/>
      <c r="BH404" s="26"/>
      <c r="BI404" s="26"/>
      <c r="BJ404" s="26"/>
      <c r="BK404" s="26"/>
    </row>
    <row r="405" ht="14.25" customHeight="1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  <c r="AD405" s="26"/>
      <c r="AE405" s="26"/>
      <c r="AF405" s="26"/>
      <c r="AG405" s="26"/>
      <c r="AH405" s="26"/>
      <c r="AI405" s="26"/>
      <c r="AJ405" s="26"/>
      <c r="AK405" s="26"/>
      <c r="AL405" s="26"/>
      <c r="AM405" s="26"/>
      <c r="AN405" s="26"/>
      <c r="AO405" s="26"/>
      <c r="AP405" s="26"/>
      <c r="AQ405" s="26"/>
      <c r="AR405" s="26"/>
      <c r="AS405" s="26"/>
      <c r="AT405" s="26"/>
      <c r="AU405" s="26"/>
      <c r="AV405" s="26"/>
      <c r="AW405" s="26"/>
      <c r="AX405" s="26"/>
      <c r="AY405" s="26"/>
      <c r="AZ405" s="26"/>
      <c r="BA405" s="26"/>
      <c r="BB405" s="26"/>
      <c r="BC405" s="26"/>
      <c r="BD405" s="26"/>
      <c r="BE405" s="26"/>
      <c r="BF405" s="26"/>
      <c r="BG405" s="26"/>
      <c r="BH405" s="26"/>
      <c r="BI405" s="26"/>
      <c r="BJ405" s="26"/>
      <c r="BK405" s="26"/>
    </row>
    <row r="406" ht="14.25" customHeight="1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  <c r="AE406" s="26"/>
      <c r="AF406" s="26"/>
      <c r="AG406" s="26"/>
      <c r="AH406" s="26"/>
      <c r="AI406" s="26"/>
      <c r="AJ406" s="26"/>
      <c r="AK406" s="26"/>
      <c r="AL406" s="26"/>
      <c r="AM406" s="26"/>
      <c r="AN406" s="26"/>
      <c r="AO406" s="26"/>
      <c r="AP406" s="26"/>
      <c r="AQ406" s="26"/>
      <c r="AR406" s="26"/>
      <c r="AS406" s="26"/>
      <c r="AT406" s="26"/>
      <c r="AU406" s="26"/>
      <c r="AV406" s="26"/>
      <c r="AW406" s="26"/>
      <c r="AX406" s="26"/>
      <c r="AY406" s="26"/>
      <c r="AZ406" s="26"/>
      <c r="BA406" s="26"/>
      <c r="BB406" s="26"/>
      <c r="BC406" s="26"/>
      <c r="BD406" s="26"/>
      <c r="BE406" s="26"/>
      <c r="BF406" s="26"/>
      <c r="BG406" s="26"/>
      <c r="BH406" s="26"/>
      <c r="BI406" s="26"/>
      <c r="BJ406" s="26"/>
      <c r="BK406" s="26"/>
    </row>
    <row r="407" ht="14.25" customHeight="1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  <c r="AD407" s="26"/>
      <c r="AE407" s="26"/>
      <c r="AF407" s="26"/>
      <c r="AG407" s="26"/>
      <c r="AH407" s="26"/>
      <c r="AI407" s="26"/>
      <c r="AJ407" s="26"/>
      <c r="AK407" s="26"/>
      <c r="AL407" s="26"/>
      <c r="AM407" s="26"/>
      <c r="AN407" s="26"/>
      <c r="AO407" s="26"/>
      <c r="AP407" s="26"/>
      <c r="AQ407" s="26"/>
      <c r="AR407" s="26"/>
      <c r="AS407" s="26"/>
      <c r="AT407" s="26"/>
      <c r="AU407" s="26"/>
      <c r="AV407" s="26"/>
      <c r="AW407" s="26"/>
      <c r="AX407" s="26"/>
      <c r="AY407" s="26"/>
      <c r="AZ407" s="26"/>
      <c r="BA407" s="26"/>
      <c r="BB407" s="26"/>
      <c r="BC407" s="26"/>
      <c r="BD407" s="26"/>
      <c r="BE407" s="26"/>
      <c r="BF407" s="26"/>
      <c r="BG407" s="26"/>
      <c r="BH407" s="26"/>
      <c r="BI407" s="26"/>
      <c r="BJ407" s="26"/>
      <c r="BK407" s="26"/>
    </row>
    <row r="408" ht="14.25" customHeight="1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  <c r="AD408" s="26"/>
      <c r="AE408" s="26"/>
      <c r="AF408" s="26"/>
      <c r="AG408" s="26"/>
      <c r="AH408" s="26"/>
      <c r="AI408" s="26"/>
      <c r="AJ408" s="26"/>
      <c r="AK408" s="26"/>
      <c r="AL408" s="26"/>
      <c r="AM408" s="26"/>
      <c r="AN408" s="26"/>
      <c r="AO408" s="26"/>
      <c r="AP408" s="26"/>
      <c r="AQ408" s="26"/>
      <c r="AR408" s="26"/>
      <c r="AS408" s="26"/>
      <c r="AT408" s="26"/>
      <c r="AU408" s="26"/>
      <c r="AV408" s="26"/>
      <c r="AW408" s="26"/>
      <c r="AX408" s="26"/>
      <c r="AY408" s="26"/>
      <c r="AZ408" s="26"/>
      <c r="BA408" s="26"/>
      <c r="BB408" s="26"/>
      <c r="BC408" s="26"/>
      <c r="BD408" s="26"/>
      <c r="BE408" s="26"/>
      <c r="BF408" s="26"/>
      <c r="BG408" s="26"/>
      <c r="BH408" s="26"/>
      <c r="BI408" s="26"/>
      <c r="BJ408" s="26"/>
      <c r="BK408" s="26"/>
    </row>
    <row r="409" ht="14.25" customHeight="1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  <c r="AD409" s="26"/>
      <c r="AE409" s="26"/>
      <c r="AF409" s="26"/>
      <c r="AG409" s="26"/>
      <c r="AH409" s="26"/>
      <c r="AI409" s="26"/>
      <c r="AJ409" s="26"/>
      <c r="AK409" s="26"/>
      <c r="AL409" s="26"/>
      <c r="AM409" s="26"/>
      <c r="AN409" s="26"/>
      <c r="AO409" s="26"/>
      <c r="AP409" s="26"/>
      <c r="AQ409" s="26"/>
      <c r="AR409" s="26"/>
      <c r="AS409" s="26"/>
      <c r="AT409" s="26"/>
      <c r="AU409" s="26"/>
      <c r="AV409" s="26"/>
      <c r="AW409" s="26"/>
      <c r="AX409" s="26"/>
      <c r="AY409" s="26"/>
      <c r="AZ409" s="26"/>
      <c r="BA409" s="26"/>
      <c r="BB409" s="26"/>
      <c r="BC409" s="26"/>
      <c r="BD409" s="26"/>
      <c r="BE409" s="26"/>
      <c r="BF409" s="26"/>
      <c r="BG409" s="26"/>
      <c r="BH409" s="26"/>
      <c r="BI409" s="26"/>
      <c r="BJ409" s="26"/>
      <c r="BK409" s="26"/>
    </row>
    <row r="410" ht="14.25" customHeight="1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  <c r="AE410" s="26"/>
      <c r="AF410" s="26"/>
      <c r="AG410" s="26"/>
      <c r="AH410" s="26"/>
      <c r="AI410" s="26"/>
      <c r="AJ410" s="26"/>
      <c r="AK410" s="26"/>
      <c r="AL410" s="26"/>
      <c r="AM410" s="26"/>
      <c r="AN410" s="26"/>
      <c r="AO410" s="26"/>
      <c r="AP410" s="26"/>
      <c r="AQ410" s="26"/>
      <c r="AR410" s="26"/>
      <c r="AS410" s="26"/>
      <c r="AT410" s="26"/>
      <c r="AU410" s="26"/>
      <c r="AV410" s="26"/>
      <c r="AW410" s="26"/>
      <c r="AX410" s="26"/>
      <c r="AY410" s="26"/>
      <c r="AZ410" s="26"/>
      <c r="BA410" s="26"/>
      <c r="BB410" s="26"/>
      <c r="BC410" s="26"/>
      <c r="BD410" s="26"/>
      <c r="BE410" s="26"/>
      <c r="BF410" s="26"/>
      <c r="BG410" s="26"/>
      <c r="BH410" s="26"/>
      <c r="BI410" s="26"/>
      <c r="BJ410" s="26"/>
      <c r="BK410" s="26"/>
    </row>
    <row r="411" ht="14.25" customHeight="1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  <c r="AD411" s="26"/>
      <c r="AE411" s="26"/>
      <c r="AF411" s="26"/>
      <c r="AG411" s="26"/>
      <c r="AH411" s="26"/>
      <c r="AI411" s="26"/>
      <c r="AJ411" s="26"/>
      <c r="AK411" s="26"/>
      <c r="AL411" s="26"/>
      <c r="AM411" s="26"/>
      <c r="AN411" s="26"/>
      <c r="AO411" s="26"/>
      <c r="AP411" s="26"/>
      <c r="AQ411" s="26"/>
      <c r="AR411" s="26"/>
      <c r="AS411" s="26"/>
      <c r="AT411" s="26"/>
      <c r="AU411" s="26"/>
      <c r="AV411" s="26"/>
      <c r="AW411" s="26"/>
      <c r="AX411" s="26"/>
      <c r="AY411" s="26"/>
      <c r="AZ411" s="26"/>
      <c r="BA411" s="26"/>
      <c r="BB411" s="26"/>
      <c r="BC411" s="26"/>
      <c r="BD411" s="26"/>
      <c r="BE411" s="26"/>
      <c r="BF411" s="26"/>
      <c r="BG411" s="26"/>
      <c r="BH411" s="26"/>
      <c r="BI411" s="26"/>
      <c r="BJ411" s="26"/>
      <c r="BK411" s="26"/>
    </row>
    <row r="412" ht="14.25" customHeight="1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  <c r="AD412" s="26"/>
      <c r="AE412" s="26"/>
      <c r="AF412" s="26"/>
      <c r="AG412" s="26"/>
      <c r="AH412" s="26"/>
      <c r="AI412" s="26"/>
      <c r="AJ412" s="26"/>
      <c r="AK412" s="26"/>
      <c r="AL412" s="26"/>
      <c r="AM412" s="26"/>
      <c r="AN412" s="26"/>
      <c r="AO412" s="26"/>
      <c r="AP412" s="26"/>
      <c r="AQ412" s="26"/>
      <c r="AR412" s="26"/>
      <c r="AS412" s="26"/>
      <c r="AT412" s="26"/>
      <c r="AU412" s="26"/>
      <c r="AV412" s="26"/>
      <c r="AW412" s="26"/>
      <c r="AX412" s="26"/>
      <c r="AY412" s="26"/>
      <c r="AZ412" s="26"/>
      <c r="BA412" s="26"/>
      <c r="BB412" s="26"/>
      <c r="BC412" s="26"/>
      <c r="BD412" s="26"/>
      <c r="BE412" s="26"/>
      <c r="BF412" s="26"/>
      <c r="BG412" s="26"/>
      <c r="BH412" s="26"/>
      <c r="BI412" s="26"/>
      <c r="BJ412" s="26"/>
      <c r="BK412" s="26"/>
    </row>
    <row r="413" ht="14.25" customHeight="1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  <c r="AD413" s="26"/>
      <c r="AE413" s="26"/>
      <c r="AF413" s="26"/>
      <c r="AG413" s="26"/>
      <c r="AH413" s="26"/>
      <c r="AI413" s="26"/>
      <c r="AJ413" s="26"/>
      <c r="AK413" s="26"/>
      <c r="AL413" s="26"/>
      <c r="AM413" s="26"/>
      <c r="AN413" s="26"/>
      <c r="AO413" s="26"/>
      <c r="AP413" s="26"/>
      <c r="AQ413" s="26"/>
      <c r="AR413" s="26"/>
      <c r="AS413" s="26"/>
      <c r="AT413" s="26"/>
      <c r="AU413" s="26"/>
      <c r="AV413" s="26"/>
      <c r="AW413" s="26"/>
      <c r="AX413" s="26"/>
      <c r="AY413" s="26"/>
      <c r="AZ413" s="26"/>
      <c r="BA413" s="26"/>
      <c r="BB413" s="26"/>
      <c r="BC413" s="26"/>
      <c r="BD413" s="26"/>
      <c r="BE413" s="26"/>
      <c r="BF413" s="26"/>
      <c r="BG413" s="26"/>
      <c r="BH413" s="26"/>
      <c r="BI413" s="26"/>
      <c r="BJ413" s="26"/>
      <c r="BK413" s="26"/>
    </row>
    <row r="414" ht="14.25" customHeight="1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  <c r="AE414" s="26"/>
      <c r="AF414" s="26"/>
      <c r="AG414" s="26"/>
      <c r="AH414" s="26"/>
      <c r="AI414" s="26"/>
      <c r="AJ414" s="26"/>
      <c r="AK414" s="26"/>
      <c r="AL414" s="26"/>
      <c r="AM414" s="26"/>
      <c r="AN414" s="26"/>
      <c r="AO414" s="26"/>
      <c r="AP414" s="26"/>
      <c r="AQ414" s="26"/>
      <c r="AR414" s="26"/>
      <c r="AS414" s="26"/>
      <c r="AT414" s="26"/>
      <c r="AU414" s="26"/>
      <c r="AV414" s="26"/>
      <c r="AW414" s="26"/>
      <c r="AX414" s="26"/>
      <c r="AY414" s="26"/>
      <c r="AZ414" s="26"/>
      <c r="BA414" s="26"/>
      <c r="BB414" s="26"/>
      <c r="BC414" s="26"/>
      <c r="BD414" s="26"/>
      <c r="BE414" s="26"/>
      <c r="BF414" s="26"/>
      <c r="BG414" s="26"/>
      <c r="BH414" s="26"/>
      <c r="BI414" s="26"/>
      <c r="BJ414" s="26"/>
      <c r="BK414" s="26"/>
    </row>
    <row r="415" ht="14.25" customHeight="1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  <c r="AD415" s="26"/>
      <c r="AE415" s="26"/>
      <c r="AF415" s="26"/>
      <c r="AG415" s="26"/>
      <c r="AH415" s="26"/>
      <c r="AI415" s="26"/>
      <c r="AJ415" s="26"/>
      <c r="AK415" s="26"/>
      <c r="AL415" s="26"/>
      <c r="AM415" s="26"/>
      <c r="AN415" s="26"/>
      <c r="AO415" s="26"/>
      <c r="AP415" s="26"/>
      <c r="AQ415" s="26"/>
      <c r="AR415" s="26"/>
      <c r="AS415" s="26"/>
      <c r="AT415" s="26"/>
      <c r="AU415" s="26"/>
      <c r="AV415" s="26"/>
      <c r="AW415" s="26"/>
      <c r="AX415" s="26"/>
      <c r="AY415" s="26"/>
      <c r="AZ415" s="26"/>
      <c r="BA415" s="26"/>
      <c r="BB415" s="26"/>
      <c r="BC415" s="26"/>
      <c r="BD415" s="26"/>
      <c r="BE415" s="26"/>
      <c r="BF415" s="26"/>
      <c r="BG415" s="26"/>
      <c r="BH415" s="26"/>
      <c r="BI415" s="26"/>
      <c r="BJ415" s="26"/>
      <c r="BK415" s="26"/>
    </row>
    <row r="416" ht="14.25" customHeight="1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  <c r="AE416" s="26"/>
      <c r="AF416" s="26"/>
      <c r="AG416" s="26"/>
      <c r="AH416" s="26"/>
      <c r="AI416" s="26"/>
      <c r="AJ416" s="26"/>
      <c r="AK416" s="26"/>
      <c r="AL416" s="26"/>
      <c r="AM416" s="26"/>
      <c r="AN416" s="26"/>
      <c r="AO416" s="26"/>
      <c r="AP416" s="26"/>
      <c r="AQ416" s="26"/>
      <c r="AR416" s="26"/>
      <c r="AS416" s="26"/>
      <c r="AT416" s="26"/>
      <c r="AU416" s="26"/>
      <c r="AV416" s="26"/>
      <c r="AW416" s="26"/>
      <c r="AX416" s="26"/>
      <c r="AY416" s="26"/>
      <c r="AZ416" s="26"/>
      <c r="BA416" s="26"/>
      <c r="BB416" s="26"/>
      <c r="BC416" s="26"/>
      <c r="BD416" s="26"/>
      <c r="BE416" s="26"/>
      <c r="BF416" s="26"/>
      <c r="BG416" s="26"/>
      <c r="BH416" s="26"/>
      <c r="BI416" s="26"/>
      <c r="BJ416" s="26"/>
      <c r="BK416" s="26"/>
    </row>
    <row r="417" ht="14.25" customHeight="1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  <c r="AD417" s="26"/>
      <c r="AE417" s="26"/>
      <c r="AF417" s="26"/>
      <c r="AG417" s="26"/>
      <c r="AH417" s="26"/>
      <c r="AI417" s="26"/>
      <c r="AJ417" s="26"/>
      <c r="AK417" s="26"/>
      <c r="AL417" s="26"/>
      <c r="AM417" s="26"/>
      <c r="AN417" s="26"/>
      <c r="AO417" s="26"/>
      <c r="AP417" s="26"/>
      <c r="AQ417" s="26"/>
      <c r="AR417" s="26"/>
      <c r="AS417" s="26"/>
      <c r="AT417" s="26"/>
      <c r="AU417" s="26"/>
      <c r="AV417" s="26"/>
      <c r="AW417" s="26"/>
      <c r="AX417" s="26"/>
      <c r="AY417" s="26"/>
      <c r="AZ417" s="26"/>
      <c r="BA417" s="26"/>
      <c r="BB417" s="26"/>
      <c r="BC417" s="26"/>
      <c r="BD417" s="26"/>
      <c r="BE417" s="26"/>
      <c r="BF417" s="26"/>
      <c r="BG417" s="26"/>
      <c r="BH417" s="26"/>
      <c r="BI417" s="26"/>
      <c r="BJ417" s="26"/>
      <c r="BK417" s="26"/>
    </row>
    <row r="418" ht="14.25" customHeight="1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  <c r="AD418" s="26"/>
      <c r="AE418" s="26"/>
      <c r="AF418" s="26"/>
      <c r="AG418" s="26"/>
      <c r="AH418" s="26"/>
      <c r="AI418" s="26"/>
      <c r="AJ418" s="26"/>
      <c r="AK418" s="26"/>
      <c r="AL418" s="26"/>
      <c r="AM418" s="26"/>
      <c r="AN418" s="26"/>
      <c r="AO418" s="26"/>
      <c r="AP418" s="26"/>
      <c r="AQ418" s="26"/>
      <c r="AR418" s="26"/>
      <c r="AS418" s="26"/>
      <c r="AT418" s="26"/>
      <c r="AU418" s="26"/>
      <c r="AV418" s="26"/>
      <c r="AW418" s="26"/>
      <c r="AX418" s="26"/>
      <c r="AY418" s="26"/>
      <c r="AZ418" s="26"/>
      <c r="BA418" s="26"/>
      <c r="BB418" s="26"/>
      <c r="BC418" s="26"/>
      <c r="BD418" s="26"/>
      <c r="BE418" s="26"/>
      <c r="BF418" s="26"/>
      <c r="BG418" s="26"/>
      <c r="BH418" s="26"/>
      <c r="BI418" s="26"/>
      <c r="BJ418" s="26"/>
      <c r="BK418" s="26"/>
    </row>
    <row r="419" ht="14.25" customHeight="1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  <c r="AC419" s="26"/>
      <c r="AD419" s="26"/>
      <c r="AE419" s="26"/>
      <c r="AF419" s="26"/>
      <c r="AG419" s="26"/>
      <c r="AH419" s="26"/>
      <c r="AI419" s="26"/>
      <c r="AJ419" s="26"/>
      <c r="AK419" s="26"/>
      <c r="AL419" s="26"/>
      <c r="AM419" s="26"/>
      <c r="AN419" s="26"/>
      <c r="AO419" s="26"/>
      <c r="AP419" s="26"/>
      <c r="AQ419" s="26"/>
      <c r="AR419" s="26"/>
      <c r="AS419" s="26"/>
      <c r="AT419" s="26"/>
      <c r="AU419" s="26"/>
      <c r="AV419" s="26"/>
      <c r="AW419" s="26"/>
      <c r="AX419" s="26"/>
      <c r="AY419" s="26"/>
      <c r="AZ419" s="26"/>
      <c r="BA419" s="26"/>
      <c r="BB419" s="26"/>
      <c r="BC419" s="26"/>
      <c r="BD419" s="26"/>
      <c r="BE419" s="26"/>
      <c r="BF419" s="26"/>
      <c r="BG419" s="26"/>
      <c r="BH419" s="26"/>
      <c r="BI419" s="26"/>
      <c r="BJ419" s="26"/>
      <c r="BK419" s="26"/>
    </row>
    <row r="420" ht="14.25" customHeight="1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  <c r="AD420" s="26"/>
      <c r="AE420" s="26"/>
      <c r="AF420" s="26"/>
      <c r="AG420" s="26"/>
      <c r="AH420" s="26"/>
      <c r="AI420" s="26"/>
      <c r="AJ420" s="26"/>
      <c r="AK420" s="26"/>
      <c r="AL420" s="26"/>
      <c r="AM420" s="26"/>
      <c r="AN420" s="26"/>
      <c r="AO420" s="26"/>
      <c r="AP420" s="26"/>
      <c r="AQ420" s="26"/>
      <c r="AR420" s="26"/>
      <c r="AS420" s="26"/>
      <c r="AT420" s="26"/>
      <c r="AU420" s="26"/>
      <c r="AV420" s="26"/>
      <c r="AW420" s="26"/>
      <c r="AX420" s="26"/>
      <c r="AY420" s="26"/>
      <c r="AZ420" s="26"/>
      <c r="BA420" s="26"/>
      <c r="BB420" s="26"/>
      <c r="BC420" s="26"/>
      <c r="BD420" s="26"/>
      <c r="BE420" s="26"/>
      <c r="BF420" s="26"/>
      <c r="BG420" s="26"/>
      <c r="BH420" s="26"/>
      <c r="BI420" s="26"/>
      <c r="BJ420" s="26"/>
      <c r="BK420" s="26"/>
    </row>
    <row r="421" ht="14.25" customHeight="1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  <c r="AC421" s="26"/>
      <c r="AD421" s="26"/>
      <c r="AE421" s="26"/>
      <c r="AF421" s="26"/>
      <c r="AG421" s="26"/>
      <c r="AH421" s="26"/>
      <c r="AI421" s="26"/>
      <c r="AJ421" s="26"/>
      <c r="AK421" s="26"/>
      <c r="AL421" s="26"/>
      <c r="AM421" s="26"/>
      <c r="AN421" s="26"/>
      <c r="AO421" s="26"/>
      <c r="AP421" s="26"/>
      <c r="AQ421" s="26"/>
      <c r="AR421" s="26"/>
      <c r="AS421" s="26"/>
      <c r="AT421" s="26"/>
      <c r="AU421" s="26"/>
      <c r="AV421" s="26"/>
      <c r="AW421" s="26"/>
      <c r="AX421" s="26"/>
      <c r="AY421" s="26"/>
      <c r="AZ421" s="26"/>
      <c r="BA421" s="26"/>
      <c r="BB421" s="26"/>
      <c r="BC421" s="26"/>
      <c r="BD421" s="26"/>
      <c r="BE421" s="26"/>
      <c r="BF421" s="26"/>
      <c r="BG421" s="26"/>
      <c r="BH421" s="26"/>
      <c r="BI421" s="26"/>
      <c r="BJ421" s="26"/>
      <c r="BK421" s="26"/>
    </row>
    <row r="422" ht="14.25" customHeight="1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6"/>
      <c r="AD422" s="26"/>
      <c r="AE422" s="26"/>
      <c r="AF422" s="26"/>
      <c r="AG422" s="26"/>
      <c r="AH422" s="26"/>
      <c r="AI422" s="26"/>
      <c r="AJ422" s="26"/>
      <c r="AK422" s="26"/>
      <c r="AL422" s="26"/>
      <c r="AM422" s="26"/>
      <c r="AN422" s="26"/>
      <c r="AO422" s="26"/>
      <c r="AP422" s="26"/>
      <c r="AQ422" s="26"/>
      <c r="AR422" s="26"/>
      <c r="AS422" s="26"/>
      <c r="AT422" s="26"/>
      <c r="AU422" s="26"/>
      <c r="AV422" s="26"/>
      <c r="AW422" s="26"/>
      <c r="AX422" s="26"/>
      <c r="AY422" s="26"/>
      <c r="AZ422" s="26"/>
      <c r="BA422" s="26"/>
      <c r="BB422" s="26"/>
      <c r="BC422" s="26"/>
      <c r="BD422" s="26"/>
      <c r="BE422" s="26"/>
      <c r="BF422" s="26"/>
      <c r="BG422" s="26"/>
      <c r="BH422" s="26"/>
      <c r="BI422" s="26"/>
      <c r="BJ422" s="26"/>
      <c r="BK422" s="26"/>
    </row>
    <row r="423" ht="14.25" customHeight="1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  <c r="AD423" s="26"/>
      <c r="AE423" s="26"/>
      <c r="AF423" s="26"/>
      <c r="AG423" s="26"/>
      <c r="AH423" s="26"/>
      <c r="AI423" s="26"/>
      <c r="AJ423" s="26"/>
      <c r="AK423" s="26"/>
      <c r="AL423" s="26"/>
      <c r="AM423" s="26"/>
      <c r="AN423" s="26"/>
      <c r="AO423" s="26"/>
      <c r="AP423" s="26"/>
      <c r="AQ423" s="26"/>
      <c r="AR423" s="26"/>
      <c r="AS423" s="26"/>
      <c r="AT423" s="26"/>
      <c r="AU423" s="26"/>
      <c r="AV423" s="26"/>
      <c r="AW423" s="26"/>
      <c r="AX423" s="26"/>
      <c r="AY423" s="26"/>
      <c r="AZ423" s="26"/>
      <c r="BA423" s="26"/>
      <c r="BB423" s="26"/>
      <c r="BC423" s="26"/>
      <c r="BD423" s="26"/>
      <c r="BE423" s="26"/>
      <c r="BF423" s="26"/>
      <c r="BG423" s="26"/>
      <c r="BH423" s="26"/>
      <c r="BI423" s="26"/>
      <c r="BJ423" s="26"/>
      <c r="BK423" s="26"/>
    </row>
    <row r="424" ht="14.25" customHeight="1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  <c r="AD424" s="26"/>
      <c r="AE424" s="26"/>
      <c r="AF424" s="26"/>
      <c r="AG424" s="26"/>
      <c r="AH424" s="26"/>
      <c r="AI424" s="26"/>
      <c r="AJ424" s="26"/>
      <c r="AK424" s="26"/>
      <c r="AL424" s="26"/>
      <c r="AM424" s="26"/>
      <c r="AN424" s="26"/>
      <c r="AO424" s="26"/>
      <c r="AP424" s="26"/>
      <c r="AQ424" s="26"/>
      <c r="AR424" s="26"/>
      <c r="AS424" s="26"/>
      <c r="AT424" s="26"/>
      <c r="AU424" s="26"/>
      <c r="AV424" s="26"/>
      <c r="AW424" s="26"/>
      <c r="AX424" s="26"/>
      <c r="AY424" s="26"/>
      <c r="AZ424" s="26"/>
      <c r="BA424" s="26"/>
      <c r="BB424" s="26"/>
      <c r="BC424" s="26"/>
      <c r="BD424" s="26"/>
      <c r="BE424" s="26"/>
      <c r="BF424" s="26"/>
      <c r="BG424" s="26"/>
      <c r="BH424" s="26"/>
      <c r="BI424" s="26"/>
      <c r="BJ424" s="26"/>
      <c r="BK424" s="26"/>
    </row>
    <row r="425" ht="14.25" customHeight="1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  <c r="AD425" s="26"/>
      <c r="AE425" s="26"/>
      <c r="AF425" s="26"/>
      <c r="AG425" s="26"/>
      <c r="AH425" s="26"/>
      <c r="AI425" s="26"/>
      <c r="AJ425" s="26"/>
      <c r="AK425" s="26"/>
      <c r="AL425" s="26"/>
      <c r="AM425" s="26"/>
      <c r="AN425" s="26"/>
      <c r="AO425" s="26"/>
      <c r="AP425" s="26"/>
      <c r="AQ425" s="26"/>
      <c r="AR425" s="26"/>
      <c r="AS425" s="26"/>
      <c r="AT425" s="26"/>
      <c r="AU425" s="26"/>
      <c r="AV425" s="26"/>
      <c r="AW425" s="26"/>
      <c r="AX425" s="26"/>
      <c r="AY425" s="26"/>
      <c r="AZ425" s="26"/>
      <c r="BA425" s="26"/>
      <c r="BB425" s="26"/>
      <c r="BC425" s="26"/>
      <c r="BD425" s="26"/>
      <c r="BE425" s="26"/>
      <c r="BF425" s="26"/>
      <c r="BG425" s="26"/>
      <c r="BH425" s="26"/>
      <c r="BI425" s="26"/>
      <c r="BJ425" s="26"/>
      <c r="BK425" s="26"/>
    </row>
    <row r="426" ht="14.25" customHeight="1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  <c r="AD426" s="26"/>
      <c r="AE426" s="26"/>
      <c r="AF426" s="26"/>
      <c r="AG426" s="26"/>
      <c r="AH426" s="26"/>
      <c r="AI426" s="26"/>
      <c r="AJ426" s="26"/>
      <c r="AK426" s="26"/>
      <c r="AL426" s="26"/>
      <c r="AM426" s="26"/>
      <c r="AN426" s="26"/>
      <c r="AO426" s="26"/>
      <c r="AP426" s="26"/>
      <c r="AQ426" s="26"/>
      <c r="AR426" s="26"/>
      <c r="AS426" s="26"/>
      <c r="AT426" s="26"/>
      <c r="AU426" s="26"/>
      <c r="AV426" s="26"/>
      <c r="AW426" s="26"/>
      <c r="AX426" s="26"/>
      <c r="AY426" s="26"/>
      <c r="AZ426" s="26"/>
      <c r="BA426" s="26"/>
      <c r="BB426" s="26"/>
      <c r="BC426" s="26"/>
      <c r="BD426" s="26"/>
      <c r="BE426" s="26"/>
      <c r="BF426" s="26"/>
      <c r="BG426" s="26"/>
      <c r="BH426" s="26"/>
      <c r="BI426" s="26"/>
      <c r="BJ426" s="26"/>
      <c r="BK426" s="26"/>
    </row>
    <row r="427" ht="14.25" customHeight="1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  <c r="AD427" s="26"/>
      <c r="AE427" s="26"/>
      <c r="AF427" s="26"/>
      <c r="AG427" s="26"/>
      <c r="AH427" s="26"/>
      <c r="AI427" s="26"/>
      <c r="AJ427" s="26"/>
      <c r="AK427" s="26"/>
      <c r="AL427" s="26"/>
      <c r="AM427" s="26"/>
      <c r="AN427" s="26"/>
      <c r="AO427" s="26"/>
      <c r="AP427" s="26"/>
      <c r="AQ427" s="26"/>
      <c r="AR427" s="26"/>
      <c r="AS427" s="26"/>
      <c r="AT427" s="26"/>
      <c r="AU427" s="26"/>
      <c r="AV427" s="26"/>
      <c r="AW427" s="26"/>
      <c r="AX427" s="26"/>
      <c r="AY427" s="26"/>
      <c r="AZ427" s="26"/>
      <c r="BA427" s="26"/>
      <c r="BB427" s="26"/>
      <c r="BC427" s="26"/>
      <c r="BD427" s="26"/>
      <c r="BE427" s="26"/>
      <c r="BF427" s="26"/>
      <c r="BG427" s="26"/>
      <c r="BH427" s="26"/>
      <c r="BI427" s="26"/>
      <c r="BJ427" s="26"/>
      <c r="BK427" s="26"/>
    </row>
    <row r="428" ht="14.25" customHeight="1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  <c r="AD428" s="26"/>
      <c r="AE428" s="26"/>
      <c r="AF428" s="26"/>
      <c r="AG428" s="26"/>
      <c r="AH428" s="26"/>
      <c r="AI428" s="26"/>
      <c r="AJ428" s="26"/>
      <c r="AK428" s="26"/>
      <c r="AL428" s="26"/>
      <c r="AM428" s="26"/>
      <c r="AN428" s="26"/>
      <c r="AO428" s="26"/>
      <c r="AP428" s="26"/>
      <c r="AQ428" s="26"/>
      <c r="AR428" s="26"/>
      <c r="AS428" s="26"/>
      <c r="AT428" s="26"/>
      <c r="AU428" s="26"/>
      <c r="AV428" s="26"/>
      <c r="AW428" s="26"/>
      <c r="AX428" s="26"/>
      <c r="AY428" s="26"/>
      <c r="AZ428" s="26"/>
      <c r="BA428" s="26"/>
      <c r="BB428" s="26"/>
      <c r="BC428" s="26"/>
      <c r="BD428" s="26"/>
      <c r="BE428" s="26"/>
      <c r="BF428" s="26"/>
      <c r="BG428" s="26"/>
      <c r="BH428" s="26"/>
      <c r="BI428" s="26"/>
      <c r="BJ428" s="26"/>
      <c r="BK428" s="26"/>
    </row>
    <row r="429" ht="14.25" customHeight="1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  <c r="AD429" s="26"/>
      <c r="AE429" s="26"/>
      <c r="AF429" s="26"/>
      <c r="AG429" s="26"/>
      <c r="AH429" s="26"/>
      <c r="AI429" s="26"/>
      <c r="AJ429" s="26"/>
      <c r="AK429" s="26"/>
      <c r="AL429" s="26"/>
      <c r="AM429" s="26"/>
      <c r="AN429" s="26"/>
      <c r="AO429" s="26"/>
      <c r="AP429" s="26"/>
      <c r="AQ429" s="26"/>
      <c r="AR429" s="26"/>
      <c r="AS429" s="26"/>
      <c r="AT429" s="26"/>
      <c r="AU429" s="26"/>
      <c r="AV429" s="26"/>
      <c r="AW429" s="26"/>
      <c r="AX429" s="26"/>
      <c r="AY429" s="26"/>
      <c r="AZ429" s="26"/>
      <c r="BA429" s="26"/>
      <c r="BB429" s="26"/>
      <c r="BC429" s="26"/>
      <c r="BD429" s="26"/>
      <c r="BE429" s="26"/>
      <c r="BF429" s="26"/>
      <c r="BG429" s="26"/>
      <c r="BH429" s="26"/>
      <c r="BI429" s="26"/>
      <c r="BJ429" s="26"/>
      <c r="BK429" s="26"/>
    </row>
    <row r="430" ht="14.25" customHeight="1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  <c r="AD430" s="26"/>
      <c r="AE430" s="26"/>
      <c r="AF430" s="26"/>
      <c r="AG430" s="26"/>
      <c r="AH430" s="26"/>
      <c r="AI430" s="26"/>
      <c r="AJ430" s="26"/>
      <c r="AK430" s="26"/>
      <c r="AL430" s="26"/>
      <c r="AM430" s="26"/>
      <c r="AN430" s="26"/>
      <c r="AO430" s="26"/>
      <c r="AP430" s="26"/>
      <c r="AQ430" s="26"/>
      <c r="AR430" s="26"/>
      <c r="AS430" s="26"/>
      <c r="AT430" s="26"/>
      <c r="AU430" s="26"/>
      <c r="AV430" s="26"/>
      <c r="AW430" s="26"/>
      <c r="AX430" s="26"/>
      <c r="AY430" s="26"/>
      <c r="AZ430" s="26"/>
      <c r="BA430" s="26"/>
      <c r="BB430" s="26"/>
      <c r="BC430" s="26"/>
      <c r="BD430" s="26"/>
      <c r="BE430" s="26"/>
      <c r="BF430" s="26"/>
      <c r="BG430" s="26"/>
      <c r="BH430" s="26"/>
      <c r="BI430" s="26"/>
      <c r="BJ430" s="26"/>
      <c r="BK430" s="26"/>
    </row>
    <row r="431" ht="14.25" customHeight="1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  <c r="AD431" s="26"/>
      <c r="AE431" s="26"/>
      <c r="AF431" s="26"/>
      <c r="AG431" s="26"/>
      <c r="AH431" s="26"/>
      <c r="AI431" s="26"/>
      <c r="AJ431" s="26"/>
      <c r="AK431" s="26"/>
      <c r="AL431" s="26"/>
      <c r="AM431" s="26"/>
      <c r="AN431" s="26"/>
      <c r="AO431" s="26"/>
      <c r="AP431" s="26"/>
      <c r="AQ431" s="26"/>
      <c r="AR431" s="26"/>
      <c r="AS431" s="26"/>
      <c r="AT431" s="26"/>
      <c r="AU431" s="26"/>
      <c r="AV431" s="26"/>
      <c r="AW431" s="26"/>
      <c r="AX431" s="26"/>
      <c r="AY431" s="26"/>
      <c r="AZ431" s="26"/>
      <c r="BA431" s="26"/>
      <c r="BB431" s="26"/>
      <c r="BC431" s="26"/>
      <c r="BD431" s="26"/>
      <c r="BE431" s="26"/>
      <c r="BF431" s="26"/>
      <c r="BG431" s="26"/>
      <c r="BH431" s="26"/>
      <c r="BI431" s="26"/>
      <c r="BJ431" s="26"/>
      <c r="BK431" s="26"/>
    </row>
    <row r="432" ht="14.25" customHeight="1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  <c r="AC432" s="26"/>
      <c r="AD432" s="26"/>
      <c r="AE432" s="26"/>
      <c r="AF432" s="26"/>
      <c r="AG432" s="26"/>
      <c r="AH432" s="26"/>
      <c r="AI432" s="26"/>
      <c r="AJ432" s="26"/>
      <c r="AK432" s="26"/>
      <c r="AL432" s="26"/>
      <c r="AM432" s="26"/>
      <c r="AN432" s="26"/>
      <c r="AO432" s="26"/>
      <c r="AP432" s="26"/>
      <c r="AQ432" s="26"/>
      <c r="AR432" s="26"/>
      <c r="AS432" s="26"/>
      <c r="AT432" s="26"/>
      <c r="AU432" s="26"/>
      <c r="AV432" s="26"/>
      <c r="AW432" s="26"/>
      <c r="AX432" s="26"/>
      <c r="AY432" s="26"/>
      <c r="AZ432" s="26"/>
      <c r="BA432" s="26"/>
      <c r="BB432" s="26"/>
      <c r="BC432" s="26"/>
      <c r="BD432" s="26"/>
      <c r="BE432" s="26"/>
      <c r="BF432" s="26"/>
      <c r="BG432" s="26"/>
      <c r="BH432" s="26"/>
      <c r="BI432" s="26"/>
      <c r="BJ432" s="26"/>
      <c r="BK432" s="26"/>
    </row>
    <row r="433" ht="14.25" customHeight="1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  <c r="AC433" s="26"/>
      <c r="AD433" s="26"/>
      <c r="AE433" s="26"/>
      <c r="AF433" s="26"/>
      <c r="AG433" s="26"/>
      <c r="AH433" s="26"/>
      <c r="AI433" s="26"/>
      <c r="AJ433" s="26"/>
      <c r="AK433" s="26"/>
      <c r="AL433" s="26"/>
      <c r="AM433" s="26"/>
      <c r="AN433" s="26"/>
      <c r="AO433" s="26"/>
      <c r="AP433" s="26"/>
      <c r="AQ433" s="26"/>
      <c r="AR433" s="26"/>
      <c r="AS433" s="26"/>
      <c r="AT433" s="26"/>
      <c r="AU433" s="26"/>
      <c r="AV433" s="26"/>
      <c r="AW433" s="26"/>
      <c r="AX433" s="26"/>
      <c r="AY433" s="26"/>
      <c r="AZ433" s="26"/>
      <c r="BA433" s="26"/>
      <c r="BB433" s="26"/>
      <c r="BC433" s="26"/>
      <c r="BD433" s="26"/>
      <c r="BE433" s="26"/>
      <c r="BF433" s="26"/>
      <c r="BG433" s="26"/>
      <c r="BH433" s="26"/>
      <c r="BI433" s="26"/>
      <c r="BJ433" s="26"/>
      <c r="BK433" s="26"/>
    </row>
    <row r="434" ht="14.25" customHeight="1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  <c r="AC434" s="26"/>
      <c r="AD434" s="26"/>
      <c r="AE434" s="26"/>
      <c r="AF434" s="26"/>
      <c r="AG434" s="26"/>
      <c r="AH434" s="26"/>
      <c r="AI434" s="26"/>
      <c r="AJ434" s="26"/>
      <c r="AK434" s="26"/>
      <c r="AL434" s="26"/>
      <c r="AM434" s="26"/>
      <c r="AN434" s="26"/>
      <c r="AO434" s="26"/>
      <c r="AP434" s="26"/>
      <c r="AQ434" s="26"/>
      <c r="AR434" s="26"/>
      <c r="AS434" s="26"/>
      <c r="AT434" s="26"/>
      <c r="AU434" s="26"/>
      <c r="AV434" s="26"/>
      <c r="AW434" s="26"/>
      <c r="AX434" s="26"/>
      <c r="AY434" s="26"/>
      <c r="AZ434" s="26"/>
      <c r="BA434" s="26"/>
      <c r="BB434" s="26"/>
      <c r="BC434" s="26"/>
      <c r="BD434" s="26"/>
      <c r="BE434" s="26"/>
      <c r="BF434" s="26"/>
      <c r="BG434" s="26"/>
      <c r="BH434" s="26"/>
      <c r="BI434" s="26"/>
      <c r="BJ434" s="26"/>
      <c r="BK434" s="26"/>
    </row>
    <row r="435" ht="14.25" customHeight="1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  <c r="AC435" s="26"/>
      <c r="AD435" s="26"/>
      <c r="AE435" s="26"/>
      <c r="AF435" s="26"/>
      <c r="AG435" s="26"/>
      <c r="AH435" s="26"/>
      <c r="AI435" s="26"/>
      <c r="AJ435" s="26"/>
      <c r="AK435" s="26"/>
      <c r="AL435" s="26"/>
      <c r="AM435" s="26"/>
      <c r="AN435" s="26"/>
      <c r="AO435" s="26"/>
      <c r="AP435" s="26"/>
      <c r="AQ435" s="26"/>
      <c r="AR435" s="26"/>
      <c r="AS435" s="26"/>
      <c r="AT435" s="26"/>
      <c r="AU435" s="26"/>
      <c r="AV435" s="26"/>
      <c r="AW435" s="26"/>
      <c r="AX435" s="26"/>
      <c r="AY435" s="26"/>
      <c r="AZ435" s="26"/>
      <c r="BA435" s="26"/>
      <c r="BB435" s="26"/>
      <c r="BC435" s="26"/>
      <c r="BD435" s="26"/>
      <c r="BE435" s="26"/>
      <c r="BF435" s="26"/>
      <c r="BG435" s="26"/>
      <c r="BH435" s="26"/>
      <c r="BI435" s="26"/>
      <c r="BJ435" s="26"/>
      <c r="BK435" s="26"/>
    </row>
    <row r="436" ht="14.25" customHeight="1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  <c r="AC436" s="26"/>
      <c r="AD436" s="26"/>
      <c r="AE436" s="26"/>
      <c r="AF436" s="26"/>
      <c r="AG436" s="26"/>
      <c r="AH436" s="26"/>
      <c r="AI436" s="26"/>
      <c r="AJ436" s="26"/>
      <c r="AK436" s="26"/>
      <c r="AL436" s="26"/>
      <c r="AM436" s="26"/>
      <c r="AN436" s="26"/>
      <c r="AO436" s="26"/>
      <c r="AP436" s="26"/>
      <c r="AQ436" s="26"/>
      <c r="AR436" s="26"/>
      <c r="AS436" s="26"/>
      <c r="AT436" s="26"/>
      <c r="AU436" s="26"/>
      <c r="AV436" s="26"/>
      <c r="AW436" s="26"/>
      <c r="AX436" s="26"/>
      <c r="AY436" s="26"/>
      <c r="AZ436" s="26"/>
      <c r="BA436" s="26"/>
      <c r="BB436" s="26"/>
      <c r="BC436" s="26"/>
      <c r="BD436" s="26"/>
      <c r="BE436" s="26"/>
      <c r="BF436" s="26"/>
      <c r="BG436" s="26"/>
      <c r="BH436" s="26"/>
      <c r="BI436" s="26"/>
      <c r="BJ436" s="26"/>
      <c r="BK436" s="26"/>
    </row>
    <row r="437" ht="14.25" customHeight="1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  <c r="AC437" s="26"/>
      <c r="AD437" s="26"/>
      <c r="AE437" s="26"/>
      <c r="AF437" s="26"/>
      <c r="AG437" s="26"/>
      <c r="AH437" s="26"/>
      <c r="AI437" s="26"/>
      <c r="AJ437" s="26"/>
      <c r="AK437" s="26"/>
      <c r="AL437" s="26"/>
      <c r="AM437" s="26"/>
      <c r="AN437" s="26"/>
      <c r="AO437" s="26"/>
      <c r="AP437" s="26"/>
      <c r="AQ437" s="26"/>
      <c r="AR437" s="26"/>
      <c r="AS437" s="26"/>
      <c r="AT437" s="26"/>
      <c r="AU437" s="26"/>
      <c r="AV437" s="26"/>
      <c r="AW437" s="26"/>
      <c r="AX437" s="26"/>
      <c r="AY437" s="26"/>
      <c r="AZ437" s="26"/>
      <c r="BA437" s="26"/>
      <c r="BB437" s="26"/>
      <c r="BC437" s="26"/>
      <c r="BD437" s="26"/>
      <c r="BE437" s="26"/>
      <c r="BF437" s="26"/>
      <c r="BG437" s="26"/>
      <c r="BH437" s="26"/>
      <c r="BI437" s="26"/>
      <c r="BJ437" s="26"/>
      <c r="BK437" s="26"/>
    </row>
    <row r="438" ht="14.25" customHeight="1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  <c r="AC438" s="26"/>
      <c r="AD438" s="26"/>
      <c r="AE438" s="26"/>
      <c r="AF438" s="26"/>
      <c r="AG438" s="26"/>
      <c r="AH438" s="26"/>
      <c r="AI438" s="26"/>
      <c r="AJ438" s="26"/>
      <c r="AK438" s="26"/>
      <c r="AL438" s="26"/>
      <c r="AM438" s="26"/>
      <c r="AN438" s="26"/>
      <c r="AO438" s="26"/>
      <c r="AP438" s="26"/>
      <c r="AQ438" s="26"/>
      <c r="AR438" s="26"/>
      <c r="AS438" s="26"/>
      <c r="AT438" s="26"/>
      <c r="AU438" s="26"/>
      <c r="AV438" s="26"/>
      <c r="AW438" s="26"/>
      <c r="AX438" s="26"/>
      <c r="AY438" s="26"/>
      <c r="AZ438" s="26"/>
      <c r="BA438" s="26"/>
      <c r="BB438" s="26"/>
      <c r="BC438" s="26"/>
      <c r="BD438" s="26"/>
      <c r="BE438" s="26"/>
      <c r="BF438" s="26"/>
      <c r="BG438" s="26"/>
      <c r="BH438" s="26"/>
      <c r="BI438" s="26"/>
      <c r="BJ438" s="26"/>
      <c r="BK438" s="26"/>
    </row>
    <row r="439" ht="14.25" customHeight="1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  <c r="AC439" s="26"/>
      <c r="AD439" s="26"/>
      <c r="AE439" s="26"/>
      <c r="AF439" s="26"/>
      <c r="AG439" s="26"/>
      <c r="AH439" s="26"/>
      <c r="AI439" s="26"/>
      <c r="AJ439" s="26"/>
      <c r="AK439" s="26"/>
      <c r="AL439" s="26"/>
      <c r="AM439" s="26"/>
      <c r="AN439" s="26"/>
      <c r="AO439" s="26"/>
      <c r="AP439" s="26"/>
      <c r="AQ439" s="26"/>
      <c r="AR439" s="26"/>
      <c r="AS439" s="26"/>
      <c r="AT439" s="26"/>
      <c r="AU439" s="26"/>
      <c r="AV439" s="26"/>
      <c r="AW439" s="26"/>
      <c r="AX439" s="26"/>
      <c r="AY439" s="26"/>
      <c r="AZ439" s="26"/>
      <c r="BA439" s="26"/>
      <c r="BB439" s="26"/>
      <c r="BC439" s="26"/>
      <c r="BD439" s="26"/>
      <c r="BE439" s="26"/>
      <c r="BF439" s="26"/>
      <c r="BG439" s="26"/>
      <c r="BH439" s="26"/>
      <c r="BI439" s="26"/>
      <c r="BJ439" s="26"/>
      <c r="BK439" s="26"/>
    </row>
    <row r="440" ht="14.25" customHeight="1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  <c r="AC440" s="26"/>
      <c r="AD440" s="26"/>
      <c r="AE440" s="26"/>
      <c r="AF440" s="26"/>
      <c r="AG440" s="26"/>
      <c r="AH440" s="26"/>
      <c r="AI440" s="26"/>
      <c r="AJ440" s="26"/>
      <c r="AK440" s="26"/>
      <c r="AL440" s="26"/>
      <c r="AM440" s="26"/>
      <c r="AN440" s="26"/>
      <c r="AO440" s="26"/>
      <c r="AP440" s="26"/>
      <c r="AQ440" s="26"/>
      <c r="AR440" s="26"/>
      <c r="AS440" s="26"/>
      <c r="AT440" s="26"/>
      <c r="AU440" s="26"/>
      <c r="AV440" s="26"/>
      <c r="AW440" s="26"/>
      <c r="AX440" s="26"/>
      <c r="AY440" s="26"/>
      <c r="AZ440" s="26"/>
      <c r="BA440" s="26"/>
      <c r="BB440" s="26"/>
      <c r="BC440" s="26"/>
      <c r="BD440" s="26"/>
      <c r="BE440" s="26"/>
      <c r="BF440" s="26"/>
      <c r="BG440" s="26"/>
      <c r="BH440" s="26"/>
      <c r="BI440" s="26"/>
      <c r="BJ440" s="26"/>
      <c r="BK440" s="26"/>
    </row>
    <row r="441" ht="14.25" customHeight="1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  <c r="AC441" s="26"/>
      <c r="AD441" s="26"/>
      <c r="AE441" s="26"/>
      <c r="AF441" s="26"/>
      <c r="AG441" s="26"/>
      <c r="AH441" s="26"/>
      <c r="AI441" s="26"/>
      <c r="AJ441" s="26"/>
      <c r="AK441" s="26"/>
      <c r="AL441" s="26"/>
      <c r="AM441" s="26"/>
      <c r="AN441" s="26"/>
      <c r="AO441" s="26"/>
      <c r="AP441" s="26"/>
      <c r="AQ441" s="26"/>
      <c r="AR441" s="26"/>
      <c r="AS441" s="26"/>
      <c r="AT441" s="26"/>
      <c r="AU441" s="26"/>
      <c r="AV441" s="26"/>
      <c r="AW441" s="26"/>
      <c r="AX441" s="26"/>
      <c r="AY441" s="26"/>
      <c r="AZ441" s="26"/>
      <c r="BA441" s="26"/>
      <c r="BB441" s="26"/>
      <c r="BC441" s="26"/>
      <c r="BD441" s="26"/>
      <c r="BE441" s="26"/>
      <c r="BF441" s="26"/>
      <c r="BG441" s="26"/>
      <c r="BH441" s="26"/>
      <c r="BI441" s="26"/>
      <c r="BJ441" s="26"/>
      <c r="BK441" s="26"/>
    </row>
    <row r="442" ht="14.25" customHeight="1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  <c r="AC442" s="26"/>
      <c r="AD442" s="26"/>
      <c r="AE442" s="26"/>
      <c r="AF442" s="26"/>
      <c r="AG442" s="26"/>
      <c r="AH442" s="26"/>
      <c r="AI442" s="26"/>
      <c r="AJ442" s="26"/>
      <c r="AK442" s="26"/>
      <c r="AL442" s="26"/>
      <c r="AM442" s="26"/>
      <c r="AN442" s="26"/>
      <c r="AO442" s="26"/>
      <c r="AP442" s="26"/>
      <c r="AQ442" s="26"/>
      <c r="AR442" s="26"/>
      <c r="AS442" s="26"/>
      <c r="AT442" s="26"/>
      <c r="AU442" s="26"/>
      <c r="AV442" s="26"/>
      <c r="AW442" s="26"/>
      <c r="AX442" s="26"/>
      <c r="AY442" s="26"/>
      <c r="AZ442" s="26"/>
      <c r="BA442" s="26"/>
      <c r="BB442" s="26"/>
      <c r="BC442" s="26"/>
      <c r="BD442" s="26"/>
      <c r="BE442" s="26"/>
      <c r="BF442" s="26"/>
      <c r="BG442" s="26"/>
      <c r="BH442" s="26"/>
      <c r="BI442" s="26"/>
      <c r="BJ442" s="26"/>
      <c r="BK442" s="26"/>
    </row>
    <row r="443" ht="14.25" customHeight="1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  <c r="AC443" s="26"/>
      <c r="AD443" s="26"/>
      <c r="AE443" s="26"/>
      <c r="AF443" s="26"/>
      <c r="AG443" s="26"/>
      <c r="AH443" s="26"/>
      <c r="AI443" s="26"/>
      <c r="AJ443" s="26"/>
      <c r="AK443" s="26"/>
      <c r="AL443" s="26"/>
      <c r="AM443" s="26"/>
      <c r="AN443" s="26"/>
      <c r="AO443" s="26"/>
      <c r="AP443" s="26"/>
      <c r="AQ443" s="26"/>
      <c r="AR443" s="26"/>
      <c r="AS443" s="26"/>
      <c r="AT443" s="26"/>
      <c r="AU443" s="26"/>
      <c r="AV443" s="26"/>
      <c r="AW443" s="26"/>
      <c r="AX443" s="26"/>
      <c r="AY443" s="26"/>
      <c r="AZ443" s="26"/>
      <c r="BA443" s="26"/>
      <c r="BB443" s="26"/>
      <c r="BC443" s="26"/>
      <c r="BD443" s="26"/>
      <c r="BE443" s="26"/>
      <c r="BF443" s="26"/>
      <c r="BG443" s="26"/>
      <c r="BH443" s="26"/>
      <c r="BI443" s="26"/>
      <c r="BJ443" s="26"/>
      <c r="BK443" s="26"/>
    </row>
    <row r="444" ht="14.25" customHeight="1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  <c r="AC444" s="26"/>
      <c r="AD444" s="26"/>
      <c r="AE444" s="26"/>
      <c r="AF444" s="26"/>
      <c r="AG444" s="26"/>
      <c r="AH444" s="26"/>
      <c r="AI444" s="26"/>
      <c r="AJ444" s="26"/>
      <c r="AK444" s="26"/>
      <c r="AL444" s="26"/>
      <c r="AM444" s="26"/>
      <c r="AN444" s="26"/>
      <c r="AO444" s="26"/>
      <c r="AP444" s="26"/>
      <c r="AQ444" s="26"/>
      <c r="AR444" s="26"/>
      <c r="AS444" s="26"/>
      <c r="AT444" s="26"/>
      <c r="AU444" s="26"/>
      <c r="AV444" s="26"/>
      <c r="AW444" s="26"/>
      <c r="AX444" s="26"/>
      <c r="AY444" s="26"/>
      <c r="AZ444" s="26"/>
      <c r="BA444" s="26"/>
      <c r="BB444" s="26"/>
      <c r="BC444" s="26"/>
      <c r="BD444" s="26"/>
      <c r="BE444" s="26"/>
      <c r="BF444" s="26"/>
      <c r="BG444" s="26"/>
      <c r="BH444" s="26"/>
      <c r="BI444" s="26"/>
      <c r="BJ444" s="26"/>
      <c r="BK444" s="26"/>
    </row>
    <row r="445" ht="14.25" customHeight="1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  <c r="AC445" s="26"/>
      <c r="AD445" s="26"/>
      <c r="AE445" s="26"/>
      <c r="AF445" s="26"/>
      <c r="AG445" s="26"/>
      <c r="AH445" s="26"/>
      <c r="AI445" s="26"/>
      <c r="AJ445" s="26"/>
      <c r="AK445" s="26"/>
      <c r="AL445" s="26"/>
      <c r="AM445" s="26"/>
      <c r="AN445" s="26"/>
      <c r="AO445" s="26"/>
      <c r="AP445" s="26"/>
      <c r="AQ445" s="26"/>
      <c r="AR445" s="26"/>
      <c r="AS445" s="26"/>
      <c r="AT445" s="26"/>
      <c r="AU445" s="26"/>
      <c r="AV445" s="26"/>
      <c r="AW445" s="26"/>
      <c r="AX445" s="26"/>
      <c r="AY445" s="26"/>
      <c r="AZ445" s="26"/>
      <c r="BA445" s="26"/>
      <c r="BB445" s="26"/>
      <c r="BC445" s="26"/>
      <c r="BD445" s="26"/>
      <c r="BE445" s="26"/>
      <c r="BF445" s="26"/>
      <c r="BG445" s="26"/>
      <c r="BH445" s="26"/>
      <c r="BI445" s="26"/>
      <c r="BJ445" s="26"/>
      <c r="BK445" s="26"/>
    </row>
    <row r="446" ht="14.25" customHeight="1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  <c r="AC446" s="26"/>
      <c r="AD446" s="26"/>
      <c r="AE446" s="26"/>
      <c r="AF446" s="26"/>
      <c r="AG446" s="26"/>
      <c r="AH446" s="26"/>
      <c r="AI446" s="26"/>
      <c r="AJ446" s="26"/>
      <c r="AK446" s="26"/>
      <c r="AL446" s="26"/>
      <c r="AM446" s="26"/>
      <c r="AN446" s="26"/>
      <c r="AO446" s="26"/>
      <c r="AP446" s="26"/>
      <c r="AQ446" s="26"/>
      <c r="AR446" s="26"/>
      <c r="AS446" s="26"/>
      <c r="AT446" s="26"/>
      <c r="AU446" s="26"/>
      <c r="AV446" s="26"/>
      <c r="AW446" s="26"/>
      <c r="AX446" s="26"/>
      <c r="AY446" s="26"/>
      <c r="AZ446" s="26"/>
      <c r="BA446" s="26"/>
      <c r="BB446" s="26"/>
      <c r="BC446" s="26"/>
      <c r="BD446" s="26"/>
      <c r="BE446" s="26"/>
      <c r="BF446" s="26"/>
      <c r="BG446" s="26"/>
      <c r="BH446" s="26"/>
      <c r="BI446" s="26"/>
      <c r="BJ446" s="26"/>
      <c r="BK446" s="26"/>
    </row>
    <row r="447" ht="14.25" customHeight="1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  <c r="AC447" s="26"/>
      <c r="AD447" s="26"/>
      <c r="AE447" s="26"/>
      <c r="AF447" s="26"/>
      <c r="AG447" s="26"/>
      <c r="AH447" s="26"/>
      <c r="AI447" s="26"/>
      <c r="AJ447" s="26"/>
      <c r="AK447" s="26"/>
      <c r="AL447" s="26"/>
      <c r="AM447" s="26"/>
      <c r="AN447" s="26"/>
      <c r="AO447" s="26"/>
      <c r="AP447" s="26"/>
      <c r="AQ447" s="26"/>
      <c r="AR447" s="26"/>
      <c r="AS447" s="26"/>
      <c r="AT447" s="26"/>
      <c r="AU447" s="26"/>
      <c r="AV447" s="26"/>
      <c r="AW447" s="26"/>
      <c r="AX447" s="26"/>
      <c r="AY447" s="26"/>
      <c r="AZ447" s="26"/>
      <c r="BA447" s="26"/>
      <c r="BB447" s="26"/>
      <c r="BC447" s="26"/>
      <c r="BD447" s="26"/>
      <c r="BE447" s="26"/>
      <c r="BF447" s="26"/>
      <c r="BG447" s="26"/>
      <c r="BH447" s="26"/>
      <c r="BI447" s="26"/>
      <c r="BJ447" s="26"/>
      <c r="BK447" s="26"/>
    </row>
    <row r="448" ht="14.25" customHeight="1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  <c r="AC448" s="26"/>
      <c r="AD448" s="26"/>
      <c r="AE448" s="26"/>
      <c r="AF448" s="26"/>
      <c r="AG448" s="26"/>
      <c r="AH448" s="26"/>
      <c r="AI448" s="26"/>
      <c r="AJ448" s="26"/>
      <c r="AK448" s="26"/>
      <c r="AL448" s="26"/>
      <c r="AM448" s="26"/>
      <c r="AN448" s="26"/>
      <c r="AO448" s="26"/>
      <c r="AP448" s="26"/>
      <c r="AQ448" s="26"/>
      <c r="AR448" s="26"/>
      <c r="AS448" s="26"/>
      <c r="AT448" s="26"/>
      <c r="AU448" s="26"/>
      <c r="AV448" s="26"/>
      <c r="AW448" s="26"/>
      <c r="AX448" s="26"/>
      <c r="AY448" s="26"/>
      <c r="AZ448" s="26"/>
      <c r="BA448" s="26"/>
      <c r="BB448" s="26"/>
      <c r="BC448" s="26"/>
      <c r="BD448" s="26"/>
      <c r="BE448" s="26"/>
      <c r="BF448" s="26"/>
      <c r="BG448" s="26"/>
      <c r="BH448" s="26"/>
      <c r="BI448" s="26"/>
      <c r="BJ448" s="26"/>
      <c r="BK448" s="26"/>
    </row>
    <row r="449" ht="14.25" customHeight="1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  <c r="AC449" s="26"/>
      <c r="AD449" s="26"/>
      <c r="AE449" s="26"/>
      <c r="AF449" s="26"/>
      <c r="AG449" s="26"/>
      <c r="AH449" s="26"/>
      <c r="AI449" s="26"/>
      <c r="AJ449" s="26"/>
      <c r="AK449" s="26"/>
      <c r="AL449" s="26"/>
      <c r="AM449" s="26"/>
      <c r="AN449" s="26"/>
      <c r="AO449" s="26"/>
      <c r="AP449" s="26"/>
      <c r="AQ449" s="26"/>
      <c r="AR449" s="26"/>
      <c r="AS449" s="26"/>
      <c r="AT449" s="26"/>
      <c r="AU449" s="26"/>
      <c r="AV449" s="26"/>
      <c r="AW449" s="26"/>
      <c r="AX449" s="26"/>
      <c r="AY449" s="26"/>
      <c r="AZ449" s="26"/>
      <c r="BA449" s="26"/>
      <c r="BB449" s="26"/>
      <c r="BC449" s="26"/>
      <c r="BD449" s="26"/>
      <c r="BE449" s="26"/>
      <c r="BF449" s="26"/>
      <c r="BG449" s="26"/>
      <c r="BH449" s="26"/>
      <c r="BI449" s="26"/>
      <c r="BJ449" s="26"/>
      <c r="BK449" s="26"/>
    </row>
    <row r="450" ht="14.25" customHeight="1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  <c r="AC450" s="26"/>
      <c r="AD450" s="26"/>
      <c r="AE450" s="26"/>
      <c r="AF450" s="26"/>
      <c r="AG450" s="26"/>
      <c r="AH450" s="26"/>
      <c r="AI450" s="26"/>
      <c r="AJ450" s="26"/>
      <c r="AK450" s="26"/>
      <c r="AL450" s="26"/>
      <c r="AM450" s="26"/>
      <c r="AN450" s="26"/>
      <c r="AO450" s="26"/>
      <c r="AP450" s="26"/>
      <c r="AQ450" s="26"/>
      <c r="AR450" s="26"/>
      <c r="AS450" s="26"/>
      <c r="AT450" s="26"/>
      <c r="AU450" s="26"/>
      <c r="AV450" s="26"/>
      <c r="AW450" s="26"/>
      <c r="AX450" s="26"/>
      <c r="AY450" s="26"/>
      <c r="AZ450" s="26"/>
      <c r="BA450" s="26"/>
      <c r="BB450" s="26"/>
      <c r="BC450" s="26"/>
      <c r="BD450" s="26"/>
      <c r="BE450" s="26"/>
      <c r="BF450" s="26"/>
      <c r="BG450" s="26"/>
      <c r="BH450" s="26"/>
      <c r="BI450" s="26"/>
      <c r="BJ450" s="26"/>
      <c r="BK450" s="26"/>
    </row>
    <row r="451" ht="14.25" customHeight="1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  <c r="AC451" s="26"/>
      <c r="AD451" s="26"/>
      <c r="AE451" s="26"/>
      <c r="AF451" s="26"/>
      <c r="AG451" s="26"/>
      <c r="AH451" s="26"/>
      <c r="AI451" s="26"/>
      <c r="AJ451" s="26"/>
      <c r="AK451" s="26"/>
      <c r="AL451" s="26"/>
      <c r="AM451" s="26"/>
      <c r="AN451" s="26"/>
      <c r="AO451" s="26"/>
      <c r="AP451" s="26"/>
      <c r="AQ451" s="26"/>
      <c r="AR451" s="26"/>
      <c r="AS451" s="26"/>
      <c r="AT451" s="26"/>
      <c r="AU451" s="26"/>
      <c r="AV451" s="26"/>
      <c r="AW451" s="26"/>
      <c r="AX451" s="26"/>
      <c r="AY451" s="26"/>
      <c r="AZ451" s="26"/>
      <c r="BA451" s="26"/>
      <c r="BB451" s="26"/>
      <c r="BC451" s="26"/>
      <c r="BD451" s="26"/>
      <c r="BE451" s="26"/>
      <c r="BF451" s="26"/>
      <c r="BG451" s="26"/>
      <c r="BH451" s="26"/>
      <c r="BI451" s="26"/>
      <c r="BJ451" s="26"/>
      <c r="BK451" s="26"/>
    </row>
    <row r="452" ht="14.25" customHeight="1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  <c r="AC452" s="26"/>
      <c r="AD452" s="26"/>
      <c r="AE452" s="26"/>
      <c r="AF452" s="26"/>
      <c r="AG452" s="26"/>
      <c r="AH452" s="26"/>
      <c r="AI452" s="26"/>
      <c r="AJ452" s="26"/>
      <c r="AK452" s="26"/>
      <c r="AL452" s="26"/>
      <c r="AM452" s="26"/>
      <c r="AN452" s="26"/>
      <c r="AO452" s="26"/>
      <c r="AP452" s="26"/>
      <c r="AQ452" s="26"/>
      <c r="AR452" s="26"/>
      <c r="AS452" s="26"/>
      <c r="AT452" s="26"/>
      <c r="AU452" s="26"/>
      <c r="AV452" s="26"/>
      <c r="AW452" s="26"/>
      <c r="AX452" s="26"/>
      <c r="AY452" s="26"/>
      <c r="AZ452" s="26"/>
      <c r="BA452" s="26"/>
      <c r="BB452" s="26"/>
      <c r="BC452" s="26"/>
      <c r="BD452" s="26"/>
      <c r="BE452" s="26"/>
      <c r="BF452" s="26"/>
      <c r="BG452" s="26"/>
      <c r="BH452" s="26"/>
      <c r="BI452" s="26"/>
      <c r="BJ452" s="26"/>
      <c r="BK452" s="26"/>
    </row>
    <row r="453" ht="14.25" customHeight="1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  <c r="AC453" s="26"/>
      <c r="AD453" s="26"/>
      <c r="AE453" s="26"/>
      <c r="AF453" s="26"/>
      <c r="AG453" s="26"/>
      <c r="AH453" s="26"/>
      <c r="AI453" s="26"/>
      <c r="AJ453" s="26"/>
      <c r="AK453" s="26"/>
      <c r="AL453" s="26"/>
      <c r="AM453" s="26"/>
      <c r="AN453" s="26"/>
      <c r="AO453" s="26"/>
      <c r="AP453" s="26"/>
      <c r="AQ453" s="26"/>
      <c r="AR453" s="26"/>
      <c r="AS453" s="26"/>
      <c r="AT453" s="26"/>
      <c r="AU453" s="26"/>
      <c r="AV453" s="26"/>
      <c r="AW453" s="26"/>
      <c r="AX453" s="26"/>
      <c r="AY453" s="26"/>
      <c r="AZ453" s="26"/>
      <c r="BA453" s="26"/>
      <c r="BB453" s="26"/>
      <c r="BC453" s="26"/>
      <c r="BD453" s="26"/>
      <c r="BE453" s="26"/>
      <c r="BF453" s="26"/>
      <c r="BG453" s="26"/>
      <c r="BH453" s="26"/>
      <c r="BI453" s="26"/>
      <c r="BJ453" s="26"/>
      <c r="BK453" s="26"/>
    </row>
    <row r="454" ht="14.25" customHeight="1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  <c r="AC454" s="26"/>
      <c r="AD454" s="26"/>
      <c r="AE454" s="26"/>
      <c r="AF454" s="26"/>
      <c r="AG454" s="26"/>
      <c r="AH454" s="26"/>
      <c r="AI454" s="26"/>
      <c r="AJ454" s="26"/>
      <c r="AK454" s="26"/>
      <c r="AL454" s="26"/>
      <c r="AM454" s="26"/>
      <c r="AN454" s="26"/>
      <c r="AO454" s="26"/>
      <c r="AP454" s="26"/>
      <c r="AQ454" s="26"/>
      <c r="AR454" s="26"/>
      <c r="AS454" s="26"/>
      <c r="AT454" s="26"/>
      <c r="AU454" s="26"/>
      <c r="AV454" s="26"/>
      <c r="AW454" s="26"/>
      <c r="AX454" s="26"/>
      <c r="AY454" s="26"/>
      <c r="AZ454" s="26"/>
      <c r="BA454" s="26"/>
      <c r="BB454" s="26"/>
      <c r="BC454" s="26"/>
      <c r="BD454" s="26"/>
      <c r="BE454" s="26"/>
      <c r="BF454" s="26"/>
      <c r="BG454" s="26"/>
      <c r="BH454" s="26"/>
      <c r="BI454" s="26"/>
      <c r="BJ454" s="26"/>
      <c r="BK454" s="26"/>
    </row>
    <row r="455" ht="14.25" customHeight="1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  <c r="AC455" s="26"/>
      <c r="AD455" s="26"/>
      <c r="AE455" s="26"/>
      <c r="AF455" s="26"/>
      <c r="AG455" s="26"/>
      <c r="AH455" s="26"/>
      <c r="AI455" s="26"/>
      <c r="AJ455" s="26"/>
      <c r="AK455" s="26"/>
      <c r="AL455" s="26"/>
      <c r="AM455" s="26"/>
      <c r="AN455" s="26"/>
      <c r="AO455" s="26"/>
      <c r="AP455" s="26"/>
      <c r="AQ455" s="26"/>
      <c r="AR455" s="26"/>
      <c r="AS455" s="26"/>
      <c r="AT455" s="26"/>
      <c r="AU455" s="26"/>
      <c r="AV455" s="26"/>
      <c r="AW455" s="26"/>
      <c r="AX455" s="26"/>
      <c r="AY455" s="26"/>
      <c r="AZ455" s="26"/>
      <c r="BA455" s="26"/>
      <c r="BB455" s="26"/>
      <c r="BC455" s="26"/>
      <c r="BD455" s="26"/>
      <c r="BE455" s="26"/>
      <c r="BF455" s="26"/>
      <c r="BG455" s="26"/>
      <c r="BH455" s="26"/>
      <c r="BI455" s="26"/>
      <c r="BJ455" s="26"/>
      <c r="BK455" s="26"/>
    </row>
    <row r="456" ht="14.25" customHeight="1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  <c r="AC456" s="26"/>
      <c r="AD456" s="26"/>
      <c r="AE456" s="26"/>
      <c r="AF456" s="26"/>
      <c r="AG456" s="26"/>
      <c r="AH456" s="26"/>
      <c r="AI456" s="26"/>
      <c r="AJ456" s="26"/>
      <c r="AK456" s="26"/>
      <c r="AL456" s="26"/>
      <c r="AM456" s="26"/>
      <c r="AN456" s="26"/>
      <c r="AO456" s="26"/>
      <c r="AP456" s="26"/>
      <c r="AQ456" s="26"/>
      <c r="AR456" s="26"/>
      <c r="AS456" s="26"/>
      <c r="AT456" s="26"/>
      <c r="AU456" s="26"/>
      <c r="AV456" s="26"/>
      <c r="AW456" s="26"/>
      <c r="AX456" s="26"/>
      <c r="AY456" s="26"/>
      <c r="AZ456" s="26"/>
      <c r="BA456" s="26"/>
      <c r="BB456" s="26"/>
      <c r="BC456" s="26"/>
      <c r="BD456" s="26"/>
      <c r="BE456" s="26"/>
      <c r="BF456" s="26"/>
      <c r="BG456" s="26"/>
      <c r="BH456" s="26"/>
      <c r="BI456" s="26"/>
      <c r="BJ456" s="26"/>
      <c r="BK456" s="26"/>
    </row>
    <row r="457" ht="14.25" customHeight="1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  <c r="AC457" s="26"/>
      <c r="AD457" s="26"/>
      <c r="AE457" s="26"/>
      <c r="AF457" s="26"/>
      <c r="AG457" s="26"/>
      <c r="AH457" s="26"/>
      <c r="AI457" s="26"/>
      <c r="AJ457" s="26"/>
      <c r="AK457" s="26"/>
      <c r="AL457" s="26"/>
      <c r="AM457" s="26"/>
      <c r="AN457" s="26"/>
      <c r="AO457" s="26"/>
      <c r="AP457" s="26"/>
      <c r="AQ457" s="26"/>
      <c r="AR457" s="26"/>
      <c r="AS457" s="26"/>
      <c r="AT457" s="26"/>
      <c r="AU457" s="26"/>
      <c r="AV457" s="26"/>
      <c r="AW457" s="26"/>
      <c r="AX457" s="26"/>
      <c r="AY457" s="26"/>
      <c r="AZ457" s="26"/>
      <c r="BA457" s="26"/>
      <c r="BB457" s="26"/>
      <c r="BC457" s="26"/>
      <c r="BD457" s="26"/>
      <c r="BE457" s="26"/>
      <c r="BF457" s="26"/>
      <c r="BG457" s="26"/>
      <c r="BH457" s="26"/>
      <c r="BI457" s="26"/>
      <c r="BJ457" s="26"/>
      <c r="BK457" s="26"/>
    </row>
    <row r="458" ht="14.25" customHeight="1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  <c r="AC458" s="26"/>
      <c r="AD458" s="26"/>
      <c r="AE458" s="26"/>
      <c r="AF458" s="26"/>
      <c r="AG458" s="26"/>
      <c r="AH458" s="26"/>
      <c r="AI458" s="26"/>
      <c r="AJ458" s="26"/>
      <c r="AK458" s="26"/>
      <c r="AL458" s="26"/>
      <c r="AM458" s="26"/>
      <c r="AN458" s="26"/>
      <c r="AO458" s="26"/>
      <c r="AP458" s="26"/>
      <c r="AQ458" s="26"/>
      <c r="AR458" s="26"/>
      <c r="AS458" s="26"/>
      <c r="AT458" s="26"/>
      <c r="AU458" s="26"/>
      <c r="AV458" s="26"/>
      <c r="AW458" s="26"/>
      <c r="AX458" s="26"/>
      <c r="AY458" s="26"/>
      <c r="AZ458" s="26"/>
      <c r="BA458" s="26"/>
      <c r="BB458" s="26"/>
      <c r="BC458" s="26"/>
      <c r="BD458" s="26"/>
      <c r="BE458" s="26"/>
      <c r="BF458" s="26"/>
      <c r="BG458" s="26"/>
      <c r="BH458" s="26"/>
      <c r="BI458" s="26"/>
      <c r="BJ458" s="26"/>
      <c r="BK458" s="26"/>
    </row>
    <row r="459" ht="14.25" customHeight="1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  <c r="AC459" s="26"/>
      <c r="AD459" s="26"/>
      <c r="AE459" s="26"/>
      <c r="AF459" s="26"/>
      <c r="AG459" s="26"/>
      <c r="AH459" s="26"/>
      <c r="AI459" s="26"/>
      <c r="AJ459" s="26"/>
      <c r="AK459" s="26"/>
      <c r="AL459" s="26"/>
      <c r="AM459" s="26"/>
      <c r="AN459" s="26"/>
      <c r="AO459" s="26"/>
      <c r="AP459" s="26"/>
      <c r="AQ459" s="26"/>
      <c r="AR459" s="26"/>
      <c r="AS459" s="26"/>
      <c r="AT459" s="26"/>
      <c r="AU459" s="26"/>
      <c r="AV459" s="26"/>
      <c r="AW459" s="26"/>
      <c r="AX459" s="26"/>
      <c r="AY459" s="26"/>
      <c r="AZ459" s="26"/>
      <c r="BA459" s="26"/>
      <c r="BB459" s="26"/>
      <c r="BC459" s="26"/>
      <c r="BD459" s="26"/>
      <c r="BE459" s="26"/>
      <c r="BF459" s="26"/>
      <c r="BG459" s="26"/>
      <c r="BH459" s="26"/>
      <c r="BI459" s="26"/>
      <c r="BJ459" s="26"/>
      <c r="BK459" s="26"/>
    </row>
    <row r="460" ht="14.25" customHeight="1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  <c r="AC460" s="26"/>
      <c r="AD460" s="26"/>
      <c r="AE460" s="26"/>
      <c r="AF460" s="26"/>
      <c r="AG460" s="26"/>
      <c r="AH460" s="26"/>
      <c r="AI460" s="26"/>
      <c r="AJ460" s="26"/>
      <c r="AK460" s="26"/>
      <c r="AL460" s="26"/>
      <c r="AM460" s="26"/>
      <c r="AN460" s="26"/>
      <c r="AO460" s="26"/>
      <c r="AP460" s="26"/>
      <c r="AQ460" s="26"/>
      <c r="AR460" s="26"/>
      <c r="AS460" s="26"/>
      <c r="AT460" s="26"/>
      <c r="AU460" s="26"/>
      <c r="AV460" s="26"/>
      <c r="AW460" s="26"/>
      <c r="AX460" s="26"/>
      <c r="AY460" s="26"/>
      <c r="AZ460" s="26"/>
      <c r="BA460" s="26"/>
      <c r="BB460" s="26"/>
      <c r="BC460" s="26"/>
      <c r="BD460" s="26"/>
      <c r="BE460" s="26"/>
      <c r="BF460" s="26"/>
      <c r="BG460" s="26"/>
      <c r="BH460" s="26"/>
      <c r="BI460" s="26"/>
      <c r="BJ460" s="26"/>
      <c r="BK460" s="26"/>
    </row>
    <row r="461" ht="14.25" customHeight="1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  <c r="AC461" s="26"/>
      <c r="AD461" s="26"/>
      <c r="AE461" s="26"/>
      <c r="AF461" s="26"/>
      <c r="AG461" s="26"/>
      <c r="AH461" s="26"/>
      <c r="AI461" s="26"/>
      <c r="AJ461" s="26"/>
      <c r="AK461" s="26"/>
      <c r="AL461" s="26"/>
      <c r="AM461" s="26"/>
      <c r="AN461" s="26"/>
      <c r="AO461" s="26"/>
      <c r="AP461" s="26"/>
      <c r="AQ461" s="26"/>
      <c r="AR461" s="26"/>
      <c r="AS461" s="26"/>
      <c r="AT461" s="26"/>
      <c r="AU461" s="26"/>
      <c r="AV461" s="26"/>
      <c r="AW461" s="26"/>
      <c r="AX461" s="26"/>
      <c r="AY461" s="26"/>
      <c r="AZ461" s="26"/>
      <c r="BA461" s="26"/>
      <c r="BB461" s="26"/>
      <c r="BC461" s="26"/>
      <c r="BD461" s="26"/>
      <c r="BE461" s="26"/>
      <c r="BF461" s="26"/>
      <c r="BG461" s="26"/>
      <c r="BH461" s="26"/>
      <c r="BI461" s="26"/>
      <c r="BJ461" s="26"/>
      <c r="BK461" s="26"/>
    </row>
    <row r="462" ht="14.25" customHeight="1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  <c r="AC462" s="26"/>
      <c r="AD462" s="26"/>
      <c r="AE462" s="26"/>
      <c r="AF462" s="26"/>
      <c r="AG462" s="26"/>
      <c r="AH462" s="26"/>
      <c r="AI462" s="26"/>
      <c r="AJ462" s="26"/>
      <c r="AK462" s="26"/>
      <c r="AL462" s="26"/>
      <c r="AM462" s="26"/>
      <c r="AN462" s="26"/>
      <c r="AO462" s="26"/>
      <c r="AP462" s="26"/>
      <c r="AQ462" s="26"/>
      <c r="AR462" s="26"/>
      <c r="AS462" s="26"/>
      <c r="AT462" s="26"/>
      <c r="AU462" s="26"/>
      <c r="AV462" s="26"/>
      <c r="AW462" s="26"/>
      <c r="AX462" s="26"/>
      <c r="AY462" s="26"/>
      <c r="AZ462" s="26"/>
      <c r="BA462" s="26"/>
      <c r="BB462" s="26"/>
      <c r="BC462" s="26"/>
      <c r="BD462" s="26"/>
      <c r="BE462" s="26"/>
      <c r="BF462" s="26"/>
      <c r="BG462" s="26"/>
      <c r="BH462" s="26"/>
      <c r="BI462" s="26"/>
      <c r="BJ462" s="26"/>
      <c r="BK462" s="26"/>
    </row>
    <row r="463" ht="14.25" customHeight="1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  <c r="AC463" s="26"/>
      <c r="AD463" s="26"/>
      <c r="AE463" s="26"/>
      <c r="AF463" s="26"/>
      <c r="AG463" s="26"/>
      <c r="AH463" s="26"/>
      <c r="AI463" s="26"/>
      <c r="AJ463" s="26"/>
      <c r="AK463" s="26"/>
      <c r="AL463" s="26"/>
      <c r="AM463" s="26"/>
      <c r="AN463" s="26"/>
      <c r="AO463" s="26"/>
      <c r="AP463" s="26"/>
      <c r="AQ463" s="26"/>
      <c r="AR463" s="26"/>
      <c r="AS463" s="26"/>
      <c r="AT463" s="26"/>
      <c r="AU463" s="26"/>
      <c r="AV463" s="26"/>
      <c r="AW463" s="26"/>
      <c r="AX463" s="26"/>
      <c r="AY463" s="26"/>
      <c r="AZ463" s="26"/>
      <c r="BA463" s="26"/>
      <c r="BB463" s="26"/>
      <c r="BC463" s="26"/>
      <c r="BD463" s="26"/>
      <c r="BE463" s="26"/>
      <c r="BF463" s="26"/>
      <c r="BG463" s="26"/>
      <c r="BH463" s="26"/>
      <c r="BI463" s="26"/>
      <c r="BJ463" s="26"/>
      <c r="BK463" s="26"/>
    </row>
    <row r="464" ht="14.25" customHeight="1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  <c r="AC464" s="26"/>
      <c r="AD464" s="26"/>
      <c r="AE464" s="26"/>
      <c r="AF464" s="26"/>
      <c r="AG464" s="26"/>
      <c r="AH464" s="26"/>
      <c r="AI464" s="26"/>
      <c r="AJ464" s="26"/>
      <c r="AK464" s="26"/>
      <c r="AL464" s="26"/>
      <c r="AM464" s="26"/>
      <c r="AN464" s="26"/>
      <c r="AO464" s="26"/>
      <c r="AP464" s="26"/>
      <c r="AQ464" s="26"/>
      <c r="AR464" s="26"/>
      <c r="AS464" s="26"/>
      <c r="AT464" s="26"/>
      <c r="AU464" s="26"/>
      <c r="AV464" s="26"/>
      <c r="AW464" s="26"/>
      <c r="AX464" s="26"/>
      <c r="AY464" s="26"/>
      <c r="AZ464" s="26"/>
      <c r="BA464" s="26"/>
      <c r="BB464" s="26"/>
      <c r="BC464" s="26"/>
      <c r="BD464" s="26"/>
      <c r="BE464" s="26"/>
      <c r="BF464" s="26"/>
      <c r="BG464" s="26"/>
      <c r="BH464" s="26"/>
      <c r="BI464" s="26"/>
      <c r="BJ464" s="26"/>
      <c r="BK464" s="26"/>
    </row>
    <row r="465" ht="14.25" customHeight="1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  <c r="AC465" s="26"/>
      <c r="AD465" s="26"/>
      <c r="AE465" s="26"/>
      <c r="AF465" s="26"/>
      <c r="AG465" s="26"/>
      <c r="AH465" s="26"/>
      <c r="AI465" s="26"/>
      <c r="AJ465" s="26"/>
      <c r="AK465" s="26"/>
      <c r="AL465" s="26"/>
      <c r="AM465" s="26"/>
      <c r="AN465" s="26"/>
      <c r="AO465" s="26"/>
      <c r="AP465" s="26"/>
      <c r="AQ465" s="26"/>
      <c r="AR465" s="26"/>
      <c r="AS465" s="26"/>
      <c r="AT465" s="26"/>
      <c r="AU465" s="26"/>
      <c r="AV465" s="26"/>
      <c r="AW465" s="26"/>
      <c r="AX465" s="26"/>
      <c r="AY465" s="26"/>
      <c r="AZ465" s="26"/>
      <c r="BA465" s="26"/>
      <c r="BB465" s="26"/>
      <c r="BC465" s="26"/>
      <c r="BD465" s="26"/>
      <c r="BE465" s="26"/>
      <c r="BF465" s="26"/>
      <c r="BG465" s="26"/>
      <c r="BH465" s="26"/>
      <c r="BI465" s="26"/>
      <c r="BJ465" s="26"/>
      <c r="BK465" s="26"/>
    </row>
    <row r="466" ht="14.25" customHeight="1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  <c r="AC466" s="26"/>
      <c r="AD466" s="26"/>
      <c r="AE466" s="26"/>
      <c r="AF466" s="26"/>
      <c r="AG466" s="26"/>
      <c r="AH466" s="26"/>
      <c r="AI466" s="26"/>
      <c r="AJ466" s="26"/>
      <c r="AK466" s="26"/>
      <c r="AL466" s="26"/>
      <c r="AM466" s="26"/>
      <c r="AN466" s="26"/>
      <c r="AO466" s="26"/>
      <c r="AP466" s="26"/>
      <c r="AQ466" s="26"/>
      <c r="AR466" s="26"/>
      <c r="AS466" s="26"/>
      <c r="AT466" s="26"/>
      <c r="AU466" s="26"/>
      <c r="AV466" s="26"/>
      <c r="AW466" s="26"/>
      <c r="AX466" s="26"/>
      <c r="AY466" s="26"/>
      <c r="AZ466" s="26"/>
      <c r="BA466" s="26"/>
      <c r="BB466" s="26"/>
      <c r="BC466" s="26"/>
      <c r="BD466" s="26"/>
      <c r="BE466" s="26"/>
      <c r="BF466" s="26"/>
      <c r="BG466" s="26"/>
      <c r="BH466" s="26"/>
      <c r="BI466" s="26"/>
      <c r="BJ466" s="26"/>
      <c r="BK466" s="26"/>
    </row>
    <row r="467" ht="14.25" customHeight="1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  <c r="AC467" s="26"/>
      <c r="AD467" s="26"/>
      <c r="AE467" s="26"/>
      <c r="AF467" s="26"/>
      <c r="AG467" s="26"/>
      <c r="AH467" s="26"/>
      <c r="AI467" s="26"/>
      <c r="AJ467" s="26"/>
      <c r="AK467" s="26"/>
      <c r="AL467" s="26"/>
      <c r="AM467" s="26"/>
      <c r="AN467" s="26"/>
      <c r="AO467" s="26"/>
      <c r="AP467" s="26"/>
      <c r="AQ467" s="26"/>
      <c r="AR467" s="26"/>
      <c r="AS467" s="26"/>
      <c r="AT467" s="26"/>
      <c r="AU467" s="26"/>
      <c r="AV467" s="26"/>
      <c r="AW467" s="26"/>
      <c r="AX467" s="26"/>
      <c r="AY467" s="26"/>
      <c r="AZ467" s="26"/>
      <c r="BA467" s="26"/>
      <c r="BB467" s="26"/>
      <c r="BC467" s="26"/>
      <c r="BD467" s="26"/>
      <c r="BE467" s="26"/>
      <c r="BF467" s="26"/>
      <c r="BG467" s="26"/>
      <c r="BH467" s="26"/>
      <c r="BI467" s="26"/>
      <c r="BJ467" s="26"/>
      <c r="BK467" s="26"/>
    </row>
    <row r="468" ht="14.25" customHeight="1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  <c r="AC468" s="26"/>
      <c r="AD468" s="26"/>
      <c r="AE468" s="26"/>
      <c r="AF468" s="26"/>
      <c r="AG468" s="26"/>
      <c r="AH468" s="26"/>
      <c r="AI468" s="26"/>
      <c r="AJ468" s="26"/>
      <c r="AK468" s="26"/>
      <c r="AL468" s="26"/>
      <c r="AM468" s="26"/>
      <c r="AN468" s="26"/>
      <c r="AO468" s="26"/>
      <c r="AP468" s="26"/>
      <c r="AQ468" s="26"/>
      <c r="AR468" s="26"/>
      <c r="AS468" s="26"/>
      <c r="AT468" s="26"/>
      <c r="AU468" s="26"/>
      <c r="AV468" s="26"/>
      <c r="AW468" s="26"/>
      <c r="AX468" s="26"/>
      <c r="AY468" s="26"/>
      <c r="AZ468" s="26"/>
      <c r="BA468" s="26"/>
      <c r="BB468" s="26"/>
      <c r="BC468" s="26"/>
      <c r="BD468" s="26"/>
      <c r="BE468" s="26"/>
      <c r="BF468" s="26"/>
      <c r="BG468" s="26"/>
      <c r="BH468" s="26"/>
      <c r="BI468" s="26"/>
      <c r="BJ468" s="26"/>
      <c r="BK468" s="26"/>
    </row>
    <row r="469" ht="14.25" customHeight="1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  <c r="AC469" s="26"/>
      <c r="AD469" s="26"/>
      <c r="AE469" s="26"/>
      <c r="AF469" s="26"/>
      <c r="AG469" s="26"/>
      <c r="AH469" s="26"/>
      <c r="AI469" s="26"/>
      <c r="AJ469" s="26"/>
      <c r="AK469" s="26"/>
      <c r="AL469" s="26"/>
      <c r="AM469" s="26"/>
      <c r="AN469" s="26"/>
      <c r="AO469" s="26"/>
      <c r="AP469" s="26"/>
      <c r="AQ469" s="26"/>
      <c r="AR469" s="26"/>
      <c r="AS469" s="26"/>
      <c r="AT469" s="26"/>
      <c r="AU469" s="26"/>
      <c r="AV469" s="26"/>
      <c r="AW469" s="26"/>
      <c r="AX469" s="26"/>
      <c r="AY469" s="26"/>
      <c r="AZ469" s="26"/>
      <c r="BA469" s="26"/>
      <c r="BB469" s="26"/>
      <c r="BC469" s="26"/>
      <c r="BD469" s="26"/>
      <c r="BE469" s="26"/>
      <c r="BF469" s="26"/>
      <c r="BG469" s="26"/>
      <c r="BH469" s="26"/>
      <c r="BI469" s="26"/>
      <c r="BJ469" s="26"/>
      <c r="BK469" s="26"/>
    </row>
    <row r="470" ht="14.25" customHeight="1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  <c r="AC470" s="26"/>
      <c r="AD470" s="26"/>
      <c r="AE470" s="26"/>
      <c r="AF470" s="26"/>
      <c r="AG470" s="26"/>
      <c r="AH470" s="26"/>
      <c r="AI470" s="26"/>
      <c r="AJ470" s="26"/>
      <c r="AK470" s="26"/>
      <c r="AL470" s="26"/>
      <c r="AM470" s="26"/>
      <c r="AN470" s="26"/>
      <c r="AO470" s="26"/>
      <c r="AP470" s="26"/>
      <c r="AQ470" s="26"/>
      <c r="AR470" s="26"/>
      <c r="AS470" s="26"/>
      <c r="AT470" s="26"/>
      <c r="AU470" s="26"/>
      <c r="AV470" s="26"/>
      <c r="AW470" s="26"/>
      <c r="AX470" s="26"/>
      <c r="AY470" s="26"/>
      <c r="AZ470" s="26"/>
      <c r="BA470" s="26"/>
      <c r="BB470" s="26"/>
      <c r="BC470" s="26"/>
      <c r="BD470" s="26"/>
      <c r="BE470" s="26"/>
      <c r="BF470" s="26"/>
      <c r="BG470" s="26"/>
      <c r="BH470" s="26"/>
      <c r="BI470" s="26"/>
      <c r="BJ470" s="26"/>
      <c r="BK470" s="26"/>
    </row>
    <row r="471" ht="14.25" customHeight="1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  <c r="AC471" s="26"/>
      <c r="AD471" s="26"/>
      <c r="AE471" s="26"/>
      <c r="AF471" s="26"/>
      <c r="AG471" s="26"/>
      <c r="AH471" s="26"/>
      <c r="AI471" s="26"/>
      <c r="AJ471" s="26"/>
      <c r="AK471" s="26"/>
      <c r="AL471" s="26"/>
      <c r="AM471" s="26"/>
      <c r="AN471" s="26"/>
      <c r="AO471" s="26"/>
      <c r="AP471" s="26"/>
      <c r="AQ471" s="26"/>
      <c r="AR471" s="26"/>
      <c r="AS471" s="26"/>
      <c r="AT471" s="26"/>
      <c r="AU471" s="26"/>
      <c r="AV471" s="26"/>
      <c r="AW471" s="26"/>
      <c r="AX471" s="26"/>
      <c r="AY471" s="26"/>
      <c r="AZ471" s="26"/>
      <c r="BA471" s="26"/>
      <c r="BB471" s="26"/>
      <c r="BC471" s="26"/>
      <c r="BD471" s="26"/>
      <c r="BE471" s="26"/>
      <c r="BF471" s="26"/>
      <c r="BG471" s="26"/>
      <c r="BH471" s="26"/>
      <c r="BI471" s="26"/>
      <c r="BJ471" s="26"/>
      <c r="BK471" s="26"/>
    </row>
    <row r="472" ht="14.25" customHeight="1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  <c r="AC472" s="26"/>
      <c r="AD472" s="26"/>
      <c r="AE472" s="26"/>
      <c r="AF472" s="26"/>
      <c r="AG472" s="26"/>
      <c r="AH472" s="26"/>
      <c r="AI472" s="26"/>
      <c r="AJ472" s="26"/>
      <c r="AK472" s="26"/>
      <c r="AL472" s="26"/>
      <c r="AM472" s="26"/>
      <c r="AN472" s="26"/>
      <c r="AO472" s="26"/>
      <c r="AP472" s="26"/>
      <c r="AQ472" s="26"/>
      <c r="AR472" s="26"/>
      <c r="AS472" s="26"/>
      <c r="AT472" s="26"/>
      <c r="AU472" s="26"/>
      <c r="AV472" s="26"/>
      <c r="AW472" s="26"/>
      <c r="AX472" s="26"/>
      <c r="AY472" s="26"/>
      <c r="AZ472" s="26"/>
      <c r="BA472" s="26"/>
      <c r="BB472" s="26"/>
      <c r="BC472" s="26"/>
      <c r="BD472" s="26"/>
      <c r="BE472" s="26"/>
      <c r="BF472" s="26"/>
      <c r="BG472" s="26"/>
      <c r="BH472" s="26"/>
      <c r="BI472" s="26"/>
      <c r="BJ472" s="26"/>
      <c r="BK472" s="26"/>
    </row>
    <row r="473" ht="14.25" customHeight="1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  <c r="AC473" s="26"/>
      <c r="AD473" s="26"/>
      <c r="AE473" s="26"/>
      <c r="AF473" s="26"/>
      <c r="AG473" s="26"/>
      <c r="AH473" s="26"/>
      <c r="AI473" s="26"/>
      <c r="AJ473" s="26"/>
      <c r="AK473" s="26"/>
      <c r="AL473" s="26"/>
      <c r="AM473" s="26"/>
      <c r="AN473" s="26"/>
      <c r="AO473" s="26"/>
      <c r="AP473" s="26"/>
      <c r="AQ473" s="26"/>
      <c r="AR473" s="26"/>
      <c r="AS473" s="26"/>
      <c r="AT473" s="26"/>
      <c r="AU473" s="26"/>
      <c r="AV473" s="26"/>
      <c r="AW473" s="26"/>
      <c r="AX473" s="26"/>
      <c r="AY473" s="26"/>
      <c r="AZ473" s="26"/>
      <c r="BA473" s="26"/>
      <c r="BB473" s="26"/>
      <c r="BC473" s="26"/>
      <c r="BD473" s="26"/>
      <c r="BE473" s="26"/>
      <c r="BF473" s="26"/>
      <c r="BG473" s="26"/>
      <c r="BH473" s="26"/>
      <c r="BI473" s="26"/>
      <c r="BJ473" s="26"/>
      <c r="BK473" s="26"/>
    </row>
    <row r="474" ht="14.25" customHeight="1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  <c r="AC474" s="26"/>
      <c r="AD474" s="26"/>
      <c r="AE474" s="26"/>
      <c r="AF474" s="26"/>
      <c r="AG474" s="26"/>
      <c r="AH474" s="26"/>
      <c r="AI474" s="26"/>
      <c r="AJ474" s="26"/>
      <c r="AK474" s="26"/>
      <c r="AL474" s="26"/>
      <c r="AM474" s="26"/>
      <c r="AN474" s="26"/>
      <c r="AO474" s="26"/>
      <c r="AP474" s="26"/>
      <c r="AQ474" s="26"/>
      <c r="AR474" s="26"/>
      <c r="AS474" s="26"/>
      <c r="AT474" s="26"/>
      <c r="AU474" s="26"/>
      <c r="AV474" s="26"/>
      <c r="AW474" s="26"/>
      <c r="AX474" s="26"/>
      <c r="AY474" s="26"/>
      <c r="AZ474" s="26"/>
      <c r="BA474" s="26"/>
      <c r="BB474" s="26"/>
      <c r="BC474" s="26"/>
      <c r="BD474" s="26"/>
      <c r="BE474" s="26"/>
      <c r="BF474" s="26"/>
      <c r="BG474" s="26"/>
      <c r="BH474" s="26"/>
      <c r="BI474" s="26"/>
      <c r="BJ474" s="26"/>
      <c r="BK474" s="26"/>
    </row>
    <row r="475" ht="14.25" customHeight="1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  <c r="AC475" s="26"/>
      <c r="AD475" s="26"/>
      <c r="AE475" s="26"/>
      <c r="AF475" s="26"/>
      <c r="AG475" s="26"/>
      <c r="AH475" s="26"/>
      <c r="AI475" s="26"/>
      <c r="AJ475" s="26"/>
      <c r="AK475" s="26"/>
      <c r="AL475" s="26"/>
      <c r="AM475" s="26"/>
      <c r="AN475" s="26"/>
      <c r="AO475" s="26"/>
      <c r="AP475" s="26"/>
      <c r="AQ475" s="26"/>
      <c r="AR475" s="26"/>
      <c r="AS475" s="26"/>
      <c r="AT475" s="26"/>
      <c r="AU475" s="26"/>
      <c r="AV475" s="26"/>
      <c r="AW475" s="26"/>
      <c r="AX475" s="26"/>
      <c r="AY475" s="26"/>
      <c r="AZ475" s="26"/>
      <c r="BA475" s="26"/>
      <c r="BB475" s="26"/>
      <c r="BC475" s="26"/>
      <c r="BD475" s="26"/>
      <c r="BE475" s="26"/>
      <c r="BF475" s="26"/>
      <c r="BG475" s="26"/>
      <c r="BH475" s="26"/>
      <c r="BI475" s="26"/>
      <c r="BJ475" s="26"/>
      <c r="BK475" s="26"/>
    </row>
    <row r="476" ht="14.25" customHeight="1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  <c r="AC476" s="26"/>
      <c r="AD476" s="26"/>
      <c r="AE476" s="26"/>
      <c r="AF476" s="26"/>
      <c r="AG476" s="26"/>
      <c r="AH476" s="26"/>
      <c r="AI476" s="26"/>
      <c r="AJ476" s="26"/>
      <c r="AK476" s="26"/>
      <c r="AL476" s="26"/>
      <c r="AM476" s="26"/>
      <c r="AN476" s="26"/>
      <c r="AO476" s="26"/>
      <c r="AP476" s="26"/>
      <c r="AQ476" s="26"/>
      <c r="AR476" s="26"/>
      <c r="AS476" s="26"/>
      <c r="AT476" s="26"/>
      <c r="AU476" s="26"/>
      <c r="AV476" s="26"/>
      <c r="AW476" s="26"/>
      <c r="AX476" s="26"/>
      <c r="AY476" s="26"/>
      <c r="AZ476" s="26"/>
      <c r="BA476" s="26"/>
      <c r="BB476" s="26"/>
      <c r="BC476" s="26"/>
      <c r="BD476" s="26"/>
      <c r="BE476" s="26"/>
      <c r="BF476" s="26"/>
      <c r="BG476" s="26"/>
      <c r="BH476" s="26"/>
      <c r="BI476" s="26"/>
      <c r="BJ476" s="26"/>
      <c r="BK476" s="26"/>
    </row>
    <row r="477" ht="14.25" customHeight="1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  <c r="AC477" s="26"/>
      <c r="AD477" s="26"/>
      <c r="AE477" s="26"/>
      <c r="AF477" s="26"/>
      <c r="AG477" s="26"/>
      <c r="AH477" s="26"/>
      <c r="AI477" s="26"/>
      <c r="AJ477" s="26"/>
      <c r="AK477" s="26"/>
      <c r="AL477" s="26"/>
      <c r="AM477" s="26"/>
      <c r="AN477" s="26"/>
      <c r="AO477" s="26"/>
      <c r="AP477" s="26"/>
      <c r="AQ477" s="26"/>
      <c r="AR477" s="26"/>
      <c r="AS477" s="26"/>
      <c r="AT477" s="26"/>
      <c r="AU477" s="26"/>
      <c r="AV477" s="26"/>
      <c r="AW477" s="26"/>
      <c r="AX477" s="26"/>
      <c r="AY477" s="26"/>
      <c r="AZ477" s="26"/>
      <c r="BA477" s="26"/>
      <c r="BB477" s="26"/>
      <c r="BC477" s="26"/>
      <c r="BD477" s="26"/>
      <c r="BE477" s="26"/>
      <c r="BF477" s="26"/>
      <c r="BG477" s="26"/>
      <c r="BH477" s="26"/>
      <c r="BI477" s="26"/>
      <c r="BJ477" s="26"/>
      <c r="BK477" s="26"/>
    </row>
    <row r="478" ht="14.25" customHeight="1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  <c r="AC478" s="26"/>
      <c r="AD478" s="26"/>
      <c r="AE478" s="26"/>
      <c r="AF478" s="26"/>
      <c r="AG478" s="26"/>
      <c r="AH478" s="26"/>
      <c r="AI478" s="26"/>
      <c r="AJ478" s="26"/>
      <c r="AK478" s="26"/>
      <c r="AL478" s="26"/>
      <c r="AM478" s="26"/>
      <c r="AN478" s="26"/>
      <c r="AO478" s="26"/>
      <c r="AP478" s="26"/>
      <c r="AQ478" s="26"/>
      <c r="AR478" s="26"/>
      <c r="AS478" s="26"/>
      <c r="AT478" s="26"/>
      <c r="AU478" s="26"/>
      <c r="AV478" s="26"/>
      <c r="AW478" s="26"/>
      <c r="AX478" s="26"/>
      <c r="AY478" s="26"/>
      <c r="AZ478" s="26"/>
      <c r="BA478" s="26"/>
      <c r="BB478" s="26"/>
      <c r="BC478" s="26"/>
      <c r="BD478" s="26"/>
      <c r="BE478" s="26"/>
      <c r="BF478" s="26"/>
      <c r="BG478" s="26"/>
      <c r="BH478" s="26"/>
      <c r="BI478" s="26"/>
      <c r="BJ478" s="26"/>
      <c r="BK478" s="26"/>
    </row>
    <row r="479" ht="14.25" customHeight="1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  <c r="AC479" s="26"/>
      <c r="AD479" s="26"/>
      <c r="AE479" s="26"/>
      <c r="AF479" s="26"/>
      <c r="AG479" s="26"/>
      <c r="AH479" s="26"/>
      <c r="AI479" s="26"/>
      <c r="AJ479" s="26"/>
      <c r="AK479" s="26"/>
      <c r="AL479" s="26"/>
      <c r="AM479" s="26"/>
      <c r="AN479" s="26"/>
      <c r="AO479" s="26"/>
      <c r="AP479" s="26"/>
      <c r="AQ479" s="26"/>
      <c r="AR479" s="26"/>
      <c r="AS479" s="26"/>
      <c r="AT479" s="26"/>
      <c r="AU479" s="26"/>
      <c r="AV479" s="26"/>
      <c r="AW479" s="26"/>
      <c r="AX479" s="26"/>
      <c r="AY479" s="26"/>
      <c r="AZ479" s="26"/>
      <c r="BA479" s="26"/>
      <c r="BB479" s="26"/>
      <c r="BC479" s="26"/>
      <c r="BD479" s="26"/>
      <c r="BE479" s="26"/>
      <c r="BF479" s="26"/>
      <c r="BG479" s="26"/>
      <c r="BH479" s="26"/>
      <c r="BI479" s="26"/>
      <c r="BJ479" s="26"/>
      <c r="BK479" s="26"/>
    </row>
    <row r="480" ht="14.25" customHeight="1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  <c r="AC480" s="26"/>
      <c r="AD480" s="26"/>
      <c r="AE480" s="26"/>
      <c r="AF480" s="26"/>
      <c r="AG480" s="26"/>
      <c r="AH480" s="26"/>
      <c r="AI480" s="26"/>
      <c r="AJ480" s="26"/>
      <c r="AK480" s="26"/>
      <c r="AL480" s="26"/>
      <c r="AM480" s="26"/>
      <c r="AN480" s="26"/>
      <c r="AO480" s="26"/>
      <c r="AP480" s="26"/>
      <c r="AQ480" s="26"/>
      <c r="AR480" s="26"/>
      <c r="AS480" s="26"/>
      <c r="AT480" s="26"/>
      <c r="AU480" s="26"/>
      <c r="AV480" s="26"/>
      <c r="AW480" s="26"/>
      <c r="AX480" s="26"/>
      <c r="AY480" s="26"/>
      <c r="AZ480" s="26"/>
      <c r="BA480" s="26"/>
      <c r="BB480" s="26"/>
      <c r="BC480" s="26"/>
      <c r="BD480" s="26"/>
      <c r="BE480" s="26"/>
      <c r="BF480" s="26"/>
      <c r="BG480" s="26"/>
      <c r="BH480" s="26"/>
      <c r="BI480" s="26"/>
      <c r="BJ480" s="26"/>
      <c r="BK480" s="26"/>
    </row>
    <row r="481" ht="14.25" customHeight="1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  <c r="AC481" s="26"/>
      <c r="AD481" s="26"/>
      <c r="AE481" s="26"/>
      <c r="AF481" s="26"/>
      <c r="AG481" s="26"/>
      <c r="AH481" s="26"/>
      <c r="AI481" s="26"/>
      <c r="AJ481" s="26"/>
      <c r="AK481" s="26"/>
      <c r="AL481" s="26"/>
      <c r="AM481" s="26"/>
      <c r="AN481" s="26"/>
      <c r="AO481" s="26"/>
      <c r="AP481" s="26"/>
      <c r="AQ481" s="26"/>
      <c r="AR481" s="26"/>
      <c r="AS481" s="26"/>
      <c r="AT481" s="26"/>
      <c r="AU481" s="26"/>
      <c r="AV481" s="26"/>
      <c r="AW481" s="26"/>
      <c r="AX481" s="26"/>
      <c r="AY481" s="26"/>
      <c r="AZ481" s="26"/>
      <c r="BA481" s="26"/>
      <c r="BB481" s="26"/>
      <c r="BC481" s="26"/>
      <c r="BD481" s="26"/>
      <c r="BE481" s="26"/>
      <c r="BF481" s="26"/>
      <c r="BG481" s="26"/>
      <c r="BH481" s="26"/>
      <c r="BI481" s="26"/>
      <c r="BJ481" s="26"/>
      <c r="BK481" s="26"/>
    </row>
    <row r="482" ht="14.25" customHeight="1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  <c r="AC482" s="26"/>
      <c r="AD482" s="26"/>
      <c r="AE482" s="26"/>
      <c r="AF482" s="26"/>
      <c r="AG482" s="26"/>
      <c r="AH482" s="26"/>
      <c r="AI482" s="26"/>
      <c r="AJ482" s="26"/>
      <c r="AK482" s="26"/>
      <c r="AL482" s="26"/>
      <c r="AM482" s="26"/>
      <c r="AN482" s="26"/>
      <c r="AO482" s="26"/>
      <c r="AP482" s="26"/>
      <c r="AQ482" s="26"/>
      <c r="AR482" s="26"/>
      <c r="AS482" s="26"/>
      <c r="AT482" s="26"/>
      <c r="AU482" s="26"/>
      <c r="AV482" s="26"/>
      <c r="AW482" s="26"/>
      <c r="AX482" s="26"/>
      <c r="AY482" s="26"/>
      <c r="AZ482" s="26"/>
      <c r="BA482" s="26"/>
      <c r="BB482" s="26"/>
      <c r="BC482" s="26"/>
      <c r="BD482" s="26"/>
      <c r="BE482" s="26"/>
      <c r="BF482" s="26"/>
      <c r="BG482" s="26"/>
      <c r="BH482" s="26"/>
      <c r="BI482" s="26"/>
      <c r="BJ482" s="26"/>
      <c r="BK482" s="26"/>
    </row>
    <row r="483" ht="14.25" customHeight="1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  <c r="AC483" s="26"/>
      <c r="AD483" s="26"/>
      <c r="AE483" s="26"/>
      <c r="AF483" s="26"/>
      <c r="AG483" s="26"/>
      <c r="AH483" s="26"/>
      <c r="AI483" s="26"/>
      <c r="AJ483" s="26"/>
      <c r="AK483" s="26"/>
      <c r="AL483" s="26"/>
      <c r="AM483" s="26"/>
      <c r="AN483" s="26"/>
      <c r="AO483" s="26"/>
      <c r="AP483" s="26"/>
      <c r="AQ483" s="26"/>
      <c r="AR483" s="26"/>
      <c r="AS483" s="26"/>
      <c r="AT483" s="26"/>
      <c r="AU483" s="26"/>
      <c r="AV483" s="26"/>
      <c r="AW483" s="26"/>
      <c r="AX483" s="26"/>
      <c r="AY483" s="26"/>
      <c r="AZ483" s="26"/>
      <c r="BA483" s="26"/>
      <c r="BB483" s="26"/>
      <c r="BC483" s="26"/>
      <c r="BD483" s="26"/>
      <c r="BE483" s="26"/>
      <c r="BF483" s="26"/>
      <c r="BG483" s="26"/>
      <c r="BH483" s="26"/>
      <c r="BI483" s="26"/>
      <c r="BJ483" s="26"/>
      <c r="BK483" s="26"/>
    </row>
    <row r="484" ht="14.25" customHeight="1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  <c r="AC484" s="26"/>
      <c r="AD484" s="26"/>
      <c r="AE484" s="26"/>
      <c r="AF484" s="26"/>
      <c r="AG484" s="26"/>
      <c r="AH484" s="26"/>
      <c r="AI484" s="26"/>
      <c r="AJ484" s="26"/>
      <c r="AK484" s="26"/>
      <c r="AL484" s="26"/>
      <c r="AM484" s="26"/>
      <c r="AN484" s="26"/>
      <c r="AO484" s="26"/>
      <c r="AP484" s="26"/>
      <c r="AQ484" s="26"/>
      <c r="AR484" s="26"/>
      <c r="AS484" s="26"/>
      <c r="AT484" s="26"/>
      <c r="AU484" s="26"/>
      <c r="AV484" s="26"/>
      <c r="AW484" s="26"/>
      <c r="AX484" s="26"/>
      <c r="AY484" s="26"/>
      <c r="AZ484" s="26"/>
      <c r="BA484" s="26"/>
      <c r="BB484" s="26"/>
      <c r="BC484" s="26"/>
      <c r="BD484" s="26"/>
      <c r="BE484" s="26"/>
      <c r="BF484" s="26"/>
      <c r="BG484" s="26"/>
      <c r="BH484" s="26"/>
      <c r="BI484" s="26"/>
      <c r="BJ484" s="26"/>
      <c r="BK484" s="26"/>
    </row>
    <row r="485" ht="14.25" customHeight="1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  <c r="AC485" s="26"/>
      <c r="AD485" s="26"/>
      <c r="AE485" s="26"/>
      <c r="AF485" s="26"/>
      <c r="AG485" s="26"/>
      <c r="AH485" s="26"/>
      <c r="AI485" s="26"/>
      <c r="AJ485" s="26"/>
      <c r="AK485" s="26"/>
      <c r="AL485" s="26"/>
      <c r="AM485" s="26"/>
      <c r="AN485" s="26"/>
      <c r="AO485" s="26"/>
      <c r="AP485" s="26"/>
      <c r="AQ485" s="26"/>
      <c r="AR485" s="26"/>
      <c r="AS485" s="26"/>
      <c r="AT485" s="26"/>
      <c r="AU485" s="26"/>
      <c r="AV485" s="26"/>
      <c r="AW485" s="26"/>
      <c r="AX485" s="26"/>
      <c r="AY485" s="26"/>
      <c r="AZ485" s="26"/>
      <c r="BA485" s="26"/>
      <c r="BB485" s="26"/>
      <c r="BC485" s="26"/>
      <c r="BD485" s="26"/>
      <c r="BE485" s="26"/>
      <c r="BF485" s="26"/>
      <c r="BG485" s="26"/>
      <c r="BH485" s="26"/>
      <c r="BI485" s="26"/>
      <c r="BJ485" s="26"/>
      <c r="BK485" s="26"/>
    </row>
    <row r="486" ht="14.25" customHeight="1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  <c r="AC486" s="26"/>
      <c r="AD486" s="26"/>
      <c r="AE486" s="26"/>
      <c r="AF486" s="26"/>
      <c r="AG486" s="26"/>
      <c r="AH486" s="26"/>
      <c r="AI486" s="26"/>
      <c r="AJ486" s="26"/>
      <c r="AK486" s="26"/>
      <c r="AL486" s="26"/>
      <c r="AM486" s="26"/>
      <c r="AN486" s="26"/>
      <c r="AO486" s="26"/>
      <c r="AP486" s="26"/>
      <c r="AQ486" s="26"/>
      <c r="AR486" s="26"/>
      <c r="AS486" s="26"/>
      <c r="AT486" s="26"/>
      <c r="AU486" s="26"/>
      <c r="AV486" s="26"/>
      <c r="AW486" s="26"/>
      <c r="AX486" s="26"/>
      <c r="AY486" s="26"/>
      <c r="AZ486" s="26"/>
      <c r="BA486" s="26"/>
      <c r="BB486" s="26"/>
      <c r="BC486" s="26"/>
      <c r="BD486" s="26"/>
      <c r="BE486" s="26"/>
      <c r="BF486" s="26"/>
      <c r="BG486" s="26"/>
      <c r="BH486" s="26"/>
      <c r="BI486" s="26"/>
      <c r="BJ486" s="26"/>
      <c r="BK486" s="26"/>
    </row>
    <row r="487" ht="14.25" customHeight="1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  <c r="AC487" s="26"/>
      <c r="AD487" s="26"/>
      <c r="AE487" s="26"/>
      <c r="AF487" s="26"/>
      <c r="AG487" s="26"/>
      <c r="AH487" s="26"/>
      <c r="AI487" s="26"/>
      <c r="AJ487" s="26"/>
      <c r="AK487" s="26"/>
      <c r="AL487" s="26"/>
      <c r="AM487" s="26"/>
      <c r="AN487" s="26"/>
      <c r="AO487" s="26"/>
      <c r="AP487" s="26"/>
      <c r="AQ487" s="26"/>
      <c r="AR487" s="26"/>
      <c r="AS487" s="26"/>
      <c r="AT487" s="26"/>
      <c r="AU487" s="26"/>
      <c r="AV487" s="26"/>
      <c r="AW487" s="26"/>
      <c r="AX487" s="26"/>
      <c r="AY487" s="26"/>
      <c r="AZ487" s="26"/>
      <c r="BA487" s="26"/>
      <c r="BB487" s="26"/>
      <c r="BC487" s="26"/>
      <c r="BD487" s="26"/>
      <c r="BE487" s="26"/>
      <c r="BF487" s="26"/>
      <c r="BG487" s="26"/>
      <c r="BH487" s="26"/>
      <c r="BI487" s="26"/>
      <c r="BJ487" s="26"/>
      <c r="BK487" s="26"/>
    </row>
    <row r="488" ht="14.25" customHeight="1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  <c r="AC488" s="26"/>
      <c r="AD488" s="26"/>
      <c r="AE488" s="26"/>
      <c r="AF488" s="26"/>
      <c r="AG488" s="26"/>
      <c r="AH488" s="26"/>
      <c r="AI488" s="26"/>
      <c r="AJ488" s="26"/>
      <c r="AK488" s="26"/>
      <c r="AL488" s="26"/>
      <c r="AM488" s="26"/>
      <c r="AN488" s="26"/>
      <c r="AO488" s="26"/>
      <c r="AP488" s="26"/>
      <c r="AQ488" s="26"/>
      <c r="AR488" s="26"/>
      <c r="AS488" s="26"/>
      <c r="AT488" s="26"/>
      <c r="AU488" s="26"/>
      <c r="AV488" s="26"/>
      <c r="AW488" s="26"/>
      <c r="AX488" s="26"/>
      <c r="AY488" s="26"/>
      <c r="AZ488" s="26"/>
      <c r="BA488" s="26"/>
      <c r="BB488" s="26"/>
      <c r="BC488" s="26"/>
      <c r="BD488" s="26"/>
      <c r="BE488" s="26"/>
      <c r="BF488" s="26"/>
      <c r="BG488" s="26"/>
      <c r="BH488" s="26"/>
      <c r="BI488" s="26"/>
      <c r="BJ488" s="26"/>
      <c r="BK488" s="26"/>
    </row>
    <row r="489" ht="14.25" customHeight="1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  <c r="AC489" s="26"/>
      <c r="AD489" s="26"/>
      <c r="AE489" s="26"/>
      <c r="AF489" s="26"/>
      <c r="AG489" s="26"/>
      <c r="AH489" s="26"/>
      <c r="AI489" s="26"/>
      <c r="AJ489" s="26"/>
      <c r="AK489" s="26"/>
      <c r="AL489" s="26"/>
      <c r="AM489" s="26"/>
      <c r="AN489" s="26"/>
      <c r="AO489" s="26"/>
      <c r="AP489" s="26"/>
      <c r="AQ489" s="26"/>
      <c r="AR489" s="26"/>
      <c r="AS489" s="26"/>
      <c r="AT489" s="26"/>
      <c r="AU489" s="26"/>
      <c r="AV489" s="26"/>
      <c r="AW489" s="26"/>
      <c r="AX489" s="26"/>
      <c r="AY489" s="26"/>
      <c r="AZ489" s="26"/>
      <c r="BA489" s="26"/>
      <c r="BB489" s="26"/>
      <c r="BC489" s="26"/>
      <c r="BD489" s="26"/>
      <c r="BE489" s="26"/>
      <c r="BF489" s="26"/>
      <c r="BG489" s="26"/>
      <c r="BH489" s="26"/>
      <c r="BI489" s="26"/>
      <c r="BJ489" s="26"/>
      <c r="BK489" s="26"/>
    </row>
    <row r="490" ht="14.25" customHeight="1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  <c r="AC490" s="26"/>
      <c r="AD490" s="26"/>
      <c r="AE490" s="26"/>
      <c r="AF490" s="26"/>
      <c r="AG490" s="26"/>
      <c r="AH490" s="26"/>
      <c r="AI490" s="26"/>
      <c r="AJ490" s="26"/>
      <c r="AK490" s="26"/>
      <c r="AL490" s="26"/>
      <c r="AM490" s="26"/>
      <c r="AN490" s="26"/>
      <c r="AO490" s="26"/>
      <c r="AP490" s="26"/>
      <c r="AQ490" s="26"/>
      <c r="AR490" s="26"/>
      <c r="AS490" s="26"/>
      <c r="AT490" s="26"/>
      <c r="AU490" s="26"/>
      <c r="AV490" s="26"/>
      <c r="AW490" s="26"/>
      <c r="AX490" s="26"/>
      <c r="AY490" s="26"/>
      <c r="AZ490" s="26"/>
      <c r="BA490" s="26"/>
      <c r="BB490" s="26"/>
      <c r="BC490" s="26"/>
      <c r="BD490" s="26"/>
      <c r="BE490" s="26"/>
      <c r="BF490" s="26"/>
      <c r="BG490" s="26"/>
      <c r="BH490" s="26"/>
      <c r="BI490" s="26"/>
      <c r="BJ490" s="26"/>
      <c r="BK490" s="26"/>
    </row>
    <row r="491" ht="14.25" customHeight="1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  <c r="AC491" s="26"/>
      <c r="AD491" s="26"/>
      <c r="AE491" s="26"/>
      <c r="AF491" s="26"/>
      <c r="AG491" s="26"/>
      <c r="AH491" s="26"/>
      <c r="AI491" s="26"/>
      <c r="AJ491" s="26"/>
      <c r="AK491" s="26"/>
      <c r="AL491" s="26"/>
      <c r="AM491" s="26"/>
      <c r="AN491" s="26"/>
      <c r="AO491" s="26"/>
      <c r="AP491" s="26"/>
      <c r="AQ491" s="26"/>
      <c r="AR491" s="26"/>
      <c r="AS491" s="26"/>
      <c r="AT491" s="26"/>
      <c r="AU491" s="26"/>
      <c r="AV491" s="26"/>
      <c r="AW491" s="26"/>
      <c r="AX491" s="26"/>
      <c r="AY491" s="26"/>
      <c r="AZ491" s="26"/>
      <c r="BA491" s="26"/>
      <c r="BB491" s="26"/>
      <c r="BC491" s="26"/>
      <c r="BD491" s="26"/>
      <c r="BE491" s="26"/>
      <c r="BF491" s="26"/>
      <c r="BG491" s="26"/>
      <c r="BH491" s="26"/>
      <c r="BI491" s="26"/>
      <c r="BJ491" s="26"/>
      <c r="BK491" s="26"/>
    </row>
    <row r="492" ht="14.25" customHeight="1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  <c r="AC492" s="26"/>
      <c r="AD492" s="26"/>
      <c r="AE492" s="26"/>
      <c r="AF492" s="26"/>
      <c r="AG492" s="26"/>
      <c r="AH492" s="26"/>
      <c r="AI492" s="26"/>
      <c r="AJ492" s="26"/>
      <c r="AK492" s="26"/>
      <c r="AL492" s="26"/>
      <c r="AM492" s="26"/>
      <c r="AN492" s="26"/>
      <c r="AO492" s="26"/>
      <c r="AP492" s="26"/>
      <c r="AQ492" s="26"/>
      <c r="AR492" s="26"/>
      <c r="AS492" s="26"/>
      <c r="AT492" s="26"/>
      <c r="AU492" s="26"/>
      <c r="AV492" s="26"/>
      <c r="AW492" s="26"/>
      <c r="AX492" s="26"/>
      <c r="AY492" s="26"/>
      <c r="AZ492" s="26"/>
      <c r="BA492" s="26"/>
      <c r="BB492" s="26"/>
      <c r="BC492" s="26"/>
      <c r="BD492" s="26"/>
      <c r="BE492" s="26"/>
      <c r="BF492" s="26"/>
      <c r="BG492" s="26"/>
      <c r="BH492" s="26"/>
      <c r="BI492" s="26"/>
      <c r="BJ492" s="26"/>
      <c r="BK492" s="26"/>
    </row>
    <row r="493" ht="14.25" customHeight="1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  <c r="AC493" s="26"/>
      <c r="AD493" s="26"/>
      <c r="AE493" s="26"/>
      <c r="AF493" s="26"/>
      <c r="AG493" s="26"/>
      <c r="AH493" s="26"/>
      <c r="AI493" s="26"/>
      <c r="AJ493" s="26"/>
      <c r="AK493" s="26"/>
      <c r="AL493" s="26"/>
      <c r="AM493" s="26"/>
      <c r="AN493" s="26"/>
      <c r="AO493" s="26"/>
      <c r="AP493" s="26"/>
      <c r="AQ493" s="26"/>
      <c r="AR493" s="26"/>
      <c r="AS493" s="26"/>
      <c r="AT493" s="26"/>
      <c r="AU493" s="26"/>
      <c r="AV493" s="26"/>
      <c r="AW493" s="26"/>
      <c r="AX493" s="26"/>
      <c r="AY493" s="26"/>
      <c r="AZ493" s="26"/>
      <c r="BA493" s="26"/>
      <c r="BB493" s="26"/>
      <c r="BC493" s="26"/>
      <c r="BD493" s="26"/>
      <c r="BE493" s="26"/>
      <c r="BF493" s="26"/>
      <c r="BG493" s="26"/>
      <c r="BH493" s="26"/>
      <c r="BI493" s="26"/>
      <c r="BJ493" s="26"/>
      <c r="BK493" s="26"/>
    </row>
    <row r="494" ht="14.25" customHeight="1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  <c r="AC494" s="26"/>
      <c r="AD494" s="26"/>
      <c r="AE494" s="26"/>
      <c r="AF494" s="26"/>
      <c r="AG494" s="26"/>
      <c r="AH494" s="26"/>
      <c r="AI494" s="26"/>
      <c r="AJ494" s="26"/>
      <c r="AK494" s="26"/>
      <c r="AL494" s="26"/>
      <c r="AM494" s="26"/>
      <c r="AN494" s="26"/>
      <c r="AO494" s="26"/>
      <c r="AP494" s="26"/>
      <c r="AQ494" s="26"/>
      <c r="AR494" s="26"/>
      <c r="AS494" s="26"/>
      <c r="AT494" s="26"/>
      <c r="AU494" s="26"/>
      <c r="AV494" s="26"/>
      <c r="AW494" s="26"/>
      <c r="AX494" s="26"/>
      <c r="AY494" s="26"/>
      <c r="AZ494" s="26"/>
      <c r="BA494" s="26"/>
      <c r="BB494" s="26"/>
      <c r="BC494" s="26"/>
      <c r="BD494" s="26"/>
      <c r="BE494" s="26"/>
      <c r="BF494" s="26"/>
      <c r="BG494" s="26"/>
      <c r="BH494" s="26"/>
      <c r="BI494" s="26"/>
      <c r="BJ494" s="26"/>
      <c r="BK494" s="26"/>
    </row>
    <row r="495" ht="14.25" customHeight="1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  <c r="AC495" s="26"/>
      <c r="AD495" s="26"/>
      <c r="AE495" s="26"/>
      <c r="AF495" s="26"/>
      <c r="AG495" s="26"/>
      <c r="AH495" s="26"/>
      <c r="AI495" s="26"/>
      <c r="AJ495" s="26"/>
      <c r="AK495" s="26"/>
      <c r="AL495" s="26"/>
      <c r="AM495" s="26"/>
      <c r="AN495" s="26"/>
      <c r="AO495" s="26"/>
      <c r="AP495" s="26"/>
      <c r="AQ495" s="26"/>
      <c r="AR495" s="26"/>
      <c r="AS495" s="26"/>
      <c r="AT495" s="26"/>
      <c r="AU495" s="26"/>
      <c r="AV495" s="26"/>
      <c r="AW495" s="26"/>
      <c r="AX495" s="26"/>
      <c r="AY495" s="26"/>
      <c r="AZ495" s="26"/>
      <c r="BA495" s="26"/>
      <c r="BB495" s="26"/>
      <c r="BC495" s="26"/>
      <c r="BD495" s="26"/>
      <c r="BE495" s="26"/>
      <c r="BF495" s="26"/>
      <c r="BG495" s="26"/>
      <c r="BH495" s="26"/>
      <c r="BI495" s="26"/>
      <c r="BJ495" s="26"/>
      <c r="BK495" s="26"/>
    </row>
    <row r="496" ht="14.25" customHeight="1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  <c r="AC496" s="26"/>
      <c r="AD496" s="26"/>
      <c r="AE496" s="26"/>
      <c r="AF496" s="26"/>
      <c r="AG496" s="26"/>
      <c r="AH496" s="26"/>
      <c r="AI496" s="26"/>
      <c r="AJ496" s="26"/>
      <c r="AK496" s="26"/>
      <c r="AL496" s="26"/>
      <c r="AM496" s="26"/>
      <c r="AN496" s="26"/>
      <c r="AO496" s="26"/>
      <c r="AP496" s="26"/>
      <c r="AQ496" s="26"/>
      <c r="AR496" s="26"/>
      <c r="AS496" s="26"/>
      <c r="AT496" s="26"/>
      <c r="AU496" s="26"/>
      <c r="AV496" s="26"/>
      <c r="AW496" s="26"/>
      <c r="AX496" s="26"/>
      <c r="AY496" s="26"/>
      <c r="AZ496" s="26"/>
      <c r="BA496" s="26"/>
      <c r="BB496" s="26"/>
      <c r="BC496" s="26"/>
      <c r="BD496" s="26"/>
      <c r="BE496" s="26"/>
      <c r="BF496" s="26"/>
      <c r="BG496" s="26"/>
      <c r="BH496" s="26"/>
      <c r="BI496" s="26"/>
      <c r="BJ496" s="26"/>
      <c r="BK496" s="26"/>
    </row>
    <row r="497" ht="14.25" customHeight="1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  <c r="AC497" s="26"/>
      <c r="AD497" s="26"/>
      <c r="AE497" s="26"/>
      <c r="AF497" s="26"/>
      <c r="AG497" s="26"/>
      <c r="AH497" s="26"/>
      <c r="AI497" s="26"/>
      <c r="AJ497" s="26"/>
      <c r="AK497" s="26"/>
      <c r="AL497" s="26"/>
      <c r="AM497" s="26"/>
      <c r="AN497" s="26"/>
      <c r="AO497" s="26"/>
      <c r="AP497" s="26"/>
      <c r="AQ497" s="26"/>
      <c r="AR497" s="26"/>
      <c r="AS497" s="26"/>
      <c r="AT497" s="26"/>
      <c r="AU497" s="26"/>
      <c r="AV497" s="26"/>
      <c r="AW497" s="26"/>
      <c r="AX497" s="26"/>
      <c r="AY497" s="26"/>
      <c r="AZ497" s="26"/>
      <c r="BA497" s="26"/>
      <c r="BB497" s="26"/>
      <c r="BC497" s="26"/>
      <c r="BD497" s="26"/>
      <c r="BE497" s="26"/>
      <c r="BF497" s="26"/>
      <c r="BG497" s="26"/>
      <c r="BH497" s="26"/>
      <c r="BI497" s="26"/>
      <c r="BJ497" s="26"/>
      <c r="BK497" s="26"/>
    </row>
    <row r="498" ht="14.25" customHeight="1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  <c r="AC498" s="26"/>
      <c r="AD498" s="26"/>
      <c r="AE498" s="26"/>
      <c r="AF498" s="26"/>
      <c r="AG498" s="26"/>
      <c r="AH498" s="26"/>
      <c r="AI498" s="26"/>
      <c r="AJ498" s="26"/>
      <c r="AK498" s="26"/>
      <c r="AL498" s="26"/>
      <c r="AM498" s="26"/>
      <c r="AN498" s="26"/>
      <c r="AO498" s="26"/>
      <c r="AP498" s="26"/>
      <c r="AQ498" s="26"/>
      <c r="AR498" s="26"/>
      <c r="AS498" s="26"/>
      <c r="AT498" s="26"/>
      <c r="AU498" s="26"/>
      <c r="AV498" s="26"/>
      <c r="AW498" s="26"/>
      <c r="AX498" s="26"/>
      <c r="AY498" s="26"/>
      <c r="AZ498" s="26"/>
      <c r="BA498" s="26"/>
      <c r="BB498" s="26"/>
      <c r="BC498" s="26"/>
      <c r="BD498" s="26"/>
      <c r="BE498" s="26"/>
      <c r="BF498" s="26"/>
      <c r="BG498" s="26"/>
      <c r="BH498" s="26"/>
      <c r="BI498" s="26"/>
      <c r="BJ498" s="26"/>
      <c r="BK498" s="26"/>
    </row>
    <row r="499" ht="14.25" customHeight="1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  <c r="AC499" s="26"/>
      <c r="AD499" s="26"/>
      <c r="AE499" s="26"/>
      <c r="AF499" s="26"/>
      <c r="AG499" s="26"/>
      <c r="AH499" s="26"/>
      <c r="AI499" s="26"/>
      <c r="AJ499" s="26"/>
      <c r="AK499" s="26"/>
      <c r="AL499" s="26"/>
      <c r="AM499" s="26"/>
      <c r="AN499" s="26"/>
      <c r="AO499" s="26"/>
      <c r="AP499" s="26"/>
      <c r="AQ499" s="26"/>
      <c r="AR499" s="26"/>
      <c r="AS499" s="26"/>
      <c r="AT499" s="26"/>
      <c r="AU499" s="26"/>
      <c r="AV499" s="26"/>
      <c r="AW499" s="26"/>
      <c r="AX499" s="26"/>
      <c r="AY499" s="26"/>
      <c r="AZ499" s="26"/>
      <c r="BA499" s="26"/>
      <c r="BB499" s="26"/>
      <c r="BC499" s="26"/>
      <c r="BD499" s="26"/>
      <c r="BE499" s="26"/>
      <c r="BF499" s="26"/>
      <c r="BG499" s="26"/>
      <c r="BH499" s="26"/>
      <c r="BI499" s="26"/>
      <c r="BJ499" s="26"/>
      <c r="BK499" s="26"/>
    </row>
    <row r="500" ht="14.25" customHeight="1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  <c r="AC500" s="26"/>
      <c r="AD500" s="26"/>
      <c r="AE500" s="26"/>
      <c r="AF500" s="26"/>
      <c r="AG500" s="26"/>
      <c r="AH500" s="26"/>
      <c r="AI500" s="26"/>
      <c r="AJ500" s="26"/>
      <c r="AK500" s="26"/>
      <c r="AL500" s="26"/>
      <c r="AM500" s="26"/>
      <c r="AN500" s="26"/>
      <c r="AO500" s="26"/>
      <c r="AP500" s="26"/>
      <c r="AQ500" s="26"/>
      <c r="AR500" s="26"/>
      <c r="AS500" s="26"/>
      <c r="AT500" s="26"/>
      <c r="AU500" s="26"/>
      <c r="AV500" s="26"/>
      <c r="AW500" s="26"/>
      <c r="AX500" s="26"/>
      <c r="AY500" s="26"/>
      <c r="AZ500" s="26"/>
      <c r="BA500" s="26"/>
      <c r="BB500" s="26"/>
      <c r="BC500" s="26"/>
      <c r="BD500" s="26"/>
      <c r="BE500" s="26"/>
      <c r="BF500" s="26"/>
      <c r="BG500" s="26"/>
      <c r="BH500" s="26"/>
      <c r="BI500" s="26"/>
      <c r="BJ500" s="26"/>
      <c r="BK500" s="26"/>
    </row>
    <row r="501" ht="14.25" customHeight="1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  <c r="AC501" s="26"/>
      <c r="AD501" s="26"/>
      <c r="AE501" s="26"/>
      <c r="AF501" s="26"/>
      <c r="AG501" s="26"/>
      <c r="AH501" s="26"/>
      <c r="AI501" s="26"/>
      <c r="AJ501" s="26"/>
      <c r="AK501" s="26"/>
      <c r="AL501" s="26"/>
      <c r="AM501" s="26"/>
      <c r="AN501" s="26"/>
      <c r="AO501" s="26"/>
      <c r="AP501" s="26"/>
      <c r="AQ501" s="26"/>
      <c r="AR501" s="26"/>
      <c r="AS501" s="26"/>
      <c r="AT501" s="26"/>
      <c r="AU501" s="26"/>
      <c r="AV501" s="26"/>
      <c r="AW501" s="26"/>
      <c r="AX501" s="26"/>
      <c r="AY501" s="26"/>
      <c r="AZ501" s="26"/>
      <c r="BA501" s="26"/>
      <c r="BB501" s="26"/>
      <c r="BC501" s="26"/>
      <c r="BD501" s="26"/>
      <c r="BE501" s="26"/>
      <c r="BF501" s="26"/>
      <c r="BG501" s="26"/>
      <c r="BH501" s="26"/>
      <c r="BI501" s="26"/>
      <c r="BJ501" s="26"/>
      <c r="BK501" s="26"/>
    </row>
    <row r="502" ht="14.25" customHeight="1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  <c r="AC502" s="26"/>
      <c r="AD502" s="26"/>
      <c r="AE502" s="26"/>
      <c r="AF502" s="26"/>
      <c r="AG502" s="26"/>
      <c r="AH502" s="26"/>
      <c r="AI502" s="26"/>
      <c r="AJ502" s="26"/>
      <c r="AK502" s="26"/>
      <c r="AL502" s="26"/>
      <c r="AM502" s="26"/>
      <c r="AN502" s="26"/>
      <c r="AO502" s="26"/>
      <c r="AP502" s="26"/>
      <c r="AQ502" s="26"/>
      <c r="AR502" s="26"/>
      <c r="AS502" s="26"/>
      <c r="AT502" s="26"/>
      <c r="AU502" s="26"/>
      <c r="AV502" s="26"/>
      <c r="AW502" s="26"/>
      <c r="AX502" s="26"/>
      <c r="AY502" s="26"/>
      <c r="AZ502" s="26"/>
      <c r="BA502" s="26"/>
      <c r="BB502" s="26"/>
      <c r="BC502" s="26"/>
      <c r="BD502" s="26"/>
      <c r="BE502" s="26"/>
      <c r="BF502" s="26"/>
      <c r="BG502" s="26"/>
      <c r="BH502" s="26"/>
      <c r="BI502" s="26"/>
      <c r="BJ502" s="26"/>
      <c r="BK502" s="26"/>
    </row>
    <row r="503" ht="14.25" customHeight="1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  <c r="AC503" s="26"/>
      <c r="AD503" s="26"/>
      <c r="AE503" s="26"/>
      <c r="AF503" s="26"/>
      <c r="AG503" s="26"/>
      <c r="AH503" s="26"/>
      <c r="AI503" s="26"/>
      <c r="AJ503" s="26"/>
      <c r="AK503" s="26"/>
      <c r="AL503" s="26"/>
      <c r="AM503" s="26"/>
      <c r="AN503" s="26"/>
      <c r="AO503" s="26"/>
      <c r="AP503" s="26"/>
      <c r="AQ503" s="26"/>
      <c r="AR503" s="26"/>
      <c r="AS503" s="26"/>
      <c r="AT503" s="26"/>
      <c r="AU503" s="26"/>
      <c r="AV503" s="26"/>
      <c r="AW503" s="26"/>
      <c r="AX503" s="26"/>
      <c r="AY503" s="26"/>
      <c r="AZ503" s="26"/>
      <c r="BA503" s="26"/>
      <c r="BB503" s="26"/>
      <c r="BC503" s="26"/>
      <c r="BD503" s="26"/>
      <c r="BE503" s="26"/>
      <c r="BF503" s="26"/>
      <c r="BG503" s="26"/>
      <c r="BH503" s="26"/>
      <c r="BI503" s="26"/>
      <c r="BJ503" s="26"/>
      <c r="BK503" s="26"/>
    </row>
    <row r="504" ht="14.25" customHeight="1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  <c r="AC504" s="26"/>
      <c r="AD504" s="26"/>
      <c r="AE504" s="26"/>
      <c r="AF504" s="26"/>
      <c r="AG504" s="26"/>
      <c r="AH504" s="26"/>
      <c r="AI504" s="26"/>
      <c r="AJ504" s="26"/>
      <c r="AK504" s="26"/>
      <c r="AL504" s="26"/>
      <c r="AM504" s="26"/>
      <c r="AN504" s="26"/>
      <c r="AO504" s="26"/>
      <c r="AP504" s="26"/>
      <c r="AQ504" s="26"/>
      <c r="AR504" s="26"/>
      <c r="AS504" s="26"/>
      <c r="AT504" s="26"/>
      <c r="AU504" s="26"/>
      <c r="AV504" s="26"/>
      <c r="AW504" s="26"/>
      <c r="AX504" s="26"/>
      <c r="AY504" s="26"/>
      <c r="AZ504" s="26"/>
      <c r="BA504" s="26"/>
      <c r="BB504" s="26"/>
      <c r="BC504" s="26"/>
      <c r="BD504" s="26"/>
      <c r="BE504" s="26"/>
      <c r="BF504" s="26"/>
      <c r="BG504" s="26"/>
      <c r="BH504" s="26"/>
      <c r="BI504" s="26"/>
      <c r="BJ504" s="26"/>
      <c r="BK504" s="26"/>
    </row>
    <row r="505" ht="14.25" customHeight="1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  <c r="AC505" s="26"/>
      <c r="AD505" s="26"/>
      <c r="AE505" s="26"/>
      <c r="AF505" s="26"/>
      <c r="AG505" s="26"/>
      <c r="AH505" s="26"/>
      <c r="AI505" s="26"/>
      <c r="AJ505" s="26"/>
      <c r="AK505" s="26"/>
      <c r="AL505" s="26"/>
      <c r="AM505" s="26"/>
      <c r="AN505" s="26"/>
      <c r="AO505" s="26"/>
      <c r="AP505" s="26"/>
      <c r="AQ505" s="26"/>
      <c r="AR505" s="26"/>
      <c r="AS505" s="26"/>
      <c r="AT505" s="26"/>
      <c r="AU505" s="26"/>
      <c r="AV505" s="26"/>
      <c r="AW505" s="26"/>
      <c r="AX505" s="26"/>
      <c r="AY505" s="26"/>
      <c r="AZ505" s="26"/>
      <c r="BA505" s="26"/>
      <c r="BB505" s="26"/>
      <c r="BC505" s="26"/>
      <c r="BD505" s="26"/>
      <c r="BE505" s="26"/>
      <c r="BF505" s="26"/>
      <c r="BG505" s="26"/>
      <c r="BH505" s="26"/>
      <c r="BI505" s="26"/>
      <c r="BJ505" s="26"/>
      <c r="BK505" s="26"/>
    </row>
    <row r="506" ht="14.25" customHeight="1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  <c r="AC506" s="26"/>
      <c r="AD506" s="26"/>
      <c r="AE506" s="26"/>
      <c r="AF506" s="26"/>
      <c r="AG506" s="26"/>
      <c r="AH506" s="26"/>
      <c r="AI506" s="26"/>
      <c r="AJ506" s="26"/>
      <c r="AK506" s="26"/>
      <c r="AL506" s="26"/>
      <c r="AM506" s="26"/>
      <c r="AN506" s="26"/>
      <c r="AO506" s="26"/>
      <c r="AP506" s="26"/>
      <c r="AQ506" s="26"/>
      <c r="AR506" s="26"/>
      <c r="AS506" s="26"/>
      <c r="AT506" s="26"/>
      <c r="AU506" s="26"/>
      <c r="AV506" s="26"/>
      <c r="AW506" s="26"/>
      <c r="AX506" s="26"/>
      <c r="AY506" s="26"/>
      <c r="AZ506" s="26"/>
      <c r="BA506" s="26"/>
      <c r="BB506" s="26"/>
      <c r="BC506" s="26"/>
      <c r="BD506" s="26"/>
      <c r="BE506" s="26"/>
      <c r="BF506" s="26"/>
      <c r="BG506" s="26"/>
      <c r="BH506" s="26"/>
      <c r="BI506" s="26"/>
      <c r="BJ506" s="26"/>
      <c r="BK506" s="26"/>
    </row>
    <row r="507" ht="14.25" customHeight="1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  <c r="AC507" s="26"/>
      <c r="AD507" s="26"/>
      <c r="AE507" s="26"/>
      <c r="AF507" s="26"/>
      <c r="AG507" s="26"/>
      <c r="AH507" s="26"/>
      <c r="AI507" s="26"/>
      <c r="AJ507" s="26"/>
      <c r="AK507" s="26"/>
      <c r="AL507" s="26"/>
      <c r="AM507" s="26"/>
      <c r="AN507" s="26"/>
      <c r="AO507" s="26"/>
      <c r="AP507" s="26"/>
      <c r="AQ507" s="26"/>
      <c r="AR507" s="26"/>
      <c r="AS507" s="26"/>
      <c r="AT507" s="26"/>
      <c r="AU507" s="26"/>
      <c r="AV507" s="26"/>
      <c r="AW507" s="26"/>
      <c r="AX507" s="26"/>
      <c r="AY507" s="26"/>
      <c r="AZ507" s="26"/>
      <c r="BA507" s="26"/>
      <c r="BB507" s="26"/>
      <c r="BC507" s="26"/>
      <c r="BD507" s="26"/>
      <c r="BE507" s="26"/>
      <c r="BF507" s="26"/>
      <c r="BG507" s="26"/>
      <c r="BH507" s="26"/>
      <c r="BI507" s="26"/>
      <c r="BJ507" s="26"/>
      <c r="BK507" s="26"/>
    </row>
    <row r="508" ht="14.25" customHeight="1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  <c r="AC508" s="26"/>
      <c r="AD508" s="26"/>
      <c r="AE508" s="26"/>
      <c r="AF508" s="26"/>
      <c r="AG508" s="26"/>
      <c r="AH508" s="26"/>
      <c r="AI508" s="26"/>
      <c r="AJ508" s="26"/>
      <c r="AK508" s="26"/>
      <c r="AL508" s="26"/>
      <c r="AM508" s="26"/>
      <c r="AN508" s="26"/>
      <c r="AO508" s="26"/>
      <c r="AP508" s="26"/>
      <c r="AQ508" s="26"/>
      <c r="AR508" s="26"/>
      <c r="AS508" s="26"/>
      <c r="AT508" s="26"/>
      <c r="AU508" s="26"/>
      <c r="AV508" s="26"/>
      <c r="AW508" s="26"/>
      <c r="AX508" s="26"/>
      <c r="AY508" s="26"/>
      <c r="AZ508" s="26"/>
      <c r="BA508" s="26"/>
      <c r="BB508" s="26"/>
      <c r="BC508" s="26"/>
      <c r="BD508" s="26"/>
      <c r="BE508" s="26"/>
      <c r="BF508" s="26"/>
      <c r="BG508" s="26"/>
      <c r="BH508" s="26"/>
      <c r="BI508" s="26"/>
      <c r="BJ508" s="26"/>
      <c r="BK508" s="26"/>
    </row>
    <row r="509" ht="14.25" customHeight="1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  <c r="AC509" s="26"/>
      <c r="AD509" s="26"/>
      <c r="AE509" s="26"/>
      <c r="AF509" s="26"/>
      <c r="AG509" s="26"/>
      <c r="AH509" s="26"/>
      <c r="AI509" s="26"/>
      <c r="AJ509" s="26"/>
      <c r="AK509" s="26"/>
      <c r="AL509" s="26"/>
      <c r="AM509" s="26"/>
      <c r="AN509" s="26"/>
      <c r="AO509" s="26"/>
      <c r="AP509" s="26"/>
      <c r="AQ509" s="26"/>
      <c r="AR509" s="26"/>
      <c r="AS509" s="26"/>
      <c r="AT509" s="26"/>
      <c r="AU509" s="26"/>
      <c r="AV509" s="26"/>
      <c r="AW509" s="26"/>
      <c r="AX509" s="26"/>
      <c r="AY509" s="26"/>
      <c r="AZ509" s="26"/>
      <c r="BA509" s="26"/>
      <c r="BB509" s="26"/>
      <c r="BC509" s="26"/>
      <c r="BD509" s="26"/>
      <c r="BE509" s="26"/>
      <c r="BF509" s="26"/>
      <c r="BG509" s="26"/>
      <c r="BH509" s="26"/>
      <c r="BI509" s="26"/>
      <c r="BJ509" s="26"/>
      <c r="BK509" s="26"/>
    </row>
    <row r="510" ht="14.25" customHeight="1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  <c r="AC510" s="26"/>
      <c r="AD510" s="26"/>
      <c r="AE510" s="26"/>
      <c r="AF510" s="26"/>
      <c r="AG510" s="26"/>
      <c r="AH510" s="26"/>
      <c r="AI510" s="26"/>
      <c r="AJ510" s="26"/>
      <c r="AK510" s="26"/>
      <c r="AL510" s="26"/>
      <c r="AM510" s="26"/>
      <c r="AN510" s="26"/>
      <c r="AO510" s="26"/>
      <c r="AP510" s="26"/>
      <c r="AQ510" s="26"/>
      <c r="AR510" s="26"/>
      <c r="AS510" s="26"/>
      <c r="AT510" s="26"/>
      <c r="AU510" s="26"/>
      <c r="AV510" s="26"/>
      <c r="AW510" s="26"/>
      <c r="AX510" s="26"/>
      <c r="AY510" s="26"/>
      <c r="AZ510" s="26"/>
      <c r="BA510" s="26"/>
      <c r="BB510" s="26"/>
      <c r="BC510" s="26"/>
      <c r="BD510" s="26"/>
      <c r="BE510" s="26"/>
      <c r="BF510" s="26"/>
      <c r="BG510" s="26"/>
      <c r="BH510" s="26"/>
      <c r="BI510" s="26"/>
      <c r="BJ510" s="26"/>
      <c r="BK510" s="26"/>
    </row>
    <row r="511" ht="14.25" customHeight="1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  <c r="AC511" s="26"/>
      <c r="AD511" s="26"/>
      <c r="AE511" s="26"/>
      <c r="AF511" s="26"/>
      <c r="AG511" s="26"/>
      <c r="AH511" s="26"/>
      <c r="AI511" s="26"/>
      <c r="AJ511" s="26"/>
      <c r="AK511" s="26"/>
      <c r="AL511" s="26"/>
      <c r="AM511" s="26"/>
      <c r="AN511" s="26"/>
      <c r="AO511" s="26"/>
      <c r="AP511" s="26"/>
      <c r="AQ511" s="26"/>
      <c r="AR511" s="26"/>
      <c r="AS511" s="26"/>
      <c r="AT511" s="26"/>
      <c r="AU511" s="26"/>
      <c r="AV511" s="26"/>
      <c r="AW511" s="26"/>
      <c r="AX511" s="26"/>
      <c r="AY511" s="26"/>
      <c r="AZ511" s="26"/>
      <c r="BA511" s="26"/>
      <c r="BB511" s="26"/>
      <c r="BC511" s="26"/>
      <c r="BD511" s="26"/>
      <c r="BE511" s="26"/>
      <c r="BF511" s="26"/>
      <c r="BG511" s="26"/>
      <c r="BH511" s="26"/>
      <c r="BI511" s="26"/>
      <c r="BJ511" s="26"/>
      <c r="BK511" s="26"/>
    </row>
    <row r="512" ht="14.25" customHeight="1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  <c r="AC512" s="26"/>
      <c r="AD512" s="26"/>
      <c r="AE512" s="26"/>
      <c r="AF512" s="26"/>
      <c r="AG512" s="26"/>
      <c r="AH512" s="26"/>
      <c r="AI512" s="26"/>
      <c r="AJ512" s="26"/>
      <c r="AK512" s="26"/>
      <c r="AL512" s="26"/>
      <c r="AM512" s="26"/>
      <c r="AN512" s="26"/>
      <c r="AO512" s="26"/>
      <c r="AP512" s="26"/>
      <c r="AQ512" s="26"/>
      <c r="AR512" s="26"/>
      <c r="AS512" s="26"/>
      <c r="AT512" s="26"/>
      <c r="AU512" s="26"/>
      <c r="AV512" s="26"/>
      <c r="AW512" s="26"/>
      <c r="AX512" s="26"/>
      <c r="AY512" s="26"/>
      <c r="AZ512" s="26"/>
      <c r="BA512" s="26"/>
      <c r="BB512" s="26"/>
      <c r="BC512" s="26"/>
      <c r="BD512" s="26"/>
      <c r="BE512" s="26"/>
      <c r="BF512" s="26"/>
      <c r="BG512" s="26"/>
      <c r="BH512" s="26"/>
      <c r="BI512" s="26"/>
      <c r="BJ512" s="26"/>
      <c r="BK512" s="26"/>
    </row>
    <row r="513" ht="14.25" customHeight="1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  <c r="AC513" s="26"/>
      <c r="AD513" s="26"/>
      <c r="AE513" s="26"/>
      <c r="AF513" s="26"/>
      <c r="AG513" s="26"/>
      <c r="AH513" s="26"/>
      <c r="AI513" s="26"/>
      <c r="AJ513" s="26"/>
      <c r="AK513" s="26"/>
      <c r="AL513" s="26"/>
      <c r="AM513" s="26"/>
      <c r="AN513" s="26"/>
      <c r="AO513" s="26"/>
      <c r="AP513" s="26"/>
      <c r="AQ513" s="26"/>
      <c r="AR513" s="26"/>
      <c r="AS513" s="26"/>
      <c r="AT513" s="26"/>
      <c r="AU513" s="26"/>
      <c r="AV513" s="26"/>
      <c r="AW513" s="26"/>
      <c r="AX513" s="26"/>
      <c r="AY513" s="26"/>
      <c r="AZ513" s="26"/>
      <c r="BA513" s="26"/>
      <c r="BB513" s="26"/>
      <c r="BC513" s="26"/>
      <c r="BD513" s="26"/>
      <c r="BE513" s="26"/>
      <c r="BF513" s="26"/>
      <c r="BG513" s="26"/>
      <c r="BH513" s="26"/>
      <c r="BI513" s="26"/>
      <c r="BJ513" s="26"/>
      <c r="BK513" s="26"/>
    </row>
    <row r="514" ht="14.25" customHeight="1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  <c r="AC514" s="26"/>
      <c r="AD514" s="26"/>
      <c r="AE514" s="26"/>
      <c r="AF514" s="26"/>
      <c r="AG514" s="26"/>
      <c r="AH514" s="26"/>
      <c r="AI514" s="26"/>
      <c r="AJ514" s="26"/>
      <c r="AK514" s="26"/>
      <c r="AL514" s="26"/>
      <c r="AM514" s="26"/>
      <c r="AN514" s="26"/>
      <c r="AO514" s="26"/>
      <c r="AP514" s="26"/>
      <c r="AQ514" s="26"/>
      <c r="AR514" s="26"/>
      <c r="AS514" s="26"/>
      <c r="AT514" s="26"/>
      <c r="AU514" s="26"/>
      <c r="AV514" s="26"/>
      <c r="AW514" s="26"/>
      <c r="AX514" s="26"/>
      <c r="AY514" s="26"/>
      <c r="AZ514" s="26"/>
      <c r="BA514" s="26"/>
      <c r="BB514" s="26"/>
      <c r="BC514" s="26"/>
      <c r="BD514" s="26"/>
      <c r="BE514" s="26"/>
      <c r="BF514" s="26"/>
      <c r="BG514" s="26"/>
      <c r="BH514" s="26"/>
      <c r="BI514" s="26"/>
      <c r="BJ514" s="26"/>
      <c r="BK514" s="26"/>
    </row>
    <row r="515" ht="14.25" customHeight="1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  <c r="AC515" s="26"/>
      <c r="AD515" s="26"/>
      <c r="AE515" s="26"/>
      <c r="AF515" s="26"/>
      <c r="AG515" s="26"/>
      <c r="AH515" s="26"/>
      <c r="AI515" s="26"/>
      <c r="AJ515" s="26"/>
      <c r="AK515" s="26"/>
      <c r="AL515" s="26"/>
      <c r="AM515" s="26"/>
      <c r="AN515" s="26"/>
      <c r="AO515" s="26"/>
      <c r="AP515" s="26"/>
      <c r="AQ515" s="26"/>
      <c r="AR515" s="26"/>
      <c r="AS515" s="26"/>
      <c r="AT515" s="26"/>
      <c r="AU515" s="26"/>
      <c r="AV515" s="26"/>
      <c r="AW515" s="26"/>
      <c r="AX515" s="26"/>
      <c r="AY515" s="26"/>
      <c r="AZ515" s="26"/>
      <c r="BA515" s="26"/>
      <c r="BB515" s="26"/>
      <c r="BC515" s="26"/>
      <c r="BD515" s="26"/>
      <c r="BE515" s="26"/>
      <c r="BF515" s="26"/>
      <c r="BG515" s="26"/>
      <c r="BH515" s="26"/>
      <c r="BI515" s="26"/>
      <c r="BJ515" s="26"/>
      <c r="BK515" s="26"/>
    </row>
    <row r="516" ht="14.25" customHeight="1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  <c r="AC516" s="26"/>
      <c r="AD516" s="26"/>
      <c r="AE516" s="26"/>
      <c r="AF516" s="26"/>
      <c r="AG516" s="26"/>
      <c r="AH516" s="26"/>
      <c r="AI516" s="26"/>
      <c r="AJ516" s="26"/>
      <c r="AK516" s="26"/>
      <c r="AL516" s="26"/>
      <c r="AM516" s="26"/>
      <c r="AN516" s="26"/>
      <c r="AO516" s="26"/>
      <c r="AP516" s="26"/>
      <c r="AQ516" s="26"/>
      <c r="AR516" s="26"/>
      <c r="AS516" s="26"/>
      <c r="AT516" s="26"/>
      <c r="AU516" s="26"/>
      <c r="AV516" s="26"/>
      <c r="AW516" s="26"/>
      <c r="AX516" s="26"/>
      <c r="AY516" s="26"/>
      <c r="AZ516" s="26"/>
      <c r="BA516" s="26"/>
      <c r="BB516" s="26"/>
      <c r="BC516" s="26"/>
      <c r="BD516" s="26"/>
      <c r="BE516" s="26"/>
      <c r="BF516" s="26"/>
      <c r="BG516" s="26"/>
      <c r="BH516" s="26"/>
      <c r="BI516" s="26"/>
      <c r="BJ516" s="26"/>
      <c r="BK516" s="26"/>
    </row>
    <row r="517" ht="14.25" customHeight="1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  <c r="AC517" s="26"/>
      <c r="AD517" s="26"/>
      <c r="AE517" s="26"/>
      <c r="AF517" s="26"/>
      <c r="AG517" s="26"/>
      <c r="AH517" s="26"/>
      <c r="AI517" s="26"/>
      <c r="AJ517" s="26"/>
      <c r="AK517" s="26"/>
      <c r="AL517" s="26"/>
      <c r="AM517" s="26"/>
      <c r="AN517" s="26"/>
      <c r="AO517" s="26"/>
      <c r="AP517" s="26"/>
      <c r="AQ517" s="26"/>
      <c r="AR517" s="26"/>
      <c r="AS517" s="26"/>
      <c r="AT517" s="26"/>
      <c r="AU517" s="26"/>
      <c r="AV517" s="26"/>
      <c r="AW517" s="26"/>
      <c r="AX517" s="26"/>
      <c r="AY517" s="26"/>
      <c r="AZ517" s="26"/>
      <c r="BA517" s="26"/>
      <c r="BB517" s="26"/>
      <c r="BC517" s="26"/>
      <c r="BD517" s="26"/>
      <c r="BE517" s="26"/>
      <c r="BF517" s="26"/>
      <c r="BG517" s="26"/>
      <c r="BH517" s="26"/>
      <c r="BI517" s="26"/>
      <c r="BJ517" s="26"/>
      <c r="BK517" s="26"/>
    </row>
    <row r="518" ht="14.25" customHeight="1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  <c r="AC518" s="26"/>
      <c r="AD518" s="26"/>
      <c r="AE518" s="26"/>
      <c r="AF518" s="26"/>
      <c r="AG518" s="26"/>
      <c r="AH518" s="26"/>
      <c r="AI518" s="26"/>
      <c r="AJ518" s="26"/>
      <c r="AK518" s="26"/>
      <c r="AL518" s="26"/>
      <c r="AM518" s="26"/>
      <c r="AN518" s="26"/>
      <c r="AO518" s="26"/>
      <c r="AP518" s="26"/>
      <c r="AQ518" s="26"/>
      <c r="AR518" s="26"/>
      <c r="AS518" s="26"/>
      <c r="AT518" s="26"/>
      <c r="AU518" s="26"/>
      <c r="AV518" s="26"/>
      <c r="AW518" s="26"/>
      <c r="AX518" s="26"/>
      <c r="AY518" s="26"/>
      <c r="AZ518" s="26"/>
      <c r="BA518" s="26"/>
      <c r="BB518" s="26"/>
      <c r="BC518" s="26"/>
      <c r="BD518" s="26"/>
      <c r="BE518" s="26"/>
      <c r="BF518" s="26"/>
      <c r="BG518" s="26"/>
      <c r="BH518" s="26"/>
      <c r="BI518" s="26"/>
      <c r="BJ518" s="26"/>
      <c r="BK518" s="26"/>
    </row>
    <row r="519" ht="14.25" customHeight="1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  <c r="AC519" s="26"/>
      <c r="AD519" s="26"/>
      <c r="AE519" s="26"/>
      <c r="AF519" s="26"/>
      <c r="AG519" s="26"/>
      <c r="AH519" s="26"/>
      <c r="AI519" s="26"/>
      <c r="AJ519" s="26"/>
      <c r="AK519" s="26"/>
      <c r="AL519" s="26"/>
      <c r="AM519" s="26"/>
      <c r="AN519" s="26"/>
      <c r="AO519" s="26"/>
      <c r="AP519" s="26"/>
      <c r="AQ519" s="26"/>
      <c r="AR519" s="26"/>
      <c r="AS519" s="26"/>
      <c r="AT519" s="26"/>
      <c r="AU519" s="26"/>
      <c r="AV519" s="26"/>
      <c r="AW519" s="26"/>
      <c r="AX519" s="26"/>
      <c r="AY519" s="26"/>
      <c r="AZ519" s="26"/>
      <c r="BA519" s="26"/>
      <c r="BB519" s="26"/>
      <c r="BC519" s="26"/>
      <c r="BD519" s="26"/>
      <c r="BE519" s="26"/>
      <c r="BF519" s="26"/>
      <c r="BG519" s="26"/>
      <c r="BH519" s="26"/>
      <c r="BI519" s="26"/>
      <c r="BJ519" s="26"/>
      <c r="BK519" s="26"/>
    </row>
    <row r="520" ht="14.25" customHeight="1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  <c r="AC520" s="26"/>
      <c r="AD520" s="26"/>
      <c r="AE520" s="26"/>
      <c r="AF520" s="26"/>
      <c r="AG520" s="26"/>
      <c r="AH520" s="26"/>
      <c r="AI520" s="26"/>
      <c r="AJ520" s="26"/>
      <c r="AK520" s="26"/>
      <c r="AL520" s="26"/>
      <c r="AM520" s="26"/>
      <c r="AN520" s="26"/>
      <c r="AO520" s="26"/>
      <c r="AP520" s="26"/>
      <c r="AQ520" s="26"/>
      <c r="AR520" s="26"/>
      <c r="AS520" s="26"/>
      <c r="AT520" s="26"/>
      <c r="AU520" s="26"/>
      <c r="AV520" s="26"/>
      <c r="AW520" s="26"/>
      <c r="AX520" s="26"/>
      <c r="AY520" s="26"/>
      <c r="AZ520" s="26"/>
      <c r="BA520" s="26"/>
      <c r="BB520" s="26"/>
      <c r="BC520" s="26"/>
      <c r="BD520" s="26"/>
      <c r="BE520" s="26"/>
      <c r="BF520" s="26"/>
      <c r="BG520" s="26"/>
      <c r="BH520" s="26"/>
      <c r="BI520" s="26"/>
      <c r="BJ520" s="26"/>
      <c r="BK520" s="26"/>
    </row>
    <row r="521" ht="14.25" customHeight="1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  <c r="AC521" s="26"/>
      <c r="AD521" s="26"/>
      <c r="AE521" s="26"/>
      <c r="AF521" s="26"/>
      <c r="AG521" s="26"/>
      <c r="AH521" s="26"/>
      <c r="AI521" s="26"/>
      <c r="AJ521" s="26"/>
      <c r="AK521" s="26"/>
      <c r="AL521" s="26"/>
      <c r="AM521" s="26"/>
      <c r="AN521" s="26"/>
      <c r="AO521" s="26"/>
      <c r="AP521" s="26"/>
      <c r="AQ521" s="26"/>
      <c r="AR521" s="26"/>
      <c r="AS521" s="26"/>
      <c r="AT521" s="26"/>
      <c r="AU521" s="26"/>
      <c r="AV521" s="26"/>
      <c r="AW521" s="26"/>
      <c r="AX521" s="26"/>
      <c r="AY521" s="26"/>
      <c r="AZ521" s="26"/>
      <c r="BA521" s="26"/>
      <c r="BB521" s="26"/>
      <c r="BC521" s="26"/>
      <c r="BD521" s="26"/>
      <c r="BE521" s="26"/>
      <c r="BF521" s="26"/>
      <c r="BG521" s="26"/>
      <c r="BH521" s="26"/>
      <c r="BI521" s="26"/>
      <c r="BJ521" s="26"/>
      <c r="BK521" s="26"/>
    </row>
    <row r="522" ht="14.25" customHeight="1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  <c r="AC522" s="26"/>
      <c r="AD522" s="26"/>
      <c r="AE522" s="26"/>
      <c r="AF522" s="26"/>
      <c r="AG522" s="26"/>
      <c r="AH522" s="26"/>
      <c r="AI522" s="26"/>
      <c r="AJ522" s="26"/>
      <c r="AK522" s="26"/>
      <c r="AL522" s="26"/>
      <c r="AM522" s="26"/>
      <c r="AN522" s="26"/>
      <c r="AO522" s="26"/>
      <c r="AP522" s="26"/>
      <c r="AQ522" s="26"/>
      <c r="AR522" s="26"/>
      <c r="AS522" s="26"/>
      <c r="AT522" s="26"/>
      <c r="AU522" s="26"/>
      <c r="AV522" s="26"/>
      <c r="AW522" s="26"/>
      <c r="AX522" s="26"/>
      <c r="AY522" s="26"/>
      <c r="AZ522" s="26"/>
      <c r="BA522" s="26"/>
      <c r="BB522" s="26"/>
      <c r="BC522" s="26"/>
      <c r="BD522" s="26"/>
      <c r="BE522" s="26"/>
      <c r="BF522" s="26"/>
      <c r="BG522" s="26"/>
      <c r="BH522" s="26"/>
      <c r="BI522" s="26"/>
      <c r="BJ522" s="26"/>
      <c r="BK522" s="26"/>
    </row>
    <row r="523" ht="14.25" customHeight="1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  <c r="AC523" s="26"/>
      <c r="AD523" s="26"/>
      <c r="AE523" s="26"/>
      <c r="AF523" s="26"/>
      <c r="AG523" s="26"/>
      <c r="AH523" s="26"/>
      <c r="AI523" s="26"/>
      <c r="AJ523" s="26"/>
      <c r="AK523" s="26"/>
      <c r="AL523" s="26"/>
      <c r="AM523" s="26"/>
      <c r="AN523" s="26"/>
      <c r="AO523" s="26"/>
      <c r="AP523" s="26"/>
      <c r="AQ523" s="26"/>
      <c r="AR523" s="26"/>
      <c r="AS523" s="26"/>
      <c r="AT523" s="26"/>
      <c r="AU523" s="26"/>
      <c r="AV523" s="26"/>
      <c r="AW523" s="26"/>
      <c r="AX523" s="26"/>
      <c r="AY523" s="26"/>
      <c r="AZ523" s="26"/>
      <c r="BA523" s="26"/>
      <c r="BB523" s="26"/>
      <c r="BC523" s="26"/>
      <c r="BD523" s="26"/>
      <c r="BE523" s="26"/>
      <c r="BF523" s="26"/>
      <c r="BG523" s="26"/>
      <c r="BH523" s="26"/>
      <c r="BI523" s="26"/>
      <c r="BJ523" s="26"/>
      <c r="BK523" s="26"/>
    </row>
    <row r="524" ht="14.25" customHeight="1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  <c r="AC524" s="26"/>
      <c r="AD524" s="26"/>
      <c r="AE524" s="26"/>
      <c r="AF524" s="26"/>
      <c r="AG524" s="26"/>
      <c r="AH524" s="26"/>
      <c r="AI524" s="26"/>
      <c r="AJ524" s="26"/>
      <c r="AK524" s="26"/>
      <c r="AL524" s="26"/>
      <c r="AM524" s="26"/>
      <c r="AN524" s="26"/>
      <c r="AO524" s="26"/>
      <c r="AP524" s="26"/>
      <c r="AQ524" s="26"/>
      <c r="AR524" s="26"/>
      <c r="AS524" s="26"/>
      <c r="AT524" s="26"/>
      <c r="AU524" s="26"/>
      <c r="AV524" s="26"/>
      <c r="AW524" s="26"/>
      <c r="AX524" s="26"/>
      <c r="AY524" s="26"/>
      <c r="AZ524" s="26"/>
      <c r="BA524" s="26"/>
      <c r="BB524" s="26"/>
      <c r="BC524" s="26"/>
      <c r="BD524" s="26"/>
      <c r="BE524" s="26"/>
      <c r="BF524" s="26"/>
      <c r="BG524" s="26"/>
      <c r="BH524" s="26"/>
      <c r="BI524" s="26"/>
      <c r="BJ524" s="26"/>
      <c r="BK524" s="26"/>
    </row>
    <row r="525" ht="14.25" customHeight="1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  <c r="AC525" s="26"/>
      <c r="AD525" s="26"/>
      <c r="AE525" s="26"/>
      <c r="AF525" s="26"/>
      <c r="AG525" s="26"/>
      <c r="AH525" s="26"/>
      <c r="AI525" s="26"/>
      <c r="AJ525" s="26"/>
      <c r="AK525" s="26"/>
      <c r="AL525" s="26"/>
      <c r="AM525" s="26"/>
      <c r="AN525" s="26"/>
      <c r="AO525" s="26"/>
      <c r="AP525" s="26"/>
      <c r="AQ525" s="26"/>
      <c r="AR525" s="26"/>
      <c r="AS525" s="26"/>
      <c r="AT525" s="26"/>
      <c r="AU525" s="26"/>
      <c r="AV525" s="26"/>
      <c r="AW525" s="26"/>
      <c r="AX525" s="26"/>
      <c r="AY525" s="26"/>
      <c r="AZ525" s="26"/>
      <c r="BA525" s="26"/>
      <c r="BB525" s="26"/>
      <c r="BC525" s="26"/>
      <c r="BD525" s="26"/>
      <c r="BE525" s="26"/>
      <c r="BF525" s="26"/>
      <c r="BG525" s="26"/>
      <c r="BH525" s="26"/>
      <c r="BI525" s="26"/>
      <c r="BJ525" s="26"/>
      <c r="BK525" s="26"/>
    </row>
    <row r="526" ht="14.25" customHeight="1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  <c r="AC526" s="26"/>
      <c r="AD526" s="26"/>
      <c r="AE526" s="26"/>
      <c r="AF526" s="26"/>
      <c r="AG526" s="26"/>
      <c r="AH526" s="26"/>
      <c r="AI526" s="26"/>
      <c r="AJ526" s="26"/>
      <c r="AK526" s="26"/>
      <c r="AL526" s="26"/>
      <c r="AM526" s="26"/>
      <c r="AN526" s="26"/>
      <c r="AO526" s="26"/>
      <c r="AP526" s="26"/>
      <c r="AQ526" s="26"/>
      <c r="AR526" s="26"/>
      <c r="AS526" s="26"/>
      <c r="AT526" s="26"/>
      <c r="AU526" s="26"/>
      <c r="AV526" s="26"/>
      <c r="AW526" s="26"/>
      <c r="AX526" s="26"/>
      <c r="AY526" s="26"/>
      <c r="AZ526" s="26"/>
      <c r="BA526" s="26"/>
      <c r="BB526" s="26"/>
      <c r="BC526" s="26"/>
      <c r="BD526" s="26"/>
      <c r="BE526" s="26"/>
      <c r="BF526" s="26"/>
      <c r="BG526" s="26"/>
      <c r="BH526" s="26"/>
      <c r="BI526" s="26"/>
      <c r="BJ526" s="26"/>
      <c r="BK526" s="26"/>
    </row>
    <row r="527" ht="14.25" customHeight="1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  <c r="AC527" s="26"/>
      <c r="AD527" s="26"/>
      <c r="AE527" s="26"/>
      <c r="AF527" s="26"/>
      <c r="AG527" s="26"/>
      <c r="AH527" s="26"/>
      <c r="AI527" s="26"/>
      <c r="AJ527" s="26"/>
      <c r="AK527" s="26"/>
      <c r="AL527" s="26"/>
      <c r="AM527" s="26"/>
      <c r="AN527" s="26"/>
      <c r="AO527" s="26"/>
      <c r="AP527" s="26"/>
      <c r="AQ527" s="26"/>
      <c r="AR527" s="26"/>
      <c r="AS527" s="26"/>
      <c r="AT527" s="26"/>
      <c r="AU527" s="26"/>
      <c r="AV527" s="26"/>
      <c r="AW527" s="26"/>
      <c r="AX527" s="26"/>
      <c r="AY527" s="26"/>
      <c r="AZ527" s="26"/>
      <c r="BA527" s="26"/>
      <c r="BB527" s="26"/>
      <c r="BC527" s="26"/>
      <c r="BD527" s="26"/>
      <c r="BE527" s="26"/>
      <c r="BF527" s="26"/>
      <c r="BG527" s="26"/>
      <c r="BH527" s="26"/>
      <c r="BI527" s="26"/>
      <c r="BJ527" s="26"/>
      <c r="BK527" s="26"/>
    </row>
    <row r="528" ht="14.25" customHeight="1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  <c r="AC528" s="26"/>
      <c r="AD528" s="26"/>
      <c r="AE528" s="26"/>
      <c r="AF528" s="26"/>
      <c r="AG528" s="26"/>
      <c r="AH528" s="26"/>
      <c r="AI528" s="26"/>
      <c r="AJ528" s="26"/>
      <c r="AK528" s="26"/>
      <c r="AL528" s="26"/>
      <c r="AM528" s="26"/>
      <c r="AN528" s="26"/>
      <c r="AO528" s="26"/>
      <c r="AP528" s="26"/>
      <c r="AQ528" s="26"/>
      <c r="AR528" s="26"/>
      <c r="AS528" s="26"/>
      <c r="AT528" s="26"/>
      <c r="AU528" s="26"/>
      <c r="AV528" s="26"/>
      <c r="AW528" s="26"/>
      <c r="AX528" s="26"/>
      <c r="AY528" s="26"/>
      <c r="AZ528" s="26"/>
      <c r="BA528" s="26"/>
      <c r="BB528" s="26"/>
      <c r="BC528" s="26"/>
      <c r="BD528" s="26"/>
      <c r="BE528" s="26"/>
      <c r="BF528" s="26"/>
      <c r="BG528" s="26"/>
      <c r="BH528" s="26"/>
      <c r="BI528" s="26"/>
      <c r="BJ528" s="26"/>
      <c r="BK528" s="26"/>
    </row>
    <row r="529" ht="14.25" customHeight="1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  <c r="AC529" s="26"/>
      <c r="AD529" s="26"/>
      <c r="AE529" s="26"/>
      <c r="AF529" s="26"/>
      <c r="AG529" s="26"/>
      <c r="AH529" s="26"/>
      <c r="AI529" s="26"/>
      <c r="AJ529" s="26"/>
      <c r="AK529" s="26"/>
      <c r="AL529" s="26"/>
      <c r="AM529" s="26"/>
      <c r="AN529" s="26"/>
      <c r="AO529" s="26"/>
      <c r="AP529" s="26"/>
      <c r="AQ529" s="26"/>
      <c r="AR529" s="26"/>
      <c r="AS529" s="26"/>
      <c r="AT529" s="26"/>
      <c r="AU529" s="26"/>
      <c r="AV529" s="26"/>
      <c r="AW529" s="26"/>
      <c r="AX529" s="26"/>
      <c r="AY529" s="26"/>
      <c r="AZ529" s="26"/>
      <c r="BA529" s="26"/>
      <c r="BB529" s="26"/>
      <c r="BC529" s="26"/>
      <c r="BD529" s="26"/>
      <c r="BE529" s="26"/>
      <c r="BF529" s="26"/>
      <c r="BG529" s="26"/>
      <c r="BH529" s="26"/>
      <c r="BI529" s="26"/>
      <c r="BJ529" s="26"/>
      <c r="BK529" s="26"/>
    </row>
    <row r="530" ht="14.25" customHeight="1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  <c r="AC530" s="26"/>
      <c r="AD530" s="26"/>
      <c r="AE530" s="26"/>
      <c r="AF530" s="26"/>
      <c r="AG530" s="26"/>
      <c r="AH530" s="26"/>
      <c r="AI530" s="26"/>
      <c r="AJ530" s="26"/>
      <c r="AK530" s="26"/>
      <c r="AL530" s="26"/>
      <c r="AM530" s="26"/>
      <c r="AN530" s="26"/>
      <c r="AO530" s="26"/>
      <c r="AP530" s="26"/>
      <c r="AQ530" s="26"/>
      <c r="AR530" s="26"/>
      <c r="AS530" s="26"/>
      <c r="AT530" s="26"/>
      <c r="AU530" s="26"/>
      <c r="AV530" s="26"/>
      <c r="AW530" s="26"/>
      <c r="AX530" s="26"/>
      <c r="AY530" s="26"/>
      <c r="AZ530" s="26"/>
      <c r="BA530" s="26"/>
      <c r="BB530" s="26"/>
      <c r="BC530" s="26"/>
      <c r="BD530" s="26"/>
      <c r="BE530" s="26"/>
      <c r="BF530" s="26"/>
      <c r="BG530" s="26"/>
      <c r="BH530" s="26"/>
      <c r="BI530" s="26"/>
      <c r="BJ530" s="26"/>
      <c r="BK530" s="26"/>
    </row>
    <row r="531" ht="14.25" customHeight="1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  <c r="AC531" s="26"/>
      <c r="AD531" s="26"/>
      <c r="AE531" s="26"/>
      <c r="AF531" s="26"/>
      <c r="AG531" s="26"/>
      <c r="AH531" s="26"/>
      <c r="AI531" s="26"/>
      <c r="AJ531" s="26"/>
      <c r="AK531" s="26"/>
      <c r="AL531" s="26"/>
      <c r="AM531" s="26"/>
      <c r="AN531" s="26"/>
      <c r="AO531" s="26"/>
      <c r="AP531" s="26"/>
      <c r="AQ531" s="26"/>
      <c r="AR531" s="26"/>
      <c r="AS531" s="26"/>
      <c r="AT531" s="26"/>
      <c r="AU531" s="26"/>
      <c r="AV531" s="26"/>
      <c r="AW531" s="26"/>
      <c r="AX531" s="26"/>
      <c r="AY531" s="26"/>
      <c r="AZ531" s="26"/>
      <c r="BA531" s="26"/>
      <c r="BB531" s="26"/>
      <c r="BC531" s="26"/>
      <c r="BD531" s="26"/>
      <c r="BE531" s="26"/>
      <c r="BF531" s="26"/>
      <c r="BG531" s="26"/>
      <c r="BH531" s="26"/>
      <c r="BI531" s="26"/>
      <c r="BJ531" s="26"/>
      <c r="BK531" s="26"/>
    </row>
    <row r="532" ht="14.25" customHeight="1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  <c r="AC532" s="26"/>
      <c r="AD532" s="26"/>
      <c r="AE532" s="26"/>
      <c r="AF532" s="26"/>
      <c r="AG532" s="26"/>
      <c r="AH532" s="26"/>
      <c r="AI532" s="26"/>
      <c r="AJ532" s="26"/>
      <c r="AK532" s="26"/>
      <c r="AL532" s="26"/>
      <c r="AM532" s="26"/>
      <c r="AN532" s="26"/>
      <c r="AO532" s="26"/>
      <c r="AP532" s="26"/>
      <c r="AQ532" s="26"/>
      <c r="AR532" s="26"/>
      <c r="AS532" s="26"/>
      <c r="AT532" s="26"/>
      <c r="AU532" s="26"/>
      <c r="AV532" s="26"/>
      <c r="AW532" s="26"/>
      <c r="AX532" s="26"/>
      <c r="AY532" s="26"/>
      <c r="AZ532" s="26"/>
      <c r="BA532" s="26"/>
      <c r="BB532" s="26"/>
      <c r="BC532" s="26"/>
      <c r="BD532" s="26"/>
      <c r="BE532" s="26"/>
      <c r="BF532" s="26"/>
      <c r="BG532" s="26"/>
      <c r="BH532" s="26"/>
      <c r="BI532" s="26"/>
      <c r="BJ532" s="26"/>
      <c r="BK532" s="26"/>
    </row>
    <row r="533" ht="14.25" customHeight="1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  <c r="AC533" s="26"/>
      <c r="AD533" s="26"/>
      <c r="AE533" s="26"/>
      <c r="AF533" s="26"/>
      <c r="AG533" s="26"/>
      <c r="AH533" s="26"/>
      <c r="AI533" s="26"/>
      <c r="AJ533" s="26"/>
      <c r="AK533" s="26"/>
      <c r="AL533" s="26"/>
      <c r="AM533" s="26"/>
      <c r="AN533" s="26"/>
      <c r="AO533" s="26"/>
      <c r="AP533" s="26"/>
      <c r="AQ533" s="26"/>
      <c r="AR533" s="26"/>
      <c r="AS533" s="26"/>
      <c r="AT533" s="26"/>
      <c r="AU533" s="26"/>
      <c r="AV533" s="26"/>
      <c r="AW533" s="26"/>
      <c r="AX533" s="26"/>
      <c r="AY533" s="26"/>
      <c r="AZ533" s="26"/>
      <c r="BA533" s="26"/>
      <c r="BB533" s="26"/>
      <c r="BC533" s="26"/>
      <c r="BD533" s="26"/>
      <c r="BE533" s="26"/>
      <c r="BF533" s="26"/>
      <c r="BG533" s="26"/>
      <c r="BH533" s="26"/>
      <c r="BI533" s="26"/>
      <c r="BJ533" s="26"/>
      <c r="BK533" s="26"/>
    </row>
    <row r="534" ht="14.25" customHeight="1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  <c r="AC534" s="26"/>
      <c r="AD534" s="26"/>
      <c r="AE534" s="26"/>
      <c r="AF534" s="26"/>
      <c r="AG534" s="26"/>
      <c r="AH534" s="26"/>
      <c r="AI534" s="26"/>
      <c r="AJ534" s="26"/>
      <c r="AK534" s="26"/>
      <c r="AL534" s="26"/>
      <c r="AM534" s="26"/>
      <c r="AN534" s="26"/>
      <c r="AO534" s="26"/>
      <c r="AP534" s="26"/>
      <c r="AQ534" s="26"/>
      <c r="AR534" s="26"/>
      <c r="AS534" s="26"/>
      <c r="AT534" s="26"/>
      <c r="AU534" s="26"/>
      <c r="AV534" s="26"/>
      <c r="AW534" s="26"/>
      <c r="AX534" s="26"/>
      <c r="AY534" s="26"/>
      <c r="AZ534" s="26"/>
      <c r="BA534" s="26"/>
      <c r="BB534" s="26"/>
      <c r="BC534" s="26"/>
      <c r="BD534" s="26"/>
      <c r="BE534" s="26"/>
      <c r="BF534" s="26"/>
      <c r="BG534" s="26"/>
      <c r="BH534" s="26"/>
      <c r="BI534" s="26"/>
      <c r="BJ534" s="26"/>
      <c r="BK534" s="26"/>
    </row>
    <row r="535" ht="14.25" customHeight="1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  <c r="AC535" s="26"/>
      <c r="AD535" s="26"/>
      <c r="AE535" s="26"/>
      <c r="AF535" s="26"/>
      <c r="AG535" s="26"/>
      <c r="AH535" s="26"/>
      <c r="AI535" s="26"/>
      <c r="AJ535" s="26"/>
      <c r="AK535" s="26"/>
      <c r="AL535" s="26"/>
      <c r="AM535" s="26"/>
      <c r="AN535" s="26"/>
      <c r="AO535" s="26"/>
      <c r="AP535" s="26"/>
      <c r="AQ535" s="26"/>
      <c r="AR535" s="26"/>
      <c r="AS535" s="26"/>
      <c r="AT535" s="26"/>
      <c r="AU535" s="26"/>
      <c r="AV535" s="26"/>
      <c r="AW535" s="26"/>
      <c r="AX535" s="26"/>
      <c r="AY535" s="26"/>
      <c r="AZ535" s="26"/>
      <c r="BA535" s="26"/>
      <c r="BB535" s="26"/>
      <c r="BC535" s="26"/>
      <c r="BD535" s="26"/>
      <c r="BE535" s="26"/>
      <c r="BF535" s="26"/>
      <c r="BG535" s="26"/>
      <c r="BH535" s="26"/>
      <c r="BI535" s="26"/>
      <c r="BJ535" s="26"/>
      <c r="BK535" s="26"/>
    </row>
    <row r="536" ht="14.25" customHeight="1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  <c r="AC536" s="26"/>
      <c r="AD536" s="26"/>
      <c r="AE536" s="26"/>
      <c r="AF536" s="26"/>
      <c r="AG536" s="26"/>
      <c r="AH536" s="26"/>
      <c r="AI536" s="26"/>
      <c r="AJ536" s="26"/>
      <c r="AK536" s="26"/>
      <c r="AL536" s="26"/>
      <c r="AM536" s="26"/>
      <c r="AN536" s="26"/>
      <c r="AO536" s="26"/>
      <c r="AP536" s="26"/>
      <c r="AQ536" s="26"/>
      <c r="AR536" s="26"/>
      <c r="AS536" s="26"/>
      <c r="AT536" s="26"/>
      <c r="AU536" s="26"/>
      <c r="AV536" s="26"/>
      <c r="AW536" s="26"/>
      <c r="AX536" s="26"/>
      <c r="AY536" s="26"/>
      <c r="AZ536" s="26"/>
      <c r="BA536" s="26"/>
      <c r="BB536" s="26"/>
      <c r="BC536" s="26"/>
      <c r="BD536" s="26"/>
      <c r="BE536" s="26"/>
      <c r="BF536" s="26"/>
      <c r="BG536" s="26"/>
      <c r="BH536" s="26"/>
      <c r="BI536" s="26"/>
      <c r="BJ536" s="26"/>
      <c r="BK536" s="26"/>
    </row>
    <row r="537" ht="14.25" customHeight="1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  <c r="AC537" s="26"/>
      <c r="AD537" s="26"/>
      <c r="AE537" s="26"/>
      <c r="AF537" s="26"/>
      <c r="AG537" s="26"/>
      <c r="AH537" s="26"/>
      <c r="AI537" s="26"/>
      <c r="AJ537" s="26"/>
      <c r="AK537" s="26"/>
      <c r="AL537" s="26"/>
      <c r="AM537" s="26"/>
      <c r="AN537" s="26"/>
      <c r="AO537" s="26"/>
      <c r="AP537" s="26"/>
      <c r="AQ537" s="26"/>
      <c r="AR537" s="26"/>
      <c r="AS537" s="26"/>
      <c r="AT537" s="26"/>
      <c r="AU537" s="26"/>
      <c r="AV537" s="26"/>
      <c r="AW537" s="26"/>
      <c r="AX537" s="26"/>
      <c r="AY537" s="26"/>
      <c r="AZ537" s="26"/>
      <c r="BA537" s="26"/>
      <c r="BB537" s="26"/>
      <c r="BC537" s="26"/>
      <c r="BD537" s="26"/>
      <c r="BE537" s="26"/>
      <c r="BF537" s="26"/>
      <c r="BG537" s="26"/>
      <c r="BH537" s="26"/>
      <c r="BI537" s="26"/>
      <c r="BJ537" s="26"/>
      <c r="BK537" s="26"/>
    </row>
    <row r="538" ht="14.25" customHeight="1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  <c r="AC538" s="26"/>
      <c r="AD538" s="26"/>
      <c r="AE538" s="26"/>
      <c r="AF538" s="26"/>
      <c r="AG538" s="26"/>
      <c r="AH538" s="26"/>
      <c r="AI538" s="26"/>
      <c r="AJ538" s="26"/>
      <c r="AK538" s="26"/>
      <c r="AL538" s="26"/>
      <c r="AM538" s="26"/>
      <c r="AN538" s="26"/>
      <c r="AO538" s="26"/>
      <c r="AP538" s="26"/>
      <c r="AQ538" s="26"/>
      <c r="AR538" s="26"/>
      <c r="AS538" s="26"/>
      <c r="AT538" s="26"/>
      <c r="AU538" s="26"/>
      <c r="AV538" s="26"/>
      <c r="AW538" s="26"/>
      <c r="AX538" s="26"/>
      <c r="AY538" s="26"/>
      <c r="AZ538" s="26"/>
      <c r="BA538" s="26"/>
      <c r="BB538" s="26"/>
      <c r="BC538" s="26"/>
      <c r="BD538" s="26"/>
      <c r="BE538" s="26"/>
      <c r="BF538" s="26"/>
      <c r="BG538" s="26"/>
      <c r="BH538" s="26"/>
      <c r="BI538" s="26"/>
      <c r="BJ538" s="26"/>
      <c r="BK538" s="26"/>
    </row>
    <row r="539" ht="14.25" customHeight="1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  <c r="AC539" s="26"/>
      <c r="AD539" s="26"/>
      <c r="AE539" s="26"/>
      <c r="AF539" s="26"/>
      <c r="AG539" s="26"/>
      <c r="AH539" s="26"/>
      <c r="AI539" s="26"/>
      <c r="AJ539" s="26"/>
      <c r="AK539" s="26"/>
      <c r="AL539" s="26"/>
      <c r="AM539" s="26"/>
      <c r="AN539" s="26"/>
      <c r="AO539" s="26"/>
      <c r="AP539" s="26"/>
      <c r="AQ539" s="26"/>
      <c r="AR539" s="26"/>
      <c r="AS539" s="26"/>
      <c r="AT539" s="26"/>
      <c r="AU539" s="26"/>
      <c r="AV539" s="26"/>
      <c r="AW539" s="26"/>
      <c r="AX539" s="26"/>
      <c r="AY539" s="26"/>
      <c r="AZ539" s="26"/>
      <c r="BA539" s="26"/>
      <c r="BB539" s="26"/>
      <c r="BC539" s="26"/>
      <c r="BD539" s="26"/>
      <c r="BE539" s="26"/>
      <c r="BF539" s="26"/>
      <c r="BG539" s="26"/>
      <c r="BH539" s="26"/>
      <c r="BI539" s="26"/>
      <c r="BJ539" s="26"/>
      <c r="BK539" s="26"/>
    </row>
    <row r="540" ht="14.25" customHeight="1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  <c r="AC540" s="26"/>
      <c r="AD540" s="26"/>
      <c r="AE540" s="26"/>
      <c r="AF540" s="26"/>
      <c r="AG540" s="26"/>
      <c r="AH540" s="26"/>
      <c r="AI540" s="26"/>
      <c r="AJ540" s="26"/>
      <c r="AK540" s="26"/>
      <c r="AL540" s="26"/>
      <c r="AM540" s="26"/>
      <c r="AN540" s="26"/>
      <c r="AO540" s="26"/>
      <c r="AP540" s="26"/>
      <c r="AQ540" s="26"/>
      <c r="AR540" s="26"/>
      <c r="AS540" s="26"/>
      <c r="AT540" s="26"/>
      <c r="AU540" s="26"/>
      <c r="AV540" s="26"/>
      <c r="AW540" s="26"/>
      <c r="AX540" s="26"/>
      <c r="AY540" s="26"/>
      <c r="AZ540" s="26"/>
      <c r="BA540" s="26"/>
      <c r="BB540" s="26"/>
      <c r="BC540" s="26"/>
      <c r="BD540" s="26"/>
      <c r="BE540" s="26"/>
      <c r="BF540" s="26"/>
      <c r="BG540" s="26"/>
      <c r="BH540" s="26"/>
      <c r="BI540" s="26"/>
      <c r="BJ540" s="26"/>
      <c r="BK540" s="26"/>
    </row>
    <row r="541" ht="14.25" customHeight="1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  <c r="AC541" s="26"/>
      <c r="AD541" s="26"/>
      <c r="AE541" s="26"/>
      <c r="AF541" s="26"/>
      <c r="AG541" s="26"/>
      <c r="AH541" s="26"/>
      <c r="AI541" s="26"/>
      <c r="AJ541" s="26"/>
      <c r="AK541" s="26"/>
      <c r="AL541" s="26"/>
      <c r="AM541" s="26"/>
      <c r="AN541" s="26"/>
      <c r="AO541" s="26"/>
      <c r="AP541" s="26"/>
      <c r="AQ541" s="26"/>
      <c r="AR541" s="26"/>
      <c r="AS541" s="26"/>
      <c r="AT541" s="26"/>
      <c r="AU541" s="26"/>
      <c r="AV541" s="26"/>
      <c r="AW541" s="26"/>
      <c r="AX541" s="26"/>
      <c r="AY541" s="26"/>
      <c r="AZ541" s="26"/>
      <c r="BA541" s="26"/>
      <c r="BB541" s="26"/>
      <c r="BC541" s="26"/>
      <c r="BD541" s="26"/>
      <c r="BE541" s="26"/>
      <c r="BF541" s="26"/>
      <c r="BG541" s="26"/>
      <c r="BH541" s="26"/>
      <c r="BI541" s="26"/>
      <c r="BJ541" s="26"/>
      <c r="BK541" s="26"/>
    </row>
    <row r="542" ht="14.25" customHeight="1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  <c r="AC542" s="26"/>
      <c r="AD542" s="26"/>
      <c r="AE542" s="26"/>
      <c r="AF542" s="26"/>
      <c r="AG542" s="26"/>
      <c r="AH542" s="26"/>
      <c r="AI542" s="26"/>
      <c r="AJ542" s="26"/>
      <c r="AK542" s="26"/>
      <c r="AL542" s="26"/>
      <c r="AM542" s="26"/>
      <c r="AN542" s="26"/>
      <c r="AO542" s="26"/>
      <c r="AP542" s="26"/>
      <c r="AQ542" s="26"/>
      <c r="AR542" s="26"/>
      <c r="AS542" s="26"/>
      <c r="AT542" s="26"/>
      <c r="AU542" s="26"/>
      <c r="AV542" s="26"/>
      <c r="AW542" s="26"/>
      <c r="AX542" s="26"/>
      <c r="AY542" s="26"/>
      <c r="AZ542" s="26"/>
      <c r="BA542" s="26"/>
      <c r="BB542" s="26"/>
      <c r="BC542" s="26"/>
      <c r="BD542" s="26"/>
      <c r="BE542" s="26"/>
      <c r="BF542" s="26"/>
      <c r="BG542" s="26"/>
      <c r="BH542" s="26"/>
      <c r="BI542" s="26"/>
      <c r="BJ542" s="26"/>
      <c r="BK542" s="26"/>
    </row>
    <row r="543" ht="14.25" customHeight="1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  <c r="AC543" s="26"/>
      <c r="AD543" s="26"/>
      <c r="AE543" s="26"/>
      <c r="AF543" s="26"/>
      <c r="AG543" s="26"/>
      <c r="AH543" s="26"/>
      <c r="AI543" s="26"/>
      <c r="AJ543" s="26"/>
      <c r="AK543" s="26"/>
      <c r="AL543" s="26"/>
      <c r="AM543" s="26"/>
      <c r="AN543" s="26"/>
      <c r="AO543" s="26"/>
      <c r="AP543" s="26"/>
      <c r="AQ543" s="26"/>
      <c r="AR543" s="26"/>
      <c r="AS543" s="26"/>
      <c r="AT543" s="26"/>
      <c r="AU543" s="26"/>
      <c r="AV543" s="26"/>
      <c r="AW543" s="26"/>
      <c r="AX543" s="26"/>
      <c r="AY543" s="26"/>
      <c r="AZ543" s="26"/>
      <c r="BA543" s="26"/>
      <c r="BB543" s="26"/>
      <c r="BC543" s="26"/>
      <c r="BD543" s="26"/>
      <c r="BE543" s="26"/>
      <c r="BF543" s="26"/>
      <c r="BG543" s="26"/>
      <c r="BH543" s="26"/>
      <c r="BI543" s="26"/>
      <c r="BJ543" s="26"/>
      <c r="BK543" s="26"/>
    </row>
    <row r="544" ht="14.25" customHeight="1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  <c r="AC544" s="26"/>
      <c r="AD544" s="26"/>
      <c r="AE544" s="26"/>
      <c r="AF544" s="26"/>
      <c r="AG544" s="26"/>
      <c r="AH544" s="26"/>
      <c r="AI544" s="26"/>
      <c r="AJ544" s="26"/>
      <c r="AK544" s="26"/>
      <c r="AL544" s="26"/>
      <c r="AM544" s="26"/>
      <c r="AN544" s="26"/>
      <c r="AO544" s="26"/>
      <c r="AP544" s="26"/>
      <c r="AQ544" s="26"/>
      <c r="AR544" s="26"/>
      <c r="AS544" s="26"/>
      <c r="AT544" s="26"/>
      <c r="AU544" s="26"/>
      <c r="AV544" s="26"/>
      <c r="AW544" s="26"/>
      <c r="AX544" s="26"/>
      <c r="AY544" s="26"/>
      <c r="AZ544" s="26"/>
      <c r="BA544" s="26"/>
      <c r="BB544" s="26"/>
      <c r="BC544" s="26"/>
      <c r="BD544" s="26"/>
      <c r="BE544" s="26"/>
      <c r="BF544" s="26"/>
      <c r="BG544" s="26"/>
      <c r="BH544" s="26"/>
      <c r="BI544" s="26"/>
      <c r="BJ544" s="26"/>
      <c r="BK544" s="26"/>
    </row>
    <row r="545" ht="14.25" customHeight="1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  <c r="AC545" s="26"/>
      <c r="AD545" s="26"/>
      <c r="AE545" s="26"/>
      <c r="AF545" s="26"/>
      <c r="AG545" s="26"/>
      <c r="AH545" s="26"/>
      <c r="AI545" s="26"/>
      <c r="AJ545" s="26"/>
      <c r="AK545" s="26"/>
      <c r="AL545" s="26"/>
      <c r="AM545" s="26"/>
      <c r="AN545" s="26"/>
      <c r="AO545" s="26"/>
      <c r="AP545" s="26"/>
      <c r="AQ545" s="26"/>
      <c r="AR545" s="26"/>
      <c r="AS545" s="26"/>
      <c r="AT545" s="26"/>
      <c r="AU545" s="26"/>
      <c r="AV545" s="26"/>
      <c r="AW545" s="26"/>
      <c r="AX545" s="26"/>
      <c r="AY545" s="26"/>
      <c r="AZ545" s="26"/>
      <c r="BA545" s="26"/>
      <c r="BB545" s="26"/>
      <c r="BC545" s="26"/>
      <c r="BD545" s="26"/>
      <c r="BE545" s="26"/>
      <c r="BF545" s="26"/>
      <c r="BG545" s="26"/>
      <c r="BH545" s="26"/>
      <c r="BI545" s="26"/>
      <c r="BJ545" s="26"/>
      <c r="BK545" s="26"/>
    </row>
    <row r="546" ht="14.25" customHeight="1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  <c r="AC546" s="26"/>
      <c r="AD546" s="26"/>
      <c r="AE546" s="26"/>
      <c r="AF546" s="26"/>
      <c r="AG546" s="26"/>
      <c r="AH546" s="26"/>
      <c r="AI546" s="26"/>
      <c r="AJ546" s="26"/>
      <c r="AK546" s="26"/>
      <c r="AL546" s="26"/>
      <c r="AM546" s="26"/>
      <c r="AN546" s="26"/>
      <c r="AO546" s="26"/>
      <c r="AP546" s="26"/>
      <c r="AQ546" s="26"/>
      <c r="AR546" s="26"/>
      <c r="AS546" s="26"/>
      <c r="AT546" s="26"/>
      <c r="AU546" s="26"/>
      <c r="AV546" s="26"/>
      <c r="AW546" s="26"/>
      <c r="AX546" s="26"/>
      <c r="AY546" s="26"/>
      <c r="AZ546" s="26"/>
      <c r="BA546" s="26"/>
      <c r="BB546" s="26"/>
      <c r="BC546" s="26"/>
      <c r="BD546" s="26"/>
      <c r="BE546" s="26"/>
      <c r="BF546" s="26"/>
      <c r="BG546" s="26"/>
      <c r="BH546" s="26"/>
      <c r="BI546" s="26"/>
      <c r="BJ546" s="26"/>
      <c r="BK546" s="26"/>
    </row>
    <row r="547" ht="14.25" customHeight="1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  <c r="AC547" s="26"/>
      <c r="AD547" s="26"/>
      <c r="AE547" s="26"/>
      <c r="AF547" s="26"/>
      <c r="AG547" s="26"/>
      <c r="AH547" s="26"/>
      <c r="AI547" s="26"/>
      <c r="AJ547" s="26"/>
      <c r="AK547" s="26"/>
      <c r="AL547" s="26"/>
      <c r="AM547" s="26"/>
      <c r="AN547" s="26"/>
      <c r="AO547" s="26"/>
      <c r="AP547" s="26"/>
      <c r="AQ547" s="26"/>
      <c r="AR547" s="26"/>
      <c r="AS547" s="26"/>
      <c r="AT547" s="26"/>
      <c r="AU547" s="26"/>
      <c r="AV547" s="26"/>
      <c r="AW547" s="26"/>
      <c r="AX547" s="26"/>
      <c r="AY547" s="26"/>
      <c r="AZ547" s="26"/>
      <c r="BA547" s="26"/>
      <c r="BB547" s="26"/>
      <c r="BC547" s="26"/>
      <c r="BD547" s="26"/>
      <c r="BE547" s="26"/>
      <c r="BF547" s="26"/>
      <c r="BG547" s="26"/>
      <c r="BH547" s="26"/>
      <c r="BI547" s="26"/>
      <c r="BJ547" s="26"/>
      <c r="BK547" s="26"/>
    </row>
    <row r="548" ht="14.25" customHeight="1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  <c r="AC548" s="26"/>
      <c r="AD548" s="26"/>
      <c r="AE548" s="26"/>
      <c r="AF548" s="26"/>
      <c r="AG548" s="26"/>
      <c r="AH548" s="26"/>
      <c r="AI548" s="26"/>
      <c r="AJ548" s="26"/>
      <c r="AK548" s="26"/>
      <c r="AL548" s="26"/>
      <c r="AM548" s="26"/>
      <c r="AN548" s="26"/>
      <c r="AO548" s="26"/>
      <c r="AP548" s="26"/>
      <c r="AQ548" s="26"/>
      <c r="AR548" s="26"/>
      <c r="AS548" s="26"/>
      <c r="AT548" s="26"/>
      <c r="AU548" s="26"/>
      <c r="AV548" s="26"/>
      <c r="AW548" s="26"/>
      <c r="AX548" s="26"/>
      <c r="AY548" s="26"/>
      <c r="AZ548" s="26"/>
      <c r="BA548" s="26"/>
      <c r="BB548" s="26"/>
      <c r="BC548" s="26"/>
      <c r="BD548" s="26"/>
      <c r="BE548" s="26"/>
      <c r="BF548" s="26"/>
      <c r="BG548" s="26"/>
      <c r="BH548" s="26"/>
      <c r="BI548" s="26"/>
      <c r="BJ548" s="26"/>
      <c r="BK548" s="26"/>
    </row>
    <row r="549" ht="14.25" customHeight="1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  <c r="AC549" s="26"/>
      <c r="AD549" s="26"/>
      <c r="AE549" s="26"/>
      <c r="AF549" s="26"/>
      <c r="AG549" s="26"/>
      <c r="AH549" s="26"/>
      <c r="AI549" s="26"/>
      <c r="AJ549" s="26"/>
      <c r="AK549" s="26"/>
      <c r="AL549" s="26"/>
      <c r="AM549" s="26"/>
      <c r="AN549" s="26"/>
      <c r="AO549" s="26"/>
      <c r="AP549" s="26"/>
      <c r="AQ549" s="26"/>
      <c r="AR549" s="26"/>
      <c r="AS549" s="26"/>
      <c r="AT549" s="26"/>
      <c r="AU549" s="26"/>
      <c r="AV549" s="26"/>
      <c r="AW549" s="26"/>
      <c r="AX549" s="26"/>
      <c r="AY549" s="26"/>
      <c r="AZ549" s="26"/>
      <c r="BA549" s="26"/>
      <c r="BB549" s="26"/>
      <c r="BC549" s="26"/>
      <c r="BD549" s="26"/>
      <c r="BE549" s="26"/>
      <c r="BF549" s="26"/>
      <c r="BG549" s="26"/>
      <c r="BH549" s="26"/>
      <c r="BI549" s="26"/>
      <c r="BJ549" s="26"/>
      <c r="BK549" s="26"/>
    </row>
    <row r="550" ht="14.25" customHeight="1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  <c r="AC550" s="26"/>
      <c r="AD550" s="26"/>
      <c r="AE550" s="26"/>
      <c r="AF550" s="26"/>
      <c r="AG550" s="26"/>
      <c r="AH550" s="26"/>
      <c r="AI550" s="26"/>
      <c r="AJ550" s="26"/>
      <c r="AK550" s="26"/>
      <c r="AL550" s="26"/>
      <c r="AM550" s="26"/>
      <c r="AN550" s="26"/>
      <c r="AO550" s="26"/>
      <c r="AP550" s="26"/>
      <c r="AQ550" s="26"/>
      <c r="AR550" s="26"/>
      <c r="AS550" s="26"/>
      <c r="AT550" s="26"/>
      <c r="AU550" s="26"/>
      <c r="AV550" s="26"/>
      <c r="AW550" s="26"/>
      <c r="AX550" s="26"/>
      <c r="AY550" s="26"/>
      <c r="AZ550" s="26"/>
      <c r="BA550" s="26"/>
      <c r="BB550" s="26"/>
      <c r="BC550" s="26"/>
      <c r="BD550" s="26"/>
      <c r="BE550" s="26"/>
      <c r="BF550" s="26"/>
      <c r="BG550" s="26"/>
      <c r="BH550" s="26"/>
      <c r="BI550" s="26"/>
      <c r="BJ550" s="26"/>
      <c r="BK550" s="26"/>
    </row>
    <row r="551" ht="14.25" customHeight="1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  <c r="AC551" s="26"/>
      <c r="AD551" s="26"/>
      <c r="AE551" s="26"/>
      <c r="AF551" s="26"/>
      <c r="AG551" s="26"/>
      <c r="AH551" s="26"/>
      <c r="AI551" s="26"/>
      <c r="AJ551" s="26"/>
      <c r="AK551" s="26"/>
      <c r="AL551" s="26"/>
      <c r="AM551" s="26"/>
      <c r="AN551" s="26"/>
      <c r="AO551" s="26"/>
      <c r="AP551" s="26"/>
      <c r="AQ551" s="26"/>
      <c r="AR551" s="26"/>
      <c r="AS551" s="26"/>
      <c r="AT551" s="26"/>
      <c r="AU551" s="26"/>
      <c r="AV551" s="26"/>
      <c r="AW551" s="26"/>
      <c r="AX551" s="26"/>
      <c r="AY551" s="26"/>
      <c r="AZ551" s="26"/>
      <c r="BA551" s="26"/>
      <c r="BB551" s="26"/>
      <c r="BC551" s="26"/>
      <c r="BD551" s="26"/>
      <c r="BE551" s="26"/>
      <c r="BF551" s="26"/>
      <c r="BG551" s="26"/>
      <c r="BH551" s="26"/>
      <c r="BI551" s="26"/>
      <c r="BJ551" s="26"/>
      <c r="BK551" s="26"/>
    </row>
    <row r="552" ht="14.25" customHeight="1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  <c r="AC552" s="26"/>
      <c r="AD552" s="26"/>
      <c r="AE552" s="26"/>
      <c r="AF552" s="26"/>
      <c r="AG552" s="26"/>
      <c r="AH552" s="26"/>
      <c r="AI552" s="26"/>
      <c r="AJ552" s="26"/>
      <c r="AK552" s="26"/>
      <c r="AL552" s="26"/>
      <c r="AM552" s="26"/>
      <c r="AN552" s="26"/>
      <c r="AO552" s="26"/>
      <c r="AP552" s="26"/>
      <c r="AQ552" s="26"/>
      <c r="AR552" s="26"/>
      <c r="AS552" s="26"/>
      <c r="AT552" s="26"/>
      <c r="AU552" s="26"/>
      <c r="AV552" s="26"/>
      <c r="AW552" s="26"/>
      <c r="AX552" s="26"/>
      <c r="AY552" s="26"/>
      <c r="AZ552" s="26"/>
      <c r="BA552" s="26"/>
      <c r="BB552" s="26"/>
      <c r="BC552" s="26"/>
      <c r="BD552" s="26"/>
      <c r="BE552" s="26"/>
      <c r="BF552" s="26"/>
      <c r="BG552" s="26"/>
      <c r="BH552" s="26"/>
      <c r="BI552" s="26"/>
      <c r="BJ552" s="26"/>
      <c r="BK552" s="26"/>
    </row>
    <row r="553" ht="14.25" customHeight="1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  <c r="AC553" s="26"/>
      <c r="AD553" s="26"/>
      <c r="AE553" s="26"/>
      <c r="AF553" s="26"/>
      <c r="AG553" s="26"/>
      <c r="AH553" s="26"/>
      <c r="AI553" s="26"/>
      <c r="AJ553" s="26"/>
      <c r="AK553" s="26"/>
      <c r="AL553" s="26"/>
      <c r="AM553" s="26"/>
      <c r="AN553" s="26"/>
      <c r="AO553" s="26"/>
      <c r="AP553" s="26"/>
      <c r="AQ553" s="26"/>
      <c r="AR553" s="26"/>
      <c r="AS553" s="26"/>
      <c r="AT553" s="26"/>
      <c r="AU553" s="26"/>
      <c r="AV553" s="26"/>
      <c r="AW553" s="26"/>
      <c r="AX553" s="26"/>
      <c r="AY553" s="26"/>
      <c r="AZ553" s="26"/>
      <c r="BA553" s="26"/>
      <c r="BB553" s="26"/>
      <c r="BC553" s="26"/>
      <c r="BD553" s="26"/>
      <c r="BE553" s="26"/>
      <c r="BF553" s="26"/>
      <c r="BG553" s="26"/>
      <c r="BH553" s="26"/>
      <c r="BI553" s="26"/>
      <c r="BJ553" s="26"/>
      <c r="BK553" s="26"/>
    </row>
    <row r="554" ht="14.25" customHeight="1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  <c r="AC554" s="26"/>
      <c r="AD554" s="26"/>
      <c r="AE554" s="26"/>
      <c r="AF554" s="26"/>
      <c r="AG554" s="26"/>
      <c r="AH554" s="26"/>
      <c r="AI554" s="26"/>
      <c r="AJ554" s="26"/>
      <c r="AK554" s="26"/>
      <c r="AL554" s="26"/>
      <c r="AM554" s="26"/>
      <c r="AN554" s="26"/>
      <c r="AO554" s="26"/>
      <c r="AP554" s="26"/>
      <c r="AQ554" s="26"/>
      <c r="AR554" s="26"/>
      <c r="AS554" s="26"/>
      <c r="AT554" s="26"/>
      <c r="AU554" s="26"/>
      <c r="AV554" s="26"/>
      <c r="AW554" s="26"/>
      <c r="AX554" s="26"/>
      <c r="AY554" s="26"/>
      <c r="AZ554" s="26"/>
      <c r="BA554" s="26"/>
      <c r="BB554" s="26"/>
      <c r="BC554" s="26"/>
      <c r="BD554" s="26"/>
      <c r="BE554" s="26"/>
      <c r="BF554" s="26"/>
      <c r="BG554" s="26"/>
      <c r="BH554" s="26"/>
      <c r="BI554" s="26"/>
      <c r="BJ554" s="26"/>
      <c r="BK554" s="26"/>
    </row>
    <row r="555" ht="14.25" customHeight="1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  <c r="AC555" s="26"/>
      <c r="AD555" s="26"/>
      <c r="AE555" s="26"/>
      <c r="AF555" s="26"/>
      <c r="AG555" s="26"/>
      <c r="AH555" s="26"/>
      <c r="AI555" s="26"/>
      <c r="AJ555" s="26"/>
      <c r="AK555" s="26"/>
      <c r="AL555" s="26"/>
      <c r="AM555" s="26"/>
      <c r="AN555" s="26"/>
      <c r="AO555" s="26"/>
      <c r="AP555" s="26"/>
      <c r="AQ555" s="26"/>
      <c r="AR555" s="26"/>
      <c r="AS555" s="26"/>
      <c r="AT555" s="26"/>
      <c r="AU555" s="26"/>
      <c r="AV555" s="26"/>
      <c r="AW555" s="26"/>
      <c r="AX555" s="26"/>
      <c r="AY555" s="26"/>
      <c r="AZ555" s="26"/>
      <c r="BA555" s="26"/>
      <c r="BB555" s="26"/>
      <c r="BC555" s="26"/>
      <c r="BD555" s="26"/>
      <c r="BE555" s="26"/>
      <c r="BF555" s="26"/>
      <c r="BG555" s="26"/>
      <c r="BH555" s="26"/>
      <c r="BI555" s="26"/>
      <c r="BJ555" s="26"/>
      <c r="BK555" s="26"/>
    </row>
    <row r="556" ht="14.25" customHeight="1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  <c r="AC556" s="26"/>
      <c r="AD556" s="26"/>
      <c r="AE556" s="26"/>
      <c r="AF556" s="26"/>
      <c r="AG556" s="26"/>
      <c r="AH556" s="26"/>
      <c r="AI556" s="26"/>
      <c r="AJ556" s="26"/>
      <c r="AK556" s="26"/>
      <c r="AL556" s="26"/>
      <c r="AM556" s="26"/>
      <c r="AN556" s="26"/>
      <c r="AO556" s="26"/>
      <c r="AP556" s="26"/>
      <c r="AQ556" s="26"/>
      <c r="AR556" s="26"/>
      <c r="AS556" s="26"/>
      <c r="AT556" s="26"/>
      <c r="AU556" s="26"/>
      <c r="AV556" s="26"/>
      <c r="AW556" s="26"/>
      <c r="AX556" s="26"/>
      <c r="AY556" s="26"/>
      <c r="AZ556" s="26"/>
      <c r="BA556" s="26"/>
      <c r="BB556" s="26"/>
      <c r="BC556" s="26"/>
      <c r="BD556" s="26"/>
      <c r="BE556" s="26"/>
      <c r="BF556" s="26"/>
      <c r="BG556" s="26"/>
      <c r="BH556" s="26"/>
      <c r="BI556" s="26"/>
      <c r="BJ556" s="26"/>
      <c r="BK556" s="26"/>
    </row>
    <row r="557" ht="14.25" customHeight="1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  <c r="AC557" s="26"/>
      <c r="AD557" s="26"/>
      <c r="AE557" s="26"/>
      <c r="AF557" s="26"/>
      <c r="AG557" s="26"/>
      <c r="AH557" s="26"/>
      <c r="AI557" s="26"/>
      <c r="AJ557" s="26"/>
      <c r="AK557" s="26"/>
      <c r="AL557" s="26"/>
      <c r="AM557" s="26"/>
      <c r="AN557" s="26"/>
      <c r="AO557" s="26"/>
      <c r="AP557" s="26"/>
      <c r="AQ557" s="26"/>
      <c r="AR557" s="26"/>
      <c r="AS557" s="26"/>
      <c r="AT557" s="26"/>
      <c r="AU557" s="26"/>
      <c r="AV557" s="26"/>
      <c r="AW557" s="26"/>
      <c r="AX557" s="26"/>
      <c r="AY557" s="26"/>
      <c r="AZ557" s="26"/>
      <c r="BA557" s="26"/>
      <c r="BB557" s="26"/>
      <c r="BC557" s="26"/>
      <c r="BD557" s="26"/>
      <c r="BE557" s="26"/>
      <c r="BF557" s="26"/>
      <c r="BG557" s="26"/>
      <c r="BH557" s="26"/>
      <c r="BI557" s="26"/>
      <c r="BJ557" s="26"/>
      <c r="BK557" s="26"/>
    </row>
    <row r="558" ht="14.25" customHeight="1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  <c r="AC558" s="26"/>
      <c r="AD558" s="26"/>
      <c r="AE558" s="26"/>
      <c r="AF558" s="26"/>
      <c r="AG558" s="26"/>
      <c r="AH558" s="26"/>
      <c r="AI558" s="26"/>
      <c r="AJ558" s="26"/>
      <c r="AK558" s="26"/>
      <c r="AL558" s="26"/>
      <c r="AM558" s="26"/>
      <c r="AN558" s="26"/>
      <c r="AO558" s="26"/>
      <c r="AP558" s="26"/>
      <c r="AQ558" s="26"/>
      <c r="AR558" s="26"/>
      <c r="AS558" s="26"/>
      <c r="AT558" s="26"/>
      <c r="AU558" s="26"/>
      <c r="AV558" s="26"/>
      <c r="AW558" s="26"/>
      <c r="AX558" s="26"/>
      <c r="AY558" s="26"/>
      <c r="AZ558" s="26"/>
      <c r="BA558" s="26"/>
      <c r="BB558" s="26"/>
      <c r="BC558" s="26"/>
      <c r="BD558" s="26"/>
      <c r="BE558" s="26"/>
      <c r="BF558" s="26"/>
      <c r="BG558" s="26"/>
      <c r="BH558" s="26"/>
      <c r="BI558" s="26"/>
      <c r="BJ558" s="26"/>
      <c r="BK558" s="26"/>
    </row>
    <row r="559" ht="14.25" customHeight="1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  <c r="AB559" s="26"/>
      <c r="AC559" s="26"/>
      <c r="AD559" s="26"/>
      <c r="AE559" s="26"/>
      <c r="AF559" s="26"/>
      <c r="AG559" s="26"/>
      <c r="AH559" s="26"/>
      <c r="AI559" s="26"/>
      <c r="AJ559" s="26"/>
      <c r="AK559" s="26"/>
      <c r="AL559" s="26"/>
      <c r="AM559" s="26"/>
      <c r="AN559" s="26"/>
      <c r="AO559" s="26"/>
      <c r="AP559" s="26"/>
      <c r="AQ559" s="26"/>
      <c r="AR559" s="26"/>
      <c r="AS559" s="26"/>
      <c r="AT559" s="26"/>
      <c r="AU559" s="26"/>
      <c r="AV559" s="26"/>
      <c r="AW559" s="26"/>
      <c r="AX559" s="26"/>
      <c r="AY559" s="26"/>
      <c r="AZ559" s="26"/>
      <c r="BA559" s="26"/>
      <c r="BB559" s="26"/>
      <c r="BC559" s="26"/>
      <c r="BD559" s="26"/>
      <c r="BE559" s="26"/>
      <c r="BF559" s="26"/>
      <c r="BG559" s="26"/>
      <c r="BH559" s="26"/>
      <c r="BI559" s="26"/>
      <c r="BJ559" s="26"/>
      <c r="BK559" s="26"/>
    </row>
    <row r="560" ht="14.25" customHeight="1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  <c r="AC560" s="26"/>
      <c r="AD560" s="26"/>
      <c r="AE560" s="26"/>
      <c r="AF560" s="26"/>
      <c r="AG560" s="26"/>
      <c r="AH560" s="26"/>
      <c r="AI560" s="26"/>
      <c r="AJ560" s="26"/>
      <c r="AK560" s="26"/>
      <c r="AL560" s="26"/>
      <c r="AM560" s="26"/>
      <c r="AN560" s="26"/>
      <c r="AO560" s="26"/>
      <c r="AP560" s="26"/>
      <c r="AQ560" s="26"/>
      <c r="AR560" s="26"/>
      <c r="AS560" s="26"/>
      <c r="AT560" s="26"/>
      <c r="AU560" s="26"/>
      <c r="AV560" s="26"/>
      <c r="AW560" s="26"/>
      <c r="AX560" s="26"/>
      <c r="AY560" s="26"/>
      <c r="AZ560" s="26"/>
      <c r="BA560" s="26"/>
      <c r="BB560" s="26"/>
      <c r="BC560" s="26"/>
      <c r="BD560" s="26"/>
      <c r="BE560" s="26"/>
      <c r="BF560" s="26"/>
      <c r="BG560" s="26"/>
      <c r="BH560" s="26"/>
      <c r="BI560" s="26"/>
      <c r="BJ560" s="26"/>
      <c r="BK560" s="26"/>
    </row>
    <row r="561" ht="14.25" customHeight="1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  <c r="AC561" s="26"/>
      <c r="AD561" s="26"/>
      <c r="AE561" s="26"/>
      <c r="AF561" s="26"/>
      <c r="AG561" s="26"/>
      <c r="AH561" s="26"/>
      <c r="AI561" s="26"/>
      <c r="AJ561" s="26"/>
      <c r="AK561" s="26"/>
      <c r="AL561" s="26"/>
      <c r="AM561" s="26"/>
      <c r="AN561" s="26"/>
      <c r="AO561" s="26"/>
      <c r="AP561" s="26"/>
      <c r="AQ561" s="26"/>
      <c r="AR561" s="26"/>
      <c r="AS561" s="26"/>
      <c r="AT561" s="26"/>
      <c r="AU561" s="26"/>
      <c r="AV561" s="26"/>
      <c r="AW561" s="26"/>
      <c r="AX561" s="26"/>
      <c r="AY561" s="26"/>
      <c r="AZ561" s="26"/>
      <c r="BA561" s="26"/>
      <c r="BB561" s="26"/>
      <c r="BC561" s="26"/>
      <c r="BD561" s="26"/>
      <c r="BE561" s="26"/>
      <c r="BF561" s="26"/>
      <c r="BG561" s="26"/>
      <c r="BH561" s="26"/>
      <c r="BI561" s="26"/>
      <c r="BJ561" s="26"/>
      <c r="BK561" s="26"/>
    </row>
    <row r="562" ht="14.25" customHeight="1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  <c r="AC562" s="26"/>
      <c r="AD562" s="26"/>
      <c r="AE562" s="26"/>
      <c r="AF562" s="26"/>
      <c r="AG562" s="26"/>
      <c r="AH562" s="26"/>
      <c r="AI562" s="26"/>
      <c r="AJ562" s="26"/>
      <c r="AK562" s="26"/>
      <c r="AL562" s="26"/>
      <c r="AM562" s="26"/>
      <c r="AN562" s="26"/>
      <c r="AO562" s="26"/>
      <c r="AP562" s="26"/>
      <c r="AQ562" s="26"/>
      <c r="AR562" s="26"/>
      <c r="AS562" s="26"/>
      <c r="AT562" s="26"/>
      <c r="AU562" s="26"/>
      <c r="AV562" s="26"/>
      <c r="AW562" s="26"/>
      <c r="AX562" s="26"/>
      <c r="AY562" s="26"/>
      <c r="AZ562" s="26"/>
      <c r="BA562" s="26"/>
      <c r="BB562" s="26"/>
      <c r="BC562" s="26"/>
      <c r="BD562" s="26"/>
      <c r="BE562" s="26"/>
      <c r="BF562" s="26"/>
      <c r="BG562" s="26"/>
      <c r="BH562" s="26"/>
      <c r="BI562" s="26"/>
      <c r="BJ562" s="26"/>
      <c r="BK562" s="26"/>
    </row>
    <row r="563" ht="14.25" customHeight="1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  <c r="AC563" s="26"/>
      <c r="AD563" s="26"/>
      <c r="AE563" s="26"/>
      <c r="AF563" s="26"/>
      <c r="AG563" s="26"/>
      <c r="AH563" s="26"/>
      <c r="AI563" s="26"/>
      <c r="AJ563" s="26"/>
      <c r="AK563" s="26"/>
      <c r="AL563" s="26"/>
      <c r="AM563" s="26"/>
      <c r="AN563" s="26"/>
      <c r="AO563" s="26"/>
      <c r="AP563" s="26"/>
      <c r="AQ563" s="26"/>
      <c r="AR563" s="26"/>
      <c r="AS563" s="26"/>
      <c r="AT563" s="26"/>
      <c r="AU563" s="26"/>
      <c r="AV563" s="26"/>
      <c r="AW563" s="26"/>
      <c r="AX563" s="26"/>
      <c r="AY563" s="26"/>
      <c r="AZ563" s="26"/>
      <c r="BA563" s="26"/>
      <c r="BB563" s="26"/>
      <c r="BC563" s="26"/>
      <c r="BD563" s="26"/>
      <c r="BE563" s="26"/>
      <c r="BF563" s="26"/>
      <c r="BG563" s="26"/>
      <c r="BH563" s="26"/>
      <c r="BI563" s="26"/>
      <c r="BJ563" s="26"/>
      <c r="BK563" s="26"/>
    </row>
    <row r="564" ht="14.25" customHeight="1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  <c r="AC564" s="26"/>
      <c r="AD564" s="26"/>
      <c r="AE564" s="26"/>
      <c r="AF564" s="26"/>
      <c r="AG564" s="26"/>
      <c r="AH564" s="26"/>
      <c r="AI564" s="26"/>
      <c r="AJ564" s="26"/>
      <c r="AK564" s="26"/>
      <c r="AL564" s="26"/>
      <c r="AM564" s="26"/>
      <c r="AN564" s="26"/>
      <c r="AO564" s="26"/>
      <c r="AP564" s="26"/>
      <c r="AQ564" s="26"/>
      <c r="AR564" s="26"/>
      <c r="AS564" s="26"/>
      <c r="AT564" s="26"/>
      <c r="AU564" s="26"/>
      <c r="AV564" s="26"/>
      <c r="AW564" s="26"/>
      <c r="AX564" s="26"/>
      <c r="AY564" s="26"/>
      <c r="AZ564" s="26"/>
      <c r="BA564" s="26"/>
      <c r="BB564" s="26"/>
      <c r="BC564" s="26"/>
      <c r="BD564" s="26"/>
      <c r="BE564" s="26"/>
      <c r="BF564" s="26"/>
      <c r="BG564" s="26"/>
      <c r="BH564" s="26"/>
      <c r="BI564" s="26"/>
      <c r="BJ564" s="26"/>
      <c r="BK564" s="26"/>
    </row>
    <row r="565" ht="14.25" customHeight="1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  <c r="AC565" s="26"/>
      <c r="AD565" s="26"/>
      <c r="AE565" s="26"/>
      <c r="AF565" s="26"/>
      <c r="AG565" s="26"/>
      <c r="AH565" s="26"/>
      <c r="AI565" s="26"/>
      <c r="AJ565" s="26"/>
      <c r="AK565" s="26"/>
      <c r="AL565" s="26"/>
      <c r="AM565" s="26"/>
      <c r="AN565" s="26"/>
      <c r="AO565" s="26"/>
      <c r="AP565" s="26"/>
      <c r="AQ565" s="26"/>
      <c r="AR565" s="26"/>
      <c r="AS565" s="26"/>
      <c r="AT565" s="26"/>
      <c r="AU565" s="26"/>
      <c r="AV565" s="26"/>
      <c r="AW565" s="26"/>
      <c r="AX565" s="26"/>
      <c r="AY565" s="26"/>
      <c r="AZ565" s="26"/>
      <c r="BA565" s="26"/>
      <c r="BB565" s="26"/>
      <c r="BC565" s="26"/>
      <c r="BD565" s="26"/>
      <c r="BE565" s="26"/>
      <c r="BF565" s="26"/>
      <c r="BG565" s="26"/>
      <c r="BH565" s="26"/>
      <c r="BI565" s="26"/>
      <c r="BJ565" s="26"/>
      <c r="BK565" s="26"/>
    </row>
    <row r="566" ht="14.25" customHeight="1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  <c r="AC566" s="26"/>
      <c r="AD566" s="26"/>
      <c r="AE566" s="26"/>
      <c r="AF566" s="26"/>
      <c r="AG566" s="26"/>
      <c r="AH566" s="26"/>
      <c r="AI566" s="26"/>
      <c r="AJ566" s="26"/>
      <c r="AK566" s="26"/>
      <c r="AL566" s="26"/>
      <c r="AM566" s="26"/>
      <c r="AN566" s="26"/>
      <c r="AO566" s="26"/>
      <c r="AP566" s="26"/>
      <c r="AQ566" s="26"/>
      <c r="AR566" s="26"/>
      <c r="AS566" s="26"/>
      <c r="AT566" s="26"/>
      <c r="AU566" s="26"/>
      <c r="AV566" s="26"/>
      <c r="AW566" s="26"/>
      <c r="AX566" s="26"/>
      <c r="AY566" s="26"/>
      <c r="AZ566" s="26"/>
      <c r="BA566" s="26"/>
      <c r="BB566" s="26"/>
      <c r="BC566" s="26"/>
      <c r="BD566" s="26"/>
      <c r="BE566" s="26"/>
      <c r="BF566" s="26"/>
      <c r="BG566" s="26"/>
      <c r="BH566" s="26"/>
      <c r="BI566" s="26"/>
      <c r="BJ566" s="26"/>
      <c r="BK566" s="26"/>
    </row>
    <row r="567" ht="14.25" customHeight="1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26"/>
      <c r="AB567" s="26"/>
      <c r="AC567" s="26"/>
      <c r="AD567" s="26"/>
      <c r="AE567" s="26"/>
      <c r="AF567" s="26"/>
      <c r="AG567" s="26"/>
      <c r="AH567" s="26"/>
      <c r="AI567" s="26"/>
      <c r="AJ567" s="26"/>
      <c r="AK567" s="26"/>
      <c r="AL567" s="26"/>
      <c r="AM567" s="26"/>
      <c r="AN567" s="26"/>
      <c r="AO567" s="26"/>
      <c r="AP567" s="26"/>
      <c r="AQ567" s="26"/>
      <c r="AR567" s="26"/>
      <c r="AS567" s="26"/>
      <c r="AT567" s="26"/>
      <c r="AU567" s="26"/>
      <c r="AV567" s="26"/>
      <c r="AW567" s="26"/>
      <c r="AX567" s="26"/>
      <c r="AY567" s="26"/>
      <c r="AZ567" s="26"/>
      <c r="BA567" s="26"/>
      <c r="BB567" s="26"/>
      <c r="BC567" s="26"/>
      <c r="BD567" s="26"/>
      <c r="BE567" s="26"/>
      <c r="BF567" s="26"/>
      <c r="BG567" s="26"/>
      <c r="BH567" s="26"/>
      <c r="BI567" s="26"/>
      <c r="BJ567" s="26"/>
      <c r="BK567" s="26"/>
    </row>
    <row r="568" ht="14.25" customHeight="1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  <c r="AC568" s="26"/>
      <c r="AD568" s="26"/>
      <c r="AE568" s="26"/>
      <c r="AF568" s="26"/>
      <c r="AG568" s="26"/>
      <c r="AH568" s="26"/>
      <c r="AI568" s="26"/>
      <c r="AJ568" s="26"/>
      <c r="AK568" s="26"/>
      <c r="AL568" s="26"/>
      <c r="AM568" s="26"/>
      <c r="AN568" s="26"/>
      <c r="AO568" s="26"/>
      <c r="AP568" s="26"/>
      <c r="AQ568" s="26"/>
      <c r="AR568" s="26"/>
      <c r="AS568" s="26"/>
      <c r="AT568" s="26"/>
      <c r="AU568" s="26"/>
      <c r="AV568" s="26"/>
      <c r="AW568" s="26"/>
      <c r="AX568" s="26"/>
      <c r="AY568" s="26"/>
      <c r="AZ568" s="26"/>
      <c r="BA568" s="26"/>
      <c r="BB568" s="26"/>
      <c r="BC568" s="26"/>
      <c r="BD568" s="26"/>
      <c r="BE568" s="26"/>
      <c r="BF568" s="26"/>
      <c r="BG568" s="26"/>
      <c r="BH568" s="26"/>
      <c r="BI568" s="26"/>
      <c r="BJ568" s="26"/>
      <c r="BK568" s="26"/>
    </row>
    <row r="569" ht="14.25" customHeight="1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A569" s="26"/>
      <c r="AB569" s="26"/>
      <c r="AC569" s="26"/>
      <c r="AD569" s="26"/>
      <c r="AE569" s="26"/>
      <c r="AF569" s="26"/>
      <c r="AG569" s="26"/>
      <c r="AH569" s="26"/>
      <c r="AI569" s="26"/>
      <c r="AJ569" s="26"/>
      <c r="AK569" s="26"/>
      <c r="AL569" s="26"/>
      <c r="AM569" s="26"/>
      <c r="AN569" s="26"/>
      <c r="AO569" s="26"/>
      <c r="AP569" s="26"/>
      <c r="AQ569" s="26"/>
      <c r="AR569" s="26"/>
      <c r="AS569" s="26"/>
      <c r="AT569" s="26"/>
      <c r="AU569" s="26"/>
      <c r="AV569" s="26"/>
      <c r="AW569" s="26"/>
      <c r="AX569" s="26"/>
      <c r="AY569" s="26"/>
      <c r="AZ569" s="26"/>
      <c r="BA569" s="26"/>
      <c r="BB569" s="26"/>
      <c r="BC569" s="26"/>
      <c r="BD569" s="26"/>
      <c r="BE569" s="26"/>
      <c r="BF569" s="26"/>
      <c r="BG569" s="26"/>
      <c r="BH569" s="26"/>
      <c r="BI569" s="26"/>
      <c r="BJ569" s="26"/>
      <c r="BK569" s="26"/>
    </row>
    <row r="570" ht="14.25" customHeight="1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  <c r="AC570" s="26"/>
      <c r="AD570" s="26"/>
      <c r="AE570" s="26"/>
      <c r="AF570" s="26"/>
      <c r="AG570" s="26"/>
      <c r="AH570" s="26"/>
      <c r="AI570" s="26"/>
      <c r="AJ570" s="26"/>
      <c r="AK570" s="26"/>
      <c r="AL570" s="26"/>
      <c r="AM570" s="26"/>
      <c r="AN570" s="26"/>
      <c r="AO570" s="26"/>
      <c r="AP570" s="26"/>
      <c r="AQ570" s="26"/>
      <c r="AR570" s="26"/>
      <c r="AS570" s="26"/>
      <c r="AT570" s="26"/>
      <c r="AU570" s="26"/>
      <c r="AV570" s="26"/>
      <c r="AW570" s="26"/>
      <c r="AX570" s="26"/>
      <c r="AY570" s="26"/>
      <c r="AZ570" s="26"/>
      <c r="BA570" s="26"/>
      <c r="BB570" s="26"/>
      <c r="BC570" s="26"/>
      <c r="BD570" s="26"/>
      <c r="BE570" s="26"/>
      <c r="BF570" s="26"/>
      <c r="BG570" s="26"/>
      <c r="BH570" s="26"/>
      <c r="BI570" s="26"/>
      <c r="BJ570" s="26"/>
      <c r="BK570" s="26"/>
    </row>
    <row r="571" ht="14.25" customHeight="1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  <c r="AC571" s="26"/>
      <c r="AD571" s="26"/>
      <c r="AE571" s="26"/>
      <c r="AF571" s="26"/>
      <c r="AG571" s="26"/>
      <c r="AH571" s="26"/>
      <c r="AI571" s="26"/>
      <c r="AJ571" s="26"/>
      <c r="AK571" s="26"/>
      <c r="AL571" s="26"/>
      <c r="AM571" s="26"/>
      <c r="AN571" s="26"/>
      <c r="AO571" s="26"/>
      <c r="AP571" s="26"/>
      <c r="AQ571" s="26"/>
      <c r="AR571" s="26"/>
      <c r="AS571" s="26"/>
      <c r="AT571" s="26"/>
      <c r="AU571" s="26"/>
      <c r="AV571" s="26"/>
      <c r="AW571" s="26"/>
      <c r="AX571" s="26"/>
      <c r="AY571" s="26"/>
      <c r="AZ571" s="26"/>
      <c r="BA571" s="26"/>
      <c r="BB571" s="26"/>
      <c r="BC571" s="26"/>
      <c r="BD571" s="26"/>
      <c r="BE571" s="26"/>
      <c r="BF571" s="26"/>
      <c r="BG571" s="26"/>
      <c r="BH571" s="26"/>
      <c r="BI571" s="26"/>
      <c r="BJ571" s="26"/>
      <c r="BK571" s="26"/>
    </row>
    <row r="572" ht="14.25" customHeight="1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  <c r="AC572" s="26"/>
      <c r="AD572" s="26"/>
      <c r="AE572" s="26"/>
      <c r="AF572" s="26"/>
      <c r="AG572" s="26"/>
      <c r="AH572" s="26"/>
      <c r="AI572" s="26"/>
      <c r="AJ572" s="26"/>
      <c r="AK572" s="26"/>
      <c r="AL572" s="26"/>
      <c r="AM572" s="26"/>
      <c r="AN572" s="26"/>
      <c r="AO572" s="26"/>
      <c r="AP572" s="26"/>
      <c r="AQ572" s="26"/>
      <c r="AR572" s="26"/>
      <c r="AS572" s="26"/>
      <c r="AT572" s="26"/>
      <c r="AU572" s="26"/>
      <c r="AV572" s="26"/>
      <c r="AW572" s="26"/>
      <c r="AX572" s="26"/>
      <c r="AY572" s="26"/>
      <c r="AZ572" s="26"/>
      <c r="BA572" s="26"/>
      <c r="BB572" s="26"/>
      <c r="BC572" s="26"/>
      <c r="BD572" s="26"/>
      <c r="BE572" s="26"/>
      <c r="BF572" s="26"/>
      <c r="BG572" s="26"/>
      <c r="BH572" s="26"/>
      <c r="BI572" s="26"/>
      <c r="BJ572" s="26"/>
      <c r="BK572" s="26"/>
    </row>
    <row r="573" ht="14.25" customHeight="1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26"/>
      <c r="AB573" s="26"/>
      <c r="AC573" s="26"/>
      <c r="AD573" s="26"/>
      <c r="AE573" s="26"/>
      <c r="AF573" s="26"/>
      <c r="AG573" s="26"/>
      <c r="AH573" s="26"/>
      <c r="AI573" s="26"/>
      <c r="AJ573" s="26"/>
      <c r="AK573" s="26"/>
      <c r="AL573" s="26"/>
      <c r="AM573" s="26"/>
      <c r="AN573" s="26"/>
      <c r="AO573" s="26"/>
      <c r="AP573" s="26"/>
      <c r="AQ573" s="26"/>
      <c r="AR573" s="26"/>
      <c r="AS573" s="26"/>
      <c r="AT573" s="26"/>
      <c r="AU573" s="26"/>
      <c r="AV573" s="26"/>
      <c r="AW573" s="26"/>
      <c r="AX573" s="26"/>
      <c r="AY573" s="26"/>
      <c r="AZ573" s="26"/>
      <c r="BA573" s="26"/>
      <c r="BB573" s="26"/>
      <c r="BC573" s="26"/>
      <c r="BD573" s="26"/>
      <c r="BE573" s="26"/>
      <c r="BF573" s="26"/>
      <c r="BG573" s="26"/>
      <c r="BH573" s="26"/>
      <c r="BI573" s="26"/>
      <c r="BJ573" s="26"/>
      <c r="BK573" s="26"/>
    </row>
    <row r="574" ht="14.25" customHeight="1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  <c r="AC574" s="26"/>
      <c r="AD574" s="26"/>
      <c r="AE574" s="26"/>
      <c r="AF574" s="26"/>
      <c r="AG574" s="26"/>
      <c r="AH574" s="26"/>
      <c r="AI574" s="26"/>
      <c r="AJ574" s="26"/>
      <c r="AK574" s="26"/>
      <c r="AL574" s="26"/>
      <c r="AM574" s="26"/>
      <c r="AN574" s="26"/>
      <c r="AO574" s="26"/>
      <c r="AP574" s="26"/>
      <c r="AQ574" s="26"/>
      <c r="AR574" s="26"/>
      <c r="AS574" s="26"/>
      <c r="AT574" s="26"/>
      <c r="AU574" s="26"/>
      <c r="AV574" s="26"/>
      <c r="AW574" s="26"/>
      <c r="AX574" s="26"/>
      <c r="AY574" s="26"/>
      <c r="AZ574" s="26"/>
      <c r="BA574" s="26"/>
      <c r="BB574" s="26"/>
      <c r="BC574" s="26"/>
      <c r="BD574" s="26"/>
      <c r="BE574" s="26"/>
      <c r="BF574" s="26"/>
      <c r="BG574" s="26"/>
      <c r="BH574" s="26"/>
      <c r="BI574" s="26"/>
      <c r="BJ574" s="26"/>
      <c r="BK574" s="26"/>
    </row>
    <row r="575" ht="14.25" customHeight="1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26"/>
      <c r="AB575" s="26"/>
      <c r="AC575" s="26"/>
      <c r="AD575" s="26"/>
      <c r="AE575" s="26"/>
      <c r="AF575" s="26"/>
      <c r="AG575" s="26"/>
      <c r="AH575" s="26"/>
      <c r="AI575" s="26"/>
      <c r="AJ575" s="26"/>
      <c r="AK575" s="26"/>
      <c r="AL575" s="26"/>
      <c r="AM575" s="26"/>
      <c r="AN575" s="26"/>
      <c r="AO575" s="26"/>
      <c r="AP575" s="26"/>
      <c r="AQ575" s="26"/>
      <c r="AR575" s="26"/>
      <c r="AS575" s="26"/>
      <c r="AT575" s="26"/>
      <c r="AU575" s="26"/>
      <c r="AV575" s="26"/>
      <c r="AW575" s="26"/>
      <c r="AX575" s="26"/>
      <c r="AY575" s="26"/>
      <c r="AZ575" s="26"/>
      <c r="BA575" s="26"/>
      <c r="BB575" s="26"/>
      <c r="BC575" s="26"/>
      <c r="BD575" s="26"/>
      <c r="BE575" s="26"/>
      <c r="BF575" s="26"/>
      <c r="BG575" s="26"/>
      <c r="BH575" s="26"/>
      <c r="BI575" s="26"/>
      <c r="BJ575" s="26"/>
      <c r="BK575" s="26"/>
    </row>
    <row r="576" ht="14.25" customHeight="1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  <c r="AC576" s="26"/>
      <c r="AD576" s="26"/>
      <c r="AE576" s="26"/>
      <c r="AF576" s="26"/>
      <c r="AG576" s="26"/>
      <c r="AH576" s="26"/>
      <c r="AI576" s="26"/>
      <c r="AJ576" s="26"/>
      <c r="AK576" s="26"/>
      <c r="AL576" s="26"/>
      <c r="AM576" s="26"/>
      <c r="AN576" s="26"/>
      <c r="AO576" s="26"/>
      <c r="AP576" s="26"/>
      <c r="AQ576" s="26"/>
      <c r="AR576" s="26"/>
      <c r="AS576" s="26"/>
      <c r="AT576" s="26"/>
      <c r="AU576" s="26"/>
      <c r="AV576" s="26"/>
      <c r="AW576" s="26"/>
      <c r="AX576" s="26"/>
      <c r="AY576" s="26"/>
      <c r="AZ576" s="26"/>
      <c r="BA576" s="26"/>
      <c r="BB576" s="26"/>
      <c r="BC576" s="26"/>
      <c r="BD576" s="26"/>
      <c r="BE576" s="26"/>
      <c r="BF576" s="26"/>
      <c r="BG576" s="26"/>
      <c r="BH576" s="26"/>
      <c r="BI576" s="26"/>
      <c r="BJ576" s="26"/>
      <c r="BK576" s="26"/>
    </row>
    <row r="577" ht="14.25" customHeight="1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  <c r="AA577" s="26"/>
      <c r="AB577" s="26"/>
      <c r="AC577" s="26"/>
      <c r="AD577" s="26"/>
      <c r="AE577" s="26"/>
      <c r="AF577" s="26"/>
      <c r="AG577" s="26"/>
      <c r="AH577" s="26"/>
      <c r="AI577" s="26"/>
      <c r="AJ577" s="26"/>
      <c r="AK577" s="26"/>
      <c r="AL577" s="26"/>
      <c r="AM577" s="26"/>
      <c r="AN577" s="26"/>
      <c r="AO577" s="26"/>
      <c r="AP577" s="26"/>
      <c r="AQ577" s="26"/>
      <c r="AR577" s="26"/>
      <c r="AS577" s="26"/>
      <c r="AT577" s="26"/>
      <c r="AU577" s="26"/>
      <c r="AV577" s="26"/>
      <c r="AW577" s="26"/>
      <c r="AX577" s="26"/>
      <c r="AY577" s="26"/>
      <c r="AZ577" s="26"/>
      <c r="BA577" s="26"/>
      <c r="BB577" s="26"/>
      <c r="BC577" s="26"/>
      <c r="BD577" s="26"/>
      <c r="BE577" s="26"/>
      <c r="BF577" s="26"/>
      <c r="BG577" s="26"/>
      <c r="BH577" s="26"/>
      <c r="BI577" s="26"/>
      <c r="BJ577" s="26"/>
      <c r="BK577" s="26"/>
    </row>
    <row r="578" ht="14.25" customHeight="1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  <c r="AC578" s="26"/>
      <c r="AD578" s="26"/>
      <c r="AE578" s="26"/>
      <c r="AF578" s="26"/>
      <c r="AG578" s="26"/>
      <c r="AH578" s="26"/>
      <c r="AI578" s="26"/>
      <c r="AJ578" s="26"/>
      <c r="AK578" s="26"/>
      <c r="AL578" s="26"/>
      <c r="AM578" s="26"/>
      <c r="AN578" s="26"/>
      <c r="AO578" s="26"/>
      <c r="AP578" s="26"/>
      <c r="AQ578" s="26"/>
      <c r="AR578" s="26"/>
      <c r="AS578" s="26"/>
      <c r="AT578" s="26"/>
      <c r="AU578" s="26"/>
      <c r="AV578" s="26"/>
      <c r="AW578" s="26"/>
      <c r="AX578" s="26"/>
      <c r="AY578" s="26"/>
      <c r="AZ578" s="26"/>
      <c r="BA578" s="26"/>
      <c r="BB578" s="26"/>
      <c r="BC578" s="26"/>
      <c r="BD578" s="26"/>
      <c r="BE578" s="26"/>
      <c r="BF578" s="26"/>
      <c r="BG578" s="26"/>
      <c r="BH578" s="26"/>
      <c r="BI578" s="26"/>
      <c r="BJ578" s="26"/>
      <c r="BK578" s="26"/>
    </row>
    <row r="579" ht="14.25" customHeight="1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  <c r="AC579" s="26"/>
      <c r="AD579" s="26"/>
      <c r="AE579" s="26"/>
      <c r="AF579" s="26"/>
      <c r="AG579" s="26"/>
      <c r="AH579" s="26"/>
      <c r="AI579" s="26"/>
      <c r="AJ579" s="26"/>
      <c r="AK579" s="26"/>
      <c r="AL579" s="26"/>
      <c r="AM579" s="26"/>
      <c r="AN579" s="26"/>
      <c r="AO579" s="26"/>
      <c r="AP579" s="26"/>
      <c r="AQ579" s="26"/>
      <c r="AR579" s="26"/>
      <c r="AS579" s="26"/>
      <c r="AT579" s="26"/>
      <c r="AU579" s="26"/>
      <c r="AV579" s="26"/>
      <c r="AW579" s="26"/>
      <c r="AX579" s="26"/>
      <c r="AY579" s="26"/>
      <c r="AZ579" s="26"/>
      <c r="BA579" s="26"/>
      <c r="BB579" s="26"/>
      <c r="BC579" s="26"/>
      <c r="BD579" s="26"/>
      <c r="BE579" s="26"/>
      <c r="BF579" s="26"/>
      <c r="BG579" s="26"/>
      <c r="BH579" s="26"/>
      <c r="BI579" s="26"/>
      <c r="BJ579" s="26"/>
      <c r="BK579" s="26"/>
    </row>
    <row r="580" ht="14.25" customHeight="1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  <c r="AC580" s="26"/>
      <c r="AD580" s="26"/>
      <c r="AE580" s="26"/>
      <c r="AF580" s="26"/>
      <c r="AG580" s="26"/>
      <c r="AH580" s="26"/>
      <c r="AI580" s="26"/>
      <c r="AJ580" s="26"/>
      <c r="AK580" s="26"/>
      <c r="AL580" s="26"/>
      <c r="AM580" s="26"/>
      <c r="AN580" s="26"/>
      <c r="AO580" s="26"/>
      <c r="AP580" s="26"/>
      <c r="AQ580" s="26"/>
      <c r="AR580" s="26"/>
      <c r="AS580" s="26"/>
      <c r="AT580" s="26"/>
      <c r="AU580" s="26"/>
      <c r="AV580" s="26"/>
      <c r="AW580" s="26"/>
      <c r="AX580" s="26"/>
      <c r="AY580" s="26"/>
      <c r="AZ580" s="26"/>
      <c r="BA580" s="26"/>
      <c r="BB580" s="26"/>
      <c r="BC580" s="26"/>
      <c r="BD580" s="26"/>
      <c r="BE580" s="26"/>
      <c r="BF580" s="26"/>
      <c r="BG580" s="26"/>
      <c r="BH580" s="26"/>
      <c r="BI580" s="26"/>
      <c r="BJ580" s="26"/>
      <c r="BK580" s="26"/>
    </row>
    <row r="581" ht="14.25" customHeight="1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  <c r="AC581" s="26"/>
      <c r="AD581" s="26"/>
      <c r="AE581" s="26"/>
      <c r="AF581" s="26"/>
      <c r="AG581" s="26"/>
      <c r="AH581" s="26"/>
      <c r="AI581" s="26"/>
      <c r="AJ581" s="26"/>
      <c r="AK581" s="26"/>
      <c r="AL581" s="26"/>
      <c r="AM581" s="26"/>
      <c r="AN581" s="26"/>
      <c r="AO581" s="26"/>
      <c r="AP581" s="26"/>
      <c r="AQ581" s="26"/>
      <c r="AR581" s="26"/>
      <c r="AS581" s="26"/>
      <c r="AT581" s="26"/>
      <c r="AU581" s="26"/>
      <c r="AV581" s="26"/>
      <c r="AW581" s="26"/>
      <c r="AX581" s="26"/>
      <c r="AY581" s="26"/>
      <c r="AZ581" s="26"/>
      <c r="BA581" s="26"/>
      <c r="BB581" s="26"/>
      <c r="BC581" s="26"/>
      <c r="BD581" s="26"/>
      <c r="BE581" s="26"/>
      <c r="BF581" s="26"/>
      <c r="BG581" s="26"/>
      <c r="BH581" s="26"/>
      <c r="BI581" s="26"/>
      <c r="BJ581" s="26"/>
      <c r="BK581" s="26"/>
    </row>
    <row r="582" ht="14.25" customHeight="1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  <c r="AC582" s="26"/>
      <c r="AD582" s="26"/>
      <c r="AE582" s="26"/>
      <c r="AF582" s="26"/>
      <c r="AG582" s="26"/>
      <c r="AH582" s="26"/>
      <c r="AI582" s="26"/>
      <c r="AJ582" s="26"/>
      <c r="AK582" s="26"/>
      <c r="AL582" s="26"/>
      <c r="AM582" s="26"/>
      <c r="AN582" s="26"/>
      <c r="AO582" s="26"/>
      <c r="AP582" s="26"/>
      <c r="AQ582" s="26"/>
      <c r="AR582" s="26"/>
      <c r="AS582" s="26"/>
      <c r="AT582" s="26"/>
      <c r="AU582" s="26"/>
      <c r="AV582" s="26"/>
      <c r="AW582" s="26"/>
      <c r="AX582" s="26"/>
      <c r="AY582" s="26"/>
      <c r="AZ582" s="26"/>
      <c r="BA582" s="26"/>
      <c r="BB582" s="26"/>
      <c r="BC582" s="26"/>
      <c r="BD582" s="26"/>
      <c r="BE582" s="26"/>
      <c r="BF582" s="26"/>
      <c r="BG582" s="26"/>
      <c r="BH582" s="26"/>
      <c r="BI582" s="26"/>
      <c r="BJ582" s="26"/>
      <c r="BK582" s="26"/>
    </row>
    <row r="583" ht="14.25" customHeight="1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  <c r="AB583" s="26"/>
      <c r="AC583" s="26"/>
      <c r="AD583" s="26"/>
      <c r="AE583" s="26"/>
      <c r="AF583" s="26"/>
      <c r="AG583" s="26"/>
      <c r="AH583" s="26"/>
      <c r="AI583" s="26"/>
      <c r="AJ583" s="26"/>
      <c r="AK583" s="26"/>
      <c r="AL583" s="26"/>
      <c r="AM583" s="26"/>
      <c r="AN583" s="26"/>
      <c r="AO583" s="26"/>
      <c r="AP583" s="26"/>
      <c r="AQ583" s="26"/>
      <c r="AR583" s="26"/>
      <c r="AS583" s="26"/>
      <c r="AT583" s="26"/>
      <c r="AU583" s="26"/>
      <c r="AV583" s="26"/>
      <c r="AW583" s="26"/>
      <c r="AX583" s="26"/>
      <c r="AY583" s="26"/>
      <c r="AZ583" s="26"/>
      <c r="BA583" s="26"/>
      <c r="BB583" s="26"/>
      <c r="BC583" s="26"/>
      <c r="BD583" s="26"/>
      <c r="BE583" s="26"/>
      <c r="BF583" s="26"/>
      <c r="BG583" s="26"/>
      <c r="BH583" s="26"/>
      <c r="BI583" s="26"/>
      <c r="BJ583" s="26"/>
      <c r="BK583" s="26"/>
    </row>
    <row r="584" ht="14.25" customHeight="1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  <c r="AC584" s="26"/>
      <c r="AD584" s="26"/>
      <c r="AE584" s="26"/>
      <c r="AF584" s="26"/>
      <c r="AG584" s="26"/>
      <c r="AH584" s="26"/>
      <c r="AI584" s="26"/>
      <c r="AJ584" s="26"/>
      <c r="AK584" s="26"/>
      <c r="AL584" s="26"/>
      <c r="AM584" s="26"/>
      <c r="AN584" s="26"/>
      <c r="AO584" s="26"/>
      <c r="AP584" s="26"/>
      <c r="AQ584" s="26"/>
      <c r="AR584" s="26"/>
      <c r="AS584" s="26"/>
      <c r="AT584" s="26"/>
      <c r="AU584" s="26"/>
      <c r="AV584" s="26"/>
      <c r="AW584" s="26"/>
      <c r="AX584" s="26"/>
      <c r="AY584" s="26"/>
      <c r="AZ584" s="26"/>
      <c r="BA584" s="26"/>
      <c r="BB584" s="26"/>
      <c r="BC584" s="26"/>
      <c r="BD584" s="26"/>
      <c r="BE584" s="26"/>
      <c r="BF584" s="26"/>
      <c r="BG584" s="26"/>
      <c r="BH584" s="26"/>
      <c r="BI584" s="26"/>
      <c r="BJ584" s="26"/>
      <c r="BK584" s="26"/>
    </row>
    <row r="585" ht="14.25" customHeight="1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/>
      <c r="AB585" s="26"/>
      <c r="AC585" s="26"/>
      <c r="AD585" s="26"/>
      <c r="AE585" s="26"/>
      <c r="AF585" s="26"/>
      <c r="AG585" s="26"/>
      <c r="AH585" s="26"/>
      <c r="AI585" s="26"/>
      <c r="AJ585" s="26"/>
      <c r="AK585" s="26"/>
      <c r="AL585" s="26"/>
      <c r="AM585" s="26"/>
      <c r="AN585" s="26"/>
      <c r="AO585" s="26"/>
      <c r="AP585" s="26"/>
      <c r="AQ585" s="26"/>
      <c r="AR585" s="26"/>
      <c r="AS585" s="26"/>
      <c r="AT585" s="26"/>
      <c r="AU585" s="26"/>
      <c r="AV585" s="26"/>
      <c r="AW585" s="26"/>
      <c r="AX585" s="26"/>
      <c r="AY585" s="26"/>
      <c r="AZ585" s="26"/>
      <c r="BA585" s="26"/>
      <c r="BB585" s="26"/>
      <c r="BC585" s="26"/>
      <c r="BD585" s="26"/>
      <c r="BE585" s="26"/>
      <c r="BF585" s="26"/>
      <c r="BG585" s="26"/>
      <c r="BH585" s="26"/>
      <c r="BI585" s="26"/>
      <c r="BJ585" s="26"/>
      <c r="BK585" s="26"/>
    </row>
    <row r="586" ht="14.25" customHeight="1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  <c r="AC586" s="26"/>
      <c r="AD586" s="26"/>
      <c r="AE586" s="26"/>
      <c r="AF586" s="26"/>
      <c r="AG586" s="26"/>
      <c r="AH586" s="26"/>
      <c r="AI586" s="26"/>
      <c r="AJ586" s="26"/>
      <c r="AK586" s="26"/>
      <c r="AL586" s="26"/>
      <c r="AM586" s="26"/>
      <c r="AN586" s="26"/>
      <c r="AO586" s="26"/>
      <c r="AP586" s="26"/>
      <c r="AQ586" s="26"/>
      <c r="AR586" s="26"/>
      <c r="AS586" s="26"/>
      <c r="AT586" s="26"/>
      <c r="AU586" s="26"/>
      <c r="AV586" s="26"/>
      <c r="AW586" s="26"/>
      <c r="AX586" s="26"/>
      <c r="AY586" s="26"/>
      <c r="AZ586" s="26"/>
      <c r="BA586" s="26"/>
      <c r="BB586" s="26"/>
      <c r="BC586" s="26"/>
      <c r="BD586" s="26"/>
      <c r="BE586" s="26"/>
      <c r="BF586" s="26"/>
      <c r="BG586" s="26"/>
      <c r="BH586" s="26"/>
      <c r="BI586" s="26"/>
      <c r="BJ586" s="26"/>
      <c r="BK586" s="26"/>
    </row>
    <row r="587" ht="14.25" customHeight="1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  <c r="AC587" s="26"/>
      <c r="AD587" s="26"/>
      <c r="AE587" s="26"/>
      <c r="AF587" s="26"/>
      <c r="AG587" s="26"/>
      <c r="AH587" s="26"/>
      <c r="AI587" s="26"/>
      <c r="AJ587" s="26"/>
      <c r="AK587" s="26"/>
      <c r="AL587" s="26"/>
      <c r="AM587" s="26"/>
      <c r="AN587" s="26"/>
      <c r="AO587" s="26"/>
      <c r="AP587" s="26"/>
      <c r="AQ587" s="26"/>
      <c r="AR587" s="26"/>
      <c r="AS587" s="26"/>
      <c r="AT587" s="26"/>
      <c r="AU587" s="26"/>
      <c r="AV587" s="26"/>
      <c r="AW587" s="26"/>
      <c r="AX587" s="26"/>
      <c r="AY587" s="26"/>
      <c r="AZ587" s="26"/>
      <c r="BA587" s="26"/>
      <c r="BB587" s="26"/>
      <c r="BC587" s="26"/>
      <c r="BD587" s="26"/>
      <c r="BE587" s="26"/>
      <c r="BF587" s="26"/>
      <c r="BG587" s="26"/>
      <c r="BH587" s="26"/>
      <c r="BI587" s="26"/>
      <c r="BJ587" s="26"/>
      <c r="BK587" s="26"/>
    </row>
    <row r="588" ht="14.25" customHeight="1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  <c r="AC588" s="26"/>
      <c r="AD588" s="26"/>
      <c r="AE588" s="26"/>
      <c r="AF588" s="26"/>
      <c r="AG588" s="26"/>
      <c r="AH588" s="26"/>
      <c r="AI588" s="26"/>
      <c r="AJ588" s="26"/>
      <c r="AK588" s="26"/>
      <c r="AL588" s="26"/>
      <c r="AM588" s="26"/>
      <c r="AN588" s="26"/>
      <c r="AO588" s="26"/>
      <c r="AP588" s="26"/>
      <c r="AQ588" s="26"/>
      <c r="AR588" s="26"/>
      <c r="AS588" s="26"/>
      <c r="AT588" s="26"/>
      <c r="AU588" s="26"/>
      <c r="AV588" s="26"/>
      <c r="AW588" s="26"/>
      <c r="AX588" s="26"/>
      <c r="AY588" s="26"/>
      <c r="AZ588" s="26"/>
      <c r="BA588" s="26"/>
      <c r="BB588" s="26"/>
      <c r="BC588" s="26"/>
      <c r="BD588" s="26"/>
      <c r="BE588" s="26"/>
      <c r="BF588" s="26"/>
      <c r="BG588" s="26"/>
      <c r="BH588" s="26"/>
      <c r="BI588" s="26"/>
      <c r="BJ588" s="26"/>
      <c r="BK588" s="26"/>
    </row>
    <row r="589" ht="14.25" customHeight="1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/>
      <c r="AB589" s="26"/>
      <c r="AC589" s="26"/>
      <c r="AD589" s="26"/>
      <c r="AE589" s="26"/>
      <c r="AF589" s="26"/>
      <c r="AG589" s="26"/>
      <c r="AH589" s="26"/>
      <c r="AI589" s="26"/>
      <c r="AJ589" s="26"/>
      <c r="AK589" s="26"/>
      <c r="AL589" s="26"/>
      <c r="AM589" s="26"/>
      <c r="AN589" s="26"/>
      <c r="AO589" s="26"/>
      <c r="AP589" s="26"/>
      <c r="AQ589" s="26"/>
      <c r="AR589" s="26"/>
      <c r="AS589" s="26"/>
      <c r="AT589" s="26"/>
      <c r="AU589" s="26"/>
      <c r="AV589" s="26"/>
      <c r="AW589" s="26"/>
      <c r="AX589" s="26"/>
      <c r="AY589" s="26"/>
      <c r="AZ589" s="26"/>
      <c r="BA589" s="26"/>
      <c r="BB589" s="26"/>
      <c r="BC589" s="26"/>
      <c r="BD589" s="26"/>
      <c r="BE589" s="26"/>
      <c r="BF589" s="26"/>
      <c r="BG589" s="26"/>
      <c r="BH589" s="26"/>
      <c r="BI589" s="26"/>
      <c r="BJ589" s="26"/>
      <c r="BK589" s="26"/>
    </row>
    <row r="590" ht="14.25" customHeight="1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  <c r="AC590" s="26"/>
      <c r="AD590" s="26"/>
      <c r="AE590" s="26"/>
      <c r="AF590" s="26"/>
      <c r="AG590" s="26"/>
      <c r="AH590" s="26"/>
      <c r="AI590" s="26"/>
      <c r="AJ590" s="26"/>
      <c r="AK590" s="26"/>
      <c r="AL590" s="26"/>
      <c r="AM590" s="26"/>
      <c r="AN590" s="26"/>
      <c r="AO590" s="26"/>
      <c r="AP590" s="26"/>
      <c r="AQ590" s="26"/>
      <c r="AR590" s="26"/>
      <c r="AS590" s="26"/>
      <c r="AT590" s="26"/>
      <c r="AU590" s="26"/>
      <c r="AV590" s="26"/>
      <c r="AW590" s="26"/>
      <c r="AX590" s="26"/>
      <c r="AY590" s="26"/>
      <c r="AZ590" s="26"/>
      <c r="BA590" s="26"/>
      <c r="BB590" s="26"/>
      <c r="BC590" s="26"/>
      <c r="BD590" s="26"/>
      <c r="BE590" s="26"/>
      <c r="BF590" s="26"/>
      <c r="BG590" s="26"/>
      <c r="BH590" s="26"/>
      <c r="BI590" s="26"/>
      <c r="BJ590" s="26"/>
      <c r="BK590" s="26"/>
    </row>
    <row r="591" ht="14.25" customHeight="1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  <c r="AB591" s="26"/>
      <c r="AC591" s="26"/>
      <c r="AD591" s="26"/>
      <c r="AE591" s="26"/>
      <c r="AF591" s="26"/>
      <c r="AG591" s="26"/>
      <c r="AH591" s="26"/>
      <c r="AI591" s="26"/>
      <c r="AJ591" s="26"/>
      <c r="AK591" s="26"/>
      <c r="AL591" s="26"/>
      <c r="AM591" s="26"/>
      <c r="AN591" s="26"/>
      <c r="AO591" s="26"/>
      <c r="AP591" s="26"/>
      <c r="AQ591" s="26"/>
      <c r="AR591" s="26"/>
      <c r="AS591" s="26"/>
      <c r="AT591" s="26"/>
      <c r="AU591" s="26"/>
      <c r="AV591" s="26"/>
      <c r="AW591" s="26"/>
      <c r="AX591" s="26"/>
      <c r="AY591" s="26"/>
      <c r="AZ591" s="26"/>
      <c r="BA591" s="26"/>
      <c r="BB591" s="26"/>
      <c r="BC591" s="26"/>
      <c r="BD591" s="26"/>
      <c r="BE591" s="26"/>
      <c r="BF591" s="26"/>
      <c r="BG591" s="26"/>
      <c r="BH591" s="26"/>
      <c r="BI591" s="26"/>
      <c r="BJ591" s="26"/>
      <c r="BK591" s="26"/>
    </row>
    <row r="592" ht="14.25" customHeight="1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  <c r="AC592" s="26"/>
      <c r="AD592" s="26"/>
      <c r="AE592" s="26"/>
      <c r="AF592" s="26"/>
      <c r="AG592" s="26"/>
      <c r="AH592" s="26"/>
      <c r="AI592" s="26"/>
      <c r="AJ592" s="26"/>
      <c r="AK592" s="26"/>
      <c r="AL592" s="26"/>
      <c r="AM592" s="26"/>
      <c r="AN592" s="26"/>
      <c r="AO592" s="26"/>
      <c r="AP592" s="26"/>
      <c r="AQ592" s="26"/>
      <c r="AR592" s="26"/>
      <c r="AS592" s="26"/>
      <c r="AT592" s="26"/>
      <c r="AU592" s="26"/>
      <c r="AV592" s="26"/>
      <c r="AW592" s="26"/>
      <c r="AX592" s="26"/>
      <c r="AY592" s="26"/>
      <c r="AZ592" s="26"/>
      <c r="BA592" s="26"/>
      <c r="BB592" s="26"/>
      <c r="BC592" s="26"/>
      <c r="BD592" s="26"/>
      <c r="BE592" s="26"/>
      <c r="BF592" s="26"/>
      <c r="BG592" s="26"/>
      <c r="BH592" s="26"/>
      <c r="BI592" s="26"/>
      <c r="BJ592" s="26"/>
      <c r="BK592" s="26"/>
    </row>
    <row r="593" ht="14.25" customHeight="1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26"/>
      <c r="AB593" s="26"/>
      <c r="AC593" s="26"/>
      <c r="AD593" s="26"/>
      <c r="AE593" s="26"/>
      <c r="AF593" s="26"/>
      <c r="AG593" s="26"/>
      <c r="AH593" s="26"/>
      <c r="AI593" s="26"/>
      <c r="AJ593" s="26"/>
      <c r="AK593" s="26"/>
      <c r="AL593" s="26"/>
      <c r="AM593" s="26"/>
      <c r="AN593" s="26"/>
      <c r="AO593" s="26"/>
      <c r="AP593" s="26"/>
      <c r="AQ593" s="26"/>
      <c r="AR593" s="26"/>
      <c r="AS593" s="26"/>
      <c r="AT593" s="26"/>
      <c r="AU593" s="26"/>
      <c r="AV593" s="26"/>
      <c r="AW593" s="26"/>
      <c r="AX593" s="26"/>
      <c r="AY593" s="26"/>
      <c r="AZ593" s="26"/>
      <c r="BA593" s="26"/>
      <c r="BB593" s="26"/>
      <c r="BC593" s="26"/>
      <c r="BD593" s="26"/>
      <c r="BE593" s="26"/>
      <c r="BF593" s="26"/>
      <c r="BG593" s="26"/>
      <c r="BH593" s="26"/>
      <c r="BI593" s="26"/>
      <c r="BJ593" s="26"/>
      <c r="BK593" s="26"/>
    </row>
    <row r="594" ht="14.25" customHeight="1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  <c r="AC594" s="26"/>
      <c r="AD594" s="26"/>
      <c r="AE594" s="26"/>
      <c r="AF594" s="26"/>
      <c r="AG594" s="26"/>
      <c r="AH594" s="26"/>
      <c r="AI594" s="26"/>
      <c r="AJ594" s="26"/>
      <c r="AK594" s="26"/>
      <c r="AL594" s="26"/>
      <c r="AM594" s="26"/>
      <c r="AN594" s="26"/>
      <c r="AO594" s="26"/>
      <c r="AP594" s="26"/>
      <c r="AQ594" s="26"/>
      <c r="AR594" s="26"/>
      <c r="AS594" s="26"/>
      <c r="AT594" s="26"/>
      <c r="AU594" s="26"/>
      <c r="AV594" s="26"/>
      <c r="AW594" s="26"/>
      <c r="AX594" s="26"/>
      <c r="AY594" s="26"/>
      <c r="AZ594" s="26"/>
      <c r="BA594" s="26"/>
      <c r="BB594" s="26"/>
      <c r="BC594" s="26"/>
      <c r="BD594" s="26"/>
      <c r="BE594" s="26"/>
      <c r="BF594" s="26"/>
      <c r="BG594" s="26"/>
      <c r="BH594" s="26"/>
      <c r="BI594" s="26"/>
      <c r="BJ594" s="26"/>
      <c r="BK594" s="26"/>
    </row>
    <row r="595" ht="14.25" customHeight="1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26"/>
      <c r="AB595" s="26"/>
      <c r="AC595" s="26"/>
      <c r="AD595" s="26"/>
      <c r="AE595" s="26"/>
      <c r="AF595" s="26"/>
      <c r="AG595" s="26"/>
      <c r="AH595" s="26"/>
      <c r="AI595" s="26"/>
      <c r="AJ595" s="26"/>
      <c r="AK595" s="26"/>
      <c r="AL595" s="26"/>
      <c r="AM595" s="26"/>
      <c r="AN595" s="26"/>
      <c r="AO595" s="26"/>
      <c r="AP595" s="26"/>
      <c r="AQ595" s="26"/>
      <c r="AR595" s="26"/>
      <c r="AS595" s="26"/>
      <c r="AT595" s="26"/>
      <c r="AU595" s="26"/>
      <c r="AV595" s="26"/>
      <c r="AW595" s="26"/>
      <c r="AX595" s="26"/>
      <c r="AY595" s="26"/>
      <c r="AZ595" s="26"/>
      <c r="BA595" s="26"/>
      <c r="BB595" s="26"/>
      <c r="BC595" s="26"/>
      <c r="BD595" s="26"/>
      <c r="BE595" s="26"/>
      <c r="BF595" s="26"/>
      <c r="BG595" s="26"/>
      <c r="BH595" s="26"/>
      <c r="BI595" s="26"/>
      <c r="BJ595" s="26"/>
      <c r="BK595" s="26"/>
    </row>
    <row r="596" ht="14.25" customHeight="1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  <c r="AC596" s="26"/>
      <c r="AD596" s="26"/>
      <c r="AE596" s="26"/>
      <c r="AF596" s="26"/>
      <c r="AG596" s="26"/>
      <c r="AH596" s="26"/>
      <c r="AI596" s="26"/>
      <c r="AJ596" s="26"/>
      <c r="AK596" s="26"/>
      <c r="AL596" s="26"/>
      <c r="AM596" s="26"/>
      <c r="AN596" s="26"/>
      <c r="AO596" s="26"/>
      <c r="AP596" s="26"/>
      <c r="AQ596" s="26"/>
      <c r="AR596" s="26"/>
      <c r="AS596" s="26"/>
      <c r="AT596" s="26"/>
      <c r="AU596" s="26"/>
      <c r="AV596" s="26"/>
      <c r="AW596" s="26"/>
      <c r="AX596" s="26"/>
      <c r="AY596" s="26"/>
      <c r="AZ596" s="26"/>
      <c r="BA596" s="26"/>
      <c r="BB596" s="26"/>
      <c r="BC596" s="26"/>
      <c r="BD596" s="26"/>
      <c r="BE596" s="26"/>
      <c r="BF596" s="26"/>
      <c r="BG596" s="26"/>
      <c r="BH596" s="26"/>
      <c r="BI596" s="26"/>
      <c r="BJ596" s="26"/>
      <c r="BK596" s="26"/>
    </row>
    <row r="597" ht="14.25" customHeight="1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  <c r="AC597" s="26"/>
      <c r="AD597" s="26"/>
      <c r="AE597" s="26"/>
      <c r="AF597" s="26"/>
      <c r="AG597" s="26"/>
      <c r="AH597" s="26"/>
      <c r="AI597" s="26"/>
      <c r="AJ597" s="26"/>
      <c r="AK597" s="26"/>
      <c r="AL597" s="26"/>
      <c r="AM597" s="26"/>
      <c r="AN597" s="26"/>
      <c r="AO597" s="26"/>
      <c r="AP597" s="26"/>
      <c r="AQ597" s="26"/>
      <c r="AR597" s="26"/>
      <c r="AS597" s="26"/>
      <c r="AT597" s="26"/>
      <c r="AU597" s="26"/>
      <c r="AV597" s="26"/>
      <c r="AW597" s="26"/>
      <c r="AX597" s="26"/>
      <c r="AY597" s="26"/>
      <c r="AZ597" s="26"/>
      <c r="BA597" s="26"/>
      <c r="BB597" s="26"/>
      <c r="BC597" s="26"/>
      <c r="BD597" s="26"/>
      <c r="BE597" s="26"/>
      <c r="BF597" s="26"/>
      <c r="BG597" s="26"/>
      <c r="BH597" s="26"/>
      <c r="BI597" s="26"/>
      <c r="BJ597" s="26"/>
      <c r="BK597" s="26"/>
    </row>
    <row r="598" ht="14.25" customHeight="1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  <c r="AC598" s="26"/>
      <c r="AD598" s="26"/>
      <c r="AE598" s="26"/>
      <c r="AF598" s="26"/>
      <c r="AG598" s="26"/>
      <c r="AH598" s="26"/>
      <c r="AI598" s="26"/>
      <c r="AJ598" s="26"/>
      <c r="AK598" s="26"/>
      <c r="AL598" s="26"/>
      <c r="AM598" s="26"/>
      <c r="AN598" s="26"/>
      <c r="AO598" s="26"/>
      <c r="AP598" s="26"/>
      <c r="AQ598" s="26"/>
      <c r="AR598" s="26"/>
      <c r="AS598" s="26"/>
      <c r="AT598" s="26"/>
      <c r="AU598" s="26"/>
      <c r="AV598" s="26"/>
      <c r="AW598" s="26"/>
      <c r="AX598" s="26"/>
      <c r="AY598" s="26"/>
      <c r="AZ598" s="26"/>
      <c r="BA598" s="26"/>
      <c r="BB598" s="26"/>
      <c r="BC598" s="26"/>
      <c r="BD598" s="26"/>
      <c r="BE598" s="26"/>
      <c r="BF598" s="26"/>
      <c r="BG598" s="26"/>
      <c r="BH598" s="26"/>
      <c r="BI598" s="26"/>
      <c r="BJ598" s="26"/>
      <c r="BK598" s="26"/>
    </row>
    <row r="599" ht="14.25" customHeight="1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  <c r="AB599" s="26"/>
      <c r="AC599" s="26"/>
      <c r="AD599" s="26"/>
      <c r="AE599" s="26"/>
      <c r="AF599" s="26"/>
      <c r="AG599" s="26"/>
      <c r="AH599" s="26"/>
      <c r="AI599" s="26"/>
      <c r="AJ599" s="26"/>
      <c r="AK599" s="26"/>
      <c r="AL599" s="26"/>
      <c r="AM599" s="26"/>
      <c r="AN599" s="26"/>
      <c r="AO599" s="26"/>
      <c r="AP599" s="26"/>
      <c r="AQ599" s="26"/>
      <c r="AR599" s="26"/>
      <c r="AS599" s="26"/>
      <c r="AT599" s="26"/>
      <c r="AU599" s="26"/>
      <c r="AV599" s="26"/>
      <c r="AW599" s="26"/>
      <c r="AX599" s="26"/>
      <c r="AY599" s="26"/>
      <c r="AZ599" s="26"/>
      <c r="BA599" s="26"/>
      <c r="BB599" s="26"/>
      <c r="BC599" s="26"/>
      <c r="BD599" s="26"/>
      <c r="BE599" s="26"/>
      <c r="BF599" s="26"/>
      <c r="BG599" s="26"/>
      <c r="BH599" s="26"/>
      <c r="BI599" s="26"/>
      <c r="BJ599" s="26"/>
      <c r="BK599" s="26"/>
    </row>
    <row r="600" ht="14.25" customHeight="1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  <c r="AC600" s="26"/>
      <c r="AD600" s="26"/>
      <c r="AE600" s="26"/>
      <c r="AF600" s="26"/>
      <c r="AG600" s="26"/>
      <c r="AH600" s="26"/>
      <c r="AI600" s="26"/>
      <c r="AJ600" s="26"/>
      <c r="AK600" s="26"/>
      <c r="AL600" s="26"/>
      <c r="AM600" s="26"/>
      <c r="AN600" s="26"/>
      <c r="AO600" s="26"/>
      <c r="AP600" s="26"/>
      <c r="AQ600" s="26"/>
      <c r="AR600" s="26"/>
      <c r="AS600" s="26"/>
      <c r="AT600" s="26"/>
      <c r="AU600" s="26"/>
      <c r="AV600" s="26"/>
      <c r="AW600" s="26"/>
      <c r="AX600" s="26"/>
      <c r="AY600" s="26"/>
      <c r="AZ600" s="26"/>
      <c r="BA600" s="26"/>
      <c r="BB600" s="26"/>
      <c r="BC600" s="26"/>
      <c r="BD600" s="26"/>
      <c r="BE600" s="26"/>
      <c r="BF600" s="26"/>
      <c r="BG600" s="26"/>
      <c r="BH600" s="26"/>
      <c r="BI600" s="26"/>
      <c r="BJ600" s="26"/>
      <c r="BK600" s="26"/>
    </row>
    <row r="601" ht="14.25" customHeight="1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26"/>
      <c r="AB601" s="26"/>
      <c r="AC601" s="26"/>
      <c r="AD601" s="26"/>
      <c r="AE601" s="26"/>
      <c r="AF601" s="26"/>
      <c r="AG601" s="26"/>
      <c r="AH601" s="26"/>
      <c r="AI601" s="26"/>
      <c r="AJ601" s="26"/>
      <c r="AK601" s="26"/>
      <c r="AL601" s="26"/>
      <c r="AM601" s="26"/>
      <c r="AN601" s="26"/>
      <c r="AO601" s="26"/>
      <c r="AP601" s="26"/>
      <c r="AQ601" s="26"/>
      <c r="AR601" s="26"/>
      <c r="AS601" s="26"/>
      <c r="AT601" s="26"/>
      <c r="AU601" s="26"/>
      <c r="AV601" s="26"/>
      <c r="AW601" s="26"/>
      <c r="AX601" s="26"/>
      <c r="AY601" s="26"/>
      <c r="AZ601" s="26"/>
      <c r="BA601" s="26"/>
      <c r="BB601" s="26"/>
      <c r="BC601" s="26"/>
      <c r="BD601" s="26"/>
      <c r="BE601" s="26"/>
      <c r="BF601" s="26"/>
      <c r="BG601" s="26"/>
      <c r="BH601" s="26"/>
      <c r="BI601" s="26"/>
      <c r="BJ601" s="26"/>
      <c r="BK601" s="26"/>
    </row>
    <row r="602" ht="14.25" customHeight="1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  <c r="AB602" s="26"/>
      <c r="AC602" s="26"/>
      <c r="AD602" s="26"/>
      <c r="AE602" s="26"/>
      <c r="AF602" s="26"/>
      <c r="AG602" s="26"/>
      <c r="AH602" s="26"/>
      <c r="AI602" s="26"/>
      <c r="AJ602" s="26"/>
      <c r="AK602" s="26"/>
      <c r="AL602" s="26"/>
      <c r="AM602" s="26"/>
      <c r="AN602" s="26"/>
      <c r="AO602" s="26"/>
      <c r="AP602" s="26"/>
      <c r="AQ602" s="26"/>
      <c r="AR602" s="26"/>
      <c r="AS602" s="26"/>
      <c r="AT602" s="26"/>
      <c r="AU602" s="26"/>
      <c r="AV602" s="26"/>
      <c r="AW602" s="26"/>
      <c r="AX602" s="26"/>
      <c r="AY602" s="26"/>
      <c r="AZ602" s="26"/>
      <c r="BA602" s="26"/>
      <c r="BB602" s="26"/>
      <c r="BC602" s="26"/>
      <c r="BD602" s="26"/>
      <c r="BE602" s="26"/>
      <c r="BF602" s="26"/>
      <c r="BG602" s="26"/>
      <c r="BH602" s="26"/>
      <c r="BI602" s="26"/>
      <c r="BJ602" s="26"/>
      <c r="BK602" s="26"/>
    </row>
    <row r="603" ht="14.25" customHeight="1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  <c r="AB603" s="26"/>
      <c r="AC603" s="26"/>
      <c r="AD603" s="26"/>
      <c r="AE603" s="26"/>
      <c r="AF603" s="26"/>
      <c r="AG603" s="26"/>
      <c r="AH603" s="26"/>
      <c r="AI603" s="26"/>
      <c r="AJ603" s="26"/>
      <c r="AK603" s="26"/>
      <c r="AL603" s="26"/>
      <c r="AM603" s="26"/>
      <c r="AN603" s="26"/>
      <c r="AO603" s="26"/>
      <c r="AP603" s="26"/>
      <c r="AQ603" s="26"/>
      <c r="AR603" s="26"/>
      <c r="AS603" s="26"/>
      <c r="AT603" s="26"/>
      <c r="AU603" s="26"/>
      <c r="AV603" s="26"/>
      <c r="AW603" s="26"/>
      <c r="AX603" s="26"/>
      <c r="AY603" s="26"/>
      <c r="AZ603" s="26"/>
      <c r="BA603" s="26"/>
      <c r="BB603" s="26"/>
      <c r="BC603" s="26"/>
      <c r="BD603" s="26"/>
      <c r="BE603" s="26"/>
      <c r="BF603" s="26"/>
      <c r="BG603" s="26"/>
      <c r="BH603" s="26"/>
      <c r="BI603" s="26"/>
      <c r="BJ603" s="26"/>
      <c r="BK603" s="26"/>
    </row>
    <row r="604" ht="14.25" customHeight="1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  <c r="AC604" s="26"/>
      <c r="AD604" s="26"/>
      <c r="AE604" s="26"/>
      <c r="AF604" s="26"/>
      <c r="AG604" s="26"/>
      <c r="AH604" s="26"/>
      <c r="AI604" s="26"/>
      <c r="AJ604" s="26"/>
      <c r="AK604" s="26"/>
      <c r="AL604" s="26"/>
      <c r="AM604" s="26"/>
      <c r="AN604" s="26"/>
      <c r="AO604" s="26"/>
      <c r="AP604" s="26"/>
      <c r="AQ604" s="26"/>
      <c r="AR604" s="26"/>
      <c r="AS604" s="26"/>
      <c r="AT604" s="26"/>
      <c r="AU604" s="26"/>
      <c r="AV604" s="26"/>
      <c r="AW604" s="26"/>
      <c r="AX604" s="26"/>
      <c r="AY604" s="26"/>
      <c r="AZ604" s="26"/>
      <c r="BA604" s="26"/>
      <c r="BB604" s="26"/>
      <c r="BC604" s="26"/>
      <c r="BD604" s="26"/>
      <c r="BE604" s="26"/>
      <c r="BF604" s="26"/>
      <c r="BG604" s="26"/>
      <c r="BH604" s="26"/>
      <c r="BI604" s="26"/>
      <c r="BJ604" s="26"/>
      <c r="BK604" s="26"/>
    </row>
    <row r="605" ht="14.25" customHeight="1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  <c r="AB605" s="26"/>
      <c r="AC605" s="26"/>
      <c r="AD605" s="26"/>
      <c r="AE605" s="26"/>
      <c r="AF605" s="26"/>
      <c r="AG605" s="26"/>
      <c r="AH605" s="26"/>
      <c r="AI605" s="26"/>
      <c r="AJ605" s="26"/>
      <c r="AK605" s="26"/>
      <c r="AL605" s="26"/>
      <c r="AM605" s="26"/>
      <c r="AN605" s="26"/>
      <c r="AO605" s="26"/>
      <c r="AP605" s="26"/>
      <c r="AQ605" s="26"/>
      <c r="AR605" s="26"/>
      <c r="AS605" s="26"/>
      <c r="AT605" s="26"/>
      <c r="AU605" s="26"/>
      <c r="AV605" s="26"/>
      <c r="AW605" s="26"/>
      <c r="AX605" s="26"/>
      <c r="AY605" s="26"/>
      <c r="AZ605" s="26"/>
      <c r="BA605" s="26"/>
      <c r="BB605" s="26"/>
      <c r="BC605" s="26"/>
      <c r="BD605" s="26"/>
      <c r="BE605" s="26"/>
      <c r="BF605" s="26"/>
      <c r="BG605" s="26"/>
      <c r="BH605" s="26"/>
      <c r="BI605" s="26"/>
      <c r="BJ605" s="26"/>
      <c r="BK605" s="26"/>
    </row>
    <row r="606" ht="14.25" customHeight="1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  <c r="AC606" s="26"/>
      <c r="AD606" s="26"/>
      <c r="AE606" s="26"/>
      <c r="AF606" s="26"/>
      <c r="AG606" s="26"/>
      <c r="AH606" s="26"/>
      <c r="AI606" s="26"/>
      <c r="AJ606" s="26"/>
      <c r="AK606" s="26"/>
      <c r="AL606" s="26"/>
      <c r="AM606" s="26"/>
      <c r="AN606" s="26"/>
      <c r="AO606" s="26"/>
      <c r="AP606" s="26"/>
      <c r="AQ606" s="26"/>
      <c r="AR606" s="26"/>
      <c r="AS606" s="26"/>
      <c r="AT606" s="26"/>
      <c r="AU606" s="26"/>
      <c r="AV606" s="26"/>
      <c r="AW606" s="26"/>
      <c r="AX606" s="26"/>
      <c r="AY606" s="26"/>
      <c r="AZ606" s="26"/>
      <c r="BA606" s="26"/>
      <c r="BB606" s="26"/>
      <c r="BC606" s="26"/>
      <c r="BD606" s="26"/>
      <c r="BE606" s="26"/>
      <c r="BF606" s="26"/>
      <c r="BG606" s="26"/>
      <c r="BH606" s="26"/>
      <c r="BI606" s="26"/>
      <c r="BJ606" s="26"/>
      <c r="BK606" s="26"/>
    </row>
    <row r="607" ht="14.25" customHeight="1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/>
      <c r="AB607" s="26"/>
      <c r="AC607" s="26"/>
      <c r="AD607" s="26"/>
      <c r="AE607" s="26"/>
      <c r="AF607" s="26"/>
      <c r="AG607" s="26"/>
      <c r="AH607" s="26"/>
      <c r="AI607" s="26"/>
      <c r="AJ607" s="26"/>
      <c r="AK607" s="26"/>
      <c r="AL607" s="26"/>
      <c r="AM607" s="26"/>
      <c r="AN607" s="26"/>
      <c r="AO607" s="26"/>
      <c r="AP607" s="26"/>
      <c r="AQ607" s="26"/>
      <c r="AR607" s="26"/>
      <c r="AS607" s="26"/>
      <c r="AT607" s="26"/>
      <c r="AU607" s="26"/>
      <c r="AV607" s="26"/>
      <c r="AW607" s="26"/>
      <c r="AX607" s="26"/>
      <c r="AY607" s="26"/>
      <c r="AZ607" s="26"/>
      <c r="BA607" s="26"/>
      <c r="BB607" s="26"/>
      <c r="BC607" s="26"/>
      <c r="BD607" s="26"/>
      <c r="BE607" s="26"/>
      <c r="BF607" s="26"/>
      <c r="BG607" s="26"/>
      <c r="BH607" s="26"/>
      <c r="BI607" s="26"/>
      <c r="BJ607" s="26"/>
      <c r="BK607" s="26"/>
    </row>
    <row r="608" ht="14.25" customHeight="1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  <c r="AC608" s="26"/>
      <c r="AD608" s="26"/>
      <c r="AE608" s="26"/>
      <c r="AF608" s="26"/>
      <c r="AG608" s="26"/>
      <c r="AH608" s="26"/>
      <c r="AI608" s="26"/>
      <c r="AJ608" s="26"/>
      <c r="AK608" s="26"/>
      <c r="AL608" s="26"/>
      <c r="AM608" s="26"/>
      <c r="AN608" s="26"/>
      <c r="AO608" s="26"/>
      <c r="AP608" s="26"/>
      <c r="AQ608" s="26"/>
      <c r="AR608" s="26"/>
      <c r="AS608" s="26"/>
      <c r="AT608" s="26"/>
      <c r="AU608" s="26"/>
      <c r="AV608" s="26"/>
      <c r="AW608" s="26"/>
      <c r="AX608" s="26"/>
      <c r="AY608" s="26"/>
      <c r="AZ608" s="26"/>
      <c r="BA608" s="26"/>
      <c r="BB608" s="26"/>
      <c r="BC608" s="26"/>
      <c r="BD608" s="26"/>
      <c r="BE608" s="26"/>
      <c r="BF608" s="26"/>
      <c r="BG608" s="26"/>
      <c r="BH608" s="26"/>
      <c r="BI608" s="26"/>
      <c r="BJ608" s="26"/>
      <c r="BK608" s="26"/>
    </row>
    <row r="609" ht="14.25" customHeight="1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  <c r="AA609" s="26"/>
      <c r="AB609" s="26"/>
      <c r="AC609" s="26"/>
      <c r="AD609" s="26"/>
      <c r="AE609" s="26"/>
      <c r="AF609" s="26"/>
      <c r="AG609" s="26"/>
      <c r="AH609" s="26"/>
      <c r="AI609" s="26"/>
      <c r="AJ609" s="26"/>
      <c r="AK609" s="26"/>
      <c r="AL609" s="26"/>
      <c r="AM609" s="26"/>
      <c r="AN609" s="26"/>
      <c r="AO609" s="26"/>
      <c r="AP609" s="26"/>
      <c r="AQ609" s="26"/>
      <c r="AR609" s="26"/>
      <c r="AS609" s="26"/>
      <c r="AT609" s="26"/>
      <c r="AU609" s="26"/>
      <c r="AV609" s="26"/>
      <c r="AW609" s="26"/>
      <c r="AX609" s="26"/>
      <c r="AY609" s="26"/>
      <c r="AZ609" s="26"/>
      <c r="BA609" s="26"/>
      <c r="BB609" s="26"/>
      <c r="BC609" s="26"/>
      <c r="BD609" s="26"/>
      <c r="BE609" s="26"/>
      <c r="BF609" s="26"/>
      <c r="BG609" s="26"/>
      <c r="BH609" s="26"/>
      <c r="BI609" s="26"/>
      <c r="BJ609" s="26"/>
      <c r="BK609" s="26"/>
    </row>
    <row r="610" ht="14.25" customHeight="1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  <c r="AC610" s="26"/>
      <c r="AD610" s="26"/>
      <c r="AE610" s="26"/>
      <c r="AF610" s="26"/>
      <c r="AG610" s="26"/>
      <c r="AH610" s="26"/>
      <c r="AI610" s="26"/>
      <c r="AJ610" s="26"/>
      <c r="AK610" s="26"/>
      <c r="AL610" s="26"/>
      <c r="AM610" s="26"/>
      <c r="AN610" s="26"/>
      <c r="AO610" s="26"/>
      <c r="AP610" s="26"/>
      <c r="AQ610" s="26"/>
      <c r="AR610" s="26"/>
      <c r="AS610" s="26"/>
      <c r="AT610" s="26"/>
      <c r="AU610" s="26"/>
      <c r="AV610" s="26"/>
      <c r="AW610" s="26"/>
      <c r="AX610" s="26"/>
      <c r="AY610" s="26"/>
      <c r="AZ610" s="26"/>
      <c r="BA610" s="26"/>
      <c r="BB610" s="26"/>
      <c r="BC610" s="26"/>
      <c r="BD610" s="26"/>
      <c r="BE610" s="26"/>
      <c r="BF610" s="26"/>
      <c r="BG610" s="26"/>
      <c r="BH610" s="26"/>
      <c r="BI610" s="26"/>
      <c r="BJ610" s="26"/>
      <c r="BK610" s="26"/>
    </row>
    <row r="611" ht="14.25" customHeight="1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A611" s="26"/>
      <c r="AB611" s="26"/>
      <c r="AC611" s="26"/>
      <c r="AD611" s="26"/>
      <c r="AE611" s="26"/>
      <c r="AF611" s="26"/>
      <c r="AG611" s="26"/>
      <c r="AH611" s="26"/>
      <c r="AI611" s="26"/>
      <c r="AJ611" s="26"/>
      <c r="AK611" s="26"/>
      <c r="AL611" s="26"/>
      <c r="AM611" s="26"/>
      <c r="AN611" s="26"/>
      <c r="AO611" s="26"/>
      <c r="AP611" s="26"/>
      <c r="AQ611" s="26"/>
      <c r="AR611" s="26"/>
      <c r="AS611" s="26"/>
      <c r="AT611" s="26"/>
      <c r="AU611" s="26"/>
      <c r="AV611" s="26"/>
      <c r="AW611" s="26"/>
      <c r="AX611" s="26"/>
      <c r="AY611" s="26"/>
      <c r="AZ611" s="26"/>
      <c r="BA611" s="26"/>
      <c r="BB611" s="26"/>
      <c r="BC611" s="26"/>
      <c r="BD611" s="26"/>
      <c r="BE611" s="26"/>
      <c r="BF611" s="26"/>
      <c r="BG611" s="26"/>
      <c r="BH611" s="26"/>
      <c r="BI611" s="26"/>
      <c r="BJ611" s="26"/>
      <c r="BK611" s="26"/>
    </row>
    <row r="612" ht="14.25" customHeight="1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  <c r="AC612" s="26"/>
      <c r="AD612" s="26"/>
      <c r="AE612" s="26"/>
      <c r="AF612" s="26"/>
      <c r="AG612" s="26"/>
      <c r="AH612" s="26"/>
      <c r="AI612" s="26"/>
      <c r="AJ612" s="26"/>
      <c r="AK612" s="26"/>
      <c r="AL612" s="26"/>
      <c r="AM612" s="26"/>
      <c r="AN612" s="26"/>
      <c r="AO612" s="26"/>
      <c r="AP612" s="26"/>
      <c r="AQ612" s="26"/>
      <c r="AR612" s="26"/>
      <c r="AS612" s="26"/>
      <c r="AT612" s="26"/>
      <c r="AU612" s="26"/>
      <c r="AV612" s="26"/>
      <c r="AW612" s="26"/>
      <c r="AX612" s="26"/>
      <c r="AY612" s="26"/>
      <c r="AZ612" s="26"/>
      <c r="BA612" s="26"/>
      <c r="BB612" s="26"/>
      <c r="BC612" s="26"/>
      <c r="BD612" s="26"/>
      <c r="BE612" s="26"/>
      <c r="BF612" s="26"/>
      <c r="BG612" s="26"/>
      <c r="BH612" s="26"/>
      <c r="BI612" s="26"/>
      <c r="BJ612" s="26"/>
      <c r="BK612" s="26"/>
    </row>
    <row r="613" ht="14.25" customHeight="1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26"/>
      <c r="AB613" s="26"/>
      <c r="AC613" s="26"/>
      <c r="AD613" s="26"/>
      <c r="AE613" s="26"/>
      <c r="AF613" s="26"/>
      <c r="AG613" s="26"/>
      <c r="AH613" s="26"/>
      <c r="AI613" s="26"/>
      <c r="AJ613" s="26"/>
      <c r="AK613" s="26"/>
      <c r="AL613" s="26"/>
      <c r="AM613" s="26"/>
      <c r="AN613" s="26"/>
      <c r="AO613" s="26"/>
      <c r="AP613" s="26"/>
      <c r="AQ613" s="26"/>
      <c r="AR613" s="26"/>
      <c r="AS613" s="26"/>
      <c r="AT613" s="26"/>
      <c r="AU613" s="26"/>
      <c r="AV613" s="26"/>
      <c r="AW613" s="26"/>
      <c r="AX613" s="26"/>
      <c r="AY613" s="26"/>
      <c r="AZ613" s="26"/>
      <c r="BA613" s="26"/>
      <c r="BB613" s="26"/>
      <c r="BC613" s="26"/>
      <c r="BD613" s="26"/>
      <c r="BE613" s="26"/>
      <c r="BF613" s="26"/>
      <c r="BG613" s="26"/>
      <c r="BH613" s="26"/>
      <c r="BI613" s="26"/>
      <c r="BJ613" s="26"/>
      <c r="BK613" s="26"/>
    </row>
    <row r="614" ht="14.25" customHeight="1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  <c r="AC614" s="26"/>
      <c r="AD614" s="26"/>
      <c r="AE614" s="26"/>
      <c r="AF614" s="26"/>
      <c r="AG614" s="26"/>
      <c r="AH614" s="26"/>
      <c r="AI614" s="26"/>
      <c r="AJ614" s="26"/>
      <c r="AK614" s="26"/>
      <c r="AL614" s="26"/>
      <c r="AM614" s="26"/>
      <c r="AN614" s="26"/>
      <c r="AO614" s="26"/>
      <c r="AP614" s="26"/>
      <c r="AQ614" s="26"/>
      <c r="AR614" s="26"/>
      <c r="AS614" s="26"/>
      <c r="AT614" s="26"/>
      <c r="AU614" s="26"/>
      <c r="AV614" s="26"/>
      <c r="AW614" s="26"/>
      <c r="AX614" s="26"/>
      <c r="AY614" s="26"/>
      <c r="AZ614" s="26"/>
      <c r="BA614" s="26"/>
      <c r="BB614" s="26"/>
      <c r="BC614" s="26"/>
      <c r="BD614" s="26"/>
      <c r="BE614" s="26"/>
      <c r="BF614" s="26"/>
      <c r="BG614" s="26"/>
      <c r="BH614" s="26"/>
      <c r="BI614" s="26"/>
      <c r="BJ614" s="26"/>
      <c r="BK614" s="26"/>
    </row>
    <row r="615" ht="14.25" customHeight="1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A615" s="26"/>
      <c r="AB615" s="26"/>
      <c r="AC615" s="26"/>
      <c r="AD615" s="26"/>
      <c r="AE615" s="26"/>
      <c r="AF615" s="26"/>
      <c r="AG615" s="26"/>
      <c r="AH615" s="26"/>
      <c r="AI615" s="26"/>
      <c r="AJ615" s="26"/>
      <c r="AK615" s="26"/>
      <c r="AL615" s="26"/>
      <c r="AM615" s="26"/>
      <c r="AN615" s="26"/>
      <c r="AO615" s="26"/>
      <c r="AP615" s="26"/>
      <c r="AQ615" s="26"/>
      <c r="AR615" s="26"/>
      <c r="AS615" s="26"/>
      <c r="AT615" s="26"/>
      <c r="AU615" s="26"/>
      <c r="AV615" s="26"/>
      <c r="AW615" s="26"/>
      <c r="AX615" s="26"/>
      <c r="AY615" s="26"/>
      <c r="AZ615" s="26"/>
      <c r="BA615" s="26"/>
      <c r="BB615" s="26"/>
      <c r="BC615" s="26"/>
      <c r="BD615" s="26"/>
      <c r="BE615" s="26"/>
      <c r="BF615" s="26"/>
      <c r="BG615" s="26"/>
      <c r="BH615" s="26"/>
      <c r="BI615" s="26"/>
      <c r="BJ615" s="26"/>
      <c r="BK615" s="26"/>
    </row>
    <row r="616" ht="14.25" customHeight="1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  <c r="AC616" s="26"/>
      <c r="AD616" s="26"/>
      <c r="AE616" s="26"/>
      <c r="AF616" s="26"/>
      <c r="AG616" s="26"/>
      <c r="AH616" s="26"/>
      <c r="AI616" s="26"/>
      <c r="AJ616" s="26"/>
      <c r="AK616" s="26"/>
      <c r="AL616" s="26"/>
      <c r="AM616" s="26"/>
      <c r="AN616" s="26"/>
      <c r="AO616" s="26"/>
      <c r="AP616" s="26"/>
      <c r="AQ616" s="26"/>
      <c r="AR616" s="26"/>
      <c r="AS616" s="26"/>
      <c r="AT616" s="26"/>
      <c r="AU616" s="26"/>
      <c r="AV616" s="26"/>
      <c r="AW616" s="26"/>
      <c r="AX616" s="26"/>
      <c r="AY616" s="26"/>
      <c r="AZ616" s="26"/>
      <c r="BA616" s="26"/>
      <c r="BB616" s="26"/>
      <c r="BC616" s="26"/>
      <c r="BD616" s="26"/>
      <c r="BE616" s="26"/>
      <c r="BF616" s="26"/>
      <c r="BG616" s="26"/>
      <c r="BH616" s="26"/>
      <c r="BI616" s="26"/>
      <c r="BJ616" s="26"/>
      <c r="BK616" s="26"/>
    </row>
    <row r="617" ht="14.25" customHeight="1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  <c r="AB617" s="26"/>
      <c r="AC617" s="26"/>
      <c r="AD617" s="26"/>
      <c r="AE617" s="26"/>
      <c r="AF617" s="26"/>
      <c r="AG617" s="26"/>
      <c r="AH617" s="26"/>
      <c r="AI617" s="26"/>
      <c r="AJ617" s="26"/>
      <c r="AK617" s="26"/>
      <c r="AL617" s="26"/>
      <c r="AM617" s="26"/>
      <c r="AN617" s="26"/>
      <c r="AO617" s="26"/>
      <c r="AP617" s="26"/>
      <c r="AQ617" s="26"/>
      <c r="AR617" s="26"/>
      <c r="AS617" s="26"/>
      <c r="AT617" s="26"/>
      <c r="AU617" s="26"/>
      <c r="AV617" s="26"/>
      <c r="AW617" s="26"/>
      <c r="AX617" s="26"/>
      <c r="AY617" s="26"/>
      <c r="AZ617" s="26"/>
      <c r="BA617" s="26"/>
      <c r="BB617" s="26"/>
      <c r="BC617" s="26"/>
      <c r="BD617" s="26"/>
      <c r="BE617" s="26"/>
      <c r="BF617" s="26"/>
      <c r="BG617" s="26"/>
      <c r="BH617" s="26"/>
      <c r="BI617" s="26"/>
      <c r="BJ617" s="26"/>
      <c r="BK617" s="26"/>
    </row>
    <row r="618" ht="14.25" customHeight="1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  <c r="AC618" s="26"/>
      <c r="AD618" s="26"/>
      <c r="AE618" s="26"/>
      <c r="AF618" s="26"/>
      <c r="AG618" s="26"/>
      <c r="AH618" s="26"/>
      <c r="AI618" s="26"/>
      <c r="AJ618" s="26"/>
      <c r="AK618" s="26"/>
      <c r="AL618" s="26"/>
      <c r="AM618" s="26"/>
      <c r="AN618" s="26"/>
      <c r="AO618" s="26"/>
      <c r="AP618" s="26"/>
      <c r="AQ618" s="26"/>
      <c r="AR618" s="26"/>
      <c r="AS618" s="26"/>
      <c r="AT618" s="26"/>
      <c r="AU618" s="26"/>
      <c r="AV618" s="26"/>
      <c r="AW618" s="26"/>
      <c r="AX618" s="26"/>
      <c r="AY618" s="26"/>
      <c r="AZ618" s="26"/>
      <c r="BA618" s="26"/>
      <c r="BB618" s="26"/>
      <c r="BC618" s="26"/>
      <c r="BD618" s="26"/>
      <c r="BE618" s="26"/>
      <c r="BF618" s="26"/>
      <c r="BG618" s="26"/>
      <c r="BH618" s="26"/>
      <c r="BI618" s="26"/>
      <c r="BJ618" s="26"/>
      <c r="BK618" s="26"/>
    </row>
    <row r="619" ht="14.25" customHeight="1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  <c r="AB619" s="26"/>
      <c r="AC619" s="26"/>
      <c r="AD619" s="26"/>
      <c r="AE619" s="26"/>
      <c r="AF619" s="26"/>
      <c r="AG619" s="26"/>
      <c r="AH619" s="26"/>
      <c r="AI619" s="26"/>
      <c r="AJ619" s="26"/>
      <c r="AK619" s="26"/>
      <c r="AL619" s="26"/>
      <c r="AM619" s="26"/>
      <c r="AN619" s="26"/>
      <c r="AO619" s="26"/>
      <c r="AP619" s="26"/>
      <c r="AQ619" s="26"/>
      <c r="AR619" s="26"/>
      <c r="AS619" s="26"/>
      <c r="AT619" s="26"/>
      <c r="AU619" s="26"/>
      <c r="AV619" s="26"/>
      <c r="AW619" s="26"/>
      <c r="AX619" s="26"/>
      <c r="AY619" s="26"/>
      <c r="AZ619" s="26"/>
      <c r="BA619" s="26"/>
      <c r="BB619" s="26"/>
      <c r="BC619" s="26"/>
      <c r="BD619" s="26"/>
      <c r="BE619" s="26"/>
      <c r="BF619" s="26"/>
      <c r="BG619" s="26"/>
      <c r="BH619" s="26"/>
      <c r="BI619" s="26"/>
      <c r="BJ619" s="26"/>
      <c r="BK619" s="26"/>
    </row>
    <row r="620" ht="14.25" customHeight="1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  <c r="AC620" s="26"/>
      <c r="AD620" s="26"/>
      <c r="AE620" s="26"/>
      <c r="AF620" s="26"/>
      <c r="AG620" s="26"/>
      <c r="AH620" s="26"/>
      <c r="AI620" s="26"/>
      <c r="AJ620" s="26"/>
      <c r="AK620" s="26"/>
      <c r="AL620" s="26"/>
      <c r="AM620" s="26"/>
      <c r="AN620" s="26"/>
      <c r="AO620" s="26"/>
      <c r="AP620" s="26"/>
      <c r="AQ620" s="26"/>
      <c r="AR620" s="26"/>
      <c r="AS620" s="26"/>
      <c r="AT620" s="26"/>
      <c r="AU620" s="26"/>
      <c r="AV620" s="26"/>
      <c r="AW620" s="26"/>
      <c r="AX620" s="26"/>
      <c r="AY620" s="26"/>
      <c r="AZ620" s="26"/>
      <c r="BA620" s="26"/>
      <c r="BB620" s="26"/>
      <c r="BC620" s="26"/>
      <c r="BD620" s="26"/>
      <c r="BE620" s="26"/>
      <c r="BF620" s="26"/>
      <c r="BG620" s="26"/>
      <c r="BH620" s="26"/>
      <c r="BI620" s="26"/>
      <c r="BJ620" s="26"/>
      <c r="BK620" s="26"/>
    </row>
    <row r="621" ht="14.25" customHeight="1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  <c r="AB621" s="26"/>
      <c r="AC621" s="26"/>
      <c r="AD621" s="26"/>
      <c r="AE621" s="26"/>
      <c r="AF621" s="26"/>
      <c r="AG621" s="26"/>
      <c r="AH621" s="26"/>
      <c r="AI621" s="26"/>
      <c r="AJ621" s="26"/>
      <c r="AK621" s="26"/>
      <c r="AL621" s="26"/>
      <c r="AM621" s="26"/>
      <c r="AN621" s="26"/>
      <c r="AO621" s="26"/>
      <c r="AP621" s="26"/>
      <c r="AQ621" s="26"/>
      <c r="AR621" s="26"/>
      <c r="AS621" s="26"/>
      <c r="AT621" s="26"/>
      <c r="AU621" s="26"/>
      <c r="AV621" s="26"/>
      <c r="AW621" s="26"/>
      <c r="AX621" s="26"/>
      <c r="AY621" s="26"/>
      <c r="AZ621" s="26"/>
      <c r="BA621" s="26"/>
      <c r="BB621" s="26"/>
      <c r="BC621" s="26"/>
      <c r="BD621" s="26"/>
      <c r="BE621" s="26"/>
      <c r="BF621" s="26"/>
      <c r="BG621" s="26"/>
      <c r="BH621" s="26"/>
      <c r="BI621" s="26"/>
      <c r="BJ621" s="26"/>
      <c r="BK621" s="26"/>
    </row>
    <row r="622" ht="14.25" customHeight="1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  <c r="AC622" s="26"/>
      <c r="AD622" s="26"/>
      <c r="AE622" s="26"/>
      <c r="AF622" s="26"/>
      <c r="AG622" s="26"/>
      <c r="AH622" s="26"/>
      <c r="AI622" s="26"/>
      <c r="AJ622" s="26"/>
      <c r="AK622" s="26"/>
      <c r="AL622" s="26"/>
      <c r="AM622" s="26"/>
      <c r="AN622" s="26"/>
      <c r="AO622" s="26"/>
      <c r="AP622" s="26"/>
      <c r="AQ622" s="26"/>
      <c r="AR622" s="26"/>
      <c r="AS622" s="26"/>
      <c r="AT622" s="26"/>
      <c r="AU622" s="26"/>
      <c r="AV622" s="26"/>
      <c r="AW622" s="26"/>
      <c r="AX622" s="26"/>
      <c r="AY622" s="26"/>
      <c r="AZ622" s="26"/>
      <c r="BA622" s="26"/>
      <c r="BB622" s="26"/>
      <c r="BC622" s="26"/>
      <c r="BD622" s="26"/>
      <c r="BE622" s="26"/>
      <c r="BF622" s="26"/>
      <c r="BG622" s="26"/>
      <c r="BH622" s="26"/>
      <c r="BI622" s="26"/>
      <c r="BJ622" s="26"/>
      <c r="BK622" s="26"/>
    </row>
    <row r="623" ht="14.25" customHeight="1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26"/>
      <c r="AB623" s="26"/>
      <c r="AC623" s="26"/>
      <c r="AD623" s="26"/>
      <c r="AE623" s="26"/>
      <c r="AF623" s="26"/>
      <c r="AG623" s="26"/>
      <c r="AH623" s="26"/>
      <c r="AI623" s="26"/>
      <c r="AJ623" s="26"/>
      <c r="AK623" s="26"/>
      <c r="AL623" s="26"/>
      <c r="AM623" s="26"/>
      <c r="AN623" s="26"/>
      <c r="AO623" s="26"/>
      <c r="AP623" s="26"/>
      <c r="AQ623" s="26"/>
      <c r="AR623" s="26"/>
      <c r="AS623" s="26"/>
      <c r="AT623" s="26"/>
      <c r="AU623" s="26"/>
      <c r="AV623" s="26"/>
      <c r="AW623" s="26"/>
      <c r="AX623" s="26"/>
      <c r="AY623" s="26"/>
      <c r="AZ623" s="26"/>
      <c r="BA623" s="26"/>
      <c r="BB623" s="26"/>
      <c r="BC623" s="26"/>
      <c r="BD623" s="26"/>
      <c r="BE623" s="26"/>
      <c r="BF623" s="26"/>
      <c r="BG623" s="26"/>
      <c r="BH623" s="26"/>
      <c r="BI623" s="26"/>
      <c r="BJ623" s="26"/>
      <c r="BK623" s="26"/>
    </row>
    <row r="624" ht="14.25" customHeight="1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  <c r="AC624" s="26"/>
      <c r="AD624" s="26"/>
      <c r="AE624" s="26"/>
      <c r="AF624" s="26"/>
      <c r="AG624" s="26"/>
      <c r="AH624" s="26"/>
      <c r="AI624" s="26"/>
      <c r="AJ624" s="26"/>
      <c r="AK624" s="26"/>
      <c r="AL624" s="26"/>
      <c r="AM624" s="26"/>
      <c r="AN624" s="26"/>
      <c r="AO624" s="26"/>
      <c r="AP624" s="26"/>
      <c r="AQ624" s="26"/>
      <c r="AR624" s="26"/>
      <c r="AS624" s="26"/>
      <c r="AT624" s="26"/>
      <c r="AU624" s="26"/>
      <c r="AV624" s="26"/>
      <c r="AW624" s="26"/>
      <c r="AX624" s="26"/>
      <c r="AY624" s="26"/>
      <c r="AZ624" s="26"/>
      <c r="BA624" s="26"/>
      <c r="BB624" s="26"/>
      <c r="BC624" s="26"/>
      <c r="BD624" s="26"/>
      <c r="BE624" s="26"/>
      <c r="BF624" s="26"/>
      <c r="BG624" s="26"/>
      <c r="BH624" s="26"/>
      <c r="BI624" s="26"/>
      <c r="BJ624" s="26"/>
      <c r="BK624" s="26"/>
    </row>
    <row r="625" ht="14.25" customHeight="1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  <c r="AC625" s="26"/>
      <c r="AD625" s="26"/>
      <c r="AE625" s="26"/>
      <c r="AF625" s="26"/>
      <c r="AG625" s="26"/>
      <c r="AH625" s="26"/>
      <c r="AI625" s="26"/>
      <c r="AJ625" s="26"/>
      <c r="AK625" s="26"/>
      <c r="AL625" s="26"/>
      <c r="AM625" s="26"/>
      <c r="AN625" s="26"/>
      <c r="AO625" s="26"/>
      <c r="AP625" s="26"/>
      <c r="AQ625" s="26"/>
      <c r="AR625" s="26"/>
      <c r="AS625" s="26"/>
      <c r="AT625" s="26"/>
      <c r="AU625" s="26"/>
      <c r="AV625" s="26"/>
      <c r="AW625" s="26"/>
      <c r="AX625" s="26"/>
      <c r="AY625" s="26"/>
      <c r="AZ625" s="26"/>
      <c r="BA625" s="26"/>
      <c r="BB625" s="26"/>
      <c r="BC625" s="26"/>
      <c r="BD625" s="26"/>
      <c r="BE625" s="26"/>
      <c r="BF625" s="26"/>
      <c r="BG625" s="26"/>
      <c r="BH625" s="26"/>
      <c r="BI625" s="26"/>
      <c r="BJ625" s="26"/>
      <c r="BK625" s="26"/>
    </row>
    <row r="626" ht="14.25" customHeight="1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  <c r="AC626" s="26"/>
      <c r="AD626" s="26"/>
      <c r="AE626" s="26"/>
      <c r="AF626" s="26"/>
      <c r="AG626" s="26"/>
      <c r="AH626" s="26"/>
      <c r="AI626" s="26"/>
      <c r="AJ626" s="26"/>
      <c r="AK626" s="26"/>
      <c r="AL626" s="26"/>
      <c r="AM626" s="26"/>
      <c r="AN626" s="26"/>
      <c r="AO626" s="26"/>
      <c r="AP626" s="26"/>
      <c r="AQ626" s="26"/>
      <c r="AR626" s="26"/>
      <c r="AS626" s="26"/>
      <c r="AT626" s="26"/>
      <c r="AU626" s="26"/>
      <c r="AV626" s="26"/>
      <c r="AW626" s="26"/>
      <c r="AX626" s="26"/>
      <c r="AY626" s="26"/>
      <c r="AZ626" s="26"/>
      <c r="BA626" s="26"/>
      <c r="BB626" s="26"/>
      <c r="BC626" s="26"/>
      <c r="BD626" s="26"/>
      <c r="BE626" s="26"/>
      <c r="BF626" s="26"/>
      <c r="BG626" s="26"/>
      <c r="BH626" s="26"/>
      <c r="BI626" s="26"/>
      <c r="BJ626" s="26"/>
      <c r="BK626" s="26"/>
    </row>
    <row r="627" ht="14.25" customHeight="1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  <c r="AC627" s="26"/>
      <c r="AD627" s="26"/>
      <c r="AE627" s="26"/>
      <c r="AF627" s="26"/>
      <c r="AG627" s="26"/>
      <c r="AH627" s="26"/>
      <c r="AI627" s="26"/>
      <c r="AJ627" s="26"/>
      <c r="AK627" s="26"/>
      <c r="AL627" s="26"/>
      <c r="AM627" s="26"/>
      <c r="AN627" s="26"/>
      <c r="AO627" s="26"/>
      <c r="AP627" s="26"/>
      <c r="AQ627" s="26"/>
      <c r="AR627" s="26"/>
      <c r="AS627" s="26"/>
      <c r="AT627" s="26"/>
      <c r="AU627" s="26"/>
      <c r="AV627" s="26"/>
      <c r="AW627" s="26"/>
      <c r="AX627" s="26"/>
      <c r="AY627" s="26"/>
      <c r="AZ627" s="26"/>
      <c r="BA627" s="26"/>
      <c r="BB627" s="26"/>
      <c r="BC627" s="26"/>
      <c r="BD627" s="26"/>
      <c r="BE627" s="26"/>
      <c r="BF627" s="26"/>
      <c r="BG627" s="26"/>
      <c r="BH627" s="26"/>
      <c r="BI627" s="26"/>
      <c r="BJ627" s="26"/>
      <c r="BK627" s="26"/>
    </row>
    <row r="628" ht="14.25" customHeight="1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  <c r="AC628" s="26"/>
      <c r="AD628" s="26"/>
      <c r="AE628" s="26"/>
      <c r="AF628" s="26"/>
      <c r="AG628" s="26"/>
      <c r="AH628" s="26"/>
      <c r="AI628" s="26"/>
      <c r="AJ628" s="26"/>
      <c r="AK628" s="26"/>
      <c r="AL628" s="26"/>
      <c r="AM628" s="26"/>
      <c r="AN628" s="26"/>
      <c r="AO628" s="26"/>
      <c r="AP628" s="26"/>
      <c r="AQ628" s="26"/>
      <c r="AR628" s="26"/>
      <c r="AS628" s="26"/>
      <c r="AT628" s="26"/>
      <c r="AU628" s="26"/>
      <c r="AV628" s="26"/>
      <c r="AW628" s="26"/>
      <c r="AX628" s="26"/>
      <c r="AY628" s="26"/>
      <c r="AZ628" s="26"/>
      <c r="BA628" s="26"/>
      <c r="BB628" s="26"/>
      <c r="BC628" s="26"/>
      <c r="BD628" s="26"/>
      <c r="BE628" s="26"/>
      <c r="BF628" s="26"/>
      <c r="BG628" s="26"/>
      <c r="BH628" s="26"/>
      <c r="BI628" s="26"/>
      <c r="BJ628" s="26"/>
      <c r="BK628" s="26"/>
    </row>
    <row r="629" ht="14.25" customHeight="1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  <c r="AB629" s="26"/>
      <c r="AC629" s="26"/>
      <c r="AD629" s="26"/>
      <c r="AE629" s="26"/>
      <c r="AF629" s="26"/>
      <c r="AG629" s="26"/>
      <c r="AH629" s="26"/>
      <c r="AI629" s="26"/>
      <c r="AJ629" s="26"/>
      <c r="AK629" s="26"/>
      <c r="AL629" s="26"/>
      <c r="AM629" s="26"/>
      <c r="AN629" s="26"/>
      <c r="AO629" s="26"/>
      <c r="AP629" s="26"/>
      <c r="AQ629" s="26"/>
      <c r="AR629" s="26"/>
      <c r="AS629" s="26"/>
      <c r="AT629" s="26"/>
      <c r="AU629" s="26"/>
      <c r="AV629" s="26"/>
      <c r="AW629" s="26"/>
      <c r="AX629" s="26"/>
      <c r="AY629" s="26"/>
      <c r="AZ629" s="26"/>
      <c r="BA629" s="26"/>
      <c r="BB629" s="26"/>
      <c r="BC629" s="26"/>
      <c r="BD629" s="26"/>
      <c r="BE629" s="26"/>
      <c r="BF629" s="26"/>
      <c r="BG629" s="26"/>
      <c r="BH629" s="26"/>
      <c r="BI629" s="26"/>
      <c r="BJ629" s="26"/>
      <c r="BK629" s="26"/>
    </row>
    <row r="630" ht="14.25" customHeight="1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  <c r="AC630" s="26"/>
      <c r="AD630" s="26"/>
      <c r="AE630" s="26"/>
      <c r="AF630" s="26"/>
      <c r="AG630" s="26"/>
      <c r="AH630" s="26"/>
      <c r="AI630" s="26"/>
      <c r="AJ630" s="26"/>
      <c r="AK630" s="26"/>
      <c r="AL630" s="26"/>
      <c r="AM630" s="26"/>
      <c r="AN630" s="26"/>
      <c r="AO630" s="26"/>
      <c r="AP630" s="26"/>
      <c r="AQ630" s="26"/>
      <c r="AR630" s="26"/>
      <c r="AS630" s="26"/>
      <c r="AT630" s="26"/>
      <c r="AU630" s="26"/>
      <c r="AV630" s="26"/>
      <c r="AW630" s="26"/>
      <c r="AX630" s="26"/>
      <c r="AY630" s="26"/>
      <c r="AZ630" s="26"/>
      <c r="BA630" s="26"/>
      <c r="BB630" s="26"/>
      <c r="BC630" s="26"/>
      <c r="BD630" s="26"/>
      <c r="BE630" s="26"/>
      <c r="BF630" s="26"/>
      <c r="BG630" s="26"/>
      <c r="BH630" s="26"/>
      <c r="BI630" s="26"/>
      <c r="BJ630" s="26"/>
      <c r="BK630" s="26"/>
    </row>
    <row r="631" ht="14.25" customHeight="1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A631" s="26"/>
      <c r="AB631" s="26"/>
      <c r="AC631" s="26"/>
      <c r="AD631" s="26"/>
      <c r="AE631" s="26"/>
      <c r="AF631" s="26"/>
      <c r="AG631" s="26"/>
      <c r="AH631" s="26"/>
      <c r="AI631" s="26"/>
      <c r="AJ631" s="26"/>
      <c r="AK631" s="26"/>
      <c r="AL631" s="26"/>
      <c r="AM631" s="26"/>
      <c r="AN631" s="26"/>
      <c r="AO631" s="26"/>
      <c r="AP631" s="26"/>
      <c r="AQ631" s="26"/>
      <c r="AR631" s="26"/>
      <c r="AS631" s="26"/>
      <c r="AT631" s="26"/>
      <c r="AU631" s="26"/>
      <c r="AV631" s="26"/>
      <c r="AW631" s="26"/>
      <c r="AX631" s="26"/>
      <c r="AY631" s="26"/>
      <c r="AZ631" s="26"/>
      <c r="BA631" s="26"/>
      <c r="BB631" s="26"/>
      <c r="BC631" s="26"/>
      <c r="BD631" s="26"/>
      <c r="BE631" s="26"/>
      <c r="BF631" s="26"/>
      <c r="BG631" s="26"/>
      <c r="BH631" s="26"/>
      <c r="BI631" s="26"/>
      <c r="BJ631" s="26"/>
      <c r="BK631" s="26"/>
    </row>
    <row r="632" ht="14.25" customHeight="1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  <c r="AC632" s="26"/>
      <c r="AD632" s="26"/>
      <c r="AE632" s="26"/>
      <c r="AF632" s="26"/>
      <c r="AG632" s="26"/>
      <c r="AH632" s="26"/>
      <c r="AI632" s="26"/>
      <c r="AJ632" s="26"/>
      <c r="AK632" s="26"/>
      <c r="AL632" s="26"/>
      <c r="AM632" s="26"/>
      <c r="AN632" s="26"/>
      <c r="AO632" s="26"/>
      <c r="AP632" s="26"/>
      <c r="AQ632" s="26"/>
      <c r="AR632" s="26"/>
      <c r="AS632" s="26"/>
      <c r="AT632" s="26"/>
      <c r="AU632" s="26"/>
      <c r="AV632" s="26"/>
      <c r="AW632" s="26"/>
      <c r="AX632" s="26"/>
      <c r="AY632" s="26"/>
      <c r="AZ632" s="26"/>
      <c r="BA632" s="26"/>
      <c r="BB632" s="26"/>
      <c r="BC632" s="26"/>
      <c r="BD632" s="26"/>
      <c r="BE632" s="26"/>
      <c r="BF632" s="26"/>
      <c r="BG632" s="26"/>
      <c r="BH632" s="26"/>
      <c r="BI632" s="26"/>
      <c r="BJ632" s="26"/>
      <c r="BK632" s="26"/>
    </row>
    <row r="633" ht="14.25" customHeight="1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26"/>
      <c r="AB633" s="26"/>
      <c r="AC633" s="26"/>
      <c r="AD633" s="26"/>
      <c r="AE633" s="26"/>
      <c r="AF633" s="26"/>
      <c r="AG633" s="26"/>
      <c r="AH633" s="26"/>
      <c r="AI633" s="26"/>
      <c r="AJ633" s="26"/>
      <c r="AK633" s="26"/>
      <c r="AL633" s="26"/>
      <c r="AM633" s="26"/>
      <c r="AN633" s="26"/>
      <c r="AO633" s="26"/>
      <c r="AP633" s="26"/>
      <c r="AQ633" s="26"/>
      <c r="AR633" s="26"/>
      <c r="AS633" s="26"/>
      <c r="AT633" s="26"/>
      <c r="AU633" s="26"/>
      <c r="AV633" s="26"/>
      <c r="AW633" s="26"/>
      <c r="AX633" s="26"/>
      <c r="AY633" s="26"/>
      <c r="AZ633" s="26"/>
      <c r="BA633" s="26"/>
      <c r="BB633" s="26"/>
      <c r="BC633" s="26"/>
      <c r="BD633" s="26"/>
      <c r="BE633" s="26"/>
      <c r="BF633" s="26"/>
      <c r="BG633" s="26"/>
      <c r="BH633" s="26"/>
      <c r="BI633" s="26"/>
      <c r="BJ633" s="26"/>
      <c r="BK633" s="26"/>
    </row>
    <row r="634" ht="14.25" customHeight="1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  <c r="AC634" s="26"/>
      <c r="AD634" s="26"/>
      <c r="AE634" s="26"/>
      <c r="AF634" s="26"/>
      <c r="AG634" s="26"/>
      <c r="AH634" s="26"/>
      <c r="AI634" s="26"/>
      <c r="AJ634" s="26"/>
      <c r="AK634" s="26"/>
      <c r="AL634" s="26"/>
      <c r="AM634" s="26"/>
      <c r="AN634" s="26"/>
      <c r="AO634" s="26"/>
      <c r="AP634" s="26"/>
      <c r="AQ634" s="26"/>
      <c r="AR634" s="26"/>
      <c r="AS634" s="26"/>
      <c r="AT634" s="26"/>
      <c r="AU634" s="26"/>
      <c r="AV634" s="26"/>
      <c r="AW634" s="26"/>
      <c r="AX634" s="26"/>
      <c r="AY634" s="26"/>
      <c r="AZ634" s="26"/>
      <c r="BA634" s="26"/>
      <c r="BB634" s="26"/>
      <c r="BC634" s="26"/>
      <c r="BD634" s="26"/>
      <c r="BE634" s="26"/>
      <c r="BF634" s="26"/>
      <c r="BG634" s="26"/>
      <c r="BH634" s="26"/>
      <c r="BI634" s="26"/>
      <c r="BJ634" s="26"/>
      <c r="BK634" s="26"/>
    </row>
    <row r="635" ht="14.25" customHeight="1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  <c r="AC635" s="26"/>
      <c r="AD635" s="26"/>
      <c r="AE635" s="26"/>
      <c r="AF635" s="26"/>
      <c r="AG635" s="26"/>
      <c r="AH635" s="26"/>
      <c r="AI635" s="26"/>
      <c r="AJ635" s="26"/>
      <c r="AK635" s="26"/>
      <c r="AL635" s="26"/>
      <c r="AM635" s="26"/>
      <c r="AN635" s="26"/>
      <c r="AO635" s="26"/>
      <c r="AP635" s="26"/>
      <c r="AQ635" s="26"/>
      <c r="AR635" s="26"/>
      <c r="AS635" s="26"/>
      <c r="AT635" s="26"/>
      <c r="AU635" s="26"/>
      <c r="AV635" s="26"/>
      <c r="AW635" s="26"/>
      <c r="AX635" s="26"/>
      <c r="AY635" s="26"/>
      <c r="AZ635" s="26"/>
      <c r="BA635" s="26"/>
      <c r="BB635" s="26"/>
      <c r="BC635" s="26"/>
      <c r="BD635" s="26"/>
      <c r="BE635" s="26"/>
      <c r="BF635" s="26"/>
      <c r="BG635" s="26"/>
      <c r="BH635" s="26"/>
      <c r="BI635" s="26"/>
      <c r="BJ635" s="26"/>
      <c r="BK635" s="26"/>
    </row>
    <row r="636" ht="14.25" customHeight="1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  <c r="AC636" s="26"/>
      <c r="AD636" s="26"/>
      <c r="AE636" s="26"/>
      <c r="AF636" s="26"/>
      <c r="AG636" s="26"/>
      <c r="AH636" s="26"/>
      <c r="AI636" s="26"/>
      <c r="AJ636" s="26"/>
      <c r="AK636" s="26"/>
      <c r="AL636" s="26"/>
      <c r="AM636" s="26"/>
      <c r="AN636" s="26"/>
      <c r="AO636" s="26"/>
      <c r="AP636" s="26"/>
      <c r="AQ636" s="26"/>
      <c r="AR636" s="26"/>
      <c r="AS636" s="26"/>
      <c r="AT636" s="26"/>
      <c r="AU636" s="26"/>
      <c r="AV636" s="26"/>
      <c r="AW636" s="26"/>
      <c r="AX636" s="26"/>
      <c r="AY636" s="26"/>
      <c r="AZ636" s="26"/>
      <c r="BA636" s="26"/>
      <c r="BB636" s="26"/>
      <c r="BC636" s="26"/>
      <c r="BD636" s="26"/>
      <c r="BE636" s="26"/>
      <c r="BF636" s="26"/>
      <c r="BG636" s="26"/>
      <c r="BH636" s="26"/>
      <c r="BI636" s="26"/>
      <c r="BJ636" s="26"/>
      <c r="BK636" s="26"/>
    </row>
    <row r="637" ht="14.25" customHeight="1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  <c r="AC637" s="26"/>
      <c r="AD637" s="26"/>
      <c r="AE637" s="26"/>
      <c r="AF637" s="26"/>
      <c r="AG637" s="26"/>
      <c r="AH637" s="26"/>
      <c r="AI637" s="26"/>
      <c r="AJ637" s="26"/>
      <c r="AK637" s="26"/>
      <c r="AL637" s="26"/>
      <c r="AM637" s="26"/>
      <c r="AN637" s="26"/>
      <c r="AO637" s="26"/>
      <c r="AP637" s="26"/>
      <c r="AQ637" s="26"/>
      <c r="AR637" s="26"/>
      <c r="AS637" s="26"/>
      <c r="AT637" s="26"/>
      <c r="AU637" s="26"/>
      <c r="AV637" s="26"/>
      <c r="AW637" s="26"/>
      <c r="AX637" s="26"/>
      <c r="AY637" s="26"/>
      <c r="AZ637" s="26"/>
      <c r="BA637" s="26"/>
      <c r="BB637" s="26"/>
      <c r="BC637" s="26"/>
      <c r="BD637" s="26"/>
      <c r="BE637" s="26"/>
      <c r="BF637" s="26"/>
      <c r="BG637" s="26"/>
      <c r="BH637" s="26"/>
      <c r="BI637" s="26"/>
      <c r="BJ637" s="26"/>
      <c r="BK637" s="26"/>
    </row>
    <row r="638" ht="14.25" customHeight="1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  <c r="AC638" s="26"/>
      <c r="AD638" s="26"/>
      <c r="AE638" s="26"/>
      <c r="AF638" s="26"/>
      <c r="AG638" s="26"/>
      <c r="AH638" s="26"/>
      <c r="AI638" s="26"/>
      <c r="AJ638" s="26"/>
      <c r="AK638" s="26"/>
      <c r="AL638" s="26"/>
      <c r="AM638" s="26"/>
      <c r="AN638" s="26"/>
      <c r="AO638" s="26"/>
      <c r="AP638" s="26"/>
      <c r="AQ638" s="26"/>
      <c r="AR638" s="26"/>
      <c r="AS638" s="26"/>
      <c r="AT638" s="26"/>
      <c r="AU638" s="26"/>
      <c r="AV638" s="26"/>
      <c r="AW638" s="26"/>
      <c r="AX638" s="26"/>
      <c r="AY638" s="26"/>
      <c r="AZ638" s="26"/>
      <c r="BA638" s="26"/>
      <c r="BB638" s="26"/>
      <c r="BC638" s="26"/>
      <c r="BD638" s="26"/>
      <c r="BE638" s="26"/>
      <c r="BF638" s="26"/>
      <c r="BG638" s="26"/>
      <c r="BH638" s="26"/>
      <c r="BI638" s="26"/>
      <c r="BJ638" s="26"/>
      <c r="BK638" s="26"/>
    </row>
    <row r="639" ht="14.25" customHeight="1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  <c r="AC639" s="26"/>
      <c r="AD639" s="26"/>
      <c r="AE639" s="26"/>
      <c r="AF639" s="26"/>
      <c r="AG639" s="26"/>
      <c r="AH639" s="26"/>
      <c r="AI639" s="26"/>
      <c r="AJ639" s="26"/>
      <c r="AK639" s="26"/>
      <c r="AL639" s="26"/>
      <c r="AM639" s="26"/>
      <c r="AN639" s="26"/>
      <c r="AO639" s="26"/>
      <c r="AP639" s="26"/>
      <c r="AQ639" s="26"/>
      <c r="AR639" s="26"/>
      <c r="AS639" s="26"/>
      <c r="AT639" s="26"/>
      <c r="AU639" s="26"/>
      <c r="AV639" s="26"/>
      <c r="AW639" s="26"/>
      <c r="AX639" s="26"/>
      <c r="AY639" s="26"/>
      <c r="AZ639" s="26"/>
      <c r="BA639" s="26"/>
      <c r="BB639" s="26"/>
      <c r="BC639" s="26"/>
      <c r="BD639" s="26"/>
      <c r="BE639" s="26"/>
      <c r="BF639" s="26"/>
      <c r="BG639" s="26"/>
      <c r="BH639" s="26"/>
      <c r="BI639" s="26"/>
      <c r="BJ639" s="26"/>
      <c r="BK639" s="26"/>
    </row>
    <row r="640" ht="14.25" customHeight="1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  <c r="AC640" s="26"/>
      <c r="AD640" s="26"/>
      <c r="AE640" s="26"/>
      <c r="AF640" s="26"/>
      <c r="AG640" s="26"/>
      <c r="AH640" s="26"/>
      <c r="AI640" s="26"/>
      <c r="AJ640" s="26"/>
      <c r="AK640" s="26"/>
      <c r="AL640" s="26"/>
      <c r="AM640" s="26"/>
      <c r="AN640" s="26"/>
      <c r="AO640" s="26"/>
      <c r="AP640" s="26"/>
      <c r="AQ640" s="26"/>
      <c r="AR640" s="26"/>
      <c r="AS640" s="26"/>
      <c r="AT640" s="26"/>
      <c r="AU640" s="26"/>
      <c r="AV640" s="26"/>
      <c r="AW640" s="26"/>
      <c r="AX640" s="26"/>
      <c r="AY640" s="26"/>
      <c r="AZ640" s="26"/>
      <c r="BA640" s="26"/>
      <c r="BB640" s="26"/>
      <c r="BC640" s="26"/>
      <c r="BD640" s="26"/>
      <c r="BE640" s="26"/>
      <c r="BF640" s="26"/>
      <c r="BG640" s="26"/>
      <c r="BH640" s="26"/>
      <c r="BI640" s="26"/>
      <c r="BJ640" s="26"/>
      <c r="BK640" s="26"/>
    </row>
    <row r="641" ht="14.25" customHeight="1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  <c r="AC641" s="26"/>
      <c r="AD641" s="26"/>
      <c r="AE641" s="26"/>
      <c r="AF641" s="26"/>
      <c r="AG641" s="26"/>
      <c r="AH641" s="26"/>
      <c r="AI641" s="26"/>
      <c r="AJ641" s="26"/>
      <c r="AK641" s="26"/>
      <c r="AL641" s="26"/>
      <c r="AM641" s="26"/>
      <c r="AN641" s="26"/>
      <c r="AO641" s="26"/>
      <c r="AP641" s="26"/>
      <c r="AQ641" s="26"/>
      <c r="AR641" s="26"/>
      <c r="AS641" s="26"/>
      <c r="AT641" s="26"/>
      <c r="AU641" s="26"/>
      <c r="AV641" s="26"/>
      <c r="AW641" s="26"/>
      <c r="AX641" s="26"/>
      <c r="AY641" s="26"/>
      <c r="AZ641" s="26"/>
      <c r="BA641" s="26"/>
      <c r="BB641" s="26"/>
      <c r="BC641" s="26"/>
      <c r="BD641" s="26"/>
      <c r="BE641" s="26"/>
      <c r="BF641" s="26"/>
      <c r="BG641" s="26"/>
      <c r="BH641" s="26"/>
      <c r="BI641" s="26"/>
      <c r="BJ641" s="26"/>
      <c r="BK641" s="26"/>
    </row>
    <row r="642" ht="14.25" customHeight="1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  <c r="AC642" s="26"/>
      <c r="AD642" s="26"/>
      <c r="AE642" s="26"/>
      <c r="AF642" s="26"/>
      <c r="AG642" s="26"/>
      <c r="AH642" s="26"/>
      <c r="AI642" s="26"/>
      <c r="AJ642" s="26"/>
      <c r="AK642" s="26"/>
      <c r="AL642" s="26"/>
      <c r="AM642" s="26"/>
      <c r="AN642" s="26"/>
      <c r="AO642" s="26"/>
      <c r="AP642" s="26"/>
      <c r="AQ642" s="26"/>
      <c r="AR642" s="26"/>
      <c r="AS642" s="26"/>
      <c r="AT642" s="26"/>
      <c r="AU642" s="26"/>
      <c r="AV642" s="26"/>
      <c r="AW642" s="26"/>
      <c r="AX642" s="26"/>
      <c r="AY642" s="26"/>
      <c r="AZ642" s="26"/>
      <c r="BA642" s="26"/>
      <c r="BB642" s="26"/>
      <c r="BC642" s="26"/>
      <c r="BD642" s="26"/>
      <c r="BE642" s="26"/>
      <c r="BF642" s="26"/>
      <c r="BG642" s="26"/>
      <c r="BH642" s="26"/>
      <c r="BI642" s="26"/>
      <c r="BJ642" s="26"/>
      <c r="BK642" s="26"/>
    </row>
    <row r="643" ht="14.25" customHeight="1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  <c r="AB643" s="26"/>
      <c r="AC643" s="26"/>
      <c r="AD643" s="26"/>
      <c r="AE643" s="26"/>
      <c r="AF643" s="26"/>
      <c r="AG643" s="26"/>
      <c r="AH643" s="26"/>
      <c r="AI643" s="26"/>
      <c r="AJ643" s="26"/>
      <c r="AK643" s="26"/>
      <c r="AL643" s="26"/>
      <c r="AM643" s="26"/>
      <c r="AN643" s="26"/>
      <c r="AO643" s="26"/>
      <c r="AP643" s="26"/>
      <c r="AQ643" s="26"/>
      <c r="AR643" s="26"/>
      <c r="AS643" s="26"/>
      <c r="AT643" s="26"/>
      <c r="AU643" s="26"/>
      <c r="AV643" s="26"/>
      <c r="AW643" s="26"/>
      <c r="AX643" s="26"/>
      <c r="AY643" s="26"/>
      <c r="AZ643" s="26"/>
      <c r="BA643" s="26"/>
      <c r="BB643" s="26"/>
      <c r="BC643" s="26"/>
      <c r="BD643" s="26"/>
      <c r="BE643" s="26"/>
      <c r="BF643" s="26"/>
      <c r="BG643" s="26"/>
      <c r="BH643" s="26"/>
      <c r="BI643" s="26"/>
      <c r="BJ643" s="26"/>
      <c r="BK643" s="26"/>
    </row>
    <row r="644" ht="14.25" customHeight="1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  <c r="AC644" s="26"/>
      <c r="AD644" s="26"/>
      <c r="AE644" s="26"/>
      <c r="AF644" s="26"/>
      <c r="AG644" s="26"/>
      <c r="AH644" s="26"/>
      <c r="AI644" s="26"/>
      <c r="AJ644" s="26"/>
      <c r="AK644" s="26"/>
      <c r="AL644" s="26"/>
      <c r="AM644" s="26"/>
      <c r="AN644" s="26"/>
      <c r="AO644" s="26"/>
      <c r="AP644" s="26"/>
      <c r="AQ644" s="26"/>
      <c r="AR644" s="26"/>
      <c r="AS644" s="26"/>
      <c r="AT644" s="26"/>
      <c r="AU644" s="26"/>
      <c r="AV644" s="26"/>
      <c r="AW644" s="26"/>
      <c r="AX644" s="26"/>
      <c r="AY644" s="26"/>
      <c r="AZ644" s="26"/>
      <c r="BA644" s="26"/>
      <c r="BB644" s="26"/>
      <c r="BC644" s="26"/>
      <c r="BD644" s="26"/>
      <c r="BE644" s="26"/>
      <c r="BF644" s="26"/>
      <c r="BG644" s="26"/>
      <c r="BH644" s="26"/>
      <c r="BI644" s="26"/>
      <c r="BJ644" s="26"/>
      <c r="BK644" s="26"/>
    </row>
    <row r="645" ht="14.25" customHeight="1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  <c r="AB645" s="26"/>
      <c r="AC645" s="26"/>
      <c r="AD645" s="26"/>
      <c r="AE645" s="26"/>
      <c r="AF645" s="26"/>
      <c r="AG645" s="26"/>
      <c r="AH645" s="26"/>
      <c r="AI645" s="26"/>
      <c r="AJ645" s="26"/>
      <c r="AK645" s="26"/>
      <c r="AL645" s="26"/>
      <c r="AM645" s="26"/>
      <c r="AN645" s="26"/>
      <c r="AO645" s="26"/>
      <c r="AP645" s="26"/>
      <c r="AQ645" s="26"/>
      <c r="AR645" s="26"/>
      <c r="AS645" s="26"/>
      <c r="AT645" s="26"/>
      <c r="AU645" s="26"/>
      <c r="AV645" s="26"/>
      <c r="AW645" s="26"/>
      <c r="AX645" s="26"/>
      <c r="AY645" s="26"/>
      <c r="AZ645" s="26"/>
      <c r="BA645" s="26"/>
      <c r="BB645" s="26"/>
      <c r="BC645" s="26"/>
      <c r="BD645" s="26"/>
      <c r="BE645" s="26"/>
      <c r="BF645" s="26"/>
      <c r="BG645" s="26"/>
      <c r="BH645" s="26"/>
      <c r="BI645" s="26"/>
      <c r="BJ645" s="26"/>
      <c r="BK645" s="26"/>
    </row>
    <row r="646" ht="14.25" customHeight="1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  <c r="AC646" s="26"/>
      <c r="AD646" s="26"/>
      <c r="AE646" s="26"/>
      <c r="AF646" s="26"/>
      <c r="AG646" s="26"/>
      <c r="AH646" s="26"/>
      <c r="AI646" s="26"/>
      <c r="AJ646" s="26"/>
      <c r="AK646" s="26"/>
      <c r="AL646" s="26"/>
      <c r="AM646" s="26"/>
      <c r="AN646" s="26"/>
      <c r="AO646" s="26"/>
      <c r="AP646" s="26"/>
      <c r="AQ646" s="26"/>
      <c r="AR646" s="26"/>
      <c r="AS646" s="26"/>
      <c r="AT646" s="26"/>
      <c r="AU646" s="26"/>
      <c r="AV646" s="26"/>
      <c r="AW646" s="26"/>
      <c r="AX646" s="26"/>
      <c r="AY646" s="26"/>
      <c r="AZ646" s="26"/>
      <c r="BA646" s="26"/>
      <c r="BB646" s="26"/>
      <c r="BC646" s="26"/>
      <c r="BD646" s="26"/>
      <c r="BE646" s="26"/>
      <c r="BF646" s="26"/>
      <c r="BG646" s="26"/>
      <c r="BH646" s="26"/>
      <c r="BI646" s="26"/>
      <c r="BJ646" s="26"/>
      <c r="BK646" s="26"/>
    </row>
    <row r="647" ht="14.25" customHeight="1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  <c r="AB647" s="26"/>
      <c r="AC647" s="26"/>
      <c r="AD647" s="26"/>
      <c r="AE647" s="26"/>
      <c r="AF647" s="26"/>
      <c r="AG647" s="26"/>
      <c r="AH647" s="26"/>
      <c r="AI647" s="26"/>
      <c r="AJ647" s="26"/>
      <c r="AK647" s="26"/>
      <c r="AL647" s="26"/>
      <c r="AM647" s="26"/>
      <c r="AN647" s="26"/>
      <c r="AO647" s="26"/>
      <c r="AP647" s="26"/>
      <c r="AQ647" s="26"/>
      <c r="AR647" s="26"/>
      <c r="AS647" s="26"/>
      <c r="AT647" s="26"/>
      <c r="AU647" s="26"/>
      <c r="AV647" s="26"/>
      <c r="AW647" s="26"/>
      <c r="AX647" s="26"/>
      <c r="AY647" s="26"/>
      <c r="AZ647" s="26"/>
      <c r="BA647" s="26"/>
      <c r="BB647" s="26"/>
      <c r="BC647" s="26"/>
      <c r="BD647" s="26"/>
      <c r="BE647" s="26"/>
      <c r="BF647" s="26"/>
      <c r="BG647" s="26"/>
      <c r="BH647" s="26"/>
      <c r="BI647" s="26"/>
      <c r="BJ647" s="26"/>
      <c r="BK647" s="26"/>
    </row>
    <row r="648" ht="14.25" customHeight="1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  <c r="AC648" s="26"/>
      <c r="AD648" s="26"/>
      <c r="AE648" s="26"/>
      <c r="AF648" s="26"/>
      <c r="AG648" s="26"/>
      <c r="AH648" s="26"/>
      <c r="AI648" s="26"/>
      <c r="AJ648" s="26"/>
      <c r="AK648" s="26"/>
      <c r="AL648" s="26"/>
      <c r="AM648" s="26"/>
      <c r="AN648" s="26"/>
      <c r="AO648" s="26"/>
      <c r="AP648" s="26"/>
      <c r="AQ648" s="26"/>
      <c r="AR648" s="26"/>
      <c r="AS648" s="26"/>
      <c r="AT648" s="26"/>
      <c r="AU648" s="26"/>
      <c r="AV648" s="26"/>
      <c r="AW648" s="26"/>
      <c r="AX648" s="26"/>
      <c r="AY648" s="26"/>
      <c r="AZ648" s="26"/>
      <c r="BA648" s="26"/>
      <c r="BB648" s="26"/>
      <c r="BC648" s="26"/>
      <c r="BD648" s="26"/>
      <c r="BE648" s="26"/>
      <c r="BF648" s="26"/>
      <c r="BG648" s="26"/>
      <c r="BH648" s="26"/>
      <c r="BI648" s="26"/>
      <c r="BJ648" s="26"/>
      <c r="BK648" s="26"/>
    </row>
    <row r="649" ht="14.25" customHeight="1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  <c r="AB649" s="26"/>
      <c r="AC649" s="26"/>
      <c r="AD649" s="26"/>
      <c r="AE649" s="26"/>
      <c r="AF649" s="26"/>
      <c r="AG649" s="26"/>
      <c r="AH649" s="26"/>
      <c r="AI649" s="26"/>
      <c r="AJ649" s="26"/>
      <c r="AK649" s="26"/>
      <c r="AL649" s="26"/>
      <c r="AM649" s="26"/>
      <c r="AN649" s="26"/>
      <c r="AO649" s="26"/>
      <c r="AP649" s="26"/>
      <c r="AQ649" s="26"/>
      <c r="AR649" s="26"/>
      <c r="AS649" s="26"/>
      <c r="AT649" s="26"/>
      <c r="AU649" s="26"/>
      <c r="AV649" s="26"/>
      <c r="AW649" s="26"/>
      <c r="AX649" s="26"/>
      <c r="AY649" s="26"/>
      <c r="AZ649" s="26"/>
      <c r="BA649" s="26"/>
      <c r="BB649" s="26"/>
      <c r="BC649" s="26"/>
      <c r="BD649" s="26"/>
      <c r="BE649" s="26"/>
      <c r="BF649" s="26"/>
      <c r="BG649" s="26"/>
      <c r="BH649" s="26"/>
      <c r="BI649" s="26"/>
      <c r="BJ649" s="26"/>
      <c r="BK649" s="26"/>
    </row>
    <row r="650" ht="14.25" customHeight="1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  <c r="AC650" s="26"/>
      <c r="AD650" s="26"/>
      <c r="AE650" s="26"/>
      <c r="AF650" s="26"/>
      <c r="AG650" s="26"/>
      <c r="AH650" s="26"/>
      <c r="AI650" s="26"/>
      <c r="AJ650" s="26"/>
      <c r="AK650" s="26"/>
      <c r="AL650" s="26"/>
      <c r="AM650" s="26"/>
      <c r="AN650" s="26"/>
      <c r="AO650" s="26"/>
      <c r="AP650" s="26"/>
      <c r="AQ650" s="26"/>
      <c r="AR650" s="26"/>
      <c r="AS650" s="26"/>
      <c r="AT650" s="26"/>
      <c r="AU650" s="26"/>
      <c r="AV650" s="26"/>
      <c r="AW650" s="26"/>
      <c r="AX650" s="26"/>
      <c r="AY650" s="26"/>
      <c r="AZ650" s="26"/>
      <c r="BA650" s="26"/>
      <c r="BB650" s="26"/>
      <c r="BC650" s="26"/>
      <c r="BD650" s="26"/>
      <c r="BE650" s="26"/>
      <c r="BF650" s="26"/>
      <c r="BG650" s="26"/>
      <c r="BH650" s="26"/>
      <c r="BI650" s="26"/>
      <c r="BJ650" s="26"/>
      <c r="BK650" s="26"/>
    </row>
    <row r="651" ht="14.25" customHeight="1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A651" s="26"/>
      <c r="AB651" s="26"/>
      <c r="AC651" s="26"/>
      <c r="AD651" s="26"/>
      <c r="AE651" s="26"/>
      <c r="AF651" s="26"/>
      <c r="AG651" s="26"/>
      <c r="AH651" s="26"/>
      <c r="AI651" s="26"/>
      <c r="AJ651" s="26"/>
      <c r="AK651" s="26"/>
      <c r="AL651" s="26"/>
      <c r="AM651" s="26"/>
      <c r="AN651" s="26"/>
      <c r="AO651" s="26"/>
      <c r="AP651" s="26"/>
      <c r="AQ651" s="26"/>
      <c r="AR651" s="26"/>
      <c r="AS651" s="26"/>
      <c r="AT651" s="26"/>
      <c r="AU651" s="26"/>
      <c r="AV651" s="26"/>
      <c r="AW651" s="26"/>
      <c r="AX651" s="26"/>
      <c r="AY651" s="26"/>
      <c r="AZ651" s="26"/>
      <c r="BA651" s="26"/>
      <c r="BB651" s="26"/>
      <c r="BC651" s="26"/>
      <c r="BD651" s="26"/>
      <c r="BE651" s="26"/>
      <c r="BF651" s="26"/>
      <c r="BG651" s="26"/>
      <c r="BH651" s="26"/>
      <c r="BI651" s="26"/>
      <c r="BJ651" s="26"/>
      <c r="BK651" s="26"/>
    </row>
    <row r="652" ht="14.25" customHeight="1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  <c r="AC652" s="26"/>
      <c r="AD652" s="26"/>
      <c r="AE652" s="26"/>
      <c r="AF652" s="26"/>
      <c r="AG652" s="26"/>
      <c r="AH652" s="26"/>
      <c r="AI652" s="26"/>
      <c r="AJ652" s="26"/>
      <c r="AK652" s="26"/>
      <c r="AL652" s="26"/>
      <c r="AM652" s="26"/>
      <c r="AN652" s="26"/>
      <c r="AO652" s="26"/>
      <c r="AP652" s="26"/>
      <c r="AQ652" s="26"/>
      <c r="AR652" s="26"/>
      <c r="AS652" s="26"/>
      <c r="AT652" s="26"/>
      <c r="AU652" s="26"/>
      <c r="AV652" s="26"/>
      <c r="AW652" s="26"/>
      <c r="AX652" s="26"/>
      <c r="AY652" s="26"/>
      <c r="AZ652" s="26"/>
      <c r="BA652" s="26"/>
      <c r="BB652" s="26"/>
      <c r="BC652" s="26"/>
      <c r="BD652" s="26"/>
      <c r="BE652" s="26"/>
      <c r="BF652" s="26"/>
      <c r="BG652" s="26"/>
      <c r="BH652" s="26"/>
      <c r="BI652" s="26"/>
      <c r="BJ652" s="26"/>
      <c r="BK652" s="26"/>
    </row>
    <row r="653" ht="14.25" customHeight="1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  <c r="AB653" s="26"/>
      <c r="AC653" s="26"/>
      <c r="AD653" s="26"/>
      <c r="AE653" s="26"/>
      <c r="AF653" s="26"/>
      <c r="AG653" s="26"/>
      <c r="AH653" s="26"/>
      <c r="AI653" s="26"/>
      <c r="AJ653" s="26"/>
      <c r="AK653" s="26"/>
      <c r="AL653" s="26"/>
      <c r="AM653" s="26"/>
      <c r="AN653" s="26"/>
      <c r="AO653" s="26"/>
      <c r="AP653" s="26"/>
      <c r="AQ653" s="26"/>
      <c r="AR653" s="26"/>
      <c r="AS653" s="26"/>
      <c r="AT653" s="26"/>
      <c r="AU653" s="26"/>
      <c r="AV653" s="26"/>
      <c r="AW653" s="26"/>
      <c r="AX653" s="26"/>
      <c r="AY653" s="26"/>
      <c r="AZ653" s="26"/>
      <c r="BA653" s="26"/>
      <c r="BB653" s="26"/>
      <c r="BC653" s="26"/>
      <c r="BD653" s="26"/>
      <c r="BE653" s="26"/>
      <c r="BF653" s="26"/>
      <c r="BG653" s="26"/>
      <c r="BH653" s="26"/>
      <c r="BI653" s="26"/>
      <c r="BJ653" s="26"/>
      <c r="BK653" s="26"/>
    </row>
    <row r="654" ht="14.25" customHeight="1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  <c r="AC654" s="26"/>
      <c r="AD654" s="26"/>
      <c r="AE654" s="26"/>
      <c r="AF654" s="26"/>
      <c r="AG654" s="26"/>
      <c r="AH654" s="26"/>
      <c r="AI654" s="26"/>
      <c r="AJ654" s="26"/>
      <c r="AK654" s="26"/>
      <c r="AL654" s="26"/>
      <c r="AM654" s="26"/>
      <c r="AN654" s="26"/>
      <c r="AO654" s="26"/>
      <c r="AP654" s="26"/>
      <c r="AQ654" s="26"/>
      <c r="AR654" s="26"/>
      <c r="AS654" s="26"/>
      <c r="AT654" s="26"/>
      <c r="AU654" s="26"/>
      <c r="AV654" s="26"/>
      <c r="AW654" s="26"/>
      <c r="AX654" s="26"/>
      <c r="AY654" s="26"/>
      <c r="AZ654" s="26"/>
      <c r="BA654" s="26"/>
      <c r="BB654" s="26"/>
      <c r="BC654" s="26"/>
      <c r="BD654" s="26"/>
      <c r="BE654" s="26"/>
      <c r="BF654" s="26"/>
      <c r="BG654" s="26"/>
      <c r="BH654" s="26"/>
      <c r="BI654" s="26"/>
      <c r="BJ654" s="26"/>
      <c r="BK654" s="26"/>
    </row>
    <row r="655" ht="14.25" customHeight="1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  <c r="AB655" s="26"/>
      <c r="AC655" s="26"/>
      <c r="AD655" s="26"/>
      <c r="AE655" s="26"/>
      <c r="AF655" s="26"/>
      <c r="AG655" s="26"/>
      <c r="AH655" s="26"/>
      <c r="AI655" s="26"/>
      <c r="AJ655" s="26"/>
      <c r="AK655" s="26"/>
      <c r="AL655" s="26"/>
      <c r="AM655" s="26"/>
      <c r="AN655" s="26"/>
      <c r="AO655" s="26"/>
      <c r="AP655" s="26"/>
      <c r="AQ655" s="26"/>
      <c r="AR655" s="26"/>
      <c r="AS655" s="26"/>
      <c r="AT655" s="26"/>
      <c r="AU655" s="26"/>
      <c r="AV655" s="26"/>
      <c r="AW655" s="26"/>
      <c r="AX655" s="26"/>
      <c r="AY655" s="26"/>
      <c r="AZ655" s="26"/>
      <c r="BA655" s="26"/>
      <c r="BB655" s="26"/>
      <c r="BC655" s="26"/>
      <c r="BD655" s="26"/>
      <c r="BE655" s="26"/>
      <c r="BF655" s="26"/>
      <c r="BG655" s="26"/>
      <c r="BH655" s="26"/>
      <c r="BI655" s="26"/>
      <c r="BJ655" s="26"/>
      <c r="BK655" s="26"/>
    </row>
    <row r="656" ht="14.25" customHeight="1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  <c r="AC656" s="26"/>
      <c r="AD656" s="26"/>
      <c r="AE656" s="26"/>
      <c r="AF656" s="26"/>
      <c r="AG656" s="26"/>
      <c r="AH656" s="26"/>
      <c r="AI656" s="26"/>
      <c r="AJ656" s="26"/>
      <c r="AK656" s="26"/>
      <c r="AL656" s="26"/>
      <c r="AM656" s="26"/>
      <c r="AN656" s="26"/>
      <c r="AO656" s="26"/>
      <c r="AP656" s="26"/>
      <c r="AQ656" s="26"/>
      <c r="AR656" s="26"/>
      <c r="AS656" s="26"/>
      <c r="AT656" s="26"/>
      <c r="AU656" s="26"/>
      <c r="AV656" s="26"/>
      <c r="AW656" s="26"/>
      <c r="AX656" s="26"/>
      <c r="AY656" s="26"/>
      <c r="AZ656" s="26"/>
      <c r="BA656" s="26"/>
      <c r="BB656" s="26"/>
      <c r="BC656" s="26"/>
      <c r="BD656" s="26"/>
      <c r="BE656" s="26"/>
      <c r="BF656" s="26"/>
      <c r="BG656" s="26"/>
      <c r="BH656" s="26"/>
      <c r="BI656" s="26"/>
      <c r="BJ656" s="26"/>
      <c r="BK656" s="26"/>
    </row>
    <row r="657" ht="14.25" customHeight="1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  <c r="AB657" s="26"/>
      <c r="AC657" s="26"/>
      <c r="AD657" s="26"/>
      <c r="AE657" s="26"/>
      <c r="AF657" s="26"/>
      <c r="AG657" s="26"/>
      <c r="AH657" s="26"/>
      <c r="AI657" s="26"/>
      <c r="AJ657" s="26"/>
      <c r="AK657" s="26"/>
      <c r="AL657" s="26"/>
      <c r="AM657" s="26"/>
      <c r="AN657" s="26"/>
      <c r="AO657" s="26"/>
      <c r="AP657" s="26"/>
      <c r="AQ657" s="26"/>
      <c r="AR657" s="26"/>
      <c r="AS657" s="26"/>
      <c r="AT657" s="26"/>
      <c r="AU657" s="26"/>
      <c r="AV657" s="26"/>
      <c r="AW657" s="26"/>
      <c r="AX657" s="26"/>
      <c r="AY657" s="26"/>
      <c r="AZ657" s="26"/>
      <c r="BA657" s="26"/>
      <c r="BB657" s="26"/>
      <c r="BC657" s="26"/>
      <c r="BD657" s="26"/>
      <c r="BE657" s="26"/>
      <c r="BF657" s="26"/>
      <c r="BG657" s="26"/>
      <c r="BH657" s="26"/>
      <c r="BI657" s="26"/>
      <c r="BJ657" s="26"/>
      <c r="BK657" s="26"/>
    </row>
    <row r="658" ht="14.25" customHeight="1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  <c r="AC658" s="26"/>
      <c r="AD658" s="26"/>
      <c r="AE658" s="26"/>
      <c r="AF658" s="26"/>
      <c r="AG658" s="26"/>
      <c r="AH658" s="26"/>
      <c r="AI658" s="26"/>
      <c r="AJ658" s="26"/>
      <c r="AK658" s="26"/>
      <c r="AL658" s="26"/>
      <c r="AM658" s="26"/>
      <c r="AN658" s="26"/>
      <c r="AO658" s="26"/>
      <c r="AP658" s="26"/>
      <c r="AQ658" s="26"/>
      <c r="AR658" s="26"/>
      <c r="AS658" s="26"/>
      <c r="AT658" s="26"/>
      <c r="AU658" s="26"/>
      <c r="AV658" s="26"/>
      <c r="AW658" s="26"/>
      <c r="AX658" s="26"/>
      <c r="AY658" s="26"/>
      <c r="AZ658" s="26"/>
      <c r="BA658" s="26"/>
      <c r="BB658" s="26"/>
      <c r="BC658" s="26"/>
      <c r="BD658" s="26"/>
      <c r="BE658" s="26"/>
      <c r="BF658" s="26"/>
      <c r="BG658" s="26"/>
      <c r="BH658" s="26"/>
      <c r="BI658" s="26"/>
      <c r="BJ658" s="26"/>
      <c r="BK658" s="26"/>
    </row>
    <row r="659" ht="14.25" customHeight="1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26"/>
      <c r="AB659" s="26"/>
      <c r="AC659" s="26"/>
      <c r="AD659" s="26"/>
      <c r="AE659" s="26"/>
      <c r="AF659" s="26"/>
      <c r="AG659" s="26"/>
      <c r="AH659" s="26"/>
      <c r="AI659" s="26"/>
      <c r="AJ659" s="26"/>
      <c r="AK659" s="26"/>
      <c r="AL659" s="26"/>
      <c r="AM659" s="26"/>
      <c r="AN659" s="26"/>
      <c r="AO659" s="26"/>
      <c r="AP659" s="26"/>
      <c r="AQ659" s="26"/>
      <c r="AR659" s="26"/>
      <c r="AS659" s="26"/>
      <c r="AT659" s="26"/>
      <c r="AU659" s="26"/>
      <c r="AV659" s="26"/>
      <c r="AW659" s="26"/>
      <c r="AX659" s="26"/>
      <c r="AY659" s="26"/>
      <c r="AZ659" s="26"/>
      <c r="BA659" s="26"/>
      <c r="BB659" s="26"/>
      <c r="BC659" s="26"/>
      <c r="BD659" s="26"/>
      <c r="BE659" s="26"/>
      <c r="BF659" s="26"/>
      <c r="BG659" s="26"/>
      <c r="BH659" s="26"/>
      <c r="BI659" s="26"/>
      <c r="BJ659" s="26"/>
      <c r="BK659" s="26"/>
    </row>
    <row r="660" ht="14.25" customHeight="1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  <c r="AC660" s="26"/>
      <c r="AD660" s="26"/>
      <c r="AE660" s="26"/>
      <c r="AF660" s="26"/>
      <c r="AG660" s="26"/>
      <c r="AH660" s="26"/>
      <c r="AI660" s="26"/>
      <c r="AJ660" s="26"/>
      <c r="AK660" s="26"/>
      <c r="AL660" s="26"/>
      <c r="AM660" s="26"/>
      <c r="AN660" s="26"/>
      <c r="AO660" s="26"/>
      <c r="AP660" s="26"/>
      <c r="AQ660" s="26"/>
      <c r="AR660" s="26"/>
      <c r="AS660" s="26"/>
      <c r="AT660" s="26"/>
      <c r="AU660" s="26"/>
      <c r="AV660" s="26"/>
      <c r="AW660" s="26"/>
      <c r="AX660" s="26"/>
      <c r="AY660" s="26"/>
      <c r="AZ660" s="26"/>
      <c r="BA660" s="26"/>
      <c r="BB660" s="26"/>
      <c r="BC660" s="26"/>
      <c r="BD660" s="26"/>
      <c r="BE660" s="26"/>
      <c r="BF660" s="26"/>
      <c r="BG660" s="26"/>
      <c r="BH660" s="26"/>
      <c r="BI660" s="26"/>
      <c r="BJ660" s="26"/>
      <c r="BK660" s="26"/>
    </row>
    <row r="661" ht="14.25" customHeight="1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  <c r="AB661" s="26"/>
      <c r="AC661" s="26"/>
      <c r="AD661" s="26"/>
      <c r="AE661" s="26"/>
      <c r="AF661" s="26"/>
      <c r="AG661" s="26"/>
      <c r="AH661" s="26"/>
      <c r="AI661" s="26"/>
      <c r="AJ661" s="26"/>
      <c r="AK661" s="26"/>
      <c r="AL661" s="26"/>
      <c r="AM661" s="26"/>
      <c r="AN661" s="26"/>
      <c r="AO661" s="26"/>
      <c r="AP661" s="26"/>
      <c r="AQ661" s="26"/>
      <c r="AR661" s="26"/>
      <c r="AS661" s="26"/>
      <c r="AT661" s="26"/>
      <c r="AU661" s="26"/>
      <c r="AV661" s="26"/>
      <c r="AW661" s="26"/>
      <c r="AX661" s="26"/>
      <c r="AY661" s="26"/>
      <c r="AZ661" s="26"/>
      <c r="BA661" s="26"/>
      <c r="BB661" s="26"/>
      <c r="BC661" s="26"/>
      <c r="BD661" s="26"/>
      <c r="BE661" s="26"/>
      <c r="BF661" s="26"/>
      <c r="BG661" s="26"/>
      <c r="BH661" s="26"/>
      <c r="BI661" s="26"/>
      <c r="BJ661" s="26"/>
      <c r="BK661" s="26"/>
    </row>
    <row r="662" ht="14.25" customHeight="1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  <c r="AC662" s="26"/>
      <c r="AD662" s="26"/>
      <c r="AE662" s="26"/>
      <c r="AF662" s="26"/>
      <c r="AG662" s="26"/>
      <c r="AH662" s="26"/>
      <c r="AI662" s="26"/>
      <c r="AJ662" s="26"/>
      <c r="AK662" s="26"/>
      <c r="AL662" s="26"/>
      <c r="AM662" s="26"/>
      <c r="AN662" s="26"/>
      <c r="AO662" s="26"/>
      <c r="AP662" s="26"/>
      <c r="AQ662" s="26"/>
      <c r="AR662" s="26"/>
      <c r="AS662" s="26"/>
      <c r="AT662" s="26"/>
      <c r="AU662" s="26"/>
      <c r="AV662" s="26"/>
      <c r="AW662" s="26"/>
      <c r="AX662" s="26"/>
      <c r="AY662" s="26"/>
      <c r="AZ662" s="26"/>
      <c r="BA662" s="26"/>
      <c r="BB662" s="26"/>
      <c r="BC662" s="26"/>
      <c r="BD662" s="26"/>
      <c r="BE662" s="26"/>
      <c r="BF662" s="26"/>
      <c r="BG662" s="26"/>
      <c r="BH662" s="26"/>
      <c r="BI662" s="26"/>
      <c r="BJ662" s="26"/>
      <c r="BK662" s="26"/>
    </row>
    <row r="663" ht="14.25" customHeight="1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26"/>
      <c r="AB663" s="26"/>
      <c r="AC663" s="26"/>
      <c r="AD663" s="26"/>
      <c r="AE663" s="26"/>
      <c r="AF663" s="26"/>
      <c r="AG663" s="26"/>
      <c r="AH663" s="26"/>
      <c r="AI663" s="26"/>
      <c r="AJ663" s="26"/>
      <c r="AK663" s="26"/>
      <c r="AL663" s="26"/>
      <c r="AM663" s="26"/>
      <c r="AN663" s="26"/>
      <c r="AO663" s="26"/>
      <c r="AP663" s="26"/>
      <c r="AQ663" s="26"/>
      <c r="AR663" s="26"/>
      <c r="AS663" s="26"/>
      <c r="AT663" s="26"/>
      <c r="AU663" s="26"/>
      <c r="AV663" s="26"/>
      <c r="AW663" s="26"/>
      <c r="AX663" s="26"/>
      <c r="AY663" s="26"/>
      <c r="AZ663" s="26"/>
      <c r="BA663" s="26"/>
      <c r="BB663" s="26"/>
      <c r="BC663" s="26"/>
      <c r="BD663" s="26"/>
      <c r="BE663" s="26"/>
      <c r="BF663" s="26"/>
      <c r="BG663" s="26"/>
      <c r="BH663" s="26"/>
      <c r="BI663" s="26"/>
      <c r="BJ663" s="26"/>
      <c r="BK663" s="26"/>
    </row>
    <row r="664" ht="14.25" customHeight="1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  <c r="AC664" s="26"/>
      <c r="AD664" s="26"/>
      <c r="AE664" s="26"/>
      <c r="AF664" s="26"/>
      <c r="AG664" s="26"/>
      <c r="AH664" s="26"/>
      <c r="AI664" s="26"/>
      <c r="AJ664" s="26"/>
      <c r="AK664" s="26"/>
      <c r="AL664" s="26"/>
      <c r="AM664" s="26"/>
      <c r="AN664" s="26"/>
      <c r="AO664" s="26"/>
      <c r="AP664" s="26"/>
      <c r="AQ664" s="26"/>
      <c r="AR664" s="26"/>
      <c r="AS664" s="26"/>
      <c r="AT664" s="26"/>
      <c r="AU664" s="26"/>
      <c r="AV664" s="26"/>
      <c r="AW664" s="26"/>
      <c r="AX664" s="26"/>
      <c r="AY664" s="26"/>
      <c r="AZ664" s="26"/>
      <c r="BA664" s="26"/>
      <c r="BB664" s="26"/>
      <c r="BC664" s="26"/>
      <c r="BD664" s="26"/>
      <c r="BE664" s="26"/>
      <c r="BF664" s="26"/>
      <c r="BG664" s="26"/>
      <c r="BH664" s="26"/>
      <c r="BI664" s="26"/>
      <c r="BJ664" s="26"/>
      <c r="BK664" s="26"/>
    </row>
    <row r="665" ht="14.25" customHeight="1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/>
      <c r="AB665" s="26"/>
      <c r="AC665" s="26"/>
      <c r="AD665" s="26"/>
      <c r="AE665" s="26"/>
      <c r="AF665" s="26"/>
      <c r="AG665" s="26"/>
      <c r="AH665" s="26"/>
      <c r="AI665" s="26"/>
      <c r="AJ665" s="26"/>
      <c r="AK665" s="26"/>
      <c r="AL665" s="26"/>
      <c r="AM665" s="26"/>
      <c r="AN665" s="26"/>
      <c r="AO665" s="26"/>
      <c r="AP665" s="26"/>
      <c r="AQ665" s="26"/>
      <c r="AR665" s="26"/>
      <c r="AS665" s="26"/>
      <c r="AT665" s="26"/>
      <c r="AU665" s="26"/>
      <c r="AV665" s="26"/>
      <c r="AW665" s="26"/>
      <c r="AX665" s="26"/>
      <c r="AY665" s="26"/>
      <c r="AZ665" s="26"/>
      <c r="BA665" s="26"/>
      <c r="BB665" s="26"/>
      <c r="BC665" s="26"/>
      <c r="BD665" s="26"/>
      <c r="BE665" s="26"/>
      <c r="BF665" s="26"/>
      <c r="BG665" s="26"/>
      <c r="BH665" s="26"/>
      <c r="BI665" s="26"/>
      <c r="BJ665" s="26"/>
      <c r="BK665" s="26"/>
    </row>
    <row r="666" ht="14.25" customHeight="1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  <c r="AC666" s="26"/>
      <c r="AD666" s="26"/>
      <c r="AE666" s="26"/>
      <c r="AF666" s="26"/>
      <c r="AG666" s="26"/>
      <c r="AH666" s="26"/>
      <c r="AI666" s="26"/>
      <c r="AJ666" s="26"/>
      <c r="AK666" s="26"/>
      <c r="AL666" s="26"/>
      <c r="AM666" s="26"/>
      <c r="AN666" s="26"/>
      <c r="AO666" s="26"/>
      <c r="AP666" s="26"/>
      <c r="AQ666" s="26"/>
      <c r="AR666" s="26"/>
      <c r="AS666" s="26"/>
      <c r="AT666" s="26"/>
      <c r="AU666" s="26"/>
      <c r="AV666" s="26"/>
      <c r="AW666" s="26"/>
      <c r="AX666" s="26"/>
      <c r="AY666" s="26"/>
      <c r="AZ666" s="26"/>
      <c r="BA666" s="26"/>
      <c r="BB666" s="26"/>
      <c r="BC666" s="26"/>
      <c r="BD666" s="26"/>
      <c r="BE666" s="26"/>
      <c r="BF666" s="26"/>
      <c r="BG666" s="26"/>
      <c r="BH666" s="26"/>
      <c r="BI666" s="26"/>
      <c r="BJ666" s="26"/>
      <c r="BK666" s="26"/>
    </row>
    <row r="667" ht="14.25" customHeight="1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/>
      <c r="AB667" s="26"/>
      <c r="AC667" s="26"/>
      <c r="AD667" s="26"/>
      <c r="AE667" s="26"/>
      <c r="AF667" s="26"/>
      <c r="AG667" s="26"/>
      <c r="AH667" s="26"/>
      <c r="AI667" s="26"/>
      <c r="AJ667" s="26"/>
      <c r="AK667" s="26"/>
      <c r="AL667" s="26"/>
      <c r="AM667" s="26"/>
      <c r="AN667" s="26"/>
      <c r="AO667" s="26"/>
      <c r="AP667" s="26"/>
      <c r="AQ667" s="26"/>
      <c r="AR667" s="26"/>
      <c r="AS667" s="26"/>
      <c r="AT667" s="26"/>
      <c r="AU667" s="26"/>
      <c r="AV667" s="26"/>
      <c r="AW667" s="26"/>
      <c r="AX667" s="26"/>
      <c r="AY667" s="26"/>
      <c r="AZ667" s="26"/>
      <c r="BA667" s="26"/>
      <c r="BB667" s="26"/>
      <c r="BC667" s="26"/>
      <c r="BD667" s="26"/>
      <c r="BE667" s="26"/>
      <c r="BF667" s="26"/>
      <c r="BG667" s="26"/>
      <c r="BH667" s="26"/>
      <c r="BI667" s="26"/>
      <c r="BJ667" s="26"/>
      <c r="BK667" s="26"/>
    </row>
    <row r="668" ht="14.25" customHeight="1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  <c r="AC668" s="26"/>
      <c r="AD668" s="26"/>
      <c r="AE668" s="26"/>
      <c r="AF668" s="26"/>
      <c r="AG668" s="26"/>
      <c r="AH668" s="26"/>
      <c r="AI668" s="26"/>
      <c r="AJ668" s="26"/>
      <c r="AK668" s="26"/>
      <c r="AL668" s="26"/>
      <c r="AM668" s="26"/>
      <c r="AN668" s="26"/>
      <c r="AO668" s="26"/>
      <c r="AP668" s="26"/>
      <c r="AQ668" s="26"/>
      <c r="AR668" s="26"/>
      <c r="AS668" s="26"/>
      <c r="AT668" s="26"/>
      <c r="AU668" s="26"/>
      <c r="AV668" s="26"/>
      <c r="AW668" s="26"/>
      <c r="AX668" s="26"/>
      <c r="AY668" s="26"/>
      <c r="AZ668" s="26"/>
      <c r="BA668" s="26"/>
      <c r="BB668" s="26"/>
      <c r="BC668" s="26"/>
      <c r="BD668" s="26"/>
      <c r="BE668" s="26"/>
      <c r="BF668" s="26"/>
      <c r="BG668" s="26"/>
      <c r="BH668" s="26"/>
      <c r="BI668" s="26"/>
      <c r="BJ668" s="26"/>
      <c r="BK668" s="26"/>
    </row>
    <row r="669" ht="14.25" customHeight="1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/>
      <c r="AB669" s="26"/>
      <c r="AC669" s="26"/>
      <c r="AD669" s="26"/>
      <c r="AE669" s="26"/>
      <c r="AF669" s="26"/>
      <c r="AG669" s="26"/>
      <c r="AH669" s="26"/>
      <c r="AI669" s="26"/>
      <c r="AJ669" s="26"/>
      <c r="AK669" s="26"/>
      <c r="AL669" s="26"/>
      <c r="AM669" s="26"/>
      <c r="AN669" s="26"/>
      <c r="AO669" s="26"/>
      <c r="AP669" s="26"/>
      <c r="AQ669" s="26"/>
      <c r="AR669" s="26"/>
      <c r="AS669" s="26"/>
      <c r="AT669" s="26"/>
      <c r="AU669" s="26"/>
      <c r="AV669" s="26"/>
      <c r="AW669" s="26"/>
      <c r="AX669" s="26"/>
      <c r="AY669" s="26"/>
      <c r="AZ669" s="26"/>
      <c r="BA669" s="26"/>
      <c r="BB669" s="26"/>
      <c r="BC669" s="26"/>
      <c r="BD669" s="26"/>
      <c r="BE669" s="26"/>
      <c r="BF669" s="26"/>
      <c r="BG669" s="26"/>
      <c r="BH669" s="26"/>
      <c r="BI669" s="26"/>
      <c r="BJ669" s="26"/>
      <c r="BK669" s="26"/>
    </row>
    <row r="670" ht="14.25" customHeight="1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  <c r="AC670" s="26"/>
      <c r="AD670" s="26"/>
      <c r="AE670" s="26"/>
      <c r="AF670" s="26"/>
      <c r="AG670" s="26"/>
      <c r="AH670" s="26"/>
      <c r="AI670" s="26"/>
      <c r="AJ670" s="26"/>
      <c r="AK670" s="26"/>
      <c r="AL670" s="26"/>
      <c r="AM670" s="26"/>
      <c r="AN670" s="26"/>
      <c r="AO670" s="26"/>
      <c r="AP670" s="26"/>
      <c r="AQ670" s="26"/>
      <c r="AR670" s="26"/>
      <c r="AS670" s="26"/>
      <c r="AT670" s="26"/>
      <c r="AU670" s="26"/>
      <c r="AV670" s="26"/>
      <c r="AW670" s="26"/>
      <c r="AX670" s="26"/>
      <c r="AY670" s="26"/>
      <c r="AZ670" s="26"/>
      <c r="BA670" s="26"/>
      <c r="BB670" s="26"/>
      <c r="BC670" s="26"/>
      <c r="BD670" s="26"/>
      <c r="BE670" s="26"/>
      <c r="BF670" s="26"/>
      <c r="BG670" s="26"/>
      <c r="BH670" s="26"/>
      <c r="BI670" s="26"/>
      <c r="BJ670" s="26"/>
      <c r="BK670" s="26"/>
    </row>
    <row r="671" ht="14.25" customHeight="1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A671" s="26"/>
      <c r="AB671" s="26"/>
      <c r="AC671" s="26"/>
      <c r="AD671" s="26"/>
      <c r="AE671" s="26"/>
      <c r="AF671" s="26"/>
      <c r="AG671" s="26"/>
      <c r="AH671" s="26"/>
      <c r="AI671" s="26"/>
      <c r="AJ671" s="26"/>
      <c r="AK671" s="26"/>
      <c r="AL671" s="26"/>
      <c r="AM671" s="26"/>
      <c r="AN671" s="26"/>
      <c r="AO671" s="26"/>
      <c r="AP671" s="26"/>
      <c r="AQ671" s="26"/>
      <c r="AR671" s="26"/>
      <c r="AS671" s="26"/>
      <c r="AT671" s="26"/>
      <c r="AU671" s="26"/>
      <c r="AV671" s="26"/>
      <c r="AW671" s="26"/>
      <c r="AX671" s="26"/>
      <c r="AY671" s="26"/>
      <c r="AZ671" s="26"/>
      <c r="BA671" s="26"/>
      <c r="BB671" s="26"/>
      <c r="BC671" s="26"/>
      <c r="BD671" s="26"/>
      <c r="BE671" s="26"/>
      <c r="BF671" s="26"/>
      <c r="BG671" s="26"/>
      <c r="BH671" s="26"/>
      <c r="BI671" s="26"/>
      <c r="BJ671" s="26"/>
      <c r="BK671" s="26"/>
    </row>
    <row r="672" ht="14.25" customHeight="1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  <c r="AC672" s="26"/>
      <c r="AD672" s="26"/>
      <c r="AE672" s="26"/>
      <c r="AF672" s="26"/>
      <c r="AG672" s="26"/>
      <c r="AH672" s="26"/>
      <c r="AI672" s="26"/>
      <c r="AJ672" s="26"/>
      <c r="AK672" s="26"/>
      <c r="AL672" s="26"/>
      <c r="AM672" s="26"/>
      <c r="AN672" s="26"/>
      <c r="AO672" s="26"/>
      <c r="AP672" s="26"/>
      <c r="AQ672" s="26"/>
      <c r="AR672" s="26"/>
      <c r="AS672" s="26"/>
      <c r="AT672" s="26"/>
      <c r="AU672" s="26"/>
      <c r="AV672" s="26"/>
      <c r="AW672" s="26"/>
      <c r="AX672" s="26"/>
      <c r="AY672" s="26"/>
      <c r="AZ672" s="26"/>
      <c r="BA672" s="26"/>
      <c r="BB672" s="26"/>
      <c r="BC672" s="26"/>
      <c r="BD672" s="26"/>
      <c r="BE672" s="26"/>
      <c r="BF672" s="26"/>
      <c r="BG672" s="26"/>
      <c r="BH672" s="26"/>
      <c r="BI672" s="26"/>
      <c r="BJ672" s="26"/>
      <c r="BK672" s="26"/>
    </row>
    <row r="673" ht="14.25" customHeight="1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  <c r="AB673" s="26"/>
      <c r="AC673" s="26"/>
      <c r="AD673" s="26"/>
      <c r="AE673" s="26"/>
      <c r="AF673" s="26"/>
      <c r="AG673" s="26"/>
      <c r="AH673" s="26"/>
      <c r="AI673" s="26"/>
      <c r="AJ673" s="26"/>
      <c r="AK673" s="26"/>
      <c r="AL673" s="26"/>
      <c r="AM673" s="26"/>
      <c r="AN673" s="26"/>
      <c r="AO673" s="26"/>
      <c r="AP673" s="26"/>
      <c r="AQ673" s="26"/>
      <c r="AR673" s="26"/>
      <c r="AS673" s="26"/>
      <c r="AT673" s="26"/>
      <c r="AU673" s="26"/>
      <c r="AV673" s="26"/>
      <c r="AW673" s="26"/>
      <c r="AX673" s="26"/>
      <c r="AY673" s="26"/>
      <c r="AZ673" s="26"/>
      <c r="BA673" s="26"/>
      <c r="BB673" s="26"/>
      <c r="BC673" s="26"/>
      <c r="BD673" s="26"/>
      <c r="BE673" s="26"/>
      <c r="BF673" s="26"/>
      <c r="BG673" s="26"/>
      <c r="BH673" s="26"/>
      <c r="BI673" s="26"/>
      <c r="BJ673" s="26"/>
      <c r="BK673" s="26"/>
    </row>
    <row r="674" ht="14.25" customHeight="1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  <c r="AC674" s="26"/>
      <c r="AD674" s="26"/>
      <c r="AE674" s="26"/>
      <c r="AF674" s="26"/>
      <c r="AG674" s="26"/>
      <c r="AH674" s="26"/>
      <c r="AI674" s="26"/>
      <c r="AJ674" s="26"/>
      <c r="AK674" s="26"/>
      <c r="AL674" s="26"/>
      <c r="AM674" s="26"/>
      <c r="AN674" s="26"/>
      <c r="AO674" s="26"/>
      <c r="AP674" s="26"/>
      <c r="AQ674" s="26"/>
      <c r="AR674" s="26"/>
      <c r="AS674" s="26"/>
      <c r="AT674" s="26"/>
      <c r="AU674" s="26"/>
      <c r="AV674" s="26"/>
      <c r="AW674" s="26"/>
      <c r="AX674" s="26"/>
      <c r="AY674" s="26"/>
      <c r="AZ674" s="26"/>
      <c r="BA674" s="26"/>
      <c r="BB674" s="26"/>
      <c r="BC674" s="26"/>
      <c r="BD674" s="26"/>
      <c r="BE674" s="26"/>
      <c r="BF674" s="26"/>
      <c r="BG674" s="26"/>
      <c r="BH674" s="26"/>
      <c r="BI674" s="26"/>
      <c r="BJ674" s="26"/>
      <c r="BK674" s="26"/>
    </row>
    <row r="675" ht="14.25" customHeight="1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/>
      <c r="AB675" s="26"/>
      <c r="AC675" s="26"/>
      <c r="AD675" s="26"/>
      <c r="AE675" s="26"/>
      <c r="AF675" s="26"/>
      <c r="AG675" s="26"/>
      <c r="AH675" s="26"/>
      <c r="AI675" s="26"/>
      <c r="AJ675" s="26"/>
      <c r="AK675" s="26"/>
      <c r="AL675" s="26"/>
      <c r="AM675" s="26"/>
      <c r="AN675" s="26"/>
      <c r="AO675" s="26"/>
      <c r="AP675" s="26"/>
      <c r="AQ675" s="26"/>
      <c r="AR675" s="26"/>
      <c r="AS675" s="26"/>
      <c r="AT675" s="26"/>
      <c r="AU675" s="26"/>
      <c r="AV675" s="26"/>
      <c r="AW675" s="26"/>
      <c r="AX675" s="26"/>
      <c r="AY675" s="26"/>
      <c r="AZ675" s="26"/>
      <c r="BA675" s="26"/>
      <c r="BB675" s="26"/>
      <c r="BC675" s="26"/>
      <c r="BD675" s="26"/>
      <c r="BE675" s="26"/>
      <c r="BF675" s="26"/>
      <c r="BG675" s="26"/>
      <c r="BH675" s="26"/>
      <c r="BI675" s="26"/>
      <c r="BJ675" s="26"/>
      <c r="BK675" s="26"/>
    </row>
    <row r="676" ht="14.25" customHeight="1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  <c r="AC676" s="26"/>
      <c r="AD676" s="26"/>
      <c r="AE676" s="26"/>
      <c r="AF676" s="26"/>
      <c r="AG676" s="26"/>
      <c r="AH676" s="26"/>
      <c r="AI676" s="26"/>
      <c r="AJ676" s="26"/>
      <c r="AK676" s="26"/>
      <c r="AL676" s="26"/>
      <c r="AM676" s="26"/>
      <c r="AN676" s="26"/>
      <c r="AO676" s="26"/>
      <c r="AP676" s="26"/>
      <c r="AQ676" s="26"/>
      <c r="AR676" s="26"/>
      <c r="AS676" s="26"/>
      <c r="AT676" s="26"/>
      <c r="AU676" s="26"/>
      <c r="AV676" s="26"/>
      <c r="AW676" s="26"/>
      <c r="AX676" s="26"/>
      <c r="AY676" s="26"/>
      <c r="AZ676" s="26"/>
      <c r="BA676" s="26"/>
      <c r="BB676" s="26"/>
      <c r="BC676" s="26"/>
      <c r="BD676" s="26"/>
      <c r="BE676" s="26"/>
      <c r="BF676" s="26"/>
      <c r="BG676" s="26"/>
      <c r="BH676" s="26"/>
      <c r="BI676" s="26"/>
      <c r="BJ676" s="26"/>
      <c r="BK676" s="26"/>
    </row>
    <row r="677" ht="14.25" customHeight="1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A677" s="26"/>
      <c r="AB677" s="26"/>
      <c r="AC677" s="26"/>
      <c r="AD677" s="26"/>
      <c r="AE677" s="26"/>
      <c r="AF677" s="26"/>
      <c r="AG677" s="26"/>
      <c r="AH677" s="26"/>
      <c r="AI677" s="26"/>
      <c r="AJ677" s="26"/>
      <c r="AK677" s="26"/>
      <c r="AL677" s="26"/>
      <c r="AM677" s="26"/>
      <c r="AN677" s="26"/>
      <c r="AO677" s="26"/>
      <c r="AP677" s="26"/>
      <c r="AQ677" s="26"/>
      <c r="AR677" s="26"/>
      <c r="AS677" s="26"/>
      <c r="AT677" s="26"/>
      <c r="AU677" s="26"/>
      <c r="AV677" s="26"/>
      <c r="AW677" s="26"/>
      <c r="AX677" s="26"/>
      <c r="AY677" s="26"/>
      <c r="AZ677" s="26"/>
      <c r="BA677" s="26"/>
      <c r="BB677" s="26"/>
      <c r="BC677" s="26"/>
      <c r="BD677" s="26"/>
      <c r="BE677" s="26"/>
      <c r="BF677" s="26"/>
      <c r="BG677" s="26"/>
      <c r="BH677" s="26"/>
      <c r="BI677" s="26"/>
      <c r="BJ677" s="26"/>
      <c r="BK677" s="26"/>
    </row>
    <row r="678" ht="14.25" customHeight="1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  <c r="AC678" s="26"/>
      <c r="AD678" s="26"/>
      <c r="AE678" s="26"/>
      <c r="AF678" s="26"/>
      <c r="AG678" s="26"/>
      <c r="AH678" s="26"/>
      <c r="AI678" s="26"/>
      <c r="AJ678" s="26"/>
      <c r="AK678" s="26"/>
      <c r="AL678" s="26"/>
      <c r="AM678" s="26"/>
      <c r="AN678" s="26"/>
      <c r="AO678" s="26"/>
      <c r="AP678" s="26"/>
      <c r="AQ678" s="26"/>
      <c r="AR678" s="26"/>
      <c r="AS678" s="26"/>
      <c r="AT678" s="26"/>
      <c r="AU678" s="26"/>
      <c r="AV678" s="26"/>
      <c r="AW678" s="26"/>
      <c r="AX678" s="26"/>
      <c r="AY678" s="26"/>
      <c r="AZ678" s="26"/>
      <c r="BA678" s="26"/>
      <c r="BB678" s="26"/>
      <c r="BC678" s="26"/>
      <c r="BD678" s="26"/>
      <c r="BE678" s="26"/>
      <c r="BF678" s="26"/>
      <c r="BG678" s="26"/>
      <c r="BH678" s="26"/>
      <c r="BI678" s="26"/>
      <c r="BJ678" s="26"/>
      <c r="BK678" s="26"/>
    </row>
    <row r="679" ht="14.25" customHeight="1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  <c r="AA679" s="26"/>
      <c r="AB679" s="26"/>
      <c r="AC679" s="26"/>
      <c r="AD679" s="26"/>
      <c r="AE679" s="26"/>
      <c r="AF679" s="26"/>
      <c r="AG679" s="26"/>
      <c r="AH679" s="26"/>
      <c r="AI679" s="26"/>
      <c r="AJ679" s="26"/>
      <c r="AK679" s="26"/>
      <c r="AL679" s="26"/>
      <c r="AM679" s="26"/>
      <c r="AN679" s="26"/>
      <c r="AO679" s="26"/>
      <c r="AP679" s="26"/>
      <c r="AQ679" s="26"/>
      <c r="AR679" s="26"/>
      <c r="AS679" s="26"/>
      <c r="AT679" s="26"/>
      <c r="AU679" s="26"/>
      <c r="AV679" s="26"/>
      <c r="AW679" s="26"/>
      <c r="AX679" s="26"/>
      <c r="AY679" s="26"/>
      <c r="AZ679" s="26"/>
      <c r="BA679" s="26"/>
      <c r="BB679" s="26"/>
      <c r="BC679" s="26"/>
      <c r="BD679" s="26"/>
      <c r="BE679" s="26"/>
      <c r="BF679" s="26"/>
      <c r="BG679" s="26"/>
      <c r="BH679" s="26"/>
      <c r="BI679" s="26"/>
      <c r="BJ679" s="26"/>
      <c r="BK679" s="26"/>
    </row>
    <row r="680" ht="14.25" customHeight="1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  <c r="AC680" s="26"/>
      <c r="AD680" s="26"/>
      <c r="AE680" s="26"/>
      <c r="AF680" s="26"/>
      <c r="AG680" s="26"/>
      <c r="AH680" s="26"/>
      <c r="AI680" s="26"/>
      <c r="AJ680" s="26"/>
      <c r="AK680" s="26"/>
      <c r="AL680" s="26"/>
      <c r="AM680" s="26"/>
      <c r="AN680" s="26"/>
      <c r="AO680" s="26"/>
      <c r="AP680" s="26"/>
      <c r="AQ680" s="26"/>
      <c r="AR680" s="26"/>
      <c r="AS680" s="26"/>
      <c r="AT680" s="26"/>
      <c r="AU680" s="26"/>
      <c r="AV680" s="26"/>
      <c r="AW680" s="26"/>
      <c r="AX680" s="26"/>
      <c r="AY680" s="26"/>
      <c r="AZ680" s="26"/>
      <c r="BA680" s="26"/>
      <c r="BB680" s="26"/>
      <c r="BC680" s="26"/>
      <c r="BD680" s="26"/>
      <c r="BE680" s="26"/>
      <c r="BF680" s="26"/>
      <c r="BG680" s="26"/>
      <c r="BH680" s="26"/>
      <c r="BI680" s="26"/>
      <c r="BJ680" s="26"/>
      <c r="BK680" s="26"/>
    </row>
    <row r="681" ht="14.25" customHeight="1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  <c r="AA681" s="26"/>
      <c r="AB681" s="26"/>
      <c r="AC681" s="26"/>
      <c r="AD681" s="26"/>
      <c r="AE681" s="26"/>
      <c r="AF681" s="26"/>
      <c r="AG681" s="26"/>
      <c r="AH681" s="26"/>
      <c r="AI681" s="26"/>
      <c r="AJ681" s="26"/>
      <c r="AK681" s="26"/>
      <c r="AL681" s="26"/>
      <c r="AM681" s="26"/>
      <c r="AN681" s="26"/>
      <c r="AO681" s="26"/>
      <c r="AP681" s="26"/>
      <c r="AQ681" s="26"/>
      <c r="AR681" s="26"/>
      <c r="AS681" s="26"/>
      <c r="AT681" s="26"/>
      <c r="AU681" s="26"/>
      <c r="AV681" s="26"/>
      <c r="AW681" s="26"/>
      <c r="AX681" s="26"/>
      <c r="AY681" s="26"/>
      <c r="AZ681" s="26"/>
      <c r="BA681" s="26"/>
      <c r="BB681" s="26"/>
      <c r="BC681" s="26"/>
      <c r="BD681" s="26"/>
      <c r="BE681" s="26"/>
      <c r="BF681" s="26"/>
      <c r="BG681" s="26"/>
      <c r="BH681" s="26"/>
      <c r="BI681" s="26"/>
      <c r="BJ681" s="26"/>
      <c r="BK681" s="26"/>
    </row>
    <row r="682" ht="14.25" customHeight="1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  <c r="AC682" s="26"/>
      <c r="AD682" s="26"/>
      <c r="AE682" s="26"/>
      <c r="AF682" s="26"/>
      <c r="AG682" s="26"/>
      <c r="AH682" s="26"/>
      <c r="AI682" s="26"/>
      <c r="AJ682" s="26"/>
      <c r="AK682" s="26"/>
      <c r="AL682" s="26"/>
      <c r="AM682" s="26"/>
      <c r="AN682" s="26"/>
      <c r="AO682" s="26"/>
      <c r="AP682" s="26"/>
      <c r="AQ682" s="26"/>
      <c r="AR682" s="26"/>
      <c r="AS682" s="26"/>
      <c r="AT682" s="26"/>
      <c r="AU682" s="26"/>
      <c r="AV682" s="26"/>
      <c r="AW682" s="26"/>
      <c r="AX682" s="26"/>
      <c r="AY682" s="26"/>
      <c r="AZ682" s="26"/>
      <c r="BA682" s="26"/>
      <c r="BB682" s="26"/>
      <c r="BC682" s="26"/>
      <c r="BD682" s="26"/>
      <c r="BE682" s="26"/>
      <c r="BF682" s="26"/>
      <c r="BG682" s="26"/>
      <c r="BH682" s="26"/>
      <c r="BI682" s="26"/>
      <c r="BJ682" s="26"/>
      <c r="BK682" s="26"/>
    </row>
    <row r="683" ht="14.25" customHeight="1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  <c r="AB683" s="26"/>
      <c r="AC683" s="26"/>
      <c r="AD683" s="26"/>
      <c r="AE683" s="26"/>
      <c r="AF683" s="26"/>
      <c r="AG683" s="26"/>
      <c r="AH683" s="26"/>
      <c r="AI683" s="26"/>
      <c r="AJ683" s="26"/>
      <c r="AK683" s="26"/>
      <c r="AL683" s="26"/>
      <c r="AM683" s="26"/>
      <c r="AN683" s="26"/>
      <c r="AO683" s="26"/>
      <c r="AP683" s="26"/>
      <c r="AQ683" s="26"/>
      <c r="AR683" s="26"/>
      <c r="AS683" s="26"/>
      <c r="AT683" s="26"/>
      <c r="AU683" s="26"/>
      <c r="AV683" s="26"/>
      <c r="AW683" s="26"/>
      <c r="AX683" s="26"/>
      <c r="AY683" s="26"/>
      <c r="AZ683" s="26"/>
      <c r="BA683" s="26"/>
      <c r="BB683" s="26"/>
      <c r="BC683" s="26"/>
      <c r="BD683" s="26"/>
      <c r="BE683" s="26"/>
      <c r="BF683" s="26"/>
      <c r="BG683" s="26"/>
      <c r="BH683" s="26"/>
      <c r="BI683" s="26"/>
      <c r="BJ683" s="26"/>
      <c r="BK683" s="26"/>
    </row>
    <row r="684" ht="14.25" customHeight="1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  <c r="AC684" s="26"/>
      <c r="AD684" s="26"/>
      <c r="AE684" s="26"/>
      <c r="AF684" s="26"/>
      <c r="AG684" s="26"/>
      <c r="AH684" s="26"/>
      <c r="AI684" s="26"/>
      <c r="AJ684" s="26"/>
      <c r="AK684" s="26"/>
      <c r="AL684" s="26"/>
      <c r="AM684" s="26"/>
      <c r="AN684" s="26"/>
      <c r="AO684" s="26"/>
      <c r="AP684" s="26"/>
      <c r="AQ684" s="26"/>
      <c r="AR684" s="26"/>
      <c r="AS684" s="26"/>
      <c r="AT684" s="26"/>
      <c r="AU684" s="26"/>
      <c r="AV684" s="26"/>
      <c r="AW684" s="26"/>
      <c r="AX684" s="26"/>
      <c r="AY684" s="26"/>
      <c r="AZ684" s="26"/>
      <c r="BA684" s="26"/>
      <c r="BB684" s="26"/>
      <c r="BC684" s="26"/>
      <c r="BD684" s="26"/>
      <c r="BE684" s="26"/>
      <c r="BF684" s="26"/>
      <c r="BG684" s="26"/>
      <c r="BH684" s="26"/>
      <c r="BI684" s="26"/>
      <c r="BJ684" s="26"/>
      <c r="BK684" s="26"/>
    </row>
    <row r="685" ht="14.25" customHeight="1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A685" s="26"/>
      <c r="AB685" s="26"/>
      <c r="AC685" s="26"/>
      <c r="AD685" s="26"/>
      <c r="AE685" s="26"/>
      <c r="AF685" s="26"/>
      <c r="AG685" s="26"/>
      <c r="AH685" s="26"/>
      <c r="AI685" s="26"/>
      <c r="AJ685" s="26"/>
      <c r="AK685" s="26"/>
      <c r="AL685" s="26"/>
      <c r="AM685" s="26"/>
      <c r="AN685" s="26"/>
      <c r="AO685" s="26"/>
      <c r="AP685" s="26"/>
      <c r="AQ685" s="26"/>
      <c r="AR685" s="26"/>
      <c r="AS685" s="26"/>
      <c r="AT685" s="26"/>
      <c r="AU685" s="26"/>
      <c r="AV685" s="26"/>
      <c r="AW685" s="26"/>
      <c r="AX685" s="26"/>
      <c r="AY685" s="26"/>
      <c r="AZ685" s="26"/>
      <c r="BA685" s="26"/>
      <c r="BB685" s="26"/>
      <c r="BC685" s="26"/>
      <c r="BD685" s="26"/>
      <c r="BE685" s="26"/>
      <c r="BF685" s="26"/>
      <c r="BG685" s="26"/>
      <c r="BH685" s="26"/>
      <c r="BI685" s="26"/>
      <c r="BJ685" s="26"/>
      <c r="BK685" s="26"/>
    </row>
    <row r="686" ht="14.25" customHeight="1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  <c r="AC686" s="26"/>
      <c r="AD686" s="26"/>
      <c r="AE686" s="26"/>
      <c r="AF686" s="26"/>
      <c r="AG686" s="26"/>
      <c r="AH686" s="26"/>
      <c r="AI686" s="26"/>
      <c r="AJ686" s="26"/>
      <c r="AK686" s="26"/>
      <c r="AL686" s="26"/>
      <c r="AM686" s="26"/>
      <c r="AN686" s="26"/>
      <c r="AO686" s="26"/>
      <c r="AP686" s="26"/>
      <c r="AQ686" s="26"/>
      <c r="AR686" s="26"/>
      <c r="AS686" s="26"/>
      <c r="AT686" s="26"/>
      <c r="AU686" s="26"/>
      <c r="AV686" s="26"/>
      <c r="AW686" s="26"/>
      <c r="AX686" s="26"/>
      <c r="AY686" s="26"/>
      <c r="AZ686" s="26"/>
      <c r="BA686" s="26"/>
      <c r="BB686" s="26"/>
      <c r="BC686" s="26"/>
      <c r="BD686" s="26"/>
      <c r="BE686" s="26"/>
      <c r="BF686" s="26"/>
      <c r="BG686" s="26"/>
      <c r="BH686" s="26"/>
      <c r="BI686" s="26"/>
      <c r="BJ686" s="26"/>
      <c r="BK686" s="26"/>
    </row>
    <row r="687" ht="14.25" customHeight="1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  <c r="AA687" s="26"/>
      <c r="AB687" s="26"/>
      <c r="AC687" s="26"/>
      <c r="AD687" s="26"/>
      <c r="AE687" s="26"/>
      <c r="AF687" s="26"/>
      <c r="AG687" s="26"/>
      <c r="AH687" s="26"/>
      <c r="AI687" s="26"/>
      <c r="AJ687" s="26"/>
      <c r="AK687" s="26"/>
      <c r="AL687" s="26"/>
      <c r="AM687" s="26"/>
      <c r="AN687" s="26"/>
      <c r="AO687" s="26"/>
      <c r="AP687" s="26"/>
      <c r="AQ687" s="26"/>
      <c r="AR687" s="26"/>
      <c r="AS687" s="26"/>
      <c r="AT687" s="26"/>
      <c r="AU687" s="26"/>
      <c r="AV687" s="26"/>
      <c r="AW687" s="26"/>
      <c r="AX687" s="26"/>
      <c r="AY687" s="26"/>
      <c r="AZ687" s="26"/>
      <c r="BA687" s="26"/>
      <c r="BB687" s="26"/>
      <c r="BC687" s="26"/>
      <c r="BD687" s="26"/>
      <c r="BE687" s="26"/>
      <c r="BF687" s="26"/>
      <c r="BG687" s="26"/>
      <c r="BH687" s="26"/>
      <c r="BI687" s="26"/>
      <c r="BJ687" s="26"/>
      <c r="BK687" s="26"/>
    </row>
    <row r="688" ht="14.25" customHeight="1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  <c r="AB688" s="26"/>
      <c r="AC688" s="26"/>
      <c r="AD688" s="26"/>
      <c r="AE688" s="26"/>
      <c r="AF688" s="26"/>
      <c r="AG688" s="26"/>
      <c r="AH688" s="26"/>
      <c r="AI688" s="26"/>
      <c r="AJ688" s="26"/>
      <c r="AK688" s="26"/>
      <c r="AL688" s="26"/>
      <c r="AM688" s="26"/>
      <c r="AN688" s="26"/>
      <c r="AO688" s="26"/>
      <c r="AP688" s="26"/>
      <c r="AQ688" s="26"/>
      <c r="AR688" s="26"/>
      <c r="AS688" s="26"/>
      <c r="AT688" s="26"/>
      <c r="AU688" s="26"/>
      <c r="AV688" s="26"/>
      <c r="AW688" s="26"/>
      <c r="AX688" s="26"/>
      <c r="AY688" s="26"/>
      <c r="AZ688" s="26"/>
      <c r="BA688" s="26"/>
      <c r="BB688" s="26"/>
      <c r="BC688" s="26"/>
      <c r="BD688" s="26"/>
      <c r="BE688" s="26"/>
      <c r="BF688" s="26"/>
      <c r="BG688" s="26"/>
      <c r="BH688" s="26"/>
      <c r="BI688" s="26"/>
      <c r="BJ688" s="26"/>
      <c r="BK688" s="26"/>
    </row>
    <row r="689" ht="14.25" customHeight="1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A689" s="26"/>
      <c r="AB689" s="26"/>
      <c r="AC689" s="26"/>
      <c r="AD689" s="26"/>
      <c r="AE689" s="26"/>
      <c r="AF689" s="26"/>
      <c r="AG689" s="26"/>
      <c r="AH689" s="26"/>
      <c r="AI689" s="26"/>
      <c r="AJ689" s="26"/>
      <c r="AK689" s="26"/>
      <c r="AL689" s="26"/>
      <c r="AM689" s="26"/>
      <c r="AN689" s="26"/>
      <c r="AO689" s="26"/>
      <c r="AP689" s="26"/>
      <c r="AQ689" s="26"/>
      <c r="AR689" s="26"/>
      <c r="AS689" s="26"/>
      <c r="AT689" s="26"/>
      <c r="AU689" s="26"/>
      <c r="AV689" s="26"/>
      <c r="AW689" s="26"/>
      <c r="AX689" s="26"/>
      <c r="AY689" s="26"/>
      <c r="AZ689" s="26"/>
      <c r="BA689" s="26"/>
      <c r="BB689" s="26"/>
      <c r="BC689" s="26"/>
      <c r="BD689" s="26"/>
      <c r="BE689" s="26"/>
      <c r="BF689" s="26"/>
      <c r="BG689" s="26"/>
      <c r="BH689" s="26"/>
      <c r="BI689" s="26"/>
      <c r="BJ689" s="26"/>
      <c r="BK689" s="26"/>
    </row>
    <row r="690" ht="14.25" customHeight="1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  <c r="AC690" s="26"/>
      <c r="AD690" s="26"/>
      <c r="AE690" s="26"/>
      <c r="AF690" s="26"/>
      <c r="AG690" s="26"/>
      <c r="AH690" s="26"/>
      <c r="AI690" s="26"/>
      <c r="AJ690" s="26"/>
      <c r="AK690" s="26"/>
      <c r="AL690" s="26"/>
      <c r="AM690" s="26"/>
      <c r="AN690" s="26"/>
      <c r="AO690" s="26"/>
      <c r="AP690" s="26"/>
      <c r="AQ690" s="26"/>
      <c r="AR690" s="26"/>
      <c r="AS690" s="26"/>
      <c r="AT690" s="26"/>
      <c r="AU690" s="26"/>
      <c r="AV690" s="26"/>
      <c r="AW690" s="26"/>
      <c r="AX690" s="26"/>
      <c r="AY690" s="26"/>
      <c r="AZ690" s="26"/>
      <c r="BA690" s="26"/>
      <c r="BB690" s="26"/>
      <c r="BC690" s="26"/>
      <c r="BD690" s="26"/>
      <c r="BE690" s="26"/>
      <c r="BF690" s="26"/>
      <c r="BG690" s="26"/>
      <c r="BH690" s="26"/>
      <c r="BI690" s="26"/>
      <c r="BJ690" s="26"/>
      <c r="BK690" s="26"/>
    </row>
    <row r="691" ht="14.25" customHeight="1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  <c r="AA691" s="26"/>
      <c r="AB691" s="26"/>
      <c r="AC691" s="26"/>
      <c r="AD691" s="26"/>
      <c r="AE691" s="26"/>
      <c r="AF691" s="26"/>
      <c r="AG691" s="26"/>
      <c r="AH691" s="26"/>
      <c r="AI691" s="26"/>
      <c r="AJ691" s="26"/>
      <c r="AK691" s="26"/>
      <c r="AL691" s="26"/>
      <c r="AM691" s="26"/>
      <c r="AN691" s="26"/>
      <c r="AO691" s="26"/>
      <c r="AP691" s="26"/>
      <c r="AQ691" s="26"/>
      <c r="AR691" s="26"/>
      <c r="AS691" s="26"/>
      <c r="AT691" s="26"/>
      <c r="AU691" s="26"/>
      <c r="AV691" s="26"/>
      <c r="AW691" s="26"/>
      <c r="AX691" s="26"/>
      <c r="AY691" s="26"/>
      <c r="AZ691" s="26"/>
      <c r="BA691" s="26"/>
      <c r="BB691" s="26"/>
      <c r="BC691" s="26"/>
      <c r="BD691" s="26"/>
      <c r="BE691" s="26"/>
      <c r="BF691" s="26"/>
      <c r="BG691" s="26"/>
      <c r="BH691" s="26"/>
      <c r="BI691" s="26"/>
      <c r="BJ691" s="26"/>
      <c r="BK691" s="26"/>
    </row>
    <row r="692" ht="14.25" customHeight="1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  <c r="AB692" s="26"/>
      <c r="AC692" s="26"/>
      <c r="AD692" s="26"/>
      <c r="AE692" s="26"/>
      <c r="AF692" s="26"/>
      <c r="AG692" s="26"/>
      <c r="AH692" s="26"/>
      <c r="AI692" s="26"/>
      <c r="AJ692" s="26"/>
      <c r="AK692" s="26"/>
      <c r="AL692" s="26"/>
      <c r="AM692" s="26"/>
      <c r="AN692" s="26"/>
      <c r="AO692" s="26"/>
      <c r="AP692" s="26"/>
      <c r="AQ692" s="26"/>
      <c r="AR692" s="26"/>
      <c r="AS692" s="26"/>
      <c r="AT692" s="26"/>
      <c r="AU692" s="26"/>
      <c r="AV692" s="26"/>
      <c r="AW692" s="26"/>
      <c r="AX692" s="26"/>
      <c r="AY692" s="26"/>
      <c r="AZ692" s="26"/>
      <c r="BA692" s="26"/>
      <c r="BB692" s="26"/>
      <c r="BC692" s="26"/>
      <c r="BD692" s="26"/>
      <c r="BE692" s="26"/>
      <c r="BF692" s="26"/>
      <c r="BG692" s="26"/>
      <c r="BH692" s="26"/>
      <c r="BI692" s="26"/>
      <c r="BJ692" s="26"/>
      <c r="BK692" s="26"/>
    </row>
    <row r="693" ht="14.25" customHeight="1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  <c r="AA693" s="26"/>
      <c r="AB693" s="26"/>
      <c r="AC693" s="26"/>
      <c r="AD693" s="26"/>
      <c r="AE693" s="26"/>
      <c r="AF693" s="26"/>
      <c r="AG693" s="26"/>
      <c r="AH693" s="26"/>
      <c r="AI693" s="26"/>
      <c r="AJ693" s="26"/>
      <c r="AK693" s="26"/>
      <c r="AL693" s="26"/>
      <c r="AM693" s="26"/>
      <c r="AN693" s="26"/>
      <c r="AO693" s="26"/>
      <c r="AP693" s="26"/>
      <c r="AQ693" s="26"/>
      <c r="AR693" s="26"/>
      <c r="AS693" s="26"/>
      <c r="AT693" s="26"/>
      <c r="AU693" s="26"/>
      <c r="AV693" s="26"/>
      <c r="AW693" s="26"/>
      <c r="AX693" s="26"/>
      <c r="AY693" s="26"/>
      <c r="AZ693" s="26"/>
      <c r="BA693" s="26"/>
      <c r="BB693" s="26"/>
      <c r="BC693" s="26"/>
      <c r="BD693" s="26"/>
      <c r="BE693" s="26"/>
      <c r="BF693" s="26"/>
      <c r="BG693" s="26"/>
      <c r="BH693" s="26"/>
      <c r="BI693" s="26"/>
      <c r="BJ693" s="26"/>
      <c r="BK693" s="26"/>
    </row>
    <row r="694" ht="14.25" customHeight="1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  <c r="AB694" s="26"/>
      <c r="AC694" s="26"/>
      <c r="AD694" s="26"/>
      <c r="AE694" s="26"/>
      <c r="AF694" s="26"/>
      <c r="AG694" s="26"/>
      <c r="AH694" s="26"/>
      <c r="AI694" s="26"/>
      <c r="AJ694" s="26"/>
      <c r="AK694" s="26"/>
      <c r="AL694" s="26"/>
      <c r="AM694" s="26"/>
      <c r="AN694" s="26"/>
      <c r="AO694" s="26"/>
      <c r="AP694" s="26"/>
      <c r="AQ694" s="26"/>
      <c r="AR694" s="26"/>
      <c r="AS694" s="26"/>
      <c r="AT694" s="26"/>
      <c r="AU694" s="26"/>
      <c r="AV694" s="26"/>
      <c r="AW694" s="26"/>
      <c r="AX694" s="26"/>
      <c r="AY694" s="26"/>
      <c r="AZ694" s="26"/>
      <c r="BA694" s="26"/>
      <c r="BB694" s="26"/>
      <c r="BC694" s="26"/>
      <c r="BD694" s="26"/>
      <c r="BE694" s="26"/>
      <c r="BF694" s="26"/>
      <c r="BG694" s="26"/>
      <c r="BH694" s="26"/>
      <c r="BI694" s="26"/>
      <c r="BJ694" s="26"/>
      <c r="BK694" s="26"/>
    </row>
    <row r="695" ht="14.25" customHeight="1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A695" s="26"/>
      <c r="AB695" s="26"/>
      <c r="AC695" s="26"/>
      <c r="AD695" s="26"/>
      <c r="AE695" s="26"/>
      <c r="AF695" s="26"/>
      <c r="AG695" s="26"/>
      <c r="AH695" s="26"/>
      <c r="AI695" s="26"/>
      <c r="AJ695" s="26"/>
      <c r="AK695" s="26"/>
      <c r="AL695" s="26"/>
      <c r="AM695" s="26"/>
      <c r="AN695" s="26"/>
      <c r="AO695" s="26"/>
      <c r="AP695" s="26"/>
      <c r="AQ695" s="26"/>
      <c r="AR695" s="26"/>
      <c r="AS695" s="26"/>
      <c r="AT695" s="26"/>
      <c r="AU695" s="26"/>
      <c r="AV695" s="26"/>
      <c r="AW695" s="26"/>
      <c r="AX695" s="26"/>
      <c r="AY695" s="26"/>
      <c r="AZ695" s="26"/>
      <c r="BA695" s="26"/>
      <c r="BB695" s="26"/>
      <c r="BC695" s="26"/>
      <c r="BD695" s="26"/>
      <c r="BE695" s="26"/>
      <c r="BF695" s="26"/>
      <c r="BG695" s="26"/>
      <c r="BH695" s="26"/>
      <c r="BI695" s="26"/>
      <c r="BJ695" s="26"/>
      <c r="BK695" s="26"/>
    </row>
    <row r="696" ht="14.25" customHeight="1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  <c r="AC696" s="26"/>
      <c r="AD696" s="26"/>
      <c r="AE696" s="26"/>
      <c r="AF696" s="26"/>
      <c r="AG696" s="26"/>
      <c r="AH696" s="26"/>
      <c r="AI696" s="26"/>
      <c r="AJ696" s="26"/>
      <c r="AK696" s="26"/>
      <c r="AL696" s="26"/>
      <c r="AM696" s="26"/>
      <c r="AN696" s="26"/>
      <c r="AO696" s="26"/>
      <c r="AP696" s="26"/>
      <c r="AQ696" s="26"/>
      <c r="AR696" s="26"/>
      <c r="AS696" s="26"/>
      <c r="AT696" s="26"/>
      <c r="AU696" s="26"/>
      <c r="AV696" s="26"/>
      <c r="AW696" s="26"/>
      <c r="AX696" s="26"/>
      <c r="AY696" s="26"/>
      <c r="AZ696" s="26"/>
      <c r="BA696" s="26"/>
      <c r="BB696" s="26"/>
      <c r="BC696" s="26"/>
      <c r="BD696" s="26"/>
      <c r="BE696" s="26"/>
      <c r="BF696" s="26"/>
      <c r="BG696" s="26"/>
      <c r="BH696" s="26"/>
      <c r="BI696" s="26"/>
      <c r="BJ696" s="26"/>
      <c r="BK696" s="26"/>
    </row>
    <row r="697" ht="14.25" customHeight="1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A697" s="26"/>
      <c r="AB697" s="26"/>
      <c r="AC697" s="26"/>
      <c r="AD697" s="26"/>
      <c r="AE697" s="26"/>
      <c r="AF697" s="26"/>
      <c r="AG697" s="26"/>
      <c r="AH697" s="26"/>
      <c r="AI697" s="26"/>
      <c r="AJ697" s="26"/>
      <c r="AK697" s="26"/>
      <c r="AL697" s="26"/>
      <c r="AM697" s="26"/>
      <c r="AN697" s="26"/>
      <c r="AO697" s="26"/>
      <c r="AP697" s="26"/>
      <c r="AQ697" s="26"/>
      <c r="AR697" s="26"/>
      <c r="AS697" s="26"/>
      <c r="AT697" s="26"/>
      <c r="AU697" s="26"/>
      <c r="AV697" s="26"/>
      <c r="AW697" s="26"/>
      <c r="AX697" s="26"/>
      <c r="AY697" s="26"/>
      <c r="AZ697" s="26"/>
      <c r="BA697" s="26"/>
      <c r="BB697" s="26"/>
      <c r="BC697" s="26"/>
      <c r="BD697" s="26"/>
      <c r="BE697" s="26"/>
      <c r="BF697" s="26"/>
      <c r="BG697" s="26"/>
      <c r="BH697" s="26"/>
      <c r="BI697" s="26"/>
      <c r="BJ697" s="26"/>
      <c r="BK697" s="26"/>
    </row>
    <row r="698" ht="14.25" customHeight="1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  <c r="AC698" s="26"/>
      <c r="AD698" s="26"/>
      <c r="AE698" s="26"/>
      <c r="AF698" s="26"/>
      <c r="AG698" s="26"/>
      <c r="AH698" s="26"/>
      <c r="AI698" s="26"/>
      <c r="AJ698" s="26"/>
      <c r="AK698" s="26"/>
      <c r="AL698" s="26"/>
      <c r="AM698" s="26"/>
      <c r="AN698" s="26"/>
      <c r="AO698" s="26"/>
      <c r="AP698" s="26"/>
      <c r="AQ698" s="26"/>
      <c r="AR698" s="26"/>
      <c r="AS698" s="26"/>
      <c r="AT698" s="26"/>
      <c r="AU698" s="26"/>
      <c r="AV698" s="26"/>
      <c r="AW698" s="26"/>
      <c r="AX698" s="26"/>
      <c r="AY698" s="26"/>
      <c r="AZ698" s="26"/>
      <c r="BA698" s="26"/>
      <c r="BB698" s="26"/>
      <c r="BC698" s="26"/>
      <c r="BD698" s="26"/>
      <c r="BE698" s="26"/>
      <c r="BF698" s="26"/>
      <c r="BG698" s="26"/>
      <c r="BH698" s="26"/>
      <c r="BI698" s="26"/>
      <c r="BJ698" s="26"/>
      <c r="BK698" s="26"/>
    </row>
    <row r="699" ht="14.25" customHeight="1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  <c r="AB699" s="26"/>
      <c r="AC699" s="26"/>
      <c r="AD699" s="26"/>
      <c r="AE699" s="26"/>
      <c r="AF699" s="26"/>
      <c r="AG699" s="26"/>
      <c r="AH699" s="26"/>
      <c r="AI699" s="26"/>
      <c r="AJ699" s="26"/>
      <c r="AK699" s="26"/>
      <c r="AL699" s="26"/>
      <c r="AM699" s="26"/>
      <c r="AN699" s="26"/>
      <c r="AO699" s="26"/>
      <c r="AP699" s="26"/>
      <c r="AQ699" s="26"/>
      <c r="AR699" s="26"/>
      <c r="AS699" s="26"/>
      <c r="AT699" s="26"/>
      <c r="AU699" s="26"/>
      <c r="AV699" s="26"/>
      <c r="AW699" s="26"/>
      <c r="AX699" s="26"/>
      <c r="AY699" s="26"/>
      <c r="AZ699" s="26"/>
      <c r="BA699" s="26"/>
      <c r="BB699" s="26"/>
      <c r="BC699" s="26"/>
      <c r="BD699" s="26"/>
      <c r="BE699" s="26"/>
      <c r="BF699" s="26"/>
      <c r="BG699" s="26"/>
      <c r="BH699" s="26"/>
      <c r="BI699" s="26"/>
      <c r="BJ699" s="26"/>
      <c r="BK699" s="26"/>
    </row>
    <row r="700" ht="14.25" customHeight="1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  <c r="AC700" s="26"/>
      <c r="AD700" s="26"/>
      <c r="AE700" s="26"/>
      <c r="AF700" s="26"/>
      <c r="AG700" s="26"/>
      <c r="AH700" s="26"/>
      <c r="AI700" s="26"/>
      <c r="AJ700" s="26"/>
      <c r="AK700" s="26"/>
      <c r="AL700" s="26"/>
      <c r="AM700" s="26"/>
      <c r="AN700" s="26"/>
      <c r="AO700" s="26"/>
      <c r="AP700" s="26"/>
      <c r="AQ700" s="26"/>
      <c r="AR700" s="26"/>
      <c r="AS700" s="26"/>
      <c r="AT700" s="26"/>
      <c r="AU700" s="26"/>
      <c r="AV700" s="26"/>
      <c r="AW700" s="26"/>
      <c r="AX700" s="26"/>
      <c r="AY700" s="26"/>
      <c r="AZ700" s="26"/>
      <c r="BA700" s="26"/>
      <c r="BB700" s="26"/>
      <c r="BC700" s="26"/>
      <c r="BD700" s="26"/>
      <c r="BE700" s="26"/>
      <c r="BF700" s="26"/>
      <c r="BG700" s="26"/>
      <c r="BH700" s="26"/>
      <c r="BI700" s="26"/>
      <c r="BJ700" s="26"/>
      <c r="BK700" s="26"/>
    </row>
    <row r="701" ht="14.25" customHeight="1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  <c r="AA701" s="26"/>
      <c r="AB701" s="26"/>
      <c r="AC701" s="26"/>
      <c r="AD701" s="26"/>
      <c r="AE701" s="26"/>
      <c r="AF701" s="26"/>
      <c r="AG701" s="26"/>
      <c r="AH701" s="26"/>
      <c r="AI701" s="26"/>
      <c r="AJ701" s="26"/>
      <c r="AK701" s="26"/>
      <c r="AL701" s="26"/>
      <c r="AM701" s="26"/>
      <c r="AN701" s="26"/>
      <c r="AO701" s="26"/>
      <c r="AP701" s="26"/>
      <c r="AQ701" s="26"/>
      <c r="AR701" s="26"/>
      <c r="AS701" s="26"/>
      <c r="AT701" s="26"/>
      <c r="AU701" s="26"/>
      <c r="AV701" s="26"/>
      <c r="AW701" s="26"/>
      <c r="AX701" s="26"/>
      <c r="AY701" s="26"/>
      <c r="AZ701" s="26"/>
      <c r="BA701" s="26"/>
      <c r="BB701" s="26"/>
      <c r="BC701" s="26"/>
      <c r="BD701" s="26"/>
      <c r="BE701" s="26"/>
      <c r="BF701" s="26"/>
      <c r="BG701" s="26"/>
      <c r="BH701" s="26"/>
      <c r="BI701" s="26"/>
      <c r="BJ701" s="26"/>
      <c r="BK701" s="26"/>
    </row>
    <row r="702" ht="14.25" customHeight="1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  <c r="AC702" s="26"/>
      <c r="AD702" s="26"/>
      <c r="AE702" s="26"/>
      <c r="AF702" s="26"/>
      <c r="AG702" s="26"/>
      <c r="AH702" s="26"/>
      <c r="AI702" s="26"/>
      <c r="AJ702" s="26"/>
      <c r="AK702" s="26"/>
      <c r="AL702" s="26"/>
      <c r="AM702" s="26"/>
      <c r="AN702" s="26"/>
      <c r="AO702" s="26"/>
      <c r="AP702" s="26"/>
      <c r="AQ702" s="26"/>
      <c r="AR702" s="26"/>
      <c r="AS702" s="26"/>
      <c r="AT702" s="26"/>
      <c r="AU702" s="26"/>
      <c r="AV702" s="26"/>
      <c r="AW702" s="26"/>
      <c r="AX702" s="26"/>
      <c r="AY702" s="26"/>
      <c r="AZ702" s="26"/>
      <c r="BA702" s="26"/>
      <c r="BB702" s="26"/>
      <c r="BC702" s="26"/>
      <c r="BD702" s="26"/>
      <c r="BE702" s="26"/>
      <c r="BF702" s="26"/>
      <c r="BG702" s="26"/>
      <c r="BH702" s="26"/>
      <c r="BI702" s="26"/>
      <c r="BJ702" s="26"/>
      <c r="BK702" s="26"/>
    </row>
    <row r="703" ht="14.25" customHeight="1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  <c r="AA703" s="26"/>
      <c r="AB703" s="26"/>
      <c r="AC703" s="26"/>
      <c r="AD703" s="26"/>
      <c r="AE703" s="26"/>
      <c r="AF703" s="26"/>
      <c r="AG703" s="26"/>
      <c r="AH703" s="26"/>
      <c r="AI703" s="26"/>
      <c r="AJ703" s="26"/>
      <c r="AK703" s="26"/>
      <c r="AL703" s="26"/>
      <c r="AM703" s="26"/>
      <c r="AN703" s="26"/>
      <c r="AO703" s="26"/>
      <c r="AP703" s="26"/>
      <c r="AQ703" s="26"/>
      <c r="AR703" s="26"/>
      <c r="AS703" s="26"/>
      <c r="AT703" s="26"/>
      <c r="AU703" s="26"/>
      <c r="AV703" s="26"/>
      <c r="AW703" s="26"/>
      <c r="AX703" s="26"/>
      <c r="AY703" s="26"/>
      <c r="AZ703" s="26"/>
      <c r="BA703" s="26"/>
      <c r="BB703" s="26"/>
      <c r="BC703" s="26"/>
      <c r="BD703" s="26"/>
      <c r="BE703" s="26"/>
      <c r="BF703" s="26"/>
      <c r="BG703" s="26"/>
      <c r="BH703" s="26"/>
      <c r="BI703" s="26"/>
      <c r="BJ703" s="26"/>
      <c r="BK703" s="26"/>
    </row>
    <row r="704" ht="14.25" customHeight="1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  <c r="AB704" s="26"/>
      <c r="AC704" s="26"/>
      <c r="AD704" s="26"/>
      <c r="AE704" s="26"/>
      <c r="AF704" s="26"/>
      <c r="AG704" s="26"/>
      <c r="AH704" s="26"/>
      <c r="AI704" s="26"/>
      <c r="AJ704" s="26"/>
      <c r="AK704" s="26"/>
      <c r="AL704" s="26"/>
      <c r="AM704" s="26"/>
      <c r="AN704" s="26"/>
      <c r="AO704" s="26"/>
      <c r="AP704" s="26"/>
      <c r="AQ704" s="26"/>
      <c r="AR704" s="26"/>
      <c r="AS704" s="26"/>
      <c r="AT704" s="26"/>
      <c r="AU704" s="26"/>
      <c r="AV704" s="26"/>
      <c r="AW704" s="26"/>
      <c r="AX704" s="26"/>
      <c r="AY704" s="26"/>
      <c r="AZ704" s="26"/>
      <c r="BA704" s="26"/>
      <c r="BB704" s="26"/>
      <c r="BC704" s="26"/>
      <c r="BD704" s="26"/>
      <c r="BE704" s="26"/>
      <c r="BF704" s="26"/>
      <c r="BG704" s="26"/>
      <c r="BH704" s="26"/>
      <c r="BI704" s="26"/>
      <c r="BJ704" s="26"/>
      <c r="BK704" s="26"/>
    </row>
    <row r="705" ht="14.25" customHeight="1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  <c r="AA705" s="26"/>
      <c r="AB705" s="26"/>
      <c r="AC705" s="26"/>
      <c r="AD705" s="26"/>
      <c r="AE705" s="26"/>
      <c r="AF705" s="26"/>
      <c r="AG705" s="26"/>
      <c r="AH705" s="26"/>
      <c r="AI705" s="26"/>
      <c r="AJ705" s="26"/>
      <c r="AK705" s="26"/>
      <c r="AL705" s="26"/>
      <c r="AM705" s="26"/>
      <c r="AN705" s="26"/>
      <c r="AO705" s="26"/>
      <c r="AP705" s="26"/>
      <c r="AQ705" s="26"/>
      <c r="AR705" s="26"/>
      <c r="AS705" s="26"/>
      <c r="AT705" s="26"/>
      <c r="AU705" s="26"/>
      <c r="AV705" s="26"/>
      <c r="AW705" s="26"/>
      <c r="AX705" s="26"/>
      <c r="AY705" s="26"/>
      <c r="AZ705" s="26"/>
      <c r="BA705" s="26"/>
      <c r="BB705" s="26"/>
      <c r="BC705" s="26"/>
      <c r="BD705" s="26"/>
      <c r="BE705" s="26"/>
      <c r="BF705" s="26"/>
      <c r="BG705" s="26"/>
      <c r="BH705" s="26"/>
      <c r="BI705" s="26"/>
      <c r="BJ705" s="26"/>
      <c r="BK705" s="26"/>
    </row>
    <row r="706" ht="14.25" customHeight="1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  <c r="AB706" s="26"/>
      <c r="AC706" s="26"/>
      <c r="AD706" s="26"/>
      <c r="AE706" s="26"/>
      <c r="AF706" s="26"/>
      <c r="AG706" s="26"/>
      <c r="AH706" s="26"/>
      <c r="AI706" s="26"/>
      <c r="AJ706" s="26"/>
      <c r="AK706" s="26"/>
      <c r="AL706" s="26"/>
      <c r="AM706" s="26"/>
      <c r="AN706" s="26"/>
      <c r="AO706" s="26"/>
      <c r="AP706" s="26"/>
      <c r="AQ706" s="26"/>
      <c r="AR706" s="26"/>
      <c r="AS706" s="26"/>
      <c r="AT706" s="26"/>
      <c r="AU706" s="26"/>
      <c r="AV706" s="26"/>
      <c r="AW706" s="26"/>
      <c r="AX706" s="26"/>
      <c r="AY706" s="26"/>
      <c r="AZ706" s="26"/>
      <c r="BA706" s="26"/>
      <c r="BB706" s="26"/>
      <c r="BC706" s="26"/>
      <c r="BD706" s="26"/>
      <c r="BE706" s="26"/>
      <c r="BF706" s="26"/>
      <c r="BG706" s="26"/>
      <c r="BH706" s="26"/>
      <c r="BI706" s="26"/>
      <c r="BJ706" s="26"/>
      <c r="BK706" s="26"/>
    </row>
    <row r="707" ht="14.25" customHeight="1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  <c r="AA707" s="26"/>
      <c r="AB707" s="26"/>
      <c r="AC707" s="26"/>
      <c r="AD707" s="26"/>
      <c r="AE707" s="26"/>
      <c r="AF707" s="26"/>
      <c r="AG707" s="26"/>
      <c r="AH707" s="26"/>
      <c r="AI707" s="26"/>
      <c r="AJ707" s="26"/>
      <c r="AK707" s="26"/>
      <c r="AL707" s="26"/>
      <c r="AM707" s="26"/>
      <c r="AN707" s="26"/>
      <c r="AO707" s="26"/>
      <c r="AP707" s="26"/>
      <c r="AQ707" s="26"/>
      <c r="AR707" s="26"/>
      <c r="AS707" s="26"/>
      <c r="AT707" s="26"/>
      <c r="AU707" s="26"/>
      <c r="AV707" s="26"/>
      <c r="AW707" s="26"/>
      <c r="AX707" s="26"/>
      <c r="AY707" s="26"/>
      <c r="AZ707" s="26"/>
      <c r="BA707" s="26"/>
      <c r="BB707" s="26"/>
      <c r="BC707" s="26"/>
      <c r="BD707" s="26"/>
      <c r="BE707" s="26"/>
      <c r="BF707" s="26"/>
      <c r="BG707" s="26"/>
      <c r="BH707" s="26"/>
      <c r="BI707" s="26"/>
      <c r="BJ707" s="26"/>
      <c r="BK707" s="26"/>
    </row>
    <row r="708" ht="14.25" customHeight="1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  <c r="AB708" s="26"/>
      <c r="AC708" s="26"/>
      <c r="AD708" s="26"/>
      <c r="AE708" s="26"/>
      <c r="AF708" s="26"/>
      <c r="AG708" s="26"/>
      <c r="AH708" s="26"/>
      <c r="AI708" s="26"/>
      <c r="AJ708" s="26"/>
      <c r="AK708" s="26"/>
      <c r="AL708" s="26"/>
      <c r="AM708" s="26"/>
      <c r="AN708" s="26"/>
      <c r="AO708" s="26"/>
      <c r="AP708" s="26"/>
      <c r="AQ708" s="26"/>
      <c r="AR708" s="26"/>
      <c r="AS708" s="26"/>
      <c r="AT708" s="26"/>
      <c r="AU708" s="26"/>
      <c r="AV708" s="26"/>
      <c r="AW708" s="26"/>
      <c r="AX708" s="26"/>
      <c r="AY708" s="26"/>
      <c r="AZ708" s="26"/>
      <c r="BA708" s="26"/>
      <c r="BB708" s="26"/>
      <c r="BC708" s="26"/>
      <c r="BD708" s="26"/>
      <c r="BE708" s="26"/>
      <c r="BF708" s="26"/>
      <c r="BG708" s="26"/>
      <c r="BH708" s="26"/>
      <c r="BI708" s="26"/>
      <c r="BJ708" s="26"/>
      <c r="BK708" s="26"/>
    </row>
    <row r="709" ht="14.25" customHeight="1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/>
      <c r="AB709" s="26"/>
      <c r="AC709" s="26"/>
      <c r="AD709" s="26"/>
      <c r="AE709" s="26"/>
      <c r="AF709" s="26"/>
      <c r="AG709" s="26"/>
      <c r="AH709" s="26"/>
      <c r="AI709" s="26"/>
      <c r="AJ709" s="26"/>
      <c r="AK709" s="26"/>
      <c r="AL709" s="26"/>
      <c r="AM709" s="26"/>
      <c r="AN709" s="26"/>
      <c r="AO709" s="26"/>
      <c r="AP709" s="26"/>
      <c r="AQ709" s="26"/>
      <c r="AR709" s="26"/>
      <c r="AS709" s="26"/>
      <c r="AT709" s="26"/>
      <c r="AU709" s="26"/>
      <c r="AV709" s="26"/>
      <c r="AW709" s="26"/>
      <c r="AX709" s="26"/>
      <c r="AY709" s="26"/>
      <c r="AZ709" s="26"/>
      <c r="BA709" s="26"/>
      <c r="BB709" s="26"/>
      <c r="BC709" s="26"/>
      <c r="BD709" s="26"/>
      <c r="BE709" s="26"/>
      <c r="BF709" s="26"/>
      <c r="BG709" s="26"/>
      <c r="BH709" s="26"/>
      <c r="BI709" s="26"/>
      <c r="BJ709" s="26"/>
      <c r="BK709" s="26"/>
    </row>
    <row r="710" ht="14.25" customHeight="1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  <c r="AB710" s="26"/>
      <c r="AC710" s="26"/>
      <c r="AD710" s="26"/>
      <c r="AE710" s="26"/>
      <c r="AF710" s="26"/>
      <c r="AG710" s="26"/>
      <c r="AH710" s="26"/>
      <c r="AI710" s="26"/>
      <c r="AJ710" s="26"/>
      <c r="AK710" s="26"/>
      <c r="AL710" s="26"/>
      <c r="AM710" s="26"/>
      <c r="AN710" s="26"/>
      <c r="AO710" s="26"/>
      <c r="AP710" s="26"/>
      <c r="AQ710" s="26"/>
      <c r="AR710" s="26"/>
      <c r="AS710" s="26"/>
      <c r="AT710" s="26"/>
      <c r="AU710" s="26"/>
      <c r="AV710" s="26"/>
      <c r="AW710" s="26"/>
      <c r="AX710" s="26"/>
      <c r="AY710" s="26"/>
      <c r="AZ710" s="26"/>
      <c r="BA710" s="26"/>
      <c r="BB710" s="26"/>
      <c r="BC710" s="26"/>
      <c r="BD710" s="26"/>
      <c r="BE710" s="26"/>
      <c r="BF710" s="26"/>
      <c r="BG710" s="26"/>
      <c r="BH710" s="26"/>
      <c r="BI710" s="26"/>
      <c r="BJ710" s="26"/>
      <c r="BK710" s="26"/>
    </row>
    <row r="711" ht="14.25" customHeight="1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  <c r="AA711" s="26"/>
      <c r="AB711" s="26"/>
      <c r="AC711" s="26"/>
      <c r="AD711" s="26"/>
      <c r="AE711" s="26"/>
      <c r="AF711" s="26"/>
      <c r="AG711" s="26"/>
      <c r="AH711" s="26"/>
      <c r="AI711" s="26"/>
      <c r="AJ711" s="26"/>
      <c r="AK711" s="26"/>
      <c r="AL711" s="26"/>
      <c r="AM711" s="26"/>
      <c r="AN711" s="26"/>
      <c r="AO711" s="26"/>
      <c r="AP711" s="26"/>
      <c r="AQ711" s="26"/>
      <c r="AR711" s="26"/>
      <c r="AS711" s="26"/>
      <c r="AT711" s="26"/>
      <c r="AU711" s="26"/>
      <c r="AV711" s="26"/>
      <c r="AW711" s="26"/>
      <c r="AX711" s="26"/>
      <c r="AY711" s="26"/>
      <c r="AZ711" s="26"/>
      <c r="BA711" s="26"/>
      <c r="BB711" s="26"/>
      <c r="BC711" s="26"/>
      <c r="BD711" s="26"/>
      <c r="BE711" s="26"/>
      <c r="BF711" s="26"/>
      <c r="BG711" s="26"/>
      <c r="BH711" s="26"/>
      <c r="BI711" s="26"/>
      <c r="BJ711" s="26"/>
      <c r="BK711" s="26"/>
    </row>
    <row r="712" ht="14.25" customHeight="1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  <c r="AB712" s="26"/>
      <c r="AC712" s="26"/>
      <c r="AD712" s="26"/>
      <c r="AE712" s="26"/>
      <c r="AF712" s="26"/>
      <c r="AG712" s="26"/>
      <c r="AH712" s="26"/>
      <c r="AI712" s="26"/>
      <c r="AJ712" s="26"/>
      <c r="AK712" s="26"/>
      <c r="AL712" s="26"/>
      <c r="AM712" s="26"/>
      <c r="AN712" s="26"/>
      <c r="AO712" s="26"/>
      <c r="AP712" s="26"/>
      <c r="AQ712" s="26"/>
      <c r="AR712" s="26"/>
      <c r="AS712" s="26"/>
      <c r="AT712" s="26"/>
      <c r="AU712" s="26"/>
      <c r="AV712" s="26"/>
      <c r="AW712" s="26"/>
      <c r="AX712" s="26"/>
      <c r="AY712" s="26"/>
      <c r="AZ712" s="26"/>
      <c r="BA712" s="26"/>
      <c r="BB712" s="26"/>
      <c r="BC712" s="26"/>
      <c r="BD712" s="26"/>
      <c r="BE712" s="26"/>
      <c r="BF712" s="26"/>
      <c r="BG712" s="26"/>
      <c r="BH712" s="26"/>
      <c r="BI712" s="26"/>
      <c r="BJ712" s="26"/>
      <c r="BK712" s="26"/>
    </row>
    <row r="713" ht="14.25" customHeight="1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  <c r="AA713" s="26"/>
      <c r="AB713" s="26"/>
      <c r="AC713" s="26"/>
      <c r="AD713" s="26"/>
      <c r="AE713" s="26"/>
      <c r="AF713" s="26"/>
      <c r="AG713" s="26"/>
      <c r="AH713" s="26"/>
      <c r="AI713" s="26"/>
      <c r="AJ713" s="26"/>
      <c r="AK713" s="26"/>
      <c r="AL713" s="26"/>
      <c r="AM713" s="26"/>
      <c r="AN713" s="26"/>
      <c r="AO713" s="26"/>
      <c r="AP713" s="26"/>
      <c r="AQ713" s="26"/>
      <c r="AR713" s="26"/>
      <c r="AS713" s="26"/>
      <c r="AT713" s="26"/>
      <c r="AU713" s="26"/>
      <c r="AV713" s="26"/>
      <c r="AW713" s="26"/>
      <c r="AX713" s="26"/>
      <c r="AY713" s="26"/>
      <c r="AZ713" s="26"/>
      <c r="BA713" s="26"/>
      <c r="BB713" s="26"/>
      <c r="BC713" s="26"/>
      <c r="BD713" s="26"/>
      <c r="BE713" s="26"/>
      <c r="BF713" s="26"/>
      <c r="BG713" s="26"/>
      <c r="BH713" s="26"/>
      <c r="BI713" s="26"/>
      <c r="BJ713" s="26"/>
      <c r="BK713" s="26"/>
    </row>
    <row r="714" ht="14.25" customHeight="1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  <c r="AC714" s="26"/>
      <c r="AD714" s="26"/>
      <c r="AE714" s="26"/>
      <c r="AF714" s="26"/>
      <c r="AG714" s="26"/>
      <c r="AH714" s="26"/>
      <c r="AI714" s="26"/>
      <c r="AJ714" s="26"/>
      <c r="AK714" s="26"/>
      <c r="AL714" s="26"/>
      <c r="AM714" s="26"/>
      <c r="AN714" s="26"/>
      <c r="AO714" s="26"/>
      <c r="AP714" s="26"/>
      <c r="AQ714" s="26"/>
      <c r="AR714" s="26"/>
      <c r="AS714" s="26"/>
      <c r="AT714" s="26"/>
      <c r="AU714" s="26"/>
      <c r="AV714" s="26"/>
      <c r="AW714" s="26"/>
      <c r="AX714" s="26"/>
      <c r="AY714" s="26"/>
      <c r="AZ714" s="26"/>
      <c r="BA714" s="26"/>
      <c r="BB714" s="26"/>
      <c r="BC714" s="26"/>
      <c r="BD714" s="26"/>
      <c r="BE714" s="26"/>
      <c r="BF714" s="26"/>
      <c r="BG714" s="26"/>
      <c r="BH714" s="26"/>
      <c r="BI714" s="26"/>
      <c r="BJ714" s="26"/>
      <c r="BK714" s="26"/>
    </row>
    <row r="715" ht="14.25" customHeight="1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  <c r="AA715" s="26"/>
      <c r="AB715" s="26"/>
      <c r="AC715" s="26"/>
      <c r="AD715" s="26"/>
      <c r="AE715" s="26"/>
      <c r="AF715" s="26"/>
      <c r="AG715" s="26"/>
      <c r="AH715" s="26"/>
      <c r="AI715" s="26"/>
      <c r="AJ715" s="26"/>
      <c r="AK715" s="26"/>
      <c r="AL715" s="26"/>
      <c r="AM715" s="26"/>
      <c r="AN715" s="26"/>
      <c r="AO715" s="26"/>
      <c r="AP715" s="26"/>
      <c r="AQ715" s="26"/>
      <c r="AR715" s="26"/>
      <c r="AS715" s="26"/>
      <c r="AT715" s="26"/>
      <c r="AU715" s="26"/>
      <c r="AV715" s="26"/>
      <c r="AW715" s="26"/>
      <c r="AX715" s="26"/>
      <c r="AY715" s="26"/>
      <c r="AZ715" s="26"/>
      <c r="BA715" s="26"/>
      <c r="BB715" s="26"/>
      <c r="BC715" s="26"/>
      <c r="BD715" s="26"/>
      <c r="BE715" s="26"/>
      <c r="BF715" s="26"/>
      <c r="BG715" s="26"/>
      <c r="BH715" s="26"/>
      <c r="BI715" s="26"/>
      <c r="BJ715" s="26"/>
      <c r="BK715" s="26"/>
    </row>
    <row r="716" ht="14.25" customHeight="1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  <c r="AC716" s="26"/>
      <c r="AD716" s="26"/>
      <c r="AE716" s="26"/>
      <c r="AF716" s="26"/>
      <c r="AG716" s="26"/>
      <c r="AH716" s="26"/>
      <c r="AI716" s="26"/>
      <c r="AJ716" s="26"/>
      <c r="AK716" s="26"/>
      <c r="AL716" s="26"/>
      <c r="AM716" s="26"/>
      <c r="AN716" s="26"/>
      <c r="AO716" s="26"/>
      <c r="AP716" s="26"/>
      <c r="AQ716" s="26"/>
      <c r="AR716" s="26"/>
      <c r="AS716" s="26"/>
      <c r="AT716" s="26"/>
      <c r="AU716" s="26"/>
      <c r="AV716" s="26"/>
      <c r="AW716" s="26"/>
      <c r="AX716" s="26"/>
      <c r="AY716" s="26"/>
      <c r="AZ716" s="26"/>
      <c r="BA716" s="26"/>
      <c r="BB716" s="26"/>
      <c r="BC716" s="26"/>
      <c r="BD716" s="26"/>
      <c r="BE716" s="26"/>
      <c r="BF716" s="26"/>
      <c r="BG716" s="26"/>
      <c r="BH716" s="26"/>
      <c r="BI716" s="26"/>
      <c r="BJ716" s="26"/>
      <c r="BK716" s="26"/>
    </row>
    <row r="717" ht="14.25" customHeight="1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6"/>
      <c r="AB717" s="26"/>
      <c r="AC717" s="26"/>
      <c r="AD717" s="26"/>
      <c r="AE717" s="26"/>
      <c r="AF717" s="26"/>
      <c r="AG717" s="26"/>
      <c r="AH717" s="26"/>
      <c r="AI717" s="26"/>
      <c r="AJ717" s="26"/>
      <c r="AK717" s="26"/>
      <c r="AL717" s="26"/>
      <c r="AM717" s="26"/>
      <c r="AN717" s="26"/>
      <c r="AO717" s="26"/>
      <c r="AP717" s="26"/>
      <c r="AQ717" s="26"/>
      <c r="AR717" s="26"/>
      <c r="AS717" s="26"/>
      <c r="AT717" s="26"/>
      <c r="AU717" s="26"/>
      <c r="AV717" s="26"/>
      <c r="AW717" s="26"/>
      <c r="AX717" s="26"/>
      <c r="AY717" s="26"/>
      <c r="AZ717" s="26"/>
      <c r="BA717" s="26"/>
      <c r="BB717" s="26"/>
      <c r="BC717" s="26"/>
      <c r="BD717" s="26"/>
      <c r="BE717" s="26"/>
      <c r="BF717" s="26"/>
      <c r="BG717" s="26"/>
      <c r="BH717" s="26"/>
      <c r="BI717" s="26"/>
      <c r="BJ717" s="26"/>
      <c r="BK717" s="26"/>
    </row>
    <row r="718" ht="14.25" customHeight="1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  <c r="AB718" s="26"/>
      <c r="AC718" s="26"/>
      <c r="AD718" s="26"/>
      <c r="AE718" s="26"/>
      <c r="AF718" s="26"/>
      <c r="AG718" s="26"/>
      <c r="AH718" s="26"/>
      <c r="AI718" s="26"/>
      <c r="AJ718" s="26"/>
      <c r="AK718" s="26"/>
      <c r="AL718" s="26"/>
      <c r="AM718" s="26"/>
      <c r="AN718" s="26"/>
      <c r="AO718" s="26"/>
      <c r="AP718" s="26"/>
      <c r="AQ718" s="26"/>
      <c r="AR718" s="26"/>
      <c r="AS718" s="26"/>
      <c r="AT718" s="26"/>
      <c r="AU718" s="26"/>
      <c r="AV718" s="26"/>
      <c r="AW718" s="26"/>
      <c r="AX718" s="26"/>
      <c r="AY718" s="26"/>
      <c r="AZ718" s="26"/>
      <c r="BA718" s="26"/>
      <c r="BB718" s="26"/>
      <c r="BC718" s="26"/>
      <c r="BD718" s="26"/>
      <c r="BE718" s="26"/>
      <c r="BF718" s="26"/>
      <c r="BG718" s="26"/>
      <c r="BH718" s="26"/>
      <c r="BI718" s="26"/>
      <c r="BJ718" s="26"/>
      <c r="BK718" s="26"/>
    </row>
    <row r="719" ht="14.25" customHeight="1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  <c r="AA719" s="26"/>
      <c r="AB719" s="26"/>
      <c r="AC719" s="26"/>
      <c r="AD719" s="26"/>
      <c r="AE719" s="26"/>
      <c r="AF719" s="26"/>
      <c r="AG719" s="26"/>
      <c r="AH719" s="26"/>
      <c r="AI719" s="26"/>
      <c r="AJ719" s="26"/>
      <c r="AK719" s="26"/>
      <c r="AL719" s="26"/>
      <c r="AM719" s="26"/>
      <c r="AN719" s="26"/>
      <c r="AO719" s="26"/>
      <c r="AP719" s="26"/>
      <c r="AQ719" s="26"/>
      <c r="AR719" s="26"/>
      <c r="AS719" s="26"/>
      <c r="AT719" s="26"/>
      <c r="AU719" s="26"/>
      <c r="AV719" s="26"/>
      <c r="AW719" s="26"/>
      <c r="AX719" s="26"/>
      <c r="AY719" s="26"/>
      <c r="AZ719" s="26"/>
      <c r="BA719" s="26"/>
      <c r="BB719" s="26"/>
      <c r="BC719" s="26"/>
      <c r="BD719" s="26"/>
      <c r="BE719" s="26"/>
      <c r="BF719" s="26"/>
      <c r="BG719" s="26"/>
      <c r="BH719" s="26"/>
      <c r="BI719" s="26"/>
      <c r="BJ719" s="26"/>
      <c r="BK719" s="26"/>
    </row>
    <row r="720" ht="14.25" customHeight="1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  <c r="AB720" s="26"/>
      <c r="AC720" s="26"/>
      <c r="AD720" s="26"/>
      <c r="AE720" s="26"/>
      <c r="AF720" s="26"/>
      <c r="AG720" s="26"/>
      <c r="AH720" s="26"/>
      <c r="AI720" s="26"/>
      <c r="AJ720" s="26"/>
      <c r="AK720" s="26"/>
      <c r="AL720" s="26"/>
      <c r="AM720" s="26"/>
      <c r="AN720" s="26"/>
      <c r="AO720" s="26"/>
      <c r="AP720" s="26"/>
      <c r="AQ720" s="26"/>
      <c r="AR720" s="26"/>
      <c r="AS720" s="26"/>
      <c r="AT720" s="26"/>
      <c r="AU720" s="26"/>
      <c r="AV720" s="26"/>
      <c r="AW720" s="26"/>
      <c r="AX720" s="26"/>
      <c r="AY720" s="26"/>
      <c r="AZ720" s="26"/>
      <c r="BA720" s="26"/>
      <c r="BB720" s="26"/>
      <c r="BC720" s="26"/>
      <c r="BD720" s="26"/>
      <c r="BE720" s="26"/>
      <c r="BF720" s="26"/>
      <c r="BG720" s="26"/>
      <c r="BH720" s="26"/>
      <c r="BI720" s="26"/>
      <c r="BJ720" s="26"/>
      <c r="BK720" s="26"/>
    </row>
    <row r="721" ht="14.25" customHeight="1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  <c r="AA721" s="26"/>
      <c r="AB721" s="26"/>
      <c r="AC721" s="26"/>
      <c r="AD721" s="26"/>
      <c r="AE721" s="26"/>
      <c r="AF721" s="26"/>
      <c r="AG721" s="26"/>
      <c r="AH721" s="26"/>
      <c r="AI721" s="26"/>
      <c r="AJ721" s="26"/>
      <c r="AK721" s="26"/>
      <c r="AL721" s="26"/>
      <c r="AM721" s="26"/>
      <c r="AN721" s="26"/>
      <c r="AO721" s="26"/>
      <c r="AP721" s="26"/>
      <c r="AQ721" s="26"/>
      <c r="AR721" s="26"/>
      <c r="AS721" s="26"/>
      <c r="AT721" s="26"/>
      <c r="AU721" s="26"/>
      <c r="AV721" s="26"/>
      <c r="AW721" s="26"/>
      <c r="AX721" s="26"/>
      <c r="AY721" s="26"/>
      <c r="AZ721" s="26"/>
      <c r="BA721" s="26"/>
      <c r="BB721" s="26"/>
      <c r="BC721" s="26"/>
      <c r="BD721" s="26"/>
      <c r="BE721" s="26"/>
      <c r="BF721" s="26"/>
      <c r="BG721" s="26"/>
      <c r="BH721" s="26"/>
      <c r="BI721" s="26"/>
      <c r="BJ721" s="26"/>
      <c r="BK721" s="26"/>
    </row>
    <row r="722" ht="14.25" customHeight="1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  <c r="AC722" s="26"/>
      <c r="AD722" s="26"/>
      <c r="AE722" s="26"/>
      <c r="AF722" s="26"/>
      <c r="AG722" s="26"/>
      <c r="AH722" s="26"/>
      <c r="AI722" s="26"/>
      <c r="AJ722" s="26"/>
      <c r="AK722" s="26"/>
      <c r="AL722" s="26"/>
      <c r="AM722" s="26"/>
      <c r="AN722" s="26"/>
      <c r="AO722" s="26"/>
      <c r="AP722" s="26"/>
      <c r="AQ722" s="26"/>
      <c r="AR722" s="26"/>
      <c r="AS722" s="26"/>
      <c r="AT722" s="26"/>
      <c r="AU722" s="26"/>
      <c r="AV722" s="26"/>
      <c r="AW722" s="26"/>
      <c r="AX722" s="26"/>
      <c r="AY722" s="26"/>
      <c r="AZ722" s="26"/>
      <c r="BA722" s="26"/>
      <c r="BB722" s="26"/>
      <c r="BC722" s="26"/>
      <c r="BD722" s="26"/>
      <c r="BE722" s="26"/>
      <c r="BF722" s="26"/>
      <c r="BG722" s="26"/>
      <c r="BH722" s="26"/>
      <c r="BI722" s="26"/>
      <c r="BJ722" s="26"/>
      <c r="BK722" s="26"/>
    </row>
    <row r="723" ht="14.25" customHeight="1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  <c r="AA723" s="26"/>
      <c r="AB723" s="26"/>
      <c r="AC723" s="26"/>
      <c r="AD723" s="26"/>
      <c r="AE723" s="26"/>
      <c r="AF723" s="26"/>
      <c r="AG723" s="26"/>
      <c r="AH723" s="26"/>
      <c r="AI723" s="26"/>
      <c r="AJ723" s="26"/>
      <c r="AK723" s="26"/>
      <c r="AL723" s="26"/>
      <c r="AM723" s="26"/>
      <c r="AN723" s="26"/>
      <c r="AO723" s="26"/>
      <c r="AP723" s="26"/>
      <c r="AQ723" s="26"/>
      <c r="AR723" s="26"/>
      <c r="AS723" s="26"/>
      <c r="AT723" s="26"/>
      <c r="AU723" s="26"/>
      <c r="AV723" s="26"/>
      <c r="AW723" s="26"/>
      <c r="AX723" s="26"/>
      <c r="AY723" s="26"/>
      <c r="AZ723" s="26"/>
      <c r="BA723" s="26"/>
      <c r="BB723" s="26"/>
      <c r="BC723" s="26"/>
      <c r="BD723" s="26"/>
      <c r="BE723" s="26"/>
      <c r="BF723" s="26"/>
      <c r="BG723" s="26"/>
      <c r="BH723" s="26"/>
      <c r="BI723" s="26"/>
      <c r="BJ723" s="26"/>
      <c r="BK723" s="26"/>
    </row>
    <row r="724" ht="14.25" customHeight="1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  <c r="AC724" s="26"/>
      <c r="AD724" s="26"/>
      <c r="AE724" s="26"/>
      <c r="AF724" s="26"/>
      <c r="AG724" s="26"/>
      <c r="AH724" s="26"/>
      <c r="AI724" s="26"/>
      <c r="AJ724" s="26"/>
      <c r="AK724" s="26"/>
      <c r="AL724" s="26"/>
      <c r="AM724" s="26"/>
      <c r="AN724" s="26"/>
      <c r="AO724" s="26"/>
      <c r="AP724" s="26"/>
      <c r="AQ724" s="26"/>
      <c r="AR724" s="26"/>
      <c r="AS724" s="26"/>
      <c r="AT724" s="26"/>
      <c r="AU724" s="26"/>
      <c r="AV724" s="26"/>
      <c r="AW724" s="26"/>
      <c r="AX724" s="26"/>
      <c r="AY724" s="26"/>
      <c r="AZ724" s="26"/>
      <c r="BA724" s="26"/>
      <c r="BB724" s="26"/>
      <c r="BC724" s="26"/>
      <c r="BD724" s="26"/>
      <c r="BE724" s="26"/>
      <c r="BF724" s="26"/>
      <c r="BG724" s="26"/>
      <c r="BH724" s="26"/>
      <c r="BI724" s="26"/>
      <c r="BJ724" s="26"/>
      <c r="BK724" s="26"/>
    </row>
    <row r="725" ht="14.25" customHeight="1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  <c r="AA725" s="26"/>
      <c r="AB725" s="26"/>
      <c r="AC725" s="26"/>
      <c r="AD725" s="26"/>
      <c r="AE725" s="26"/>
      <c r="AF725" s="26"/>
      <c r="AG725" s="26"/>
      <c r="AH725" s="26"/>
      <c r="AI725" s="26"/>
      <c r="AJ725" s="26"/>
      <c r="AK725" s="26"/>
      <c r="AL725" s="26"/>
      <c r="AM725" s="26"/>
      <c r="AN725" s="26"/>
      <c r="AO725" s="26"/>
      <c r="AP725" s="26"/>
      <c r="AQ725" s="26"/>
      <c r="AR725" s="26"/>
      <c r="AS725" s="26"/>
      <c r="AT725" s="26"/>
      <c r="AU725" s="26"/>
      <c r="AV725" s="26"/>
      <c r="AW725" s="26"/>
      <c r="AX725" s="26"/>
      <c r="AY725" s="26"/>
      <c r="AZ725" s="26"/>
      <c r="BA725" s="26"/>
      <c r="BB725" s="26"/>
      <c r="BC725" s="26"/>
      <c r="BD725" s="26"/>
      <c r="BE725" s="26"/>
      <c r="BF725" s="26"/>
      <c r="BG725" s="26"/>
      <c r="BH725" s="26"/>
      <c r="BI725" s="26"/>
      <c r="BJ725" s="26"/>
      <c r="BK725" s="26"/>
    </row>
    <row r="726" ht="14.25" customHeight="1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  <c r="AC726" s="26"/>
      <c r="AD726" s="26"/>
      <c r="AE726" s="26"/>
      <c r="AF726" s="26"/>
      <c r="AG726" s="26"/>
      <c r="AH726" s="26"/>
      <c r="AI726" s="26"/>
      <c r="AJ726" s="26"/>
      <c r="AK726" s="26"/>
      <c r="AL726" s="26"/>
      <c r="AM726" s="26"/>
      <c r="AN726" s="26"/>
      <c r="AO726" s="26"/>
      <c r="AP726" s="26"/>
      <c r="AQ726" s="26"/>
      <c r="AR726" s="26"/>
      <c r="AS726" s="26"/>
      <c r="AT726" s="26"/>
      <c r="AU726" s="26"/>
      <c r="AV726" s="26"/>
      <c r="AW726" s="26"/>
      <c r="AX726" s="26"/>
      <c r="AY726" s="26"/>
      <c r="AZ726" s="26"/>
      <c r="BA726" s="26"/>
      <c r="BB726" s="26"/>
      <c r="BC726" s="26"/>
      <c r="BD726" s="26"/>
      <c r="BE726" s="26"/>
      <c r="BF726" s="26"/>
      <c r="BG726" s="26"/>
      <c r="BH726" s="26"/>
      <c r="BI726" s="26"/>
      <c r="BJ726" s="26"/>
      <c r="BK726" s="26"/>
    </row>
    <row r="727" ht="14.25" customHeight="1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  <c r="AA727" s="26"/>
      <c r="AB727" s="26"/>
      <c r="AC727" s="26"/>
      <c r="AD727" s="26"/>
      <c r="AE727" s="26"/>
      <c r="AF727" s="26"/>
      <c r="AG727" s="26"/>
      <c r="AH727" s="26"/>
      <c r="AI727" s="26"/>
      <c r="AJ727" s="26"/>
      <c r="AK727" s="26"/>
      <c r="AL727" s="26"/>
      <c r="AM727" s="26"/>
      <c r="AN727" s="26"/>
      <c r="AO727" s="26"/>
      <c r="AP727" s="26"/>
      <c r="AQ727" s="26"/>
      <c r="AR727" s="26"/>
      <c r="AS727" s="26"/>
      <c r="AT727" s="26"/>
      <c r="AU727" s="26"/>
      <c r="AV727" s="26"/>
      <c r="AW727" s="26"/>
      <c r="AX727" s="26"/>
      <c r="AY727" s="26"/>
      <c r="AZ727" s="26"/>
      <c r="BA727" s="26"/>
      <c r="BB727" s="26"/>
      <c r="BC727" s="26"/>
      <c r="BD727" s="26"/>
      <c r="BE727" s="26"/>
      <c r="BF727" s="26"/>
      <c r="BG727" s="26"/>
      <c r="BH727" s="26"/>
      <c r="BI727" s="26"/>
      <c r="BJ727" s="26"/>
      <c r="BK727" s="26"/>
    </row>
    <row r="728" ht="14.25" customHeight="1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  <c r="AC728" s="26"/>
      <c r="AD728" s="26"/>
      <c r="AE728" s="26"/>
      <c r="AF728" s="26"/>
      <c r="AG728" s="26"/>
      <c r="AH728" s="26"/>
      <c r="AI728" s="26"/>
      <c r="AJ728" s="26"/>
      <c r="AK728" s="26"/>
      <c r="AL728" s="26"/>
      <c r="AM728" s="26"/>
      <c r="AN728" s="26"/>
      <c r="AO728" s="26"/>
      <c r="AP728" s="26"/>
      <c r="AQ728" s="26"/>
      <c r="AR728" s="26"/>
      <c r="AS728" s="26"/>
      <c r="AT728" s="26"/>
      <c r="AU728" s="26"/>
      <c r="AV728" s="26"/>
      <c r="AW728" s="26"/>
      <c r="AX728" s="26"/>
      <c r="AY728" s="26"/>
      <c r="AZ728" s="26"/>
      <c r="BA728" s="26"/>
      <c r="BB728" s="26"/>
      <c r="BC728" s="26"/>
      <c r="BD728" s="26"/>
      <c r="BE728" s="26"/>
      <c r="BF728" s="26"/>
      <c r="BG728" s="26"/>
      <c r="BH728" s="26"/>
      <c r="BI728" s="26"/>
      <c r="BJ728" s="26"/>
      <c r="BK728" s="26"/>
    </row>
    <row r="729" ht="14.25" customHeight="1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  <c r="AA729" s="26"/>
      <c r="AB729" s="26"/>
      <c r="AC729" s="26"/>
      <c r="AD729" s="26"/>
      <c r="AE729" s="26"/>
      <c r="AF729" s="26"/>
      <c r="AG729" s="26"/>
      <c r="AH729" s="26"/>
      <c r="AI729" s="26"/>
      <c r="AJ729" s="26"/>
      <c r="AK729" s="26"/>
      <c r="AL729" s="26"/>
      <c r="AM729" s="26"/>
      <c r="AN729" s="26"/>
      <c r="AO729" s="26"/>
      <c r="AP729" s="26"/>
      <c r="AQ729" s="26"/>
      <c r="AR729" s="26"/>
      <c r="AS729" s="26"/>
      <c r="AT729" s="26"/>
      <c r="AU729" s="26"/>
      <c r="AV729" s="26"/>
      <c r="AW729" s="26"/>
      <c r="AX729" s="26"/>
      <c r="AY729" s="26"/>
      <c r="AZ729" s="26"/>
      <c r="BA729" s="26"/>
      <c r="BB729" s="26"/>
      <c r="BC729" s="26"/>
      <c r="BD729" s="26"/>
      <c r="BE729" s="26"/>
      <c r="BF729" s="26"/>
      <c r="BG729" s="26"/>
      <c r="BH729" s="26"/>
      <c r="BI729" s="26"/>
      <c r="BJ729" s="26"/>
      <c r="BK729" s="26"/>
    </row>
    <row r="730" ht="14.25" customHeight="1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  <c r="AC730" s="26"/>
      <c r="AD730" s="26"/>
      <c r="AE730" s="26"/>
      <c r="AF730" s="26"/>
      <c r="AG730" s="26"/>
      <c r="AH730" s="26"/>
      <c r="AI730" s="26"/>
      <c r="AJ730" s="26"/>
      <c r="AK730" s="26"/>
      <c r="AL730" s="26"/>
      <c r="AM730" s="26"/>
      <c r="AN730" s="26"/>
      <c r="AO730" s="26"/>
      <c r="AP730" s="26"/>
      <c r="AQ730" s="26"/>
      <c r="AR730" s="26"/>
      <c r="AS730" s="26"/>
      <c r="AT730" s="26"/>
      <c r="AU730" s="26"/>
      <c r="AV730" s="26"/>
      <c r="AW730" s="26"/>
      <c r="AX730" s="26"/>
      <c r="AY730" s="26"/>
      <c r="AZ730" s="26"/>
      <c r="BA730" s="26"/>
      <c r="BB730" s="26"/>
      <c r="BC730" s="26"/>
      <c r="BD730" s="26"/>
      <c r="BE730" s="26"/>
      <c r="BF730" s="26"/>
      <c r="BG730" s="26"/>
      <c r="BH730" s="26"/>
      <c r="BI730" s="26"/>
      <c r="BJ730" s="26"/>
      <c r="BK730" s="26"/>
    </row>
    <row r="731" ht="14.25" customHeight="1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  <c r="AA731" s="26"/>
      <c r="AB731" s="26"/>
      <c r="AC731" s="26"/>
      <c r="AD731" s="26"/>
      <c r="AE731" s="26"/>
      <c r="AF731" s="26"/>
      <c r="AG731" s="26"/>
      <c r="AH731" s="26"/>
      <c r="AI731" s="26"/>
      <c r="AJ731" s="26"/>
      <c r="AK731" s="26"/>
      <c r="AL731" s="26"/>
      <c r="AM731" s="26"/>
      <c r="AN731" s="26"/>
      <c r="AO731" s="26"/>
      <c r="AP731" s="26"/>
      <c r="AQ731" s="26"/>
      <c r="AR731" s="26"/>
      <c r="AS731" s="26"/>
      <c r="AT731" s="26"/>
      <c r="AU731" s="26"/>
      <c r="AV731" s="26"/>
      <c r="AW731" s="26"/>
      <c r="AX731" s="26"/>
      <c r="AY731" s="26"/>
      <c r="AZ731" s="26"/>
      <c r="BA731" s="26"/>
      <c r="BB731" s="26"/>
      <c r="BC731" s="26"/>
      <c r="BD731" s="26"/>
      <c r="BE731" s="26"/>
      <c r="BF731" s="26"/>
      <c r="BG731" s="26"/>
      <c r="BH731" s="26"/>
      <c r="BI731" s="26"/>
      <c r="BJ731" s="26"/>
      <c r="BK731" s="26"/>
    </row>
    <row r="732" ht="14.25" customHeight="1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  <c r="AB732" s="26"/>
      <c r="AC732" s="26"/>
      <c r="AD732" s="26"/>
      <c r="AE732" s="26"/>
      <c r="AF732" s="26"/>
      <c r="AG732" s="26"/>
      <c r="AH732" s="26"/>
      <c r="AI732" s="26"/>
      <c r="AJ732" s="26"/>
      <c r="AK732" s="26"/>
      <c r="AL732" s="26"/>
      <c r="AM732" s="26"/>
      <c r="AN732" s="26"/>
      <c r="AO732" s="26"/>
      <c r="AP732" s="26"/>
      <c r="AQ732" s="26"/>
      <c r="AR732" s="26"/>
      <c r="AS732" s="26"/>
      <c r="AT732" s="26"/>
      <c r="AU732" s="26"/>
      <c r="AV732" s="26"/>
      <c r="AW732" s="26"/>
      <c r="AX732" s="26"/>
      <c r="AY732" s="26"/>
      <c r="AZ732" s="26"/>
      <c r="BA732" s="26"/>
      <c r="BB732" s="26"/>
      <c r="BC732" s="26"/>
      <c r="BD732" s="26"/>
      <c r="BE732" s="26"/>
      <c r="BF732" s="26"/>
      <c r="BG732" s="26"/>
      <c r="BH732" s="26"/>
      <c r="BI732" s="26"/>
      <c r="BJ732" s="26"/>
      <c r="BK732" s="26"/>
    </row>
    <row r="733" ht="14.25" customHeight="1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  <c r="AA733" s="26"/>
      <c r="AB733" s="26"/>
      <c r="AC733" s="26"/>
      <c r="AD733" s="26"/>
      <c r="AE733" s="26"/>
      <c r="AF733" s="26"/>
      <c r="AG733" s="26"/>
      <c r="AH733" s="26"/>
      <c r="AI733" s="26"/>
      <c r="AJ733" s="26"/>
      <c r="AK733" s="26"/>
      <c r="AL733" s="26"/>
      <c r="AM733" s="26"/>
      <c r="AN733" s="26"/>
      <c r="AO733" s="26"/>
      <c r="AP733" s="26"/>
      <c r="AQ733" s="26"/>
      <c r="AR733" s="26"/>
      <c r="AS733" s="26"/>
      <c r="AT733" s="26"/>
      <c r="AU733" s="26"/>
      <c r="AV733" s="26"/>
      <c r="AW733" s="26"/>
      <c r="AX733" s="26"/>
      <c r="AY733" s="26"/>
      <c r="AZ733" s="26"/>
      <c r="BA733" s="26"/>
      <c r="BB733" s="26"/>
      <c r="BC733" s="26"/>
      <c r="BD733" s="26"/>
      <c r="BE733" s="26"/>
      <c r="BF733" s="26"/>
      <c r="BG733" s="26"/>
      <c r="BH733" s="26"/>
      <c r="BI733" s="26"/>
      <c r="BJ733" s="26"/>
      <c r="BK733" s="26"/>
    </row>
    <row r="734" ht="14.25" customHeight="1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  <c r="AB734" s="26"/>
      <c r="AC734" s="26"/>
      <c r="AD734" s="26"/>
      <c r="AE734" s="26"/>
      <c r="AF734" s="26"/>
      <c r="AG734" s="26"/>
      <c r="AH734" s="26"/>
      <c r="AI734" s="26"/>
      <c r="AJ734" s="26"/>
      <c r="AK734" s="26"/>
      <c r="AL734" s="26"/>
      <c r="AM734" s="26"/>
      <c r="AN734" s="26"/>
      <c r="AO734" s="26"/>
      <c r="AP734" s="26"/>
      <c r="AQ734" s="26"/>
      <c r="AR734" s="26"/>
      <c r="AS734" s="26"/>
      <c r="AT734" s="26"/>
      <c r="AU734" s="26"/>
      <c r="AV734" s="26"/>
      <c r="AW734" s="26"/>
      <c r="AX734" s="26"/>
      <c r="AY734" s="26"/>
      <c r="AZ734" s="26"/>
      <c r="BA734" s="26"/>
      <c r="BB734" s="26"/>
      <c r="BC734" s="26"/>
      <c r="BD734" s="26"/>
      <c r="BE734" s="26"/>
      <c r="BF734" s="26"/>
      <c r="BG734" s="26"/>
      <c r="BH734" s="26"/>
      <c r="BI734" s="26"/>
      <c r="BJ734" s="26"/>
      <c r="BK734" s="26"/>
    </row>
    <row r="735" ht="14.25" customHeight="1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  <c r="AA735" s="26"/>
      <c r="AB735" s="26"/>
      <c r="AC735" s="26"/>
      <c r="AD735" s="26"/>
      <c r="AE735" s="26"/>
      <c r="AF735" s="26"/>
      <c r="AG735" s="26"/>
      <c r="AH735" s="26"/>
      <c r="AI735" s="26"/>
      <c r="AJ735" s="26"/>
      <c r="AK735" s="26"/>
      <c r="AL735" s="26"/>
      <c r="AM735" s="26"/>
      <c r="AN735" s="26"/>
      <c r="AO735" s="26"/>
      <c r="AP735" s="26"/>
      <c r="AQ735" s="26"/>
      <c r="AR735" s="26"/>
      <c r="AS735" s="26"/>
      <c r="AT735" s="26"/>
      <c r="AU735" s="26"/>
      <c r="AV735" s="26"/>
      <c r="AW735" s="26"/>
      <c r="AX735" s="26"/>
      <c r="AY735" s="26"/>
      <c r="AZ735" s="26"/>
      <c r="BA735" s="26"/>
      <c r="BB735" s="26"/>
      <c r="BC735" s="26"/>
      <c r="BD735" s="26"/>
      <c r="BE735" s="26"/>
      <c r="BF735" s="26"/>
      <c r="BG735" s="26"/>
      <c r="BH735" s="26"/>
      <c r="BI735" s="26"/>
      <c r="BJ735" s="26"/>
      <c r="BK735" s="26"/>
    </row>
    <row r="736" ht="14.25" customHeight="1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  <c r="AC736" s="26"/>
      <c r="AD736" s="26"/>
      <c r="AE736" s="26"/>
      <c r="AF736" s="26"/>
      <c r="AG736" s="26"/>
      <c r="AH736" s="26"/>
      <c r="AI736" s="26"/>
      <c r="AJ736" s="26"/>
      <c r="AK736" s="26"/>
      <c r="AL736" s="26"/>
      <c r="AM736" s="26"/>
      <c r="AN736" s="26"/>
      <c r="AO736" s="26"/>
      <c r="AP736" s="26"/>
      <c r="AQ736" s="26"/>
      <c r="AR736" s="26"/>
      <c r="AS736" s="26"/>
      <c r="AT736" s="26"/>
      <c r="AU736" s="26"/>
      <c r="AV736" s="26"/>
      <c r="AW736" s="26"/>
      <c r="AX736" s="26"/>
      <c r="AY736" s="26"/>
      <c r="AZ736" s="26"/>
      <c r="BA736" s="26"/>
      <c r="BB736" s="26"/>
      <c r="BC736" s="26"/>
      <c r="BD736" s="26"/>
      <c r="BE736" s="26"/>
      <c r="BF736" s="26"/>
      <c r="BG736" s="26"/>
      <c r="BH736" s="26"/>
      <c r="BI736" s="26"/>
      <c r="BJ736" s="26"/>
      <c r="BK736" s="26"/>
    </row>
    <row r="737" ht="14.25" customHeight="1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  <c r="AA737" s="26"/>
      <c r="AB737" s="26"/>
      <c r="AC737" s="26"/>
      <c r="AD737" s="26"/>
      <c r="AE737" s="26"/>
      <c r="AF737" s="26"/>
      <c r="AG737" s="26"/>
      <c r="AH737" s="26"/>
      <c r="AI737" s="26"/>
      <c r="AJ737" s="26"/>
      <c r="AK737" s="26"/>
      <c r="AL737" s="26"/>
      <c r="AM737" s="26"/>
      <c r="AN737" s="26"/>
      <c r="AO737" s="26"/>
      <c r="AP737" s="26"/>
      <c r="AQ737" s="26"/>
      <c r="AR737" s="26"/>
      <c r="AS737" s="26"/>
      <c r="AT737" s="26"/>
      <c r="AU737" s="26"/>
      <c r="AV737" s="26"/>
      <c r="AW737" s="26"/>
      <c r="AX737" s="26"/>
      <c r="AY737" s="26"/>
      <c r="AZ737" s="26"/>
      <c r="BA737" s="26"/>
      <c r="BB737" s="26"/>
      <c r="BC737" s="26"/>
      <c r="BD737" s="26"/>
      <c r="BE737" s="26"/>
      <c r="BF737" s="26"/>
      <c r="BG737" s="26"/>
      <c r="BH737" s="26"/>
      <c r="BI737" s="26"/>
      <c r="BJ737" s="26"/>
      <c r="BK737" s="26"/>
    </row>
    <row r="738" ht="14.25" customHeight="1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  <c r="AB738" s="26"/>
      <c r="AC738" s="26"/>
      <c r="AD738" s="26"/>
      <c r="AE738" s="26"/>
      <c r="AF738" s="26"/>
      <c r="AG738" s="26"/>
      <c r="AH738" s="26"/>
      <c r="AI738" s="26"/>
      <c r="AJ738" s="26"/>
      <c r="AK738" s="26"/>
      <c r="AL738" s="26"/>
      <c r="AM738" s="26"/>
      <c r="AN738" s="26"/>
      <c r="AO738" s="26"/>
      <c r="AP738" s="26"/>
      <c r="AQ738" s="26"/>
      <c r="AR738" s="26"/>
      <c r="AS738" s="26"/>
      <c r="AT738" s="26"/>
      <c r="AU738" s="26"/>
      <c r="AV738" s="26"/>
      <c r="AW738" s="26"/>
      <c r="AX738" s="26"/>
      <c r="AY738" s="26"/>
      <c r="AZ738" s="26"/>
      <c r="BA738" s="26"/>
      <c r="BB738" s="26"/>
      <c r="BC738" s="26"/>
      <c r="BD738" s="26"/>
      <c r="BE738" s="26"/>
      <c r="BF738" s="26"/>
      <c r="BG738" s="26"/>
      <c r="BH738" s="26"/>
      <c r="BI738" s="26"/>
      <c r="BJ738" s="26"/>
      <c r="BK738" s="26"/>
    </row>
    <row r="739" ht="14.25" customHeight="1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  <c r="AA739" s="26"/>
      <c r="AB739" s="26"/>
      <c r="AC739" s="26"/>
      <c r="AD739" s="26"/>
      <c r="AE739" s="26"/>
      <c r="AF739" s="26"/>
      <c r="AG739" s="26"/>
      <c r="AH739" s="26"/>
      <c r="AI739" s="26"/>
      <c r="AJ739" s="26"/>
      <c r="AK739" s="26"/>
      <c r="AL739" s="26"/>
      <c r="AM739" s="26"/>
      <c r="AN739" s="26"/>
      <c r="AO739" s="26"/>
      <c r="AP739" s="26"/>
      <c r="AQ739" s="26"/>
      <c r="AR739" s="26"/>
      <c r="AS739" s="26"/>
      <c r="AT739" s="26"/>
      <c r="AU739" s="26"/>
      <c r="AV739" s="26"/>
      <c r="AW739" s="26"/>
      <c r="AX739" s="26"/>
      <c r="AY739" s="26"/>
      <c r="AZ739" s="26"/>
      <c r="BA739" s="26"/>
      <c r="BB739" s="26"/>
      <c r="BC739" s="26"/>
      <c r="BD739" s="26"/>
      <c r="BE739" s="26"/>
      <c r="BF739" s="26"/>
      <c r="BG739" s="26"/>
      <c r="BH739" s="26"/>
      <c r="BI739" s="26"/>
      <c r="BJ739" s="26"/>
      <c r="BK739" s="26"/>
    </row>
    <row r="740" ht="14.25" customHeight="1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  <c r="AB740" s="26"/>
      <c r="AC740" s="26"/>
      <c r="AD740" s="26"/>
      <c r="AE740" s="26"/>
      <c r="AF740" s="26"/>
      <c r="AG740" s="26"/>
      <c r="AH740" s="26"/>
      <c r="AI740" s="26"/>
      <c r="AJ740" s="26"/>
      <c r="AK740" s="26"/>
      <c r="AL740" s="26"/>
      <c r="AM740" s="26"/>
      <c r="AN740" s="26"/>
      <c r="AO740" s="26"/>
      <c r="AP740" s="26"/>
      <c r="AQ740" s="26"/>
      <c r="AR740" s="26"/>
      <c r="AS740" s="26"/>
      <c r="AT740" s="26"/>
      <c r="AU740" s="26"/>
      <c r="AV740" s="26"/>
      <c r="AW740" s="26"/>
      <c r="AX740" s="26"/>
      <c r="AY740" s="26"/>
      <c r="AZ740" s="26"/>
      <c r="BA740" s="26"/>
      <c r="BB740" s="26"/>
      <c r="BC740" s="26"/>
      <c r="BD740" s="26"/>
      <c r="BE740" s="26"/>
      <c r="BF740" s="26"/>
      <c r="BG740" s="26"/>
      <c r="BH740" s="26"/>
      <c r="BI740" s="26"/>
      <c r="BJ740" s="26"/>
      <c r="BK740" s="26"/>
    </row>
    <row r="741" ht="14.25" customHeight="1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  <c r="AA741" s="26"/>
      <c r="AB741" s="26"/>
      <c r="AC741" s="26"/>
      <c r="AD741" s="26"/>
      <c r="AE741" s="26"/>
      <c r="AF741" s="26"/>
      <c r="AG741" s="26"/>
      <c r="AH741" s="26"/>
      <c r="AI741" s="26"/>
      <c r="AJ741" s="26"/>
      <c r="AK741" s="26"/>
      <c r="AL741" s="26"/>
      <c r="AM741" s="26"/>
      <c r="AN741" s="26"/>
      <c r="AO741" s="26"/>
      <c r="AP741" s="26"/>
      <c r="AQ741" s="26"/>
      <c r="AR741" s="26"/>
      <c r="AS741" s="26"/>
      <c r="AT741" s="26"/>
      <c r="AU741" s="26"/>
      <c r="AV741" s="26"/>
      <c r="AW741" s="26"/>
      <c r="AX741" s="26"/>
      <c r="AY741" s="26"/>
      <c r="AZ741" s="26"/>
      <c r="BA741" s="26"/>
      <c r="BB741" s="26"/>
      <c r="BC741" s="26"/>
      <c r="BD741" s="26"/>
      <c r="BE741" s="26"/>
      <c r="BF741" s="26"/>
      <c r="BG741" s="26"/>
      <c r="BH741" s="26"/>
      <c r="BI741" s="26"/>
      <c r="BJ741" s="26"/>
      <c r="BK741" s="26"/>
    </row>
    <row r="742" ht="14.25" customHeight="1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  <c r="AB742" s="26"/>
      <c r="AC742" s="26"/>
      <c r="AD742" s="26"/>
      <c r="AE742" s="26"/>
      <c r="AF742" s="26"/>
      <c r="AG742" s="26"/>
      <c r="AH742" s="26"/>
      <c r="AI742" s="26"/>
      <c r="AJ742" s="26"/>
      <c r="AK742" s="26"/>
      <c r="AL742" s="26"/>
      <c r="AM742" s="26"/>
      <c r="AN742" s="26"/>
      <c r="AO742" s="26"/>
      <c r="AP742" s="26"/>
      <c r="AQ742" s="26"/>
      <c r="AR742" s="26"/>
      <c r="AS742" s="26"/>
      <c r="AT742" s="26"/>
      <c r="AU742" s="26"/>
      <c r="AV742" s="26"/>
      <c r="AW742" s="26"/>
      <c r="AX742" s="26"/>
      <c r="AY742" s="26"/>
      <c r="AZ742" s="26"/>
      <c r="BA742" s="26"/>
      <c r="BB742" s="26"/>
      <c r="BC742" s="26"/>
      <c r="BD742" s="26"/>
      <c r="BE742" s="26"/>
      <c r="BF742" s="26"/>
      <c r="BG742" s="26"/>
      <c r="BH742" s="26"/>
      <c r="BI742" s="26"/>
      <c r="BJ742" s="26"/>
      <c r="BK742" s="26"/>
    </row>
    <row r="743" ht="14.25" customHeight="1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  <c r="AA743" s="26"/>
      <c r="AB743" s="26"/>
      <c r="AC743" s="26"/>
      <c r="AD743" s="26"/>
      <c r="AE743" s="26"/>
      <c r="AF743" s="26"/>
      <c r="AG743" s="26"/>
      <c r="AH743" s="26"/>
      <c r="AI743" s="26"/>
      <c r="AJ743" s="26"/>
      <c r="AK743" s="26"/>
      <c r="AL743" s="26"/>
      <c r="AM743" s="26"/>
      <c r="AN743" s="26"/>
      <c r="AO743" s="26"/>
      <c r="AP743" s="26"/>
      <c r="AQ743" s="26"/>
      <c r="AR743" s="26"/>
      <c r="AS743" s="26"/>
      <c r="AT743" s="26"/>
      <c r="AU743" s="26"/>
      <c r="AV743" s="26"/>
      <c r="AW743" s="26"/>
      <c r="AX743" s="26"/>
      <c r="AY743" s="26"/>
      <c r="AZ743" s="26"/>
      <c r="BA743" s="26"/>
      <c r="BB743" s="26"/>
      <c r="BC743" s="26"/>
      <c r="BD743" s="26"/>
      <c r="BE743" s="26"/>
      <c r="BF743" s="26"/>
      <c r="BG743" s="26"/>
      <c r="BH743" s="26"/>
      <c r="BI743" s="26"/>
      <c r="BJ743" s="26"/>
      <c r="BK743" s="26"/>
    </row>
    <row r="744" ht="14.25" customHeight="1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  <c r="AA744" s="26"/>
      <c r="AB744" s="26"/>
      <c r="AC744" s="26"/>
      <c r="AD744" s="26"/>
      <c r="AE744" s="26"/>
      <c r="AF744" s="26"/>
      <c r="AG744" s="26"/>
      <c r="AH744" s="26"/>
      <c r="AI744" s="26"/>
      <c r="AJ744" s="26"/>
      <c r="AK744" s="26"/>
      <c r="AL744" s="26"/>
      <c r="AM744" s="26"/>
      <c r="AN744" s="26"/>
      <c r="AO744" s="26"/>
      <c r="AP744" s="26"/>
      <c r="AQ744" s="26"/>
      <c r="AR744" s="26"/>
      <c r="AS744" s="26"/>
      <c r="AT744" s="26"/>
      <c r="AU744" s="26"/>
      <c r="AV744" s="26"/>
      <c r="AW744" s="26"/>
      <c r="AX744" s="26"/>
      <c r="AY744" s="26"/>
      <c r="AZ744" s="26"/>
      <c r="BA744" s="26"/>
      <c r="BB744" s="26"/>
      <c r="BC744" s="26"/>
      <c r="BD744" s="26"/>
      <c r="BE744" s="26"/>
      <c r="BF744" s="26"/>
      <c r="BG744" s="26"/>
      <c r="BH744" s="26"/>
      <c r="BI744" s="26"/>
      <c r="BJ744" s="26"/>
      <c r="BK744" s="26"/>
    </row>
    <row r="745" ht="14.25" customHeight="1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  <c r="AA745" s="26"/>
      <c r="AB745" s="26"/>
      <c r="AC745" s="26"/>
      <c r="AD745" s="26"/>
      <c r="AE745" s="26"/>
      <c r="AF745" s="26"/>
      <c r="AG745" s="26"/>
      <c r="AH745" s="26"/>
      <c r="AI745" s="26"/>
      <c r="AJ745" s="26"/>
      <c r="AK745" s="26"/>
      <c r="AL745" s="26"/>
      <c r="AM745" s="26"/>
      <c r="AN745" s="26"/>
      <c r="AO745" s="26"/>
      <c r="AP745" s="26"/>
      <c r="AQ745" s="26"/>
      <c r="AR745" s="26"/>
      <c r="AS745" s="26"/>
      <c r="AT745" s="26"/>
      <c r="AU745" s="26"/>
      <c r="AV745" s="26"/>
      <c r="AW745" s="26"/>
      <c r="AX745" s="26"/>
      <c r="AY745" s="26"/>
      <c r="AZ745" s="26"/>
      <c r="BA745" s="26"/>
      <c r="BB745" s="26"/>
      <c r="BC745" s="26"/>
      <c r="BD745" s="26"/>
      <c r="BE745" s="26"/>
      <c r="BF745" s="26"/>
      <c r="BG745" s="26"/>
      <c r="BH745" s="26"/>
      <c r="BI745" s="26"/>
      <c r="BJ745" s="26"/>
      <c r="BK745" s="26"/>
    </row>
    <row r="746" ht="14.25" customHeight="1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  <c r="AA746" s="26"/>
      <c r="AB746" s="26"/>
      <c r="AC746" s="26"/>
      <c r="AD746" s="26"/>
      <c r="AE746" s="26"/>
      <c r="AF746" s="26"/>
      <c r="AG746" s="26"/>
      <c r="AH746" s="26"/>
      <c r="AI746" s="26"/>
      <c r="AJ746" s="26"/>
      <c r="AK746" s="26"/>
      <c r="AL746" s="26"/>
      <c r="AM746" s="26"/>
      <c r="AN746" s="26"/>
      <c r="AO746" s="26"/>
      <c r="AP746" s="26"/>
      <c r="AQ746" s="26"/>
      <c r="AR746" s="26"/>
      <c r="AS746" s="26"/>
      <c r="AT746" s="26"/>
      <c r="AU746" s="26"/>
      <c r="AV746" s="26"/>
      <c r="AW746" s="26"/>
      <c r="AX746" s="26"/>
      <c r="AY746" s="26"/>
      <c r="AZ746" s="26"/>
      <c r="BA746" s="26"/>
      <c r="BB746" s="26"/>
      <c r="BC746" s="26"/>
      <c r="BD746" s="26"/>
      <c r="BE746" s="26"/>
      <c r="BF746" s="26"/>
      <c r="BG746" s="26"/>
      <c r="BH746" s="26"/>
      <c r="BI746" s="26"/>
      <c r="BJ746" s="26"/>
      <c r="BK746" s="26"/>
    </row>
    <row r="747" ht="14.25" customHeight="1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  <c r="AA747" s="26"/>
      <c r="AB747" s="26"/>
      <c r="AC747" s="26"/>
      <c r="AD747" s="26"/>
      <c r="AE747" s="26"/>
      <c r="AF747" s="26"/>
      <c r="AG747" s="26"/>
      <c r="AH747" s="26"/>
      <c r="AI747" s="26"/>
      <c r="AJ747" s="26"/>
      <c r="AK747" s="26"/>
      <c r="AL747" s="26"/>
      <c r="AM747" s="26"/>
      <c r="AN747" s="26"/>
      <c r="AO747" s="26"/>
      <c r="AP747" s="26"/>
      <c r="AQ747" s="26"/>
      <c r="AR747" s="26"/>
      <c r="AS747" s="26"/>
      <c r="AT747" s="26"/>
      <c r="AU747" s="26"/>
      <c r="AV747" s="26"/>
      <c r="AW747" s="26"/>
      <c r="AX747" s="26"/>
      <c r="AY747" s="26"/>
      <c r="AZ747" s="26"/>
      <c r="BA747" s="26"/>
      <c r="BB747" s="26"/>
      <c r="BC747" s="26"/>
      <c r="BD747" s="26"/>
      <c r="BE747" s="26"/>
      <c r="BF747" s="26"/>
      <c r="BG747" s="26"/>
      <c r="BH747" s="26"/>
      <c r="BI747" s="26"/>
      <c r="BJ747" s="26"/>
      <c r="BK747" s="26"/>
    </row>
    <row r="748" ht="14.25" customHeight="1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  <c r="AA748" s="26"/>
      <c r="AB748" s="26"/>
      <c r="AC748" s="26"/>
      <c r="AD748" s="26"/>
      <c r="AE748" s="26"/>
      <c r="AF748" s="26"/>
      <c r="AG748" s="26"/>
      <c r="AH748" s="26"/>
      <c r="AI748" s="26"/>
      <c r="AJ748" s="26"/>
      <c r="AK748" s="26"/>
      <c r="AL748" s="26"/>
      <c r="AM748" s="26"/>
      <c r="AN748" s="26"/>
      <c r="AO748" s="26"/>
      <c r="AP748" s="26"/>
      <c r="AQ748" s="26"/>
      <c r="AR748" s="26"/>
      <c r="AS748" s="26"/>
      <c r="AT748" s="26"/>
      <c r="AU748" s="26"/>
      <c r="AV748" s="26"/>
      <c r="AW748" s="26"/>
      <c r="AX748" s="26"/>
      <c r="AY748" s="26"/>
      <c r="AZ748" s="26"/>
      <c r="BA748" s="26"/>
      <c r="BB748" s="26"/>
      <c r="BC748" s="26"/>
      <c r="BD748" s="26"/>
      <c r="BE748" s="26"/>
      <c r="BF748" s="26"/>
      <c r="BG748" s="26"/>
      <c r="BH748" s="26"/>
      <c r="BI748" s="26"/>
      <c r="BJ748" s="26"/>
      <c r="BK748" s="26"/>
    </row>
    <row r="749" ht="14.25" customHeight="1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  <c r="AA749" s="26"/>
      <c r="AB749" s="26"/>
      <c r="AC749" s="26"/>
      <c r="AD749" s="26"/>
      <c r="AE749" s="26"/>
      <c r="AF749" s="26"/>
      <c r="AG749" s="26"/>
      <c r="AH749" s="26"/>
      <c r="AI749" s="26"/>
      <c r="AJ749" s="26"/>
      <c r="AK749" s="26"/>
      <c r="AL749" s="26"/>
      <c r="AM749" s="26"/>
      <c r="AN749" s="26"/>
      <c r="AO749" s="26"/>
      <c r="AP749" s="26"/>
      <c r="AQ749" s="26"/>
      <c r="AR749" s="26"/>
      <c r="AS749" s="26"/>
      <c r="AT749" s="26"/>
      <c r="AU749" s="26"/>
      <c r="AV749" s="26"/>
      <c r="AW749" s="26"/>
      <c r="AX749" s="26"/>
      <c r="AY749" s="26"/>
      <c r="AZ749" s="26"/>
      <c r="BA749" s="26"/>
      <c r="BB749" s="26"/>
      <c r="BC749" s="26"/>
      <c r="BD749" s="26"/>
      <c r="BE749" s="26"/>
      <c r="BF749" s="26"/>
      <c r="BG749" s="26"/>
      <c r="BH749" s="26"/>
      <c r="BI749" s="26"/>
      <c r="BJ749" s="26"/>
      <c r="BK749" s="26"/>
    </row>
    <row r="750" ht="14.25" customHeight="1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  <c r="AB750" s="26"/>
      <c r="AC750" s="26"/>
      <c r="AD750" s="26"/>
      <c r="AE750" s="26"/>
      <c r="AF750" s="26"/>
      <c r="AG750" s="26"/>
      <c r="AH750" s="26"/>
      <c r="AI750" s="26"/>
      <c r="AJ750" s="26"/>
      <c r="AK750" s="26"/>
      <c r="AL750" s="26"/>
      <c r="AM750" s="26"/>
      <c r="AN750" s="26"/>
      <c r="AO750" s="26"/>
      <c r="AP750" s="26"/>
      <c r="AQ750" s="26"/>
      <c r="AR750" s="26"/>
      <c r="AS750" s="26"/>
      <c r="AT750" s="26"/>
      <c r="AU750" s="26"/>
      <c r="AV750" s="26"/>
      <c r="AW750" s="26"/>
      <c r="AX750" s="26"/>
      <c r="AY750" s="26"/>
      <c r="AZ750" s="26"/>
      <c r="BA750" s="26"/>
      <c r="BB750" s="26"/>
      <c r="BC750" s="26"/>
      <c r="BD750" s="26"/>
      <c r="BE750" s="26"/>
      <c r="BF750" s="26"/>
      <c r="BG750" s="26"/>
      <c r="BH750" s="26"/>
      <c r="BI750" s="26"/>
      <c r="BJ750" s="26"/>
      <c r="BK750" s="26"/>
    </row>
    <row r="751" ht="14.25" customHeight="1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  <c r="AA751" s="26"/>
      <c r="AB751" s="26"/>
      <c r="AC751" s="26"/>
      <c r="AD751" s="26"/>
      <c r="AE751" s="26"/>
      <c r="AF751" s="26"/>
      <c r="AG751" s="26"/>
      <c r="AH751" s="26"/>
      <c r="AI751" s="26"/>
      <c r="AJ751" s="26"/>
      <c r="AK751" s="26"/>
      <c r="AL751" s="26"/>
      <c r="AM751" s="26"/>
      <c r="AN751" s="26"/>
      <c r="AO751" s="26"/>
      <c r="AP751" s="26"/>
      <c r="AQ751" s="26"/>
      <c r="AR751" s="26"/>
      <c r="AS751" s="26"/>
      <c r="AT751" s="26"/>
      <c r="AU751" s="26"/>
      <c r="AV751" s="26"/>
      <c r="AW751" s="26"/>
      <c r="AX751" s="26"/>
      <c r="AY751" s="26"/>
      <c r="AZ751" s="26"/>
      <c r="BA751" s="26"/>
      <c r="BB751" s="26"/>
      <c r="BC751" s="26"/>
      <c r="BD751" s="26"/>
      <c r="BE751" s="26"/>
      <c r="BF751" s="26"/>
      <c r="BG751" s="26"/>
      <c r="BH751" s="26"/>
      <c r="BI751" s="26"/>
      <c r="BJ751" s="26"/>
      <c r="BK751" s="26"/>
    </row>
    <row r="752" ht="14.25" customHeight="1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  <c r="AA752" s="26"/>
      <c r="AB752" s="26"/>
      <c r="AC752" s="26"/>
      <c r="AD752" s="26"/>
      <c r="AE752" s="26"/>
      <c r="AF752" s="26"/>
      <c r="AG752" s="26"/>
      <c r="AH752" s="26"/>
      <c r="AI752" s="26"/>
      <c r="AJ752" s="26"/>
      <c r="AK752" s="26"/>
      <c r="AL752" s="26"/>
      <c r="AM752" s="26"/>
      <c r="AN752" s="26"/>
      <c r="AO752" s="26"/>
      <c r="AP752" s="26"/>
      <c r="AQ752" s="26"/>
      <c r="AR752" s="26"/>
      <c r="AS752" s="26"/>
      <c r="AT752" s="26"/>
      <c r="AU752" s="26"/>
      <c r="AV752" s="26"/>
      <c r="AW752" s="26"/>
      <c r="AX752" s="26"/>
      <c r="AY752" s="26"/>
      <c r="AZ752" s="26"/>
      <c r="BA752" s="26"/>
      <c r="BB752" s="26"/>
      <c r="BC752" s="26"/>
      <c r="BD752" s="26"/>
      <c r="BE752" s="26"/>
      <c r="BF752" s="26"/>
      <c r="BG752" s="26"/>
      <c r="BH752" s="26"/>
      <c r="BI752" s="26"/>
      <c r="BJ752" s="26"/>
      <c r="BK752" s="26"/>
    </row>
    <row r="753" ht="14.25" customHeight="1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  <c r="AA753" s="26"/>
      <c r="AB753" s="26"/>
      <c r="AC753" s="26"/>
      <c r="AD753" s="26"/>
      <c r="AE753" s="26"/>
      <c r="AF753" s="26"/>
      <c r="AG753" s="26"/>
      <c r="AH753" s="26"/>
      <c r="AI753" s="26"/>
      <c r="AJ753" s="26"/>
      <c r="AK753" s="26"/>
      <c r="AL753" s="26"/>
      <c r="AM753" s="26"/>
      <c r="AN753" s="26"/>
      <c r="AO753" s="26"/>
      <c r="AP753" s="26"/>
      <c r="AQ753" s="26"/>
      <c r="AR753" s="26"/>
      <c r="AS753" s="26"/>
      <c r="AT753" s="26"/>
      <c r="AU753" s="26"/>
      <c r="AV753" s="26"/>
      <c r="AW753" s="26"/>
      <c r="AX753" s="26"/>
      <c r="AY753" s="26"/>
      <c r="AZ753" s="26"/>
      <c r="BA753" s="26"/>
      <c r="BB753" s="26"/>
      <c r="BC753" s="26"/>
      <c r="BD753" s="26"/>
      <c r="BE753" s="26"/>
      <c r="BF753" s="26"/>
      <c r="BG753" s="26"/>
      <c r="BH753" s="26"/>
      <c r="BI753" s="26"/>
      <c r="BJ753" s="26"/>
      <c r="BK753" s="26"/>
    </row>
    <row r="754" ht="14.25" customHeight="1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  <c r="AA754" s="26"/>
      <c r="AB754" s="26"/>
      <c r="AC754" s="26"/>
      <c r="AD754" s="26"/>
      <c r="AE754" s="26"/>
      <c r="AF754" s="26"/>
      <c r="AG754" s="26"/>
      <c r="AH754" s="26"/>
      <c r="AI754" s="26"/>
      <c r="AJ754" s="26"/>
      <c r="AK754" s="26"/>
      <c r="AL754" s="26"/>
      <c r="AM754" s="26"/>
      <c r="AN754" s="26"/>
      <c r="AO754" s="26"/>
      <c r="AP754" s="26"/>
      <c r="AQ754" s="26"/>
      <c r="AR754" s="26"/>
      <c r="AS754" s="26"/>
      <c r="AT754" s="26"/>
      <c r="AU754" s="26"/>
      <c r="AV754" s="26"/>
      <c r="AW754" s="26"/>
      <c r="AX754" s="26"/>
      <c r="AY754" s="26"/>
      <c r="AZ754" s="26"/>
      <c r="BA754" s="26"/>
      <c r="BB754" s="26"/>
      <c r="BC754" s="26"/>
      <c r="BD754" s="26"/>
      <c r="BE754" s="26"/>
      <c r="BF754" s="26"/>
      <c r="BG754" s="26"/>
      <c r="BH754" s="26"/>
      <c r="BI754" s="26"/>
      <c r="BJ754" s="26"/>
      <c r="BK754" s="26"/>
    </row>
    <row r="755" ht="14.25" customHeight="1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  <c r="AA755" s="26"/>
      <c r="AB755" s="26"/>
      <c r="AC755" s="26"/>
      <c r="AD755" s="26"/>
      <c r="AE755" s="26"/>
      <c r="AF755" s="26"/>
      <c r="AG755" s="26"/>
      <c r="AH755" s="26"/>
      <c r="AI755" s="26"/>
      <c r="AJ755" s="26"/>
      <c r="AK755" s="26"/>
      <c r="AL755" s="26"/>
      <c r="AM755" s="26"/>
      <c r="AN755" s="26"/>
      <c r="AO755" s="26"/>
      <c r="AP755" s="26"/>
      <c r="AQ755" s="26"/>
      <c r="AR755" s="26"/>
      <c r="AS755" s="26"/>
      <c r="AT755" s="26"/>
      <c r="AU755" s="26"/>
      <c r="AV755" s="26"/>
      <c r="AW755" s="26"/>
      <c r="AX755" s="26"/>
      <c r="AY755" s="26"/>
      <c r="AZ755" s="26"/>
      <c r="BA755" s="26"/>
      <c r="BB755" s="26"/>
      <c r="BC755" s="26"/>
      <c r="BD755" s="26"/>
      <c r="BE755" s="26"/>
      <c r="BF755" s="26"/>
      <c r="BG755" s="26"/>
      <c r="BH755" s="26"/>
      <c r="BI755" s="26"/>
      <c r="BJ755" s="26"/>
      <c r="BK755" s="26"/>
    </row>
    <row r="756" ht="14.25" customHeight="1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  <c r="AA756" s="26"/>
      <c r="AB756" s="26"/>
      <c r="AC756" s="26"/>
      <c r="AD756" s="26"/>
      <c r="AE756" s="26"/>
      <c r="AF756" s="26"/>
      <c r="AG756" s="26"/>
      <c r="AH756" s="26"/>
      <c r="AI756" s="26"/>
      <c r="AJ756" s="26"/>
      <c r="AK756" s="26"/>
      <c r="AL756" s="26"/>
      <c r="AM756" s="26"/>
      <c r="AN756" s="26"/>
      <c r="AO756" s="26"/>
      <c r="AP756" s="26"/>
      <c r="AQ756" s="26"/>
      <c r="AR756" s="26"/>
      <c r="AS756" s="26"/>
      <c r="AT756" s="26"/>
      <c r="AU756" s="26"/>
      <c r="AV756" s="26"/>
      <c r="AW756" s="26"/>
      <c r="AX756" s="26"/>
      <c r="AY756" s="26"/>
      <c r="AZ756" s="26"/>
      <c r="BA756" s="26"/>
      <c r="BB756" s="26"/>
      <c r="BC756" s="26"/>
      <c r="BD756" s="26"/>
      <c r="BE756" s="26"/>
      <c r="BF756" s="26"/>
      <c r="BG756" s="26"/>
      <c r="BH756" s="26"/>
      <c r="BI756" s="26"/>
      <c r="BJ756" s="26"/>
      <c r="BK756" s="26"/>
    </row>
    <row r="757" ht="14.25" customHeight="1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  <c r="AA757" s="26"/>
      <c r="AB757" s="26"/>
      <c r="AC757" s="26"/>
      <c r="AD757" s="26"/>
      <c r="AE757" s="26"/>
      <c r="AF757" s="26"/>
      <c r="AG757" s="26"/>
      <c r="AH757" s="26"/>
      <c r="AI757" s="26"/>
      <c r="AJ757" s="26"/>
      <c r="AK757" s="26"/>
      <c r="AL757" s="26"/>
      <c r="AM757" s="26"/>
      <c r="AN757" s="26"/>
      <c r="AO757" s="26"/>
      <c r="AP757" s="26"/>
      <c r="AQ757" s="26"/>
      <c r="AR757" s="26"/>
      <c r="AS757" s="26"/>
      <c r="AT757" s="26"/>
      <c r="AU757" s="26"/>
      <c r="AV757" s="26"/>
      <c r="AW757" s="26"/>
      <c r="AX757" s="26"/>
      <c r="AY757" s="26"/>
      <c r="AZ757" s="26"/>
      <c r="BA757" s="26"/>
      <c r="BB757" s="26"/>
      <c r="BC757" s="26"/>
      <c r="BD757" s="26"/>
      <c r="BE757" s="26"/>
      <c r="BF757" s="26"/>
      <c r="BG757" s="26"/>
      <c r="BH757" s="26"/>
      <c r="BI757" s="26"/>
      <c r="BJ757" s="26"/>
      <c r="BK757" s="26"/>
    </row>
    <row r="758" ht="14.25" customHeight="1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  <c r="AA758" s="26"/>
      <c r="AB758" s="26"/>
      <c r="AC758" s="26"/>
      <c r="AD758" s="26"/>
      <c r="AE758" s="26"/>
      <c r="AF758" s="26"/>
      <c r="AG758" s="26"/>
      <c r="AH758" s="26"/>
      <c r="AI758" s="26"/>
      <c r="AJ758" s="26"/>
      <c r="AK758" s="26"/>
      <c r="AL758" s="26"/>
      <c r="AM758" s="26"/>
      <c r="AN758" s="26"/>
      <c r="AO758" s="26"/>
      <c r="AP758" s="26"/>
      <c r="AQ758" s="26"/>
      <c r="AR758" s="26"/>
      <c r="AS758" s="26"/>
      <c r="AT758" s="26"/>
      <c r="AU758" s="26"/>
      <c r="AV758" s="26"/>
      <c r="AW758" s="26"/>
      <c r="AX758" s="26"/>
      <c r="AY758" s="26"/>
      <c r="AZ758" s="26"/>
      <c r="BA758" s="26"/>
      <c r="BB758" s="26"/>
      <c r="BC758" s="26"/>
      <c r="BD758" s="26"/>
      <c r="BE758" s="26"/>
      <c r="BF758" s="26"/>
      <c r="BG758" s="26"/>
      <c r="BH758" s="26"/>
      <c r="BI758" s="26"/>
      <c r="BJ758" s="26"/>
      <c r="BK758" s="26"/>
    </row>
    <row r="759" ht="14.25" customHeight="1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  <c r="AA759" s="26"/>
      <c r="AB759" s="26"/>
      <c r="AC759" s="26"/>
      <c r="AD759" s="26"/>
      <c r="AE759" s="26"/>
      <c r="AF759" s="26"/>
      <c r="AG759" s="26"/>
      <c r="AH759" s="26"/>
      <c r="AI759" s="26"/>
      <c r="AJ759" s="26"/>
      <c r="AK759" s="26"/>
      <c r="AL759" s="26"/>
      <c r="AM759" s="26"/>
      <c r="AN759" s="26"/>
      <c r="AO759" s="26"/>
      <c r="AP759" s="26"/>
      <c r="AQ759" s="26"/>
      <c r="AR759" s="26"/>
      <c r="AS759" s="26"/>
      <c r="AT759" s="26"/>
      <c r="AU759" s="26"/>
      <c r="AV759" s="26"/>
      <c r="AW759" s="26"/>
      <c r="AX759" s="26"/>
      <c r="AY759" s="26"/>
      <c r="AZ759" s="26"/>
      <c r="BA759" s="26"/>
      <c r="BB759" s="26"/>
      <c r="BC759" s="26"/>
      <c r="BD759" s="26"/>
      <c r="BE759" s="26"/>
      <c r="BF759" s="26"/>
      <c r="BG759" s="26"/>
      <c r="BH759" s="26"/>
      <c r="BI759" s="26"/>
      <c r="BJ759" s="26"/>
      <c r="BK759" s="26"/>
    </row>
    <row r="760" ht="14.25" customHeight="1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  <c r="AA760" s="26"/>
      <c r="AB760" s="26"/>
      <c r="AC760" s="26"/>
      <c r="AD760" s="26"/>
      <c r="AE760" s="26"/>
      <c r="AF760" s="26"/>
      <c r="AG760" s="26"/>
      <c r="AH760" s="26"/>
      <c r="AI760" s="26"/>
      <c r="AJ760" s="26"/>
      <c r="AK760" s="26"/>
      <c r="AL760" s="26"/>
      <c r="AM760" s="26"/>
      <c r="AN760" s="26"/>
      <c r="AO760" s="26"/>
      <c r="AP760" s="26"/>
      <c r="AQ760" s="26"/>
      <c r="AR760" s="26"/>
      <c r="AS760" s="26"/>
      <c r="AT760" s="26"/>
      <c r="AU760" s="26"/>
      <c r="AV760" s="26"/>
      <c r="AW760" s="26"/>
      <c r="AX760" s="26"/>
      <c r="AY760" s="26"/>
      <c r="AZ760" s="26"/>
      <c r="BA760" s="26"/>
      <c r="BB760" s="26"/>
      <c r="BC760" s="26"/>
      <c r="BD760" s="26"/>
      <c r="BE760" s="26"/>
      <c r="BF760" s="26"/>
      <c r="BG760" s="26"/>
      <c r="BH760" s="26"/>
      <c r="BI760" s="26"/>
      <c r="BJ760" s="26"/>
      <c r="BK760" s="26"/>
    </row>
    <row r="761" ht="14.25" customHeight="1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  <c r="AA761" s="26"/>
      <c r="AB761" s="26"/>
      <c r="AC761" s="26"/>
      <c r="AD761" s="26"/>
      <c r="AE761" s="26"/>
      <c r="AF761" s="26"/>
      <c r="AG761" s="26"/>
      <c r="AH761" s="26"/>
      <c r="AI761" s="26"/>
      <c r="AJ761" s="26"/>
      <c r="AK761" s="26"/>
      <c r="AL761" s="26"/>
      <c r="AM761" s="26"/>
      <c r="AN761" s="26"/>
      <c r="AO761" s="26"/>
      <c r="AP761" s="26"/>
      <c r="AQ761" s="26"/>
      <c r="AR761" s="26"/>
      <c r="AS761" s="26"/>
      <c r="AT761" s="26"/>
      <c r="AU761" s="26"/>
      <c r="AV761" s="26"/>
      <c r="AW761" s="26"/>
      <c r="AX761" s="26"/>
      <c r="AY761" s="26"/>
      <c r="AZ761" s="26"/>
      <c r="BA761" s="26"/>
      <c r="BB761" s="26"/>
      <c r="BC761" s="26"/>
      <c r="BD761" s="26"/>
      <c r="BE761" s="26"/>
      <c r="BF761" s="26"/>
      <c r="BG761" s="26"/>
      <c r="BH761" s="26"/>
      <c r="BI761" s="26"/>
      <c r="BJ761" s="26"/>
      <c r="BK761" s="26"/>
    </row>
    <row r="762" ht="14.25" customHeight="1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  <c r="AA762" s="26"/>
      <c r="AB762" s="26"/>
      <c r="AC762" s="26"/>
      <c r="AD762" s="26"/>
      <c r="AE762" s="26"/>
      <c r="AF762" s="26"/>
      <c r="AG762" s="26"/>
      <c r="AH762" s="26"/>
      <c r="AI762" s="26"/>
      <c r="AJ762" s="26"/>
      <c r="AK762" s="26"/>
      <c r="AL762" s="26"/>
      <c r="AM762" s="26"/>
      <c r="AN762" s="26"/>
      <c r="AO762" s="26"/>
      <c r="AP762" s="26"/>
      <c r="AQ762" s="26"/>
      <c r="AR762" s="26"/>
      <c r="AS762" s="26"/>
      <c r="AT762" s="26"/>
      <c r="AU762" s="26"/>
      <c r="AV762" s="26"/>
      <c r="AW762" s="26"/>
      <c r="AX762" s="26"/>
      <c r="AY762" s="26"/>
      <c r="AZ762" s="26"/>
      <c r="BA762" s="26"/>
      <c r="BB762" s="26"/>
      <c r="BC762" s="26"/>
      <c r="BD762" s="26"/>
      <c r="BE762" s="26"/>
      <c r="BF762" s="26"/>
      <c r="BG762" s="26"/>
      <c r="BH762" s="26"/>
      <c r="BI762" s="26"/>
      <c r="BJ762" s="26"/>
      <c r="BK762" s="26"/>
    </row>
    <row r="763" ht="14.25" customHeight="1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  <c r="AA763" s="26"/>
      <c r="AB763" s="26"/>
      <c r="AC763" s="26"/>
      <c r="AD763" s="26"/>
      <c r="AE763" s="26"/>
      <c r="AF763" s="26"/>
      <c r="AG763" s="26"/>
      <c r="AH763" s="26"/>
      <c r="AI763" s="26"/>
      <c r="AJ763" s="26"/>
      <c r="AK763" s="26"/>
      <c r="AL763" s="26"/>
      <c r="AM763" s="26"/>
      <c r="AN763" s="26"/>
      <c r="AO763" s="26"/>
      <c r="AP763" s="26"/>
      <c r="AQ763" s="26"/>
      <c r="AR763" s="26"/>
      <c r="AS763" s="26"/>
      <c r="AT763" s="26"/>
      <c r="AU763" s="26"/>
      <c r="AV763" s="26"/>
      <c r="AW763" s="26"/>
      <c r="AX763" s="26"/>
      <c r="AY763" s="26"/>
      <c r="AZ763" s="26"/>
      <c r="BA763" s="26"/>
      <c r="BB763" s="26"/>
      <c r="BC763" s="26"/>
      <c r="BD763" s="26"/>
      <c r="BE763" s="26"/>
      <c r="BF763" s="26"/>
      <c r="BG763" s="26"/>
      <c r="BH763" s="26"/>
      <c r="BI763" s="26"/>
      <c r="BJ763" s="26"/>
      <c r="BK763" s="26"/>
    </row>
    <row r="764" ht="14.25" customHeight="1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  <c r="AA764" s="26"/>
      <c r="AB764" s="26"/>
      <c r="AC764" s="26"/>
      <c r="AD764" s="26"/>
      <c r="AE764" s="26"/>
      <c r="AF764" s="26"/>
      <c r="AG764" s="26"/>
      <c r="AH764" s="26"/>
      <c r="AI764" s="26"/>
      <c r="AJ764" s="26"/>
      <c r="AK764" s="26"/>
      <c r="AL764" s="26"/>
      <c r="AM764" s="26"/>
      <c r="AN764" s="26"/>
      <c r="AO764" s="26"/>
      <c r="AP764" s="26"/>
      <c r="AQ764" s="26"/>
      <c r="AR764" s="26"/>
      <c r="AS764" s="26"/>
      <c r="AT764" s="26"/>
      <c r="AU764" s="26"/>
      <c r="AV764" s="26"/>
      <c r="AW764" s="26"/>
      <c r="AX764" s="26"/>
      <c r="AY764" s="26"/>
      <c r="AZ764" s="26"/>
      <c r="BA764" s="26"/>
      <c r="BB764" s="26"/>
      <c r="BC764" s="26"/>
      <c r="BD764" s="26"/>
      <c r="BE764" s="26"/>
      <c r="BF764" s="26"/>
      <c r="BG764" s="26"/>
      <c r="BH764" s="26"/>
      <c r="BI764" s="26"/>
      <c r="BJ764" s="26"/>
      <c r="BK764" s="26"/>
    </row>
    <row r="765" ht="14.25" customHeight="1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  <c r="AA765" s="26"/>
      <c r="AB765" s="26"/>
      <c r="AC765" s="26"/>
      <c r="AD765" s="26"/>
      <c r="AE765" s="26"/>
      <c r="AF765" s="26"/>
      <c r="AG765" s="26"/>
      <c r="AH765" s="26"/>
      <c r="AI765" s="26"/>
      <c r="AJ765" s="26"/>
      <c r="AK765" s="26"/>
      <c r="AL765" s="26"/>
      <c r="AM765" s="26"/>
      <c r="AN765" s="26"/>
      <c r="AO765" s="26"/>
      <c r="AP765" s="26"/>
      <c r="AQ765" s="26"/>
      <c r="AR765" s="26"/>
      <c r="AS765" s="26"/>
      <c r="AT765" s="26"/>
      <c r="AU765" s="26"/>
      <c r="AV765" s="26"/>
      <c r="AW765" s="26"/>
      <c r="AX765" s="26"/>
      <c r="AY765" s="26"/>
      <c r="AZ765" s="26"/>
      <c r="BA765" s="26"/>
      <c r="BB765" s="26"/>
      <c r="BC765" s="26"/>
      <c r="BD765" s="26"/>
      <c r="BE765" s="26"/>
      <c r="BF765" s="26"/>
      <c r="BG765" s="26"/>
      <c r="BH765" s="26"/>
      <c r="BI765" s="26"/>
      <c r="BJ765" s="26"/>
      <c r="BK765" s="26"/>
    </row>
    <row r="766" ht="14.25" customHeight="1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  <c r="AA766" s="26"/>
      <c r="AB766" s="26"/>
      <c r="AC766" s="26"/>
      <c r="AD766" s="26"/>
      <c r="AE766" s="26"/>
      <c r="AF766" s="26"/>
      <c r="AG766" s="26"/>
      <c r="AH766" s="26"/>
      <c r="AI766" s="26"/>
      <c r="AJ766" s="26"/>
      <c r="AK766" s="26"/>
      <c r="AL766" s="26"/>
      <c r="AM766" s="26"/>
      <c r="AN766" s="26"/>
      <c r="AO766" s="26"/>
      <c r="AP766" s="26"/>
      <c r="AQ766" s="26"/>
      <c r="AR766" s="26"/>
      <c r="AS766" s="26"/>
      <c r="AT766" s="26"/>
      <c r="AU766" s="26"/>
      <c r="AV766" s="26"/>
      <c r="AW766" s="26"/>
      <c r="AX766" s="26"/>
      <c r="AY766" s="26"/>
      <c r="AZ766" s="26"/>
      <c r="BA766" s="26"/>
      <c r="BB766" s="26"/>
      <c r="BC766" s="26"/>
      <c r="BD766" s="26"/>
      <c r="BE766" s="26"/>
      <c r="BF766" s="26"/>
      <c r="BG766" s="26"/>
      <c r="BH766" s="26"/>
      <c r="BI766" s="26"/>
      <c r="BJ766" s="26"/>
      <c r="BK766" s="26"/>
    </row>
    <row r="767" ht="14.25" customHeight="1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  <c r="AA767" s="26"/>
      <c r="AB767" s="26"/>
      <c r="AC767" s="26"/>
      <c r="AD767" s="26"/>
      <c r="AE767" s="26"/>
      <c r="AF767" s="26"/>
      <c r="AG767" s="26"/>
      <c r="AH767" s="26"/>
      <c r="AI767" s="26"/>
      <c r="AJ767" s="26"/>
      <c r="AK767" s="26"/>
      <c r="AL767" s="26"/>
      <c r="AM767" s="26"/>
      <c r="AN767" s="26"/>
      <c r="AO767" s="26"/>
      <c r="AP767" s="26"/>
      <c r="AQ767" s="26"/>
      <c r="AR767" s="26"/>
      <c r="AS767" s="26"/>
      <c r="AT767" s="26"/>
      <c r="AU767" s="26"/>
      <c r="AV767" s="26"/>
      <c r="AW767" s="26"/>
      <c r="AX767" s="26"/>
      <c r="AY767" s="26"/>
      <c r="AZ767" s="26"/>
      <c r="BA767" s="26"/>
      <c r="BB767" s="26"/>
      <c r="BC767" s="26"/>
      <c r="BD767" s="26"/>
      <c r="BE767" s="26"/>
      <c r="BF767" s="26"/>
      <c r="BG767" s="26"/>
      <c r="BH767" s="26"/>
      <c r="BI767" s="26"/>
      <c r="BJ767" s="26"/>
      <c r="BK767" s="26"/>
    </row>
    <row r="768" ht="14.25" customHeight="1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  <c r="AA768" s="26"/>
      <c r="AB768" s="26"/>
      <c r="AC768" s="26"/>
      <c r="AD768" s="26"/>
      <c r="AE768" s="26"/>
      <c r="AF768" s="26"/>
      <c r="AG768" s="26"/>
      <c r="AH768" s="26"/>
      <c r="AI768" s="26"/>
      <c r="AJ768" s="26"/>
      <c r="AK768" s="26"/>
      <c r="AL768" s="26"/>
      <c r="AM768" s="26"/>
      <c r="AN768" s="26"/>
      <c r="AO768" s="26"/>
      <c r="AP768" s="26"/>
      <c r="AQ768" s="26"/>
      <c r="AR768" s="26"/>
      <c r="AS768" s="26"/>
      <c r="AT768" s="26"/>
      <c r="AU768" s="26"/>
      <c r="AV768" s="26"/>
      <c r="AW768" s="26"/>
      <c r="AX768" s="26"/>
      <c r="AY768" s="26"/>
      <c r="AZ768" s="26"/>
      <c r="BA768" s="26"/>
      <c r="BB768" s="26"/>
      <c r="BC768" s="26"/>
      <c r="BD768" s="26"/>
      <c r="BE768" s="26"/>
      <c r="BF768" s="26"/>
      <c r="BG768" s="26"/>
      <c r="BH768" s="26"/>
      <c r="BI768" s="26"/>
      <c r="BJ768" s="26"/>
      <c r="BK768" s="26"/>
    </row>
    <row r="769" ht="14.25" customHeight="1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  <c r="AA769" s="26"/>
      <c r="AB769" s="26"/>
      <c r="AC769" s="26"/>
      <c r="AD769" s="26"/>
      <c r="AE769" s="26"/>
      <c r="AF769" s="26"/>
      <c r="AG769" s="26"/>
      <c r="AH769" s="26"/>
      <c r="AI769" s="26"/>
      <c r="AJ769" s="26"/>
      <c r="AK769" s="26"/>
      <c r="AL769" s="26"/>
      <c r="AM769" s="26"/>
      <c r="AN769" s="26"/>
      <c r="AO769" s="26"/>
      <c r="AP769" s="26"/>
      <c r="AQ769" s="26"/>
      <c r="AR769" s="26"/>
      <c r="AS769" s="26"/>
      <c r="AT769" s="26"/>
      <c r="AU769" s="26"/>
      <c r="AV769" s="26"/>
      <c r="AW769" s="26"/>
      <c r="AX769" s="26"/>
      <c r="AY769" s="26"/>
      <c r="AZ769" s="26"/>
      <c r="BA769" s="26"/>
      <c r="BB769" s="26"/>
      <c r="BC769" s="26"/>
      <c r="BD769" s="26"/>
      <c r="BE769" s="26"/>
      <c r="BF769" s="26"/>
      <c r="BG769" s="26"/>
      <c r="BH769" s="26"/>
      <c r="BI769" s="26"/>
      <c r="BJ769" s="26"/>
      <c r="BK769" s="26"/>
    </row>
    <row r="770" ht="14.25" customHeight="1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  <c r="AA770" s="26"/>
      <c r="AB770" s="26"/>
      <c r="AC770" s="26"/>
      <c r="AD770" s="26"/>
      <c r="AE770" s="26"/>
      <c r="AF770" s="26"/>
      <c r="AG770" s="26"/>
      <c r="AH770" s="26"/>
      <c r="AI770" s="26"/>
      <c r="AJ770" s="26"/>
      <c r="AK770" s="26"/>
      <c r="AL770" s="26"/>
      <c r="AM770" s="26"/>
      <c r="AN770" s="26"/>
      <c r="AO770" s="26"/>
      <c r="AP770" s="26"/>
      <c r="AQ770" s="26"/>
      <c r="AR770" s="26"/>
      <c r="AS770" s="26"/>
      <c r="AT770" s="26"/>
      <c r="AU770" s="26"/>
      <c r="AV770" s="26"/>
      <c r="AW770" s="26"/>
      <c r="AX770" s="26"/>
      <c r="AY770" s="26"/>
      <c r="AZ770" s="26"/>
      <c r="BA770" s="26"/>
      <c r="BB770" s="26"/>
      <c r="BC770" s="26"/>
      <c r="BD770" s="26"/>
      <c r="BE770" s="26"/>
      <c r="BF770" s="26"/>
      <c r="BG770" s="26"/>
      <c r="BH770" s="26"/>
      <c r="BI770" s="26"/>
      <c r="BJ770" s="26"/>
      <c r="BK770" s="26"/>
    </row>
    <row r="771" ht="14.25" customHeight="1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  <c r="AA771" s="26"/>
      <c r="AB771" s="26"/>
      <c r="AC771" s="26"/>
      <c r="AD771" s="26"/>
      <c r="AE771" s="26"/>
      <c r="AF771" s="26"/>
      <c r="AG771" s="26"/>
      <c r="AH771" s="26"/>
      <c r="AI771" s="26"/>
      <c r="AJ771" s="26"/>
      <c r="AK771" s="26"/>
      <c r="AL771" s="26"/>
      <c r="AM771" s="26"/>
      <c r="AN771" s="26"/>
      <c r="AO771" s="26"/>
      <c r="AP771" s="26"/>
      <c r="AQ771" s="26"/>
      <c r="AR771" s="26"/>
      <c r="AS771" s="26"/>
      <c r="AT771" s="26"/>
      <c r="AU771" s="26"/>
      <c r="AV771" s="26"/>
      <c r="AW771" s="26"/>
      <c r="AX771" s="26"/>
      <c r="AY771" s="26"/>
      <c r="AZ771" s="26"/>
      <c r="BA771" s="26"/>
      <c r="BB771" s="26"/>
      <c r="BC771" s="26"/>
      <c r="BD771" s="26"/>
      <c r="BE771" s="26"/>
      <c r="BF771" s="26"/>
      <c r="BG771" s="26"/>
      <c r="BH771" s="26"/>
      <c r="BI771" s="26"/>
      <c r="BJ771" s="26"/>
      <c r="BK771" s="26"/>
    </row>
    <row r="772" ht="14.25" customHeight="1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  <c r="AA772" s="26"/>
      <c r="AB772" s="26"/>
      <c r="AC772" s="26"/>
      <c r="AD772" s="26"/>
      <c r="AE772" s="26"/>
      <c r="AF772" s="26"/>
      <c r="AG772" s="26"/>
      <c r="AH772" s="26"/>
      <c r="AI772" s="26"/>
      <c r="AJ772" s="26"/>
      <c r="AK772" s="26"/>
      <c r="AL772" s="26"/>
      <c r="AM772" s="26"/>
      <c r="AN772" s="26"/>
      <c r="AO772" s="26"/>
      <c r="AP772" s="26"/>
      <c r="AQ772" s="26"/>
      <c r="AR772" s="26"/>
      <c r="AS772" s="26"/>
      <c r="AT772" s="26"/>
      <c r="AU772" s="26"/>
      <c r="AV772" s="26"/>
      <c r="AW772" s="26"/>
      <c r="AX772" s="26"/>
      <c r="AY772" s="26"/>
      <c r="AZ772" s="26"/>
      <c r="BA772" s="26"/>
      <c r="BB772" s="26"/>
      <c r="BC772" s="26"/>
      <c r="BD772" s="26"/>
      <c r="BE772" s="26"/>
      <c r="BF772" s="26"/>
      <c r="BG772" s="26"/>
      <c r="BH772" s="26"/>
      <c r="BI772" s="26"/>
      <c r="BJ772" s="26"/>
      <c r="BK772" s="26"/>
    </row>
    <row r="773" ht="14.25" customHeight="1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  <c r="AA773" s="26"/>
      <c r="AB773" s="26"/>
      <c r="AC773" s="26"/>
      <c r="AD773" s="26"/>
      <c r="AE773" s="26"/>
      <c r="AF773" s="26"/>
      <c r="AG773" s="26"/>
      <c r="AH773" s="26"/>
      <c r="AI773" s="26"/>
      <c r="AJ773" s="26"/>
      <c r="AK773" s="26"/>
      <c r="AL773" s="26"/>
      <c r="AM773" s="26"/>
      <c r="AN773" s="26"/>
      <c r="AO773" s="26"/>
      <c r="AP773" s="26"/>
      <c r="AQ773" s="26"/>
      <c r="AR773" s="26"/>
      <c r="AS773" s="26"/>
      <c r="AT773" s="26"/>
      <c r="AU773" s="26"/>
      <c r="AV773" s="26"/>
      <c r="AW773" s="26"/>
      <c r="AX773" s="26"/>
      <c r="AY773" s="26"/>
      <c r="AZ773" s="26"/>
      <c r="BA773" s="26"/>
      <c r="BB773" s="26"/>
      <c r="BC773" s="26"/>
      <c r="BD773" s="26"/>
      <c r="BE773" s="26"/>
      <c r="BF773" s="26"/>
      <c r="BG773" s="26"/>
      <c r="BH773" s="26"/>
      <c r="BI773" s="26"/>
      <c r="BJ773" s="26"/>
      <c r="BK773" s="26"/>
    </row>
    <row r="774" ht="14.25" customHeight="1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  <c r="AA774" s="26"/>
      <c r="AB774" s="26"/>
      <c r="AC774" s="26"/>
      <c r="AD774" s="26"/>
      <c r="AE774" s="26"/>
      <c r="AF774" s="26"/>
      <c r="AG774" s="26"/>
      <c r="AH774" s="26"/>
      <c r="AI774" s="26"/>
      <c r="AJ774" s="26"/>
      <c r="AK774" s="26"/>
      <c r="AL774" s="26"/>
      <c r="AM774" s="26"/>
      <c r="AN774" s="26"/>
      <c r="AO774" s="26"/>
      <c r="AP774" s="26"/>
      <c r="AQ774" s="26"/>
      <c r="AR774" s="26"/>
      <c r="AS774" s="26"/>
      <c r="AT774" s="26"/>
      <c r="AU774" s="26"/>
      <c r="AV774" s="26"/>
      <c r="AW774" s="26"/>
      <c r="AX774" s="26"/>
      <c r="AY774" s="26"/>
      <c r="AZ774" s="26"/>
      <c r="BA774" s="26"/>
      <c r="BB774" s="26"/>
      <c r="BC774" s="26"/>
      <c r="BD774" s="26"/>
      <c r="BE774" s="26"/>
      <c r="BF774" s="26"/>
      <c r="BG774" s="26"/>
      <c r="BH774" s="26"/>
      <c r="BI774" s="26"/>
      <c r="BJ774" s="26"/>
      <c r="BK774" s="26"/>
    </row>
    <row r="775" ht="14.25" customHeight="1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  <c r="AA775" s="26"/>
      <c r="AB775" s="26"/>
      <c r="AC775" s="26"/>
      <c r="AD775" s="26"/>
      <c r="AE775" s="26"/>
      <c r="AF775" s="26"/>
      <c r="AG775" s="26"/>
      <c r="AH775" s="26"/>
      <c r="AI775" s="26"/>
      <c r="AJ775" s="26"/>
      <c r="AK775" s="26"/>
      <c r="AL775" s="26"/>
      <c r="AM775" s="26"/>
      <c r="AN775" s="26"/>
      <c r="AO775" s="26"/>
      <c r="AP775" s="26"/>
      <c r="AQ775" s="26"/>
      <c r="AR775" s="26"/>
      <c r="AS775" s="26"/>
      <c r="AT775" s="26"/>
      <c r="AU775" s="26"/>
      <c r="AV775" s="26"/>
      <c r="AW775" s="26"/>
      <c r="AX775" s="26"/>
      <c r="AY775" s="26"/>
      <c r="AZ775" s="26"/>
      <c r="BA775" s="26"/>
      <c r="BB775" s="26"/>
      <c r="BC775" s="26"/>
      <c r="BD775" s="26"/>
      <c r="BE775" s="26"/>
      <c r="BF775" s="26"/>
      <c r="BG775" s="26"/>
      <c r="BH775" s="26"/>
      <c r="BI775" s="26"/>
      <c r="BJ775" s="26"/>
      <c r="BK775" s="26"/>
    </row>
    <row r="776" ht="14.25" customHeight="1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  <c r="AA776" s="26"/>
      <c r="AB776" s="26"/>
      <c r="AC776" s="26"/>
      <c r="AD776" s="26"/>
      <c r="AE776" s="26"/>
      <c r="AF776" s="26"/>
      <c r="AG776" s="26"/>
      <c r="AH776" s="26"/>
      <c r="AI776" s="26"/>
      <c r="AJ776" s="26"/>
      <c r="AK776" s="26"/>
      <c r="AL776" s="26"/>
      <c r="AM776" s="26"/>
      <c r="AN776" s="26"/>
      <c r="AO776" s="26"/>
      <c r="AP776" s="26"/>
      <c r="AQ776" s="26"/>
      <c r="AR776" s="26"/>
      <c r="AS776" s="26"/>
      <c r="AT776" s="26"/>
      <c r="AU776" s="26"/>
      <c r="AV776" s="26"/>
      <c r="AW776" s="26"/>
      <c r="AX776" s="26"/>
      <c r="AY776" s="26"/>
      <c r="AZ776" s="26"/>
      <c r="BA776" s="26"/>
      <c r="BB776" s="26"/>
      <c r="BC776" s="26"/>
      <c r="BD776" s="26"/>
      <c r="BE776" s="26"/>
      <c r="BF776" s="26"/>
      <c r="BG776" s="26"/>
      <c r="BH776" s="26"/>
      <c r="BI776" s="26"/>
      <c r="BJ776" s="26"/>
      <c r="BK776" s="26"/>
    </row>
    <row r="777" ht="14.25" customHeight="1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  <c r="AA777" s="26"/>
      <c r="AB777" s="26"/>
      <c r="AC777" s="26"/>
      <c r="AD777" s="26"/>
      <c r="AE777" s="26"/>
      <c r="AF777" s="26"/>
      <c r="AG777" s="26"/>
      <c r="AH777" s="26"/>
      <c r="AI777" s="26"/>
      <c r="AJ777" s="26"/>
      <c r="AK777" s="26"/>
      <c r="AL777" s="26"/>
      <c r="AM777" s="26"/>
      <c r="AN777" s="26"/>
      <c r="AO777" s="26"/>
      <c r="AP777" s="26"/>
      <c r="AQ777" s="26"/>
      <c r="AR777" s="26"/>
      <c r="AS777" s="26"/>
      <c r="AT777" s="26"/>
      <c r="AU777" s="26"/>
      <c r="AV777" s="26"/>
      <c r="AW777" s="26"/>
      <c r="AX777" s="26"/>
      <c r="AY777" s="26"/>
      <c r="AZ777" s="26"/>
      <c r="BA777" s="26"/>
      <c r="BB777" s="26"/>
      <c r="BC777" s="26"/>
      <c r="BD777" s="26"/>
      <c r="BE777" s="26"/>
      <c r="BF777" s="26"/>
      <c r="BG777" s="26"/>
      <c r="BH777" s="26"/>
      <c r="BI777" s="26"/>
      <c r="BJ777" s="26"/>
      <c r="BK777" s="26"/>
    </row>
    <row r="778" ht="14.25" customHeight="1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  <c r="AA778" s="26"/>
      <c r="AB778" s="26"/>
      <c r="AC778" s="26"/>
      <c r="AD778" s="26"/>
      <c r="AE778" s="26"/>
      <c r="AF778" s="26"/>
      <c r="AG778" s="26"/>
      <c r="AH778" s="26"/>
      <c r="AI778" s="26"/>
      <c r="AJ778" s="26"/>
      <c r="AK778" s="26"/>
      <c r="AL778" s="26"/>
      <c r="AM778" s="26"/>
      <c r="AN778" s="26"/>
      <c r="AO778" s="26"/>
      <c r="AP778" s="26"/>
      <c r="AQ778" s="26"/>
      <c r="AR778" s="26"/>
      <c r="AS778" s="26"/>
      <c r="AT778" s="26"/>
      <c r="AU778" s="26"/>
      <c r="AV778" s="26"/>
      <c r="AW778" s="26"/>
      <c r="AX778" s="26"/>
      <c r="AY778" s="26"/>
      <c r="AZ778" s="26"/>
      <c r="BA778" s="26"/>
      <c r="BB778" s="26"/>
      <c r="BC778" s="26"/>
      <c r="BD778" s="26"/>
      <c r="BE778" s="26"/>
      <c r="BF778" s="26"/>
      <c r="BG778" s="26"/>
      <c r="BH778" s="26"/>
      <c r="BI778" s="26"/>
      <c r="BJ778" s="26"/>
      <c r="BK778" s="26"/>
    </row>
    <row r="779" ht="14.25" customHeight="1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  <c r="AA779" s="26"/>
      <c r="AB779" s="26"/>
      <c r="AC779" s="26"/>
      <c r="AD779" s="26"/>
      <c r="AE779" s="26"/>
      <c r="AF779" s="26"/>
      <c r="AG779" s="26"/>
      <c r="AH779" s="26"/>
      <c r="AI779" s="26"/>
      <c r="AJ779" s="26"/>
      <c r="AK779" s="26"/>
      <c r="AL779" s="26"/>
      <c r="AM779" s="26"/>
      <c r="AN779" s="26"/>
      <c r="AO779" s="26"/>
      <c r="AP779" s="26"/>
      <c r="AQ779" s="26"/>
      <c r="AR779" s="26"/>
      <c r="AS779" s="26"/>
      <c r="AT779" s="26"/>
      <c r="AU779" s="26"/>
      <c r="AV779" s="26"/>
      <c r="AW779" s="26"/>
      <c r="AX779" s="26"/>
      <c r="AY779" s="26"/>
      <c r="AZ779" s="26"/>
      <c r="BA779" s="26"/>
      <c r="BB779" s="26"/>
      <c r="BC779" s="26"/>
      <c r="BD779" s="26"/>
      <c r="BE779" s="26"/>
      <c r="BF779" s="26"/>
      <c r="BG779" s="26"/>
      <c r="BH779" s="26"/>
      <c r="BI779" s="26"/>
      <c r="BJ779" s="26"/>
      <c r="BK779" s="26"/>
    </row>
    <row r="780" ht="14.25" customHeight="1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  <c r="AA780" s="26"/>
      <c r="AB780" s="26"/>
      <c r="AC780" s="26"/>
      <c r="AD780" s="26"/>
      <c r="AE780" s="26"/>
      <c r="AF780" s="26"/>
      <c r="AG780" s="26"/>
      <c r="AH780" s="26"/>
      <c r="AI780" s="26"/>
      <c r="AJ780" s="26"/>
      <c r="AK780" s="26"/>
      <c r="AL780" s="26"/>
      <c r="AM780" s="26"/>
      <c r="AN780" s="26"/>
      <c r="AO780" s="26"/>
      <c r="AP780" s="26"/>
      <c r="AQ780" s="26"/>
      <c r="AR780" s="26"/>
      <c r="AS780" s="26"/>
      <c r="AT780" s="26"/>
      <c r="AU780" s="26"/>
      <c r="AV780" s="26"/>
      <c r="AW780" s="26"/>
      <c r="AX780" s="26"/>
      <c r="AY780" s="26"/>
      <c r="AZ780" s="26"/>
      <c r="BA780" s="26"/>
      <c r="BB780" s="26"/>
      <c r="BC780" s="26"/>
      <c r="BD780" s="26"/>
      <c r="BE780" s="26"/>
      <c r="BF780" s="26"/>
      <c r="BG780" s="26"/>
      <c r="BH780" s="26"/>
      <c r="BI780" s="26"/>
      <c r="BJ780" s="26"/>
      <c r="BK780" s="26"/>
    </row>
    <row r="781" ht="14.25" customHeight="1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  <c r="AA781" s="26"/>
      <c r="AB781" s="26"/>
      <c r="AC781" s="26"/>
      <c r="AD781" s="26"/>
      <c r="AE781" s="26"/>
      <c r="AF781" s="26"/>
      <c r="AG781" s="26"/>
      <c r="AH781" s="26"/>
      <c r="AI781" s="26"/>
      <c r="AJ781" s="26"/>
      <c r="AK781" s="26"/>
      <c r="AL781" s="26"/>
      <c r="AM781" s="26"/>
      <c r="AN781" s="26"/>
      <c r="AO781" s="26"/>
      <c r="AP781" s="26"/>
      <c r="AQ781" s="26"/>
      <c r="AR781" s="26"/>
      <c r="AS781" s="26"/>
      <c r="AT781" s="26"/>
      <c r="AU781" s="26"/>
      <c r="AV781" s="26"/>
      <c r="AW781" s="26"/>
      <c r="AX781" s="26"/>
      <c r="AY781" s="26"/>
      <c r="AZ781" s="26"/>
      <c r="BA781" s="26"/>
      <c r="BB781" s="26"/>
      <c r="BC781" s="26"/>
      <c r="BD781" s="26"/>
      <c r="BE781" s="26"/>
      <c r="BF781" s="26"/>
      <c r="BG781" s="26"/>
      <c r="BH781" s="26"/>
      <c r="BI781" s="26"/>
      <c r="BJ781" s="26"/>
      <c r="BK781" s="26"/>
    </row>
    <row r="782" ht="14.25" customHeight="1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  <c r="AA782" s="26"/>
      <c r="AB782" s="26"/>
      <c r="AC782" s="26"/>
      <c r="AD782" s="26"/>
      <c r="AE782" s="26"/>
      <c r="AF782" s="26"/>
      <c r="AG782" s="26"/>
      <c r="AH782" s="26"/>
      <c r="AI782" s="26"/>
      <c r="AJ782" s="26"/>
      <c r="AK782" s="26"/>
      <c r="AL782" s="26"/>
      <c r="AM782" s="26"/>
      <c r="AN782" s="26"/>
      <c r="AO782" s="26"/>
      <c r="AP782" s="26"/>
      <c r="AQ782" s="26"/>
      <c r="AR782" s="26"/>
      <c r="AS782" s="26"/>
      <c r="AT782" s="26"/>
      <c r="AU782" s="26"/>
      <c r="AV782" s="26"/>
      <c r="AW782" s="26"/>
      <c r="AX782" s="26"/>
      <c r="AY782" s="26"/>
      <c r="AZ782" s="26"/>
      <c r="BA782" s="26"/>
      <c r="BB782" s="26"/>
      <c r="BC782" s="26"/>
      <c r="BD782" s="26"/>
      <c r="BE782" s="26"/>
      <c r="BF782" s="26"/>
      <c r="BG782" s="26"/>
      <c r="BH782" s="26"/>
      <c r="BI782" s="26"/>
      <c r="BJ782" s="26"/>
      <c r="BK782" s="26"/>
    </row>
    <row r="783" ht="14.25" customHeight="1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  <c r="AA783" s="26"/>
      <c r="AB783" s="26"/>
      <c r="AC783" s="26"/>
      <c r="AD783" s="26"/>
      <c r="AE783" s="26"/>
      <c r="AF783" s="26"/>
      <c r="AG783" s="26"/>
      <c r="AH783" s="26"/>
      <c r="AI783" s="26"/>
      <c r="AJ783" s="26"/>
      <c r="AK783" s="26"/>
      <c r="AL783" s="26"/>
      <c r="AM783" s="26"/>
      <c r="AN783" s="26"/>
      <c r="AO783" s="26"/>
      <c r="AP783" s="26"/>
      <c r="AQ783" s="26"/>
      <c r="AR783" s="26"/>
      <c r="AS783" s="26"/>
      <c r="AT783" s="26"/>
      <c r="AU783" s="26"/>
      <c r="AV783" s="26"/>
      <c r="AW783" s="26"/>
      <c r="AX783" s="26"/>
      <c r="AY783" s="26"/>
      <c r="AZ783" s="26"/>
      <c r="BA783" s="26"/>
      <c r="BB783" s="26"/>
      <c r="BC783" s="26"/>
      <c r="BD783" s="26"/>
      <c r="BE783" s="26"/>
      <c r="BF783" s="26"/>
      <c r="BG783" s="26"/>
      <c r="BH783" s="26"/>
      <c r="BI783" s="26"/>
      <c r="BJ783" s="26"/>
      <c r="BK783" s="26"/>
    </row>
    <row r="784" ht="14.25" customHeight="1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  <c r="AA784" s="26"/>
      <c r="AB784" s="26"/>
      <c r="AC784" s="26"/>
      <c r="AD784" s="26"/>
      <c r="AE784" s="26"/>
      <c r="AF784" s="26"/>
      <c r="AG784" s="26"/>
      <c r="AH784" s="26"/>
      <c r="AI784" s="26"/>
      <c r="AJ784" s="26"/>
      <c r="AK784" s="26"/>
      <c r="AL784" s="26"/>
      <c r="AM784" s="26"/>
      <c r="AN784" s="26"/>
      <c r="AO784" s="26"/>
      <c r="AP784" s="26"/>
      <c r="AQ784" s="26"/>
      <c r="AR784" s="26"/>
      <c r="AS784" s="26"/>
      <c r="AT784" s="26"/>
      <c r="AU784" s="26"/>
      <c r="AV784" s="26"/>
      <c r="AW784" s="26"/>
      <c r="AX784" s="26"/>
      <c r="AY784" s="26"/>
      <c r="AZ784" s="26"/>
      <c r="BA784" s="26"/>
      <c r="BB784" s="26"/>
      <c r="BC784" s="26"/>
      <c r="BD784" s="26"/>
      <c r="BE784" s="26"/>
      <c r="BF784" s="26"/>
      <c r="BG784" s="26"/>
      <c r="BH784" s="26"/>
      <c r="BI784" s="26"/>
      <c r="BJ784" s="26"/>
      <c r="BK784" s="26"/>
    </row>
    <row r="785" ht="14.25" customHeight="1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  <c r="AA785" s="26"/>
      <c r="AB785" s="26"/>
      <c r="AC785" s="26"/>
      <c r="AD785" s="26"/>
      <c r="AE785" s="26"/>
      <c r="AF785" s="26"/>
      <c r="AG785" s="26"/>
      <c r="AH785" s="26"/>
      <c r="AI785" s="26"/>
      <c r="AJ785" s="26"/>
      <c r="AK785" s="26"/>
      <c r="AL785" s="26"/>
      <c r="AM785" s="26"/>
      <c r="AN785" s="26"/>
      <c r="AO785" s="26"/>
      <c r="AP785" s="26"/>
      <c r="AQ785" s="26"/>
      <c r="AR785" s="26"/>
      <c r="AS785" s="26"/>
      <c r="AT785" s="26"/>
      <c r="AU785" s="26"/>
      <c r="AV785" s="26"/>
      <c r="AW785" s="26"/>
      <c r="AX785" s="26"/>
      <c r="AY785" s="26"/>
      <c r="AZ785" s="26"/>
      <c r="BA785" s="26"/>
      <c r="BB785" s="26"/>
      <c r="BC785" s="26"/>
      <c r="BD785" s="26"/>
      <c r="BE785" s="26"/>
      <c r="BF785" s="26"/>
      <c r="BG785" s="26"/>
      <c r="BH785" s="26"/>
      <c r="BI785" s="26"/>
      <c r="BJ785" s="26"/>
      <c r="BK785" s="26"/>
    </row>
    <row r="786" ht="14.25" customHeight="1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  <c r="AA786" s="26"/>
      <c r="AB786" s="26"/>
      <c r="AC786" s="26"/>
      <c r="AD786" s="26"/>
      <c r="AE786" s="26"/>
      <c r="AF786" s="26"/>
      <c r="AG786" s="26"/>
      <c r="AH786" s="26"/>
      <c r="AI786" s="26"/>
      <c r="AJ786" s="26"/>
      <c r="AK786" s="26"/>
      <c r="AL786" s="26"/>
      <c r="AM786" s="26"/>
      <c r="AN786" s="26"/>
      <c r="AO786" s="26"/>
      <c r="AP786" s="26"/>
      <c r="AQ786" s="26"/>
      <c r="AR786" s="26"/>
      <c r="AS786" s="26"/>
      <c r="AT786" s="26"/>
      <c r="AU786" s="26"/>
      <c r="AV786" s="26"/>
      <c r="AW786" s="26"/>
      <c r="AX786" s="26"/>
      <c r="AY786" s="26"/>
      <c r="AZ786" s="26"/>
      <c r="BA786" s="26"/>
      <c r="BB786" s="26"/>
      <c r="BC786" s="26"/>
      <c r="BD786" s="26"/>
      <c r="BE786" s="26"/>
      <c r="BF786" s="26"/>
      <c r="BG786" s="26"/>
      <c r="BH786" s="26"/>
      <c r="BI786" s="26"/>
      <c r="BJ786" s="26"/>
      <c r="BK786" s="26"/>
    </row>
    <row r="787" ht="14.25" customHeight="1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  <c r="AA787" s="26"/>
      <c r="AB787" s="26"/>
      <c r="AC787" s="26"/>
      <c r="AD787" s="26"/>
      <c r="AE787" s="26"/>
      <c r="AF787" s="26"/>
      <c r="AG787" s="26"/>
      <c r="AH787" s="26"/>
      <c r="AI787" s="26"/>
      <c r="AJ787" s="26"/>
      <c r="AK787" s="26"/>
      <c r="AL787" s="26"/>
      <c r="AM787" s="26"/>
      <c r="AN787" s="26"/>
      <c r="AO787" s="26"/>
      <c r="AP787" s="26"/>
      <c r="AQ787" s="26"/>
      <c r="AR787" s="26"/>
      <c r="AS787" s="26"/>
      <c r="AT787" s="26"/>
      <c r="AU787" s="26"/>
      <c r="AV787" s="26"/>
      <c r="AW787" s="26"/>
      <c r="AX787" s="26"/>
      <c r="AY787" s="26"/>
      <c r="AZ787" s="26"/>
      <c r="BA787" s="26"/>
      <c r="BB787" s="26"/>
      <c r="BC787" s="26"/>
      <c r="BD787" s="26"/>
      <c r="BE787" s="26"/>
      <c r="BF787" s="26"/>
      <c r="BG787" s="26"/>
      <c r="BH787" s="26"/>
      <c r="BI787" s="26"/>
      <c r="BJ787" s="26"/>
      <c r="BK787" s="26"/>
    </row>
    <row r="788" ht="14.25" customHeight="1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  <c r="AA788" s="26"/>
      <c r="AB788" s="26"/>
      <c r="AC788" s="26"/>
      <c r="AD788" s="26"/>
      <c r="AE788" s="26"/>
      <c r="AF788" s="26"/>
      <c r="AG788" s="26"/>
      <c r="AH788" s="26"/>
      <c r="AI788" s="26"/>
      <c r="AJ788" s="26"/>
      <c r="AK788" s="26"/>
      <c r="AL788" s="26"/>
      <c r="AM788" s="26"/>
      <c r="AN788" s="26"/>
      <c r="AO788" s="26"/>
      <c r="AP788" s="26"/>
      <c r="AQ788" s="26"/>
      <c r="AR788" s="26"/>
      <c r="AS788" s="26"/>
      <c r="AT788" s="26"/>
      <c r="AU788" s="26"/>
      <c r="AV788" s="26"/>
      <c r="AW788" s="26"/>
      <c r="AX788" s="26"/>
      <c r="AY788" s="26"/>
      <c r="AZ788" s="26"/>
      <c r="BA788" s="26"/>
      <c r="BB788" s="26"/>
      <c r="BC788" s="26"/>
      <c r="BD788" s="26"/>
      <c r="BE788" s="26"/>
      <c r="BF788" s="26"/>
      <c r="BG788" s="26"/>
      <c r="BH788" s="26"/>
      <c r="BI788" s="26"/>
      <c r="BJ788" s="26"/>
      <c r="BK788" s="26"/>
    </row>
    <row r="789" ht="14.25" customHeight="1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  <c r="AA789" s="26"/>
      <c r="AB789" s="26"/>
      <c r="AC789" s="26"/>
      <c r="AD789" s="26"/>
      <c r="AE789" s="26"/>
      <c r="AF789" s="26"/>
      <c r="AG789" s="26"/>
      <c r="AH789" s="26"/>
      <c r="AI789" s="26"/>
      <c r="AJ789" s="26"/>
      <c r="AK789" s="26"/>
      <c r="AL789" s="26"/>
      <c r="AM789" s="26"/>
      <c r="AN789" s="26"/>
      <c r="AO789" s="26"/>
      <c r="AP789" s="26"/>
      <c r="AQ789" s="26"/>
      <c r="AR789" s="26"/>
      <c r="AS789" s="26"/>
      <c r="AT789" s="26"/>
      <c r="AU789" s="26"/>
      <c r="AV789" s="26"/>
      <c r="AW789" s="26"/>
      <c r="AX789" s="26"/>
      <c r="AY789" s="26"/>
      <c r="AZ789" s="26"/>
      <c r="BA789" s="26"/>
      <c r="BB789" s="26"/>
      <c r="BC789" s="26"/>
      <c r="BD789" s="26"/>
      <c r="BE789" s="26"/>
      <c r="BF789" s="26"/>
      <c r="BG789" s="26"/>
      <c r="BH789" s="26"/>
      <c r="BI789" s="26"/>
      <c r="BJ789" s="26"/>
      <c r="BK789" s="26"/>
    </row>
    <row r="790" ht="14.25" customHeight="1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  <c r="AA790" s="26"/>
      <c r="AB790" s="26"/>
      <c r="AC790" s="26"/>
      <c r="AD790" s="26"/>
      <c r="AE790" s="26"/>
      <c r="AF790" s="26"/>
      <c r="AG790" s="26"/>
      <c r="AH790" s="26"/>
      <c r="AI790" s="26"/>
      <c r="AJ790" s="26"/>
      <c r="AK790" s="26"/>
      <c r="AL790" s="26"/>
      <c r="AM790" s="26"/>
      <c r="AN790" s="26"/>
      <c r="AO790" s="26"/>
      <c r="AP790" s="26"/>
      <c r="AQ790" s="26"/>
      <c r="AR790" s="26"/>
      <c r="AS790" s="26"/>
      <c r="AT790" s="26"/>
      <c r="AU790" s="26"/>
      <c r="AV790" s="26"/>
      <c r="AW790" s="26"/>
      <c r="AX790" s="26"/>
      <c r="AY790" s="26"/>
      <c r="AZ790" s="26"/>
      <c r="BA790" s="26"/>
      <c r="BB790" s="26"/>
      <c r="BC790" s="26"/>
      <c r="BD790" s="26"/>
      <c r="BE790" s="26"/>
      <c r="BF790" s="26"/>
      <c r="BG790" s="26"/>
      <c r="BH790" s="26"/>
      <c r="BI790" s="26"/>
      <c r="BJ790" s="26"/>
      <c r="BK790" s="26"/>
    </row>
    <row r="791" ht="14.25" customHeight="1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  <c r="AA791" s="26"/>
      <c r="AB791" s="26"/>
      <c r="AC791" s="26"/>
      <c r="AD791" s="26"/>
      <c r="AE791" s="26"/>
      <c r="AF791" s="26"/>
      <c r="AG791" s="26"/>
      <c r="AH791" s="26"/>
      <c r="AI791" s="26"/>
      <c r="AJ791" s="26"/>
      <c r="AK791" s="26"/>
      <c r="AL791" s="26"/>
      <c r="AM791" s="26"/>
      <c r="AN791" s="26"/>
      <c r="AO791" s="26"/>
      <c r="AP791" s="26"/>
      <c r="AQ791" s="26"/>
      <c r="AR791" s="26"/>
      <c r="AS791" s="26"/>
      <c r="AT791" s="26"/>
      <c r="AU791" s="26"/>
      <c r="AV791" s="26"/>
      <c r="AW791" s="26"/>
      <c r="AX791" s="26"/>
      <c r="AY791" s="26"/>
      <c r="AZ791" s="26"/>
      <c r="BA791" s="26"/>
      <c r="BB791" s="26"/>
      <c r="BC791" s="26"/>
      <c r="BD791" s="26"/>
      <c r="BE791" s="26"/>
      <c r="BF791" s="26"/>
      <c r="BG791" s="26"/>
      <c r="BH791" s="26"/>
      <c r="BI791" s="26"/>
      <c r="BJ791" s="26"/>
      <c r="BK791" s="26"/>
    </row>
    <row r="792" ht="14.25" customHeight="1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  <c r="AA792" s="26"/>
      <c r="AB792" s="26"/>
      <c r="AC792" s="26"/>
      <c r="AD792" s="26"/>
      <c r="AE792" s="26"/>
      <c r="AF792" s="26"/>
      <c r="AG792" s="26"/>
      <c r="AH792" s="26"/>
      <c r="AI792" s="26"/>
      <c r="AJ792" s="26"/>
      <c r="AK792" s="26"/>
      <c r="AL792" s="26"/>
      <c r="AM792" s="26"/>
      <c r="AN792" s="26"/>
      <c r="AO792" s="26"/>
      <c r="AP792" s="26"/>
      <c r="AQ792" s="26"/>
      <c r="AR792" s="26"/>
      <c r="AS792" s="26"/>
      <c r="AT792" s="26"/>
      <c r="AU792" s="26"/>
      <c r="AV792" s="26"/>
      <c r="AW792" s="26"/>
      <c r="AX792" s="26"/>
      <c r="AY792" s="26"/>
      <c r="AZ792" s="26"/>
      <c r="BA792" s="26"/>
      <c r="BB792" s="26"/>
      <c r="BC792" s="26"/>
      <c r="BD792" s="26"/>
      <c r="BE792" s="26"/>
      <c r="BF792" s="26"/>
      <c r="BG792" s="26"/>
      <c r="BH792" s="26"/>
      <c r="BI792" s="26"/>
      <c r="BJ792" s="26"/>
      <c r="BK792" s="26"/>
    </row>
    <row r="793" ht="14.25" customHeight="1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  <c r="AA793" s="26"/>
      <c r="AB793" s="26"/>
      <c r="AC793" s="26"/>
      <c r="AD793" s="26"/>
      <c r="AE793" s="26"/>
      <c r="AF793" s="26"/>
      <c r="AG793" s="26"/>
      <c r="AH793" s="26"/>
      <c r="AI793" s="26"/>
      <c r="AJ793" s="26"/>
      <c r="AK793" s="26"/>
      <c r="AL793" s="26"/>
      <c r="AM793" s="26"/>
      <c r="AN793" s="26"/>
      <c r="AO793" s="26"/>
      <c r="AP793" s="26"/>
      <c r="AQ793" s="26"/>
      <c r="AR793" s="26"/>
      <c r="AS793" s="26"/>
      <c r="AT793" s="26"/>
      <c r="AU793" s="26"/>
      <c r="AV793" s="26"/>
      <c r="AW793" s="26"/>
      <c r="AX793" s="26"/>
      <c r="AY793" s="26"/>
      <c r="AZ793" s="26"/>
      <c r="BA793" s="26"/>
      <c r="BB793" s="26"/>
      <c r="BC793" s="26"/>
      <c r="BD793" s="26"/>
      <c r="BE793" s="26"/>
      <c r="BF793" s="26"/>
      <c r="BG793" s="26"/>
      <c r="BH793" s="26"/>
      <c r="BI793" s="26"/>
      <c r="BJ793" s="26"/>
      <c r="BK793" s="26"/>
    </row>
    <row r="794" ht="14.25" customHeight="1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  <c r="AA794" s="26"/>
      <c r="AB794" s="26"/>
      <c r="AC794" s="26"/>
      <c r="AD794" s="26"/>
      <c r="AE794" s="26"/>
      <c r="AF794" s="26"/>
      <c r="AG794" s="26"/>
      <c r="AH794" s="26"/>
      <c r="AI794" s="26"/>
      <c r="AJ794" s="26"/>
      <c r="AK794" s="26"/>
      <c r="AL794" s="26"/>
      <c r="AM794" s="26"/>
      <c r="AN794" s="26"/>
      <c r="AO794" s="26"/>
      <c r="AP794" s="26"/>
      <c r="AQ794" s="26"/>
      <c r="AR794" s="26"/>
      <c r="AS794" s="26"/>
      <c r="AT794" s="26"/>
      <c r="AU794" s="26"/>
      <c r="AV794" s="26"/>
      <c r="AW794" s="26"/>
      <c r="AX794" s="26"/>
      <c r="AY794" s="26"/>
      <c r="AZ794" s="26"/>
      <c r="BA794" s="26"/>
      <c r="BB794" s="26"/>
      <c r="BC794" s="26"/>
      <c r="BD794" s="26"/>
      <c r="BE794" s="26"/>
      <c r="BF794" s="26"/>
      <c r="BG794" s="26"/>
      <c r="BH794" s="26"/>
      <c r="BI794" s="26"/>
      <c r="BJ794" s="26"/>
      <c r="BK794" s="26"/>
    </row>
    <row r="795" ht="14.25" customHeight="1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  <c r="AA795" s="26"/>
      <c r="AB795" s="26"/>
      <c r="AC795" s="26"/>
      <c r="AD795" s="26"/>
      <c r="AE795" s="26"/>
      <c r="AF795" s="26"/>
      <c r="AG795" s="26"/>
      <c r="AH795" s="26"/>
      <c r="AI795" s="26"/>
      <c r="AJ795" s="26"/>
      <c r="AK795" s="26"/>
      <c r="AL795" s="26"/>
      <c r="AM795" s="26"/>
      <c r="AN795" s="26"/>
      <c r="AO795" s="26"/>
      <c r="AP795" s="26"/>
      <c r="AQ795" s="26"/>
      <c r="AR795" s="26"/>
      <c r="AS795" s="26"/>
      <c r="AT795" s="26"/>
      <c r="AU795" s="26"/>
      <c r="AV795" s="26"/>
      <c r="AW795" s="26"/>
      <c r="AX795" s="26"/>
      <c r="AY795" s="26"/>
      <c r="AZ795" s="26"/>
      <c r="BA795" s="26"/>
      <c r="BB795" s="26"/>
      <c r="BC795" s="26"/>
      <c r="BD795" s="26"/>
      <c r="BE795" s="26"/>
      <c r="BF795" s="26"/>
      <c r="BG795" s="26"/>
      <c r="BH795" s="26"/>
      <c r="BI795" s="26"/>
      <c r="BJ795" s="26"/>
      <c r="BK795" s="26"/>
    </row>
    <row r="796" ht="14.25" customHeight="1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  <c r="AA796" s="26"/>
      <c r="AB796" s="26"/>
      <c r="AC796" s="26"/>
      <c r="AD796" s="26"/>
      <c r="AE796" s="26"/>
      <c r="AF796" s="26"/>
      <c r="AG796" s="26"/>
      <c r="AH796" s="26"/>
      <c r="AI796" s="26"/>
      <c r="AJ796" s="26"/>
      <c r="AK796" s="26"/>
      <c r="AL796" s="26"/>
      <c r="AM796" s="26"/>
      <c r="AN796" s="26"/>
      <c r="AO796" s="26"/>
      <c r="AP796" s="26"/>
      <c r="AQ796" s="26"/>
      <c r="AR796" s="26"/>
      <c r="AS796" s="26"/>
      <c r="AT796" s="26"/>
      <c r="AU796" s="26"/>
      <c r="AV796" s="26"/>
      <c r="AW796" s="26"/>
      <c r="AX796" s="26"/>
      <c r="AY796" s="26"/>
      <c r="AZ796" s="26"/>
      <c r="BA796" s="26"/>
      <c r="BB796" s="26"/>
      <c r="BC796" s="26"/>
      <c r="BD796" s="26"/>
      <c r="BE796" s="26"/>
      <c r="BF796" s="26"/>
      <c r="BG796" s="26"/>
      <c r="BH796" s="26"/>
      <c r="BI796" s="26"/>
      <c r="BJ796" s="26"/>
      <c r="BK796" s="26"/>
    </row>
    <row r="797" ht="14.25" customHeight="1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  <c r="AA797" s="26"/>
      <c r="AB797" s="26"/>
      <c r="AC797" s="26"/>
      <c r="AD797" s="26"/>
      <c r="AE797" s="26"/>
      <c r="AF797" s="26"/>
      <c r="AG797" s="26"/>
      <c r="AH797" s="26"/>
      <c r="AI797" s="26"/>
      <c r="AJ797" s="26"/>
      <c r="AK797" s="26"/>
      <c r="AL797" s="26"/>
      <c r="AM797" s="26"/>
      <c r="AN797" s="26"/>
      <c r="AO797" s="26"/>
      <c r="AP797" s="26"/>
      <c r="AQ797" s="26"/>
      <c r="AR797" s="26"/>
      <c r="AS797" s="26"/>
      <c r="AT797" s="26"/>
      <c r="AU797" s="26"/>
      <c r="AV797" s="26"/>
      <c r="AW797" s="26"/>
      <c r="AX797" s="26"/>
      <c r="AY797" s="26"/>
      <c r="AZ797" s="26"/>
      <c r="BA797" s="26"/>
      <c r="BB797" s="26"/>
      <c r="BC797" s="26"/>
      <c r="BD797" s="26"/>
      <c r="BE797" s="26"/>
      <c r="BF797" s="26"/>
      <c r="BG797" s="26"/>
      <c r="BH797" s="26"/>
      <c r="BI797" s="26"/>
      <c r="BJ797" s="26"/>
      <c r="BK797" s="26"/>
    </row>
    <row r="798" ht="14.25" customHeight="1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  <c r="AA798" s="26"/>
      <c r="AB798" s="26"/>
      <c r="AC798" s="26"/>
      <c r="AD798" s="26"/>
      <c r="AE798" s="26"/>
      <c r="AF798" s="26"/>
      <c r="AG798" s="26"/>
      <c r="AH798" s="26"/>
      <c r="AI798" s="26"/>
      <c r="AJ798" s="26"/>
      <c r="AK798" s="26"/>
      <c r="AL798" s="26"/>
      <c r="AM798" s="26"/>
      <c r="AN798" s="26"/>
      <c r="AO798" s="26"/>
      <c r="AP798" s="26"/>
      <c r="AQ798" s="26"/>
      <c r="AR798" s="26"/>
      <c r="AS798" s="26"/>
      <c r="AT798" s="26"/>
      <c r="AU798" s="26"/>
      <c r="AV798" s="26"/>
      <c r="AW798" s="26"/>
      <c r="AX798" s="26"/>
      <c r="AY798" s="26"/>
      <c r="AZ798" s="26"/>
      <c r="BA798" s="26"/>
      <c r="BB798" s="26"/>
      <c r="BC798" s="26"/>
      <c r="BD798" s="26"/>
      <c r="BE798" s="26"/>
      <c r="BF798" s="26"/>
      <c r="BG798" s="26"/>
      <c r="BH798" s="26"/>
      <c r="BI798" s="26"/>
      <c r="BJ798" s="26"/>
      <c r="BK798" s="26"/>
    </row>
    <row r="799" ht="14.25" customHeight="1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  <c r="AA799" s="26"/>
      <c r="AB799" s="26"/>
      <c r="AC799" s="26"/>
      <c r="AD799" s="26"/>
      <c r="AE799" s="26"/>
      <c r="AF799" s="26"/>
      <c r="AG799" s="26"/>
      <c r="AH799" s="26"/>
      <c r="AI799" s="26"/>
      <c r="AJ799" s="26"/>
      <c r="AK799" s="26"/>
      <c r="AL799" s="26"/>
      <c r="AM799" s="26"/>
      <c r="AN799" s="26"/>
      <c r="AO799" s="26"/>
      <c r="AP799" s="26"/>
      <c r="AQ799" s="26"/>
      <c r="AR799" s="26"/>
      <c r="AS799" s="26"/>
      <c r="AT799" s="26"/>
      <c r="AU799" s="26"/>
      <c r="AV799" s="26"/>
      <c r="AW799" s="26"/>
      <c r="AX799" s="26"/>
      <c r="AY799" s="26"/>
      <c r="AZ799" s="26"/>
      <c r="BA799" s="26"/>
      <c r="BB799" s="26"/>
      <c r="BC799" s="26"/>
      <c r="BD799" s="26"/>
      <c r="BE799" s="26"/>
      <c r="BF799" s="26"/>
      <c r="BG799" s="26"/>
      <c r="BH799" s="26"/>
      <c r="BI799" s="26"/>
      <c r="BJ799" s="26"/>
      <c r="BK799" s="26"/>
    </row>
    <row r="800" ht="14.25" customHeight="1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  <c r="AA800" s="26"/>
      <c r="AB800" s="26"/>
      <c r="AC800" s="26"/>
      <c r="AD800" s="26"/>
      <c r="AE800" s="26"/>
      <c r="AF800" s="26"/>
      <c r="AG800" s="26"/>
      <c r="AH800" s="26"/>
      <c r="AI800" s="26"/>
      <c r="AJ800" s="26"/>
      <c r="AK800" s="26"/>
      <c r="AL800" s="26"/>
      <c r="AM800" s="26"/>
      <c r="AN800" s="26"/>
      <c r="AO800" s="26"/>
      <c r="AP800" s="26"/>
      <c r="AQ800" s="26"/>
      <c r="AR800" s="26"/>
      <c r="AS800" s="26"/>
      <c r="AT800" s="26"/>
      <c r="AU800" s="26"/>
      <c r="AV800" s="26"/>
      <c r="AW800" s="26"/>
      <c r="AX800" s="26"/>
      <c r="AY800" s="26"/>
      <c r="AZ800" s="26"/>
      <c r="BA800" s="26"/>
      <c r="BB800" s="26"/>
      <c r="BC800" s="26"/>
      <c r="BD800" s="26"/>
      <c r="BE800" s="26"/>
      <c r="BF800" s="26"/>
      <c r="BG800" s="26"/>
      <c r="BH800" s="26"/>
      <c r="BI800" s="26"/>
      <c r="BJ800" s="26"/>
      <c r="BK800" s="26"/>
    </row>
    <row r="801" ht="14.25" customHeight="1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  <c r="AA801" s="26"/>
      <c r="AB801" s="26"/>
      <c r="AC801" s="26"/>
      <c r="AD801" s="26"/>
      <c r="AE801" s="26"/>
      <c r="AF801" s="26"/>
      <c r="AG801" s="26"/>
      <c r="AH801" s="26"/>
      <c r="AI801" s="26"/>
      <c r="AJ801" s="26"/>
      <c r="AK801" s="26"/>
      <c r="AL801" s="26"/>
      <c r="AM801" s="26"/>
      <c r="AN801" s="26"/>
      <c r="AO801" s="26"/>
      <c r="AP801" s="26"/>
      <c r="AQ801" s="26"/>
      <c r="AR801" s="26"/>
      <c r="AS801" s="26"/>
      <c r="AT801" s="26"/>
      <c r="AU801" s="26"/>
      <c r="AV801" s="26"/>
      <c r="AW801" s="26"/>
      <c r="AX801" s="26"/>
      <c r="AY801" s="26"/>
      <c r="AZ801" s="26"/>
      <c r="BA801" s="26"/>
      <c r="BB801" s="26"/>
      <c r="BC801" s="26"/>
      <c r="BD801" s="26"/>
      <c r="BE801" s="26"/>
      <c r="BF801" s="26"/>
      <c r="BG801" s="26"/>
      <c r="BH801" s="26"/>
      <c r="BI801" s="26"/>
      <c r="BJ801" s="26"/>
      <c r="BK801" s="26"/>
    </row>
    <row r="802" ht="14.25" customHeight="1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  <c r="AA802" s="26"/>
      <c r="AB802" s="26"/>
      <c r="AC802" s="26"/>
      <c r="AD802" s="26"/>
      <c r="AE802" s="26"/>
      <c r="AF802" s="26"/>
      <c r="AG802" s="26"/>
      <c r="AH802" s="26"/>
      <c r="AI802" s="26"/>
      <c r="AJ802" s="26"/>
      <c r="AK802" s="26"/>
      <c r="AL802" s="26"/>
      <c r="AM802" s="26"/>
      <c r="AN802" s="26"/>
      <c r="AO802" s="26"/>
      <c r="AP802" s="26"/>
      <c r="AQ802" s="26"/>
      <c r="AR802" s="26"/>
      <c r="AS802" s="26"/>
      <c r="AT802" s="26"/>
      <c r="AU802" s="26"/>
      <c r="AV802" s="26"/>
      <c r="AW802" s="26"/>
      <c r="AX802" s="26"/>
      <c r="AY802" s="26"/>
      <c r="AZ802" s="26"/>
      <c r="BA802" s="26"/>
      <c r="BB802" s="26"/>
      <c r="BC802" s="26"/>
      <c r="BD802" s="26"/>
      <c r="BE802" s="26"/>
      <c r="BF802" s="26"/>
      <c r="BG802" s="26"/>
      <c r="BH802" s="26"/>
      <c r="BI802" s="26"/>
      <c r="BJ802" s="26"/>
      <c r="BK802" s="26"/>
    </row>
    <row r="803" ht="14.25" customHeight="1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  <c r="AA803" s="26"/>
      <c r="AB803" s="26"/>
      <c r="AC803" s="26"/>
      <c r="AD803" s="26"/>
      <c r="AE803" s="26"/>
      <c r="AF803" s="26"/>
      <c r="AG803" s="26"/>
      <c r="AH803" s="26"/>
      <c r="AI803" s="26"/>
      <c r="AJ803" s="26"/>
      <c r="AK803" s="26"/>
      <c r="AL803" s="26"/>
      <c r="AM803" s="26"/>
      <c r="AN803" s="26"/>
      <c r="AO803" s="26"/>
      <c r="AP803" s="26"/>
      <c r="AQ803" s="26"/>
      <c r="AR803" s="26"/>
      <c r="AS803" s="26"/>
      <c r="AT803" s="26"/>
      <c r="AU803" s="26"/>
      <c r="AV803" s="26"/>
      <c r="AW803" s="26"/>
      <c r="AX803" s="26"/>
      <c r="AY803" s="26"/>
      <c r="AZ803" s="26"/>
      <c r="BA803" s="26"/>
      <c r="BB803" s="26"/>
      <c r="BC803" s="26"/>
      <c r="BD803" s="26"/>
      <c r="BE803" s="26"/>
      <c r="BF803" s="26"/>
      <c r="BG803" s="26"/>
      <c r="BH803" s="26"/>
      <c r="BI803" s="26"/>
      <c r="BJ803" s="26"/>
      <c r="BK803" s="26"/>
    </row>
    <row r="804" ht="14.25" customHeight="1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  <c r="AB804" s="26"/>
      <c r="AC804" s="26"/>
      <c r="AD804" s="26"/>
      <c r="AE804" s="26"/>
      <c r="AF804" s="26"/>
      <c r="AG804" s="26"/>
      <c r="AH804" s="26"/>
      <c r="AI804" s="26"/>
      <c r="AJ804" s="26"/>
      <c r="AK804" s="26"/>
      <c r="AL804" s="26"/>
      <c r="AM804" s="26"/>
      <c r="AN804" s="26"/>
      <c r="AO804" s="26"/>
      <c r="AP804" s="26"/>
      <c r="AQ804" s="26"/>
      <c r="AR804" s="26"/>
      <c r="AS804" s="26"/>
      <c r="AT804" s="26"/>
      <c r="AU804" s="26"/>
      <c r="AV804" s="26"/>
      <c r="AW804" s="26"/>
      <c r="AX804" s="26"/>
      <c r="AY804" s="26"/>
      <c r="AZ804" s="26"/>
      <c r="BA804" s="26"/>
      <c r="BB804" s="26"/>
      <c r="BC804" s="26"/>
      <c r="BD804" s="26"/>
      <c r="BE804" s="26"/>
      <c r="BF804" s="26"/>
      <c r="BG804" s="26"/>
      <c r="BH804" s="26"/>
      <c r="BI804" s="26"/>
      <c r="BJ804" s="26"/>
      <c r="BK804" s="26"/>
    </row>
    <row r="805" ht="14.25" customHeight="1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  <c r="AA805" s="26"/>
      <c r="AB805" s="26"/>
      <c r="AC805" s="26"/>
      <c r="AD805" s="26"/>
      <c r="AE805" s="26"/>
      <c r="AF805" s="26"/>
      <c r="AG805" s="26"/>
      <c r="AH805" s="26"/>
      <c r="AI805" s="26"/>
      <c r="AJ805" s="26"/>
      <c r="AK805" s="26"/>
      <c r="AL805" s="26"/>
      <c r="AM805" s="26"/>
      <c r="AN805" s="26"/>
      <c r="AO805" s="26"/>
      <c r="AP805" s="26"/>
      <c r="AQ805" s="26"/>
      <c r="AR805" s="26"/>
      <c r="AS805" s="26"/>
      <c r="AT805" s="26"/>
      <c r="AU805" s="26"/>
      <c r="AV805" s="26"/>
      <c r="AW805" s="26"/>
      <c r="AX805" s="26"/>
      <c r="AY805" s="26"/>
      <c r="AZ805" s="26"/>
      <c r="BA805" s="26"/>
      <c r="BB805" s="26"/>
      <c r="BC805" s="26"/>
      <c r="BD805" s="26"/>
      <c r="BE805" s="26"/>
      <c r="BF805" s="26"/>
      <c r="BG805" s="26"/>
      <c r="BH805" s="26"/>
      <c r="BI805" s="26"/>
      <c r="BJ805" s="26"/>
      <c r="BK805" s="26"/>
    </row>
    <row r="806" ht="14.25" customHeight="1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  <c r="AB806" s="26"/>
      <c r="AC806" s="26"/>
      <c r="AD806" s="26"/>
      <c r="AE806" s="26"/>
      <c r="AF806" s="26"/>
      <c r="AG806" s="26"/>
      <c r="AH806" s="26"/>
      <c r="AI806" s="26"/>
      <c r="AJ806" s="26"/>
      <c r="AK806" s="26"/>
      <c r="AL806" s="26"/>
      <c r="AM806" s="26"/>
      <c r="AN806" s="26"/>
      <c r="AO806" s="26"/>
      <c r="AP806" s="26"/>
      <c r="AQ806" s="26"/>
      <c r="AR806" s="26"/>
      <c r="AS806" s="26"/>
      <c r="AT806" s="26"/>
      <c r="AU806" s="26"/>
      <c r="AV806" s="26"/>
      <c r="AW806" s="26"/>
      <c r="AX806" s="26"/>
      <c r="AY806" s="26"/>
      <c r="AZ806" s="26"/>
      <c r="BA806" s="26"/>
      <c r="BB806" s="26"/>
      <c r="BC806" s="26"/>
      <c r="BD806" s="26"/>
      <c r="BE806" s="26"/>
      <c r="BF806" s="26"/>
      <c r="BG806" s="26"/>
      <c r="BH806" s="26"/>
      <c r="BI806" s="26"/>
      <c r="BJ806" s="26"/>
      <c r="BK806" s="26"/>
    </row>
    <row r="807" ht="14.25" customHeight="1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  <c r="AA807" s="26"/>
      <c r="AB807" s="26"/>
      <c r="AC807" s="26"/>
      <c r="AD807" s="26"/>
      <c r="AE807" s="26"/>
      <c r="AF807" s="26"/>
      <c r="AG807" s="26"/>
      <c r="AH807" s="26"/>
      <c r="AI807" s="26"/>
      <c r="AJ807" s="26"/>
      <c r="AK807" s="26"/>
      <c r="AL807" s="26"/>
      <c r="AM807" s="26"/>
      <c r="AN807" s="26"/>
      <c r="AO807" s="26"/>
      <c r="AP807" s="26"/>
      <c r="AQ807" s="26"/>
      <c r="AR807" s="26"/>
      <c r="AS807" s="26"/>
      <c r="AT807" s="26"/>
      <c r="AU807" s="26"/>
      <c r="AV807" s="26"/>
      <c r="AW807" s="26"/>
      <c r="AX807" s="26"/>
      <c r="AY807" s="26"/>
      <c r="AZ807" s="26"/>
      <c r="BA807" s="26"/>
      <c r="BB807" s="26"/>
      <c r="BC807" s="26"/>
      <c r="BD807" s="26"/>
      <c r="BE807" s="26"/>
      <c r="BF807" s="26"/>
      <c r="BG807" s="26"/>
      <c r="BH807" s="26"/>
      <c r="BI807" s="26"/>
      <c r="BJ807" s="26"/>
      <c r="BK807" s="26"/>
    </row>
    <row r="808" ht="14.25" customHeight="1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  <c r="AA808" s="26"/>
      <c r="AB808" s="26"/>
      <c r="AC808" s="26"/>
      <c r="AD808" s="26"/>
      <c r="AE808" s="26"/>
      <c r="AF808" s="26"/>
      <c r="AG808" s="26"/>
      <c r="AH808" s="26"/>
      <c r="AI808" s="26"/>
      <c r="AJ808" s="26"/>
      <c r="AK808" s="26"/>
      <c r="AL808" s="26"/>
      <c r="AM808" s="26"/>
      <c r="AN808" s="26"/>
      <c r="AO808" s="26"/>
      <c r="AP808" s="26"/>
      <c r="AQ808" s="26"/>
      <c r="AR808" s="26"/>
      <c r="AS808" s="26"/>
      <c r="AT808" s="26"/>
      <c r="AU808" s="26"/>
      <c r="AV808" s="26"/>
      <c r="AW808" s="26"/>
      <c r="AX808" s="26"/>
      <c r="AY808" s="26"/>
      <c r="AZ808" s="26"/>
      <c r="BA808" s="26"/>
      <c r="BB808" s="26"/>
      <c r="BC808" s="26"/>
      <c r="BD808" s="26"/>
      <c r="BE808" s="26"/>
      <c r="BF808" s="26"/>
      <c r="BG808" s="26"/>
      <c r="BH808" s="26"/>
      <c r="BI808" s="26"/>
      <c r="BJ808" s="26"/>
      <c r="BK808" s="26"/>
    </row>
    <row r="809" ht="14.25" customHeight="1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  <c r="AA809" s="26"/>
      <c r="AB809" s="26"/>
      <c r="AC809" s="26"/>
      <c r="AD809" s="26"/>
      <c r="AE809" s="26"/>
      <c r="AF809" s="26"/>
      <c r="AG809" s="26"/>
      <c r="AH809" s="26"/>
      <c r="AI809" s="26"/>
      <c r="AJ809" s="26"/>
      <c r="AK809" s="26"/>
      <c r="AL809" s="26"/>
      <c r="AM809" s="26"/>
      <c r="AN809" s="26"/>
      <c r="AO809" s="26"/>
      <c r="AP809" s="26"/>
      <c r="AQ809" s="26"/>
      <c r="AR809" s="26"/>
      <c r="AS809" s="26"/>
      <c r="AT809" s="26"/>
      <c r="AU809" s="26"/>
      <c r="AV809" s="26"/>
      <c r="AW809" s="26"/>
      <c r="AX809" s="26"/>
      <c r="AY809" s="26"/>
      <c r="AZ809" s="26"/>
      <c r="BA809" s="26"/>
      <c r="BB809" s="26"/>
      <c r="BC809" s="26"/>
      <c r="BD809" s="26"/>
      <c r="BE809" s="26"/>
      <c r="BF809" s="26"/>
      <c r="BG809" s="26"/>
      <c r="BH809" s="26"/>
      <c r="BI809" s="26"/>
      <c r="BJ809" s="26"/>
      <c r="BK809" s="26"/>
    </row>
    <row r="810" ht="14.25" customHeight="1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  <c r="AA810" s="26"/>
      <c r="AB810" s="26"/>
      <c r="AC810" s="26"/>
      <c r="AD810" s="26"/>
      <c r="AE810" s="26"/>
      <c r="AF810" s="26"/>
      <c r="AG810" s="26"/>
      <c r="AH810" s="26"/>
      <c r="AI810" s="26"/>
      <c r="AJ810" s="26"/>
      <c r="AK810" s="26"/>
      <c r="AL810" s="26"/>
      <c r="AM810" s="26"/>
      <c r="AN810" s="26"/>
      <c r="AO810" s="26"/>
      <c r="AP810" s="26"/>
      <c r="AQ810" s="26"/>
      <c r="AR810" s="26"/>
      <c r="AS810" s="26"/>
      <c r="AT810" s="26"/>
      <c r="AU810" s="26"/>
      <c r="AV810" s="26"/>
      <c r="AW810" s="26"/>
      <c r="AX810" s="26"/>
      <c r="AY810" s="26"/>
      <c r="AZ810" s="26"/>
      <c r="BA810" s="26"/>
      <c r="BB810" s="26"/>
      <c r="BC810" s="26"/>
      <c r="BD810" s="26"/>
      <c r="BE810" s="26"/>
      <c r="BF810" s="26"/>
      <c r="BG810" s="26"/>
      <c r="BH810" s="26"/>
      <c r="BI810" s="26"/>
      <c r="BJ810" s="26"/>
      <c r="BK810" s="26"/>
    </row>
    <row r="811" ht="14.25" customHeight="1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  <c r="AA811" s="26"/>
      <c r="AB811" s="26"/>
      <c r="AC811" s="26"/>
      <c r="AD811" s="26"/>
      <c r="AE811" s="26"/>
      <c r="AF811" s="26"/>
      <c r="AG811" s="26"/>
      <c r="AH811" s="26"/>
      <c r="AI811" s="26"/>
      <c r="AJ811" s="26"/>
      <c r="AK811" s="26"/>
      <c r="AL811" s="26"/>
      <c r="AM811" s="26"/>
      <c r="AN811" s="26"/>
      <c r="AO811" s="26"/>
      <c r="AP811" s="26"/>
      <c r="AQ811" s="26"/>
      <c r="AR811" s="26"/>
      <c r="AS811" s="26"/>
      <c r="AT811" s="26"/>
      <c r="AU811" s="26"/>
      <c r="AV811" s="26"/>
      <c r="AW811" s="26"/>
      <c r="AX811" s="26"/>
      <c r="AY811" s="26"/>
      <c r="AZ811" s="26"/>
      <c r="BA811" s="26"/>
      <c r="BB811" s="26"/>
      <c r="BC811" s="26"/>
      <c r="BD811" s="26"/>
      <c r="BE811" s="26"/>
      <c r="BF811" s="26"/>
      <c r="BG811" s="26"/>
      <c r="BH811" s="26"/>
      <c r="BI811" s="26"/>
      <c r="BJ811" s="26"/>
      <c r="BK811" s="26"/>
    </row>
    <row r="812" ht="14.25" customHeight="1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  <c r="AA812" s="26"/>
      <c r="AB812" s="26"/>
      <c r="AC812" s="26"/>
      <c r="AD812" s="26"/>
      <c r="AE812" s="26"/>
      <c r="AF812" s="26"/>
      <c r="AG812" s="26"/>
      <c r="AH812" s="26"/>
      <c r="AI812" s="26"/>
      <c r="AJ812" s="26"/>
      <c r="AK812" s="26"/>
      <c r="AL812" s="26"/>
      <c r="AM812" s="26"/>
      <c r="AN812" s="26"/>
      <c r="AO812" s="26"/>
      <c r="AP812" s="26"/>
      <c r="AQ812" s="26"/>
      <c r="AR812" s="26"/>
      <c r="AS812" s="26"/>
      <c r="AT812" s="26"/>
      <c r="AU812" s="26"/>
      <c r="AV812" s="26"/>
      <c r="AW812" s="26"/>
      <c r="AX812" s="26"/>
      <c r="AY812" s="26"/>
      <c r="AZ812" s="26"/>
      <c r="BA812" s="26"/>
      <c r="BB812" s="26"/>
      <c r="BC812" s="26"/>
      <c r="BD812" s="26"/>
      <c r="BE812" s="26"/>
      <c r="BF812" s="26"/>
      <c r="BG812" s="26"/>
      <c r="BH812" s="26"/>
      <c r="BI812" s="26"/>
      <c r="BJ812" s="26"/>
      <c r="BK812" s="26"/>
    </row>
    <row r="813" ht="14.25" customHeight="1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  <c r="AA813" s="26"/>
      <c r="AB813" s="26"/>
      <c r="AC813" s="26"/>
      <c r="AD813" s="26"/>
      <c r="AE813" s="26"/>
      <c r="AF813" s="26"/>
      <c r="AG813" s="26"/>
      <c r="AH813" s="26"/>
      <c r="AI813" s="26"/>
      <c r="AJ813" s="26"/>
      <c r="AK813" s="26"/>
      <c r="AL813" s="26"/>
      <c r="AM813" s="26"/>
      <c r="AN813" s="26"/>
      <c r="AO813" s="26"/>
      <c r="AP813" s="26"/>
      <c r="AQ813" s="26"/>
      <c r="AR813" s="26"/>
      <c r="AS813" s="26"/>
      <c r="AT813" s="26"/>
      <c r="AU813" s="26"/>
      <c r="AV813" s="26"/>
      <c r="AW813" s="26"/>
      <c r="AX813" s="26"/>
      <c r="AY813" s="26"/>
      <c r="AZ813" s="26"/>
      <c r="BA813" s="26"/>
      <c r="BB813" s="26"/>
      <c r="BC813" s="26"/>
      <c r="BD813" s="26"/>
      <c r="BE813" s="26"/>
      <c r="BF813" s="26"/>
      <c r="BG813" s="26"/>
      <c r="BH813" s="26"/>
      <c r="BI813" s="26"/>
      <c r="BJ813" s="26"/>
      <c r="BK813" s="26"/>
    </row>
    <row r="814" ht="14.25" customHeight="1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  <c r="AA814" s="26"/>
      <c r="AB814" s="26"/>
      <c r="AC814" s="26"/>
      <c r="AD814" s="26"/>
      <c r="AE814" s="26"/>
      <c r="AF814" s="26"/>
      <c r="AG814" s="26"/>
      <c r="AH814" s="26"/>
      <c r="AI814" s="26"/>
      <c r="AJ814" s="26"/>
      <c r="AK814" s="26"/>
      <c r="AL814" s="26"/>
      <c r="AM814" s="26"/>
      <c r="AN814" s="26"/>
      <c r="AO814" s="26"/>
      <c r="AP814" s="26"/>
      <c r="AQ814" s="26"/>
      <c r="AR814" s="26"/>
      <c r="AS814" s="26"/>
      <c r="AT814" s="26"/>
      <c r="AU814" s="26"/>
      <c r="AV814" s="26"/>
      <c r="AW814" s="26"/>
      <c r="AX814" s="26"/>
      <c r="AY814" s="26"/>
      <c r="AZ814" s="26"/>
      <c r="BA814" s="26"/>
      <c r="BB814" s="26"/>
      <c r="BC814" s="26"/>
      <c r="BD814" s="26"/>
      <c r="BE814" s="26"/>
      <c r="BF814" s="26"/>
      <c r="BG814" s="26"/>
      <c r="BH814" s="26"/>
      <c r="BI814" s="26"/>
      <c r="BJ814" s="26"/>
      <c r="BK814" s="26"/>
    </row>
    <row r="815" ht="14.25" customHeight="1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  <c r="AA815" s="26"/>
      <c r="AB815" s="26"/>
      <c r="AC815" s="26"/>
      <c r="AD815" s="26"/>
      <c r="AE815" s="26"/>
      <c r="AF815" s="26"/>
      <c r="AG815" s="26"/>
      <c r="AH815" s="26"/>
      <c r="AI815" s="26"/>
      <c r="AJ815" s="26"/>
      <c r="AK815" s="26"/>
      <c r="AL815" s="26"/>
      <c r="AM815" s="26"/>
      <c r="AN815" s="26"/>
      <c r="AO815" s="26"/>
      <c r="AP815" s="26"/>
      <c r="AQ815" s="26"/>
      <c r="AR815" s="26"/>
      <c r="AS815" s="26"/>
      <c r="AT815" s="26"/>
      <c r="AU815" s="26"/>
      <c r="AV815" s="26"/>
      <c r="AW815" s="26"/>
      <c r="AX815" s="26"/>
      <c r="AY815" s="26"/>
      <c r="AZ815" s="26"/>
      <c r="BA815" s="26"/>
      <c r="BB815" s="26"/>
      <c r="BC815" s="26"/>
      <c r="BD815" s="26"/>
      <c r="BE815" s="26"/>
      <c r="BF815" s="26"/>
      <c r="BG815" s="26"/>
      <c r="BH815" s="26"/>
      <c r="BI815" s="26"/>
      <c r="BJ815" s="26"/>
      <c r="BK815" s="26"/>
    </row>
    <row r="816" ht="14.25" customHeight="1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  <c r="AA816" s="26"/>
      <c r="AB816" s="26"/>
      <c r="AC816" s="26"/>
      <c r="AD816" s="26"/>
      <c r="AE816" s="26"/>
      <c r="AF816" s="26"/>
      <c r="AG816" s="26"/>
      <c r="AH816" s="26"/>
      <c r="AI816" s="26"/>
      <c r="AJ816" s="26"/>
      <c r="AK816" s="26"/>
      <c r="AL816" s="26"/>
      <c r="AM816" s="26"/>
      <c r="AN816" s="26"/>
      <c r="AO816" s="26"/>
      <c r="AP816" s="26"/>
      <c r="AQ816" s="26"/>
      <c r="AR816" s="26"/>
      <c r="AS816" s="26"/>
      <c r="AT816" s="26"/>
      <c r="AU816" s="26"/>
      <c r="AV816" s="26"/>
      <c r="AW816" s="26"/>
      <c r="AX816" s="26"/>
      <c r="AY816" s="26"/>
      <c r="AZ816" s="26"/>
      <c r="BA816" s="26"/>
      <c r="BB816" s="26"/>
      <c r="BC816" s="26"/>
      <c r="BD816" s="26"/>
      <c r="BE816" s="26"/>
      <c r="BF816" s="26"/>
      <c r="BG816" s="26"/>
      <c r="BH816" s="26"/>
      <c r="BI816" s="26"/>
      <c r="BJ816" s="26"/>
      <c r="BK816" s="26"/>
    </row>
    <row r="817" ht="14.25" customHeight="1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  <c r="AA817" s="26"/>
      <c r="AB817" s="26"/>
      <c r="AC817" s="26"/>
      <c r="AD817" s="26"/>
      <c r="AE817" s="26"/>
      <c r="AF817" s="26"/>
      <c r="AG817" s="26"/>
      <c r="AH817" s="26"/>
      <c r="AI817" s="26"/>
      <c r="AJ817" s="26"/>
      <c r="AK817" s="26"/>
      <c r="AL817" s="26"/>
      <c r="AM817" s="26"/>
      <c r="AN817" s="26"/>
      <c r="AO817" s="26"/>
      <c r="AP817" s="26"/>
      <c r="AQ817" s="26"/>
      <c r="AR817" s="26"/>
      <c r="AS817" s="26"/>
      <c r="AT817" s="26"/>
      <c r="AU817" s="26"/>
      <c r="AV817" s="26"/>
      <c r="AW817" s="26"/>
      <c r="AX817" s="26"/>
      <c r="AY817" s="26"/>
      <c r="AZ817" s="26"/>
      <c r="BA817" s="26"/>
      <c r="BB817" s="26"/>
      <c r="BC817" s="26"/>
      <c r="BD817" s="26"/>
      <c r="BE817" s="26"/>
      <c r="BF817" s="26"/>
      <c r="BG817" s="26"/>
      <c r="BH817" s="26"/>
      <c r="BI817" s="26"/>
      <c r="BJ817" s="26"/>
      <c r="BK817" s="26"/>
    </row>
    <row r="818" ht="14.25" customHeight="1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  <c r="AA818" s="26"/>
      <c r="AB818" s="26"/>
      <c r="AC818" s="26"/>
      <c r="AD818" s="26"/>
      <c r="AE818" s="26"/>
      <c r="AF818" s="26"/>
      <c r="AG818" s="26"/>
      <c r="AH818" s="26"/>
      <c r="AI818" s="26"/>
      <c r="AJ818" s="26"/>
      <c r="AK818" s="26"/>
      <c r="AL818" s="26"/>
      <c r="AM818" s="26"/>
      <c r="AN818" s="26"/>
      <c r="AO818" s="26"/>
      <c r="AP818" s="26"/>
      <c r="AQ818" s="26"/>
      <c r="AR818" s="26"/>
      <c r="AS818" s="26"/>
      <c r="AT818" s="26"/>
      <c r="AU818" s="26"/>
      <c r="AV818" s="26"/>
      <c r="AW818" s="26"/>
      <c r="AX818" s="26"/>
      <c r="AY818" s="26"/>
      <c r="AZ818" s="26"/>
      <c r="BA818" s="26"/>
      <c r="BB818" s="26"/>
      <c r="BC818" s="26"/>
      <c r="BD818" s="26"/>
      <c r="BE818" s="26"/>
      <c r="BF818" s="26"/>
      <c r="BG818" s="26"/>
      <c r="BH818" s="26"/>
      <c r="BI818" s="26"/>
      <c r="BJ818" s="26"/>
      <c r="BK818" s="26"/>
    </row>
    <row r="819" ht="14.25" customHeight="1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  <c r="AA819" s="26"/>
      <c r="AB819" s="26"/>
      <c r="AC819" s="26"/>
      <c r="AD819" s="26"/>
      <c r="AE819" s="26"/>
      <c r="AF819" s="26"/>
      <c r="AG819" s="26"/>
      <c r="AH819" s="26"/>
      <c r="AI819" s="26"/>
      <c r="AJ819" s="26"/>
      <c r="AK819" s="26"/>
      <c r="AL819" s="26"/>
      <c r="AM819" s="26"/>
      <c r="AN819" s="26"/>
      <c r="AO819" s="26"/>
      <c r="AP819" s="26"/>
      <c r="AQ819" s="26"/>
      <c r="AR819" s="26"/>
      <c r="AS819" s="26"/>
      <c r="AT819" s="26"/>
      <c r="AU819" s="26"/>
      <c r="AV819" s="26"/>
      <c r="AW819" s="26"/>
      <c r="AX819" s="26"/>
      <c r="AY819" s="26"/>
      <c r="AZ819" s="26"/>
      <c r="BA819" s="26"/>
      <c r="BB819" s="26"/>
      <c r="BC819" s="26"/>
      <c r="BD819" s="26"/>
      <c r="BE819" s="26"/>
      <c r="BF819" s="26"/>
      <c r="BG819" s="26"/>
      <c r="BH819" s="26"/>
      <c r="BI819" s="26"/>
      <c r="BJ819" s="26"/>
      <c r="BK819" s="26"/>
    </row>
    <row r="820" ht="14.25" customHeight="1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  <c r="AA820" s="26"/>
      <c r="AB820" s="26"/>
      <c r="AC820" s="26"/>
      <c r="AD820" s="26"/>
      <c r="AE820" s="26"/>
      <c r="AF820" s="26"/>
      <c r="AG820" s="26"/>
      <c r="AH820" s="26"/>
      <c r="AI820" s="26"/>
      <c r="AJ820" s="26"/>
      <c r="AK820" s="26"/>
      <c r="AL820" s="26"/>
      <c r="AM820" s="26"/>
      <c r="AN820" s="26"/>
      <c r="AO820" s="26"/>
      <c r="AP820" s="26"/>
      <c r="AQ820" s="26"/>
      <c r="AR820" s="26"/>
      <c r="AS820" s="26"/>
      <c r="AT820" s="26"/>
      <c r="AU820" s="26"/>
      <c r="AV820" s="26"/>
      <c r="AW820" s="26"/>
      <c r="AX820" s="26"/>
      <c r="AY820" s="26"/>
      <c r="AZ820" s="26"/>
      <c r="BA820" s="26"/>
      <c r="BB820" s="26"/>
      <c r="BC820" s="26"/>
      <c r="BD820" s="26"/>
      <c r="BE820" s="26"/>
      <c r="BF820" s="26"/>
      <c r="BG820" s="26"/>
      <c r="BH820" s="26"/>
      <c r="BI820" s="26"/>
      <c r="BJ820" s="26"/>
      <c r="BK820" s="26"/>
    </row>
    <row r="821" ht="14.25" customHeight="1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  <c r="AA821" s="26"/>
      <c r="AB821" s="26"/>
      <c r="AC821" s="26"/>
      <c r="AD821" s="26"/>
      <c r="AE821" s="26"/>
      <c r="AF821" s="26"/>
      <c r="AG821" s="26"/>
      <c r="AH821" s="26"/>
      <c r="AI821" s="26"/>
      <c r="AJ821" s="26"/>
      <c r="AK821" s="26"/>
      <c r="AL821" s="26"/>
      <c r="AM821" s="26"/>
      <c r="AN821" s="26"/>
      <c r="AO821" s="26"/>
      <c r="AP821" s="26"/>
      <c r="AQ821" s="26"/>
      <c r="AR821" s="26"/>
      <c r="AS821" s="26"/>
      <c r="AT821" s="26"/>
      <c r="AU821" s="26"/>
      <c r="AV821" s="26"/>
      <c r="AW821" s="26"/>
      <c r="AX821" s="26"/>
      <c r="AY821" s="26"/>
      <c r="AZ821" s="26"/>
      <c r="BA821" s="26"/>
      <c r="BB821" s="26"/>
      <c r="BC821" s="26"/>
      <c r="BD821" s="26"/>
      <c r="BE821" s="26"/>
      <c r="BF821" s="26"/>
      <c r="BG821" s="26"/>
      <c r="BH821" s="26"/>
      <c r="BI821" s="26"/>
      <c r="BJ821" s="26"/>
      <c r="BK821" s="26"/>
    </row>
    <row r="822" ht="14.25" customHeight="1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  <c r="AA822" s="26"/>
      <c r="AB822" s="26"/>
      <c r="AC822" s="26"/>
      <c r="AD822" s="26"/>
      <c r="AE822" s="26"/>
      <c r="AF822" s="26"/>
      <c r="AG822" s="26"/>
      <c r="AH822" s="26"/>
      <c r="AI822" s="26"/>
      <c r="AJ822" s="26"/>
      <c r="AK822" s="26"/>
      <c r="AL822" s="26"/>
      <c r="AM822" s="26"/>
      <c r="AN822" s="26"/>
      <c r="AO822" s="26"/>
      <c r="AP822" s="26"/>
      <c r="AQ822" s="26"/>
      <c r="AR822" s="26"/>
      <c r="AS822" s="26"/>
      <c r="AT822" s="26"/>
      <c r="AU822" s="26"/>
      <c r="AV822" s="26"/>
      <c r="AW822" s="26"/>
      <c r="AX822" s="26"/>
      <c r="AY822" s="26"/>
      <c r="AZ822" s="26"/>
      <c r="BA822" s="26"/>
      <c r="BB822" s="26"/>
      <c r="BC822" s="26"/>
      <c r="BD822" s="26"/>
      <c r="BE822" s="26"/>
      <c r="BF822" s="26"/>
      <c r="BG822" s="26"/>
      <c r="BH822" s="26"/>
      <c r="BI822" s="26"/>
      <c r="BJ822" s="26"/>
      <c r="BK822" s="26"/>
    </row>
    <row r="823" ht="14.25" customHeight="1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  <c r="AA823" s="26"/>
      <c r="AB823" s="26"/>
      <c r="AC823" s="26"/>
      <c r="AD823" s="26"/>
      <c r="AE823" s="26"/>
      <c r="AF823" s="26"/>
      <c r="AG823" s="26"/>
      <c r="AH823" s="26"/>
      <c r="AI823" s="26"/>
      <c r="AJ823" s="26"/>
      <c r="AK823" s="26"/>
      <c r="AL823" s="26"/>
      <c r="AM823" s="26"/>
      <c r="AN823" s="26"/>
      <c r="AO823" s="26"/>
      <c r="AP823" s="26"/>
      <c r="AQ823" s="26"/>
      <c r="AR823" s="26"/>
      <c r="AS823" s="26"/>
      <c r="AT823" s="26"/>
      <c r="AU823" s="26"/>
      <c r="AV823" s="26"/>
      <c r="AW823" s="26"/>
      <c r="AX823" s="26"/>
      <c r="AY823" s="26"/>
      <c r="AZ823" s="26"/>
      <c r="BA823" s="26"/>
      <c r="BB823" s="26"/>
      <c r="BC823" s="26"/>
      <c r="BD823" s="26"/>
      <c r="BE823" s="26"/>
      <c r="BF823" s="26"/>
      <c r="BG823" s="26"/>
      <c r="BH823" s="26"/>
      <c r="BI823" s="26"/>
      <c r="BJ823" s="26"/>
      <c r="BK823" s="26"/>
    </row>
    <row r="824" ht="14.25" customHeight="1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  <c r="AA824" s="26"/>
      <c r="AB824" s="26"/>
      <c r="AC824" s="26"/>
      <c r="AD824" s="26"/>
      <c r="AE824" s="26"/>
      <c r="AF824" s="26"/>
      <c r="AG824" s="26"/>
      <c r="AH824" s="26"/>
      <c r="AI824" s="26"/>
      <c r="AJ824" s="26"/>
      <c r="AK824" s="26"/>
      <c r="AL824" s="26"/>
      <c r="AM824" s="26"/>
      <c r="AN824" s="26"/>
      <c r="AO824" s="26"/>
      <c r="AP824" s="26"/>
      <c r="AQ824" s="26"/>
      <c r="AR824" s="26"/>
      <c r="AS824" s="26"/>
      <c r="AT824" s="26"/>
      <c r="AU824" s="26"/>
      <c r="AV824" s="26"/>
      <c r="AW824" s="26"/>
      <c r="AX824" s="26"/>
      <c r="AY824" s="26"/>
      <c r="AZ824" s="26"/>
      <c r="BA824" s="26"/>
      <c r="BB824" s="26"/>
      <c r="BC824" s="26"/>
      <c r="BD824" s="26"/>
      <c r="BE824" s="26"/>
      <c r="BF824" s="26"/>
      <c r="BG824" s="26"/>
      <c r="BH824" s="26"/>
      <c r="BI824" s="26"/>
      <c r="BJ824" s="26"/>
      <c r="BK824" s="26"/>
    </row>
    <row r="825" ht="14.25" customHeight="1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  <c r="AA825" s="26"/>
      <c r="AB825" s="26"/>
      <c r="AC825" s="26"/>
      <c r="AD825" s="26"/>
      <c r="AE825" s="26"/>
      <c r="AF825" s="26"/>
      <c r="AG825" s="26"/>
      <c r="AH825" s="26"/>
      <c r="AI825" s="26"/>
      <c r="AJ825" s="26"/>
      <c r="AK825" s="26"/>
      <c r="AL825" s="26"/>
      <c r="AM825" s="26"/>
      <c r="AN825" s="26"/>
      <c r="AO825" s="26"/>
      <c r="AP825" s="26"/>
      <c r="AQ825" s="26"/>
      <c r="AR825" s="26"/>
      <c r="AS825" s="26"/>
      <c r="AT825" s="26"/>
      <c r="AU825" s="26"/>
      <c r="AV825" s="26"/>
      <c r="AW825" s="26"/>
      <c r="AX825" s="26"/>
      <c r="AY825" s="26"/>
      <c r="AZ825" s="26"/>
      <c r="BA825" s="26"/>
      <c r="BB825" s="26"/>
      <c r="BC825" s="26"/>
      <c r="BD825" s="26"/>
      <c r="BE825" s="26"/>
      <c r="BF825" s="26"/>
      <c r="BG825" s="26"/>
      <c r="BH825" s="26"/>
      <c r="BI825" s="26"/>
      <c r="BJ825" s="26"/>
      <c r="BK825" s="26"/>
    </row>
    <row r="826" ht="14.25" customHeight="1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  <c r="AA826" s="26"/>
      <c r="AB826" s="26"/>
      <c r="AC826" s="26"/>
      <c r="AD826" s="26"/>
      <c r="AE826" s="26"/>
      <c r="AF826" s="26"/>
      <c r="AG826" s="26"/>
      <c r="AH826" s="26"/>
      <c r="AI826" s="26"/>
      <c r="AJ826" s="26"/>
      <c r="AK826" s="26"/>
      <c r="AL826" s="26"/>
      <c r="AM826" s="26"/>
      <c r="AN826" s="26"/>
      <c r="AO826" s="26"/>
      <c r="AP826" s="26"/>
      <c r="AQ826" s="26"/>
      <c r="AR826" s="26"/>
      <c r="AS826" s="26"/>
      <c r="AT826" s="26"/>
      <c r="AU826" s="26"/>
      <c r="AV826" s="26"/>
      <c r="AW826" s="26"/>
      <c r="AX826" s="26"/>
      <c r="AY826" s="26"/>
      <c r="AZ826" s="26"/>
      <c r="BA826" s="26"/>
      <c r="BB826" s="26"/>
      <c r="BC826" s="26"/>
      <c r="BD826" s="26"/>
      <c r="BE826" s="26"/>
      <c r="BF826" s="26"/>
      <c r="BG826" s="26"/>
      <c r="BH826" s="26"/>
      <c r="BI826" s="26"/>
      <c r="BJ826" s="26"/>
      <c r="BK826" s="26"/>
    </row>
    <row r="827" ht="14.25" customHeight="1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  <c r="AA827" s="26"/>
      <c r="AB827" s="26"/>
      <c r="AC827" s="26"/>
      <c r="AD827" s="26"/>
      <c r="AE827" s="26"/>
      <c r="AF827" s="26"/>
      <c r="AG827" s="26"/>
      <c r="AH827" s="26"/>
      <c r="AI827" s="26"/>
      <c r="AJ827" s="26"/>
      <c r="AK827" s="26"/>
      <c r="AL827" s="26"/>
      <c r="AM827" s="26"/>
      <c r="AN827" s="26"/>
      <c r="AO827" s="26"/>
      <c r="AP827" s="26"/>
      <c r="AQ827" s="26"/>
      <c r="AR827" s="26"/>
      <c r="AS827" s="26"/>
      <c r="AT827" s="26"/>
      <c r="AU827" s="26"/>
      <c r="AV827" s="26"/>
      <c r="AW827" s="26"/>
      <c r="AX827" s="26"/>
      <c r="AY827" s="26"/>
      <c r="AZ827" s="26"/>
      <c r="BA827" s="26"/>
      <c r="BB827" s="26"/>
      <c r="BC827" s="26"/>
      <c r="BD827" s="26"/>
      <c r="BE827" s="26"/>
      <c r="BF827" s="26"/>
      <c r="BG827" s="26"/>
      <c r="BH827" s="26"/>
      <c r="BI827" s="26"/>
      <c r="BJ827" s="26"/>
      <c r="BK827" s="26"/>
    </row>
    <row r="828" ht="14.25" customHeight="1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  <c r="AA828" s="26"/>
      <c r="AB828" s="26"/>
      <c r="AC828" s="26"/>
      <c r="AD828" s="26"/>
      <c r="AE828" s="26"/>
      <c r="AF828" s="26"/>
      <c r="AG828" s="26"/>
      <c r="AH828" s="26"/>
      <c r="AI828" s="26"/>
      <c r="AJ828" s="26"/>
      <c r="AK828" s="26"/>
      <c r="AL828" s="26"/>
      <c r="AM828" s="26"/>
      <c r="AN828" s="26"/>
      <c r="AO828" s="26"/>
      <c r="AP828" s="26"/>
      <c r="AQ828" s="26"/>
      <c r="AR828" s="26"/>
      <c r="AS828" s="26"/>
      <c r="AT828" s="26"/>
      <c r="AU828" s="26"/>
      <c r="AV828" s="26"/>
      <c r="AW828" s="26"/>
      <c r="AX828" s="26"/>
      <c r="AY828" s="26"/>
      <c r="AZ828" s="26"/>
      <c r="BA828" s="26"/>
      <c r="BB828" s="26"/>
      <c r="BC828" s="26"/>
      <c r="BD828" s="26"/>
      <c r="BE828" s="26"/>
      <c r="BF828" s="26"/>
      <c r="BG828" s="26"/>
      <c r="BH828" s="26"/>
      <c r="BI828" s="26"/>
      <c r="BJ828" s="26"/>
      <c r="BK828" s="26"/>
    </row>
    <row r="829" ht="14.25" customHeight="1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  <c r="AA829" s="26"/>
      <c r="AB829" s="26"/>
      <c r="AC829" s="26"/>
      <c r="AD829" s="26"/>
      <c r="AE829" s="26"/>
      <c r="AF829" s="26"/>
      <c r="AG829" s="26"/>
      <c r="AH829" s="26"/>
      <c r="AI829" s="26"/>
      <c r="AJ829" s="26"/>
      <c r="AK829" s="26"/>
      <c r="AL829" s="26"/>
      <c r="AM829" s="26"/>
      <c r="AN829" s="26"/>
      <c r="AO829" s="26"/>
      <c r="AP829" s="26"/>
      <c r="AQ829" s="26"/>
      <c r="AR829" s="26"/>
      <c r="AS829" s="26"/>
      <c r="AT829" s="26"/>
      <c r="AU829" s="26"/>
      <c r="AV829" s="26"/>
      <c r="AW829" s="26"/>
      <c r="AX829" s="26"/>
      <c r="AY829" s="26"/>
      <c r="AZ829" s="26"/>
      <c r="BA829" s="26"/>
      <c r="BB829" s="26"/>
      <c r="BC829" s="26"/>
      <c r="BD829" s="26"/>
      <c r="BE829" s="26"/>
      <c r="BF829" s="26"/>
      <c r="BG829" s="26"/>
      <c r="BH829" s="26"/>
      <c r="BI829" s="26"/>
      <c r="BJ829" s="26"/>
      <c r="BK829" s="26"/>
    </row>
    <row r="830" ht="14.25" customHeight="1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  <c r="AA830" s="26"/>
      <c r="AB830" s="26"/>
      <c r="AC830" s="26"/>
      <c r="AD830" s="26"/>
      <c r="AE830" s="26"/>
      <c r="AF830" s="26"/>
      <c r="AG830" s="26"/>
      <c r="AH830" s="26"/>
      <c r="AI830" s="26"/>
      <c r="AJ830" s="26"/>
      <c r="AK830" s="26"/>
      <c r="AL830" s="26"/>
      <c r="AM830" s="26"/>
      <c r="AN830" s="26"/>
      <c r="AO830" s="26"/>
      <c r="AP830" s="26"/>
      <c r="AQ830" s="26"/>
      <c r="AR830" s="26"/>
      <c r="AS830" s="26"/>
      <c r="AT830" s="26"/>
      <c r="AU830" s="26"/>
      <c r="AV830" s="26"/>
      <c r="AW830" s="26"/>
      <c r="AX830" s="26"/>
      <c r="AY830" s="26"/>
      <c r="AZ830" s="26"/>
      <c r="BA830" s="26"/>
      <c r="BB830" s="26"/>
      <c r="BC830" s="26"/>
      <c r="BD830" s="26"/>
      <c r="BE830" s="26"/>
      <c r="BF830" s="26"/>
      <c r="BG830" s="26"/>
      <c r="BH830" s="26"/>
      <c r="BI830" s="26"/>
      <c r="BJ830" s="26"/>
      <c r="BK830" s="26"/>
    </row>
    <row r="831" ht="14.25" customHeight="1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  <c r="AA831" s="26"/>
      <c r="AB831" s="26"/>
      <c r="AC831" s="26"/>
      <c r="AD831" s="26"/>
      <c r="AE831" s="26"/>
      <c r="AF831" s="26"/>
      <c r="AG831" s="26"/>
      <c r="AH831" s="26"/>
      <c r="AI831" s="26"/>
      <c r="AJ831" s="26"/>
      <c r="AK831" s="26"/>
      <c r="AL831" s="26"/>
      <c r="AM831" s="26"/>
      <c r="AN831" s="26"/>
      <c r="AO831" s="26"/>
      <c r="AP831" s="26"/>
      <c r="AQ831" s="26"/>
      <c r="AR831" s="26"/>
      <c r="AS831" s="26"/>
      <c r="AT831" s="26"/>
      <c r="AU831" s="26"/>
      <c r="AV831" s="26"/>
      <c r="AW831" s="26"/>
      <c r="AX831" s="26"/>
      <c r="AY831" s="26"/>
      <c r="AZ831" s="26"/>
      <c r="BA831" s="26"/>
      <c r="BB831" s="26"/>
      <c r="BC831" s="26"/>
      <c r="BD831" s="26"/>
      <c r="BE831" s="26"/>
      <c r="BF831" s="26"/>
      <c r="BG831" s="26"/>
      <c r="BH831" s="26"/>
      <c r="BI831" s="26"/>
      <c r="BJ831" s="26"/>
      <c r="BK831" s="26"/>
    </row>
    <row r="832" ht="14.25" customHeight="1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  <c r="AA832" s="26"/>
      <c r="AB832" s="26"/>
      <c r="AC832" s="26"/>
      <c r="AD832" s="26"/>
      <c r="AE832" s="26"/>
      <c r="AF832" s="26"/>
      <c r="AG832" s="26"/>
      <c r="AH832" s="26"/>
      <c r="AI832" s="26"/>
      <c r="AJ832" s="26"/>
      <c r="AK832" s="26"/>
      <c r="AL832" s="26"/>
      <c r="AM832" s="26"/>
      <c r="AN832" s="26"/>
      <c r="AO832" s="26"/>
      <c r="AP832" s="26"/>
      <c r="AQ832" s="26"/>
      <c r="AR832" s="26"/>
      <c r="AS832" s="26"/>
      <c r="AT832" s="26"/>
      <c r="AU832" s="26"/>
      <c r="AV832" s="26"/>
      <c r="AW832" s="26"/>
      <c r="AX832" s="26"/>
      <c r="AY832" s="26"/>
      <c r="AZ832" s="26"/>
      <c r="BA832" s="26"/>
      <c r="BB832" s="26"/>
      <c r="BC832" s="26"/>
      <c r="BD832" s="26"/>
      <c r="BE832" s="26"/>
      <c r="BF832" s="26"/>
      <c r="BG832" s="26"/>
      <c r="BH832" s="26"/>
      <c r="BI832" s="26"/>
      <c r="BJ832" s="26"/>
      <c r="BK832" s="26"/>
    </row>
    <row r="833" ht="14.25" customHeight="1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  <c r="AA833" s="26"/>
      <c r="AB833" s="26"/>
      <c r="AC833" s="26"/>
      <c r="AD833" s="26"/>
      <c r="AE833" s="26"/>
      <c r="AF833" s="26"/>
      <c r="AG833" s="26"/>
      <c r="AH833" s="26"/>
      <c r="AI833" s="26"/>
      <c r="AJ833" s="26"/>
      <c r="AK833" s="26"/>
      <c r="AL833" s="26"/>
      <c r="AM833" s="26"/>
      <c r="AN833" s="26"/>
      <c r="AO833" s="26"/>
      <c r="AP833" s="26"/>
      <c r="AQ833" s="26"/>
      <c r="AR833" s="26"/>
      <c r="AS833" s="26"/>
      <c r="AT833" s="26"/>
      <c r="AU833" s="26"/>
      <c r="AV833" s="26"/>
      <c r="AW833" s="26"/>
      <c r="AX833" s="26"/>
      <c r="AY833" s="26"/>
      <c r="AZ833" s="26"/>
      <c r="BA833" s="26"/>
      <c r="BB833" s="26"/>
      <c r="BC833" s="26"/>
      <c r="BD833" s="26"/>
      <c r="BE833" s="26"/>
      <c r="BF833" s="26"/>
      <c r="BG833" s="26"/>
      <c r="BH833" s="26"/>
      <c r="BI833" s="26"/>
      <c r="BJ833" s="26"/>
      <c r="BK833" s="26"/>
    </row>
    <row r="834" ht="14.25" customHeight="1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  <c r="AA834" s="26"/>
      <c r="AB834" s="26"/>
      <c r="AC834" s="26"/>
      <c r="AD834" s="26"/>
      <c r="AE834" s="26"/>
      <c r="AF834" s="26"/>
      <c r="AG834" s="26"/>
      <c r="AH834" s="26"/>
      <c r="AI834" s="26"/>
      <c r="AJ834" s="26"/>
      <c r="AK834" s="26"/>
      <c r="AL834" s="26"/>
      <c r="AM834" s="26"/>
      <c r="AN834" s="26"/>
      <c r="AO834" s="26"/>
      <c r="AP834" s="26"/>
      <c r="AQ834" s="26"/>
      <c r="AR834" s="26"/>
      <c r="AS834" s="26"/>
      <c r="AT834" s="26"/>
      <c r="AU834" s="26"/>
      <c r="AV834" s="26"/>
      <c r="AW834" s="26"/>
      <c r="AX834" s="26"/>
      <c r="AY834" s="26"/>
      <c r="AZ834" s="26"/>
      <c r="BA834" s="26"/>
      <c r="BB834" s="26"/>
      <c r="BC834" s="26"/>
      <c r="BD834" s="26"/>
      <c r="BE834" s="26"/>
      <c r="BF834" s="26"/>
      <c r="BG834" s="26"/>
      <c r="BH834" s="26"/>
      <c r="BI834" s="26"/>
      <c r="BJ834" s="26"/>
      <c r="BK834" s="26"/>
    </row>
    <row r="835" ht="14.25" customHeight="1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  <c r="AA835" s="26"/>
      <c r="AB835" s="26"/>
      <c r="AC835" s="26"/>
      <c r="AD835" s="26"/>
      <c r="AE835" s="26"/>
      <c r="AF835" s="26"/>
      <c r="AG835" s="26"/>
      <c r="AH835" s="26"/>
      <c r="AI835" s="26"/>
      <c r="AJ835" s="26"/>
      <c r="AK835" s="26"/>
      <c r="AL835" s="26"/>
      <c r="AM835" s="26"/>
      <c r="AN835" s="26"/>
      <c r="AO835" s="26"/>
      <c r="AP835" s="26"/>
      <c r="AQ835" s="26"/>
      <c r="AR835" s="26"/>
      <c r="AS835" s="26"/>
      <c r="AT835" s="26"/>
      <c r="AU835" s="26"/>
      <c r="AV835" s="26"/>
      <c r="AW835" s="26"/>
      <c r="AX835" s="26"/>
      <c r="AY835" s="26"/>
      <c r="AZ835" s="26"/>
      <c r="BA835" s="26"/>
      <c r="BB835" s="26"/>
      <c r="BC835" s="26"/>
      <c r="BD835" s="26"/>
      <c r="BE835" s="26"/>
      <c r="BF835" s="26"/>
      <c r="BG835" s="26"/>
      <c r="BH835" s="26"/>
      <c r="BI835" s="26"/>
      <c r="BJ835" s="26"/>
      <c r="BK835" s="26"/>
    </row>
    <row r="836" ht="14.25" customHeight="1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  <c r="AB836" s="26"/>
      <c r="AC836" s="26"/>
      <c r="AD836" s="26"/>
      <c r="AE836" s="26"/>
      <c r="AF836" s="26"/>
      <c r="AG836" s="26"/>
      <c r="AH836" s="26"/>
      <c r="AI836" s="26"/>
      <c r="AJ836" s="26"/>
      <c r="AK836" s="26"/>
      <c r="AL836" s="26"/>
      <c r="AM836" s="26"/>
      <c r="AN836" s="26"/>
      <c r="AO836" s="26"/>
      <c r="AP836" s="26"/>
      <c r="AQ836" s="26"/>
      <c r="AR836" s="26"/>
      <c r="AS836" s="26"/>
      <c r="AT836" s="26"/>
      <c r="AU836" s="26"/>
      <c r="AV836" s="26"/>
      <c r="AW836" s="26"/>
      <c r="AX836" s="26"/>
      <c r="AY836" s="26"/>
      <c r="AZ836" s="26"/>
      <c r="BA836" s="26"/>
      <c r="BB836" s="26"/>
      <c r="BC836" s="26"/>
      <c r="BD836" s="26"/>
      <c r="BE836" s="26"/>
      <c r="BF836" s="26"/>
      <c r="BG836" s="26"/>
      <c r="BH836" s="26"/>
      <c r="BI836" s="26"/>
      <c r="BJ836" s="26"/>
      <c r="BK836" s="26"/>
    </row>
    <row r="837" ht="14.25" customHeight="1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  <c r="AA837" s="26"/>
      <c r="AB837" s="26"/>
      <c r="AC837" s="26"/>
      <c r="AD837" s="26"/>
      <c r="AE837" s="26"/>
      <c r="AF837" s="26"/>
      <c r="AG837" s="26"/>
      <c r="AH837" s="26"/>
      <c r="AI837" s="26"/>
      <c r="AJ837" s="26"/>
      <c r="AK837" s="26"/>
      <c r="AL837" s="26"/>
      <c r="AM837" s="26"/>
      <c r="AN837" s="26"/>
      <c r="AO837" s="26"/>
      <c r="AP837" s="26"/>
      <c r="AQ837" s="26"/>
      <c r="AR837" s="26"/>
      <c r="AS837" s="26"/>
      <c r="AT837" s="26"/>
      <c r="AU837" s="26"/>
      <c r="AV837" s="26"/>
      <c r="AW837" s="26"/>
      <c r="AX837" s="26"/>
      <c r="AY837" s="26"/>
      <c r="AZ837" s="26"/>
      <c r="BA837" s="26"/>
      <c r="BB837" s="26"/>
      <c r="BC837" s="26"/>
      <c r="BD837" s="26"/>
      <c r="BE837" s="26"/>
      <c r="BF837" s="26"/>
      <c r="BG837" s="26"/>
      <c r="BH837" s="26"/>
      <c r="BI837" s="26"/>
      <c r="BJ837" s="26"/>
      <c r="BK837" s="26"/>
    </row>
    <row r="838" ht="14.25" customHeight="1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  <c r="AA838" s="26"/>
      <c r="AB838" s="26"/>
      <c r="AC838" s="26"/>
      <c r="AD838" s="26"/>
      <c r="AE838" s="26"/>
      <c r="AF838" s="26"/>
      <c r="AG838" s="26"/>
      <c r="AH838" s="26"/>
      <c r="AI838" s="26"/>
      <c r="AJ838" s="26"/>
      <c r="AK838" s="26"/>
      <c r="AL838" s="26"/>
      <c r="AM838" s="26"/>
      <c r="AN838" s="26"/>
      <c r="AO838" s="26"/>
      <c r="AP838" s="26"/>
      <c r="AQ838" s="26"/>
      <c r="AR838" s="26"/>
      <c r="AS838" s="26"/>
      <c r="AT838" s="26"/>
      <c r="AU838" s="26"/>
      <c r="AV838" s="26"/>
      <c r="AW838" s="26"/>
      <c r="AX838" s="26"/>
      <c r="AY838" s="26"/>
      <c r="AZ838" s="26"/>
      <c r="BA838" s="26"/>
      <c r="BB838" s="26"/>
      <c r="BC838" s="26"/>
      <c r="BD838" s="26"/>
      <c r="BE838" s="26"/>
      <c r="BF838" s="26"/>
      <c r="BG838" s="26"/>
      <c r="BH838" s="26"/>
      <c r="BI838" s="26"/>
      <c r="BJ838" s="26"/>
      <c r="BK838" s="26"/>
    </row>
    <row r="839" ht="14.25" customHeight="1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  <c r="AA839" s="26"/>
      <c r="AB839" s="26"/>
      <c r="AC839" s="26"/>
      <c r="AD839" s="26"/>
      <c r="AE839" s="26"/>
      <c r="AF839" s="26"/>
      <c r="AG839" s="26"/>
      <c r="AH839" s="26"/>
      <c r="AI839" s="26"/>
      <c r="AJ839" s="26"/>
      <c r="AK839" s="26"/>
      <c r="AL839" s="26"/>
      <c r="AM839" s="26"/>
      <c r="AN839" s="26"/>
      <c r="AO839" s="26"/>
      <c r="AP839" s="26"/>
      <c r="AQ839" s="26"/>
      <c r="AR839" s="26"/>
      <c r="AS839" s="26"/>
      <c r="AT839" s="26"/>
      <c r="AU839" s="26"/>
      <c r="AV839" s="26"/>
      <c r="AW839" s="26"/>
      <c r="AX839" s="26"/>
      <c r="AY839" s="26"/>
      <c r="AZ839" s="26"/>
      <c r="BA839" s="26"/>
      <c r="BB839" s="26"/>
      <c r="BC839" s="26"/>
      <c r="BD839" s="26"/>
      <c r="BE839" s="26"/>
      <c r="BF839" s="26"/>
      <c r="BG839" s="26"/>
      <c r="BH839" s="26"/>
      <c r="BI839" s="26"/>
      <c r="BJ839" s="26"/>
      <c r="BK839" s="26"/>
    </row>
    <row r="840" ht="14.25" customHeight="1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  <c r="AA840" s="26"/>
      <c r="AB840" s="26"/>
      <c r="AC840" s="26"/>
      <c r="AD840" s="26"/>
      <c r="AE840" s="26"/>
      <c r="AF840" s="26"/>
      <c r="AG840" s="26"/>
      <c r="AH840" s="26"/>
      <c r="AI840" s="26"/>
      <c r="AJ840" s="26"/>
      <c r="AK840" s="26"/>
      <c r="AL840" s="26"/>
      <c r="AM840" s="26"/>
      <c r="AN840" s="26"/>
      <c r="AO840" s="26"/>
      <c r="AP840" s="26"/>
      <c r="AQ840" s="26"/>
      <c r="AR840" s="26"/>
      <c r="AS840" s="26"/>
      <c r="AT840" s="26"/>
      <c r="AU840" s="26"/>
      <c r="AV840" s="26"/>
      <c r="AW840" s="26"/>
      <c r="AX840" s="26"/>
      <c r="AY840" s="26"/>
      <c r="AZ840" s="26"/>
      <c r="BA840" s="26"/>
      <c r="BB840" s="26"/>
      <c r="BC840" s="26"/>
      <c r="BD840" s="26"/>
      <c r="BE840" s="26"/>
      <c r="BF840" s="26"/>
      <c r="BG840" s="26"/>
      <c r="BH840" s="26"/>
      <c r="BI840" s="26"/>
      <c r="BJ840" s="26"/>
      <c r="BK840" s="26"/>
    </row>
    <row r="841" ht="14.25" customHeight="1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  <c r="AA841" s="26"/>
      <c r="AB841" s="26"/>
      <c r="AC841" s="26"/>
      <c r="AD841" s="26"/>
      <c r="AE841" s="26"/>
      <c r="AF841" s="26"/>
      <c r="AG841" s="26"/>
      <c r="AH841" s="26"/>
      <c r="AI841" s="26"/>
      <c r="AJ841" s="26"/>
      <c r="AK841" s="26"/>
      <c r="AL841" s="26"/>
      <c r="AM841" s="26"/>
      <c r="AN841" s="26"/>
      <c r="AO841" s="26"/>
      <c r="AP841" s="26"/>
      <c r="AQ841" s="26"/>
      <c r="AR841" s="26"/>
      <c r="AS841" s="26"/>
      <c r="AT841" s="26"/>
      <c r="AU841" s="26"/>
      <c r="AV841" s="26"/>
      <c r="AW841" s="26"/>
      <c r="AX841" s="26"/>
      <c r="AY841" s="26"/>
      <c r="AZ841" s="26"/>
      <c r="BA841" s="26"/>
      <c r="BB841" s="26"/>
      <c r="BC841" s="26"/>
      <c r="BD841" s="26"/>
      <c r="BE841" s="26"/>
      <c r="BF841" s="26"/>
      <c r="BG841" s="26"/>
      <c r="BH841" s="26"/>
      <c r="BI841" s="26"/>
      <c r="BJ841" s="26"/>
      <c r="BK841" s="26"/>
    </row>
    <row r="842" ht="14.25" customHeight="1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  <c r="AA842" s="26"/>
      <c r="AB842" s="26"/>
      <c r="AC842" s="26"/>
      <c r="AD842" s="26"/>
      <c r="AE842" s="26"/>
      <c r="AF842" s="26"/>
      <c r="AG842" s="26"/>
      <c r="AH842" s="26"/>
      <c r="AI842" s="26"/>
      <c r="AJ842" s="26"/>
      <c r="AK842" s="26"/>
      <c r="AL842" s="26"/>
      <c r="AM842" s="26"/>
      <c r="AN842" s="26"/>
      <c r="AO842" s="26"/>
      <c r="AP842" s="26"/>
      <c r="AQ842" s="26"/>
      <c r="AR842" s="26"/>
      <c r="AS842" s="26"/>
      <c r="AT842" s="26"/>
      <c r="AU842" s="26"/>
      <c r="AV842" s="26"/>
      <c r="AW842" s="26"/>
      <c r="AX842" s="26"/>
      <c r="AY842" s="26"/>
      <c r="AZ842" s="26"/>
      <c r="BA842" s="26"/>
      <c r="BB842" s="26"/>
      <c r="BC842" s="26"/>
      <c r="BD842" s="26"/>
      <c r="BE842" s="26"/>
      <c r="BF842" s="26"/>
      <c r="BG842" s="26"/>
      <c r="BH842" s="26"/>
      <c r="BI842" s="26"/>
      <c r="BJ842" s="26"/>
      <c r="BK842" s="26"/>
    </row>
    <row r="843" ht="14.25" customHeight="1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  <c r="AA843" s="26"/>
      <c r="AB843" s="26"/>
      <c r="AC843" s="26"/>
      <c r="AD843" s="26"/>
      <c r="AE843" s="26"/>
      <c r="AF843" s="26"/>
      <c r="AG843" s="26"/>
      <c r="AH843" s="26"/>
      <c r="AI843" s="26"/>
      <c r="AJ843" s="26"/>
      <c r="AK843" s="26"/>
      <c r="AL843" s="26"/>
      <c r="AM843" s="26"/>
      <c r="AN843" s="26"/>
      <c r="AO843" s="26"/>
      <c r="AP843" s="26"/>
      <c r="AQ843" s="26"/>
      <c r="AR843" s="26"/>
      <c r="AS843" s="26"/>
      <c r="AT843" s="26"/>
      <c r="AU843" s="26"/>
      <c r="AV843" s="26"/>
      <c r="AW843" s="26"/>
      <c r="AX843" s="26"/>
      <c r="AY843" s="26"/>
      <c r="AZ843" s="26"/>
      <c r="BA843" s="26"/>
      <c r="BB843" s="26"/>
      <c r="BC843" s="26"/>
      <c r="BD843" s="26"/>
      <c r="BE843" s="26"/>
      <c r="BF843" s="26"/>
      <c r="BG843" s="26"/>
      <c r="BH843" s="26"/>
      <c r="BI843" s="26"/>
      <c r="BJ843" s="26"/>
      <c r="BK843" s="26"/>
    </row>
    <row r="844" ht="14.25" customHeight="1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  <c r="AA844" s="26"/>
      <c r="AB844" s="26"/>
      <c r="AC844" s="26"/>
      <c r="AD844" s="26"/>
      <c r="AE844" s="26"/>
      <c r="AF844" s="26"/>
      <c r="AG844" s="26"/>
      <c r="AH844" s="26"/>
      <c r="AI844" s="26"/>
      <c r="AJ844" s="26"/>
      <c r="AK844" s="26"/>
      <c r="AL844" s="26"/>
      <c r="AM844" s="26"/>
      <c r="AN844" s="26"/>
      <c r="AO844" s="26"/>
      <c r="AP844" s="26"/>
      <c r="AQ844" s="26"/>
      <c r="AR844" s="26"/>
      <c r="AS844" s="26"/>
      <c r="AT844" s="26"/>
      <c r="AU844" s="26"/>
      <c r="AV844" s="26"/>
      <c r="AW844" s="26"/>
      <c r="AX844" s="26"/>
      <c r="AY844" s="26"/>
      <c r="AZ844" s="26"/>
      <c r="BA844" s="26"/>
      <c r="BB844" s="26"/>
      <c r="BC844" s="26"/>
      <c r="BD844" s="26"/>
      <c r="BE844" s="26"/>
      <c r="BF844" s="26"/>
      <c r="BG844" s="26"/>
      <c r="BH844" s="26"/>
      <c r="BI844" s="26"/>
      <c r="BJ844" s="26"/>
      <c r="BK844" s="26"/>
    </row>
    <row r="845" ht="14.25" customHeight="1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  <c r="AA845" s="26"/>
      <c r="AB845" s="26"/>
      <c r="AC845" s="26"/>
      <c r="AD845" s="26"/>
      <c r="AE845" s="26"/>
      <c r="AF845" s="26"/>
      <c r="AG845" s="26"/>
      <c r="AH845" s="26"/>
      <c r="AI845" s="26"/>
      <c r="AJ845" s="26"/>
      <c r="AK845" s="26"/>
      <c r="AL845" s="26"/>
      <c r="AM845" s="26"/>
      <c r="AN845" s="26"/>
      <c r="AO845" s="26"/>
      <c r="AP845" s="26"/>
      <c r="AQ845" s="26"/>
      <c r="AR845" s="26"/>
      <c r="AS845" s="26"/>
      <c r="AT845" s="26"/>
      <c r="AU845" s="26"/>
      <c r="AV845" s="26"/>
      <c r="AW845" s="26"/>
      <c r="AX845" s="26"/>
      <c r="AY845" s="26"/>
      <c r="AZ845" s="26"/>
      <c r="BA845" s="26"/>
      <c r="BB845" s="26"/>
      <c r="BC845" s="26"/>
      <c r="BD845" s="26"/>
      <c r="BE845" s="26"/>
      <c r="BF845" s="26"/>
      <c r="BG845" s="26"/>
      <c r="BH845" s="26"/>
      <c r="BI845" s="26"/>
      <c r="BJ845" s="26"/>
      <c r="BK845" s="26"/>
    </row>
    <row r="846" ht="14.25" customHeight="1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  <c r="AA846" s="26"/>
      <c r="AB846" s="26"/>
      <c r="AC846" s="26"/>
      <c r="AD846" s="26"/>
      <c r="AE846" s="26"/>
      <c r="AF846" s="26"/>
      <c r="AG846" s="26"/>
      <c r="AH846" s="26"/>
      <c r="AI846" s="26"/>
      <c r="AJ846" s="26"/>
      <c r="AK846" s="26"/>
      <c r="AL846" s="26"/>
      <c r="AM846" s="26"/>
      <c r="AN846" s="26"/>
      <c r="AO846" s="26"/>
      <c r="AP846" s="26"/>
      <c r="AQ846" s="26"/>
      <c r="AR846" s="26"/>
      <c r="AS846" s="26"/>
      <c r="AT846" s="26"/>
      <c r="AU846" s="26"/>
      <c r="AV846" s="26"/>
      <c r="AW846" s="26"/>
      <c r="AX846" s="26"/>
      <c r="AY846" s="26"/>
      <c r="AZ846" s="26"/>
      <c r="BA846" s="26"/>
      <c r="BB846" s="26"/>
      <c r="BC846" s="26"/>
      <c r="BD846" s="26"/>
      <c r="BE846" s="26"/>
      <c r="BF846" s="26"/>
      <c r="BG846" s="26"/>
      <c r="BH846" s="26"/>
      <c r="BI846" s="26"/>
      <c r="BJ846" s="26"/>
      <c r="BK846" s="26"/>
    </row>
    <row r="847" ht="14.25" customHeight="1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  <c r="AA847" s="26"/>
      <c r="AB847" s="26"/>
      <c r="AC847" s="26"/>
      <c r="AD847" s="26"/>
      <c r="AE847" s="26"/>
      <c r="AF847" s="26"/>
      <c r="AG847" s="26"/>
      <c r="AH847" s="26"/>
      <c r="AI847" s="26"/>
      <c r="AJ847" s="26"/>
      <c r="AK847" s="26"/>
      <c r="AL847" s="26"/>
      <c r="AM847" s="26"/>
      <c r="AN847" s="26"/>
      <c r="AO847" s="26"/>
      <c r="AP847" s="26"/>
      <c r="AQ847" s="26"/>
      <c r="AR847" s="26"/>
      <c r="AS847" s="26"/>
      <c r="AT847" s="26"/>
      <c r="AU847" s="26"/>
      <c r="AV847" s="26"/>
      <c r="AW847" s="26"/>
      <c r="AX847" s="26"/>
      <c r="AY847" s="26"/>
      <c r="AZ847" s="26"/>
      <c r="BA847" s="26"/>
      <c r="BB847" s="26"/>
      <c r="BC847" s="26"/>
      <c r="BD847" s="26"/>
      <c r="BE847" s="26"/>
      <c r="BF847" s="26"/>
      <c r="BG847" s="26"/>
      <c r="BH847" s="26"/>
      <c r="BI847" s="26"/>
      <c r="BJ847" s="26"/>
      <c r="BK847" s="26"/>
    </row>
    <row r="848" ht="14.25" customHeight="1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  <c r="AA848" s="26"/>
      <c r="AB848" s="26"/>
      <c r="AC848" s="26"/>
      <c r="AD848" s="26"/>
      <c r="AE848" s="26"/>
      <c r="AF848" s="26"/>
      <c r="AG848" s="26"/>
      <c r="AH848" s="26"/>
      <c r="AI848" s="26"/>
      <c r="AJ848" s="26"/>
      <c r="AK848" s="26"/>
      <c r="AL848" s="26"/>
      <c r="AM848" s="26"/>
      <c r="AN848" s="26"/>
      <c r="AO848" s="26"/>
      <c r="AP848" s="26"/>
      <c r="AQ848" s="26"/>
      <c r="AR848" s="26"/>
      <c r="AS848" s="26"/>
      <c r="AT848" s="26"/>
      <c r="AU848" s="26"/>
      <c r="AV848" s="26"/>
      <c r="AW848" s="26"/>
      <c r="AX848" s="26"/>
      <c r="AY848" s="26"/>
      <c r="AZ848" s="26"/>
      <c r="BA848" s="26"/>
      <c r="BB848" s="26"/>
      <c r="BC848" s="26"/>
      <c r="BD848" s="26"/>
      <c r="BE848" s="26"/>
      <c r="BF848" s="26"/>
      <c r="BG848" s="26"/>
      <c r="BH848" s="26"/>
      <c r="BI848" s="26"/>
      <c r="BJ848" s="26"/>
      <c r="BK848" s="26"/>
    </row>
    <row r="849" ht="14.25" customHeight="1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  <c r="AA849" s="26"/>
      <c r="AB849" s="26"/>
      <c r="AC849" s="26"/>
      <c r="AD849" s="26"/>
      <c r="AE849" s="26"/>
      <c r="AF849" s="26"/>
      <c r="AG849" s="26"/>
      <c r="AH849" s="26"/>
      <c r="AI849" s="26"/>
      <c r="AJ849" s="26"/>
      <c r="AK849" s="26"/>
      <c r="AL849" s="26"/>
      <c r="AM849" s="26"/>
      <c r="AN849" s="26"/>
      <c r="AO849" s="26"/>
      <c r="AP849" s="26"/>
      <c r="AQ849" s="26"/>
      <c r="AR849" s="26"/>
      <c r="AS849" s="26"/>
      <c r="AT849" s="26"/>
      <c r="AU849" s="26"/>
      <c r="AV849" s="26"/>
      <c r="AW849" s="26"/>
      <c r="AX849" s="26"/>
      <c r="AY849" s="26"/>
      <c r="AZ849" s="26"/>
      <c r="BA849" s="26"/>
      <c r="BB849" s="26"/>
      <c r="BC849" s="26"/>
      <c r="BD849" s="26"/>
      <c r="BE849" s="26"/>
      <c r="BF849" s="26"/>
      <c r="BG849" s="26"/>
      <c r="BH849" s="26"/>
      <c r="BI849" s="26"/>
      <c r="BJ849" s="26"/>
      <c r="BK849" s="26"/>
    </row>
    <row r="850" ht="14.25" customHeight="1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  <c r="AA850" s="26"/>
      <c r="AB850" s="26"/>
      <c r="AC850" s="26"/>
      <c r="AD850" s="26"/>
      <c r="AE850" s="26"/>
      <c r="AF850" s="26"/>
      <c r="AG850" s="26"/>
      <c r="AH850" s="26"/>
      <c r="AI850" s="26"/>
      <c r="AJ850" s="26"/>
      <c r="AK850" s="26"/>
      <c r="AL850" s="26"/>
      <c r="AM850" s="26"/>
      <c r="AN850" s="26"/>
      <c r="AO850" s="26"/>
      <c r="AP850" s="26"/>
      <c r="AQ850" s="26"/>
      <c r="AR850" s="26"/>
      <c r="AS850" s="26"/>
      <c r="AT850" s="26"/>
      <c r="AU850" s="26"/>
      <c r="AV850" s="26"/>
      <c r="AW850" s="26"/>
      <c r="AX850" s="26"/>
      <c r="AY850" s="26"/>
      <c r="AZ850" s="26"/>
      <c r="BA850" s="26"/>
      <c r="BB850" s="26"/>
      <c r="BC850" s="26"/>
      <c r="BD850" s="26"/>
      <c r="BE850" s="26"/>
      <c r="BF850" s="26"/>
      <c r="BG850" s="26"/>
      <c r="BH850" s="26"/>
      <c r="BI850" s="26"/>
      <c r="BJ850" s="26"/>
      <c r="BK850" s="26"/>
    </row>
    <row r="851" ht="14.25" customHeight="1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  <c r="AA851" s="26"/>
      <c r="AB851" s="26"/>
      <c r="AC851" s="26"/>
      <c r="AD851" s="26"/>
      <c r="AE851" s="26"/>
      <c r="AF851" s="26"/>
      <c r="AG851" s="26"/>
      <c r="AH851" s="26"/>
      <c r="AI851" s="26"/>
      <c r="AJ851" s="26"/>
      <c r="AK851" s="26"/>
      <c r="AL851" s="26"/>
      <c r="AM851" s="26"/>
      <c r="AN851" s="26"/>
      <c r="AO851" s="26"/>
      <c r="AP851" s="26"/>
      <c r="AQ851" s="26"/>
      <c r="AR851" s="26"/>
      <c r="AS851" s="26"/>
      <c r="AT851" s="26"/>
      <c r="AU851" s="26"/>
      <c r="AV851" s="26"/>
      <c r="AW851" s="26"/>
      <c r="AX851" s="26"/>
      <c r="AY851" s="26"/>
      <c r="AZ851" s="26"/>
      <c r="BA851" s="26"/>
      <c r="BB851" s="26"/>
      <c r="BC851" s="26"/>
      <c r="BD851" s="26"/>
      <c r="BE851" s="26"/>
      <c r="BF851" s="26"/>
      <c r="BG851" s="26"/>
      <c r="BH851" s="26"/>
      <c r="BI851" s="26"/>
      <c r="BJ851" s="26"/>
      <c r="BK851" s="26"/>
    </row>
    <row r="852" ht="14.25" customHeight="1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  <c r="AA852" s="26"/>
      <c r="AB852" s="26"/>
      <c r="AC852" s="26"/>
      <c r="AD852" s="26"/>
      <c r="AE852" s="26"/>
      <c r="AF852" s="26"/>
      <c r="AG852" s="26"/>
      <c r="AH852" s="26"/>
      <c r="AI852" s="26"/>
      <c r="AJ852" s="26"/>
      <c r="AK852" s="26"/>
      <c r="AL852" s="26"/>
      <c r="AM852" s="26"/>
      <c r="AN852" s="26"/>
      <c r="AO852" s="26"/>
      <c r="AP852" s="26"/>
      <c r="AQ852" s="26"/>
      <c r="AR852" s="26"/>
      <c r="AS852" s="26"/>
      <c r="AT852" s="26"/>
      <c r="AU852" s="26"/>
      <c r="AV852" s="26"/>
      <c r="AW852" s="26"/>
      <c r="AX852" s="26"/>
      <c r="AY852" s="26"/>
      <c r="AZ852" s="26"/>
      <c r="BA852" s="26"/>
      <c r="BB852" s="26"/>
      <c r="BC852" s="26"/>
      <c r="BD852" s="26"/>
      <c r="BE852" s="26"/>
      <c r="BF852" s="26"/>
      <c r="BG852" s="26"/>
      <c r="BH852" s="26"/>
      <c r="BI852" s="26"/>
      <c r="BJ852" s="26"/>
      <c r="BK852" s="26"/>
    </row>
    <row r="853" ht="14.25" customHeight="1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  <c r="AA853" s="26"/>
      <c r="AB853" s="26"/>
      <c r="AC853" s="26"/>
      <c r="AD853" s="26"/>
      <c r="AE853" s="26"/>
      <c r="AF853" s="26"/>
      <c r="AG853" s="26"/>
      <c r="AH853" s="26"/>
      <c r="AI853" s="26"/>
      <c r="AJ853" s="26"/>
      <c r="AK853" s="26"/>
      <c r="AL853" s="26"/>
      <c r="AM853" s="26"/>
      <c r="AN853" s="26"/>
      <c r="AO853" s="26"/>
      <c r="AP853" s="26"/>
      <c r="AQ853" s="26"/>
      <c r="AR853" s="26"/>
      <c r="AS853" s="26"/>
      <c r="AT853" s="26"/>
      <c r="AU853" s="26"/>
      <c r="AV853" s="26"/>
      <c r="AW853" s="26"/>
      <c r="AX853" s="26"/>
      <c r="AY853" s="26"/>
      <c r="AZ853" s="26"/>
      <c r="BA853" s="26"/>
      <c r="BB853" s="26"/>
      <c r="BC853" s="26"/>
      <c r="BD853" s="26"/>
      <c r="BE853" s="26"/>
      <c r="BF853" s="26"/>
      <c r="BG853" s="26"/>
      <c r="BH853" s="26"/>
      <c r="BI853" s="26"/>
      <c r="BJ853" s="26"/>
      <c r="BK853" s="26"/>
    </row>
    <row r="854" ht="14.25" customHeight="1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  <c r="AA854" s="26"/>
      <c r="AB854" s="26"/>
      <c r="AC854" s="26"/>
      <c r="AD854" s="26"/>
      <c r="AE854" s="26"/>
      <c r="AF854" s="26"/>
      <c r="AG854" s="26"/>
      <c r="AH854" s="26"/>
      <c r="AI854" s="26"/>
      <c r="AJ854" s="26"/>
      <c r="AK854" s="26"/>
      <c r="AL854" s="26"/>
      <c r="AM854" s="26"/>
      <c r="AN854" s="26"/>
      <c r="AO854" s="26"/>
      <c r="AP854" s="26"/>
      <c r="AQ854" s="26"/>
      <c r="AR854" s="26"/>
      <c r="AS854" s="26"/>
      <c r="AT854" s="26"/>
      <c r="AU854" s="26"/>
      <c r="AV854" s="26"/>
      <c r="AW854" s="26"/>
      <c r="AX854" s="26"/>
      <c r="AY854" s="26"/>
      <c r="AZ854" s="26"/>
      <c r="BA854" s="26"/>
      <c r="BB854" s="26"/>
      <c r="BC854" s="26"/>
      <c r="BD854" s="26"/>
      <c r="BE854" s="26"/>
      <c r="BF854" s="26"/>
      <c r="BG854" s="26"/>
      <c r="BH854" s="26"/>
      <c r="BI854" s="26"/>
      <c r="BJ854" s="26"/>
      <c r="BK854" s="26"/>
    </row>
    <row r="855" ht="14.25" customHeight="1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  <c r="AA855" s="26"/>
      <c r="AB855" s="26"/>
      <c r="AC855" s="26"/>
      <c r="AD855" s="26"/>
      <c r="AE855" s="26"/>
      <c r="AF855" s="26"/>
      <c r="AG855" s="26"/>
      <c r="AH855" s="26"/>
      <c r="AI855" s="26"/>
      <c r="AJ855" s="26"/>
      <c r="AK855" s="26"/>
      <c r="AL855" s="26"/>
      <c r="AM855" s="26"/>
      <c r="AN855" s="26"/>
      <c r="AO855" s="26"/>
      <c r="AP855" s="26"/>
      <c r="AQ855" s="26"/>
      <c r="AR855" s="26"/>
      <c r="AS855" s="26"/>
      <c r="AT855" s="26"/>
      <c r="AU855" s="26"/>
      <c r="AV855" s="26"/>
      <c r="AW855" s="26"/>
      <c r="AX855" s="26"/>
      <c r="AY855" s="26"/>
      <c r="AZ855" s="26"/>
      <c r="BA855" s="26"/>
      <c r="BB855" s="26"/>
      <c r="BC855" s="26"/>
      <c r="BD855" s="26"/>
      <c r="BE855" s="26"/>
      <c r="BF855" s="26"/>
      <c r="BG855" s="26"/>
      <c r="BH855" s="26"/>
      <c r="BI855" s="26"/>
      <c r="BJ855" s="26"/>
      <c r="BK855" s="26"/>
    </row>
    <row r="856" ht="14.25" customHeight="1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  <c r="AA856" s="26"/>
      <c r="AB856" s="26"/>
      <c r="AC856" s="26"/>
      <c r="AD856" s="26"/>
      <c r="AE856" s="26"/>
      <c r="AF856" s="26"/>
      <c r="AG856" s="26"/>
      <c r="AH856" s="26"/>
      <c r="AI856" s="26"/>
      <c r="AJ856" s="26"/>
      <c r="AK856" s="26"/>
      <c r="AL856" s="26"/>
      <c r="AM856" s="26"/>
      <c r="AN856" s="26"/>
      <c r="AO856" s="26"/>
      <c r="AP856" s="26"/>
      <c r="AQ856" s="26"/>
      <c r="AR856" s="26"/>
      <c r="AS856" s="26"/>
      <c r="AT856" s="26"/>
      <c r="AU856" s="26"/>
      <c r="AV856" s="26"/>
      <c r="AW856" s="26"/>
      <c r="AX856" s="26"/>
      <c r="AY856" s="26"/>
      <c r="AZ856" s="26"/>
      <c r="BA856" s="26"/>
      <c r="BB856" s="26"/>
      <c r="BC856" s="26"/>
      <c r="BD856" s="26"/>
      <c r="BE856" s="26"/>
      <c r="BF856" s="26"/>
      <c r="BG856" s="26"/>
      <c r="BH856" s="26"/>
      <c r="BI856" s="26"/>
      <c r="BJ856" s="26"/>
      <c r="BK856" s="26"/>
    </row>
    <row r="857" ht="14.25" customHeight="1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  <c r="AA857" s="26"/>
      <c r="AB857" s="26"/>
      <c r="AC857" s="26"/>
      <c r="AD857" s="26"/>
      <c r="AE857" s="26"/>
      <c r="AF857" s="26"/>
      <c r="AG857" s="26"/>
      <c r="AH857" s="26"/>
      <c r="AI857" s="26"/>
      <c r="AJ857" s="26"/>
      <c r="AK857" s="26"/>
      <c r="AL857" s="26"/>
      <c r="AM857" s="26"/>
      <c r="AN857" s="26"/>
      <c r="AO857" s="26"/>
      <c r="AP857" s="26"/>
      <c r="AQ857" s="26"/>
      <c r="AR857" s="26"/>
      <c r="AS857" s="26"/>
      <c r="AT857" s="26"/>
      <c r="AU857" s="26"/>
      <c r="AV857" s="26"/>
      <c r="AW857" s="26"/>
      <c r="AX857" s="26"/>
      <c r="AY857" s="26"/>
      <c r="AZ857" s="26"/>
      <c r="BA857" s="26"/>
      <c r="BB857" s="26"/>
      <c r="BC857" s="26"/>
      <c r="BD857" s="26"/>
      <c r="BE857" s="26"/>
      <c r="BF857" s="26"/>
      <c r="BG857" s="26"/>
      <c r="BH857" s="26"/>
      <c r="BI857" s="26"/>
      <c r="BJ857" s="26"/>
      <c r="BK857" s="26"/>
    </row>
    <row r="858" ht="14.25" customHeight="1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  <c r="AA858" s="26"/>
      <c r="AB858" s="26"/>
      <c r="AC858" s="26"/>
      <c r="AD858" s="26"/>
      <c r="AE858" s="26"/>
      <c r="AF858" s="26"/>
      <c r="AG858" s="26"/>
      <c r="AH858" s="26"/>
      <c r="AI858" s="26"/>
      <c r="AJ858" s="26"/>
      <c r="AK858" s="26"/>
      <c r="AL858" s="26"/>
      <c r="AM858" s="26"/>
      <c r="AN858" s="26"/>
      <c r="AO858" s="26"/>
      <c r="AP858" s="26"/>
      <c r="AQ858" s="26"/>
      <c r="AR858" s="26"/>
      <c r="AS858" s="26"/>
      <c r="AT858" s="26"/>
      <c r="AU858" s="26"/>
      <c r="AV858" s="26"/>
      <c r="AW858" s="26"/>
      <c r="AX858" s="26"/>
      <c r="AY858" s="26"/>
      <c r="AZ858" s="26"/>
      <c r="BA858" s="26"/>
      <c r="BB858" s="26"/>
      <c r="BC858" s="26"/>
      <c r="BD858" s="26"/>
      <c r="BE858" s="26"/>
      <c r="BF858" s="26"/>
      <c r="BG858" s="26"/>
      <c r="BH858" s="26"/>
      <c r="BI858" s="26"/>
      <c r="BJ858" s="26"/>
      <c r="BK858" s="26"/>
    </row>
    <row r="859" ht="14.25" customHeight="1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  <c r="AA859" s="26"/>
      <c r="AB859" s="26"/>
      <c r="AC859" s="26"/>
      <c r="AD859" s="26"/>
      <c r="AE859" s="26"/>
      <c r="AF859" s="26"/>
      <c r="AG859" s="26"/>
      <c r="AH859" s="26"/>
      <c r="AI859" s="26"/>
      <c r="AJ859" s="26"/>
      <c r="AK859" s="26"/>
      <c r="AL859" s="26"/>
      <c r="AM859" s="26"/>
      <c r="AN859" s="26"/>
      <c r="AO859" s="26"/>
      <c r="AP859" s="26"/>
      <c r="AQ859" s="26"/>
      <c r="AR859" s="26"/>
      <c r="AS859" s="26"/>
      <c r="AT859" s="26"/>
      <c r="AU859" s="26"/>
      <c r="AV859" s="26"/>
      <c r="AW859" s="26"/>
      <c r="AX859" s="26"/>
      <c r="AY859" s="26"/>
      <c r="AZ859" s="26"/>
      <c r="BA859" s="26"/>
      <c r="BB859" s="26"/>
      <c r="BC859" s="26"/>
      <c r="BD859" s="26"/>
      <c r="BE859" s="26"/>
      <c r="BF859" s="26"/>
      <c r="BG859" s="26"/>
      <c r="BH859" s="26"/>
      <c r="BI859" s="26"/>
      <c r="BJ859" s="26"/>
      <c r="BK859" s="26"/>
    </row>
    <row r="860" ht="14.25" customHeight="1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  <c r="AA860" s="26"/>
      <c r="AB860" s="26"/>
      <c r="AC860" s="26"/>
      <c r="AD860" s="26"/>
      <c r="AE860" s="26"/>
      <c r="AF860" s="26"/>
      <c r="AG860" s="26"/>
      <c r="AH860" s="26"/>
      <c r="AI860" s="26"/>
      <c r="AJ860" s="26"/>
      <c r="AK860" s="26"/>
      <c r="AL860" s="26"/>
      <c r="AM860" s="26"/>
      <c r="AN860" s="26"/>
      <c r="AO860" s="26"/>
      <c r="AP860" s="26"/>
      <c r="AQ860" s="26"/>
      <c r="AR860" s="26"/>
      <c r="AS860" s="26"/>
      <c r="AT860" s="26"/>
      <c r="AU860" s="26"/>
      <c r="AV860" s="26"/>
      <c r="AW860" s="26"/>
      <c r="AX860" s="26"/>
      <c r="AY860" s="26"/>
      <c r="AZ860" s="26"/>
      <c r="BA860" s="26"/>
      <c r="BB860" s="26"/>
      <c r="BC860" s="26"/>
      <c r="BD860" s="26"/>
      <c r="BE860" s="26"/>
      <c r="BF860" s="26"/>
      <c r="BG860" s="26"/>
      <c r="BH860" s="26"/>
      <c r="BI860" s="26"/>
      <c r="BJ860" s="26"/>
      <c r="BK860" s="26"/>
    </row>
    <row r="861" ht="14.25" customHeight="1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  <c r="AA861" s="26"/>
      <c r="AB861" s="26"/>
      <c r="AC861" s="26"/>
      <c r="AD861" s="26"/>
      <c r="AE861" s="26"/>
      <c r="AF861" s="26"/>
      <c r="AG861" s="26"/>
      <c r="AH861" s="26"/>
      <c r="AI861" s="26"/>
      <c r="AJ861" s="26"/>
      <c r="AK861" s="26"/>
      <c r="AL861" s="26"/>
      <c r="AM861" s="26"/>
      <c r="AN861" s="26"/>
      <c r="AO861" s="26"/>
      <c r="AP861" s="26"/>
      <c r="AQ861" s="26"/>
      <c r="AR861" s="26"/>
      <c r="AS861" s="26"/>
      <c r="AT861" s="26"/>
      <c r="AU861" s="26"/>
      <c r="AV861" s="26"/>
      <c r="AW861" s="26"/>
      <c r="AX861" s="26"/>
      <c r="AY861" s="26"/>
      <c r="AZ861" s="26"/>
      <c r="BA861" s="26"/>
      <c r="BB861" s="26"/>
      <c r="BC861" s="26"/>
      <c r="BD861" s="26"/>
      <c r="BE861" s="26"/>
      <c r="BF861" s="26"/>
      <c r="BG861" s="26"/>
      <c r="BH861" s="26"/>
      <c r="BI861" s="26"/>
      <c r="BJ861" s="26"/>
      <c r="BK861" s="26"/>
    </row>
    <row r="862" ht="14.25" customHeight="1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  <c r="AA862" s="26"/>
      <c r="AB862" s="26"/>
      <c r="AC862" s="26"/>
      <c r="AD862" s="26"/>
      <c r="AE862" s="26"/>
      <c r="AF862" s="26"/>
      <c r="AG862" s="26"/>
      <c r="AH862" s="26"/>
      <c r="AI862" s="26"/>
      <c r="AJ862" s="26"/>
      <c r="AK862" s="26"/>
      <c r="AL862" s="26"/>
      <c r="AM862" s="26"/>
      <c r="AN862" s="26"/>
      <c r="AO862" s="26"/>
      <c r="AP862" s="26"/>
      <c r="AQ862" s="26"/>
      <c r="AR862" s="26"/>
      <c r="AS862" s="26"/>
      <c r="AT862" s="26"/>
      <c r="AU862" s="26"/>
      <c r="AV862" s="26"/>
      <c r="AW862" s="26"/>
      <c r="AX862" s="26"/>
      <c r="AY862" s="26"/>
      <c r="AZ862" s="26"/>
      <c r="BA862" s="26"/>
      <c r="BB862" s="26"/>
      <c r="BC862" s="26"/>
      <c r="BD862" s="26"/>
      <c r="BE862" s="26"/>
      <c r="BF862" s="26"/>
      <c r="BG862" s="26"/>
      <c r="BH862" s="26"/>
      <c r="BI862" s="26"/>
      <c r="BJ862" s="26"/>
      <c r="BK862" s="26"/>
    </row>
    <row r="863" ht="14.25" customHeight="1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  <c r="AA863" s="26"/>
      <c r="AB863" s="26"/>
      <c r="AC863" s="26"/>
      <c r="AD863" s="26"/>
      <c r="AE863" s="26"/>
      <c r="AF863" s="26"/>
      <c r="AG863" s="26"/>
      <c r="AH863" s="26"/>
      <c r="AI863" s="26"/>
      <c r="AJ863" s="26"/>
      <c r="AK863" s="26"/>
      <c r="AL863" s="26"/>
      <c r="AM863" s="26"/>
      <c r="AN863" s="26"/>
      <c r="AO863" s="26"/>
      <c r="AP863" s="26"/>
      <c r="AQ863" s="26"/>
      <c r="AR863" s="26"/>
      <c r="AS863" s="26"/>
      <c r="AT863" s="26"/>
      <c r="AU863" s="26"/>
      <c r="AV863" s="26"/>
      <c r="AW863" s="26"/>
      <c r="AX863" s="26"/>
      <c r="AY863" s="26"/>
      <c r="AZ863" s="26"/>
      <c r="BA863" s="26"/>
      <c r="BB863" s="26"/>
      <c r="BC863" s="26"/>
      <c r="BD863" s="26"/>
      <c r="BE863" s="26"/>
      <c r="BF863" s="26"/>
      <c r="BG863" s="26"/>
      <c r="BH863" s="26"/>
      <c r="BI863" s="26"/>
      <c r="BJ863" s="26"/>
      <c r="BK863" s="26"/>
    </row>
    <row r="864" ht="14.25" customHeight="1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  <c r="AA864" s="26"/>
      <c r="AB864" s="26"/>
      <c r="AC864" s="26"/>
      <c r="AD864" s="26"/>
      <c r="AE864" s="26"/>
      <c r="AF864" s="26"/>
      <c r="AG864" s="26"/>
      <c r="AH864" s="26"/>
      <c r="AI864" s="26"/>
      <c r="AJ864" s="26"/>
      <c r="AK864" s="26"/>
      <c r="AL864" s="26"/>
      <c r="AM864" s="26"/>
      <c r="AN864" s="26"/>
      <c r="AO864" s="26"/>
      <c r="AP864" s="26"/>
      <c r="AQ864" s="26"/>
      <c r="AR864" s="26"/>
      <c r="AS864" s="26"/>
      <c r="AT864" s="26"/>
      <c r="AU864" s="26"/>
      <c r="AV864" s="26"/>
      <c r="AW864" s="26"/>
      <c r="AX864" s="26"/>
      <c r="AY864" s="26"/>
      <c r="AZ864" s="26"/>
      <c r="BA864" s="26"/>
      <c r="BB864" s="26"/>
      <c r="BC864" s="26"/>
      <c r="BD864" s="26"/>
      <c r="BE864" s="26"/>
      <c r="BF864" s="26"/>
      <c r="BG864" s="26"/>
      <c r="BH864" s="26"/>
      <c r="BI864" s="26"/>
      <c r="BJ864" s="26"/>
      <c r="BK864" s="26"/>
    </row>
    <row r="865" ht="14.25" customHeight="1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  <c r="AA865" s="26"/>
      <c r="AB865" s="26"/>
      <c r="AC865" s="26"/>
      <c r="AD865" s="26"/>
      <c r="AE865" s="26"/>
      <c r="AF865" s="26"/>
      <c r="AG865" s="26"/>
      <c r="AH865" s="26"/>
      <c r="AI865" s="26"/>
      <c r="AJ865" s="26"/>
      <c r="AK865" s="26"/>
      <c r="AL865" s="26"/>
      <c r="AM865" s="26"/>
      <c r="AN865" s="26"/>
      <c r="AO865" s="26"/>
      <c r="AP865" s="26"/>
      <c r="AQ865" s="26"/>
      <c r="AR865" s="26"/>
      <c r="AS865" s="26"/>
      <c r="AT865" s="26"/>
      <c r="AU865" s="26"/>
      <c r="AV865" s="26"/>
      <c r="AW865" s="26"/>
      <c r="AX865" s="26"/>
      <c r="AY865" s="26"/>
      <c r="AZ865" s="26"/>
      <c r="BA865" s="26"/>
      <c r="BB865" s="26"/>
      <c r="BC865" s="26"/>
      <c r="BD865" s="26"/>
      <c r="BE865" s="26"/>
      <c r="BF865" s="26"/>
      <c r="BG865" s="26"/>
      <c r="BH865" s="26"/>
      <c r="BI865" s="26"/>
      <c r="BJ865" s="26"/>
      <c r="BK865" s="26"/>
    </row>
    <row r="866" ht="14.25" customHeight="1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  <c r="AA866" s="26"/>
      <c r="AB866" s="26"/>
      <c r="AC866" s="26"/>
      <c r="AD866" s="26"/>
      <c r="AE866" s="26"/>
      <c r="AF866" s="26"/>
      <c r="AG866" s="26"/>
      <c r="AH866" s="26"/>
      <c r="AI866" s="26"/>
      <c r="AJ866" s="26"/>
      <c r="AK866" s="26"/>
      <c r="AL866" s="26"/>
      <c r="AM866" s="26"/>
      <c r="AN866" s="26"/>
      <c r="AO866" s="26"/>
      <c r="AP866" s="26"/>
      <c r="AQ866" s="26"/>
      <c r="AR866" s="26"/>
      <c r="AS866" s="26"/>
      <c r="AT866" s="26"/>
      <c r="AU866" s="26"/>
      <c r="AV866" s="26"/>
      <c r="AW866" s="26"/>
      <c r="AX866" s="26"/>
      <c r="AY866" s="26"/>
      <c r="AZ866" s="26"/>
      <c r="BA866" s="26"/>
      <c r="BB866" s="26"/>
      <c r="BC866" s="26"/>
      <c r="BD866" s="26"/>
      <c r="BE866" s="26"/>
      <c r="BF866" s="26"/>
      <c r="BG866" s="26"/>
      <c r="BH866" s="26"/>
      <c r="BI866" s="26"/>
      <c r="BJ866" s="26"/>
      <c r="BK866" s="26"/>
    </row>
    <row r="867" ht="14.25" customHeight="1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  <c r="AA867" s="26"/>
      <c r="AB867" s="26"/>
      <c r="AC867" s="26"/>
      <c r="AD867" s="26"/>
      <c r="AE867" s="26"/>
      <c r="AF867" s="26"/>
      <c r="AG867" s="26"/>
      <c r="AH867" s="26"/>
      <c r="AI867" s="26"/>
      <c r="AJ867" s="26"/>
      <c r="AK867" s="26"/>
      <c r="AL867" s="26"/>
      <c r="AM867" s="26"/>
      <c r="AN867" s="26"/>
      <c r="AO867" s="26"/>
      <c r="AP867" s="26"/>
      <c r="AQ867" s="26"/>
      <c r="AR867" s="26"/>
      <c r="AS867" s="26"/>
      <c r="AT867" s="26"/>
      <c r="AU867" s="26"/>
      <c r="AV867" s="26"/>
      <c r="AW867" s="26"/>
      <c r="AX867" s="26"/>
      <c r="AY867" s="26"/>
      <c r="AZ867" s="26"/>
      <c r="BA867" s="26"/>
      <c r="BB867" s="26"/>
      <c r="BC867" s="26"/>
      <c r="BD867" s="26"/>
      <c r="BE867" s="26"/>
      <c r="BF867" s="26"/>
      <c r="BG867" s="26"/>
      <c r="BH867" s="26"/>
      <c r="BI867" s="26"/>
      <c r="BJ867" s="26"/>
      <c r="BK867" s="26"/>
    </row>
    <row r="868" ht="14.25" customHeight="1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  <c r="AA868" s="26"/>
      <c r="AB868" s="26"/>
      <c r="AC868" s="26"/>
      <c r="AD868" s="26"/>
      <c r="AE868" s="26"/>
      <c r="AF868" s="26"/>
      <c r="AG868" s="26"/>
      <c r="AH868" s="26"/>
      <c r="AI868" s="26"/>
      <c r="AJ868" s="26"/>
      <c r="AK868" s="26"/>
      <c r="AL868" s="26"/>
      <c r="AM868" s="26"/>
      <c r="AN868" s="26"/>
      <c r="AO868" s="26"/>
      <c r="AP868" s="26"/>
      <c r="AQ868" s="26"/>
      <c r="AR868" s="26"/>
      <c r="AS868" s="26"/>
      <c r="AT868" s="26"/>
      <c r="AU868" s="26"/>
      <c r="AV868" s="26"/>
      <c r="AW868" s="26"/>
      <c r="AX868" s="26"/>
      <c r="AY868" s="26"/>
      <c r="AZ868" s="26"/>
      <c r="BA868" s="26"/>
      <c r="BB868" s="26"/>
      <c r="BC868" s="26"/>
      <c r="BD868" s="26"/>
      <c r="BE868" s="26"/>
      <c r="BF868" s="26"/>
      <c r="BG868" s="26"/>
      <c r="BH868" s="26"/>
      <c r="BI868" s="26"/>
      <c r="BJ868" s="26"/>
      <c r="BK868" s="26"/>
    </row>
    <row r="869" ht="14.25" customHeight="1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  <c r="AA869" s="26"/>
      <c r="AB869" s="26"/>
      <c r="AC869" s="26"/>
      <c r="AD869" s="26"/>
      <c r="AE869" s="26"/>
      <c r="AF869" s="26"/>
      <c r="AG869" s="26"/>
      <c r="AH869" s="26"/>
      <c r="AI869" s="26"/>
      <c r="AJ869" s="26"/>
      <c r="AK869" s="26"/>
      <c r="AL869" s="26"/>
      <c r="AM869" s="26"/>
      <c r="AN869" s="26"/>
      <c r="AO869" s="26"/>
      <c r="AP869" s="26"/>
      <c r="AQ869" s="26"/>
      <c r="AR869" s="26"/>
      <c r="AS869" s="26"/>
      <c r="AT869" s="26"/>
      <c r="AU869" s="26"/>
      <c r="AV869" s="26"/>
      <c r="AW869" s="26"/>
      <c r="AX869" s="26"/>
      <c r="AY869" s="26"/>
      <c r="AZ869" s="26"/>
      <c r="BA869" s="26"/>
      <c r="BB869" s="26"/>
      <c r="BC869" s="26"/>
      <c r="BD869" s="26"/>
      <c r="BE869" s="26"/>
      <c r="BF869" s="26"/>
      <c r="BG869" s="26"/>
      <c r="BH869" s="26"/>
      <c r="BI869" s="26"/>
      <c r="BJ869" s="26"/>
      <c r="BK869" s="26"/>
    </row>
    <row r="870" ht="14.25" customHeight="1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  <c r="AA870" s="26"/>
      <c r="AB870" s="26"/>
      <c r="AC870" s="26"/>
      <c r="AD870" s="26"/>
      <c r="AE870" s="26"/>
      <c r="AF870" s="26"/>
      <c r="AG870" s="26"/>
      <c r="AH870" s="26"/>
      <c r="AI870" s="26"/>
      <c r="AJ870" s="26"/>
      <c r="AK870" s="26"/>
      <c r="AL870" s="26"/>
      <c r="AM870" s="26"/>
      <c r="AN870" s="26"/>
      <c r="AO870" s="26"/>
      <c r="AP870" s="26"/>
      <c r="AQ870" s="26"/>
      <c r="AR870" s="26"/>
      <c r="AS870" s="26"/>
      <c r="AT870" s="26"/>
      <c r="AU870" s="26"/>
      <c r="AV870" s="26"/>
      <c r="AW870" s="26"/>
      <c r="AX870" s="26"/>
      <c r="AY870" s="26"/>
      <c r="AZ870" s="26"/>
      <c r="BA870" s="26"/>
      <c r="BB870" s="26"/>
      <c r="BC870" s="26"/>
      <c r="BD870" s="26"/>
      <c r="BE870" s="26"/>
      <c r="BF870" s="26"/>
      <c r="BG870" s="26"/>
      <c r="BH870" s="26"/>
      <c r="BI870" s="26"/>
      <c r="BJ870" s="26"/>
      <c r="BK870" s="26"/>
    </row>
    <row r="871" ht="14.25" customHeight="1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  <c r="AA871" s="26"/>
      <c r="AB871" s="26"/>
      <c r="AC871" s="26"/>
      <c r="AD871" s="26"/>
      <c r="AE871" s="26"/>
      <c r="AF871" s="26"/>
      <c r="AG871" s="26"/>
      <c r="AH871" s="26"/>
      <c r="AI871" s="26"/>
      <c r="AJ871" s="26"/>
      <c r="AK871" s="26"/>
      <c r="AL871" s="26"/>
      <c r="AM871" s="26"/>
      <c r="AN871" s="26"/>
      <c r="AO871" s="26"/>
      <c r="AP871" s="26"/>
      <c r="AQ871" s="26"/>
      <c r="AR871" s="26"/>
      <c r="AS871" s="26"/>
      <c r="AT871" s="26"/>
      <c r="AU871" s="26"/>
      <c r="AV871" s="26"/>
      <c r="AW871" s="26"/>
      <c r="AX871" s="26"/>
      <c r="AY871" s="26"/>
      <c r="AZ871" s="26"/>
      <c r="BA871" s="26"/>
      <c r="BB871" s="26"/>
      <c r="BC871" s="26"/>
      <c r="BD871" s="26"/>
      <c r="BE871" s="26"/>
      <c r="BF871" s="26"/>
      <c r="BG871" s="26"/>
      <c r="BH871" s="26"/>
      <c r="BI871" s="26"/>
      <c r="BJ871" s="26"/>
      <c r="BK871" s="26"/>
    </row>
    <row r="872" ht="14.25" customHeight="1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  <c r="AA872" s="26"/>
      <c r="AB872" s="26"/>
      <c r="AC872" s="26"/>
      <c r="AD872" s="26"/>
      <c r="AE872" s="26"/>
      <c r="AF872" s="26"/>
      <c r="AG872" s="26"/>
      <c r="AH872" s="26"/>
      <c r="AI872" s="26"/>
      <c r="AJ872" s="26"/>
      <c r="AK872" s="26"/>
      <c r="AL872" s="26"/>
      <c r="AM872" s="26"/>
      <c r="AN872" s="26"/>
      <c r="AO872" s="26"/>
      <c r="AP872" s="26"/>
      <c r="AQ872" s="26"/>
      <c r="AR872" s="26"/>
      <c r="AS872" s="26"/>
      <c r="AT872" s="26"/>
      <c r="AU872" s="26"/>
      <c r="AV872" s="26"/>
      <c r="AW872" s="26"/>
      <c r="AX872" s="26"/>
      <c r="AY872" s="26"/>
      <c r="AZ872" s="26"/>
      <c r="BA872" s="26"/>
      <c r="BB872" s="26"/>
      <c r="BC872" s="26"/>
      <c r="BD872" s="26"/>
      <c r="BE872" s="26"/>
      <c r="BF872" s="26"/>
      <c r="BG872" s="26"/>
      <c r="BH872" s="26"/>
      <c r="BI872" s="26"/>
      <c r="BJ872" s="26"/>
      <c r="BK872" s="26"/>
    </row>
    <row r="873" ht="14.25" customHeight="1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  <c r="AA873" s="26"/>
      <c r="AB873" s="26"/>
      <c r="AC873" s="26"/>
      <c r="AD873" s="26"/>
      <c r="AE873" s="26"/>
      <c r="AF873" s="26"/>
      <c r="AG873" s="26"/>
      <c r="AH873" s="26"/>
      <c r="AI873" s="26"/>
      <c r="AJ873" s="26"/>
      <c r="AK873" s="26"/>
      <c r="AL873" s="26"/>
      <c r="AM873" s="26"/>
      <c r="AN873" s="26"/>
      <c r="AO873" s="26"/>
      <c r="AP873" s="26"/>
      <c r="AQ873" s="26"/>
      <c r="AR873" s="26"/>
      <c r="AS873" s="26"/>
      <c r="AT873" s="26"/>
      <c r="AU873" s="26"/>
      <c r="AV873" s="26"/>
      <c r="AW873" s="26"/>
      <c r="AX873" s="26"/>
      <c r="AY873" s="26"/>
      <c r="AZ873" s="26"/>
      <c r="BA873" s="26"/>
      <c r="BB873" s="26"/>
      <c r="BC873" s="26"/>
      <c r="BD873" s="26"/>
      <c r="BE873" s="26"/>
      <c r="BF873" s="26"/>
      <c r="BG873" s="26"/>
      <c r="BH873" s="26"/>
      <c r="BI873" s="26"/>
      <c r="BJ873" s="26"/>
      <c r="BK873" s="26"/>
    </row>
    <row r="874" ht="14.25" customHeight="1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  <c r="AA874" s="26"/>
      <c r="AB874" s="26"/>
      <c r="AC874" s="26"/>
      <c r="AD874" s="26"/>
      <c r="AE874" s="26"/>
      <c r="AF874" s="26"/>
      <c r="AG874" s="26"/>
      <c r="AH874" s="26"/>
      <c r="AI874" s="26"/>
      <c r="AJ874" s="26"/>
      <c r="AK874" s="26"/>
      <c r="AL874" s="26"/>
      <c r="AM874" s="26"/>
      <c r="AN874" s="26"/>
      <c r="AO874" s="26"/>
      <c r="AP874" s="26"/>
      <c r="AQ874" s="26"/>
      <c r="AR874" s="26"/>
      <c r="AS874" s="26"/>
      <c r="AT874" s="26"/>
      <c r="AU874" s="26"/>
      <c r="AV874" s="26"/>
      <c r="AW874" s="26"/>
      <c r="AX874" s="26"/>
      <c r="AY874" s="26"/>
      <c r="AZ874" s="26"/>
      <c r="BA874" s="26"/>
      <c r="BB874" s="26"/>
      <c r="BC874" s="26"/>
      <c r="BD874" s="26"/>
      <c r="BE874" s="26"/>
      <c r="BF874" s="26"/>
      <c r="BG874" s="26"/>
      <c r="BH874" s="26"/>
      <c r="BI874" s="26"/>
      <c r="BJ874" s="26"/>
      <c r="BK874" s="26"/>
    </row>
    <row r="875" ht="14.25" customHeight="1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  <c r="AA875" s="26"/>
      <c r="AB875" s="26"/>
      <c r="AC875" s="26"/>
      <c r="AD875" s="26"/>
      <c r="AE875" s="26"/>
      <c r="AF875" s="26"/>
      <c r="AG875" s="26"/>
      <c r="AH875" s="26"/>
      <c r="AI875" s="26"/>
      <c r="AJ875" s="26"/>
      <c r="AK875" s="26"/>
      <c r="AL875" s="26"/>
      <c r="AM875" s="26"/>
      <c r="AN875" s="26"/>
      <c r="AO875" s="26"/>
      <c r="AP875" s="26"/>
      <c r="AQ875" s="26"/>
      <c r="AR875" s="26"/>
      <c r="AS875" s="26"/>
      <c r="AT875" s="26"/>
      <c r="AU875" s="26"/>
      <c r="AV875" s="26"/>
      <c r="AW875" s="26"/>
      <c r="AX875" s="26"/>
      <c r="AY875" s="26"/>
      <c r="AZ875" s="26"/>
      <c r="BA875" s="26"/>
      <c r="BB875" s="26"/>
      <c r="BC875" s="26"/>
      <c r="BD875" s="26"/>
      <c r="BE875" s="26"/>
      <c r="BF875" s="26"/>
      <c r="BG875" s="26"/>
      <c r="BH875" s="26"/>
      <c r="BI875" s="26"/>
      <c r="BJ875" s="26"/>
      <c r="BK875" s="26"/>
    </row>
    <row r="876" ht="14.25" customHeight="1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  <c r="AA876" s="26"/>
      <c r="AB876" s="26"/>
      <c r="AC876" s="26"/>
      <c r="AD876" s="26"/>
      <c r="AE876" s="26"/>
      <c r="AF876" s="26"/>
      <c r="AG876" s="26"/>
      <c r="AH876" s="26"/>
      <c r="AI876" s="26"/>
      <c r="AJ876" s="26"/>
      <c r="AK876" s="26"/>
      <c r="AL876" s="26"/>
      <c r="AM876" s="26"/>
      <c r="AN876" s="26"/>
      <c r="AO876" s="26"/>
      <c r="AP876" s="26"/>
      <c r="AQ876" s="26"/>
      <c r="AR876" s="26"/>
      <c r="AS876" s="26"/>
      <c r="AT876" s="26"/>
      <c r="AU876" s="26"/>
      <c r="AV876" s="26"/>
      <c r="AW876" s="26"/>
      <c r="AX876" s="26"/>
      <c r="AY876" s="26"/>
      <c r="AZ876" s="26"/>
      <c r="BA876" s="26"/>
      <c r="BB876" s="26"/>
      <c r="BC876" s="26"/>
      <c r="BD876" s="26"/>
      <c r="BE876" s="26"/>
      <c r="BF876" s="26"/>
      <c r="BG876" s="26"/>
      <c r="BH876" s="26"/>
      <c r="BI876" s="26"/>
      <c r="BJ876" s="26"/>
      <c r="BK876" s="26"/>
    </row>
    <row r="877" ht="14.25" customHeight="1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  <c r="AA877" s="26"/>
      <c r="AB877" s="26"/>
      <c r="AC877" s="26"/>
      <c r="AD877" s="26"/>
      <c r="AE877" s="26"/>
      <c r="AF877" s="26"/>
      <c r="AG877" s="26"/>
      <c r="AH877" s="26"/>
      <c r="AI877" s="26"/>
      <c r="AJ877" s="26"/>
      <c r="AK877" s="26"/>
      <c r="AL877" s="26"/>
      <c r="AM877" s="26"/>
      <c r="AN877" s="26"/>
      <c r="AO877" s="26"/>
      <c r="AP877" s="26"/>
      <c r="AQ877" s="26"/>
      <c r="AR877" s="26"/>
      <c r="AS877" s="26"/>
      <c r="AT877" s="26"/>
      <c r="AU877" s="26"/>
      <c r="AV877" s="26"/>
      <c r="AW877" s="26"/>
      <c r="AX877" s="26"/>
      <c r="AY877" s="26"/>
      <c r="AZ877" s="26"/>
      <c r="BA877" s="26"/>
      <c r="BB877" s="26"/>
      <c r="BC877" s="26"/>
      <c r="BD877" s="26"/>
      <c r="BE877" s="26"/>
      <c r="BF877" s="26"/>
      <c r="BG877" s="26"/>
      <c r="BH877" s="26"/>
      <c r="BI877" s="26"/>
      <c r="BJ877" s="26"/>
      <c r="BK877" s="26"/>
    </row>
    <row r="878" ht="14.25" customHeight="1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  <c r="AA878" s="26"/>
      <c r="AB878" s="26"/>
      <c r="AC878" s="26"/>
      <c r="AD878" s="26"/>
      <c r="AE878" s="26"/>
      <c r="AF878" s="26"/>
      <c r="AG878" s="26"/>
      <c r="AH878" s="26"/>
      <c r="AI878" s="26"/>
      <c r="AJ878" s="26"/>
      <c r="AK878" s="26"/>
      <c r="AL878" s="26"/>
      <c r="AM878" s="26"/>
      <c r="AN878" s="26"/>
      <c r="AO878" s="26"/>
      <c r="AP878" s="26"/>
      <c r="AQ878" s="26"/>
      <c r="AR878" s="26"/>
      <c r="AS878" s="26"/>
      <c r="AT878" s="26"/>
      <c r="AU878" s="26"/>
      <c r="AV878" s="26"/>
      <c r="AW878" s="26"/>
      <c r="AX878" s="26"/>
      <c r="AY878" s="26"/>
      <c r="AZ878" s="26"/>
      <c r="BA878" s="26"/>
      <c r="BB878" s="26"/>
      <c r="BC878" s="26"/>
      <c r="BD878" s="26"/>
      <c r="BE878" s="26"/>
      <c r="BF878" s="26"/>
      <c r="BG878" s="26"/>
      <c r="BH878" s="26"/>
      <c r="BI878" s="26"/>
      <c r="BJ878" s="26"/>
      <c r="BK878" s="26"/>
    </row>
    <row r="879" ht="14.25" customHeight="1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  <c r="AA879" s="26"/>
      <c r="AB879" s="26"/>
      <c r="AC879" s="26"/>
      <c r="AD879" s="26"/>
      <c r="AE879" s="26"/>
      <c r="AF879" s="26"/>
      <c r="AG879" s="26"/>
      <c r="AH879" s="26"/>
      <c r="AI879" s="26"/>
      <c r="AJ879" s="26"/>
      <c r="AK879" s="26"/>
      <c r="AL879" s="26"/>
      <c r="AM879" s="26"/>
      <c r="AN879" s="26"/>
      <c r="AO879" s="26"/>
      <c r="AP879" s="26"/>
      <c r="AQ879" s="26"/>
      <c r="AR879" s="26"/>
      <c r="AS879" s="26"/>
      <c r="AT879" s="26"/>
      <c r="AU879" s="26"/>
      <c r="AV879" s="26"/>
      <c r="AW879" s="26"/>
      <c r="AX879" s="26"/>
      <c r="AY879" s="26"/>
      <c r="AZ879" s="26"/>
      <c r="BA879" s="26"/>
      <c r="BB879" s="26"/>
      <c r="BC879" s="26"/>
      <c r="BD879" s="26"/>
      <c r="BE879" s="26"/>
      <c r="BF879" s="26"/>
      <c r="BG879" s="26"/>
      <c r="BH879" s="26"/>
      <c r="BI879" s="26"/>
      <c r="BJ879" s="26"/>
      <c r="BK879" s="26"/>
    </row>
    <row r="880" ht="14.25" customHeight="1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  <c r="AA880" s="26"/>
      <c r="AB880" s="26"/>
      <c r="AC880" s="26"/>
      <c r="AD880" s="26"/>
      <c r="AE880" s="26"/>
      <c r="AF880" s="26"/>
      <c r="AG880" s="26"/>
      <c r="AH880" s="26"/>
      <c r="AI880" s="26"/>
      <c r="AJ880" s="26"/>
      <c r="AK880" s="26"/>
      <c r="AL880" s="26"/>
      <c r="AM880" s="26"/>
      <c r="AN880" s="26"/>
      <c r="AO880" s="26"/>
      <c r="AP880" s="26"/>
      <c r="AQ880" s="26"/>
      <c r="AR880" s="26"/>
      <c r="AS880" s="26"/>
      <c r="AT880" s="26"/>
      <c r="AU880" s="26"/>
      <c r="AV880" s="26"/>
      <c r="AW880" s="26"/>
      <c r="AX880" s="26"/>
      <c r="AY880" s="26"/>
      <c r="AZ880" s="26"/>
      <c r="BA880" s="26"/>
      <c r="BB880" s="26"/>
      <c r="BC880" s="26"/>
      <c r="BD880" s="26"/>
      <c r="BE880" s="26"/>
      <c r="BF880" s="26"/>
      <c r="BG880" s="26"/>
      <c r="BH880" s="26"/>
      <c r="BI880" s="26"/>
      <c r="BJ880" s="26"/>
      <c r="BK880" s="26"/>
    </row>
    <row r="881" ht="14.25" customHeight="1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  <c r="AA881" s="26"/>
      <c r="AB881" s="26"/>
      <c r="AC881" s="26"/>
      <c r="AD881" s="26"/>
      <c r="AE881" s="26"/>
      <c r="AF881" s="26"/>
      <c r="AG881" s="26"/>
      <c r="AH881" s="26"/>
      <c r="AI881" s="26"/>
      <c r="AJ881" s="26"/>
      <c r="AK881" s="26"/>
      <c r="AL881" s="26"/>
      <c r="AM881" s="26"/>
      <c r="AN881" s="26"/>
      <c r="AO881" s="26"/>
      <c r="AP881" s="26"/>
      <c r="AQ881" s="26"/>
      <c r="AR881" s="26"/>
      <c r="AS881" s="26"/>
      <c r="AT881" s="26"/>
      <c r="AU881" s="26"/>
      <c r="AV881" s="26"/>
      <c r="AW881" s="26"/>
      <c r="AX881" s="26"/>
      <c r="AY881" s="26"/>
      <c r="AZ881" s="26"/>
      <c r="BA881" s="26"/>
      <c r="BB881" s="26"/>
      <c r="BC881" s="26"/>
      <c r="BD881" s="26"/>
      <c r="BE881" s="26"/>
      <c r="BF881" s="26"/>
      <c r="BG881" s="26"/>
      <c r="BH881" s="26"/>
      <c r="BI881" s="26"/>
      <c r="BJ881" s="26"/>
      <c r="BK881" s="26"/>
    </row>
    <row r="882" ht="14.25" customHeight="1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  <c r="AA882" s="26"/>
      <c r="AB882" s="26"/>
      <c r="AC882" s="26"/>
      <c r="AD882" s="26"/>
      <c r="AE882" s="26"/>
      <c r="AF882" s="26"/>
      <c r="AG882" s="26"/>
      <c r="AH882" s="26"/>
      <c r="AI882" s="26"/>
      <c r="AJ882" s="26"/>
      <c r="AK882" s="26"/>
      <c r="AL882" s="26"/>
      <c r="AM882" s="26"/>
      <c r="AN882" s="26"/>
      <c r="AO882" s="26"/>
      <c r="AP882" s="26"/>
      <c r="AQ882" s="26"/>
      <c r="AR882" s="26"/>
      <c r="AS882" s="26"/>
      <c r="AT882" s="26"/>
      <c r="AU882" s="26"/>
      <c r="AV882" s="26"/>
      <c r="AW882" s="26"/>
      <c r="AX882" s="26"/>
      <c r="AY882" s="26"/>
      <c r="AZ882" s="26"/>
      <c r="BA882" s="26"/>
      <c r="BB882" s="26"/>
      <c r="BC882" s="26"/>
      <c r="BD882" s="26"/>
      <c r="BE882" s="26"/>
      <c r="BF882" s="26"/>
      <c r="BG882" s="26"/>
      <c r="BH882" s="26"/>
      <c r="BI882" s="26"/>
      <c r="BJ882" s="26"/>
      <c r="BK882" s="26"/>
    </row>
    <row r="883" ht="14.25" customHeight="1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  <c r="AA883" s="26"/>
      <c r="AB883" s="26"/>
      <c r="AC883" s="26"/>
      <c r="AD883" s="26"/>
      <c r="AE883" s="26"/>
      <c r="AF883" s="26"/>
      <c r="AG883" s="26"/>
      <c r="AH883" s="26"/>
      <c r="AI883" s="26"/>
      <c r="AJ883" s="26"/>
      <c r="AK883" s="26"/>
      <c r="AL883" s="26"/>
      <c r="AM883" s="26"/>
      <c r="AN883" s="26"/>
      <c r="AO883" s="26"/>
      <c r="AP883" s="26"/>
      <c r="AQ883" s="26"/>
      <c r="AR883" s="26"/>
      <c r="AS883" s="26"/>
      <c r="AT883" s="26"/>
      <c r="AU883" s="26"/>
      <c r="AV883" s="26"/>
      <c r="AW883" s="26"/>
      <c r="AX883" s="26"/>
      <c r="AY883" s="26"/>
      <c r="AZ883" s="26"/>
      <c r="BA883" s="26"/>
      <c r="BB883" s="26"/>
      <c r="BC883" s="26"/>
      <c r="BD883" s="26"/>
      <c r="BE883" s="26"/>
      <c r="BF883" s="26"/>
      <c r="BG883" s="26"/>
      <c r="BH883" s="26"/>
      <c r="BI883" s="26"/>
      <c r="BJ883" s="26"/>
      <c r="BK883" s="26"/>
    </row>
    <row r="884" ht="14.25" customHeight="1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  <c r="AA884" s="26"/>
      <c r="AB884" s="26"/>
      <c r="AC884" s="26"/>
      <c r="AD884" s="26"/>
      <c r="AE884" s="26"/>
      <c r="AF884" s="26"/>
      <c r="AG884" s="26"/>
      <c r="AH884" s="26"/>
      <c r="AI884" s="26"/>
      <c r="AJ884" s="26"/>
      <c r="AK884" s="26"/>
      <c r="AL884" s="26"/>
      <c r="AM884" s="26"/>
      <c r="AN884" s="26"/>
      <c r="AO884" s="26"/>
      <c r="AP884" s="26"/>
      <c r="AQ884" s="26"/>
      <c r="AR884" s="26"/>
      <c r="AS884" s="26"/>
      <c r="AT884" s="26"/>
      <c r="AU884" s="26"/>
      <c r="AV884" s="26"/>
      <c r="AW884" s="26"/>
      <c r="AX884" s="26"/>
      <c r="AY884" s="26"/>
      <c r="AZ884" s="26"/>
      <c r="BA884" s="26"/>
      <c r="BB884" s="26"/>
      <c r="BC884" s="26"/>
      <c r="BD884" s="26"/>
      <c r="BE884" s="26"/>
      <c r="BF884" s="26"/>
      <c r="BG884" s="26"/>
      <c r="BH884" s="26"/>
      <c r="BI884" s="26"/>
      <c r="BJ884" s="26"/>
      <c r="BK884" s="26"/>
    </row>
    <row r="885" ht="14.25" customHeight="1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  <c r="AA885" s="26"/>
      <c r="AB885" s="26"/>
      <c r="AC885" s="26"/>
      <c r="AD885" s="26"/>
      <c r="AE885" s="26"/>
      <c r="AF885" s="26"/>
      <c r="AG885" s="26"/>
      <c r="AH885" s="26"/>
      <c r="AI885" s="26"/>
      <c r="AJ885" s="26"/>
      <c r="AK885" s="26"/>
      <c r="AL885" s="26"/>
      <c r="AM885" s="26"/>
      <c r="AN885" s="26"/>
      <c r="AO885" s="26"/>
      <c r="AP885" s="26"/>
      <c r="AQ885" s="26"/>
      <c r="AR885" s="26"/>
      <c r="AS885" s="26"/>
      <c r="AT885" s="26"/>
      <c r="AU885" s="26"/>
      <c r="AV885" s="26"/>
      <c r="AW885" s="26"/>
      <c r="AX885" s="26"/>
      <c r="AY885" s="26"/>
      <c r="AZ885" s="26"/>
      <c r="BA885" s="26"/>
      <c r="BB885" s="26"/>
      <c r="BC885" s="26"/>
      <c r="BD885" s="26"/>
      <c r="BE885" s="26"/>
      <c r="BF885" s="26"/>
      <c r="BG885" s="26"/>
      <c r="BH885" s="26"/>
      <c r="BI885" s="26"/>
      <c r="BJ885" s="26"/>
      <c r="BK885" s="26"/>
    </row>
    <row r="886" ht="14.25" customHeight="1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  <c r="AA886" s="26"/>
      <c r="AB886" s="26"/>
      <c r="AC886" s="26"/>
      <c r="AD886" s="26"/>
      <c r="AE886" s="26"/>
      <c r="AF886" s="26"/>
      <c r="AG886" s="26"/>
      <c r="AH886" s="26"/>
      <c r="AI886" s="26"/>
      <c r="AJ886" s="26"/>
      <c r="AK886" s="26"/>
      <c r="AL886" s="26"/>
      <c r="AM886" s="26"/>
      <c r="AN886" s="26"/>
      <c r="AO886" s="26"/>
      <c r="AP886" s="26"/>
      <c r="AQ886" s="26"/>
      <c r="AR886" s="26"/>
      <c r="AS886" s="26"/>
      <c r="AT886" s="26"/>
      <c r="AU886" s="26"/>
      <c r="AV886" s="26"/>
      <c r="AW886" s="26"/>
      <c r="AX886" s="26"/>
      <c r="AY886" s="26"/>
      <c r="AZ886" s="26"/>
      <c r="BA886" s="26"/>
      <c r="BB886" s="26"/>
      <c r="BC886" s="26"/>
      <c r="BD886" s="26"/>
      <c r="BE886" s="26"/>
      <c r="BF886" s="26"/>
      <c r="BG886" s="26"/>
      <c r="BH886" s="26"/>
      <c r="BI886" s="26"/>
      <c r="BJ886" s="26"/>
      <c r="BK886" s="26"/>
    </row>
    <row r="887" ht="14.25" customHeight="1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  <c r="AA887" s="26"/>
      <c r="AB887" s="26"/>
      <c r="AC887" s="26"/>
      <c r="AD887" s="26"/>
      <c r="AE887" s="26"/>
      <c r="AF887" s="26"/>
      <c r="AG887" s="26"/>
      <c r="AH887" s="26"/>
      <c r="AI887" s="26"/>
      <c r="AJ887" s="26"/>
      <c r="AK887" s="26"/>
      <c r="AL887" s="26"/>
      <c r="AM887" s="26"/>
      <c r="AN887" s="26"/>
      <c r="AO887" s="26"/>
      <c r="AP887" s="26"/>
      <c r="AQ887" s="26"/>
      <c r="AR887" s="26"/>
      <c r="AS887" s="26"/>
      <c r="AT887" s="26"/>
      <c r="AU887" s="26"/>
      <c r="AV887" s="26"/>
      <c r="AW887" s="26"/>
      <c r="AX887" s="26"/>
      <c r="AY887" s="26"/>
      <c r="AZ887" s="26"/>
      <c r="BA887" s="26"/>
      <c r="BB887" s="26"/>
      <c r="BC887" s="26"/>
      <c r="BD887" s="26"/>
      <c r="BE887" s="26"/>
      <c r="BF887" s="26"/>
      <c r="BG887" s="26"/>
      <c r="BH887" s="26"/>
      <c r="BI887" s="26"/>
      <c r="BJ887" s="26"/>
      <c r="BK887" s="26"/>
    </row>
    <row r="888" ht="14.25" customHeight="1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  <c r="AA888" s="26"/>
      <c r="AB888" s="26"/>
      <c r="AC888" s="26"/>
      <c r="AD888" s="26"/>
      <c r="AE888" s="26"/>
      <c r="AF888" s="26"/>
      <c r="AG888" s="26"/>
      <c r="AH888" s="26"/>
      <c r="AI888" s="26"/>
      <c r="AJ888" s="26"/>
      <c r="AK888" s="26"/>
      <c r="AL888" s="26"/>
      <c r="AM888" s="26"/>
      <c r="AN888" s="26"/>
      <c r="AO888" s="26"/>
      <c r="AP888" s="26"/>
      <c r="AQ888" s="26"/>
      <c r="AR888" s="26"/>
      <c r="AS888" s="26"/>
      <c r="AT888" s="26"/>
      <c r="AU888" s="26"/>
      <c r="AV888" s="26"/>
      <c r="AW888" s="26"/>
      <c r="AX888" s="26"/>
      <c r="AY888" s="26"/>
      <c r="AZ888" s="26"/>
      <c r="BA888" s="26"/>
      <c r="BB888" s="26"/>
      <c r="BC888" s="26"/>
      <c r="BD888" s="26"/>
      <c r="BE888" s="26"/>
      <c r="BF888" s="26"/>
      <c r="BG888" s="26"/>
      <c r="BH888" s="26"/>
      <c r="BI888" s="26"/>
      <c r="BJ888" s="26"/>
      <c r="BK888" s="26"/>
    </row>
    <row r="889" ht="14.25" customHeight="1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  <c r="AA889" s="26"/>
      <c r="AB889" s="26"/>
      <c r="AC889" s="26"/>
      <c r="AD889" s="26"/>
      <c r="AE889" s="26"/>
      <c r="AF889" s="26"/>
      <c r="AG889" s="26"/>
      <c r="AH889" s="26"/>
      <c r="AI889" s="26"/>
      <c r="AJ889" s="26"/>
      <c r="AK889" s="26"/>
      <c r="AL889" s="26"/>
      <c r="AM889" s="26"/>
      <c r="AN889" s="26"/>
      <c r="AO889" s="26"/>
      <c r="AP889" s="26"/>
      <c r="AQ889" s="26"/>
      <c r="AR889" s="26"/>
      <c r="AS889" s="26"/>
      <c r="AT889" s="26"/>
      <c r="AU889" s="26"/>
      <c r="AV889" s="26"/>
      <c r="AW889" s="26"/>
      <c r="AX889" s="26"/>
      <c r="AY889" s="26"/>
      <c r="AZ889" s="26"/>
      <c r="BA889" s="26"/>
      <c r="BB889" s="26"/>
      <c r="BC889" s="26"/>
      <c r="BD889" s="26"/>
      <c r="BE889" s="26"/>
      <c r="BF889" s="26"/>
      <c r="BG889" s="26"/>
      <c r="BH889" s="26"/>
      <c r="BI889" s="26"/>
      <c r="BJ889" s="26"/>
      <c r="BK889" s="26"/>
    </row>
    <row r="890" ht="14.25" customHeight="1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  <c r="AA890" s="26"/>
      <c r="AB890" s="26"/>
      <c r="AC890" s="26"/>
      <c r="AD890" s="26"/>
      <c r="AE890" s="26"/>
      <c r="AF890" s="26"/>
      <c r="AG890" s="26"/>
      <c r="AH890" s="26"/>
      <c r="AI890" s="26"/>
      <c r="AJ890" s="26"/>
      <c r="AK890" s="26"/>
      <c r="AL890" s="26"/>
      <c r="AM890" s="26"/>
      <c r="AN890" s="26"/>
      <c r="AO890" s="26"/>
      <c r="AP890" s="26"/>
      <c r="AQ890" s="26"/>
      <c r="AR890" s="26"/>
      <c r="AS890" s="26"/>
      <c r="AT890" s="26"/>
      <c r="AU890" s="26"/>
      <c r="AV890" s="26"/>
      <c r="AW890" s="26"/>
      <c r="AX890" s="26"/>
      <c r="AY890" s="26"/>
      <c r="AZ890" s="26"/>
      <c r="BA890" s="26"/>
      <c r="BB890" s="26"/>
      <c r="BC890" s="26"/>
      <c r="BD890" s="26"/>
      <c r="BE890" s="26"/>
      <c r="BF890" s="26"/>
      <c r="BG890" s="26"/>
      <c r="BH890" s="26"/>
      <c r="BI890" s="26"/>
      <c r="BJ890" s="26"/>
      <c r="BK890" s="26"/>
    </row>
    <row r="891" ht="14.25" customHeight="1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  <c r="AA891" s="26"/>
      <c r="AB891" s="26"/>
      <c r="AC891" s="26"/>
      <c r="AD891" s="26"/>
      <c r="AE891" s="26"/>
      <c r="AF891" s="26"/>
      <c r="AG891" s="26"/>
      <c r="AH891" s="26"/>
      <c r="AI891" s="26"/>
      <c r="AJ891" s="26"/>
      <c r="AK891" s="26"/>
      <c r="AL891" s="26"/>
      <c r="AM891" s="26"/>
      <c r="AN891" s="26"/>
      <c r="AO891" s="26"/>
      <c r="AP891" s="26"/>
      <c r="AQ891" s="26"/>
      <c r="AR891" s="26"/>
      <c r="AS891" s="26"/>
      <c r="AT891" s="26"/>
      <c r="AU891" s="26"/>
      <c r="AV891" s="26"/>
      <c r="AW891" s="26"/>
      <c r="AX891" s="26"/>
      <c r="AY891" s="26"/>
      <c r="AZ891" s="26"/>
      <c r="BA891" s="26"/>
      <c r="BB891" s="26"/>
      <c r="BC891" s="26"/>
      <c r="BD891" s="26"/>
      <c r="BE891" s="26"/>
      <c r="BF891" s="26"/>
      <c r="BG891" s="26"/>
      <c r="BH891" s="26"/>
      <c r="BI891" s="26"/>
      <c r="BJ891" s="26"/>
      <c r="BK891" s="26"/>
    </row>
    <row r="892" ht="14.25" customHeight="1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  <c r="AA892" s="26"/>
      <c r="AB892" s="26"/>
      <c r="AC892" s="26"/>
      <c r="AD892" s="26"/>
      <c r="AE892" s="26"/>
      <c r="AF892" s="26"/>
      <c r="AG892" s="26"/>
      <c r="AH892" s="26"/>
      <c r="AI892" s="26"/>
      <c r="AJ892" s="26"/>
      <c r="AK892" s="26"/>
      <c r="AL892" s="26"/>
      <c r="AM892" s="26"/>
      <c r="AN892" s="26"/>
      <c r="AO892" s="26"/>
      <c r="AP892" s="26"/>
      <c r="AQ892" s="26"/>
      <c r="AR892" s="26"/>
      <c r="AS892" s="26"/>
      <c r="AT892" s="26"/>
      <c r="AU892" s="26"/>
      <c r="AV892" s="26"/>
      <c r="AW892" s="26"/>
      <c r="AX892" s="26"/>
      <c r="AY892" s="26"/>
      <c r="AZ892" s="26"/>
      <c r="BA892" s="26"/>
      <c r="BB892" s="26"/>
      <c r="BC892" s="26"/>
      <c r="BD892" s="26"/>
      <c r="BE892" s="26"/>
      <c r="BF892" s="26"/>
      <c r="BG892" s="26"/>
      <c r="BH892" s="26"/>
      <c r="BI892" s="26"/>
      <c r="BJ892" s="26"/>
      <c r="BK892" s="26"/>
    </row>
    <row r="893" ht="14.25" customHeight="1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  <c r="AA893" s="26"/>
      <c r="AB893" s="26"/>
      <c r="AC893" s="26"/>
      <c r="AD893" s="26"/>
      <c r="AE893" s="26"/>
      <c r="AF893" s="26"/>
      <c r="AG893" s="26"/>
      <c r="AH893" s="26"/>
      <c r="AI893" s="26"/>
      <c r="AJ893" s="26"/>
      <c r="AK893" s="26"/>
      <c r="AL893" s="26"/>
      <c r="AM893" s="26"/>
      <c r="AN893" s="26"/>
      <c r="AO893" s="26"/>
      <c r="AP893" s="26"/>
      <c r="AQ893" s="26"/>
      <c r="AR893" s="26"/>
      <c r="AS893" s="26"/>
      <c r="AT893" s="26"/>
      <c r="AU893" s="26"/>
      <c r="AV893" s="26"/>
      <c r="AW893" s="26"/>
      <c r="AX893" s="26"/>
      <c r="AY893" s="26"/>
      <c r="AZ893" s="26"/>
      <c r="BA893" s="26"/>
      <c r="BB893" s="26"/>
      <c r="BC893" s="26"/>
      <c r="BD893" s="26"/>
      <c r="BE893" s="26"/>
      <c r="BF893" s="26"/>
      <c r="BG893" s="26"/>
      <c r="BH893" s="26"/>
      <c r="BI893" s="26"/>
      <c r="BJ893" s="26"/>
      <c r="BK893" s="26"/>
    </row>
    <row r="894" ht="14.25" customHeight="1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  <c r="AA894" s="26"/>
      <c r="AB894" s="26"/>
      <c r="AC894" s="26"/>
      <c r="AD894" s="26"/>
      <c r="AE894" s="26"/>
      <c r="AF894" s="26"/>
      <c r="AG894" s="26"/>
      <c r="AH894" s="26"/>
      <c r="AI894" s="26"/>
      <c r="AJ894" s="26"/>
      <c r="AK894" s="26"/>
      <c r="AL894" s="26"/>
      <c r="AM894" s="26"/>
      <c r="AN894" s="26"/>
      <c r="AO894" s="26"/>
      <c r="AP894" s="26"/>
      <c r="AQ894" s="26"/>
      <c r="AR894" s="26"/>
      <c r="AS894" s="26"/>
      <c r="AT894" s="26"/>
      <c r="AU894" s="26"/>
      <c r="AV894" s="26"/>
      <c r="AW894" s="26"/>
      <c r="AX894" s="26"/>
      <c r="AY894" s="26"/>
      <c r="AZ894" s="26"/>
      <c r="BA894" s="26"/>
      <c r="BB894" s="26"/>
      <c r="BC894" s="26"/>
      <c r="BD894" s="26"/>
      <c r="BE894" s="26"/>
      <c r="BF894" s="26"/>
      <c r="BG894" s="26"/>
      <c r="BH894" s="26"/>
      <c r="BI894" s="26"/>
      <c r="BJ894" s="26"/>
      <c r="BK894" s="26"/>
    </row>
    <row r="895" ht="14.25" customHeight="1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  <c r="AA895" s="26"/>
      <c r="AB895" s="26"/>
      <c r="AC895" s="26"/>
      <c r="AD895" s="26"/>
      <c r="AE895" s="26"/>
      <c r="AF895" s="26"/>
      <c r="AG895" s="26"/>
      <c r="AH895" s="26"/>
      <c r="AI895" s="26"/>
      <c r="AJ895" s="26"/>
      <c r="AK895" s="26"/>
      <c r="AL895" s="26"/>
      <c r="AM895" s="26"/>
      <c r="AN895" s="26"/>
      <c r="AO895" s="26"/>
      <c r="AP895" s="26"/>
      <c r="AQ895" s="26"/>
      <c r="AR895" s="26"/>
      <c r="AS895" s="26"/>
      <c r="AT895" s="26"/>
      <c r="AU895" s="26"/>
      <c r="AV895" s="26"/>
      <c r="AW895" s="26"/>
      <c r="AX895" s="26"/>
      <c r="AY895" s="26"/>
      <c r="AZ895" s="26"/>
      <c r="BA895" s="26"/>
      <c r="BB895" s="26"/>
      <c r="BC895" s="26"/>
      <c r="BD895" s="26"/>
      <c r="BE895" s="26"/>
      <c r="BF895" s="26"/>
      <c r="BG895" s="26"/>
      <c r="BH895" s="26"/>
      <c r="BI895" s="26"/>
      <c r="BJ895" s="26"/>
      <c r="BK895" s="26"/>
    </row>
    <row r="896" ht="14.25" customHeight="1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  <c r="AA896" s="26"/>
      <c r="AB896" s="26"/>
      <c r="AC896" s="26"/>
      <c r="AD896" s="26"/>
      <c r="AE896" s="26"/>
      <c r="AF896" s="26"/>
      <c r="AG896" s="26"/>
      <c r="AH896" s="26"/>
      <c r="AI896" s="26"/>
      <c r="AJ896" s="26"/>
      <c r="AK896" s="26"/>
      <c r="AL896" s="26"/>
      <c r="AM896" s="26"/>
      <c r="AN896" s="26"/>
      <c r="AO896" s="26"/>
      <c r="AP896" s="26"/>
      <c r="AQ896" s="26"/>
      <c r="AR896" s="26"/>
      <c r="AS896" s="26"/>
      <c r="AT896" s="26"/>
      <c r="AU896" s="26"/>
      <c r="AV896" s="26"/>
      <c r="AW896" s="26"/>
      <c r="AX896" s="26"/>
      <c r="AY896" s="26"/>
      <c r="AZ896" s="26"/>
      <c r="BA896" s="26"/>
      <c r="BB896" s="26"/>
      <c r="BC896" s="26"/>
      <c r="BD896" s="26"/>
      <c r="BE896" s="26"/>
      <c r="BF896" s="26"/>
      <c r="BG896" s="26"/>
      <c r="BH896" s="26"/>
      <c r="BI896" s="26"/>
      <c r="BJ896" s="26"/>
      <c r="BK896" s="26"/>
    </row>
    <row r="897" ht="14.25" customHeight="1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  <c r="AA897" s="26"/>
      <c r="AB897" s="26"/>
      <c r="AC897" s="26"/>
      <c r="AD897" s="26"/>
      <c r="AE897" s="26"/>
      <c r="AF897" s="26"/>
      <c r="AG897" s="26"/>
      <c r="AH897" s="26"/>
      <c r="AI897" s="26"/>
      <c r="AJ897" s="26"/>
      <c r="AK897" s="26"/>
      <c r="AL897" s="26"/>
      <c r="AM897" s="26"/>
      <c r="AN897" s="26"/>
      <c r="AO897" s="26"/>
      <c r="AP897" s="26"/>
      <c r="AQ897" s="26"/>
      <c r="AR897" s="26"/>
      <c r="AS897" s="26"/>
      <c r="AT897" s="26"/>
      <c r="AU897" s="26"/>
      <c r="AV897" s="26"/>
      <c r="AW897" s="26"/>
      <c r="AX897" s="26"/>
      <c r="AY897" s="26"/>
      <c r="AZ897" s="26"/>
      <c r="BA897" s="26"/>
      <c r="BB897" s="26"/>
      <c r="BC897" s="26"/>
      <c r="BD897" s="26"/>
      <c r="BE897" s="26"/>
      <c r="BF897" s="26"/>
      <c r="BG897" s="26"/>
      <c r="BH897" s="26"/>
      <c r="BI897" s="26"/>
      <c r="BJ897" s="26"/>
      <c r="BK897" s="26"/>
    </row>
    <row r="898" ht="14.25" customHeight="1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  <c r="AA898" s="26"/>
      <c r="AB898" s="26"/>
      <c r="AC898" s="26"/>
      <c r="AD898" s="26"/>
      <c r="AE898" s="26"/>
      <c r="AF898" s="26"/>
      <c r="AG898" s="26"/>
      <c r="AH898" s="26"/>
      <c r="AI898" s="26"/>
      <c r="AJ898" s="26"/>
      <c r="AK898" s="26"/>
      <c r="AL898" s="26"/>
      <c r="AM898" s="26"/>
      <c r="AN898" s="26"/>
      <c r="AO898" s="26"/>
      <c r="AP898" s="26"/>
      <c r="AQ898" s="26"/>
      <c r="AR898" s="26"/>
      <c r="AS898" s="26"/>
      <c r="AT898" s="26"/>
      <c r="AU898" s="26"/>
      <c r="AV898" s="26"/>
      <c r="AW898" s="26"/>
      <c r="AX898" s="26"/>
      <c r="AY898" s="26"/>
      <c r="AZ898" s="26"/>
      <c r="BA898" s="26"/>
      <c r="BB898" s="26"/>
      <c r="BC898" s="26"/>
      <c r="BD898" s="26"/>
      <c r="BE898" s="26"/>
      <c r="BF898" s="26"/>
      <c r="BG898" s="26"/>
      <c r="BH898" s="26"/>
      <c r="BI898" s="26"/>
      <c r="BJ898" s="26"/>
      <c r="BK898" s="26"/>
    </row>
    <row r="899" ht="14.25" customHeight="1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  <c r="AA899" s="26"/>
      <c r="AB899" s="26"/>
      <c r="AC899" s="26"/>
      <c r="AD899" s="26"/>
      <c r="AE899" s="26"/>
      <c r="AF899" s="26"/>
      <c r="AG899" s="26"/>
      <c r="AH899" s="26"/>
      <c r="AI899" s="26"/>
      <c r="AJ899" s="26"/>
      <c r="AK899" s="26"/>
      <c r="AL899" s="26"/>
      <c r="AM899" s="26"/>
      <c r="AN899" s="26"/>
      <c r="AO899" s="26"/>
      <c r="AP899" s="26"/>
      <c r="AQ899" s="26"/>
      <c r="AR899" s="26"/>
      <c r="AS899" s="26"/>
      <c r="AT899" s="26"/>
      <c r="AU899" s="26"/>
      <c r="AV899" s="26"/>
      <c r="AW899" s="26"/>
      <c r="AX899" s="26"/>
      <c r="AY899" s="26"/>
      <c r="AZ899" s="26"/>
      <c r="BA899" s="26"/>
      <c r="BB899" s="26"/>
      <c r="BC899" s="26"/>
      <c r="BD899" s="26"/>
      <c r="BE899" s="26"/>
      <c r="BF899" s="26"/>
      <c r="BG899" s="26"/>
      <c r="BH899" s="26"/>
      <c r="BI899" s="26"/>
      <c r="BJ899" s="26"/>
      <c r="BK899" s="26"/>
    </row>
    <row r="900" ht="14.25" customHeight="1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  <c r="AA900" s="26"/>
      <c r="AB900" s="26"/>
      <c r="AC900" s="26"/>
      <c r="AD900" s="26"/>
      <c r="AE900" s="26"/>
      <c r="AF900" s="26"/>
      <c r="AG900" s="26"/>
      <c r="AH900" s="26"/>
      <c r="AI900" s="26"/>
      <c r="AJ900" s="26"/>
      <c r="AK900" s="26"/>
      <c r="AL900" s="26"/>
      <c r="AM900" s="26"/>
      <c r="AN900" s="26"/>
      <c r="AO900" s="26"/>
      <c r="AP900" s="26"/>
      <c r="AQ900" s="26"/>
      <c r="AR900" s="26"/>
      <c r="AS900" s="26"/>
      <c r="AT900" s="26"/>
      <c r="AU900" s="26"/>
      <c r="AV900" s="26"/>
      <c r="AW900" s="26"/>
      <c r="AX900" s="26"/>
      <c r="AY900" s="26"/>
      <c r="AZ900" s="26"/>
      <c r="BA900" s="26"/>
      <c r="BB900" s="26"/>
      <c r="BC900" s="26"/>
      <c r="BD900" s="26"/>
      <c r="BE900" s="26"/>
      <c r="BF900" s="26"/>
      <c r="BG900" s="26"/>
      <c r="BH900" s="26"/>
      <c r="BI900" s="26"/>
      <c r="BJ900" s="26"/>
      <c r="BK900" s="26"/>
    </row>
    <row r="901" ht="14.25" customHeight="1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  <c r="AA901" s="26"/>
      <c r="AB901" s="26"/>
      <c r="AC901" s="26"/>
      <c r="AD901" s="26"/>
      <c r="AE901" s="26"/>
      <c r="AF901" s="26"/>
      <c r="AG901" s="26"/>
      <c r="AH901" s="26"/>
      <c r="AI901" s="26"/>
      <c r="AJ901" s="26"/>
      <c r="AK901" s="26"/>
      <c r="AL901" s="26"/>
      <c r="AM901" s="26"/>
      <c r="AN901" s="26"/>
      <c r="AO901" s="26"/>
      <c r="AP901" s="26"/>
      <c r="AQ901" s="26"/>
      <c r="AR901" s="26"/>
      <c r="AS901" s="26"/>
      <c r="AT901" s="26"/>
      <c r="AU901" s="26"/>
      <c r="AV901" s="26"/>
      <c r="AW901" s="26"/>
      <c r="AX901" s="26"/>
      <c r="AY901" s="26"/>
      <c r="AZ901" s="26"/>
      <c r="BA901" s="26"/>
      <c r="BB901" s="26"/>
      <c r="BC901" s="26"/>
      <c r="BD901" s="26"/>
      <c r="BE901" s="26"/>
      <c r="BF901" s="26"/>
      <c r="BG901" s="26"/>
      <c r="BH901" s="26"/>
      <c r="BI901" s="26"/>
      <c r="BJ901" s="26"/>
      <c r="BK901" s="26"/>
    </row>
    <row r="902" ht="14.25" customHeight="1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  <c r="AA902" s="26"/>
      <c r="AB902" s="26"/>
      <c r="AC902" s="26"/>
      <c r="AD902" s="26"/>
      <c r="AE902" s="26"/>
      <c r="AF902" s="26"/>
      <c r="AG902" s="26"/>
      <c r="AH902" s="26"/>
      <c r="AI902" s="26"/>
      <c r="AJ902" s="26"/>
      <c r="AK902" s="26"/>
      <c r="AL902" s="26"/>
      <c r="AM902" s="26"/>
      <c r="AN902" s="26"/>
      <c r="AO902" s="26"/>
      <c r="AP902" s="26"/>
      <c r="AQ902" s="26"/>
      <c r="AR902" s="26"/>
      <c r="AS902" s="26"/>
      <c r="AT902" s="26"/>
      <c r="AU902" s="26"/>
      <c r="AV902" s="26"/>
      <c r="AW902" s="26"/>
      <c r="AX902" s="26"/>
      <c r="AY902" s="26"/>
      <c r="AZ902" s="26"/>
      <c r="BA902" s="26"/>
      <c r="BB902" s="26"/>
      <c r="BC902" s="26"/>
      <c r="BD902" s="26"/>
      <c r="BE902" s="26"/>
      <c r="BF902" s="26"/>
      <c r="BG902" s="26"/>
      <c r="BH902" s="26"/>
      <c r="BI902" s="26"/>
      <c r="BJ902" s="26"/>
      <c r="BK902" s="26"/>
    </row>
    <row r="903" ht="14.25" customHeight="1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  <c r="AA903" s="26"/>
      <c r="AB903" s="26"/>
      <c r="AC903" s="26"/>
      <c r="AD903" s="26"/>
      <c r="AE903" s="26"/>
      <c r="AF903" s="26"/>
      <c r="AG903" s="26"/>
      <c r="AH903" s="26"/>
      <c r="AI903" s="26"/>
      <c r="AJ903" s="26"/>
      <c r="AK903" s="26"/>
      <c r="AL903" s="26"/>
      <c r="AM903" s="26"/>
      <c r="AN903" s="26"/>
      <c r="AO903" s="26"/>
      <c r="AP903" s="26"/>
      <c r="AQ903" s="26"/>
      <c r="AR903" s="26"/>
      <c r="AS903" s="26"/>
      <c r="AT903" s="26"/>
      <c r="AU903" s="26"/>
      <c r="AV903" s="26"/>
      <c r="AW903" s="26"/>
      <c r="AX903" s="26"/>
      <c r="AY903" s="26"/>
      <c r="AZ903" s="26"/>
      <c r="BA903" s="26"/>
      <c r="BB903" s="26"/>
      <c r="BC903" s="26"/>
      <c r="BD903" s="26"/>
      <c r="BE903" s="26"/>
      <c r="BF903" s="26"/>
      <c r="BG903" s="26"/>
      <c r="BH903" s="26"/>
      <c r="BI903" s="26"/>
      <c r="BJ903" s="26"/>
      <c r="BK903" s="26"/>
    </row>
    <row r="904" ht="14.25" customHeight="1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  <c r="AA904" s="26"/>
      <c r="AB904" s="26"/>
      <c r="AC904" s="26"/>
      <c r="AD904" s="26"/>
      <c r="AE904" s="26"/>
      <c r="AF904" s="26"/>
      <c r="AG904" s="26"/>
      <c r="AH904" s="26"/>
      <c r="AI904" s="26"/>
      <c r="AJ904" s="26"/>
      <c r="AK904" s="26"/>
      <c r="AL904" s="26"/>
      <c r="AM904" s="26"/>
      <c r="AN904" s="26"/>
      <c r="AO904" s="26"/>
      <c r="AP904" s="26"/>
      <c r="AQ904" s="26"/>
      <c r="AR904" s="26"/>
      <c r="AS904" s="26"/>
      <c r="AT904" s="26"/>
      <c r="AU904" s="26"/>
      <c r="AV904" s="26"/>
      <c r="AW904" s="26"/>
      <c r="AX904" s="26"/>
      <c r="AY904" s="26"/>
      <c r="AZ904" s="26"/>
      <c r="BA904" s="26"/>
      <c r="BB904" s="26"/>
      <c r="BC904" s="26"/>
      <c r="BD904" s="26"/>
      <c r="BE904" s="26"/>
      <c r="BF904" s="26"/>
      <c r="BG904" s="26"/>
      <c r="BH904" s="26"/>
      <c r="BI904" s="26"/>
      <c r="BJ904" s="26"/>
      <c r="BK904" s="26"/>
    </row>
    <row r="905" ht="14.25" customHeight="1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  <c r="AA905" s="26"/>
      <c r="AB905" s="26"/>
      <c r="AC905" s="26"/>
      <c r="AD905" s="26"/>
      <c r="AE905" s="26"/>
      <c r="AF905" s="26"/>
      <c r="AG905" s="26"/>
      <c r="AH905" s="26"/>
      <c r="AI905" s="26"/>
      <c r="AJ905" s="26"/>
      <c r="AK905" s="26"/>
      <c r="AL905" s="26"/>
      <c r="AM905" s="26"/>
      <c r="AN905" s="26"/>
      <c r="AO905" s="26"/>
      <c r="AP905" s="26"/>
      <c r="AQ905" s="26"/>
      <c r="AR905" s="26"/>
      <c r="AS905" s="26"/>
      <c r="AT905" s="26"/>
      <c r="AU905" s="26"/>
      <c r="AV905" s="26"/>
      <c r="AW905" s="26"/>
      <c r="AX905" s="26"/>
      <c r="AY905" s="26"/>
      <c r="AZ905" s="26"/>
      <c r="BA905" s="26"/>
      <c r="BB905" s="26"/>
      <c r="BC905" s="26"/>
      <c r="BD905" s="26"/>
      <c r="BE905" s="26"/>
      <c r="BF905" s="26"/>
      <c r="BG905" s="26"/>
      <c r="BH905" s="26"/>
      <c r="BI905" s="26"/>
      <c r="BJ905" s="26"/>
      <c r="BK905" s="26"/>
    </row>
    <row r="906" ht="14.25" customHeight="1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  <c r="AA906" s="26"/>
      <c r="AB906" s="26"/>
      <c r="AC906" s="26"/>
      <c r="AD906" s="26"/>
      <c r="AE906" s="26"/>
      <c r="AF906" s="26"/>
      <c r="AG906" s="26"/>
      <c r="AH906" s="26"/>
      <c r="AI906" s="26"/>
      <c r="AJ906" s="26"/>
      <c r="AK906" s="26"/>
      <c r="AL906" s="26"/>
      <c r="AM906" s="26"/>
      <c r="AN906" s="26"/>
      <c r="AO906" s="26"/>
      <c r="AP906" s="26"/>
      <c r="AQ906" s="26"/>
      <c r="AR906" s="26"/>
      <c r="AS906" s="26"/>
      <c r="AT906" s="26"/>
      <c r="AU906" s="26"/>
      <c r="AV906" s="26"/>
      <c r="AW906" s="26"/>
      <c r="AX906" s="26"/>
      <c r="AY906" s="26"/>
      <c r="AZ906" s="26"/>
      <c r="BA906" s="26"/>
      <c r="BB906" s="26"/>
      <c r="BC906" s="26"/>
      <c r="BD906" s="26"/>
      <c r="BE906" s="26"/>
      <c r="BF906" s="26"/>
      <c r="BG906" s="26"/>
      <c r="BH906" s="26"/>
      <c r="BI906" s="26"/>
      <c r="BJ906" s="26"/>
      <c r="BK906" s="26"/>
    </row>
    <row r="907" ht="14.25" customHeight="1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  <c r="AA907" s="26"/>
      <c r="AB907" s="26"/>
      <c r="AC907" s="26"/>
      <c r="AD907" s="26"/>
      <c r="AE907" s="26"/>
      <c r="AF907" s="26"/>
      <c r="AG907" s="26"/>
      <c r="AH907" s="26"/>
      <c r="AI907" s="26"/>
      <c r="AJ907" s="26"/>
      <c r="AK907" s="26"/>
      <c r="AL907" s="26"/>
      <c r="AM907" s="26"/>
      <c r="AN907" s="26"/>
      <c r="AO907" s="26"/>
      <c r="AP907" s="26"/>
      <c r="AQ907" s="26"/>
      <c r="AR907" s="26"/>
      <c r="AS907" s="26"/>
      <c r="AT907" s="26"/>
      <c r="AU907" s="26"/>
      <c r="AV907" s="26"/>
      <c r="AW907" s="26"/>
      <c r="AX907" s="26"/>
      <c r="AY907" s="26"/>
      <c r="AZ907" s="26"/>
      <c r="BA907" s="26"/>
      <c r="BB907" s="26"/>
      <c r="BC907" s="26"/>
      <c r="BD907" s="26"/>
      <c r="BE907" s="26"/>
      <c r="BF907" s="26"/>
      <c r="BG907" s="26"/>
      <c r="BH907" s="26"/>
      <c r="BI907" s="26"/>
      <c r="BJ907" s="26"/>
      <c r="BK907" s="26"/>
    </row>
    <row r="908" ht="14.25" customHeight="1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  <c r="AA908" s="26"/>
      <c r="AB908" s="26"/>
      <c r="AC908" s="26"/>
      <c r="AD908" s="26"/>
      <c r="AE908" s="26"/>
      <c r="AF908" s="26"/>
      <c r="AG908" s="26"/>
      <c r="AH908" s="26"/>
      <c r="AI908" s="26"/>
      <c r="AJ908" s="26"/>
      <c r="AK908" s="26"/>
      <c r="AL908" s="26"/>
      <c r="AM908" s="26"/>
      <c r="AN908" s="26"/>
      <c r="AO908" s="26"/>
      <c r="AP908" s="26"/>
      <c r="AQ908" s="26"/>
      <c r="AR908" s="26"/>
      <c r="AS908" s="26"/>
      <c r="AT908" s="26"/>
      <c r="AU908" s="26"/>
      <c r="AV908" s="26"/>
      <c r="AW908" s="26"/>
      <c r="AX908" s="26"/>
      <c r="AY908" s="26"/>
      <c r="AZ908" s="26"/>
      <c r="BA908" s="26"/>
      <c r="BB908" s="26"/>
      <c r="BC908" s="26"/>
      <c r="BD908" s="26"/>
      <c r="BE908" s="26"/>
      <c r="BF908" s="26"/>
      <c r="BG908" s="26"/>
      <c r="BH908" s="26"/>
      <c r="BI908" s="26"/>
      <c r="BJ908" s="26"/>
      <c r="BK908" s="26"/>
    </row>
    <row r="909" ht="14.25" customHeight="1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  <c r="AA909" s="26"/>
      <c r="AB909" s="26"/>
      <c r="AC909" s="26"/>
      <c r="AD909" s="26"/>
      <c r="AE909" s="26"/>
      <c r="AF909" s="26"/>
      <c r="AG909" s="26"/>
      <c r="AH909" s="26"/>
      <c r="AI909" s="26"/>
      <c r="AJ909" s="26"/>
      <c r="AK909" s="26"/>
      <c r="AL909" s="26"/>
      <c r="AM909" s="26"/>
      <c r="AN909" s="26"/>
      <c r="AO909" s="26"/>
      <c r="AP909" s="26"/>
      <c r="AQ909" s="26"/>
      <c r="AR909" s="26"/>
      <c r="AS909" s="26"/>
      <c r="AT909" s="26"/>
      <c r="AU909" s="26"/>
      <c r="AV909" s="26"/>
      <c r="AW909" s="26"/>
      <c r="AX909" s="26"/>
      <c r="AY909" s="26"/>
      <c r="AZ909" s="26"/>
      <c r="BA909" s="26"/>
      <c r="BB909" s="26"/>
      <c r="BC909" s="26"/>
      <c r="BD909" s="26"/>
      <c r="BE909" s="26"/>
      <c r="BF909" s="26"/>
      <c r="BG909" s="26"/>
      <c r="BH909" s="26"/>
      <c r="BI909" s="26"/>
      <c r="BJ909" s="26"/>
      <c r="BK909" s="26"/>
    </row>
    <row r="910" ht="14.25" customHeight="1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  <c r="AA910" s="26"/>
      <c r="AB910" s="26"/>
      <c r="AC910" s="26"/>
      <c r="AD910" s="26"/>
      <c r="AE910" s="26"/>
      <c r="AF910" s="26"/>
      <c r="AG910" s="26"/>
      <c r="AH910" s="26"/>
      <c r="AI910" s="26"/>
      <c r="AJ910" s="26"/>
      <c r="AK910" s="26"/>
      <c r="AL910" s="26"/>
      <c r="AM910" s="26"/>
      <c r="AN910" s="26"/>
      <c r="AO910" s="26"/>
      <c r="AP910" s="26"/>
      <c r="AQ910" s="26"/>
      <c r="AR910" s="26"/>
      <c r="AS910" s="26"/>
      <c r="AT910" s="26"/>
      <c r="AU910" s="26"/>
      <c r="AV910" s="26"/>
      <c r="AW910" s="26"/>
      <c r="AX910" s="26"/>
      <c r="AY910" s="26"/>
      <c r="AZ910" s="26"/>
      <c r="BA910" s="26"/>
      <c r="BB910" s="26"/>
      <c r="BC910" s="26"/>
      <c r="BD910" s="26"/>
      <c r="BE910" s="26"/>
      <c r="BF910" s="26"/>
      <c r="BG910" s="26"/>
      <c r="BH910" s="26"/>
      <c r="BI910" s="26"/>
      <c r="BJ910" s="26"/>
      <c r="BK910" s="26"/>
    </row>
    <row r="911" ht="14.25" customHeight="1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  <c r="AA911" s="26"/>
      <c r="AB911" s="26"/>
      <c r="AC911" s="26"/>
      <c r="AD911" s="26"/>
      <c r="AE911" s="26"/>
      <c r="AF911" s="26"/>
      <c r="AG911" s="26"/>
      <c r="AH911" s="26"/>
      <c r="AI911" s="26"/>
      <c r="AJ911" s="26"/>
      <c r="AK911" s="26"/>
      <c r="AL911" s="26"/>
      <c r="AM911" s="26"/>
      <c r="AN911" s="26"/>
      <c r="AO911" s="26"/>
      <c r="AP911" s="26"/>
      <c r="AQ911" s="26"/>
      <c r="AR911" s="26"/>
      <c r="AS911" s="26"/>
      <c r="AT911" s="26"/>
      <c r="AU911" s="26"/>
      <c r="AV911" s="26"/>
      <c r="AW911" s="26"/>
      <c r="AX911" s="26"/>
      <c r="AY911" s="26"/>
      <c r="AZ911" s="26"/>
      <c r="BA911" s="26"/>
      <c r="BB911" s="26"/>
      <c r="BC911" s="26"/>
      <c r="BD911" s="26"/>
      <c r="BE911" s="26"/>
      <c r="BF911" s="26"/>
      <c r="BG911" s="26"/>
      <c r="BH911" s="26"/>
      <c r="BI911" s="26"/>
      <c r="BJ911" s="26"/>
      <c r="BK911" s="26"/>
    </row>
    <row r="912" ht="14.25" customHeight="1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  <c r="AA912" s="26"/>
      <c r="AB912" s="26"/>
      <c r="AC912" s="26"/>
      <c r="AD912" s="26"/>
      <c r="AE912" s="26"/>
      <c r="AF912" s="26"/>
      <c r="AG912" s="26"/>
      <c r="AH912" s="26"/>
      <c r="AI912" s="26"/>
      <c r="AJ912" s="26"/>
      <c r="AK912" s="26"/>
      <c r="AL912" s="26"/>
      <c r="AM912" s="26"/>
      <c r="AN912" s="26"/>
      <c r="AO912" s="26"/>
      <c r="AP912" s="26"/>
      <c r="AQ912" s="26"/>
      <c r="AR912" s="26"/>
      <c r="AS912" s="26"/>
      <c r="AT912" s="26"/>
      <c r="AU912" s="26"/>
      <c r="AV912" s="26"/>
      <c r="AW912" s="26"/>
      <c r="AX912" s="26"/>
      <c r="AY912" s="26"/>
      <c r="AZ912" s="26"/>
      <c r="BA912" s="26"/>
      <c r="BB912" s="26"/>
      <c r="BC912" s="26"/>
      <c r="BD912" s="26"/>
      <c r="BE912" s="26"/>
      <c r="BF912" s="26"/>
      <c r="BG912" s="26"/>
      <c r="BH912" s="26"/>
      <c r="BI912" s="26"/>
      <c r="BJ912" s="26"/>
      <c r="BK912" s="26"/>
    </row>
    <row r="913" ht="14.25" customHeight="1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  <c r="AA913" s="26"/>
      <c r="AB913" s="26"/>
      <c r="AC913" s="26"/>
      <c r="AD913" s="26"/>
      <c r="AE913" s="26"/>
      <c r="AF913" s="26"/>
      <c r="AG913" s="26"/>
      <c r="AH913" s="26"/>
      <c r="AI913" s="26"/>
      <c r="AJ913" s="26"/>
      <c r="AK913" s="26"/>
      <c r="AL913" s="26"/>
      <c r="AM913" s="26"/>
      <c r="AN913" s="26"/>
      <c r="AO913" s="26"/>
      <c r="AP913" s="26"/>
      <c r="AQ913" s="26"/>
      <c r="AR913" s="26"/>
      <c r="AS913" s="26"/>
      <c r="AT913" s="26"/>
      <c r="AU913" s="26"/>
      <c r="AV913" s="26"/>
      <c r="AW913" s="26"/>
      <c r="AX913" s="26"/>
      <c r="AY913" s="26"/>
      <c r="AZ913" s="26"/>
      <c r="BA913" s="26"/>
      <c r="BB913" s="26"/>
      <c r="BC913" s="26"/>
      <c r="BD913" s="26"/>
      <c r="BE913" s="26"/>
      <c r="BF913" s="26"/>
      <c r="BG913" s="26"/>
      <c r="BH913" s="26"/>
      <c r="BI913" s="26"/>
      <c r="BJ913" s="26"/>
      <c r="BK913" s="26"/>
    </row>
    <row r="914" ht="14.25" customHeight="1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  <c r="AA914" s="26"/>
      <c r="AB914" s="26"/>
      <c r="AC914" s="26"/>
      <c r="AD914" s="26"/>
      <c r="AE914" s="26"/>
      <c r="AF914" s="26"/>
      <c r="AG914" s="26"/>
      <c r="AH914" s="26"/>
      <c r="AI914" s="26"/>
      <c r="AJ914" s="26"/>
      <c r="AK914" s="26"/>
      <c r="AL914" s="26"/>
      <c r="AM914" s="26"/>
      <c r="AN914" s="26"/>
      <c r="AO914" s="26"/>
      <c r="AP914" s="26"/>
      <c r="AQ914" s="26"/>
      <c r="AR914" s="26"/>
      <c r="AS914" s="26"/>
      <c r="AT914" s="26"/>
      <c r="AU914" s="26"/>
      <c r="AV914" s="26"/>
      <c r="AW914" s="26"/>
      <c r="AX914" s="26"/>
      <c r="AY914" s="26"/>
      <c r="AZ914" s="26"/>
      <c r="BA914" s="26"/>
      <c r="BB914" s="26"/>
      <c r="BC914" s="26"/>
      <c r="BD914" s="26"/>
      <c r="BE914" s="26"/>
      <c r="BF914" s="26"/>
      <c r="BG914" s="26"/>
      <c r="BH914" s="26"/>
      <c r="BI914" s="26"/>
      <c r="BJ914" s="26"/>
      <c r="BK914" s="26"/>
    </row>
    <row r="915" ht="14.25" customHeight="1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  <c r="AA915" s="26"/>
      <c r="AB915" s="26"/>
      <c r="AC915" s="26"/>
      <c r="AD915" s="26"/>
      <c r="AE915" s="26"/>
      <c r="AF915" s="26"/>
      <c r="AG915" s="26"/>
      <c r="AH915" s="26"/>
      <c r="AI915" s="26"/>
      <c r="AJ915" s="26"/>
      <c r="AK915" s="26"/>
      <c r="AL915" s="26"/>
      <c r="AM915" s="26"/>
      <c r="AN915" s="26"/>
      <c r="AO915" s="26"/>
      <c r="AP915" s="26"/>
      <c r="AQ915" s="26"/>
      <c r="AR915" s="26"/>
      <c r="AS915" s="26"/>
      <c r="AT915" s="26"/>
      <c r="AU915" s="26"/>
      <c r="AV915" s="26"/>
      <c r="AW915" s="26"/>
      <c r="AX915" s="26"/>
      <c r="AY915" s="26"/>
      <c r="AZ915" s="26"/>
      <c r="BA915" s="26"/>
      <c r="BB915" s="26"/>
      <c r="BC915" s="26"/>
      <c r="BD915" s="26"/>
      <c r="BE915" s="26"/>
      <c r="BF915" s="26"/>
      <c r="BG915" s="26"/>
      <c r="BH915" s="26"/>
      <c r="BI915" s="26"/>
      <c r="BJ915" s="26"/>
      <c r="BK915" s="26"/>
    </row>
    <row r="916" ht="14.25" customHeight="1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  <c r="AA916" s="26"/>
      <c r="AB916" s="26"/>
      <c r="AC916" s="26"/>
      <c r="AD916" s="26"/>
      <c r="AE916" s="26"/>
      <c r="AF916" s="26"/>
      <c r="AG916" s="26"/>
      <c r="AH916" s="26"/>
      <c r="AI916" s="26"/>
      <c r="AJ916" s="26"/>
      <c r="AK916" s="26"/>
      <c r="AL916" s="26"/>
      <c r="AM916" s="26"/>
      <c r="AN916" s="26"/>
      <c r="AO916" s="26"/>
      <c r="AP916" s="26"/>
      <c r="AQ916" s="26"/>
      <c r="AR916" s="26"/>
      <c r="AS916" s="26"/>
      <c r="AT916" s="26"/>
      <c r="AU916" s="26"/>
      <c r="AV916" s="26"/>
      <c r="AW916" s="26"/>
      <c r="AX916" s="26"/>
      <c r="AY916" s="26"/>
      <c r="AZ916" s="26"/>
      <c r="BA916" s="26"/>
      <c r="BB916" s="26"/>
      <c r="BC916" s="26"/>
      <c r="BD916" s="26"/>
      <c r="BE916" s="26"/>
      <c r="BF916" s="26"/>
      <c r="BG916" s="26"/>
      <c r="BH916" s="26"/>
      <c r="BI916" s="26"/>
      <c r="BJ916" s="26"/>
      <c r="BK916" s="26"/>
    </row>
    <row r="917" ht="14.25" customHeight="1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  <c r="AA917" s="26"/>
      <c r="AB917" s="26"/>
      <c r="AC917" s="26"/>
      <c r="AD917" s="26"/>
      <c r="AE917" s="26"/>
      <c r="AF917" s="26"/>
      <c r="AG917" s="26"/>
      <c r="AH917" s="26"/>
      <c r="AI917" s="26"/>
      <c r="AJ917" s="26"/>
      <c r="AK917" s="26"/>
      <c r="AL917" s="26"/>
      <c r="AM917" s="26"/>
      <c r="AN917" s="26"/>
      <c r="AO917" s="26"/>
      <c r="AP917" s="26"/>
      <c r="AQ917" s="26"/>
      <c r="AR917" s="26"/>
      <c r="AS917" s="26"/>
      <c r="AT917" s="26"/>
      <c r="AU917" s="26"/>
      <c r="AV917" s="26"/>
      <c r="AW917" s="26"/>
      <c r="AX917" s="26"/>
      <c r="AY917" s="26"/>
      <c r="AZ917" s="26"/>
      <c r="BA917" s="26"/>
      <c r="BB917" s="26"/>
      <c r="BC917" s="26"/>
      <c r="BD917" s="26"/>
      <c r="BE917" s="26"/>
      <c r="BF917" s="26"/>
      <c r="BG917" s="26"/>
      <c r="BH917" s="26"/>
      <c r="BI917" s="26"/>
      <c r="BJ917" s="26"/>
      <c r="BK917" s="26"/>
    </row>
    <row r="918" ht="14.25" customHeight="1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  <c r="AA918" s="26"/>
      <c r="AB918" s="26"/>
      <c r="AC918" s="26"/>
      <c r="AD918" s="26"/>
      <c r="AE918" s="26"/>
      <c r="AF918" s="26"/>
      <c r="AG918" s="26"/>
      <c r="AH918" s="26"/>
      <c r="AI918" s="26"/>
      <c r="AJ918" s="26"/>
      <c r="AK918" s="26"/>
      <c r="AL918" s="26"/>
      <c r="AM918" s="26"/>
      <c r="AN918" s="26"/>
      <c r="AO918" s="26"/>
      <c r="AP918" s="26"/>
      <c r="AQ918" s="26"/>
      <c r="AR918" s="26"/>
      <c r="AS918" s="26"/>
      <c r="AT918" s="26"/>
      <c r="AU918" s="26"/>
      <c r="AV918" s="26"/>
      <c r="AW918" s="26"/>
      <c r="AX918" s="26"/>
      <c r="AY918" s="26"/>
      <c r="AZ918" s="26"/>
      <c r="BA918" s="26"/>
      <c r="BB918" s="26"/>
      <c r="BC918" s="26"/>
      <c r="BD918" s="26"/>
      <c r="BE918" s="26"/>
      <c r="BF918" s="26"/>
      <c r="BG918" s="26"/>
      <c r="BH918" s="26"/>
      <c r="BI918" s="26"/>
      <c r="BJ918" s="26"/>
      <c r="BK918" s="26"/>
    </row>
    <row r="919" ht="14.25" customHeight="1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  <c r="AA919" s="26"/>
      <c r="AB919" s="26"/>
      <c r="AC919" s="26"/>
      <c r="AD919" s="26"/>
      <c r="AE919" s="26"/>
      <c r="AF919" s="26"/>
      <c r="AG919" s="26"/>
      <c r="AH919" s="26"/>
      <c r="AI919" s="26"/>
      <c r="AJ919" s="26"/>
      <c r="AK919" s="26"/>
      <c r="AL919" s="26"/>
      <c r="AM919" s="26"/>
      <c r="AN919" s="26"/>
      <c r="AO919" s="26"/>
      <c r="AP919" s="26"/>
      <c r="AQ919" s="26"/>
      <c r="AR919" s="26"/>
      <c r="AS919" s="26"/>
      <c r="AT919" s="26"/>
      <c r="AU919" s="26"/>
      <c r="AV919" s="26"/>
      <c r="AW919" s="26"/>
      <c r="AX919" s="26"/>
      <c r="AY919" s="26"/>
      <c r="AZ919" s="26"/>
      <c r="BA919" s="26"/>
      <c r="BB919" s="26"/>
      <c r="BC919" s="26"/>
      <c r="BD919" s="26"/>
      <c r="BE919" s="26"/>
      <c r="BF919" s="26"/>
      <c r="BG919" s="26"/>
      <c r="BH919" s="26"/>
      <c r="BI919" s="26"/>
      <c r="BJ919" s="26"/>
      <c r="BK919" s="26"/>
    </row>
    <row r="920" ht="14.25" customHeight="1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  <c r="AA920" s="26"/>
      <c r="AB920" s="26"/>
      <c r="AC920" s="26"/>
      <c r="AD920" s="26"/>
      <c r="AE920" s="26"/>
      <c r="AF920" s="26"/>
      <c r="AG920" s="26"/>
      <c r="AH920" s="26"/>
      <c r="AI920" s="26"/>
      <c r="AJ920" s="26"/>
      <c r="AK920" s="26"/>
      <c r="AL920" s="26"/>
      <c r="AM920" s="26"/>
      <c r="AN920" s="26"/>
      <c r="AO920" s="26"/>
      <c r="AP920" s="26"/>
      <c r="AQ920" s="26"/>
      <c r="AR920" s="26"/>
      <c r="AS920" s="26"/>
      <c r="AT920" s="26"/>
      <c r="AU920" s="26"/>
      <c r="AV920" s="26"/>
      <c r="AW920" s="26"/>
      <c r="AX920" s="26"/>
      <c r="AY920" s="26"/>
      <c r="AZ920" s="26"/>
      <c r="BA920" s="26"/>
      <c r="BB920" s="26"/>
      <c r="BC920" s="26"/>
      <c r="BD920" s="26"/>
      <c r="BE920" s="26"/>
      <c r="BF920" s="26"/>
      <c r="BG920" s="26"/>
      <c r="BH920" s="26"/>
      <c r="BI920" s="26"/>
      <c r="BJ920" s="26"/>
      <c r="BK920" s="26"/>
    </row>
    <row r="921" ht="14.25" customHeight="1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  <c r="AA921" s="26"/>
      <c r="AB921" s="26"/>
      <c r="AC921" s="26"/>
      <c r="AD921" s="26"/>
      <c r="AE921" s="26"/>
      <c r="AF921" s="26"/>
      <c r="AG921" s="26"/>
      <c r="AH921" s="26"/>
      <c r="AI921" s="26"/>
      <c r="AJ921" s="26"/>
      <c r="AK921" s="26"/>
      <c r="AL921" s="26"/>
      <c r="AM921" s="26"/>
      <c r="AN921" s="26"/>
      <c r="AO921" s="26"/>
      <c r="AP921" s="26"/>
      <c r="AQ921" s="26"/>
      <c r="AR921" s="26"/>
      <c r="AS921" s="26"/>
      <c r="AT921" s="26"/>
      <c r="AU921" s="26"/>
      <c r="AV921" s="26"/>
      <c r="AW921" s="26"/>
      <c r="AX921" s="26"/>
      <c r="AY921" s="26"/>
      <c r="AZ921" s="26"/>
      <c r="BA921" s="26"/>
      <c r="BB921" s="26"/>
      <c r="BC921" s="26"/>
      <c r="BD921" s="26"/>
      <c r="BE921" s="26"/>
      <c r="BF921" s="26"/>
      <c r="BG921" s="26"/>
      <c r="BH921" s="26"/>
      <c r="BI921" s="26"/>
      <c r="BJ921" s="26"/>
      <c r="BK921" s="26"/>
    </row>
    <row r="922" ht="14.25" customHeight="1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  <c r="AA922" s="26"/>
      <c r="AB922" s="26"/>
      <c r="AC922" s="26"/>
      <c r="AD922" s="26"/>
      <c r="AE922" s="26"/>
      <c r="AF922" s="26"/>
      <c r="AG922" s="26"/>
      <c r="AH922" s="26"/>
      <c r="AI922" s="26"/>
      <c r="AJ922" s="26"/>
      <c r="AK922" s="26"/>
      <c r="AL922" s="26"/>
      <c r="AM922" s="26"/>
      <c r="AN922" s="26"/>
      <c r="AO922" s="26"/>
      <c r="AP922" s="26"/>
      <c r="AQ922" s="26"/>
      <c r="AR922" s="26"/>
      <c r="AS922" s="26"/>
      <c r="AT922" s="26"/>
      <c r="AU922" s="26"/>
      <c r="AV922" s="26"/>
      <c r="AW922" s="26"/>
      <c r="AX922" s="26"/>
      <c r="AY922" s="26"/>
      <c r="AZ922" s="26"/>
      <c r="BA922" s="26"/>
      <c r="BB922" s="26"/>
      <c r="BC922" s="26"/>
      <c r="BD922" s="26"/>
      <c r="BE922" s="26"/>
      <c r="BF922" s="26"/>
      <c r="BG922" s="26"/>
      <c r="BH922" s="26"/>
      <c r="BI922" s="26"/>
      <c r="BJ922" s="26"/>
      <c r="BK922" s="26"/>
    </row>
    <row r="923" ht="14.25" customHeight="1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  <c r="AA923" s="26"/>
      <c r="AB923" s="26"/>
      <c r="AC923" s="26"/>
      <c r="AD923" s="26"/>
      <c r="AE923" s="26"/>
      <c r="AF923" s="26"/>
      <c r="AG923" s="26"/>
      <c r="AH923" s="26"/>
      <c r="AI923" s="26"/>
      <c r="AJ923" s="26"/>
      <c r="AK923" s="26"/>
      <c r="AL923" s="26"/>
      <c r="AM923" s="26"/>
      <c r="AN923" s="26"/>
      <c r="AO923" s="26"/>
      <c r="AP923" s="26"/>
      <c r="AQ923" s="26"/>
      <c r="AR923" s="26"/>
      <c r="AS923" s="26"/>
      <c r="AT923" s="26"/>
      <c r="AU923" s="26"/>
      <c r="AV923" s="26"/>
      <c r="AW923" s="26"/>
      <c r="AX923" s="26"/>
      <c r="AY923" s="26"/>
      <c r="AZ923" s="26"/>
      <c r="BA923" s="26"/>
      <c r="BB923" s="26"/>
      <c r="BC923" s="26"/>
      <c r="BD923" s="26"/>
      <c r="BE923" s="26"/>
      <c r="BF923" s="26"/>
      <c r="BG923" s="26"/>
      <c r="BH923" s="26"/>
      <c r="BI923" s="26"/>
      <c r="BJ923" s="26"/>
      <c r="BK923" s="26"/>
    </row>
    <row r="924" ht="14.25" customHeight="1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  <c r="AA924" s="26"/>
      <c r="AB924" s="26"/>
      <c r="AC924" s="26"/>
      <c r="AD924" s="26"/>
      <c r="AE924" s="26"/>
      <c r="AF924" s="26"/>
      <c r="AG924" s="26"/>
      <c r="AH924" s="26"/>
      <c r="AI924" s="26"/>
      <c r="AJ924" s="26"/>
      <c r="AK924" s="26"/>
      <c r="AL924" s="26"/>
      <c r="AM924" s="26"/>
      <c r="AN924" s="26"/>
      <c r="AO924" s="26"/>
      <c r="AP924" s="26"/>
      <c r="AQ924" s="26"/>
      <c r="AR924" s="26"/>
      <c r="AS924" s="26"/>
      <c r="AT924" s="26"/>
      <c r="AU924" s="26"/>
      <c r="AV924" s="26"/>
      <c r="AW924" s="26"/>
      <c r="AX924" s="26"/>
      <c r="AY924" s="26"/>
      <c r="AZ924" s="26"/>
      <c r="BA924" s="26"/>
      <c r="BB924" s="26"/>
      <c r="BC924" s="26"/>
      <c r="BD924" s="26"/>
      <c r="BE924" s="26"/>
      <c r="BF924" s="26"/>
      <c r="BG924" s="26"/>
      <c r="BH924" s="26"/>
      <c r="BI924" s="26"/>
      <c r="BJ924" s="26"/>
      <c r="BK924" s="26"/>
    </row>
    <row r="925" ht="14.25" customHeight="1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  <c r="AA925" s="26"/>
      <c r="AB925" s="26"/>
      <c r="AC925" s="26"/>
      <c r="AD925" s="26"/>
      <c r="AE925" s="26"/>
      <c r="AF925" s="26"/>
      <c r="AG925" s="26"/>
      <c r="AH925" s="26"/>
      <c r="AI925" s="26"/>
      <c r="AJ925" s="26"/>
      <c r="AK925" s="26"/>
      <c r="AL925" s="26"/>
      <c r="AM925" s="26"/>
      <c r="AN925" s="26"/>
      <c r="AO925" s="26"/>
      <c r="AP925" s="26"/>
      <c r="AQ925" s="26"/>
      <c r="AR925" s="26"/>
      <c r="AS925" s="26"/>
      <c r="AT925" s="26"/>
      <c r="AU925" s="26"/>
      <c r="AV925" s="26"/>
      <c r="AW925" s="26"/>
      <c r="AX925" s="26"/>
      <c r="AY925" s="26"/>
      <c r="AZ925" s="26"/>
      <c r="BA925" s="26"/>
      <c r="BB925" s="26"/>
      <c r="BC925" s="26"/>
      <c r="BD925" s="26"/>
      <c r="BE925" s="26"/>
      <c r="BF925" s="26"/>
      <c r="BG925" s="26"/>
      <c r="BH925" s="26"/>
      <c r="BI925" s="26"/>
      <c r="BJ925" s="26"/>
      <c r="BK925" s="26"/>
    </row>
    <row r="926" ht="14.25" customHeight="1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  <c r="AA926" s="26"/>
      <c r="AB926" s="26"/>
      <c r="AC926" s="26"/>
      <c r="AD926" s="26"/>
      <c r="AE926" s="26"/>
      <c r="AF926" s="26"/>
      <c r="AG926" s="26"/>
      <c r="AH926" s="26"/>
      <c r="AI926" s="26"/>
      <c r="AJ926" s="26"/>
      <c r="AK926" s="26"/>
      <c r="AL926" s="26"/>
      <c r="AM926" s="26"/>
      <c r="AN926" s="26"/>
      <c r="AO926" s="26"/>
      <c r="AP926" s="26"/>
      <c r="AQ926" s="26"/>
      <c r="AR926" s="26"/>
      <c r="AS926" s="26"/>
      <c r="AT926" s="26"/>
      <c r="AU926" s="26"/>
      <c r="AV926" s="26"/>
      <c r="AW926" s="26"/>
      <c r="AX926" s="26"/>
      <c r="AY926" s="26"/>
      <c r="AZ926" s="26"/>
      <c r="BA926" s="26"/>
      <c r="BB926" s="26"/>
      <c r="BC926" s="26"/>
      <c r="BD926" s="26"/>
      <c r="BE926" s="26"/>
      <c r="BF926" s="26"/>
      <c r="BG926" s="26"/>
      <c r="BH926" s="26"/>
      <c r="BI926" s="26"/>
      <c r="BJ926" s="26"/>
      <c r="BK926" s="26"/>
    </row>
    <row r="927" ht="14.25" customHeight="1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  <c r="AA927" s="26"/>
      <c r="AB927" s="26"/>
      <c r="AC927" s="26"/>
      <c r="AD927" s="26"/>
      <c r="AE927" s="26"/>
      <c r="AF927" s="26"/>
      <c r="AG927" s="26"/>
      <c r="AH927" s="26"/>
      <c r="AI927" s="26"/>
      <c r="AJ927" s="26"/>
      <c r="AK927" s="26"/>
      <c r="AL927" s="26"/>
      <c r="AM927" s="26"/>
      <c r="AN927" s="26"/>
      <c r="AO927" s="26"/>
      <c r="AP927" s="26"/>
      <c r="AQ927" s="26"/>
      <c r="AR927" s="26"/>
      <c r="AS927" s="26"/>
      <c r="AT927" s="26"/>
      <c r="AU927" s="26"/>
      <c r="AV927" s="26"/>
      <c r="AW927" s="26"/>
      <c r="AX927" s="26"/>
      <c r="AY927" s="26"/>
      <c r="AZ927" s="26"/>
      <c r="BA927" s="26"/>
      <c r="BB927" s="26"/>
      <c r="BC927" s="26"/>
      <c r="BD927" s="26"/>
      <c r="BE927" s="26"/>
      <c r="BF927" s="26"/>
      <c r="BG927" s="26"/>
      <c r="BH927" s="26"/>
      <c r="BI927" s="26"/>
      <c r="BJ927" s="26"/>
      <c r="BK927" s="26"/>
    </row>
    <row r="928" ht="14.25" customHeight="1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  <c r="AA928" s="26"/>
      <c r="AB928" s="26"/>
      <c r="AC928" s="26"/>
      <c r="AD928" s="26"/>
      <c r="AE928" s="26"/>
      <c r="AF928" s="26"/>
      <c r="AG928" s="26"/>
      <c r="AH928" s="26"/>
      <c r="AI928" s="26"/>
      <c r="AJ928" s="26"/>
      <c r="AK928" s="26"/>
      <c r="AL928" s="26"/>
      <c r="AM928" s="26"/>
      <c r="AN928" s="26"/>
      <c r="AO928" s="26"/>
      <c r="AP928" s="26"/>
      <c r="AQ928" s="26"/>
      <c r="AR928" s="26"/>
      <c r="AS928" s="26"/>
      <c r="AT928" s="26"/>
      <c r="AU928" s="26"/>
      <c r="AV928" s="26"/>
      <c r="AW928" s="26"/>
      <c r="AX928" s="26"/>
      <c r="AY928" s="26"/>
      <c r="AZ928" s="26"/>
      <c r="BA928" s="26"/>
      <c r="BB928" s="26"/>
      <c r="BC928" s="26"/>
      <c r="BD928" s="26"/>
      <c r="BE928" s="26"/>
      <c r="BF928" s="26"/>
      <c r="BG928" s="26"/>
      <c r="BH928" s="26"/>
      <c r="BI928" s="26"/>
      <c r="BJ928" s="26"/>
      <c r="BK928" s="26"/>
    </row>
    <row r="929" ht="14.25" customHeight="1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  <c r="AA929" s="26"/>
      <c r="AB929" s="26"/>
      <c r="AC929" s="26"/>
      <c r="AD929" s="26"/>
      <c r="AE929" s="26"/>
      <c r="AF929" s="26"/>
      <c r="AG929" s="26"/>
      <c r="AH929" s="26"/>
      <c r="AI929" s="26"/>
      <c r="AJ929" s="26"/>
      <c r="AK929" s="26"/>
      <c r="AL929" s="26"/>
      <c r="AM929" s="26"/>
      <c r="AN929" s="26"/>
      <c r="AO929" s="26"/>
      <c r="AP929" s="26"/>
      <c r="AQ929" s="26"/>
      <c r="AR929" s="26"/>
      <c r="AS929" s="26"/>
      <c r="AT929" s="26"/>
      <c r="AU929" s="26"/>
      <c r="AV929" s="26"/>
      <c r="AW929" s="26"/>
      <c r="AX929" s="26"/>
      <c r="AY929" s="26"/>
      <c r="AZ929" s="26"/>
      <c r="BA929" s="26"/>
      <c r="BB929" s="26"/>
      <c r="BC929" s="26"/>
      <c r="BD929" s="26"/>
      <c r="BE929" s="26"/>
      <c r="BF929" s="26"/>
      <c r="BG929" s="26"/>
      <c r="BH929" s="26"/>
      <c r="BI929" s="26"/>
      <c r="BJ929" s="26"/>
      <c r="BK929" s="26"/>
    </row>
    <row r="930" ht="14.25" customHeight="1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  <c r="AA930" s="26"/>
      <c r="AB930" s="26"/>
      <c r="AC930" s="26"/>
      <c r="AD930" s="26"/>
      <c r="AE930" s="26"/>
      <c r="AF930" s="26"/>
      <c r="AG930" s="26"/>
      <c r="AH930" s="26"/>
      <c r="AI930" s="26"/>
      <c r="AJ930" s="26"/>
      <c r="AK930" s="26"/>
      <c r="AL930" s="26"/>
      <c r="AM930" s="26"/>
      <c r="AN930" s="26"/>
      <c r="AO930" s="26"/>
      <c r="AP930" s="26"/>
      <c r="AQ930" s="26"/>
      <c r="AR930" s="26"/>
      <c r="AS930" s="26"/>
      <c r="AT930" s="26"/>
      <c r="AU930" s="26"/>
      <c r="AV930" s="26"/>
      <c r="AW930" s="26"/>
      <c r="AX930" s="26"/>
      <c r="AY930" s="26"/>
      <c r="AZ930" s="26"/>
      <c r="BA930" s="26"/>
      <c r="BB930" s="26"/>
      <c r="BC930" s="26"/>
      <c r="BD930" s="26"/>
      <c r="BE930" s="26"/>
      <c r="BF930" s="26"/>
      <c r="BG930" s="26"/>
      <c r="BH930" s="26"/>
      <c r="BI930" s="26"/>
      <c r="BJ930" s="26"/>
      <c r="BK930" s="26"/>
    </row>
    <row r="931" ht="14.25" customHeight="1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  <c r="AA931" s="26"/>
      <c r="AB931" s="26"/>
      <c r="AC931" s="26"/>
      <c r="AD931" s="26"/>
      <c r="AE931" s="26"/>
      <c r="AF931" s="26"/>
      <c r="AG931" s="26"/>
      <c r="AH931" s="26"/>
      <c r="AI931" s="26"/>
      <c r="AJ931" s="26"/>
      <c r="AK931" s="26"/>
      <c r="AL931" s="26"/>
      <c r="AM931" s="26"/>
      <c r="AN931" s="26"/>
      <c r="AO931" s="26"/>
      <c r="AP931" s="26"/>
      <c r="AQ931" s="26"/>
      <c r="AR931" s="26"/>
      <c r="AS931" s="26"/>
      <c r="AT931" s="26"/>
      <c r="AU931" s="26"/>
      <c r="AV931" s="26"/>
      <c r="AW931" s="26"/>
      <c r="AX931" s="26"/>
      <c r="AY931" s="26"/>
      <c r="AZ931" s="26"/>
      <c r="BA931" s="26"/>
      <c r="BB931" s="26"/>
      <c r="BC931" s="26"/>
      <c r="BD931" s="26"/>
      <c r="BE931" s="26"/>
      <c r="BF931" s="26"/>
      <c r="BG931" s="26"/>
      <c r="BH931" s="26"/>
      <c r="BI931" s="26"/>
      <c r="BJ931" s="26"/>
      <c r="BK931" s="26"/>
    </row>
    <row r="932" ht="14.25" customHeight="1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  <c r="AA932" s="26"/>
      <c r="AB932" s="26"/>
      <c r="AC932" s="26"/>
      <c r="AD932" s="26"/>
      <c r="AE932" s="26"/>
      <c r="AF932" s="26"/>
      <c r="AG932" s="26"/>
      <c r="AH932" s="26"/>
      <c r="AI932" s="26"/>
      <c r="AJ932" s="26"/>
      <c r="AK932" s="26"/>
      <c r="AL932" s="26"/>
      <c r="AM932" s="26"/>
      <c r="AN932" s="26"/>
      <c r="AO932" s="26"/>
      <c r="AP932" s="26"/>
      <c r="AQ932" s="26"/>
      <c r="AR932" s="26"/>
      <c r="AS932" s="26"/>
      <c r="AT932" s="26"/>
      <c r="AU932" s="26"/>
      <c r="AV932" s="26"/>
      <c r="AW932" s="26"/>
      <c r="AX932" s="26"/>
      <c r="AY932" s="26"/>
      <c r="AZ932" s="26"/>
      <c r="BA932" s="26"/>
      <c r="BB932" s="26"/>
      <c r="BC932" s="26"/>
      <c r="BD932" s="26"/>
      <c r="BE932" s="26"/>
      <c r="BF932" s="26"/>
      <c r="BG932" s="26"/>
      <c r="BH932" s="26"/>
      <c r="BI932" s="26"/>
      <c r="BJ932" s="26"/>
      <c r="BK932" s="26"/>
    </row>
    <row r="933" ht="14.25" customHeight="1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  <c r="AA933" s="26"/>
      <c r="AB933" s="26"/>
      <c r="AC933" s="26"/>
      <c r="AD933" s="26"/>
      <c r="AE933" s="26"/>
      <c r="AF933" s="26"/>
      <c r="AG933" s="26"/>
      <c r="AH933" s="26"/>
      <c r="AI933" s="26"/>
      <c r="AJ933" s="26"/>
      <c r="AK933" s="26"/>
      <c r="AL933" s="26"/>
      <c r="AM933" s="26"/>
      <c r="AN933" s="26"/>
      <c r="AO933" s="26"/>
      <c r="AP933" s="26"/>
      <c r="AQ933" s="26"/>
      <c r="AR933" s="26"/>
      <c r="AS933" s="26"/>
      <c r="AT933" s="26"/>
      <c r="AU933" s="26"/>
      <c r="AV933" s="26"/>
      <c r="AW933" s="26"/>
      <c r="AX933" s="26"/>
      <c r="AY933" s="26"/>
      <c r="AZ933" s="26"/>
      <c r="BA933" s="26"/>
      <c r="BB933" s="26"/>
      <c r="BC933" s="26"/>
      <c r="BD933" s="26"/>
      <c r="BE933" s="26"/>
      <c r="BF933" s="26"/>
      <c r="BG933" s="26"/>
      <c r="BH933" s="26"/>
      <c r="BI933" s="26"/>
      <c r="BJ933" s="26"/>
      <c r="BK933" s="26"/>
    </row>
    <row r="934" ht="14.25" customHeight="1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  <c r="AA934" s="26"/>
      <c r="AB934" s="26"/>
      <c r="AC934" s="26"/>
      <c r="AD934" s="26"/>
      <c r="AE934" s="26"/>
      <c r="AF934" s="26"/>
      <c r="AG934" s="26"/>
      <c r="AH934" s="26"/>
      <c r="AI934" s="26"/>
      <c r="AJ934" s="26"/>
      <c r="AK934" s="26"/>
      <c r="AL934" s="26"/>
      <c r="AM934" s="26"/>
      <c r="AN934" s="26"/>
      <c r="AO934" s="26"/>
      <c r="AP934" s="26"/>
      <c r="AQ934" s="26"/>
      <c r="AR934" s="26"/>
      <c r="AS934" s="26"/>
      <c r="AT934" s="26"/>
      <c r="AU934" s="26"/>
      <c r="AV934" s="26"/>
      <c r="AW934" s="26"/>
      <c r="AX934" s="26"/>
      <c r="AY934" s="26"/>
      <c r="AZ934" s="26"/>
      <c r="BA934" s="26"/>
      <c r="BB934" s="26"/>
      <c r="BC934" s="26"/>
      <c r="BD934" s="26"/>
      <c r="BE934" s="26"/>
      <c r="BF934" s="26"/>
      <c r="BG934" s="26"/>
      <c r="BH934" s="26"/>
      <c r="BI934" s="26"/>
      <c r="BJ934" s="26"/>
      <c r="BK934" s="26"/>
    </row>
    <row r="935" ht="14.25" customHeight="1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  <c r="AA935" s="26"/>
      <c r="AB935" s="26"/>
      <c r="AC935" s="26"/>
      <c r="AD935" s="26"/>
      <c r="AE935" s="26"/>
      <c r="AF935" s="26"/>
      <c r="AG935" s="26"/>
      <c r="AH935" s="26"/>
      <c r="AI935" s="26"/>
      <c r="AJ935" s="26"/>
      <c r="AK935" s="26"/>
      <c r="AL935" s="26"/>
      <c r="AM935" s="26"/>
      <c r="AN935" s="26"/>
      <c r="AO935" s="26"/>
      <c r="AP935" s="26"/>
      <c r="AQ935" s="26"/>
      <c r="AR935" s="26"/>
      <c r="AS935" s="26"/>
      <c r="AT935" s="26"/>
      <c r="AU935" s="26"/>
      <c r="AV935" s="26"/>
      <c r="AW935" s="26"/>
      <c r="AX935" s="26"/>
      <c r="AY935" s="26"/>
      <c r="AZ935" s="26"/>
      <c r="BA935" s="26"/>
      <c r="BB935" s="26"/>
      <c r="BC935" s="26"/>
      <c r="BD935" s="26"/>
      <c r="BE935" s="26"/>
      <c r="BF935" s="26"/>
      <c r="BG935" s="26"/>
      <c r="BH935" s="26"/>
      <c r="BI935" s="26"/>
      <c r="BJ935" s="26"/>
      <c r="BK935" s="26"/>
    </row>
    <row r="936" ht="14.25" customHeight="1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  <c r="AA936" s="26"/>
      <c r="AB936" s="26"/>
      <c r="AC936" s="26"/>
      <c r="AD936" s="26"/>
      <c r="AE936" s="26"/>
      <c r="AF936" s="26"/>
      <c r="AG936" s="26"/>
      <c r="AH936" s="26"/>
      <c r="AI936" s="26"/>
      <c r="AJ936" s="26"/>
      <c r="AK936" s="26"/>
      <c r="AL936" s="26"/>
      <c r="AM936" s="26"/>
      <c r="AN936" s="26"/>
      <c r="AO936" s="26"/>
      <c r="AP936" s="26"/>
      <c r="AQ936" s="26"/>
      <c r="AR936" s="26"/>
      <c r="AS936" s="26"/>
      <c r="AT936" s="26"/>
      <c r="AU936" s="26"/>
      <c r="AV936" s="26"/>
      <c r="AW936" s="26"/>
      <c r="AX936" s="26"/>
      <c r="AY936" s="26"/>
      <c r="AZ936" s="26"/>
      <c r="BA936" s="26"/>
      <c r="BB936" s="26"/>
      <c r="BC936" s="26"/>
      <c r="BD936" s="26"/>
      <c r="BE936" s="26"/>
      <c r="BF936" s="26"/>
      <c r="BG936" s="26"/>
      <c r="BH936" s="26"/>
      <c r="BI936" s="26"/>
      <c r="BJ936" s="26"/>
      <c r="BK936" s="26"/>
    </row>
    <row r="937" ht="14.25" customHeight="1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  <c r="AA937" s="26"/>
      <c r="AB937" s="26"/>
      <c r="AC937" s="26"/>
      <c r="AD937" s="26"/>
      <c r="AE937" s="26"/>
      <c r="AF937" s="26"/>
      <c r="AG937" s="26"/>
      <c r="AH937" s="26"/>
      <c r="AI937" s="26"/>
      <c r="AJ937" s="26"/>
      <c r="AK937" s="26"/>
      <c r="AL937" s="26"/>
      <c r="AM937" s="26"/>
      <c r="AN937" s="26"/>
      <c r="AO937" s="26"/>
      <c r="AP937" s="26"/>
      <c r="AQ937" s="26"/>
      <c r="AR937" s="26"/>
      <c r="AS937" s="26"/>
      <c r="AT937" s="26"/>
      <c r="AU937" s="26"/>
      <c r="AV937" s="26"/>
      <c r="AW937" s="26"/>
      <c r="AX937" s="26"/>
      <c r="AY937" s="26"/>
      <c r="AZ937" s="26"/>
      <c r="BA937" s="26"/>
      <c r="BB937" s="26"/>
      <c r="BC937" s="26"/>
      <c r="BD937" s="26"/>
      <c r="BE937" s="26"/>
      <c r="BF937" s="26"/>
      <c r="BG937" s="26"/>
      <c r="BH937" s="26"/>
      <c r="BI937" s="26"/>
      <c r="BJ937" s="26"/>
      <c r="BK937" s="26"/>
    </row>
    <row r="938" ht="14.25" customHeight="1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  <c r="AA938" s="26"/>
      <c r="AB938" s="26"/>
      <c r="AC938" s="26"/>
      <c r="AD938" s="26"/>
      <c r="AE938" s="26"/>
      <c r="AF938" s="26"/>
      <c r="AG938" s="26"/>
      <c r="AH938" s="26"/>
      <c r="AI938" s="26"/>
      <c r="AJ938" s="26"/>
      <c r="AK938" s="26"/>
      <c r="AL938" s="26"/>
      <c r="AM938" s="26"/>
      <c r="AN938" s="26"/>
      <c r="AO938" s="26"/>
      <c r="AP938" s="26"/>
      <c r="AQ938" s="26"/>
      <c r="AR938" s="26"/>
      <c r="AS938" s="26"/>
      <c r="AT938" s="26"/>
      <c r="AU938" s="26"/>
      <c r="AV938" s="26"/>
      <c r="AW938" s="26"/>
      <c r="AX938" s="26"/>
      <c r="AY938" s="26"/>
      <c r="AZ938" s="26"/>
      <c r="BA938" s="26"/>
      <c r="BB938" s="26"/>
      <c r="BC938" s="26"/>
      <c r="BD938" s="26"/>
      <c r="BE938" s="26"/>
      <c r="BF938" s="26"/>
      <c r="BG938" s="26"/>
      <c r="BH938" s="26"/>
      <c r="BI938" s="26"/>
      <c r="BJ938" s="26"/>
      <c r="BK938" s="26"/>
    </row>
    <row r="939" ht="14.25" customHeight="1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  <c r="AA939" s="26"/>
      <c r="AB939" s="26"/>
      <c r="AC939" s="26"/>
      <c r="AD939" s="26"/>
      <c r="AE939" s="26"/>
      <c r="AF939" s="26"/>
      <c r="AG939" s="26"/>
      <c r="AH939" s="26"/>
      <c r="AI939" s="26"/>
      <c r="AJ939" s="26"/>
      <c r="AK939" s="26"/>
      <c r="AL939" s="26"/>
      <c r="AM939" s="26"/>
      <c r="AN939" s="26"/>
      <c r="AO939" s="26"/>
      <c r="AP939" s="26"/>
      <c r="AQ939" s="26"/>
      <c r="AR939" s="26"/>
      <c r="AS939" s="26"/>
      <c r="AT939" s="26"/>
      <c r="AU939" s="26"/>
      <c r="AV939" s="26"/>
      <c r="AW939" s="26"/>
      <c r="AX939" s="26"/>
      <c r="AY939" s="26"/>
      <c r="AZ939" s="26"/>
      <c r="BA939" s="26"/>
      <c r="BB939" s="26"/>
      <c r="BC939" s="26"/>
      <c r="BD939" s="26"/>
      <c r="BE939" s="26"/>
      <c r="BF939" s="26"/>
      <c r="BG939" s="26"/>
      <c r="BH939" s="26"/>
      <c r="BI939" s="26"/>
      <c r="BJ939" s="26"/>
      <c r="BK939" s="26"/>
    </row>
    <row r="940" ht="14.25" customHeight="1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  <c r="AA940" s="26"/>
      <c r="AB940" s="26"/>
      <c r="AC940" s="26"/>
      <c r="AD940" s="26"/>
      <c r="AE940" s="26"/>
      <c r="AF940" s="26"/>
      <c r="AG940" s="26"/>
      <c r="AH940" s="26"/>
      <c r="AI940" s="26"/>
      <c r="AJ940" s="26"/>
      <c r="AK940" s="26"/>
      <c r="AL940" s="26"/>
      <c r="AM940" s="26"/>
      <c r="AN940" s="26"/>
      <c r="AO940" s="26"/>
      <c r="AP940" s="26"/>
      <c r="AQ940" s="26"/>
      <c r="AR940" s="26"/>
      <c r="AS940" s="26"/>
      <c r="AT940" s="26"/>
      <c r="AU940" s="26"/>
      <c r="AV940" s="26"/>
      <c r="AW940" s="26"/>
      <c r="AX940" s="26"/>
      <c r="AY940" s="26"/>
      <c r="AZ940" s="26"/>
      <c r="BA940" s="26"/>
      <c r="BB940" s="26"/>
      <c r="BC940" s="26"/>
      <c r="BD940" s="26"/>
      <c r="BE940" s="26"/>
      <c r="BF940" s="26"/>
      <c r="BG940" s="26"/>
      <c r="BH940" s="26"/>
      <c r="BI940" s="26"/>
      <c r="BJ940" s="26"/>
      <c r="BK940" s="26"/>
    </row>
    <row r="941" ht="14.25" customHeight="1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  <c r="AA941" s="26"/>
      <c r="AB941" s="26"/>
      <c r="AC941" s="26"/>
      <c r="AD941" s="26"/>
      <c r="AE941" s="26"/>
      <c r="AF941" s="26"/>
      <c r="AG941" s="26"/>
      <c r="AH941" s="26"/>
      <c r="AI941" s="26"/>
      <c r="AJ941" s="26"/>
      <c r="AK941" s="26"/>
      <c r="AL941" s="26"/>
      <c r="AM941" s="26"/>
      <c r="AN941" s="26"/>
      <c r="AO941" s="26"/>
      <c r="AP941" s="26"/>
      <c r="AQ941" s="26"/>
      <c r="AR941" s="26"/>
      <c r="AS941" s="26"/>
      <c r="AT941" s="26"/>
      <c r="AU941" s="26"/>
      <c r="AV941" s="26"/>
      <c r="AW941" s="26"/>
      <c r="AX941" s="26"/>
      <c r="AY941" s="26"/>
      <c r="AZ941" s="26"/>
      <c r="BA941" s="26"/>
      <c r="BB941" s="26"/>
      <c r="BC941" s="26"/>
      <c r="BD941" s="26"/>
      <c r="BE941" s="26"/>
      <c r="BF941" s="26"/>
      <c r="BG941" s="26"/>
      <c r="BH941" s="26"/>
      <c r="BI941" s="26"/>
      <c r="BJ941" s="26"/>
      <c r="BK941" s="26"/>
    </row>
    <row r="942" ht="14.25" customHeight="1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  <c r="AA942" s="26"/>
      <c r="AB942" s="26"/>
      <c r="AC942" s="26"/>
      <c r="AD942" s="26"/>
      <c r="AE942" s="26"/>
      <c r="AF942" s="26"/>
      <c r="AG942" s="26"/>
      <c r="AH942" s="26"/>
      <c r="AI942" s="26"/>
      <c r="AJ942" s="26"/>
      <c r="AK942" s="26"/>
      <c r="AL942" s="26"/>
      <c r="AM942" s="26"/>
      <c r="AN942" s="26"/>
      <c r="AO942" s="26"/>
      <c r="AP942" s="26"/>
      <c r="AQ942" s="26"/>
      <c r="AR942" s="26"/>
      <c r="AS942" s="26"/>
      <c r="AT942" s="26"/>
      <c r="AU942" s="26"/>
      <c r="AV942" s="26"/>
      <c r="AW942" s="26"/>
      <c r="AX942" s="26"/>
      <c r="AY942" s="26"/>
      <c r="AZ942" s="26"/>
      <c r="BA942" s="26"/>
      <c r="BB942" s="26"/>
      <c r="BC942" s="26"/>
      <c r="BD942" s="26"/>
      <c r="BE942" s="26"/>
      <c r="BF942" s="26"/>
      <c r="BG942" s="26"/>
      <c r="BH942" s="26"/>
      <c r="BI942" s="26"/>
      <c r="BJ942" s="26"/>
      <c r="BK942" s="26"/>
    </row>
    <row r="943" ht="14.25" customHeight="1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  <c r="AA943" s="26"/>
      <c r="AB943" s="26"/>
      <c r="AC943" s="26"/>
      <c r="AD943" s="26"/>
      <c r="AE943" s="26"/>
      <c r="AF943" s="26"/>
      <c r="AG943" s="26"/>
      <c r="AH943" s="26"/>
      <c r="AI943" s="26"/>
      <c r="AJ943" s="26"/>
      <c r="AK943" s="26"/>
      <c r="AL943" s="26"/>
      <c r="AM943" s="26"/>
      <c r="AN943" s="26"/>
      <c r="AO943" s="26"/>
      <c r="AP943" s="26"/>
      <c r="AQ943" s="26"/>
      <c r="AR943" s="26"/>
      <c r="AS943" s="26"/>
      <c r="AT943" s="26"/>
      <c r="AU943" s="26"/>
      <c r="AV943" s="26"/>
      <c r="AW943" s="26"/>
      <c r="AX943" s="26"/>
      <c r="AY943" s="26"/>
      <c r="AZ943" s="26"/>
      <c r="BA943" s="26"/>
      <c r="BB943" s="26"/>
      <c r="BC943" s="26"/>
      <c r="BD943" s="26"/>
      <c r="BE943" s="26"/>
      <c r="BF943" s="26"/>
      <c r="BG943" s="26"/>
      <c r="BH943" s="26"/>
      <c r="BI943" s="26"/>
      <c r="BJ943" s="26"/>
      <c r="BK943" s="26"/>
    </row>
    <row r="944" ht="14.25" customHeight="1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  <c r="AA944" s="26"/>
      <c r="AB944" s="26"/>
      <c r="AC944" s="26"/>
      <c r="AD944" s="26"/>
      <c r="AE944" s="26"/>
      <c r="AF944" s="26"/>
      <c r="AG944" s="26"/>
      <c r="AH944" s="26"/>
      <c r="AI944" s="26"/>
      <c r="AJ944" s="26"/>
      <c r="AK944" s="26"/>
      <c r="AL944" s="26"/>
      <c r="AM944" s="26"/>
      <c r="AN944" s="26"/>
      <c r="AO944" s="26"/>
      <c r="AP944" s="26"/>
      <c r="AQ944" s="26"/>
      <c r="AR944" s="26"/>
      <c r="AS944" s="26"/>
      <c r="AT944" s="26"/>
      <c r="AU944" s="26"/>
      <c r="AV944" s="26"/>
      <c r="AW944" s="26"/>
      <c r="AX944" s="26"/>
      <c r="AY944" s="26"/>
      <c r="AZ944" s="26"/>
      <c r="BA944" s="26"/>
      <c r="BB944" s="26"/>
      <c r="BC944" s="26"/>
      <c r="BD944" s="26"/>
      <c r="BE944" s="26"/>
      <c r="BF944" s="26"/>
      <c r="BG944" s="26"/>
      <c r="BH944" s="26"/>
      <c r="BI944" s="26"/>
      <c r="BJ944" s="26"/>
      <c r="BK944" s="26"/>
    </row>
    <row r="945" ht="14.25" customHeight="1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  <c r="AA945" s="26"/>
      <c r="AB945" s="26"/>
      <c r="AC945" s="26"/>
      <c r="AD945" s="26"/>
      <c r="AE945" s="26"/>
      <c r="AF945" s="26"/>
      <c r="AG945" s="26"/>
      <c r="AH945" s="26"/>
      <c r="AI945" s="26"/>
      <c r="AJ945" s="26"/>
      <c r="AK945" s="26"/>
      <c r="AL945" s="26"/>
      <c r="AM945" s="26"/>
      <c r="AN945" s="26"/>
      <c r="AO945" s="26"/>
      <c r="AP945" s="26"/>
      <c r="AQ945" s="26"/>
      <c r="AR945" s="26"/>
      <c r="AS945" s="26"/>
      <c r="AT945" s="26"/>
      <c r="AU945" s="26"/>
      <c r="AV945" s="26"/>
      <c r="AW945" s="26"/>
      <c r="AX945" s="26"/>
      <c r="AY945" s="26"/>
      <c r="AZ945" s="26"/>
      <c r="BA945" s="26"/>
      <c r="BB945" s="26"/>
      <c r="BC945" s="26"/>
      <c r="BD945" s="26"/>
      <c r="BE945" s="26"/>
      <c r="BF945" s="26"/>
      <c r="BG945" s="26"/>
      <c r="BH945" s="26"/>
      <c r="BI945" s="26"/>
      <c r="BJ945" s="26"/>
      <c r="BK945" s="26"/>
    </row>
    <row r="946" ht="14.25" customHeight="1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  <c r="AA946" s="26"/>
      <c r="AB946" s="26"/>
      <c r="AC946" s="26"/>
      <c r="AD946" s="26"/>
      <c r="AE946" s="26"/>
      <c r="AF946" s="26"/>
      <c r="AG946" s="26"/>
      <c r="AH946" s="26"/>
      <c r="AI946" s="26"/>
      <c r="AJ946" s="26"/>
      <c r="AK946" s="26"/>
      <c r="AL946" s="26"/>
      <c r="AM946" s="26"/>
      <c r="AN946" s="26"/>
      <c r="AO946" s="26"/>
      <c r="AP946" s="26"/>
      <c r="AQ946" s="26"/>
      <c r="AR946" s="26"/>
      <c r="AS946" s="26"/>
      <c r="AT946" s="26"/>
      <c r="AU946" s="26"/>
      <c r="AV946" s="26"/>
      <c r="AW946" s="26"/>
      <c r="AX946" s="26"/>
      <c r="AY946" s="26"/>
      <c r="AZ946" s="26"/>
      <c r="BA946" s="26"/>
      <c r="BB946" s="26"/>
      <c r="BC946" s="26"/>
      <c r="BD946" s="26"/>
      <c r="BE946" s="26"/>
      <c r="BF946" s="26"/>
      <c r="BG946" s="26"/>
      <c r="BH946" s="26"/>
      <c r="BI946" s="26"/>
      <c r="BJ946" s="26"/>
      <c r="BK946" s="26"/>
    </row>
    <row r="947" ht="14.25" customHeight="1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  <c r="AA947" s="26"/>
      <c r="AB947" s="26"/>
      <c r="AC947" s="26"/>
      <c r="AD947" s="26"/>
      <c r="AE947" s="26"/>
      <c r="AF947" s="26"/>
      <c r="AG947" s="26"/>
      <c r="AH947" s="26"/>
      <c r="AI947" s="26"/>
      <c r="AJ947" s="26"/>
      <c r="AK947" s="26"/>
      <c r="AL947" s="26"/>
      <c r="AM947" s="26"/>
      <c r="AN947" s="26"/>
      <c r="AO947" s="26"/>
      <c r="AP947" s="26"/>
      <c r="AQ947" s="26"/>
      <c r="AR947" s="26"/>
      <c r="AS947" s="26"/>
      <c r="AT947" s="26"/>
      <c r="AU947" s="26"/>
      <c r="AV947" s="26"/>
      <c r="AW947" s="26"/>
      <c r="AX947" s="26"/>
      <c r="AY947" s="26"/>
      <c r="AZ947" s="26"/>
      <c r="BA947" s="26"/>
      <c r="BB947" s="26"/>
      <c r="BC947" s="26"/>
      <c r="BD947" s="26"/>
      <c r="BE947" s="26"/>
      <c r="BF947" s="26"/>
      <c r="BG947" s="26"/>
      <c r="BH947" s="26"/>
      <c r="BI947" s="26"/>
      <c r="BJ947" s="26"/>
      <c r="BK947" s="26"/>
    </row>
    <row r="948" ht="14.25" customHeight="1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  <c r="AA948" s="26"/>
      <c r="AB948" s="26"/>
      <c r="AC948" s="26"/>
      <c r="AD948" s="26"/>
      <c r="AE948" s="26"/>
      <c r="AF948" s="26"/>
      <c r="AG948" s="26"/>
      <c r="AH948" s="26"/>
      <c r="AI948" s="26"/>
      <c r="AJ948" s="26"/>
      <c r="AK948" s="26"/>
      <c r="AL948" s="26"/>
      <c r="AM948" s="26"/>
      <c r="AN948" s="26"/>
      <c r="AO948" s="26"/>
      <c r="AP948" s="26"/>
      <c r="AQ948" s="26"/>
      <c r="AR948" s="26"/>
      <c r="AS948" s="26"/>
      <c r="AT948" s="26"/>
      <c r="AU948" s="26"/>
      <c r="AV948" s="26"/>
      <c r="AW948" s="26"/>
      <c r="AX948" s="26"/>
      <c r="AY948" s="26"/>
      <c r="AZ948" s="26"/>
      <c r="BA948" s="26"/>
      <c r="BB948" s="26"/>
      <c r="BC948" s="26"/>
      <c r="BD948" s="26"/>
      <c r="BE948" s="26"/>
      <c r="BF948" s="26"/>
      <c r="BG948" s="26"/>
      <c r="BH948" s="26"/>
      <c r="BI948" s="26"/>
      <c r="BJ948" s="26"/>
      <c r="BK948" s="26"/>
    </row>
    <row r="949" ht="14.25" customHeight="1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  <c r="AA949" s="26"/>
      <c r="AB949" s="26"/>
      <c r="AC949" s="26"/>
      <c r="AD949" s="26"/>
      <c r="AE949" s="26"/>
      <c r="AF949" s="26"/>
      <c r="AG949" s="26"/>
      <c r="AH949" s="26"/>
      <c r="AI949" s="26"/>
      <c r="AJ949" s="26"/>
      <c r="AK949" s="26"/>
      <c r="AL949" s="26"/>
      <c r="AM949" s="26"/>
      <c r="AN949" s="26"/>
      <c r="AO949" s="26"/>
      <c r="AP949" s="26"/>
      <c r="AQ949" s="26"/>
      <c r="AR949" s="26"/>
      <c r="AS949" s="26"/>
      <c r="AT949" s="26"/>
      <c r="AU949" s="26"/>
      <c r="AV949" s="26"/>
      <c r="AW949" s="26"/>
      <c r="AX949" s="26"/>
      <c r="AY949" s="26"/>
      <c r="AZ949" s="26"/>
      <c r="BA949" s="26"/>
      <c r="BB949" s="26"/>
      <c r="BC949" s="26"/>
      <c r="BD949" s="26"/>
      <c r="BE949" s="26"/>
      <c r="BF949" s="26"/>
      <c r="BG949" s="26"/>
      <c r="BH949" s="26"/>
      <c r="BI949" s="26"/>
      <c r="BJ949" s="26"/>
      <c r="BK949" s="26"/>
    </row>
    <row r="950" ht="14.25" customHeight="1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  <c r="AA950" s="26"/>
      <c r="AB950" s="26"/>
      <c r="AC950" s="26"/>
      <c r="AD950" s="26"/>
      <c r="AE950" s="26"/>
      <c r="AF950" s="26"/>
      <c r="AG950" s="26"/>
      <c r="AH950" s="26"/>
      <c r="AI950" s="26"/>
      <c r="AJ950" s="26"/>
      <c r="AK950" s="26"/>
      <c r="AL950" s="26"/>
      <c r="AM950" s="26"/>
      <c r="AN950" s="26"/>
      <c r="AO950" s="26"/>
      <c r="AP950" s="26"/>
      <c r="AQ950" s="26"/>
      <c r="AR950" s="26"/>
      <c r="AS950" s="26"/>
      <c r="AT950" s="26"/>
      <c r="AU950" s="26"/>
      <c r="AV950" s="26"/>
      <c r="AW950" s="26"/>
      <c r="AX950" s="26"/>
      <c r="AY950" s="26"/>
      <c r="AZ950" s="26"/>
      <c r="BA950" s="26"/>
      <c r="BB950" s="26"/>
      <c r="BC950" s="26"/>
      <c r="BD950" s="26"/>
      <c r="BE950" s="26"/>
      <c r="BF950" s="26"/>
      <c r="BG950" s="26"/>
      <c r="BH950" s="26"/>
      <c r="BI950" s="26"/>
      <c r="BJ950" s="26"/>
      <c r="BK950" s="26"/>
    </row>
    <row r="951" ht="14.25" customHeight="1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  <c r="AA951" s="26"/>
      <c r="AB951" s="26"/>
      <c r="AC951" s="26"/>
      <c r="AD951" s="26"/>
      <c r="AE951" s="26"/>
      <c r="AF951" s="26"/>
      <c r="AG951" s="26"/>
      <c r="AH951" s="26"/>
      <c r="AI951" s="26"/>
      <c r="AJ951" s="26"/>
      <c r="AK951" s="26"/>
      <c r="AL951" s="26"/>
      <c r="AM951" s="26"/>
      <c r="AN951" s="26"/>
      <c r="AO951" s="26"/>
      <c r="AP951" s="26"/>
      <c r="AQ951" s="26"/>
      <c r="AR951" s="26"/>
      <c r="AS951" s="26"/>
      <c r="AT951" s="26"/>
      <c r="AU951" s="26"/>
      <c r="AV951" s="26"/>
      <c r="AW951" s="26"/>
      <c r="AX951" s="26"/>
      <c r="AY951" s="26"/>
      <c r="AZ951" s="26"/>
      <c r="BA951" s="26"/>
      <c r="BB951" s="26"/>
      <c r="BC951" s="26"/>
      <c r="BD951" s="26"/>
      <c r="BE951" s="26"/>
      <c r="BF951" s="26"/>
      <c r="BG951" s="26"/>
      <c r="BH951" s="26"/>
      <c r="BI951" s="26"/>
      <c r="BJ951" s="26"/>
      <c r="BK951" s="26"/>
    </row>
    <row r="952" ht="14.25" customHeight="1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  <c r="AA952" s="26"/>
      <c r="AB952" s="26"/>
      <c r="AC952" s="26"/>
      <c r="AD952" s="26"/>
      <c r="AE952" s="26"/>
      <c r="AF952" s="26"/>
      <c r="AG952" s="26"/>
      <c r="AH952" s="26"/>
      <c r="AI952" s="26"/>
      <c r="AJ952" s="26"/>
      <c r="AK952" s="26"/>
      <c r="AL952" s="26"/>
      <c r="AM952" s="26"/>
      <c r="AN952" s="26"/>
      <c r="AO952" s="26"/>
      <c r="AP952" s="26"/>
      <c r="AQ952" s="26"/>
      <c r="AR952" s="26"/>
      <c r="AS952" s="26"/>
      <c r="AT952" s="26"/>
      <c r="AU952" s="26"/>
      <c r="AV952" s="26"/>
      <c r="AW952" s="26"/>
      <c r="AX952" s="26"/>
      <c r="AY952" s="26"/>
      <c r="AZ952" s="26"/>
      <c r="BA952" s="26"/>
      <c r="BB952" s="26"/>
      <c r="BC952" s="26"/>
      <c r="BD952" s="26"/>
      <c r="BE952" s="26"/>
      <c r="BF952" s="26"/>
      <c r="BG952" s="26"/>
      <c r="BH952" s="26"/>
      <c r="BI952" s="26"/>
      <c r="BJ952" s="26"/>
      <c r="BK952" s="26"/>
    </row>
    <row r="953" ht="14.25" customHeight="1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  <c r="AA953" s="26"/>
      <c r="AB953" s="26"/>
      <c r="AC953" s="26"/>
      <c r="AD953" s="26"/>
      <c r="AE953" s="26"/>
      <c r="AF953" s="26"/>
      <c r="AG953" s="26"/>
      <c r="AH953" s="26"/>
      <c r="AI953" s="26"/>
      <c r="AJ953" s="26"/>
      <c r="AK953" s="26"/>
      <c r="AL953" s="26"/>
      <c r="AM953" s="26"/>
      <c r="AN953" s="26"/>
      <c r="AO953" s="26"/>
      <c r="AP953" s="26"/>
      <c r="AQ953" s="26"/>
      <c r="AR953" s="26"/>
      <c r="AS953" s="26"/>
      <c r="AT953" s="26"/>
      <c r="AU953" s="26"/>
      <c r="AV953" s="26"/>
      <c r="AW953" s="26"/>
      <c r="AX953" s="26"/>
      <c r="AY953" s="26"/>
      <c r="AZ953" s="26"/>
      <c r="BA953" s="26"/>
      <c r="BB953" s="26"/>
      <c r="BC953" s="26"/>
      <c r="BD953" s="26"/>
      <c r="BE953" s="26"/>
      <c r="BF953" s="26"/>
      <c r="BG953" s="26"/>
      <c r="BH953" s="26"/>
      <c r="BI953" s="26"/>
      <c r="BJ953" s="26"/>
      <c r="BK953" s="26"/>
    </row>
    <row r="954" ht="14.25" customHeight="1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  <c r="AA954" s="26"/>
      <c r="AB954" s="26"/>
      <c r="AC954" s="26"/>
      <c r="AD954" s="26"/>
      <c r="AE954" s="26"/>
      <c r="AF954" s="26"/>
      <c r="AG954" s="26"/>
      <c r="AH954" s="26"/>
      <c r="AI954" s="26"/>
      <c r="AJ954" s="26"/>
      <c r="AK954" s="26"/>
      <c r="AL954" s="26"/>
      <c r="AM954" s="26"/>
      <c r="AN954" s="26"/>
      <c r="AO954" s="26"/>
      <c r="AP954" s="26"/>
      <c r="AQ954" s="26"/>
      <c r="AR954" s="26"/>
      <c r="AS954" s="26"/>
      <c r="AT954" s="26"/>
      <c r="AU954" s="26"/>
      <c r="AV954" s="26"/>
      <c r="AW954" s="26"/>
      <c r="AX954" s="26"/>
      <c r="AY954" s="26"/>
      <c r="AZ954" s="26"/>
      <c r="BA954" s="26"/>
      <c r="BB954" s="26"/>
      <c r="BC954" s="26"/>
      <c r="BD954" s="26"/>
      <c r="BE954" s="26"/>
      <c r="BF954" s="26"/>
      <c r="BG954" s="26"/>
      <c r="BH954" s="26"/>
      <c r="BI954" s="26"/>
      <c r="BJ954" s="26"/>
      <c r="BK954" s="26"/>
    </row>
    <row r="955" ht="14.25" customHeight="1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  <c r="AA955" s="26"/>
      <c r="AB955" s="26"/>
      <c r="AC955" s="26"/>
      <c r="AD955" s="26"/>
      <c r="AE955" s="26"/>
      <c r="AF955" s="26"/>
      <c r="AG955" s="26"/>
      <c r="AH955" s="26"/>
      <c r="AI955" s="26"/>
      <c r="AJ955" s="26"/>
      <c r="AK955" s="26"/>
      <c r="AL955" s="26"/>
      <c r="AM955" s="26"/>
      <c r="AN955" s="26"/>
      <c r="AO955" s="26"/>
      <c r="AP955" s="26"/>
      <c r="AQ955" s="26"/>
      <c r="AR955" s="26"/>
      <c r="AS955" s="26"/>
      <c r="AT955" s="26"/>
      <c r="AU955" s="26"/>
      <c r="AV955" s="26"/>
      <c r="AW955" s="26"/>
      <c r="AX955" s="26"/>
      <c r="AY955" s="26"/>
      <c r="AZ955" s="26"/>
      <c r="BA955" s="26"/>
      <c r="BB955" s="26"/>
      <c r="BC955" s="26"/>
      <c r="BD955" s="26"/>
      <c r="BE955" s="26"/>
      <c r="BF955" s="26"/>
      <c r="BG955" s="26"/>
      <c r="BH955" s="26"/>
      <c r="BI955" s="26"/>
      <c r="BJ955" s="26"/>
      <c r="BK955" s="26"/>
    </row>
    <row r="956" ht="14.25" customHeight="1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  <c r="AA956" s="26"/>
      <c r="AB956" s="26"/>
      <c r="AC956" s="26"/>
      <c r="AD956" s="26"/>
      <c r="AE956" s="26"/>
      <c r="AF956" s="26"/>
      <c r="AG956" s="26"/>
      <c r="AH956" s="26"/>
      <c r="AI956" s="26"/>
      <c r="AJ956" s="26"/>
      <c r="AK956" s="26"/>
      <c r="AL956" s="26"/>
      <c r="AM956" s="26"/>
      <c r="AN956" s="26"/>
      <c r="AO956" s="26"/>
      <c r="AP956" s="26"/>
      <c r="AQ956" s="26"/>
      <c r="AR956" s="26"/>
      <c r="AS956" s="26"/>
      <c r="AT956" s="26"/>
      <c r="AU956" s="26"/>
      <c r="AV956" s="26"/>
      <c r="AW956" s="26"/>
      <c r="AX956" s="26"/>
      <c r="AY956" s="26"/>
      <c r="AZ956" s="26"/>
      <c r="BA956" s="26"/>
      <c r="BB956" s="26"/>
      <c r="BC956" s="26"/>
      <c r="BD956" s="26"/>
      <c r="BE956" s="26"/>
      <c r="BF956" s="26"/>
      <c r="BG956" s="26"/>
      <c r="BH956" s="26"/>
      <c r="BI956" s="26"/>
      <c r="BJ956" s="26"/>
      <c r="BK956" s="26"/>
    </row>
    <row r="957" ht="14.25" customHeight="1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  <c r="AA957" s="26"/>
      <c r="AB957" s="26"/>
      <c r="AC957" s="26"/>
      <c r="AD957" s="26"/>
      <c r="AE957" s="26"/>
      <c r="AF957" s="26"/>
      <c r="AG957" s="26"/>
      <c r="AH957" s="26"/>
      <c r="AI957" s="26"/>
      <c r="AJ957" s="26"/>
      <c r="AK957" s="26"/>
      <c r="AL957" s="26"/>
      <c r="AM957" s="26"/>
      <c r="AN957" s="26"/>
      <c r="AO957" s="26"/>
      <c r="AP957" s="26"/>
      <c r="AQ957" s="26"/>
      <c r="AR957" s="26"/>
      <c r="AS957" s="26"/>
      <c r="AT957" s="26"/>
      <c r="AU957" s="26"/>
      <c r="AV957" s="26"/>
      <c r="AW957" s="26"/>
      <c r="AX957" s="26"/>
      <c r="AY957" s="26"/>
      <c r="AZ957" s="26"/>
      <c r="BA957" s="26"/>
      <c r="BB957" s="26"/>
      <c r="BC957" s="26"/>
      <c r="BD957" s="26"/>
      <c r="BE957" s="26"/>
      <c r="BF957" s="26"/>
      <c r="BG957" s="26"/>
      <c r="BH957" s="26"/>
      <c r="BI957" s="26"/>
      <c r="BJ957" s="26"/>
      <c r="BK957" s="26"/>
    </row>
    <row r="958" ht="14.25" customHeight="1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  <c r="AA958" s="26"/>
      <c r="AB958" s="26"/>
      <c r="AC958" s="26"/>
      <c r="AD958" s="26"/>
      <c r="AE958" s="26"/>
      <c r="AF958" s="26"/>
      <c r="AG958" s="26"/>
      <c r="AH958" s="26"/>
      <c r="AI958" s="26"/>
      <c r="AJ958" s="26"/>
      <c r="AK958" s="26"/>
      <c r="AL958" s="26"/>
      <c r="AM958" s="26"/>
      <c r="AN958" s="26"/>
      <c r="AO958" s="26"/>
      <c r="AP958" s="26"/>
      <c r="AQ958" s="26"/>
      <c r="AR958" s="26"/>
      <c r="AS958" s="26"/>
      <c r="AT958" s="26"/>
      <c r="AU958" s="26"/>
      <c r="AV958" s="26"/>
      <c r="AW958" s="26"/>
      <c r="AX958" s="26"/>
      <c r="AY958" s="26"/>
      <c r="AZ958" s="26"/>
      <c r="BA958" s="26"/>
      <c r="BB958" s="26"/>
      <c r="BC958" s="26"/>
      <c r="BD958" s="26"/>
      <c r="BE958" s="26"/>
      <c r="BF958" s="26"/>
      <c r="BG958" s="26"/>
      <c r="BH958" s="26"/>
      <c r="BI958" s="26"/>
      <c r="BJ958" s="26"/>
      <c r="BK958" s="26"/>
    </row>
    <row r="959" ht="14.25" customHeight="1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  <c r="AA959" s="26"/>
      <c r="AB959" s="26"/>
      <c r="AC959" s="26"/>
      <c r="AD959" s="26"/>
      <c r="AE959" s="26"/>
      <c r="AF959" s="26"/>
      <c r="AG959" s="26"/>
      <c r="AH959" s="26"/>
      <c r="AI959" s="26"/>
      <c r="AJ959" s="26"/>
      <c r="AK959" s="26"/>
      <c r="AL959" s="26"/>
      <c r="AM959" s="26"/>
      <c r="AN959" s="26"/>
      <c r="AO959" s="26"/>
      <c r="AP959" s="26"/>
      <c r="AQ959" s="26"/>
      <c r="AR959" s="26"/>
      <c r="AS959" s="26"/>
      <c r="AT959" s="26"/>
      <c r="AU959" s="26"/>
      <c r="AV959" s="26"/>
      <c r="AW959" s="26"/>
      <c r="AX959" s="26"/>
      <c r="AY959" s="26"/>
      <c r="AZ959" s="26"/>
      <c r="BA959" s="26"/>
      <c r="BB959" s="26"/>
      <c r="BC959" s="26"/>
      <c r="BD959" s="26"/>
      <c r="BE959" s="26"/>
      <c r="BF959" s="26"/>
      <c r="BG959" s="26"/>
      <c r="BH959" s="26"/>
      <c r="BI959" s="26"/>
      <c r="BJ959" s="26"/>
      <c r="BK959" s="26"/>
    </row>
    <row r="960" ht="14.25" customHeight="1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  <c r="AA960" s="26"/>
      <c r="AB960" s="26"/>
      <c r="AC960" s="26"/>
      <c r="AD960" s="26"/>
      <c r="AE960" s="26"/>
      <c r="AF960" s="26"/>
      <c r="AG960" s="26"/>
      <c r="AH960" s="26"/>
      <c r="AI960" s="26"/>
      <c r="AJ960" s="26"/>
      <c r="AK960" s="26"/>
      <c r="AL960" s="26"/>
      <c r="AM960" s="26"/>
      <c r="AN960" s="26"/>
      <c r="AO960" s="26"/>
      <c r="AP960" s="26"/>
      <c r="AQ960" s="26"/>
      <c r="AR960" s="26"/>
      <c r="AS960" s="26"/>
      <c r="AT960" s="26"/>
      <c r="AU960" s="26"/>
      <c r="AV960" s="26"/>
      <c r="AW960" s="26"/>
      <c r="AX960" s="26"/>
      <c r="AY960" s="26"/>
      <c r="AZ960" s="26"/>
      <c r="BA960" s="26"/>
      <c r="BB960" s="26"/>
      <c r="BC960" s="26"/>
      <c r="BD960" s="26"/>
      <c r="BE960" s="26"/>
      <c r="BF960" s="26"/>
      <c r="BG960" s="26"/>
      <c r="BH960" s="26"/>
      <c r="BI960" s="26"/>
      <c r="BJ960" s="26"/>
      <c r="BK960" s="26"/>
    </row>
    <row r="961" ht="14.25" customHeight="1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  <c r="AA961" s="26"/>
      <c r="AB961" s="26"/>
      <c r="AC961" s="26"/>
      <c r="AD961" s="26"/>
      <c r="AE961" s="26"/>
      <c r="AF961" s="26"/>
      <c r="AG961" s="26"/>
      <c r="AH961" s="26"/>
      <c r="AI961" s="26"/>
      <c r="AJ961" s="26"/>
      <c r="AK961" s="26"/>
      <c r="AL961" s="26"/>
      <c r="AM961" s="26"/>
      <c r="AN961" s="26"/>
      <c r="AO961" s="26"/>
      <c r="AP961" s="26"/>
      <c r="AQ961" s="26"/>
      <c r="AR961" s="26"/>
      <c r="AS961" s="26"/>
      <c r="AT961" s="26"/>
      <c r="AU961" s="26"/>
      <c r="AV961" s="26"/>
      <c r="AW961" s="26"/>
      <c r="AX961" s="26"/>
      <c r="AY961" s="26"/>
      <c r="AZ961" s="26"/>
      <c r="BA961" s="26"/>
      <c r="BB961" s="26"/>
      <c r="BC961" s="26"/>
      <c r="BD961" s="26"/>
      <c r="BE961" s="26"/>
      <c r="BF961" s="26"/>
      <c r="BG961" s="26"/>
      <c r="BH961" s="26"/>
      <c r="BI961" s="26"/>
      <c r="BJ961" s="26"/>
      <c r="BK961" s="26"/>
    </row>
    <row r="962" ht="14.25" customHeight="1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  <c r="AA962" s="26"/>
      <c r="AB962" s="26"/>
      <c r="AC962" s="26"/>
      <c r="AD962" s="26"/>
      <c r="AE962" s="26"/>
      <c r="AF962" s="26"/>
      <c r="AG962" s="26"/>
      <c r="AH962" s="26"/>
      <c r="AI962" s="26"/>
      <c r="AJ962" s="26"/>
      <c r="AK962" s="26"/>
      <c r="AL962" s="26"/>
      <c r="AM962" s="26"/>
      <c r="AN962" s="26"/>
      <c r="AO962" s="26"/>
      <c r="AP962" s="26"/>
      <c r="AQ962" s="26"/>
      <c r="AR962" s="26"/>
      <c r="AS962" s="26"/>
      <c r="AT962" s="26"/>
      <c r="AU962" s="26"/>
      <c r="AV962" s="26"/>
      <c r="AW962" s="26"/>
      <c r="AX962" s="26"/>
      <c r="AY962" s="26"/>
      <c r="AZ962" s="26"/>
      <c r="BA962" s="26"/>
      <c r="BB962" s="26"/>
      <c r="BC962" s="26"/>
      <c r="BD962" s="26"/>
      <c r="BE962" s="26"/>
      <c r="BF962" s="26"/>
      <c r="BG962" s="26"/>
      <c r="BH962" s="26"/>
      <c r="BI962" s="26"/>
      <c r="BJ962" s="26"/>
      <c r="BK962" s="26"/>
    </row>
    <row r="963" ht="14.25" customHeight="1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  <c r="AA963" s="26"/>
      <c r="AB963" s="26"/>
      <c r="AC963" s="26"/>
      <c r="AD963" s="26"/>
      <c r="AE963" s="26"/>
      <c r="AF963" s="26"/>
      <c r="AG963" s="26"/>
      <c r="AH963" s="26"/>
      <c r="AI963" s="26"/>
      <c r="AJ963" s="26"/>
      <c r="AK963" s="26"/>
      <c r="AL963" s="26"/>
      <c r="AM963" s="26"/>
      <c r="AN963" s="26"/>
      <c r="AO963" s="26"/>
      <c r="AP963" s="26"/>
      <c r="AQ963" s="26"/>
      <c r="AR963" s="26"/>
      <c r="AS963" s="26"/>
      <c r="AT963" s="26"/>
      <c r="AU963" s="26"/>
      <c r="AV963" s="26"/>
      <c r="AW963" s="26"/>
      <c r="AX963" s="26"/>
      <c r="AY963" s="26"/>
      <c r="AZ963" s="26"/>
      <c r="BA963" s="26"/>
      <c r="BB963" s="26"/>
      <c r="BC963" s="26"/>
      <c r="BD963" s="26"/>
      <c r="BE963" s="26"/>
      <c r="BF963" s="26"/>
      <c r="BG963" s="26"/>
      <c r="BH963" s="26"/>
      <c r="BI963" s="26"/>
      <c r="BJ963" s="26"/>
      <c r="BK963" s="26"/>
    </row>
    <row r="964" ht="14.25" customHeight="1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  <c r="AA964" s="26"/>
      <c r="AB964" s="26"/>
      <c r="AC964" s="26"/>
      <c r="AD964" s="26"/>
      <c r="AE964" s="26"/>
      <c r="AF964" s="26"/>
      <c r="AG964" s="26"/>
      <c r="AH964" s="26"/>
      <c r="AI964" s="26"/>
      <c r="AJ964" s="26"/>
      <c r="AK964" s="26"/>
      <c r="AL964" s="26"/>
      <c r="AM964" s="26"/>
      <c r="AN964" s="26"/>
      <c r="AO964" s="26"/>
      <c r="AP964" s="26"/>
      <c r="AQ964" s="26"/>
      <c r="AR964" s="26"/>
      <c r="AS964" s="26"/>
      <c r="AT964" s="26"/>
      <c r="AU964" s="26"/>
      <c r="AV964" s="26"/>
      <c r="AW964" s="26"/>
      <c r="AX964" s="26"/>
      <c r="AY964" s="26"/>
      <c r="AZ964" s="26"/>
      <c r="BA964" s="26"/>
      <c r="BB964" s="26"/>
      <c r="BC964" s="26"/>
      <c r="BD964" s="26"/>
      <c r="BE964" s="26"/>
      <c r="BF964" s="26"/>
      <c r="BG964" s="26"/>
      <c r="BH964" s="26"/>
      <c r="BI964" s="26"/>
      <c r="BJ964" s="26"/>
      <c r="BK964" s="26"/>
    </row>
    <row r="965" ht="14.25" customHeight="1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  <c r="AA965" s="26"/>
      <c r="AB965" s="26"/>
      <c r="AC965" s="26"/>
      <c r="AD965" s="26"/>
      <c r="AE965" s="26"/>
      <c r="AF965" s="26"/>
      <c r="AG965" s="26"/>
      <c r="AH965" s="26"/>
      <c r="AI965" s="26"/>
      <c r="AJ965" s="26"/>
      <c r="AK965" s="26"/>
      <c r="AL965" s="26"/>
      <c r="AM965" s="26"/>
      <c r="AN965" s="26"/>
      <c r="AO965" s="26"/>
      <c r="AP965" s="26"/>
      <c r="AQ965" s="26"/>
      <c r="AR965" s="26"/>
      <c r="AS965" s="26"/>
      <c r="AT965" s="26"/>
      <c r="AU965" s="26"/>
      <c r="AV965" s="26"/>
      <c r="AW965" s="26"/>
      <c r="AX965" s="26"/>
      <c r="AY965" s="26"/>
      <c r="AZ965" s="26"/>
      <c r="BA965" s="26"/>
      <c r="BB965" s="26"/>
      <c r="BC965" s="26"/>
      <c r="BD965" s="26"/>
      <c r="BE965" s="26"/>
      <c r="BF965" s="26"/>
      <c r="BG965" s="26"/>
      <c r="BH965" s="26"/>
      <c r="BI965" s="26"/>
      <c r="BJ965" s="26"/>
      <c r="BK965" s="26"/>
    </row>
    <row r="966" ht="14.25" customHeight="1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  <c r="AA966" s="26"/>
      <c r="AB966" s="26"/>
      <c r="AC966" s="26"/>
      <c r="AD966" s="26"/>
      <c r="AE966" s="26"/>
      <c r="AF966" s="26"/>
      <c r="AG966" s="26"/>
      <c r="AH966" s="26"/>
      <c r="AI966" s="26"/>
      <c r="AJ966" s="26"/>
      <c r="AK966" s="26"/>
      <c r="AL966" s="26"/>
      <c r="AM966" s="26"/>
      <c r="AN966" s="26"/>
      <c r="AO966" s="26"/>
      <c r="AP966" s="26"/>
      <c r="AQ966" s="26"/>
      <c r="AR966" s="26"/>
      <c r="AS966" s="26"/>
      <c r="AT966" s="26"/>
      <c r="AU966" s="26"/>
      <c r="AV966" s="26"/>
      <c r="AW966" s="26"/>
      <c r="AX966" s="26"/>
      <c r="AY966" s="26"/>
      <c r="AZ966" s="26"/>
      <c r="BA966" s="26"/>
      <c r="BB966" s="26"/>
      <c r="BC966" s="26"/>
      <c r="BD966" s="26"/>
      <c r="BE966" s="26"/>
      <c r="BF966" s="26"/>
      <c r="BG966" s="26"/>
      <c r="BH966" s="26"/>
      <c r="BI966" s="26"/>
      <c r="BJ966" s="26"/>
      <c r="BK966" s="26"/>
    </row>
    <row r="967" ht="14.25" customHeight="1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  <c r="AA967" s="26"/>
      <c r="AB967" s="26"/>
      <c r="AC967" s="26"/>
      <c r="AD967" s="26"/>
      <c r="AE967" s="26"/>
      <c r="AF967" s="26"/>
      <c r="AG967" s="26"/>
      <c r="AH967" s="26"/>
      <c r="AI967" s="26"/>
      <c r="AJ967" s="26"/>
      <c r="AK967" s="26"/>
      <c r="AL967" s="26"/>
      <c r="AM967" s="26"/>
      <c r="AN967" s="26"/>
      <c r="AO967" s="26"/>
      <c r="AP967" s="26"/>
      <c r="AQ967" s="26"/>
      <c r="AR967" s="26"/>
      <c r="AS967" s="26"/>
      <c r="AT967" s="26"/>
      <c r="AU967" s="26"/>
      <c r="AV967" s="26"/>
      <c r="AW967" s="26"/>
      <c r="AX967" s="26"/>
      <c r="AY967" s="26"/>
      <c r="AZ967" s="26"/>
      <c r="BA967" s="26"/>
      <c r="BB967" s="26"/>
      <c r="BC967" s="26"/>
      <c r="BD967" s="26"/>
      <c r="BE967" s="26"/>
      <c r="BF967" s="26"/>
      <c r="BG967" s="26"/>
      <c r="BH967" s="26"/>
      <c r="BI967" s="26"/>
      <c r="BJ967" s="26"/>
      <c r="BK967" s="26"/>
    </row>
    <row r="968" ht="14.25" customHeight="1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  <c r="AA968" s="26"/>
      <c r="AB968" s="26"/>
      <c r="AC968" s="26"/>
      <c r="AD968" s="26"/>
      <c r="AE968" s="26"/>
      <c r="AF968" s="26"/>
      <c r="AG968" s="26"/>
      <c r="AH968" s="26"/>
      <c r="AI968" s="26"/>
      <c r="AJ968" s="26"/>
      <c r="AK968" s="26"/>
      <c r="AL968" s="26"/>
      <c r="AM968" s="26"/>
      <c r="AN968" s="26"/>
      <c r="AO968" s="26"/>
      <c r="AP968" s="26"/>
      <c r="AQ968" s="26"/>
      <c r="AR968" s="26"/>
      <c r="AS968" s="26"/>
      <c r="AT968" s="26"/>
      <c r="AU968" s="26"/>
      <c r="AV968" s="26"/>
      <c r="AW968" s="26"/>
      <c r="AX968" s="26"/>
      <c r="AY968" s="26"/>
      <c r="AZ968" s="26"/>
      <c r="BA968" s="26"/>
      <c r="BB968" s="26"/>
      <c r="BC968" s="26"/>
      <c r="BD968" s="26"/>
      <c r="BE968" s="26"/>
      <c r="BF968" s="26"/>
      <c r="BG968" s="26"/>
      <c r="BH968" s="26"/>
      <c r="BI968" s="26"/>
      <c r="BJ968" s="26"/>
      <c r="BK968" s="26"/>
    </row>
    <row r="969" ht="14.25" customHeight="1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  <c r="AA969" s="26"/>
      <c r="AB969" s="26"/>
      <c r="AC969" s="26"/>
      <c r="AD969" s="26"/>
      <c r="AE969" s="26"/>
      <c r="AF969" s="26"/>
      <c r="AG969" s="26"/>
      <c r="AH969" s="26"/>
      <c r="AI969" s="26"/>
      <c r="AJ969" s="26"/>
      <c r="AK969" s="26"/>
      <c r="AL969" s="26"/>
      <c r="AM969" s="26"/>
      <c r="AN969" s="26"/>
      <c r="AO969" s="26"/>
      <c r="AP969" s="26"/>
      <c r="AQ969" s="26"/>
      <c r="AR969" s="26"/>
      <c r="AS969" s="26"/>
      <c r="AT969" s="26"/>
      <c r="AU969" s="26"/>
      <c r="AV969" s="26"/>
      <c r="AW969" s="26"/>
      <c r="AX969" s="26"/>
      <c r="AY969" s="26"/>
      <c r="AZ969" s="26"/>
      <c r="BA969" s="26"/>
      <c r="BB969" s="26"/>
      <c r="BC969" s="26"/>
      <c r="BD969" s="26"/>
      <c r="BE969" s="26"/>
      <c r="BF969" s="26"/>
      <c r="BG969" s="26"/>
      <c r="BH969" s="26"/>
      <c r="BI969" s="26"/>
      <c r="BJ969" s="26"/>
      <c r="BK969" s="26"/>
    </row>
    <row r="970" ht="14.25" customHeight="1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  <c r="AA970" s="26"/>
      <c r="AB970" s="26"/>
      <c r="AC970" s="26"/>
      <c r="AD970" s="26"/>
      <c r="AE970" s="26"/>
      <c r="AF970" s="26"/>
      <c r="AG970" s="26"/>
      <c r="AH970" s="26"/>
      <c r="AI970" s="26"/>
      <c r="AJ970" s="26"/>
      <c r="AK970" s="26"/>
      <c r="AL970" s="26"/>
      <c r="AM970" s="26"/>
      <c r="AN970" s="26"/>
      <c r="AO970" s="26"/>
      <c r="AP970" s="26"/>
      <c r="AQ970" s="26"/>
      <c r="AR970" s="26"/>
      <c r="AS970" s="26"/>
      <c r="AT970" s="26"/>
      <c r="AU970" s="26"/>
      <c r="AV970" s="26"/>
      <c r="AW970" s="26"/>
      <c r="AX970" s="26"/>
      <c r="AY970" s="26"/>
      <c r="AZ970" s="26"/>
      <c r="BA970" s="26"/>
      <c r="BB970" s="26"/>
      <c r="BC970" s="26"/>
      <c r="BD970" s="26"/>
      <c r="BE970" s="26"/>
      <c r="BF970" s="26"/>
      <c r="BG970" s="26"/>
      <c r="BH970" s="26"/>
      <c r="BI970" s="26"/>
      <c r="BJ970" s="26"/>
      <c r="BK970" s="26"/>
    </row>
    <row r="971" ht="14.25" customHeight="1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  <c r="AA971" s="26"/>
      <c r="AB971" s="26"/>
      <c r="AC971" s="26"/>
      <c r="AD971" s="26"/>
      <c r="AE971" s="26"/>
      <c r="AF971" s="26"/>
      <c r="AG971" s="26"/>
      <c r="AH971" s="26"/>
      <c r="AI971" s="26"/>
      <c r="AJ971" s="26"/>
      <c r="AK971" s="26"/>
      <c r="AL971" s="26"/>
      <c r="AM971" s="26"/>
      <c r="AN971" s="26"/>
      <c r="AO971" s="26"/>
      <c r="AP971" s="26"/>
      <c r="AQ971" s="26"/>
      <c r="AR971" s="26"/>
      <c r="AS971" s="26"/>
      <c r="AT971" s="26"/>
      <c r="AU971" s="26"/>
      <c r="AV971" s="26"/>
      <c r="AW971" s="26"/>
      <c r="AX971" s="26"/>
      <c r="AY971" s="26"/>
      <c r="AZ971" s="26"/>
      <c r="BA971" s="26"/>
      <c r="BB971" s="26"/>
      <c r="BC971" s="26"/>
      <c r="BD971" s="26"/>
      <c r="BE971" s="26"/>
      <c r="BF971" s="26"/>
      <c r="BG971" s="26"/>
      <c r="BH971" s="26"/>
      <c r="BI971" s="26"/>
      <c r="BJ971" s="26"/>
      <c r="BK971" s="26"/>
    </row>
    <row r="972" ht="14.25" customHeight="1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  <c r="AA972" s="26"/>
      <c r="AB972" s="26"/>
      <c r="AC972" s="26"/>
      <c r="AD972" s="26"/>
      <c r="AE972" s="26"/>
      <c r="AF972" s="26"/>
      <c r="AG972" s="26"/>
      <c r="AH972" s="26"/>
      <c r="AI972" s="26"/>
      <c r="AJ972" s="26"/>
      <c r="AK972" s="26"/>
      <c r="AL972" s="26"/>
      <c r="AM972" s="26"/>
      <c r="AN972" s="26"/>
      <c r="AO972" s="26"/>
      <c r="AP972" s="26"/>
      <c r="AQ972" s="26"/>
      <c r="AR972" s="26"/>
      <c r="AS972" s="26"/>
      <c r="AT972" s="26"/>
      <c r="AU972" s="26"/>
      <c r="AV972" s="26"/>
      <c r="AW972" s="26"/>
      <c r="AX972" s="26"/>
      <c r="AY972" s="26"/>
      <c r="AZ972" s="26"/>
      <c r="BA972" s="26"/>
      <c r="BB972" s="26"/>
      <c r="BC972" s="26"/>
      <c r="BD972" s="26"/>
      <c r="BE972" s="26"/>
      <c r="BF972" s="26"/>
      <c r="BG972" s="26"/>
      <c r="BH972" s="26"/>
      <c r="BI972" s="26"/>
      <c r="BJ972" s="26"/>
      <c r="BK972" s="26"/>
    </row>
    <row r="973" ht="14.25" customHeight="1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  <c r="AA973" s="26"/>
      <c r="AB973" s="26"/>
      <c r="AC973" s="26"/>
      <c r="AD973" s="26"/>
      <c r="AE973" s="26"/>
      <c r="AF973" s="26"/>
      <c r="AG973" s="26"/>
      <c r="AH973" s="26"/>
      <c r="AI973" s="26"/>
      <c r="AJ973" s="26"/>
      <c r="AK973" s="26"/>
      <c r="AL973" s="26"/>
      <c r="AM973" s="26"/>
      <c r="AN973" s="26"/>
      <c r="AO973" s="26"/>
      <c r="AP973" s="26"/>
      <c r="AQ973" s="26"/>
      <c r="AR973" s="26"/>
      <c r="AS973" s="26"/>
      <c r="AT973" s="26"/>
      <c r="AU973" s="26"/>
      <c r="AV973" s="26"/>
      <c r="AW973" s="26"/>
      <c r="AX973" s="26"/>
      <c r="AY973" s="26"/>
      <c r="AZ973" s="26"/>
      <c r="BA973" s="26"/>
      <c r="BB973" s="26"/>
      <c r="BC973" s="26"/>
      <c r="BD973" s="26"/>
      <c r="BE973" s="26"/>
      <c r="BF973" s="26"/>
      <c r="BG973" s="26"/>
      <c r="BH973" s="26"/>
      <c r="BI973" s="26"/>
      <c r="BJ973" s="26"/>
      <c r="BK973" s="26"/>
    </row>
    <row r="974" ht="14.25" customHeight="1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  <c r="AA974" s="26"/>
      <c r="AB974" s="26"/>
      <c r="AC974" s="26"/>
      <c r="AD974" s="26"/>
      <c r="AE974" s="26"/>
      <c r="AF974" s="26"/>
      <c r="AG974" s="26"/>
      <c r="AH974" s="26"/>
      <c r="AI974" s="26"/>
      <c r="AJ974" s="26"/>
      <c r="AK974" s="26"/>
      <c r="AL974" s="26"/>
      <c r="AM974" s="26"/>
      <c r="AN974" s="26"/>
      <c r="AO974" s="26"/>
      <c r="AP974" s="26"/>
      <c r="AQ974" s="26"/>
      <c r="AR974" s="26"/>
      <c r="AS974" s="26"/>
      <c r="AT974" s="26"/>
      <c r="AU974" s="26"/>
      <c r="AV974" s="26"/>
      <c r="AW974" s="26"/>
      <c r="AX974" s="26"/>
      <c r="AY974" s="26"/>
      <c r="AZ974" s="26"/>
      <c r="BA974" s="26"/>
      <c r="BB974" s="26"/>
      <c r="BC974" s="26"/>
      <c r="BD974" s="26"/>
      <c r="BE974" s="26"/>
      <c r="BF974" s="26"/>
      <c r="BG974" s="26"/>
      <c r="BH974" s="26"/>
      <c r="BI974" s="26"/>
      <c r="BJ974" s="26"/>
      <c r="BK974" s="26"/>
    </row>
    <row r="975" ht="14.25" customHeight="1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  <c r="AA975" s="26"/>
      <c r="AB975" s="26"/>
      <c r="AC975" s="26"/>
      <c r="AD975" s="26"/>
      <c r="AE975" s="26"/>
      <c r="AF975" s="26"/>
      <c r="AG975" s="26"/>
      <c r="AH975" s="26"/>
      <c r="AI975" s="26"/>
      <c r="AJ975" s="26"/>
      <c r="AK975" s="26"/>
      <c r="AL975" s="26"/>
      <c r="AM975" s="26"/>
      <c r="AN975" s="26"/>
      <c r="AO975" s="26"/>
      <c r="AP975" s="26"/>
      <c r="AQ975" s="26"/>
      <c r="AR975" s="26"/>
      <c r="AS975" s="26"/>
      <c r="AT975" s="26"/>
      <c r="AU975" s="26"/>
      <c r="AV975" s="26"/>
      <c r="AW975" s="26"/>
      <c r="AX975" s="26"/>
      <c r="AY975" s="26"/>
      <c r="AZ975" s="26"/>
      <c r="BA975" s="26"/>
      <c r="BB975" s="26"/>
      <c r="BC975" s="26"/>
      <c r="BD975" s="26"/>
      <c r="BE975" s="26"/>
      <c r="BF975" s="26"/>
      <c r="BG975" s="26"/>
      <c r="BH975" s="26"/>
      <c r="BI975" s="26"/>
      <c r="BJ975" s="26"/>
      <c r="BK975" s="26"/>
    </row>
    <row r="976" ht="14.25" customHeight="1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  <c r="AA976" s="26"/>
      <c r="AB976" s="26"/>
      <c r="AC976" s="26"/>
      <c r="AD976" s="26"/>
      <c r="AE976" s="26"/>
      <c r="AF976" s="26"/>
      <c r="AG976" s="26"/>
      <c r="AH976" s="26"/>
      <c r="AI976" s="26"/>
      <c r="AJ976" s="26"/>
      <c r="AK976" s="26"/>
      <c r="AL976" s="26"/>
      <c r="AM976" s="26"/>
      <c r="AN976" s="26"/>
      <c r="AO976" s="26"/>
      <c r="AP976" s="26"/>
      <c r="AQ976" s="26"/>
      <c r="AR976" s="26"/>
      <c r="AS976" s="26"/>
      <c r="AT976" s="26"/>
      <c r="AU976" s="26"/>
      <c r="AV976" s="26"/>
      <c r="AW976" s="26"/>
      <c r="AX976" s="26"/>
      <c r="AY976" s="26"/>
      <c r="AZ976" s="26"/>
      <c r="BA976" s="26"/>
      <c r="BB976" s="26"/>
      <c r="BC976" s="26"/>
      <c r="BD976" s="26"/>
      <c r="BE976" s="26"/>
      <c r="BF976" s="26"/>
      <c r="BG976" s="26"/>
      <c r="BH976" s="26"/>
      <c r="BI976" s="26"/>
      <c r="BJ976" s="26"/>
      <c r="BK976" s="26"/>
    </row>
    <row r="977" ht="14.25" customHeight="1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  <c r="AA977" s="26"/>
      <c r="AB977" s="26"/>
      <c r="AC977" s="26"/>
      <c r="AD977" s="26"/>
      <c r="AE977" s="26"/>
      <c r="AF977" s="26"/>
      <c r="AG977" s="26"/>
      <c r="AH977" s="26"/>
      <c r="AI977" s="26"/>
      <c r="AJ977" s="26"/>
      <c r="AK977" s="26"/>
      <c r="AL977" s="26"/>
      <c r="AM977" s="26"/>
      <c r="AN977" s="26"/>
      <c r="AO977" s="26"/>
      <c r="AP977" s="26"/>
      <c r="AQ977" s="26"/>
      <c r="AR977" s="26"/>
      <c r="AS977" s="26"/>
      <c r="AT977" s="26"/>
      <c r="AU977" s="26"/>
      <c r="AV977" s="26"/>
      <c r="AW977" s="26"/>
      <c r="AX977" s="26"/>
      <c r="AY977" s="26"/>
      <c r="AZ977" s="26"/>
      <c r="BA977" s="26"/>
      <c r="BB977" s="26"/>
      <c r="BC977" s="26"/>
      <c r="BD977" s="26"/>
      <c r="BE977" s="26"/>
      <c r="BF977" s="26"/>
      <c r="BG977" s="26"/>
      <c r="BH977" s="26"/>
      <c r="BI977" s="26"/>
      <c r="BJ977" s="26"/>
      <c r="BK977" s="26"/>
    </row>
    <row r="978" ht="14.25" customHeight="1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  <c r="AA978" s="26"/>
      <c r="AB978" s="26"/>
      <c r="AC978" s="26"/>
      <c r="AD978" s="26"/>
      <c r="AE978" s="26"/>
      <c r="AF978" s="26"/>
      <c r="AG978" s="26"/>
      <c r="AH978" s="26"/>
      <c r="AI978" s="26"/>
      <c r="AJ978" s="26"/>
      <c r="AK978" s="26"/>
      <c r="AL978" s="26"/>
      <c r="AM978" s="26"/>
      <c r="AN978" s="26"/>
      <c r="AO978" s="26"/>
      <c r="AP978" s="26"/>
      <c r="AQ978" s="26"/>
      <c r="AR978" s="26"/>
      <c r="AS978" s="26"/>
      <c r="AT978" s="26"/>
      <c r="AU978" s="26"/>
      <c r="AV978" s="26"/>
      <c r="AW978" s="26"/>
      <c r="AX978" s="26"/>
      <c r="AY978" s="26"/>
      <c r="AZ978" s="26"/>
      <c r="BA978" s="26"/>
      <c r="BB978" s="26"/>
      <c r="BC978" s="26"/>
      <c r="BD978" s="26"/>
      <c r="BE978" s="26"/>
      <c r="BF978" s="26"/>
      <c r="BG978" s="26"/>
      <c r="BH978" s="26"/>
      <c r="BI978" s="26"/>
      <c r="BJ978" s="26"/>
      <c r="BK978" s="26"/>
    </row>
    <row r="979" ht="14.25" customHeight="1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  <c r="AA979" s="26"/>
      <c r="AB979" s="26"/>
      <c r="AC979" s="26"/>
      <c r="AD979" s="26"/>
      <c r="AE979" s="26"/>
      <c r="AF979" s="26"/>
      <c r="AG979" s="26"/>
      <c r="AH979" s="26"/>
      <c r="AI979" s="26"/>
      <c r="AJ979" s="26"/>
      <c r="AK979" s="26"/>
      <c r="AL979" s="26"/>
      <c r="AM979" s="26"/>
      <c r="AN979" s="26"/>
      <c r="AO979" s="26"/>
      <c r="AP979" s="26"/>
      <c r="AQ979" s="26"/>
      <c r="AR979" s="26"/>
      <c r="AS979" s="26"/>
      <c r="AT979" s="26"/>
      <c r="AU979" s="26"/>
      <c r="AV979" s="26"/>
      <c r="AW979" s="26"/>
      <c r="AX979" s="26"/>
      <c r="AY979" s="26"/>
      <c r="AZ979" s="26"/>
      <c r="BA979" s="26"/>
      <c r="BB979" s="26"/>
      <c r="BC979" s="26"/>
      <c r="BD979" s="26"/>
      <c r="BE979" s="26"/>
      <c r="BF979" s="26"/>
      <c r="BG979" s="26"/>
      <c r="BH979" s="26"/>
      <c r="BI979" s="26"/>
      <c r="BJ979" s="26"/>
      <c r="BK979" s="26"/>
    </row>
    <row r="980" ht="14.25" customHeight="1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  <c r="AA980" s="26"/>
      <c r="AB980" s="26"/>
      <c r="AC980" s="26"/>
      <c r="AD980" s="26"/>
      <c r="AE980" s="26"/>
      <c r="AF980" s="26"/>
      <c r="AG980" s="26"/>
      <c r="AH980" s="26"/>
      <c r="AI980" s="26"/>
      <c r="AJ980" s="26"/>
      <c r="AK980" s="26"/>
      <c r="AL980" s="26"/>
      <c r="AM980" s="26"/>
      <c r="AN980" s="26"/>
      <c r="AO980" s="26"/>
      <c r="AP980" s="26"/>
      <c r="AQ980" s="26"/>
      <c r="AR980" s="26"/>
      <c r="AS980" s="26"/>
      <c r="AT980" s="26"/>
      <c r="AU980" s="26"/>
      <c r="AV980" s="26"/>
      <c r="AW980" s="26"/>
      <c r="AX980" s="26"/>
      <c r="AY980" s="26"/>
      <c r="AZ980" s="26"/>
      <c r="BA980" s="26"/>
      <c r="BB980" s="26"/>
      <c r="BC980" s="26"/>
      <c r="BD980" s="26"/>
      <c r="BE980" s="26"/>
      <c r="BF980" s="26"/>
      <c r="BG980" s="26"/>
      <c r="BH980" s="26"/>
      <c r="BI980" s="26"/>
      <c r="BJ980" s="26"/>
      <c r="BK980" s="26"/>
    </row>
    <row r="981" ht="14.25" customHeight="1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  <c r="AA981" s="26"/>
      <c r="AB981" s="26"/>
      <c r="AC981" s="26"/>
      <c r="AD981" s="26"/>
      <c r="AE981" s="26"/>
      <c r="AF981" s="26"/>
      <c r="AG981" s="26"/>
      <c r="AH981" s="26"/>
      <c r="AI981" s="26"/>
      <c r="AJ981" s="26"/>
      <c r="AK981" s="26"/>
      <c r="AL981" s="26"/>
      <c r="AM981" s="26"/>
      <c r="AN981" s="26"/>
      <c r="AO981" s="26"/>
      <c r="AP981" s="26"/>
      <c r="AQ981" s="26"/>
      <c r="AR981" s="26"/>
      <c r="AS981" s="26"/>
      <c r="AT981" s="26"/>
      <c r="AU981" s="26"/>
      <c r="AV981" s="26"/>
      <c r="AW981" s="26"/>
      <c r="AX981" s="26"/>
      <c r="AY981" s="26"/>
      <c r="AZ981" s="26"/>
      <c r="BA981" s="26"/>
      <c r="BB981" s="26"/>
      <c r="BC981" s="26"/>
      <c r="BD981" s="26"/>
      <c r="BE981" s="26"/>
      <c r="BF981" s="26"/>
      <c r="BG981" s="26"/>
      <c r="BH981" s="26"/>
      <c r="BI981" s="26"/>
      <c r="BJ981" s="26"/>
      <c r="BK981" s="26"/>
    </row>
    <row r="982" ht="14.25" customHeight="1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  <c r="AA982" s="26"/>
      <c r="AB982" s="26"/>
      <c r="AC982" s="26"/>
      <c r="AD982" s="26"/>
      <c r="AE982" s="26"/>
      <c r="AF982" s="26"/>
      <c r="AG982" s="26"/>
      <c r="AH982" s="26"/>
      <c r="AI982" s="26"/>
      <c r="AJ982" s="26"/>
      <c r="AK982" s="26"/>
      <c r="AL982" s="26"/>
      <c r="AM982" s="26"/>
      <c r="AN982" s="26"/>
      <c r="AO982" s="26"/>
      <c r="AP982" s="26"/>
      <c r="AQ982" s="26"/>
      <c r="AR982" s="26"/>
      <c r="AS982" s="26"/>
      <c r="AT982" s="26"/>
      <c r="AU982" s="26"/>
      <c r="AV982" s="26"/>
      <c r="AW982" s="26"/>
      <c r="AX982" s="26"/>
      <c r="AY982" s="26"/>
      <c r="AZ982" s="26"/>
      <c r="BA982" s="26"/>
      <c r="BB982" s="26"/>
      <c r="BC982" s="26"/>
      <c r="BD982" s="26"/>
      <c r="BE982" s="26"/>
      <c r="BF982" s="26"/>
      <c r="BG982" s="26"/>
      <c r="BH982" s="26"/>
      <c r="BI982" s="26"/>
      <c r="BJ982" s="26"/>
      <c r="BK982" s="26"/>
    </row>
    <row r="983" ht="14.25" customHeight="1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  <c r="AA983" s="26"/>
      <c r="AB983" s="26"/>
      <c r="AC983" s="26"/>
      <c r="AD983" s="26"/>
      <c r="AE983" s="26"/>
      <c r="AF983" s="26"/>
      <c r="AG983" s="26"/>
      <c r="AH983" s="26"/>
      <c r="AI983" s="26"/>
      <c r="AJ983" s="26"/>
      <c r="AK983" s="26"/>
      <c r="AL983" s="26"/>
      <c r="AM983" s="26"/>
      <c r="AN983" s="26"/>
      <c r="AO983" s="26"/>
      <c r="AP983" s="26"/>
      <c r="AQ983" s="26"/>
      <c r="AR983" s="26"/>
      <c r="AS983" s="26"/>
      <c r="AT983" s="26"/>
      <c r="AU983" s="26"/>
      <c r="AV983" s="26"/>
      <c r="AW983" s="26"/>
      <c r="AX983" s="26"/>
      <c r="AY983" s="26"/>
      <c r="AZ983" s="26"/>
      <c r="BA983" s="26"/>
      <c r="BB983" s="26"/>
      <c r="BC983" s="26"/>
      <c r="BD983" s="26"/>
      <c r="BE983" s="26"/>
      <c r="BF983" s="26"/>
      <c r="BG983" s="26"/>
      <c r="BH983" s="26"/>
      <c r="BI983" s="26"/>
      <c r="BJ983" s="26"/>
      <c r="BK983" s="26"/>
    </row>
    <row r="984" ht="14.25" customHeight="1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  <c r="AA984" s="26"/>
      <c r="AB984" s="26"/>
      <c r="AC984" s="26"/>
      <c r="AD984" s="26"/>
      <c r="AE984" s="26"/>
      <c r="AF984" s="26"/>
      <c r="AG984" s="26"/>
      <c r="AH984" s="26"/>
      <c r="AI984" s="26"/>
      <c r="AJ984" s="26"/>
      <c r="AK984" s="26"/>
      <c r="AL984" s="26"/>
      <c r="AM984" s="26"/>
      <c r="AN984" s="26"/>
      <c r="AO984" s="26"/>
      <c r="AP984" s="26"/>
      <c r="AQ984" s="26"/>
      <c r="AR984" s="26"/>
      <c r="AS984" s="26"/>
      <c r="AT984" s="26"/>
      <c r="AU984" s="26"/>
      <c r="AV984" s="26"/>
      <c r="AW984" s="26"/>
      <c r="AX984" s="26"/>
      <c r="AY984" s="26"/>
      <c r="AZ984" s="26"/>
      <c r="BA984" s="26"/>
      <c r="BB984" s="26"/>
      <c r="BC984" s="26"/>
      <c r="BD984" s="26"/>
      <c r="BE984" s="26"/>
      <c r="BF984" s="26"/>
      <c r="BG984" s="26"/>
      <c r="BH984" s="26"/>
      <c r="BI984" s="26"/>
      <c r="BJ984" s="26"/>
      <c r="BK984" s="26"/>
    </row>
    <row r="985" ht="14.25" customHeight="1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  <c r="AA985" s="26"/>
      <c r="AB985" s="26"/>
      <c r="AC985" s="26"/>
      <c r="AD985" s="26"/>
      <c r="AE985" s="26"/>
      <c r="AF985" s="26"/>
      <c r="AG985" s="26"/>
      <c r="AH985" s="26"/>
      <c r="AI985" s="26"/>
      <c r="AJ985" s="26"/>
      <c r="AK985" s="26"/>
      <c r="AL985" s="26"/>
      <c r="AM985" s="26"/>
      <c r="AN985" s="26"/>
      <c r="AO985" s="26"/>
      <c r="AP985" s="26"/>
      <c r="AQ985" s="26"/>
      <c r="AR985" s="26"/>
      <c r="AS985" s="26"/>
      <c r="AT985" s="26"/>
      <c r="AU985" s="26"/>
      <c r="AV985" s="26"/>
      <c r="AW985" s="26"/>
      <c r="AX985" s="26"/>
      <c r="AY985" s="26"/>
      <c r="AZ985" s="26"/>
      <c r="BA985" s="26"/>
      <c r="BB985" s="26"/>
      <c r="BC985" s="26"/>
      <c r="BD985" s="26"/>
      <c r="BE985" s="26"/>
      <c r="BF985" s="26"/>
      <c r="BG985" s="26"/>
      <c r="BH985" s="26"/>
      <c r="BI985" s="26"/>
      <c r="BJ985" s="26"/>
      <c r="BK985" s="26"/>
    </row>
    <row r="986" ht="14.25" customHeight="1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  <c r="AA986" s="26"/>
      <c r="AB986" s="26"/>
      <c r="AC986" s="26"/>
      <c r="AD986" s="26"/>
      <c r="AE986" s="26"/>
      <c r="AF986" s="26"/>
      <c r="AG986" s="26"/>
      <c r="AH986" s="26"/>
      <c r="AI986" s="26"/>
      <c r="AJ986" s="26"/>
      <c r="AK986" s="26"/>
      <c r="AL986" s="26"/>
      <c r="AM986" s="26"/>
      <c r="AN986" s="26"/>
      <c r="AO986" s="26"/>
      <c r="AP986" s="26"/>
      <c r="AQ986" s="26"/>
      <c r="AR986" s="26"/>
      <c r="AS986" s="26"/>
      <c r="AT986" s="26"/>
      <c r="AU986" s="26"/>
      <c r="AV986" s="26"/>
      <c r="AW986" s="26"/>
      <c r="AX986" s="26"/>
      <c r="AY986" s="26"/>
      <c r="AZ986" s="26"/>
      <c r="BA986" s="26"/>
      <c r="BB986" s="26"/>
      <c r="BC986" s="26"/>
      <c r="BD986" s="26"/>
      <c r="BE986" s="26"/>
      <c r="BF986" s="26"/>
      <c r="BG986" s="26"/>
      <c r="BH986" s="26"/>
      <c r="BI986" s="26"/>
      <c r="BJ986" s="26"/>
      <c r="BK986" s="26"/>
    </row>
    <row r="987" ht="14.25" customHeight="1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  <c r="AA987" s="26"/>
      <c r="AB987" s="26"/>
      <c r="AC987" s="26"/>
      <c r="AD987" s="26"/>
      <c r="AE987" s="26"/>
      <c r="AF987" s="26"/>
      <c r="AG987" s="26"/>
      <c r="AH987" s="26"/>
      <c r="AI987" s="26"/>
      <c r="AJ987" s="26"/>
      <c r="AK987" s="26"/>
      <c r="AL987" s="26"/>
      <c r="AM987" s="26"/>
      <c r="AN987" s="26"/>
      <c r="AO987" s="26"/>
      <c r="AP987" s="26"/>
      <c r="AQ987" s="26"/>
      <c r="AR987" s="26"/>
      <c r="AS987" s="26"/>
      <c r="AT987" s="26"/>
      <c r="AU987" s="26"/>
      <c r="AV987" s="26"/>
      <c r="AW987" s="26"/>
      <c r="AX987" s="26"/>
      <c r="AY987" s="26"/>
      <c r="AZ987" s="26"/>
      <c r="BA987" s="26"/>
      <c r="BB987" s="26"/>
      <c r="BC987" s="26"/>
      <c r="BD987" s="26"/>
      <c r="BE987" s="26"/>
      <c r="BF987" s="26"/>
      <c r="BG987" s="26"/>
      <c r="BH987" s="26"/>
      <c r="BI987" s="26"/>
      <c r="BJ987" s="26"/>
      <c r="BK987" s="26"/>
    </row>
    <row r="988" ht="14.25" customHeight="1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  <c r="AA988" s="26"/>
      <c r="AB988" s="26"/>
      <c r="AC988" s="26"/>
      <c r="AD988" s="26"/>
      <c r="AE988" s="26"/>
      <c r="AF988" s="26"/>
      <c r="AG988" s="26"/>
      <c r="AH988" s="26"/>
      <c r="AI988" s="26"/>
      <c r="AJ988" s="26"/>
      <c r="AK988" s="26"/>
      <c r="AL988" s="26"/>
      <c r="AM988" s="26"/>
      <c r="AN988" s="26"/>
      <c r="AO988" s="26"/>
      <c r="AP988" s="26"/>
      <c r="AQ988" s="26"/>
      <c r="AR988" s="26"/>
      <c r="AS988" s="26"/>
      <c r="AT988" s="26"/>
      <c r="AU988" s="26"/>
      <c r="AV988" s="26"/>
      <c r="AW988" s="26"/>
      <c r="AX988" s="26"/>
      <c r="AY988" s="26"/>
      <c r="AZ988" s="26"/>
      <c r="BA988" s="26"/>
      <c r="BB988" s="26"/>
      <c r="BC988" s="26"/>
      <c r="BD988" s="26"/>
      <c r="BE988" s="26"/>
      <c r="BF988" s="26"/>
      <c r="BG988" s="26"/>
      <c r="BH988" s="26"/>
      <c r="BI988" s="26"/>
      <c r="BJ988" s="26"/>
      <c r="BK988" s="26"/>
    </row>
    <row r="989" ht="14.25" customHeight="1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  <c r="AA989" s="26"/>
      <c r="AB989" s="26"/>
      <c r="AC989" s="26"/>
      <c r="AD989" s="26"/>
      <c r="AE989" s="26"/>
      <c r="AF989" s="26"/>
      <c r="AG989" s="26"/>
      <c r="AH989" s="26"/>
      <c r="AI989" s="26"/>
      <c r="AJ989" s="26"/>
      <c r="AK989" s="26"/>
      <c r="AL989" s="26"/>
      <c r="AM989" s="26"/>
      <c r="AN989" s="26"/>
      <c r="AO989" s="26"/>
      <c r="AP989" s="26"/>
      <c r="AQ989" s="26"/>
      <c r="AR989" s="26"/>
      <c r="AS989" s="26"/>
      <c r="AT989" s="26"/>
      <c r="AU989" s="26"/>
      <c r="AV989" s="26"/>
      <c r="AW989" s="26"/>
      <c r="AX989" s="26"/>
      <c r="AY989" s="26"/>
      <c r="AZ989" s="26"/>
      <c r="BA989" s="26"/>
      <c r="BB989" s="26"/>
      <c r="BC989" s="26"/>
      <c r="BD989" s="26"/>
      <c r="BE989" s="26"/>
      <c r="BF989" s="26"/>
      <c r="BG989" s="26"/>
      <c r="BH989" s="26"/>
      <c r="BI989" s="26"/>
      <c r="BJ989" s="26"/>
      <c r="BK989" s="26"/>
    </row>
    <row r="990" ht="14.25" customHeight="1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  <c r="AA990" s="26"/>
      <c r="AB990" s="26"/>
      <c r="AC990" s="26"/>
      <c r="AD990" s="26"/>
      <c r="AE990" s="26"/>
      <c r="AF990" s="26"/>
      <c r="AG990" s="26"/>
      <c r="AH990" s="26"/>
      <c r="AI990" s="26"/>
      <c r="AJ990" s="26"/>
      <c r="AK990" s="26"/>
      <c r="AL990" s="26"/>
      <c r="AM990" s="26"/>
      <c r="AN990" s="26"/>
      <c r="AO990" s="26"/>
      <c r="AP990" s="26"/>
      <c r="AQ990" s="26"/>
      <c r="AR990" s="26"/>
      <c r="AS990" s="26"/>
      <c r="AT990" s="26"/>
      <c r="AU990" s="26"/>
      <c r="AV990" s="26"/>
      <c r="AW990" s="26"/>
      <c r="AX990" s="26"/>
      <c r="AY990" s="26"/>
      <c r="AZ990" s="26"/>
      <c r="BA990" s="26"/>
      <c r="BB990" s="26"/>
      <c r="BC990" s="26"/>
      <c r="BD990" s="26"/>
      <c r="BE990" s="26"/>
      <c r="BF990" s="26"/>
      <c r="BG990" s="26"/>
      <c r="BH990" s="26"/>
      <c r="BI990" s="26"/>
      <c r="BJ990" s="26"/>
      <c r="BK990" s="26"/>
    </row>
    <row r="991" ht="14.25" customHeight="1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  <c r="AA991" s="26"/>
      <c r="AB991" s="26"/>
      <c r="AC991" s="26"/>
      <c r="AD991" s="26"/>
      <c r="AE991" s="26"/>
      <c r="AF991" s="26"/>
      <c r="AG991" s="26"/>
      <c r="AH991" s="26"/>
      <c r="AI991" s="26"/>
      <c r="AJ991" s="26"/>
      <c r="AK991" s="26"/>
      <c r="AL991" s="26"/>
      <c r="AM991" s="26"/>
      <c r="AN991" s="26"/>
      <c r="AO991" s="26"/>
      <c r="AP991" s="26"/>
      <c r="AQ991" s="26"/>
      <c r="AR991" s="26"/>
      <c r="AS991" s="26"/>
      <c r="AT991" s="26"/>
      <c r="AU991" s="26"/>
      <c r="AV991" s="26"/>
      <c r="AW991" s="26"/>
      <c r="AX991" s="26"/>
      <c r="AY991" s="26"/>
      <c r="AZ991" s="26"/>
      <c r="BA991" s="26"/>
      <c r="BB991" s="26"/>
      <c r="BC991" s="26"/>
      <c r="BD991" s="26"/>
      <c r="BE991" s="26"/>
      <c r="BF991" s="26"/>
      <c r="BG991" s="26"/>
      <c r="BH991" s="26"/>
      <c r="BI991" s="26"/>
      <c r="BJ991" s="26"/>
      <c r="BK991" s="26"/>
    </row>
    <row r="992" ht="14.25" customHeight="1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  <c r="AA992" s="26"/>
      <c r="AB992" s="26"/>
      <c r="AC992" s="26"/>
      <c r="AD992" s="26"/>
      <c r="AE992" s="26"/>
      <c r="AF992" s="26"/>
      <c r="AG992" s="26"/>
      <c r="AH992" s="26"/>
      <c r="AI992" s="26"/>
      <c r="AJ992" s="26"/>
      <c r="AK992" s="26"/>
      <c r="AL992" s="26"/>
      <c r="AM992" s="26"/>
      <c r="AN992" s="26"/>
      <c r="AO992" s="26"/>
      <c r="AP992" s="26"/>
      <c r="AQ992" s="26"/>
      <c r="AR992" s="26"/>
      <c r="AS992" s="26"/>
      <c r="AT992" s="26"/>
      <c r="AU992" s="26"/>
      <c r="AV992" s="26"/>
      <c r="AW992" s="26"/>
      <c r="AX992" s="26"/>
      <c r="AY992" s="26"/>
      <c r="AZ992" s="26"/>
      <c r="BA992" s="26"/>
      <c r="BB992" s="26"/>
      <c r="BC992" s="26"/>
      <c r="BD992" s="26"/>
      <c r="BE992" s="26"/>
      <c r="BF992" s="26"/>
      <c r="BG992" s="26"/>
      <c r="BH992" s="26"/>
      <c r="BI992" s="26"/>
      <c r="BJ992" s="26"/>
      <c r="BK992" s="26"/>
    </row>
    <row r="993" ht="14.25" customHeight="1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  <c r="AA993" s="26"/>
      <c r="AB993" s="26"/>
      <c r="AC993" s="26"/>
      <c r="AD993" s="26"/>
      <c r="AE993" s="26"/>
      <c r="AF993" s="26"/>
      <c r="AG993" s="26"/>
      <c r="AH993" s="26"/>
      <c r="AI993" s="26"/>
      <c r="AJ993" s="26"/>
      <c r="AK993" s="26"/>
      <c r="AL993" s="26"/>
      <c r="AM993" s="26"/>
      <c r="AN993" s="26"/>
      <c r="AO993" s="26"/>
      <c r="AP993" s="26"/>
      <c r="AQ993" s="26"/>
      <c r="AR993" s="26"/>
      <c r="AS993" s="26"/>
      <c r="AT993" s="26"/>
      <c r="AU993" s="26"/>
      <c r="AV993" s="26"/>
      <c r="AW993" s="26"/>
      <c r="AX993" s="26"/>
      <c r="AY993" s="26"/>
      <c r="AZ993" s="26"/>
      <c r="BA993" s="26"/>
      <c r="BB993" s="26"/>
      <c r="BC993" s="26"/>
      <c r="BD993" s="26"/>
      <c r="BE993" s="26"/>
      <c r="BF993" s="26"/>
      <c r="BG993" s="26"/>
      <c r="BH993" s="26"/>
      <c r="BI993" s="26"/>
      <c r="BJ993" s="26"/>
      <c r="BK993" s="26"/>
    </row>
    <row r="994" ht="14.25" customHeight="1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  <c r="AA994" s="26"/>
      <c r="AB994" s="26"/>
      <c r="AC994" s="26"/>
      <c r="AD994" s="26"/>
      <c r="AE994" s="26"/>
      <c r="AF994" s="26"/>
      <c r="AG994" s="26"/>
      <c r="AH994" s="26"/>
      <c r="AI994" s="26"/>
      <c r="AJ994" s="26"/>
      <c r="AK994" s="26"/>
      <c r="AL994" s="26"/>
      <c r="AM994" s="26"/>
      <c r="AN994" s="26"/>
      <c r="AO994" s="26"/>
      <c r="AP994" s="26"/>
      <c r="AQ994" s="26"/>
      <c r="AR994" s="26"/>
      <c r="AS994" s="26"/>
      <c r="AT994" s="26"/>
      <c r="AU994" s="26"/>
      <c r="AV994" s="26"/>
      <c r="AW994" s="26"/>
      <c r="AX994" s="26"/>
      <c r="AY994" s="26"/>
      <c r="AZ994" s="26"/>
      <c r="BA994" s="26"/>
      <c r="BB994" s="26"/>
      <c r="BC994" s="26"/>
      <c r="BD994" s="26"/>
      <c r="BE994" s="26"/>
      <c r="BF994" s="26"/>
      <c r="BG994" s="26"/>
      <c r="BH994" s="26"/>
      <c r="BI994" s="26"/>
      <c r="BJ994" s="26"/>
      <c r="BK994" s="26"/>
    </row>
    <row r="995" ht="14.25" customHeight="1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  <c r="AA995" s="26"/>
      <c r="AB995" s="26"/>
      <c r="AC995" s="26"/>
      <c r="AD995" s="26"/>
      <c r="AE995" s="26"/>
      <c r="AF995" s="26"/>
      <c r="AG995" s="26"/>
      <c r="AH995" s="26"/>
      <c r="AI995" s="26"/>
      <c r="AJ995" s="26"/>
      <c r="AK995" s="26"/>
      <c r="AL995" s="26"/>
      <c r="AM995" s="26"/>
      <c r="AN995" s="26"/>
      <c r="AO995" s="26"/>
      <c r="AP995" s="26"/>
      <c r="AQ995" s="26"/>
      <c r="AR995" s="26"/>
      <c r="AS995" s="26"/>
      <c r="AT995" s="26"/>
      <c r="AU995" s="26"/>
      <c r="AV995" s="26"/>
      <c r="AW995" s="26"/>
      <c r="AX995" s="26"/>
      <c r="AY995" s="26"/>
      <c r="AZ995" s="26"/>
      <c r="BA995" s="26"/>
      <c r="BB995" s="26"/>
      <c r="BC995" s="26"/>
      <c r="BD995" s="26"/>
      <c r="BE995" s="26"/>
      <c r="BF995" s="26"/>
      <c r="BG995" s="26"/>
      <c r="BH995" s="26"/>
      <c r="BI995" s="26"/>
      <c r="BJ995" s="26"/>
      <c r="BK995" s="26"/>
    </row>
    <row r="996" ht="14.25" customHeight="1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  <c r="AA996" s="26"/>
      <c r="AB996" s="26"/>
      <c r="AC996" s="26"/>
      <c r="AD996" s="26"/>
      <c r="AE996" s="26"/>
      <c r="AF996" s="26"/>
      <c r="AG996" s="26"/>
      <c r="AH996" s="26"/>
      <c r="AI996" s="26"/>
      <c r="AJ996" s="26"/>
      <c r="AK996" s="26"/>
      <c r="AL996" s="26"/>
      <c r="AM996" s="26"/>
      <c r="AN996" s="26"/>
      <c r="AO996" s="26"/>
      <c r="AP996" s="26"/>
      <c r="AQ996" s="26"/>
      <c r="AR996" s="26"/>
      <c r="AS996" s="26"/>
      <c r="AT996" s="26"/>
      <c r="AU996" s="26"/>
      <c r="AV996" s="26"/>
      <c r="AW996" s="26"/>
      <c r="AX996" s="26"/>
      <c r="AY996" s="26"/>
      <c r="AZ996" s="26"/>
      <c r="BA996" s="26"/>
      <c r="BB996" s="26"/>
      <c r="BC996" s="26"/>
      <c r="BD996" s="26"/>
      <c r="BE996" s="26"/>
      <c r="BF996" s="26"/>
      <c r="BG996" s="26"/>
      <c r="BH996" s="26"/>
      <c r="BI996" s="26"/>
      <c r="BJ996" s="26"/>
      <c r="BK996" s="26"/>
    </row>
    <row r="997" ht="14.25" customHeight="1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  <c r="AA997" s="26"/>
      <c r="AB997" s="26"/>
      <c r="AC997" s="26"/>
      <c r="AD997" s="26"/>
      <c r="AE997" s="26"/>
      <c r="AF997" s="26"/>
      <c r="AG997" s="26"/>
      <c r="AH997" s="26"/>
      <c r="AI997" s="26"/>
      <c r="AJ997" s="26"/>
      <c r="AK997" s="26"/>
      <c r="AL997" s="26"/>
      <c r="AM997" s="26"/>
      <c r="AN997" s="26"/>
      <c r="AO997" s="26"/>
      <c r="AP997" s="26"/>
      <c r="AQ997" s="26"/>
      <c r="AR997" s="26"/>
      <c r="AS997" s="26"/>
      <c r="AT997" s="26"/>
      <c r="AU997" s="26"/>
      <c r="AV997" s="26"/>
      <c r="AW997" s="26"/>
      <c r="AX997" s="26"/>
      <c r="AY997" s="26"/>
      <c r="AZ997" s="26"/>
      <c r="BA997" s="26"/>
      <c r="BB997" s="26"/>
      <c r="BC997" s="26"/>
      <c r="BD997" s="26"/>
      <c r="BE997" s="26"/>
      <c r="BF997" s="26"/>
      <c r="BG997" s="26"/>
      <c r="BH997" s="26"/>
      <c r="BI997" s="26"/>
      <c r="BJ997" s="26"/>
      <c r="BK997" s="26"/>
    </row>
    <row r="998" ht="14.25" customHeight="1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  <c r="AA998" s="26"/>
      <c r="AB998" s="26"/>
      <c r="AC998" s="26"/>
      <c r="AD998" s="26"/>
      <c r="AE998" s="26"/>
      <c r="AF998" s="26"/>
      <c r="AG998" s="26"/>
      <c r="AH998" s="26"/>
      <c r="AI998" s="26"/>
      <c r="AJ998" s="26"/>
      <c r="AK998" s="26"/>
      <c r="AL998" s="26"/>
      <c r="AM998" s="26"/>
      <c r="AN998" s="26"/>
      <c r="AO998" s="26"/>
      <c r="AP998" s="26"/>
      <c r="AQ998" s="26"/>
      <c r="AR998" s="26"/>
      <c r="AS998" s="26"/>
      <c r="AT998" s="26"/>
      <c r="AU998" s="26"/>
      <c r="AV998" s="26"/>
      <c r="AW998" s="26"/>
      <c r="AX998" s="26"/>
      <c r="AY998" s="26"/>
      <c r="AZ998" s="26"/>
      <c r="BA998" s="26"/>
      <c r="BB998" s="26"/>
      <c r="BC998" s="26"/>
      <c r="BD998" s="26"/>
      <c r="BE998" s="26"/>
      <c r="BF998" s="26"/>
      <c r="BG998" s="26"/>
      <c r="BH998" s="26"/>
      <c r="BI998" s="26"/>
      <c r="BJ998" s="26"/>
      <c r="BK998" s="26"/>
    </row>
    <row r="999" ht="14.25" customHeight="1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  <c r="AA999" s="26"/>
      <c r="AB999" s="26"/>
      <c r="AC999" s="26"/>
      <c r="AD999" s="26"/>
      <c r="AE999" s="26"/>
      <c r="AF999" s="26"/>
      <c r="AG999" s="26"/>
      <c r="AH999" s="26"/>
      <c r="AI999" s="26"/>
      <c r="AJ999" s="26"/>
      <c r="AK999" s="26"/>
      <c r="AL999" s="26"/>
      <c r="AM999" s="26"/>
      <c r="AN999" s="26"/>
      <c r="AO999" s="26"/>
      <c r="AP999" s="26"/>
      <c r="AQ999" s="26"/>
      <c r="AR999" s="26"/>
      <c r="AS999" s="26"/>
      <c r="AT999" s="26"/>
      <c r="AU999" s="26"/>
      <c r="AV999" s="26"/>
      <c r="AW999" s="26"/>
      <c r="AX999" s="26"/>
      <c r="AY999" s="26"/>
      <c r="AZ999" s="26"/>
      <c r="BA999" s="26"/>
      <c r="BB999" s="26"/>
      <c r="BC999" s="26"/>
      <c r="BD999" s="26"/>
      <c r="BE999" s="26"/>
      <c r="BF999" s="26"/>
      <c r="BG999" s="26"/>
      <c r="BH999" s="26"/>
      <c r="BI999" s="26"/>
      <c r="BJ999" s="26"/>
      <c r="BK999" s="26"/>
    </row>
    <row r="1000" ht="14.25" customHeight="1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  <c r="AA1000" s="26"/>
      <c r="AB1000" s="26"/>
      <c r="AC1000" s="26"/>
      <c r="AD1000" s="26"/>
      <c r="AE1000" s="26"/>
      <c r="AF1000" s="26"/>
      <c r="AG1000" s="26"/>
      <c r="AH1000" s="26"/>
      <c r="AI1000" s="26"/>
      <c r="AJ1000" s="26"/>
      <c r="AK1000" s="26"/>
      <c r="AL1000" s="26"/>
      <c r="AM1000" s="26"/>
      <c r="AN1000" s="26"/>
      <c r="AO1000" s="26"/>
      <c r="AP1000" s="26"/>
      <c r="AQ1000" s="26"/>
      <c r="AR1000" s="26"/>
      <c r="AS1000" s="26"/>
      <c r="AT1000" s="26"/>
      <c r="AU1000" s="26"/>
      <c r="AV1000" s="26"/>
      <c r="AW1000" s="26"/>
      <c r="AX1000" s="26"/>
      <c r="AY1000" s="26"/>
      <c r="AZ1000" s="26"/>
      <c r="BA1000" s="26"/>
      <c r="BB1000" s="26"/>
      <c r="BC1000" s="26"/>
      <c r="BD1000" s="26"/>
      <c r="BE1000" s="26"/>
      <c r="BF1000" s="26"/>
      <c r="BG1000" s="26"/>
      <c r="BH1000" s="26"/>
      <c r="BI1000" s="26"/>
      <c r="BJ1000" s="26"/>
      <c r="BK1000" s="26"/>
    </row>
  </sheetData>
  <mergeCells count="27">
    <mergeCell ref="A1:A3"/>
    <mergeCell ref="B2:K2"/>
    <mergeCell ref="L2:M2"/>
    <mergeCell ref="N2:N3"/>
    <mergeCell ref="O2:O3"/>
    <mergeCell ref="P2:P3"/>
    <mergeCell ref="Q2:Q3"/>
    <mergeCell ref="S2:Y2"/>
    <mergeCell ref="Z2:Z3"/>
    <mergeCell ref="AA2:AA3"/>
    <mergeCell ref="AB2:AB3"/>
    <mergeCell ref="AC2:AC3"/>
    <mergeCell ref="AD2:AD3"/>
    <mergeCell ref="AE2:AE3"/>
    <mergeCell ref="AM2:AM3"/>
    <mergeCell ref="AN2:AN3"/>
    <mergeCell ref="AO2:AO3"/>
    <mergeCell ref="AP2:AV2"/>
    <mergeCell ref="AW2:BA2"/>
    <mergeCell ref="BB2:BK2"/>
    <mergeCell ref="AF2:AF3"/>
    <mergeCell ref="AG2:AG3"/>
    <mergeCell ref="AH2:AH3"/>
    <mergeCell ref="AI2:AI3"/>
    <mergeCell ref="AJ2:AJ3"/>
    <mergeCell ref="AK2:AK3"/>
    <mergeCell ref="AL2:AL3"/>
  </mergeCells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6.0" ySplit="3.0" topLeftCell="Q4" activePane="bottomRight" state="frozen"/>
      <selection activeCell="Q1" sqref="Q1" pane="topRight"/>
      <selection activeCell="A4" sqref="A4" pane="bottomLeft"/>
      <selection activeCell="Q4" sqref="Q4" pane="bottomRight"/>
    </sheetView>
  </sheetViews>
  <sheetFormatPr customHeight="1" defaultColWidth="14.43" defaultRowHeight="15.0"/>
  <cols>
    <col customWidth="1" min="1" max="1" width="4.43"/>
    <col customWidth="1" min="2" max="2" width="18.86"/>
    <col customWidth="1" hidden="1" min="3" max="3" width="8.71"/>
    <col customWidth="1" min="4" max="4" width="17.43"/>
    <col customWidth="1" hidden="1" min="5" max="6" width="8.71"/>
    <col customWidth="1" min="7" max="7" width="19.29"/>
    <col customWidth="1" hidden="1" min="8" max="11" width="8.71"/>
    <col customWidth="1" min="12" max="12" width="4.57"/>
    <col customWidth="1" min="13" max="13" width="8.14"/>
    <col customWidth="1" min="14" max="14" width="20.29"/>
    <col customWidth="1" min="15" max="15" width="25.86"/>
    <col customWidth="1" min="16" max="16" width="27.0"/>
    <col customWidth="1" min="17" max="17" width="27.71"/>
    <col customWidth="1" min="18" max="18" width="121.0"/>
    <col customWidth="1" min="19" max="19" width="88.29"/>
    <col customWidth="1" hidden="1" min="20" max="20" width="8.71"/>
    <col customWidth="1" min="21" max="21" width="20.86"/>
    <col customWidth="1" min="22" max="22" width="18.29"/>
    <col customWidth="1" min="23" max="23" width="21.43"/>
    <col customWidth="1" min="24" max="24" width="24.0"/>
    <col customWidth="1" min="25" max="25" width="10.57"/>
    <col customWidth="1" min="26" max="26" width="19.14"/>
    <col customWidth="1" min="27" max="27" width="20.86"/>
    <col customWidth="1" min="28" max="28" width="26.43"/>
    <col customWidth="1" min="29" max="29" width="18.14"/>
    <col customWidth="1" hidden="1" min="30" max="30" width="8.71"/>
    <col customWidth="1" min="31" max="31" width="29.43"/>
    <col customWidth="1" min="32" max="32" width="11.0"/>
    <col customWidth="1" min="33" max="33" width="25.29"/>
    <col customWidth="1" min="34" max="34" width="12.0"/>
    <col customWidth="1" min="35" max="35" width="16.71"/>
    <col customWidth="1" min="36" max="36" width="35.71"/>
    <col customWidth="1" min="37" max="37" width="35.0"/>
    <col customWidth="1" min="38" max="38" width="15.86"/>
    <col customWidth="1" min="39" max="39" width="20.29"/>
    <col customWidth="1" min="40" max="40" width="14.29"/>
    <col customWidth="1" min="41" max="41" width="16.43"/>
  </cols>
  <sheetData>
    <row r="1" ht="14.25" customHeight="1">
      <c r="A1" s="42" t="s">
        <v>11</v>
      </c>
      <c r="B1" s="26">
        <f t="shared" ref="B1:D1" si="1">COUNT(B4:B1048576)</f>
        <v>0</v>
      </c>
      <c r="C1" s="26">
        <f t="shared" si="1"/>
        <v>0</v>
      </c>
      <c r="D1" s="26">
        <f t="shared" si="1"/>
        <v>0</v>
      </c>
      <c r="E1" s="26"/>
      <c r="F1" s="26">
        <f t="shared" ref="F1:G1" si="2">COUNT(F4:F1048576)</f>
        <v>0</v>
      </c>
      <c r="G1" s="26">
        <f t="shared" si="2"/>
        <v>0</v>
      </c>
      <c r="H1" s="26"/>
      <c r="I1" s="26">
        <f t="shared" ref="I1:J1" si="3">COUNT(I4:I1048576)</f>
        <v>0</v>
      </c>
      <c r="J1" s="26">
        <f t="shared" si="3"/>
        <v>0</v>
      </c>
      <c r="K1" s="26"/>
      <c r="L1" s="89"/>
      <c r="M1" s="89"/>
      <c r="N1" s="26"/>
      <c r="O1" s="89"/>
      <c r="P1" s="26"/>
      <c r="Q1" s="26"/>
      <c r="R1" s="26"/>
      <c r="S1" s="26"/>
      <c r="T1" s="26"/>
      <c r="U1" s="26"/>
      <c r="V1" s="26"/>
      <c r="W1" s="26"/>
      <c r="X1" s="26"/>
      <c r="Y1" s="90"/>
      <c r="Z1" s="26"/>
      <c r="AA1" s="89"/>
      <c r="AB1" s="26"/>
      <c r="AC1" s="26"/>
      <c r="AD1" s="89"/>
      <c r="AE1" s="91"/>
      <c r="AF1" s="26"/>
      <c r="AG1" s="26"/>
      <c r="AH1" s="26"/>
      <c r="AI1" s="26"/>
      <c r="AJ1" s="26"/>
      <c r="AK1" s="26"/>
      <c r="AL1" s="26"/>
      <c r="AM1" s="26"/>
      <c r="AN1" s="89"/>
      <c r="AO1" s="89"/>
    </row>
    <row r="2" ht="14.25" customHeight="1">
      <c r="A2" s="25"/>
      <c r="B2" s="92" t="s">
        <v>15</v>
      </c>
      <c r="C2" s="28"/>
      <c r="D2" s="28"/>
      <c r="E2" s="28"/>
      <c r="F2" s="28"/>
      <c r="G2" s="28"/>
      <c r="H2" s="28"/>
      <c r="I2" s="28"/>
      <c r="J2" s="28"/>
      <c r="K2" s="30"/>
      <c r="L2" s="92" t="s">
        <v>107</v>
      </c>
      <c r="M2" s="30"/>
      <c r="N2" s="42" t="s">
        <v>2</v>
      </c>
      <c r="O2" s="45" t="s">
        <v>112</v>
      </c>
      <c r="P2" s="45" t="s">
        <v>118</v>
      </c>
      <c r="Q2" s="42" t="s">
        <v>119</v>
      </c>
      <c r="R2" s="47"/>
      <c r="S2" s="27" t="s">
        <v>120</v>
      </c>
      <c r="T2" s="28"/>
      <c r="U2" s="28"/>
      <c r="V2" s="28"/>
      <c r="W2" s="28"/>
      <c r="X2" s="28"/>
      <c r="Y2" s="30"/>
      <c r="Z2" s="42" t="s">
        <v>124</v>
      </c>
      <c r="AA2" s="42" t="s">
        <v>129</v>
      </c>
      <c r="AB2" s="42" t="s">
        <v>134</v>
      </c>
      <c r="AC2" s="42" t="s">
        <v>136</v>
      </c>
      <c r="AD2" s="42" t="s">
        <v>140</v>
      </c>
      <c r="AE2" s="42" t="s">
        <v>141</v>
      </c>
      <c r="AF2" s="42" t="s">
        <v>145</v>
      </c>
      <c r="AG2" s="42" t="s">
        <v>147</v>
      </c>
      <c r="AH2" s="42" t="s">
        <v>150</v>
      </c>
      <c r="AI2" s="42" t="s">
        <v>154</v>
      </c>
      <c r="AJ2" s="42" t="s">
        <v>155</v>
      </c>
      <c r="AK2" s="42" t="s">
        <v>9</v>
      </c>
      <c r="AL2" s="45" t="s">
        <v>158</v>
      </c>
      <c r="AM2" s="45" t="s">
        <v>160</v>
      </c>
      <c r="AN2" s="60" t="s">
        <v>168</v>
      </c>
      <c r="AO2" s="60" t="s">
        <v>169</v>
      </c>
    </row>
    <row r="3" ht="14.25" customHeight="1">
      <c r="A3" s="57"/>
      <c r="B3" s="47" t="s">
        <v>178</v>
      </c>
      <c r="C3" s="47" t="s">
        <v>179</v>
      </c>
      <c r="D3" s="95" t="s">
        <v>180</v>
      </c>
      <c r="E3" s="95" t="s">
        <v>181</v>
      </c>
      <c r="F3" s="47" t="s">
        <v>182</v>
      </c>
      <c r="G3" s="47" t="s">
        <v>183</v>
      </c>
      <c r="H3" s="47" t="s">
        <v>184</v>
      </c>
      <c r="I3" s="47" t="s">
        <v>185</v>
      </c>
      <c r="J3" s="47" t="s">
        <v>186</v>
      </c>
      <c r="K3" s="47" t="s">
        <v>187</v>
      </c>
      <c r="L3" s="47" t="s">
        <v>223</v>
      </c>
      <c r="M3" s="47" t="s">
        <v>191</v>
      </c>
      <c r="N3" s="57"/>
      <c r="O3" s="57"/>
      <c r="P3" s="57"/>
      <c r="Q3" s="57"/>
      <c r="R3" s="47" t="s">
        <v>219</v>
      </c>
      <c r="S3" s="47" t="s">
        <v>120</v>
      </c>
      <c r="T3" s="47" t="s">
        <v>194</v>
      </c>
      <c r="U3" s="47" t="s">
        <v>195</v>
      </c>
      <c r="V3" s="47" t="s">
        <v>196</v>
      </c>
      <c r="W3" s="47" t="s">
        <v>197</v>
      </c>
      <c r="X3" s="47" t="s">
        <v>198</v>
      </c>
      <c r="Y3" s="47" t="s">
        <v>199</v>
      </c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57"/>
      <c r="AK3" s="57"/>
      <c r="AL3" s="57"/>
      <c r="AM3" s="57"/>
      <c r="AN3" s="57"/>
      <c r="AO3" s="57"/>
    </row>
    <row r="4" ht="14.25" customHeight="1">
      <c r="A4" s="26">
        <f t="shared" ref="A4:A7" si="4">ROW(A1)</f>
        <v>1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76" t="s">
        <v>925</v>
      </c>
      <c r="O4" s="26" t="s">
        <v>926</v>
      </c>
      <c r="P4" s="26" t="s">
        <v>926</v>
      </c>
      <c r="Q4" s="26" t="s">
        <v>927</v>
      </c>
      <c r="R4" s="26" t="s">
        <v>928</v>
      </c>
      <c r="S4" s="26" t="s">
        <v>929</v>
      </c>
      <c r="T4" s="26"/>
      <c r="U4" s="26" t="s">
        <v>929</v>
      </c>
      <c r="V4" s="26" t="s">
        <v>930</v>
      </c>
      <c r="W4" s="26" t="s">
        <v>930</v>
      </c>
      <c r="X4" s="26" t="s">
        <v>572</v>
      </c>
      <c r="Y4" s="76" t="s">
        <v>931</v>
      </c>
      <c r="Z4" s="76" t="s">
        <v>932</v>
      </c>
      <c r="AA4" s="76" t="s">
        <v>933</v>
      </c>
      <c r="AB4" s="26" t="s">
        <v>934</v>
      </c>
      <c r="AC4" s="76" t="s">
        <v>935</v>
      </c>
      <c r="AD4" s="26"/>
      <c r="AE4" s="76" t="s">
        <v>936</v>
      </c>
      <c r="AF4" s="76" t="s">
        <v>937</v>
      </c>
      <c r="AG4" s="76" t="s">
        <v>938</v>
      </c>
      <c r="AH4" s="76" t="s">
        <v>939</v>
      </c>
      <c r="AI4" s="76" t="s">
        <v>940</v>
      </c>
      <c r="AJ4" s="26" t="s">
        <v>941</v>
      </c>
      <c r="AK4" s="26" t="s">
        <v>942</v>
      </c>
      <c r="AL4" s="76" t="s">
        <v>943</v>
      </c>
      <c r="AM4" s="76" t="s">
        <v>944</v>
      </c>
      <c r="AN4" s="76" t="s">
        <v>945</v>
      </c>
      <c r="AO4" s="76" t="s">
        <v>946</v>
      </c>
    </row>
    <row r="5" ht="14.25" customHeight="1">
      <c r="A5" s="26">
        <f t="shared" si="4"/>
        <v>2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76" t="s">
        <v>947</v>
      </c>
      <c r="O5" s="26" t="s">
        <v>948</v>
      </c>
      <c r="P5" s="26" t="s">
        <v>948</v>
      </c>
      <c r="Q5" s="26" t="s">
        <v>949</v>
      </c>
      <c r="R5" s="26" t="s">
        <v>950</v>
      </c>
      <c r="S5" s="26" t="s">
        <v>951</v>
      </c>
      <c r="T5" s="26"/>
      <c r="U5" s="26" t="s">
        <v>952</v>
      </c>
      <c r="V5" s="26" t="s">
        <v>953</v>
      </c>
      <c r="W5" s="26" t="s">
        <v>954</v>
      </c>
      <c r="X5" s="26" t="s">
        <v>955</v>
      </c>
      <c r="Y5" s="76" t="s">
        <v>956</v>
      </c>
      <c r="Z5" s="76" t="s">
        <v>957</v>
      </c>
      <c r="AA5" s="76" t="s">
        <v>958</v>
      </c>
      <c r="AB5" s="26" t="s">
        <v>934</v>
      </c>
      <c r="AC5" s="76" t="s">
        <v>959</v>
      </c>
      <c r="AD5" s="26"/>
      <c r="AE5" s="76" t="s">
        <v>960</v>
      </c>
      <c r="AF5" s="76" t="s">
        <v>961</v>
      </c>
      <c r="AG5" s="76" t="s">
        <v>962</v>
      </c>
      <c r="AH5" s="76" t="s">
        <v>963</v>
      </c>
      <c r="AI5" s="76" t="s">
        <v>964</v>
      </c>
      <c r="AJ5" s="26" t="s">
        <v>941</v>
      </c>
      <c r="AK5" s="26" t="s">
        <v>942</v>
      </c>
      <c r="AL5" s="76" t="s">
        <v>965</v>
      </c>
      <c r="AM5" s="76" t="s">
        <v>966</v>
      </c>
      <c r="AN5" s="76" t="s">
        <v>967</v>
      </c>
      <c r="AO5" s="76" t="s">
        <v>968</v>
      </c>
    </row>
    <row r="6" ht="14.25" customHeight="1">
      <c r="A6" s="26">
        <f t="shared" si="4"/>
        <v>3</v>
      </c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76" t="s">
        <v>969</v>
      </c>
      <c r="O6" s="26" t="s">
        <v>970</v>
      </c>
      <c r="P6" s="26" t="s">
        <v>970</v>
      </c>
      <c r="Q6" s="26" t="s">
        <v>971</v>
      </c>
      <c r="R6" s="26" t="s">
        <v>972</v>
      </c>
      <c r="S6" s="26" t="s">
        <v>973</v>
      </c>
      <c r="T6" s="26"/>
      <c r="U6" s="26" t="s">
        <v>974</v>
      </c>
      <c r="V6" s="26" t="s">
        <v>975</v>
      </c>
      <c r="W6" s="26" t="s">
        <v>976</v>
      </c>
      <c r="X6" s="26" t="s">
        <v>977</v>
      </c>
      <c r="Y6" s="76" t="s">
        <v>978</v>
      </c>
      <c r="Z6" s="76" t="s">
        <v>979</v>
      </c>
      <c r="AA6" s="26" t="s">
        <v>980</v>
      </c>
      <c r="AB6" s="26" t="s">
        <v>934</v>
      </c>
      <c r="AC6" s="76" t="s">
        <v>981</v>
      </c>
      <c r="AD6" s="26"/>
      <c r="AE6" s="76" t="s">
        <v>982</v>
      </c>
      <c r="AF6" s="26"/>
      <c r="AG6" s="26"/>
      <c r="AH6" s="26"/>
      <c r="AI6" s="26"/>
      <c r="AJ6" s="26" t="s">
        <v>941</v>
      </c>
      <c r="AK6" s="26" t="s">
        <v>983</v>
      </c>
      <c r="AL6" s="76" t="s">
        <v>984</v>
      </c>
      <c r="AM6" s="76" t="s">
        <v>985</v>
      </c>
      <c r="AN6" s="76" t="s">
        <v>986</v>
      </c>
      <c r="AO6" s="76" t="s">
        <v>987</v>
      </c>
    </row>
    <row r="7" ht="14.25" customHeight="1">
      <c r="A7" s="26">
        <f t="shared" si="4"/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76" t="s">
        <v>988</v>
      </c>
      <c r="O7" s="26" t="s">
        <v>989</v>
      </c>
      <c r="P7" s="26" t="s">
        <v>989</v>
      </c>
      <c r="Q7" s="26" t="s">
        <v>990</v>
      </c>
      <c r="R7" s="26" t="s">
        <v>991</v>
      </c>
      <c r="S7" s="26" t="s">
        <v>992</v>
      </c>
      <c r="T7" s="26"/>
      <c r="U7" s="26" t="s">
        <v>993</v>
      </c>
      <c r="V7" s="26" t="s">
        <v>994</v>
      </c>
      <c r="W7" s="26" t="s">
        <v>995</v>
      </c>
      <c r="X7" s="26" t="s">
        <v>977</v>
      </c>
      <c r="Y7" s="76" t="s">
        <v>996</v>
      </c>
      <c r="Z7" s="76" t="s">
        <v>997</v>
      </c>
      <c r="AA7" s="76" t="s">
        <v>998</v>
      </c>
      <c r="AB7" s="26" t="s">
        <v>934</v>
      </c>
      <c r="AC7" s="76" t="s">
        <v>999</v>
      </c>
      <c r="AD7" s="26"/>
      <c r="AE7" s="26" t="s">
        <v>1000</v>
      </c>
      <c r="AF7" s="108" t="s">
        <v>1001</v>
      </c>
      <c r="AG7" s="76" t="s">
        <v>1002</v>
      </c>
      <c r="AH7" s="76" t="s">
        <v>1003</v>
      </c>
      <c r="AI7" s="76" t="s">
        <v>1004</v>
      </c>
      <c r="AJ7" s="26" t="s">
        <v>941</v>
      </c>
      <c r="AK7" s="26" t="s">
        <v>1005</v>
      </c>
      <c r="AL7" s="76" t="s">
        <v>1006</v>
      </c>
      <c r="AM7" s="76" t="s">
        <v>1007</v>
      </c>
      <c r="AN7" s="76" t="s">
        <v>1008</v>
      </c>
      <c r="AO7" s="76" t="s">
        <v>1009</v>
      </c>
    </row>
    <row r="8" ht="14.2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</row>
    <row r="9" ht="14.25" customHeight="1">
      <c r="A9" s="26"/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</row>
    <row r="10" ht="14.25" customHeight="1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</row>
    <row r="11" ht="14.25" customHeight="1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</row>
    <row r="12" ht="14.25" customHeight="1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</row>
    <row r="13" ht="14.25" customHeight="1">
      <c r="A13" s="26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</row>
    <row r="14" ht="14.25" customHeight="1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</row>
    <row r="15" ht="14.25" customHeight="1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</row>
    <row r="16" ht="14.25" customHeight="1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</row>
    <row r="17" ht="14.25" customHeight="1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</row>
    <row r="18" ht="14.25" customHeight="1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</row>
    <row r="19" ht="14.25" customHeight="1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</row>
    <row r="20" ht="14.25" customHeight="1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</row>
    <row r="21" ht="14.25" customHeight="1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</row>
    <row r="22" ht="14.25" customHeight="1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</row>
    <row r="23" ht="14.25" customHeight="1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</row>
    <row r="24" ht="14.25" customHeight="1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</row>
    <row r="25" ht="14.25" customHeight="1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</row>
    <row r="26" ht="14.25" customHeight="1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</row>
    <row r="27" ht="14.25" customHeight="1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</row>
    <row r="28" ht="14.25" customHeight="1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</row>
    <row r="29" ht="14.25" customHeight="1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</row>
    <row r="30" ht="14.25" customHeight="1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</row>
    <row r="31" ht="14.25" customHeight="1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</row>
    <row r="32" ht="14.25" customHeight="1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</row>
    <row r="33" ht="14.25" customHeight="1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</row>
    <row r="34" ht="14.25" customHeight="1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</row>
    <row r="35" ht="14.25" customHeight="1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</row>
    <row r="36" ht="14.25" customHeight="1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</row>
    <row r="37" ht="14.25" customHeight="1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</row>
    <row r="38" ht="14.25" customHeight="1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</row>
    <row r="39" ht="14.25" customHeight="1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</row>
    <row r="40" ht="14.25" customHeight="1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</row>
    <row r="41" ht="14.25" customHeight="1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</row>
    <row r="42" ht="14.25" customHeight="1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</row>
    <row r="43" ht="14.25" customHeight="1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</row>
    <row r="44" ht="14.25" customHeight="1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</row>
    <row r="45" ht="14.25" customHeight="1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</row>
    <row r="46" ht="14.25" customHeight="1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</row>
    <row r="47" ht="14.25" customHeight="1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</row>
    <row r="48" ht="14.25" customHeight="1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</row>
    <row r="49" ht="14.25" customHeight="1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</row>
    <row r="50" ht="14.25" customHeight="1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</row>
    <row r="51" ht="14.25" customHeight="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</row>
    <row r="52" ht="14.25" customHeight="1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</row>
    <row r="53" ht="14.25" customHeight="1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</row>
    <row r="54" ht="14.25" customHeight="1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</row>
    <row r="55" ht="14.25" customHeight="1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</row>
    <row r="56" ht="14.25" customHeight="1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</row>
    <row r="57" ht="14.25" customHeight="1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  <c r="AO57" s="26"/>
    </row>
    <row r="58" ht="14.25" customHeight="1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</row>
    <row r="59" ht="14.25" customHeight="1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</row>
    <row r="60" ht="14.25" customHeight="1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</row>
    <row r="61" ht="14.25" customHeight="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</row>
    <row r="62" ht="14.25" customHeight="1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  <c r="AO62" s="26"/>
    </row>
    <row r="63" ht="14.25" customHeight="1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26"/>
    </row>
    <row r="64" ht="14.25" customHeight="1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  <c r="AM64" s="26"/>
      <c r="AN64" s="26"/>
      <c r="AO64" s="26"/>
    </row>
    <row r="65" ht="14.25" customHeight="1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  <c r="AO65" s="26"/>
    </row>
    <row r="66" ht="14.25" customHeight="1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  <c r="AO66" s="26"/>
    </row>
    <row r="67" ht="14.25" customHeight="1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</row>
    <row r="68" ht="14.25" customHeight="1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  <c r="AO68" s="26"/>
    </row>
    <row r="69" ht="14.25" customHeight="1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</row>
    <row r="70" ht="14.25" customHeight="1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  <c r="AM70" s="26"/>
      <c r="AN70" s="26"/>
      <c r="AO70" s="26"/>
    </row>
    <row r="71" ht="14.25" customHeight="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  <c r="AO71" s="26"/>
    </row>
    <row r="72" ht="14.25" customHeight="1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  <c r="AO72" s="26"/>
    </row>
    <row r="73" ht="14.25" customHeight="1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  <c r="AO73" s="26"/>
    </row>
    <row r="74" ht="14.25" customHeight="1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/>
    </row>
    <row r="75" ht="14.25" customHeight="1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</row>
    <row r="76" ht="14.25" customHeight="1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</row>
    <row r="77" ht="14.25" customHeight="1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  <c r="AM77" s="26"/>
      <c r="AN77" s="26"/>
      <c r="AO77" s="26"/>
    </row>
    <row r="78" ht="14.25" customHeight="1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  <c r="AM78" s="26"/>
      <c r="AN78" s="26"/>
      <c r="AO78" s="26"/>
    </row>
    <row r="79" ht="14.25" customHeight="1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  <c r="AO79" s="26"/>
    </row>
    <row r="80" ht="14.25" customHeight="1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  <c r="AO80" s="26"/>
    </row>
    <row r="81" ht="14.25" customHeight="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  <c r="AO81" s="26"/>
    </row>
    <row r="82" ht="14.25" customHeight="1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  <c r="AM82" s="26"/>
      <c r="AN82" s="26"/>
      <c r="AO82" s="26"/>
    </row>
    <row r="83" ht="14.25" customHeight="1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  <c r="AM83" s="26"/>
      <c r="AN83" s="26"/>
      <c r="AO83" s="26"/>
    </row>
    <row r="84" ht="14.25" customHeight="1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  <c r="AM84" s="26"/>
      <c r="AN84" s="26"/>
      <c r="AO84" s="26"/>
    </row>
    <row r="85" ht="14.25" customHeight="1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  <c r="AO85" s="26"/>
    </row>
    <row r="86" ht="14.25" customHeight="1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/>
      <c r="AN86" s="26"/>
      <c r="AO86" s="26"/>
    </row>
    <row r="87" ht="14.25" customHeight="1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</row>
    <row r="88" ht="14.25" customHeight="1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  <c r="AM88" s="26"/>
      <c r="AN88" s="26"/>
      <c r="AO88" s="26"/>
    </row>
    <row r="89" ht="14.25" customHeight="1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</row>
    <row r="90" ht="14.25" customHeight="1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26"/>
    </row>
    <row r="91" ht="14.25" customHeight="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  <c r="AN91" s="26"/>
      <c r="AO91" s="26"/>
    </row>
    <row r="92" ht="14.25" customHeight="1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  <c r="AO92" s="26"/>
    </row>
    <row r="93" ht="14.25" customHeight="1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</row>
    <row r="94" ht="14.25" customHeight="1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</row>
    <row r="95" ht="14.25" customHeight="1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</row>
    <row r="96" ht="14.25" customHeight="1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  <c r="AM96" s="26"/>
      <c r="AN96" s="26"/>
      <c r="AO96" s="26"/>
    </row>
    <row r="97" ht="14.25" customHeight="1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</row>
    <row r="98" ht="14.25" customHeight="1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</row>
    <row r="99" ht="14.25" customHeight="1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</row>
    <row r="100" ht="14.25" customHeight="1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</row>
    <row r="101" ht="14.25" customHeight="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</row>
    <row r="102" ht="14.25" customHeight="1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</row>
    <row r="103" ht="14.25" customHeight="1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</row>
    <row r="104" ht="14.25" customHeight="1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</row>
    <row r="105" ht="14.25" customHeight="1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</row>
    <row r="106" ht="14.25" customHeight="1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</row>
    <row r="107" ht="14.25" customHeight="1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</row>
    <row r="108" ht="14.25" customHeight="1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  <c r="AN108" s="26"/>
      <c r="AO108" s="26"/>
    </row>
    <row r="109" ht="14.25" customHeight="1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  <c r="AO109" s="26"/>
    </row>
    <row r="110" ht="14.25" customHeight="1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</row>
    <row r="111" ht="14.25" customHeight="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  <c r="AN111" s="26"/>
      <c r="AO111" s="26"/>
    </row>
    <row r="112" ht="14.25" customHeight="1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  <c r="AO112" s="26"/>
    </row>
    <row r="113" ht="14.25" customHeight="1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  <c r="AO113" s="26"/>
    </row>
    <row r="114" ht="14.25" customHeight="1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  <c r="AO114" s="26"/>
    </row>
    <row r="115" ht="14.25" customHeight="1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  <c r="AM115" s="26"/>
      <c r="AN115" s="26"/>
      <c r="AO115" s="26"/>
    </row>
    <row r="116" ht="14.25" customHeight="1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  <c r="AN116" s="26"/>
      <c r="AO116" s="26"/>
    </row>
    <row r="117" ht="14.25" customHeight="1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  <c r="AM117" s="26"/>
      <c r="AN117" s="26"/>
      <c r="AO117" s="26"/>
    </row>
    <row r="118" ht="14.25" customHeight="1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  <c r="AN118" s="26"/>
      <c r="AO118" s="26"/>
    </row>
    <row r="119" ht="14.25" customHeight="1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  <c r="AM119" s="26"/>
      <c r="AN119" s="26"/>
      <c r="AO119" s="26"/>
    </row>
    <row r="120" ht="14.25" customHeight="1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  <c r="AN120" s="26"/>
      <c r="AO120" s="26"/>
    </row>
    <row r="121" ht="14.25" customHeight="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  <c r="AM121" s="26"/>
      <c r="AN121" s="26"/>
      <c r="AO121" s="26"/>
    </row>
    <row r="122" ht="14.25" customHeight="1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  <c r="AM122" s="26"/>
      <c r="AN122" s="26"/>
      <c r="AO122" s="26"/>
    </row>
    <row r="123" ht="14.25" customHeight="1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  <c r="AM123" s="26"/>
      <c r="AN123" s="26"/>
      <c r="AO123" s="26"/>
    </row>
    <row r="124" ht="14.25" customHeight="1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  <c r="AM124" s="26"/>
      <c r="AN124" s="26"/>
      <c r="AO124" s="26"/>
    </row>
    <row r="125" ht="14.25" customHeight="1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  <c r="AM125" s="26"/>
      <c r="AN125" s="26"/>
      <c r="AO125" s="26"/>
    </row>
    <row r="126" ht="14.25" customHeight="1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  <c r="AM126" s="26"/>
      <c r="AN126" s="26"/>
      <c r="AO126" s="26"/>
    </row>
    <row r="127" ht="14.25" customHeight="1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  <c r="AM127" s="26"/>
      <c r="AN127" s="26"/>
      <c r="AO127" s="26"/>
    </row>
    <row r="128" ht="14.25" customHeight="1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  <c r="AM128" s="26"/>
      <c r="AN128" s="26"/>
      <c r="AO128" s="26"/>
    </row>
    <row r="129" ht="14.25" customHeight="1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  <c r="AM129" s="26"/>
      <c r="AN129" s="26"/>
      <c r="AO129" s="26"/>
    </row>
    <row r="130" ht="14.25" customHeight="1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  <c r="AN130" s="26"/>
      <c r="AO130" s="26"/>
    </row>
    <row r="131" ht="14.25" customHeight="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  <c r="AM131" s="26"/>
      <c r="AN131" s="26"/>
      <c r="AO131" s="26"/>
    </row>
    <row r="132" ht="14.25" customHeight="1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  <c r="AM132" s="26"/>
      <c r="AN132" s="26"/>
      <c r="AO132" s="26"/>
    </row>
    <row r="133" ht="14.25" customHeight="1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  <c r="AM133" s="26"/>
      <c r="AN133" s="26"/>
      <c r="AO133" s="26"/>
    </row>
    <row r="134" ht="14.25" customHeight="1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  <c r="AM134" s="26"/>
      <c r="AN134" s="26"/>
      <c r="AO134" s="26"/>
    </row>
    <row r="135" ht="14.25" customHeight="1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  <c r="AM135" s="26"/>
      <c r="AN135" s="26"/>
      <c r="AO135" s="26"/>
    </row>
    <row r="136" ht="14.25" customHeight="1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  <c r="AM136" s="26"/>
      <c r="AN136" s="26"/>
      <c r="AO136" s="26"/>
    </row>
    <row r="137" ht="14.25" customHeight="1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  <c r="AM137" s="26"/>
      <c r="AN137" s="26"/>
      <c r="AO137" s="26"/>
    </row>
    <row r="138" ht="14.25" customHeight="1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  <c r="AM138" s="26"/>
      <c r="AN138" s="26"/>
      <c r="AO138" s="26"/>
    </row>
    <row r="139" ht="14.25" customHeight="1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  <c r="AM139" s="26"/>
      <c r="AN139" s="26"/>
      <c r="AO139" s="26"/>
    </row>
    <row r="140" ht="14.25" customHeight="1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  <c r="AM140" s="26"/>
      <c r="AN140" s="26"/>
      <c r="AO140" s="26"/>
    </row>
    <row r="141" ht="14.25" customHeight="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  <c r="AM141" s="26"/>
      <c r="AN141" s="26"/>
      <c r="AO141" s="26"/>
    </row>
    <row r="142" ht="14.25" customHeight="1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  <c r="AM142" s="26"/>
      <c r="AN142" s="26"/>
      <c r="AO142" s="26"/>
    </row>
    <row r="143" ht="14.25" customHeight="1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  <c r="AM143" s="26"/>
      <c r="AN143" s="26"/>
      <c r="AO143" s="26"/>
    </row>
    <row r="144" ht="14.25" customHeight="1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  <c r="AM144" s="26"/>
      <c r="AN144" s="26"/>
      <c r="AO144" s="26"/>
    </row>
    <row r="145" ht="14.25" customHeight="1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  <c r="AM145" s="26"/>
      <c r="AN145" s="26"/>
      <c r="AO145" s="26"/>
    </row>
    <row r="146" ht="14.25" customHeight="1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  <c r="AM146" s="26"/>
      <c r="AN146" s="26"/>
      <c r="AO146" s="26"/>
    </row>
    <row r="147" ht="14.25" customHeight="1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  <c r="AM147" s="26"/>
      <c r="AN147" s="26"/>
      <c r="AO147" s="26"/>
    </row>
    <row r="148" ht="14.25" customHeight="1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  <c r="AM148" s="26"/>
      <c r="AN148" s="26"/>
      <c r="AO148" s="26"/>
    </row>
    <row r="149" ht="14.25" customHeight="1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  <c r="AM149" s="26"/>
      <c r="AN149" s="26"/>
      <c r="AO149" s="26"/>
    </row>
    <row r="150" ht="14.25" customHeight="1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  <c r="AM150" s="26"/>
      <c r="AN150" s="26"/>
      <c r="AO150" s="26"/>
    </row>
    <row r="151" ht="14.25" customHeight="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  <c r="AM151" s="26"/>
      <c r="AN151" s="26"/>
      <c r="AO151" s="26"/>
    </row>
    <row r="152" ht="14.25" customHeight="1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  <c r="AM152" s="26"/>
      <c r="AN152" s="26"/>
      <c r="AO152" s="26"/>
    </row>
    <row r="153" ht="14.25" customHeight="1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  <c r="AM153" s="26"/>
      <c r="AN153" s="26"/>
      <c r="AO153" s="26"/>
    </row>
    <row r="154" ht="14.25" customHeight="1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  <c r="AM154" s="26"/>
      <c r="AN154" s="26"/>
      <c r="AO154" s="26"/>
    </row>
    <row r="155" ht="14.25" customHeight="1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  <c r="AM155" s="26"/>
      <c r="AN155" s="26"/>
      <c r="AO155" s="26"/>
    </row>
    <row r="156" ht="14.25" customHeight="1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  <c r="AM156" s="26"/>
      <c r="AN156" s="26"/>
      <c r="AO156" s="26"/>
    </row>
    <row r="157" ht="14.25" customHeight="1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  <c r="AM157" s="26"/>
      <c r="AN157" s="26"/>
      <c r="AO157" s="26"/>
    </row>
    <row r="158" ht="14.25" customHeight="1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  <c r="AM158" s="26"/>
      <c r="AN158" s="26"/>
      <c r="AO158" s="26"/>
    </row>
    <row r="159" ht="14.25" customHeight="1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  <c r="AM159" s="26"/>
      <c r="AN159" s="26"/>
      <c r="AO159" s="26"/>
    </row>
    <row r="160" ht="14.25" customHeight="1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  <c r="AM160" s="26"/>
      <c r="AN160" s="26"/>
      <c r="AO160" s="26"/>
    </row>
    <row r="161" ht="14.25" customHeight="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  <c r="AM161" s="26"/>
      <c r="AN161" s="26"/>
      <c r="AO161" s="26"/>
    </row>
    <row r="162" ht="14.25" customHeight="1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  <c r="AM162" s="26"/>
      <c r="AN162" s="26"/>
      <c r="AO162" s="26"/>
    </row>
    <row r="163" ht="14.25" customHeight="1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  <c r="AM163" s="26"/>
      <c r="AN163" s="26"/>
      <c r="AO163" s="26"/>
    </row>
    <row r="164" ht="14.25" customHeight="1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  <c r="AM164" s="26"/>
      <c r="AN164" s="26"/>
      <c r="AO164" s="26"/>
    </row>
    <row r="165" ht="14.25" customHeight="1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  <c r="AM165" s="26"/>
      <c r="AN165" s="26"/>
      <c r="AO165" s="26"/>
    </row>
    <row r="166" ht="14.25" customHeight="1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  <c r="AM166" s="26"/>
      <c r="AN166" s="26"/>
      <c r="AO166" s="26"/>
    </row>
    <row r="167" ht="14.25" customHeight="1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  <c r="AM167" s="26"/>
      <c r="AN167" s="26"/>
      <c r="AO167" s="26"/>
    </row>
    <row r="168" ht="14.25" customHeight="1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  <c r="AM168" s="26"/>
      <c r="AN168" s="26"/>
      <c r="AO168" s="26"/>
    </row>
    <row r="169" ht="14.25" customHeight="1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  <c r="AM169" s="26"/>
      <c r="AN169" s="26"/>
      <c r="AO169" s="26"/>
    </row>
    <row r="170" ht="14.25" customHeight="1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  <c r="AM170" s="26"/>
      <c r="AN170" s="26"/>
      <c r="AO170" s="26"/>
    </row>
    <row r="171" ht="14.25" customHeight="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  <c r="AM171" s="26"/>
      <c r="AN171" s="26"/>
      <c r="AO171" s="26"/>
    </row>
    <row r="172" ht="14.25" customHeight="1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  <c r="AM172" s="26"/>
      <c r="AN172" s="26"/>
      <c r="AO172" s="26"/>
    </row>
    <row r="173" ht="14.25" customHeight="1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  <c r="AM173" s="26"/>
      <c r="AN173" s="26"/>
      <c r="AO173" s="26"/>
    </row>
    <row r="174" ht="14.25" customHeight="1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  <c r="AM174" s="26"/>
      <c r="AN174" s="26"/>
      <c r="AO174" s="26"/>
    </row>
    <row r="175" ht="14.25" customHeight="1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  <c r="AM175" s="26"/>
      <c r="AN175" s="26"/>
      <c r="AO175" s="26"/>
    </row>
    <row r="176" ht="14.25" customHeight="1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  <c r="AM176" s="26"/>
      <c r="AN176" s="26"/>
      <c r="AO176" s="26"/>
    </row>
    <row r="177" ht="14.25" customHeight="1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  <c r="AM177" s="26"/>
      <c r="AN177" s="26"/>
      <c r="AO177" s="26"/>
    </row>
    <row r="178" ht="14.25" customHeight="1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  <c r="AM178" s="26"/>
      <c r="AN178" s="26"/>
      <c r="AO178" s="26"/>
    </row>
    <row r="179" ht="14.25" customHeight="1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  <c r="AM179" s="26"/>
      <c r="AN179" s="26"/>
      <c r="AO179" s="26"/>
    </row>
    <row r="180" ht="14.25" customHeight="1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  <c r="AM180" s="26"/>
      <c r="AN180" s="26"/>
      <c r="AO180" s="26"/>
    </row>
    <row r="181" ht="14.25" customHeight="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  <c r="AM181" s="26"/>
      <c r="AN181" s="26"/>
      <c r="AO181" s="26"/>
    </row>
    <row r="182" ht="14.25" customHeight="1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  <c r="AM182" s="26"/>
      <c r="AN182" s="26"/>
      <c r="AO182" s="26"/>
    </row>
    <row r="183" ht="14.25" customHeight="1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  <c r="AM183" s="26"/>
      <c r="AN183" s="26"/>
      <c r="AO183" s="26"/>
    </row>
    <row r="184" ht="14.25" customHeight="1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  <c r="AM184" s="26"/>
      <c r="AN184" s="26"/>
      <c r="AO184" s="26"/>
    </row>
    <row r="185" ht="14.25" customHeight="1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  <c r="AM185" s="26"/>
      <c r="AN185" s="26"/>
      <c r="AO185" s="26"/>
    </row>
    <row r="186" ht="14.25" customHeight="1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  <c r="AM186" s="26"/>
      <c r="AN186" s="26"/>
      <c r="AO186" s="26"/>
    </row>
    <row r="187" ht="14.25" customHeight="1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  <c r="AM187" s="26"/>
      <c r="AN187" s="26"/>
      <c r="AO187" s="26"/>
    </row>
    <row r="188" ht="14.25" customHeight="1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  <c r="AM188" s="26"/>
      <c r="AN188" s="26"/>
      <c r="AO188" s="26"/>
    </row>
    <row r="189" ht="14.25" customHeight="1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  <c r="AM189" s="26"/>
      <c r="AN189" s="26"/>
      <c r="AO189" s="26"/>
    </row>
    <row r="190" ht="14.25" customHeight="1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  <c r="AM190" s="26"/>
      <c r="AN190" s="26"/>
      <c r="AO190" s="26"/>
    </row>
    <row r="191" ht="14.25" customHeight="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  <c r="AM191" s="26"/>
      <c r="AN191" s="26"/>
      <c r="AO191" s="26"/>
    </row>
    <row r="192" ht="14.25" customHeight="1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  <c r="AM192" s="26"/>
      <c r="AN192" s="26"/>
      <c r="AO192" s="26"/>
    </row>
    <row r="193" ht="14.25" customHeight="1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  <c r="AM193" s="26"/>
      <c r="AN193" s="26"/>
      <c r="AO193" s="26"/>
    </row>
    <row r="194" ht="14.25" customHeight="1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  <c r="AM194" s="26"/>
      <c r="AN194" s="26"/>
      <c r="AO194" s="26"/>
    </row>
    <row r="195" ht="14.25" customHeight="1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  <c r="AM195" s="26"/>
      <c r="AN195" s="26"/>
      <c r="AO195" s="26"/>
    </row>
    <row r="196" ht="14.25" customHeight="1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  <c r="AM196" s="26"/>
      <c r="AN196" s="26"/>
      <c r="AO196" s="26"/>
    </row>
    <row r="197" ht="14.25" customHeight="1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  <c r="AM197" s="26"/>
      <c r="AN197" s="26"/>
      <c r="AO197" s="26"/>
    </row>
    <row r="198" ht="14.25" customHeight="1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  <c r="AM198" s="26"/>
      <c r="AN198" s="26"/>
      <c r="AO198" s="26"/>
    </row>
    <row r="199" ht="14.25" customHeight="1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  <c r="AM199" s="26"/>
      <c r="AN199" s="26"/>
      <c r="AO199" s="26"/>
    </row>
    <row r="200" ht="14.25" customHeight="1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  <c r="AM200" s="26"/>
      <c r="AN200" s="26"/>
      <c r="AO200" s="26"/>
    </row>
    <row r="201" ht="14.25" customHeight="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  <c r="AM201" s="26"/>
      <c r="AN201" s="26"/>
      <c r="AO201" s="26"/>
    </row>
    <row r="202" ht="14.25" customHeight="1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  <c r="AM202" s="26"/>
      <c r="AN202" s="26"/>
      <c r="AO202" s="26"/>
    </row>
    <row r="203" ht="14.25" customHeight="1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  <c r="AM203" s="26"/>
      <c r="AN203" s="26"/>
      <c r="AO203" s="26"/>
    </row>
    <row r="204" ht="14.25" customHeight="1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  <c r="AM204" s="26"/>
      <c r="AN204" s="26"/>
      <c r="AO204" s="26"/>
    </row>
    <row r="205" ht="14.25" customHeight="1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  <c r="AM205" s="26"/>
      <c r="AN205" s="26"/>
      <c r="AO205" s="26"/>
    </row>
    <row r="206" ht="14.25" customHeight="1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  <c r="AM206" s="26"/>
      <c r="AN206" s="26"/>
      <c r="AO206" s="26"/>
    </row>
    <row r="207" ht="14.25" customHeight="1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  <c r="AM207" s="26"/>
      <c r="AN207" s="26"/>
      <c r="AO207" s="26"/>
    </row>
    <row r="208" ht="14.25" customHeight="1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  <c r="AM208" s="26"/>
      <c r="AN208" s="26"/>
      <c r="AO208" s="26"/>
    </row>
    <row r="209" ht="14.25" customHeight="1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  <c r="AM209" s="26"/>
      <c r="AN209" s="26"/>
      <c r="AO209" s="26"/>
    </row>
    <row r="210" ht="14.25" customHeight="1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  <c r="AM210" s="26"/>
      <c r="AN210" s="26"/>
      <c r="AO210" s="26"/>
    </row>
    <row r="211" ht="14.25" customHeight="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  <c r="AM211" s="26"/>
      <c r="AN211" s="26"/>
      <c r="AO211" s="26"/>
    </row>
    <row r="212" ht="14.25" customHeight="1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  <c r="AM212" s="26"/>
      <c r="AN212" s="26"/>
      <c r="AO212" s="26"/>
    </row>
    <row r="213" ht="14.25" customHeight="1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  <c r="AM213" s="26"/>
      <c r="AN213" s="26"/>
      <c r="AO213" s="26"/>
    </row>
    <row r="214" ht="14.25" customHeight="1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  <c r="AM214" s="26"/>
      <c r="AN214" s="26"/>
      <c r="AO214" s="26"/>
    </row>
    <row r="215" ht="14.25" customHeight="1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  <c r="AM215" s="26"/>
      <c r="AN215" s="26"/>
      <c r="AO215" s="26"/>
    </row>
    <row r="216" ht="14.25" customHeight="1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  <c r="AM216" s="26"/>
      <c r="AN216" s="26"/>
      <c r="AO216" s="26"/>
    </row>
    <row r="217" ht="14.25" customHeight="1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  <c r="AM217" s="26"/>
      <c r="AN217" s="26"/>
      <c r="AO217" s="26"/>
    </row>
    <row r="218" ht="14.25" customHeight="1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  <c r="AM218" s="26"/>
      <c r="AN218" s="26"/>
      <c r="AO218" s="26"/>
    </row>
    <row r="219" ht="14.25" customHeight="1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  <c r="AM219" s="26"/>
      <c r="AN219" s="26"/>
      <c r="AO219" s="26"/>
    </row>
    <row r="220" ht="14.25" customHeight="1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  <c r="AM220" s="26"/>
      <c r="AN220" s="26"/>
      <c r="AO220" s="26"/>
    </row>
    <row r="221" ht="14.25" customHeight="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  <c r="AM221" s="26"/>
      <c r="AN221" s="26"/>
      <c r="AO221" s="26"/>
    </row>
    <row r="222" ht="14.25" customHeight="1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  <c r="AM222" s="26"/>
      <c r="AN222" s="26"/>
      <c r="AO222" s="26"/>
    </row>
    <row r="223" ht="14.25" customHeight="1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  <c r="AM223" s="26"/>
      <c r="AN223" s="26"/>
      <c r="AO223" s="26"/>
    </row>
    <row r="224" ht="14.25" customHeight="1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  <c r="AM224" s="26"/>
      <c r="AN224" s="26"/>
      <c r="AO224" s="26"/>
    </row>
    <row r="225" ht="14.25" customHeight="1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  <c r="AM225" s="26"/>
      <c r="AN225" s="26"/>
      <c r="AO225" s="26"/>
    </row>
    <row r="226" ht="14.25" customHeight="1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  <c r="AM226" s="26"/>
      <c r="AN226" s="26"/>
      <c r="AO226" s="26"/>
    </row>
    <row r="227" ht="14.25" customHeight="1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  <c r="AM227" s="26"/>
      <c r="AN227" s="26"/>
      <c r="AO227" s="26"/>
    </row>
    <row r="228" ht="14.25" customHeight="1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  <c r="AM228" s="26"/>
      <c r="AN228" s="26"/>
      <c r="AO228" s="26"/>
    </row>
    <row r="229" ht="14.25" customHeight="1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  <c r="AM229" s="26"/>
      <c r="AN229" s="26"/>
      <c r="AO229" s="26"/>
    </row>
    <row r="230" ht="14.25" customHeight="1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  <c r="AM230" s="26"/>
      <c r="AN230" s="26"/>
      <c r="AO230" s="26"/>
    </row>
    <row r="231" ht="14.25" customHeight="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  <c r="AM231" s="26"/>
      <c r="AN231" s="26"/>
      <c r="AO231" s="26"/>
    </row>
    <row r="232" ht="14.25" customHeight="1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  <c r="AM232" s="26"/>
      <c r="AN232" s="26"/>
      <c r="AO232" s="26"/>
    </row>
    <row r="233" ht="14.25" customHeight="1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  <c r="AM233" s="26"/>
      <c r="AN233" s="26"/>
      <c r="AO233" s="26"/>
    </row>
    <row r="234" ht="14.25" customHeight="1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  <c r="AM234" s="26"/>
      <c r="AN234" s="26"/>
      <c r="AO234" s="26"/>
    </row>
    <row r="235" ht="14.25" customHeight="1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  <c r="AM235" s="26"/>
      <c r="AN235" s="26"/>
      <c r="AO235" s="26"/>
    </row>
    <row r="236" ht="14.25" customHeight="1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  <c r="AM236" s="26"/>
      <c r="AN236" s="26"/>
      <c r="AO236" s="26"/>
    </row>
    <row r="237" ht="14.25" customHeight="1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  <c r="AM237" s="26"/>
      <c r="AN237" s="26"/>
      <c r="AO237" s="26"/>
    </row>
    <row r="238" ht="14.25" customHeight="1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  <c r="AM238" s="26"/>
      <c r="AN238" s="26"/>
      <c r="AO238" s="26"/>
    </row>
    <row r="239" ht="14.25" customHeight="1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  <c r="AM239" s="26"/>
      <c r="AN239" s="26"/>
      <c r="AO239" s="26"/>
    </row>
    <row r="240" ht="14.25" customHeight="1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  <c r="AM240" s="26"/>
      <c r="AN240" s="26"/>
      <c r="AO240" s="26"/>
    </row>
    <row r="241" ht="14.25" customHeight="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  <c r="AM241" s="26"/>
      <c r="AN241" s="26"/>
      <c r="AO241" s="26"/>
    </row>
    <row r="242" ht="14.25" customHeight="1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  <c r="AM242" s="26"/>
      <c r="AN242" s="26"/>
      <c r="AO242" s="26"/>
    </row>
    <row r="243" ht="14.25" customHeight="1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  <c r="AM243" s="26"/>
      <c r="AN243" s="26"/>
      <c r="AO243" s="26"/>
    </row>
    <row r="244" ht="14.25" customHeight="1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  <c r="AM244" s="26"/>
      <c r="AN244" s="26"/>
      <c r="AO244" s="26"/>
    </row>
    <row r="245" ht="14.25" customHeight="1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  <c r="AM245" s="26"/>
      <c r="AN245" s="26"/>
      <c r="AO245" s="26"/>
    </row>
    <row r="246" ht="14.25" customHeight="1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  <c r="AM246" s="26"/>
      <c r="AN246" s="26"/>
      <c r="AO246" s="26"/>
    </row>
    <row r="247" ht="14.25" customHeight="1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  <c r="AM247" s="26"/>
      <c r="AN247" s="26"/>
      <c r="AO247" s="26"/>
    </row>
    <row r="248" ht="14.25" customHeight="1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  <c r="AM248" s="26"/>
      <c r="AN248" s="26"/>
      <c r="AO248" s="26"/>
    </row>
    <row r="249" ht="14.25" customHeight="1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  <c r="AM249" s="26"/>
      <c r="AN249" s="26"/>
      <c r="AO249" s="26"/>
    </row>
    <row r="250" ht="14.25" customHeight="1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  <c r="AM250" s="26"/>
      <c r="AN250" s="26"/>
      <c r="AO250" s="26"/>
    </row>
    <row r="251" ht="14.25" customHeight="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  <c r="AM251" s="26"/>
      <c r="AN251" s="26"/>
      <c r="AO251" s="26"/>
    </row>
    <row r="252" ht="14.25" customHeight="1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  <c r="AH252" s="26"/>
      <c r="AI252" s="26"/>
      <c r="AJ252" s="26"/>
      <c r="AK252" s="26"/>
      <c r="AL252" s="26"/>
      <c r="AM252" s="26"/>
      <c r="AN252" s="26"/>
      <c r="AO252" s="26"/>
    </row>
    <row r="253" ht="14.25" customHeight="1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26"/>
      <c r="AH253" s="26"/>
      <c r="AI253" s="26"/>
      <c r="AJ253" s="26"/>
      <c r="AK253" s="26"/>
      <c r="AL253" s="26"/>
      <c r="AM253" s="26"/>
      <c r="AN253" s="26"/>
      <c r="AO253" s="26"/>
    </row>
    <row r="254" ht="14.25" customHeight="1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  <c r="AG254" s="26"/>
      <c r="AH254" s="26"/>
      <c r="AI254" s="26"/>
      <c r="AJ254" s="26"/>
      <c r="AK254" s="26"/>
      <c r="AL254" s="26"/>
      <c r="AM254" s="26"/>
      <c r="AN254" s="26"/>
      <c r="AO254" s="26"/>
    </row>
    <row r="255" ht="14.25" customHeight="1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AG255" s="26"/>
      <c r="AH255" s="26"/>
      <c r="AI255" s="26"/>
      <c r="AJ255" s="26"/>
      <c r="AK255" s="26"/>
      <c r="AL255" s="26"/>
      <c r="AM255" s="26"/>
      <c r="AN255" s="26"/>
      <c r="AO255" s="26"/>
    </row>
    <row r="256" ht="14.25" customHeight="1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26"/>
      <c r="AH256" s="26"/>
      <c r="AI256" s="26"/>
      <c r="AJ256" s="26"/>
      <c r="AK256" s="26"/>
      <c r="AL256" s="26"/>
      <c r="AM256" s="26"/>
      <c r="AN256" s="26"/>
      <c r="AO256" s="26"/>
    </row>
    <row r="257" ht="14.25" customHeight="1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26"/>
      <c r="AH257" s="26"/>
      <c r="AI257" s="26"/>
      <c r="AJ257" s="26"/>
      <c r="AK257" s="26"/>
      <c r="AL257" s="26"/>
      <c r="AM257" s="26"/>
      <c r="AN257" s="26"/>
      <c r="AO257" s="26"/>
    </row>
    <row r="258" ht="14.25" customHeight="1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26"/>
      <c r="AH258" s="26"/>
      <c r="AI258" s="26"/>
      <c r="AJ258" s="26"/>
      <c r="AK258" s="26"/>
      <c r="AL258" s="26"/>
      <c r="AM258" s="26"/>
      <c r="AN258" s="26"/>
      <c r="AO258" s="26"/>
    </row>
    <row r="259" ht="14.25" customHeight="1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  <c r="AF259" s="26"/>
      <c r="AG259" s="26"/>
      <c r="AH259" s="26"/>
      <c r="AI259" s="26"/>
      <c r="AJ259" s="26"/>
      <c r="AK259" s="26"/>
      <c r="AL259" s="26"/>
      <c r="AM259" s="26"/>
      <c r="AN259" s="26"/>
      <c r="AO259" s="26"/>
    </row>
    <row r="260" ht="14.25" customHeight="1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26"/>
      <c r="AH260" s="26"/>
      <c r="AI260" s="26"/>
      <c r="AJ260" s="26"/>
      <c r="AK260" s="26"/>
      <c r="AL260" s="26"/>
      <c r="AM260" s="26"/>
      <c r="AN260" s="26"/>
      <c r="AO260" s="26"/>
    </row>
    <row r="261" ht="14.25" customHeight="1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26"/>
      <c r="AH261" s="26"/>
      <c r="AI261" s="26"/>
      <c r="AJ261" s="26"/>
      <c r="AK261" s="26"/>
      <c r="AL261" s="26"/>
      <c r="AM261" s="26"/>
      <c r="AN261" s="26"/>
      <c r="AO261" s="26"/>
    </row>
    <row r="262" ht="14.25" customHeight="1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26"/>
      <c r="AH262" s="26"/>
      <c r="AI262" s="26"/>
      <c r="AJ262" s="26"/>
      <c r="AK262" s="26"/>
      <c r="AL262" s="26"/>
      <c r="AM262" s="26"/>
      <c r="AN262" s="26"/>
      <c r="AO262" s="26"/>
    </row>
    <row r="263" ht="14.25" customHeight="1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26"/>
      <c r="AH263" s="26"/>
      <c r="AI263" s="26"/>
      <c r="AJ263" s="26"/>
      <c r="AK263" s="26"/>
      <c r="AL263" s="26"/>
      <c r="AM263" s="26"/>
      <c r="AN263" s="26"/>
      <c r="AO263" s="26"/>
    </row>
    <row r="264" ht="14.25" customHeight="1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26"/>
      <c r="AH264" s="26"/>
      <c r="AI264" s="26"/>
      <c r="AJ264" s="26"/>
      <c r="AK264" s="26"/>
      <c r="AL264" s="26"/>
      <c r="AM264" s="26"/>
      <c r="AN264" s="26"/>
      <c r="AO264" s="26"/>
    </row>
    <row r="265" ht="14.25" customHeight="1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26"/>
      <c r="AH265" s="26"/>
      <c r="AI265" s="26"/>
      <c r="AJ265" s="26"/>
      <c r="AK265" s="26"/>
      <c r="AL265" s="26"/>
      <c r="AM265" s="26"/>
      <c r="AN265" s="26"/>
      <c r="AO265" s="26"/>
    </row>
    <row r="266" ht="14.25" customHeight="1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26"/>
      <c r="AH266" s="26"/>
      <c r="AI266" s="26"/>
      <c r="AJ266" s="26"/>
      <c r="AK266" s="26"/>
      <c r="AL266" s="26"/>
      <c r="AM266" s="26"/>
      <c r="AN266" s="26"/>
      <c r="AO266" s="26"/>
    </row>
    <row r="267" ht="14.25" customHeight="1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  <c r="AG267" s="26"/>
      <c r="AH267" s="26"/>
      <c r="AI267" s="26"/>
      <c r="AJ267" s="26"/>
      <c r="AK267" s="26"/>
      <c r="AL267" s="26"/>
      <c r="AM267" s="26"/>
      <c r="AN267" s="26"/>
      <c r="AO267" s="26"/>
    </row>
    <row r="268" ht="14.25" customHeight="1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26"/>
      <c r="AH268" s="26"/>
      <c r="AI268" s="26"/>
      <c r="AJ268" s="26"/>
      <c r="AK268" s="26"/>
      <c r="AL268" s="26"/>
      <c r="AM268" s="26"/>
      <c r="AN268" s="26"/>
      <c r="AO268" s="26"/>
    </row>
    <row r="269" ht="14.25" customHeight="1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  <c r="AE269" s="26"/>
      <c r="AF269" s="26"/>
      <c r="AG269" s="26"/>
      <c r="AH269" s="26"/>
      <c r="AI269" s="26"/>
      <c r="AJ269" s="26"/>
      <c r="AK269" s="26"/>
      <c r="AL269" s="26"/>
      <c r="AM269" s="26"/>
      <c r="AN269" s="26"/>
      <c r="AO269" s="26"/>
    </row>
    <row r="270" ht="14.25" customHeight="1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26"/>
      <c r="AH270" s="26"/>
      <c r="AI270" s="26"/>
      <c r="AJ270" s="26"/>
      <c r="AK270" s="26"/>
      <c r="AL270" s="26"/>
      <c r="AM270" s="26"/>
      <c r="AN270" s="26"/>
      <c r="AO270" s="26"/>
    </row>
    <row r="271" ht="14.25" customHeight="1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  <c r="AG271" s="26"/>
      <c r="AH271" s="26"/>
      <c r="AI271" s="26"/>
      <c r="AJ271" s="26"/>
      <c r="AK271" s="26"/>
      <c r="AL271" s="26"/>
      <c r="AM271" s="26"/>
      <c r="AN271" s="26"/>
      <c r="AO271" s="26"/>
    </row>
    <row r="272" ht="14.25" customHeight="1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26"/>
      <c r="AH272" s="26"/>
      <c r="AI272" s="26"/>
      <c r="AJ272" s="26"/>
      <c r="AK272" s="26"/>
      <c r="AL272" s="26"/>
      <c r="AM272" s="26"/>
      <c r="AN272" s="26"/>
      <c r="AO272" s="26"/>
    </row>
    <row r="273" ht="14.25" customHeight="1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  <c r="AG273" s="26"/>
      <c r="AH273" s="26"/>
      <c r="AI273" s="26"/>
      <c r="AJ273" s="26"/>
      <c r="AK273" s="26"/>
      <c r="AL273" s="26"/>
      <c r="AM273" s="26"/>
      <c r="AN273" s="26"/>
      <c r="AO273" s="26"/>
    </row>
    <row r="274" ht="14.25" customHeight="1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26"/>
      <c r="AH274" s="26"/>
      <c r="AI274" s="26"/>
      <c r="AJ274" s="26"/>
      <c r="AK274" s="26"/>
      <c r="AL274" s="26"/>
      <c r="AM274" s="26"/>
      <c r="AN274" s="26"/>
      <c r="AO274" s="26"/>
    </row>
    <row r="275" ht="14.25" customHeight="1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  <c r="AG275" s="26"/>
      <c r="AH275" s="26"/>
      <c r="AI275" s="26"/>
      <c r="AJ275" s="26"/>
      <c r="AK275" s="26"/>
      <c r="AL275" s="26"/>
      <c r="AM275" s="26"/>
      <c r="AN275" s="26"/>
      <c r="AO275" s="26"/>
    </row>
    <row r="276" ht="14.25" customHeight="1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26"/>
      <c r="AH276" s="26"/>
      <c r="AI276" s="26"/>
      <c r="AJ276" s="26"/>
      <c r="AK276" s="26"/>
      <c r="AL276" s="26"/>
      <c r="AM276" s="26"/>
      <c r="AN276" s="26"/>
      <c r="AO276" s="26"/>
    </row>
    <row r="277" ht="14.25" customHeight="1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  <c r="AF277" s="26"/>
      <c r="AG277" s="26"/>
      <c r="AH277" s="26"/>
      <c r="AI277" s="26"/>
      <c r="AJ277" s="26"/>
      <c r="AK277" s="26"/>
      <c r="AL277" s="26"/>
      <c r="AM277" s="26"/>
      <c r="AN277" s="26"/>
      <c r="AO277" s="26"/>
    </row>
    <row r="278" ht="14.25" customHeight="1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  <c r="AF278" s="26"/>
      <c r="AG278" s="26"/>
      <c r="AH278" s="26"/>
      <c r="AI278" s="26"/>
      <c r="AJ278" s="26"/>
      <c r="AK278" s="26"/>
      <c r="AL278" s="26"/>
      <c r="AM278" s="26"/>
      <c r="AN278" s="26"/>
      <c r="AO278" s="26"/>
    </row>
    <row r="279" ht="14.25" customHeight="1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  <c r="AE279" s="26"/>
      <c r="AF279" s="26"/>
      <c r="AG279" s="26"/>
      <c r="AH279" s="26"/>
      <c r="AI279" s="26"/>
      <c r="AJ279" s="26"/>
      <c r="AK279" s="26"/>
      <c r="AL279" s="26"/>
      <c r="AM279" s="26"/>
      <c r="AN279" s="26"/>
      <c r="AO279" s="26"/>
    </row>
    <row r="280" ht="14.25" customHeight="1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  <c r="AG280" s="26"/>
      <c r="AH280" s="26"/>
      <c r="AI280" s="26"/>
      <c r="AJ280" s="26"/>
      <c r="AK280" s="26"/>
      <c r="AL280" s="26"/>
      <c r="AM280" s="26"/>
      <c r="AN280" s="26"/>
      <c r="AO280" s="26"/>
    </row>
    <row r="281" ht="14.25" customHeight="1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  <c r="AF281" s="26"/>
      <c r="AG281" s="26"/>
      <c r="AH281" s="26"/>
      <c r="AI281" s="26"/>
      <c r="AJ281" s="26"/>
      <c r="AK281" s="26"/>
      <c r="AL281" s="26"/>
      <c r="AM281" s="26"/>
      <c r="AN281" s="26"/>
      <c r="AO281" s="26"/>
    </row>
    <row r="282" ht="14.25" customHeight="1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  <c r="AG282" s="26"/>
      <c r="AH282" s="26"/>
      <c r="AI282" s="26"/>
      <c r="AJ282" s="26"/>
      <c r="AK282" s="26"/>
      <c r="AL282" s="26"/>
      <c r="AM282" s="26"/>
      <c r="AN282" s="26"/>
      <c r="AO282" s="26"/>
    </row>
    <row r="283" ht="14.25" customHeight="1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  <c r="AF283" s="26"/>
      <c r="AG283" s="26"/>
      <c r="AH283" s="26"/>
      <c r="AI283" s="26"/>
      <c r="AJ283" s="26"/>
      <c r="AK283" s="26"/>
      <c r="AL283" s="26"/>
      <c r="AM283" s="26"/>
      <c r="AN283" s="26"/>
      <c r="AO283" s="26"/>
    </row>
    <row r="284" ht="14.25" customHeight="1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  <c r="AE284" s="26"/>
      <c r="AF284" s="26"/>
      <c r="AG284" s="26"/>
      <c r="AH284" s="26"/>
      <c r="AI284" s="26"/>
      <c r="AJ284" s="26"/>
      <c r="AK284" s="26"/>
      <c r="AL284" s="26"/>
      <c r="AM284" s="26"/>
      <c r="AN284" s="26"/>
      <c r="AO284" s="26"/>
    </row>
    <row r="285" ht="14.25" customHeight="1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  <c r="AG285" s="26"/>
      <c r="AH285" s="26"/>
      <c r="AI285" s="26"/>
      <c r="AJ285" s="26"/>
      <c r="AK285" s="26"/>
      <c r="AL285" s="26"/>
      <c r="AM285" s="26"/>
      <c r="AN285" s="26"/>
      <c r="AO285" s="26"/>
    </row>
    <row r="286" ht="14.25" customHeight="1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  <c r="AE286" s="26"/>
      <c r="AF286" s="26"/>
      <c r="AG286" s="26"/>
      <c r="AH286" s="26"/>
      <c r="AI286" s="26"/>
      <c r="AJ286" s="26"/>
      <c r="AK286" s="26"/>
      <c r="AL286" s="26"/>
      <c r="AM286" s="26"/>
      <c r="AN286" s="26"/>
      <c r="AO286" s="26"/>
    </row>
    <row r="287" ht="14.25" customHeight="1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  <c r="AE287" s="26"/>
      <c r="AF287" s="26"/>
      <c r="AG287" s="26"/>
      <c r="AH287" s="26"/>
      <c r="AI287" s="26"/>
      <c r="AJ287" s="26"/>
      <c r="AK287" s="26"/>
      <c r="AL287" s="26"/>
      <c r="AM287" s="26"/>
      <c r="AN287" s="26"/>
      <c r="AO287" s="26"/>
    </row>
    <row r="288" ht="14.25" customHeight="1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  <c r="AF288" s="26"/>
      <c r="AG288" s="26"/>
      <c r="AH288" s="26"/>
      <c r="AI288" s="26"/>
      <c r="AJ288" s="26"/>
      <c r="AK288" s="26"/>
      <c r="AL288" s="26"/>
      <c r="AM288" s="26"/>
      <c r="AN288" s="26"/>
      <c r="AO288" s="26"/>
    </row>
    <row r="289" ht="14.25" customHeight="1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  <c r="AF289" s="26"/>
      <c r="AG289" s="26"/>
      <c r="AH289" s="26"/>
      <c r="AI289" s="26"/>
      <c r="AJ289" s="26"/>
      <c r="AK289" s="26"/>
      <c r="AL289" s="26"/>
      <c r="AM289" s="26"/>
      <c r="AN289" s="26"/>
      <c r="AO289" s="26"/>
    </row>
    <row r="290" ht="14.25" customHeight="1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  <c r="AF290" s="26"/>
      <c r="AG290" s="26"/>
      <c r="AH290" s="26"/>
      <c r="AI290" s="26"/>
      <c r="AJ290" s="26"/>
      <c r="AK290" s="26"/>
      <c r="AL290" s="26"/>
      <c r="AM290" s="26"/>
      <c r="AN290" s="26"/>
      <c r="AO290" s="26"/>
    </row>
    <row r="291" ht="14.25" customHeight="1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  <c r="AF291" s="26"/>
      <c r="AG291" s="26"/>
      <c r="AH291" s="26"/>
      <c r="AI291" s="26"/>
      <c r="AJ291" s="26"/>
      <c r="AK291" s="26"/>
      <c r="AL291" s="26"/>
      <c r="AM291" s="26"/>
      <c r="AN291" s="26"/>
      <c r="AO291" s="26"/>
    </row>
    <row r="292" ht="14.25" customHeight="1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  <c r="AF292" s="26"/>
      <c r="AG292" s="26"/>
      <c r="AH292" s="26"/>
      <c r="AI292" s="26"/>
      <c r="AJ292" s="26"/>
      <c r="AK292" s="26"/>
      <c r="AL292" s="26"/>
      <c r="AM292" s="26"/>
      <c r="AN292" s="26"/>
      <c r="AO292" s="26"/>
    </row>
    <row r="293" ht="14.25" customHeight="1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  <c r="AE293" s="26"/>
      <c r="AF293" s="26"/>
      <c r="AG293" s="26"/>
      <c r="AH293" s="26"/>
      <c r="AI293" s="26"/>
      <c r="AJ293" s="26"/>
      <c r="AK293" s="26"/>
      <c r="AL293" s="26"/>
      <c r="AM293" s="26"/>
      <c r="AN293" s="26"/>
      <c r="AO293" s="26"/>
    </row>
    <row r="294" ht="14.25" customHeight="1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  <c r="AE294" s="26"/>
      <c r="AF294" s="26"/>
      <c r="AG294" s="26"/>
      <c r="AH294" s="26"/>
      <c r="AI294" s="26"/>
      <c r="AJ294" s="26"/>
      <c r="AK294" s="26"/>
      <c r="AL294" s="26"/>
      <c r="AM294" s="26"/>
      <c r="AN294" s="26"/>
      <c r="AO294" s="26"/>
    </row>
    <row r="295" ht="14.25" customHeight="1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  <c r="AE295" s="26"/>
      <c r="AF295" s="26"/>
      <c r="AG295" s="26"/>
      <c r="AH295" s="26"/>
      <c r="AI295" s="26"/>
      <c r="AJ295" s="26"/>
      <c r="AK295" s="26"/>
      <c r="AL295" s="26"/>
      <c r="AM295" s="26"/>
      <c r="AN295" s="26"/>
      <c r="AO295" s="26"/>
    </row>
    <row r="296" ht="14.25" customHeight="1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  <c r="AE296" s="26"/>
      <c r="AF296" s="26"/>
      <c r="AG296" s="26"/>
      <c r="AH296" s="26"/>
      <c r="AI296" s="26"/>
      <c r="AJ296" s="26"/>
      <c r="AK296" s="26"/>
      <c r="AL296" s="26"/>
      <c r="AM296" s="26"/>
      <c r="AN296" s="26"/>
      <c r="AO296" s="26"/>
    </row>
    <row r="297" ht="14.25" customHeight="1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  <c r="AE297" s="26"/>
      <c r="AF297" s="26"/>
      <c r="AG297" s="26"/>
      <c r="AH297" s="26"/>
      <c r="AI297" s="26"/>
      <c r="AJ297" s="26"/>
      <c r="AK297" s="26"/>
      <c r="AL297" s="26"/>
      <c r="AM297" s="26"/>
      <c r="AN297" s="26"/>
      <c r="AO297" s="26"/>
    </row>
    <row r="298" ht="14.25" customHeight="1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  <c r="AE298" s="26"/>
      <c r="AF298" s="26"/>
      <c r="AG298" s="26"/>
      <c r="AH298" s="26"/>
      <c r="AI298" s="26"/>
      <c r="AJ298" s="26"/>
      <c r="AK298" s="26"/>
      <c r="AL298" s="26"/>
      <c r="AM298" s="26"/>
      <c r="AN298" s="26"/>
      <c r="AO298" s="26"/>
    </row>
    <row r="299" ht="14.25" customHeight="1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  <c r="AE299" s="26"/>
      <c r="AF299" s="26"/>
      <c r="AG299" s="26"/>
      <c r="AH299" s="26"/>
      <c r="AI299" s="26"/>
      <c r="AJ299" s="26"/>
      <c r="AK299" s="26"/>
      <c r="AL299" s="26"/>
      <c r="AM299" s="26"/>
      <c r="AN299" s="26"/>
      <c r="AO299" s="26"/>
    </row>
    <row r="300" ht="14.25" customHeight="1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  <c r="AF300" s="26"/>
      <c r="AG300" s="26"/>
      <c r="AH300" s="26"/>
      <c r="AI300" s="26"/>
      <c r="AJ300" s="26"/>
      <c r="AK300" s="26"/>
      <c r="AL300" s="26"/>
      <c r="AM300" s="26"/>
      <c r="AN300" s="26"/>
      <c r="AO300" s="26"/>
    </row>
    <row r="301" ht="14.25" customHeight="1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  <c r="AE301" s="26"/>
      <c r="AF301" s="26"/>
      <c r="AG301" s="26"/>
      <c r="AH301" s="26"/>
      <c r="AI301" s="26"/>
      <c r="AJ301" s="26"/>
      <c r="AK301" s="26"/>
      <c r="AL301" s="26"/>
      <c r="AM301" s="26"/>
      <c r="AN301" s="26"/>
      <c r="AO301" s="26"/>
    </row>
    <row r="302" ht="14.25" customHeight="1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  <c r="AF302" s="26"/>
      <c r="AG302" s="26"/>
      <c r="AH302" s="26"/>
      <c r="AI302" s="26"/>
      <c r="AJ302" s="26"/>
      <c r="AK302" s="26"/>
      <c r="AL302" s="26"/>
      <c r="AM302" s="26"/>
      <c r="AN302" s="26"/>
      <c r="AO302" s="26"/>
    </row>
    <row r="303" ht="14.25" customHeight="1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  <c r="AF303" s="26"/>
      <c r="AG303" s="26"/>
      <c r="AH303" s="26"/>
      <c r="AI303" s="26"/>
      <c r="AJ303" s="26"/>
      <c r="AK303" s="26"/>
      <c r="AL303" s="26"/>
      <c r="AM303" s="26"/>
      <c r="AN303" s="26"/>
      <c r="AO303" s="26"/>
    </row>
    <row r="304" ht="14.25" customHeight="1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  <c r="AG304" s="26"/>
      <c r="AH304" s="26"/>
      <c r="AI304" s="26"/>
      <c r="AJ304" s="26"/>
      <c r="AK304" s="26"/>
      <c r="AL304" s="26"/>
      <c r="AM304" s="26"/>
      <c r="AN304" s="26"/>
      <c r="AO304" s="26"/>
    </row>
    <row r="305" ht="14.25" customHeight="1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  <c r="AF305" s="26"/>
      <c r="AG305" s="26"/>
      <c r="AH305" s="26"/>
      <c r="AI305" s="26"/>
      <c r="AJ305" s="26"/>
      <c r="AK305" s="26"/>
      <c r="AL305" s="26"/>
      <c r="AM305" s="26"/>
      <c r="AN305" s="26"/>
      <c r="AO305" s="26"/>
    </row>
    <row r="306" ht="14.25" customHeight="1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  <c r="AF306" s="26"/>
      <c r="AG306" s="26"/>
      <c r="AH306" s="26"/>
      <c r="AI306" s="26"/>
      <c r="AJ306" s="26"/>
      <c r="AK306" s="26"/>
      <c r="AL306" s="26"/>
      <c r="AM306" s="26"/>
      <c r="AN306" s="26"/>
      <c r="AO306" s="26"/>
    </row>
    <row r="307" ht="14.25" customHeight="1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  <c r="AE307" s="26"/>
      <c r="AF307" s="26"/>
      <c r="AG307" s="26"/>
      <c r="AH307" s="26"/>
      <c r="AI307" s="26"/>
      <c r="AJ307" s="26"/>
      <c r="AK307" s="26"/>
      <c r="AL307" s="26"/>
      <c r="AM307" s="26"/>
      <c r="AN307" s="26"/>
      <c r="AO307" s="26"/>
    </row>
    <row r="308" ht="14.25" customHeight="1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  <c r="AE308" s="26"/>
      <c r="AF308" s="26"/>
      <c r="AG308" s="26"/>
      <c r="AH308" s="26"/>
      <c r="AI308" s="26"/>
      <c r="AJ308" s="26"/>
      <c r="AK308" s="26"/>
      <c r="AL308" s="26"/>
      <c r="AM308" s="26"/>
      <c r="AN308" s="26"/>
      <c r="AO308" s="26"/>
    </row>
    <row r="309" ht="14.25" customHeight="1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  <c r="AE309" s="26"/>
      <c r="AF309" s="26"/>
      <c r="AG309" s="26"/>
      <c r="AH309" s="26"/>
      <c r="AI309" s="26"/>
      <c r="AJ309" s="26"/>
      <c r="AK309" s="26"/>
      <c r="AL309" s="26"/>
      <c r="AM309" s="26"/>
      <c r="AN309" s="26"/>
      <c r="AO309" s="26"/>
    </row>
    <row r="310" ht="14.25" customHeight="1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  <c r="AE310" s="26"/>
      <c r="AF310" s="26"/>
      <c r="AG310" s="26"/>
      <c r="AH310" s="26"/>
      <c r="AI310" s="26"/>
      <c r="AJ310" s="26"/>
      <c r="AK310" s="26"/>
      <c r="AL310" s="26"/>
      <c r="AM310" s="26"/>
      <c r="AN310" s="26"/>
      <c r="AO310" s="26"/>
    </row>
    <row r="311" ht="14.25" customHeight="1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  <c r="AE311" s="26"/>
      <c r="AF311" s="26"/>
      <c r="AG311" s="26"/>
      <c r="AH311" s="26"/>
      <c r="AI311" s="26"/>
      <c r="AJ311" s="26"/>
      <c r="AK311" s="26"/>
      <c r="AL311" s="26"/>
      <c r="AM311" s="26"/>
      <c r="AN311" s="26"/>
      <c r="AO311" s="26"/>
    </row>
    <row r="312" ht="14.25" customHeight="1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26"/>
      <c r="AF312" s="26"/>
      <c r="AG312" s="26"/>
      <c r="AH312" s="26"/>
      <c r="AI312" s="26"/>
      <c r="AJ312" s="26"/>
      <c r="AK312" s="26"/>
      <c r="AL312" s="26"/>
      <c r="AM312" s="26"/>
      <c r="AN312" s="26"/>
      <c r="AO312" s="26"/>
    </row>
    <row r="313" ht="14.25" customHeight="1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  <c r="AE313" s="26"/>
      <c r="AF313" s="26"/>
      <c r="AG313" s="26"/>
      <c r="AH313" s="26"/>
      <c r="AI313" s="26"/>
      <c r="AJ313" s="26"/>
      <c r="AK313" s="26"/>
      <c r="AL313" s="26"/>
      <c r="AM313" s="26"/>
      <c r="AN313" s="26"/>
      <c r="AO313" s="26"/>
    </row>
    <row r="314" ht="14.25" customHeight="1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  <c r="AF314" s="26"/>
      <c r="AG314" s="26"/>
      <c r="AH314" s="26"/>
      <c r="AI314" s="26"/>
      <c r="AJ314" s="26"/>
      <c r="AK314" s="26"/>
      <c r="AL314" s="26"/>
      <c r="AM314" s="26"/>
      <c r="AN314" s="26"/>
      <c r="AO314" s="26"/>
    </row>
    <row r="315" ht="14.25" customHeight="1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  <c r="AF315" s="26"/>
      <c r="AG315" s="26"/>
      <c r="AH315" s="26"/>
      <c r="AI315" s="26"/>
      <c r="AJ315" s="26"/>
      <c r="AK315" s="26"/>
      <c r="AL315" s="26"/>
      <c r="AM315" s="26"/>
      <c r="AN315" s="26"/>
      <c r="AO315" s="26"/>
    </row>
    <row r="316" ht="14.25" customHeight="1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  <c r="AE316" s="26"/>
      <c r="AF316" s="26"/>
      <c r="AG316" s="26"/>
      <c r="AH316" s="26"/>
      <c r="AI316" s="26"/>
      <c r="AJ316" s="26"/>
      <c r="AK316" s="26"/>
      <c r="AL316" s="26"/>
      <c r="AM316" s="26"/>
      <c r="AN316" s="26"/>
      <c r="AO316" s="26"/>
    </row>
    <row r="317" ht="14.25" customHeight="1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  <c r="AE317" s="26"/>
      <c r="AF317" s="26"/>
      <c r="AG317" s="26"/>
      <c r="AH317" s="26"/>
      <c r="AI317" s="26"/>
      <c r="AJ317" s="26"/>
      <c r="AK317" s="26"/>
      <c r="AL317" s="26"/>
      <c r="AM317" s="26"/>
      <c r="AN317" s="26"/>
      <c r="AO317" s="26"/>
    </row>
    <row r="318" ht="14.25" customHeight="1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  <c r="AF318" s="26"/>
      <c r="AG318" s="26"/>
      <c r="AH318" s="26"/>
      <c r="AI318" s="26"/>
      <c r="AJ318" s="26"/>
      <c r="AK318" s="26"/>
      <c r="AL318" s="26"/>
      <c r="AM318" s="26"/>
      <c r="AN318" s="26"/>
      <c r="AO318" s="26"/>
    </row>
    <row r="319" ht="14.25" customHeight="1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  <c r="AE319" s="26"/>
      <c r="AF319" s="26"/>
      <c r="AG319" s="26"/>
      <c r="AH319" s="26"/>
      <c r="AI319" s="26"/>
      <c r="AJ319" s="26"/>
      <c r="AK319" s="26"/>
      <c r="AL319" s="26"/>
      <c r="AM319" s="26"/>
      <c r="AN319" s="26"/>
      <c r="AO319" s="26"/>
    </row>
    <row r="320" ht="14.25" customHeight="1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  <c r="AF320" s="26"/>
      <c r="AG320" s="26"/>
      <c r="AH320" s="26"/>
      <c r="AI320" s="26"/>
      <c r="AJ320" s="26"/>
      <c r="AK320" s="26"/>
      <c r="AL320" s="26"/>
      <c r="AM320" s="26"/>
      <c r="AN320" s="26"/>
      <c r="AO320" s="26"/>
    </row>
    <row r="321" ht="14.25" customHeight="1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  <c r="AE321" s="26"/>
      <c r="AF321" s="26"/>
      <c r="AG321" s="26"/>
      <c r="AH321" s="26"/>
      <c r="AI321" s="26"/>
      <c r="AJ321" s="26"/>
      <c r="AK321" s="26"/>
      <c r="AL321" s="26"/>
      <c r="AM321" s="26"/>
      <c r="AN321" s="26"/>
      <c r="AO321" s="26"/>
    </row>
    <row r="322" ht="14.25" customHeight="1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  <c r="AE322" s="26"/>
      <c r="AF322" s="26"/>
      <c r="AG322" s="26"/>
      <c r="AH322" s="26"/>
      <c r="AI322" s="26"/>
      <c r="AJ322" s="26"/>
      <c r="AK322" s="26"/>
      <c r="AL322" s="26"/>
      <c r="AM322" s="26"/>
      <c r="AN322" s="26"/>
      <c r="AO322" s="26"/>
    </row>
    <row r="323" ht="14.25" customHeight="1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  <c r="AE323" s="26"/>
      <c r="AF323" s="26"/>
      <c r="AG323" s="26"/>
      <c r="AH323" s="26"/>
      <c r="AI323" s="26"/>
      <c r="AJ323" s="26"/>
      <c r="AK323" s="26"/>
      <c r="AL323" s="26"/>
      <c r="AM323" s="26"/>
      <c r="AN323" s="26"/>
      <c r="AO323" s="26"/>
    </row>
    <row r="324" ht="14.25" customHeight="1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  <c r="AE324" s="26"/>
      <c r="AF324" s="26"/>
      <c r="AG324" s="26"/>
      <c r="AH324" s="26"/>
      <c r="AI324" s="26"/>
      <c r="AJ324" s="26"/>
      <c r="AK324" s="26"/>
      <c r="AL324" s="26"/>
      <c r="AM324" s="26"/>
      <c r="AN324" s="26"/>
      <c r="AO324" s="26"/>
    </row>
    <row r="325" ht="14.25" customHeight="1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  <c r="AE325" s="26"/>
      <c r="AF325" s="26"/>
      <c r="AG325" s="26"/>
      <c r="AH325" s="26"/>
      <c r="AI325" s="26"/>
      <c r="AJ325" s="26"/>
      <c r="AK325" s="26"/>
      <c r="AL325" s="26"/>
      <c r="AM325" s="26"/>
      <c r="AN325" s="26"/>
      <c r="AO325" s="26"/>
    </row>
    <row r="326" ht="14.25" customHeight="1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  <c r="AE326" s="26"/>
      <c r="AF326" s="26"/>
      <c r="AG326" s="26"/>
      <c r="AH326" s="26"/>
      <c r="AI326" s="26"/>
      <c r="AJ326" s="26"/>
      <c r="AK326" s="26"/>
      <c r="AL326" s="26"/>
      <c r="AM326" s="26"/>
      <c r="AN326" s="26"/>
      <c r="AO326" s="26"/>
    </row>
    <row r="327" ht="14.25" customHeight="1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  <c r="AE327" s="26"/>
      <c r="AF327" s="26"/>
      <c r="AG327" s="26"/>
      <c r="AH327" s="26"/>
      <c r="AI327" s="26"/>
      <c r="AJ327" s="26"/>
      <c r="AK327" s="26"/>
      <c r="AL327" s="26"/>
      <c r="AM327" s="26"/>
      <c r="AN327" s="26"/>
      <c r="AO327" s="26"/>
    </row>
    <row r="328" ht="14.25" customHeight="1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  <c r="AE328" s="26"/>
      <c r="AF328" s="26"/>
      <c r="AG328" s="26"/>
      <c r="AH328" s="26"/>
      <c r="AI328" s="26"/>
      <c r="AJ328" s="26"/>
      <c r="AK328" s="26"/>
      <c r="AL328" s="26"/>
      <c r="AM328" s="26"/>
      <c r="AN328" s="26"/>
      <c r="AO328" s="26"/>
    </row>
    <row r="329" ht="14.25" customHeight="1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  <c r="AE329" s="26"/>
      <c r="AF329" s="26"/>
      <c r="AG329" s="26"/>
      <c r="AH329" s="26"/>
      <c r="AI329" s="26"/>
      <c r="AJ329" s="26"/>
      <c r="AK329" s="26"/>
      <c r="AL329" s="26"/>
      <c r="AM329" s="26"/>
      <c r="AN329" s="26"/>
      <c r="AO329" s="26"/>
    </row>
    <row r="330" ht="14.25" customHeight="1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  <c r="AE330" s="26"/>
      <c r="AF330" s="26"/>
      <c r="AG330" s="26"/>
      <c r="AH330" s="26"/>
      <c r="AI330" s="26"/>
      <c r="AJ330" s="26"/>
      <c r="AK330" s="26"/>
      <c r="AL330" s="26"/>
      <c r="AM330" s="26"/>
      <c r="AN330" s="26"/>
      <c r="AO330" s="26"/>
    </row>
    <row r="331" ht="14.25" customHeight="1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  <c r="AE331" s="26"/>
      <c r="AF331" s="26"/>
      <c r="AG331" s="26"/>
      <c r="AH331" s="26"/>
      <c r="AI331" s="26"/>
      <c r="AJ331" s="26"/>
      <c r="AK331" s="26"/>
      <c r="AL331" s="26"/>
      <c r="AM331" s="26"/>
      <c r="AN331" s="26"/>
      <c r="AO331" s="26"/>
    </row>
    <row r="332" ht="14.25" customHeight="1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  <c r="AE332" s="26"/>
      <c r="AF332" s="26"/>
      <c r="AG332" s="26"/>
      <c r="AH332" s="26"/>
      <c r="AI332" s="26"/>
      <c r="AJ332" s="26"/>
      <c r="AK332" s="26"/>
      <c r="AL332" s="26"/>
      <c r="AM332" s="26"/>
      <c r="AN332" s="26"/>
      <c r="AO332" s="26"/>
    </row>
    <row r="333" ht="14.25" customHeight="1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  <c r="AE333" s="26"/>
      <c r="AF333" s="26"/>
      <c r="AG333" s="26"/>
      <c r="AH333" s="26"/>
      <c r="AI333" s="26"/>
      <c r="AJ333" s="26"/>
      <c r="AK333" s="26"/>
      <c r="AL333" s="26"/>
      <c r="AM333" s="26"/>
      <c r="AN333" s="26"/>
      <c r="AO333" s="26"/>
    </row>
    <row r="334" ht="14.25" customHeight="1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  <c r="AE334" s="26"/>
      <c r="AF334" s="26"/>
      <c r="AG334" s="26"/>
      <c r="AH334" s="26"/>
      <c r="AI334" s="26"/>
      <c r="AJ334" s="26"/>
      <c r="AK334" s="26"/>
      <c r="AL334" s="26"/>
      <c r="AM334" s="26"/>
      <c r="AN334" s="26"/>
      <c r="AO334" s="26"/>
    </row>
    <row r="335" ht="14.25" customHeight="1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  <c r="AE335" s="26"/>
      <c r="AF335" s="26"/>
      <c r="AG335" s="26"/>
      <c r="AH335" s="26"/>
      <c r="AI335" s="26"/>
      <c r="AJ335" s="26"/>
      <c r="AK335" s="26"/>
      <c r="AL335" s="26"/>
      <c r="AM335" s="26"/>
      <c r="AN335" s="26"/>
      <c r="AO335" s="26"/>
    </row>
    <row r="336" ht="14.25" customHeight="1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  <c r="AE336" s="26"/>
      <c r="AF336" s="26"/>
      <c r="AG336" s="26"/>
      <c r="AH336" s="26"/>
      <c r="AI336" s="26"/>
      <c r="AJ336" s="26"/>
      <c r="AK336" s="26"/>
      <c r="AL336" s="26"/>
      <c r="AM336" s="26"/>
      <c r="AN336" s="26"/>
      <c r="AO336" s="26"/>
    </row>
    <row r="337" ht="14.25" customHeight="1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  <c r="AE337" s="26"/>
      <c r="AF337" s="26"/>
      <c r="AG337" s="26"/>
      <c r="AH337" s="26"/>
      <c r="AI337" s="26"/>
      <c r="AJ337" s="26"/>
      <c r="AK337" s="26"/>
      <c r="AL337" s="26"/>
      <c r="AM337" s="26"/>
      <c r="AN337" s="26"/>
      <c r="AO337" s="26"/>
    </row>
    <row r="338" ht="14.25" customHeight="1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  <c r="AE338" s="26"/>
      <c r="AF338" s="26"/>
      <c r="AG338" s="26"/>
      <c r="AH338" s="26"/>
      <c r="AI338" s="26"/>
      <c r="AJ338" s="26"/>
      <c r="AK338" s="26"/>
      <c r="AL338" s="26"/>
      <c r="AM338" s="26"/>
      <c r="AN338" s="26"/>
      <c r="AO338" s="26"/>
    </row>
    <row r="339" ht="14.25" customHeight="1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  <c r="AD339" s="26"/>
      <c r="AE339" s="26"/>
      <c r="AF339" s="26"/>
      <c r="AG339" s="26"/>
      <c r="AH339" s="26"/>
      <c r="AI339" s="26"/>
      <c r="AJ339" s="26"/>
      <c r="AK339" s="26"/>
      <c r="AL339" s="26"/>
      <c r="AM339" s="26"/>
      <c r="AN339" s="26"/>
      <c r="AO339" s="26"/>
    </row>
    <row r="340" ht="14.25" customHeight="1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  <c r="AE340" s="26"/>
      <c r="AF340" s="26"/>
      <c r="AG340" s="26"/>
      <c r="AH340" s="26"/>
      <c r="AI340" s="26"/>
      <c r="AJ340" s="26"/>
      <c r="AK340" s="26"/>
      <c r="AL340" s="26"/>
      <c r="AM340" s="26"/>
      <c r="AN340" s="26"/>
      <c r="AO340" s="26"/>
    </row>
    <row r="341" ht="14.25" customHeight="1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  <c r="AE341" s="26"/>
      <c r="AF341" s="26"/>
      <c r="AG341" s="26"/>
      <c r="AH341" s="26"/>
      <c r="AI341" s="26"/>
      <c r="AJ341" s="26"/>
      <c r="AK341" s="26"/>
      <c r="AL341" s="26"/>
      <c r="AM341" s="26"/>
      <c r="AN341" s="26"/>
      <c r="AO341" s="26"/>
    </row>
    <row r="342" ht="14.25" customHeight="1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  <c r="AE342" s="26"/>
      <c r="AF342" s="26"/>
      <c r="AG342" s="26"/>
      <c r="AH342" s="26"/>
      <c r="AI342" s="26"/>
      <c r="AJ342" s="26"/>
      <c r="AK342" s="26"/>
      <c r="AL342" s="26"/>
      <c r="AM342" s="26"/>
      <c r="AN342" s="26"/>
      <c r="AO342" s="26"/>
    </row>
    <row r="343" ht="14.25" customHeight="1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  <c r="AE343" s="26"/>
      <c r="AF343" s="26"/>
      <c r="AG343" s="26"/>
      <c r="AH343" s="26"/>
      <c r="AI343" s="26"/>
      <c r="AJ343" s="26"/>
      <c r="AK343" s="26"/>
      <c r="AL343" s="26"/>
      <c r="AM343" s="26"/>
      <c r="AN343" s="26"/>
      <c r="AO343" s="26"/>
    </row>
    <row r="344" ht="14.25" customHeight="1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  <c r="AF344" s="26"/>
      <c r="AG344" s="26"/>
      <c r="AH344" s="26"/>
      <c r="AI344" s="26"/>
      <c r="AJ344" s="26"/>
      <c r="AK344" s="26"/>
      <c r="AL344" s="26"/>
      <c r="AM344" s="26"/>
      <c r="AN344" s="26"/>
      <c r="AO344" s="26"/>
    </row>
    <row r="345" ht="14.25" customHeight="1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  <c r="AE345" s="26"/>
      <c r="AF345" s="26"/>
      <c r="AG345" s="26"/>
      <c r="AH345" s="26"/>
      <c r="AI345" s="26"/>
      <c r="AJ345" s="26"/>
      <c r="AK345" s="26"/>
      <c r="AL345" s="26"/>
      <c r="AM345" s="26"/>
      <c r="AN345" s="26"/>
      <c r="AO345" s="26"/>
    </row>
    <row r="346" ht="14.25" customHeight="1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  <c r="AF346" s="26"/>
      <c r="AG346" s="26"/>
      <c r="AH346" s="26"/>
      <c r="AI346" s="26"/>
      <c r="AJ346" s="26"/>
      <c r="AK346" s="26"/>
      <c r="AL346" s="26"/>
      <c r="AM346" s="26"/>
      <c r="AN346" s="26"/>
      <c r="AO346" s="26"/>
    </row>
    <row r="347" ht="14.25" customHeight="1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  <c r="AE347" s="26"/>
      <c r="AF347" s="26"/>
      <c r="AG347" s="26"/>
      <c r="AH347" s="26"/>
      <c r="AI347" s="26"/>
      <c r="AJ347" s="26"/>
      <c r="AK347" s="26"/>
      <c r="AL347" s="26"/>
      <c r="AM347" s="26"/>
      <c r="AN347" s="26"/>
      <c r="AO347" s="26"/>
    </row>
    <row r="348" ht="14.25" customHeight="1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  <c r="AE348" s="26"/>
      <c r="AF348" s="26"/>
      <c r="AG348" s="26"/>
      <c r="AH348" s="26"/>
      <c r="AI348" s="26"/>
      <c r="AJ348" s="26"/>
      <c r="AK348" s="26"/>
      <c r="AL348" s="26"/>
      <c r="AM348" s="26"/>
      <c r="AN348" s="26"/>
      <c r="AO348" s="26"/>
    </row>
    <row r="349" ht="14.25" customHeight="1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  <c r="AE349" s="26"/>
      <c r="AF349" s="26"/>
      <c r="AG349" s="26"/>
      <c r="AH349" s="26"/>
      <c r="AI349" s="26"/>
      <c r="AJ349" s="26"/>
      <c r="AK349" s="26"/>
      <c r="AL349" s="26"/>
      <c r="AM349" s="26"/>
      <c r="AN349" s="26"/>
      <c r="AO349" s="26"/>
    </row>
    <row r="350" ht="14.25" customHeight="1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  <c r="AE350" s="26"/>
      <c r="AF350" s="26"/>
      <c r="AG350" s="26"/>
      <c r="AH350" s="26"/>
      <c r="AI350" s="26"/>
      <c r="AJ350" s="26"/>
      <c r="AK350" s="26"/>
      <c r="AL350" s="26"/>
      <c r="AM350" s="26"/>
      <c r="AN350" s="26"/>
      <c r="AO350" s="26"/>
    </row>
    <row r="351" ht="14.25" customHeight="1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  <c r="AE351" s="26"/>
      <c r="AF351" s="26"/>
      <c r="AG351" s="26"/>
      <c r="AH351" s="26"/>
      <c r="AI351" s="26"/>
      <c r="AJ351" s="26"/>
      <c r="AK351" s="26"/>
      <c r="AL351" s="26"/>
      <c r="AM351" s="26"/>
      <c r="AN351" s="26"/>
      <c r="AO351" s="26"/>
    </row>
    <row r="352" ht="14.25" customHeight="1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  <c r="AE352" s="26"/>
      <c r="AF352" s="26"/>
      <c r="AG352" s="26"/>
      <c r="AH352" s="26"/>
      <c r="AI352" s="26"/>
      <c r="AJ352" s="26"/>
      <c r="AK352" s="26"/>
      <c r="AL352" s="26"/>
      <c r="AM352" s="26"/>
      <c r="AN352" s="26"/>
      <c r="AO352" s="26"/>
    </row>
    <row r="353" ht="14.25" customHeight="1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  <c r="AE353" s="26"/>
      <c r="AF353" s="26"/>
      <c r="AG353" s="26"/>
      <c r="AH353" s="26"/>
      <c r="AI353" s="26"/>
      <c r="AJ353" s="26"/>
      <c r="AK353" s="26"/>
      <c r="AL353" s="26"/>
      <c r="AM353" s="26"/>
      <c r="AN353" s="26"/>
      <c r="AO353" s="26"/>
    </row>
    <row r="354" ht="14.25" customHeight="1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  <c r="AE354" s="26"/>
      <c r="AF354" s="26"/>
      <c r="AG354" s="26"/>
      <c r="AH354" s="26"/>
      <c r="AI354" s="26"/>
      <c r="AJ354" s="26"/>
      <c r="AK354" s="26"/>
      <c r="AL354" s="26"/>
      <c r="AM354" s="26"/>
      <c r="AN354" s="26"/>
      <c r="AO354" s="26"/>
    </row>
    <row r="355" ht="14.25" customHeight="1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  <c r="AE355" s="26"/>
      <c r="AF355" s="26"/>
      <c r="AG355" s="26"/>
      <c r="AH355" s="26"/>
      <c r="AI355" s="26"/>
      <c r="AJ355" s="26"/>
      <c r="AK355" s="26"/>
      <c r="AL355" s="26"/>
      <c r="AM355" s="26"/>
      <c r="AN355" s="26"/>
      <c r="AO355" s="26"/>
    </row>
    <row r="356" ht="14.25" customHeight="1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  <c r="AE356" s="26"/>
      <c r="AF356" s="26"/>
      <c r="AG356" s="26"/>
      <c r="AH356" s="26"/>
      <c r="AI356" s="26"/>
      <c r="AJ356" s="26"/>
      <c r="AK356" s="26"/>
      <c r="AL356" s="26"/>
      <c r="AM356" s="26"/>
      <c r="AN356" s="26"/>
      <c r="AO356" s="26"/>
    </row>
    <row r="357" ht="14.25" customHeight="1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  <c r="AE357" s="26"/>
      <c r="AF357" s="26"/>
      <c r="AG357" s="26"/>
      <c r="AH357" s="26"/>
      <c r="AI357" s="26"/>
      <c r="AJ357" s="26"/>
      <c r="AK357" s="26"/>
      <c r="AL357" s="26"/>
      <c r="AM357" s="26"/>
      <c r="AN357" s="26"/>
      <c r="AO357" s="26"/>
    </row>
    <row r="358" ht="14.25" customHeight="1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  <c r="AF358" s="26"/>
      <c r="AG358" s="26"/>
      <c r="AH358" s="26"/>
      <c r="AI358" s="26"/>
      <c r="AJ358" s="26"/>
      <c r="AK358" s="26"/>
      <c r="AL358" s="26"/>
      <c r="AM358" s="26"/>
      <c r="AN358" s="26"/>
      <c r="AO358" s="26"/>
    </row>
    <row r="359" ht="14.25" customHeight="1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  <c r="AE359" s="26"/>
      <c r="AF359" s="26"/>
      <c r="AG359" s="26"/>
      <c r="AH359" s="26"/>
      <c r="AI359" s="26"/>
      <c r="AJ359" s="26"/>
      <c r="AK359" s="26"/>
      <c r="AL359" s="26"/>
      <c r="AM359" s="26"/>
      <c r="AN359" s="26"/>
      <c r="AO359" s="26"/>
    </row>
    <row r="360" ht="14.25" customHeight="1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  <c r="AE360" s="26"/>
      <c r="AF360" s="26"/>
      <c r="AG360" s="26"/>
      <c r="AH360" s="26"/>
      <c r="AI360" s="26"/>
      <c r="AJ360" s="26"/>
      <c r="AK360" s="26"/>
      <c r="AL360" s="26"/>
      <c r="AM360" s="26"/>
      <c r="AN360" s="26"/>
      <c r="AO360" s="26"/>
    </row>
    <row r="361" ht="14.25" customHeight="1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  <c r="AE361" s="26"/>
      <c r="AF361" s="26"/>
      <c r="AG361" s="26"/>
      <c r="AH361" s="26"/>
      <c r="AI361" s="26"/>
      <c r="AJ361" s="26"/>
      <c r="AK361" s="26"/>
      <c r="AL361" s="26"/>
      <c r="AM361" s="26"/>
      <c r="AN361" s="26"/>
      <c r="AO361" s="26"/>
    </row>
    <row r="362" ht="14.25" customHeight="1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  <c r="AE362" s="26"/>
      <c r="AF362" s="26"/>
      <c r="AG362" s="26"/>
      <c r="AH362" s="26"/>
      <c r="AI362" s="26"/>
      <c r="AJ362" s="26"/>
      <c r="AK362" s="26"/>
      <c r="AL362" s="26"/>
      <c r="AM362" s="26"/>
      <c r="AN362" s="26"/>
      <c r="AO362" s="26"/>
    </row>
    <row r="363" ht="14.25" customHeight="1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  <c r="AE363" s="26"/>
      <c r="AF363" s="26"/>
      <c r="AG363" s="26"/>
      <c r="AH363" s="26"/>
      <c r="AI363" s="26"/>
      <c r="AJ363" s="26"/>
      <c r="AK363" s="26"/>
      <c r="AL363" s="26"/>
      <c r="AM363" s="26"/>
      <c r="AN363" s="26"/>
      <c r="AO363" s="26"/>
    </row>
    <row r="364" ht="14.25" customHeight="1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  <c r="AE364" s="26"/>
      <c r="AF364" s="26"/>
      <c r="AG364" s="26"/>
      <c r="AH364" s="26"/>
      <c r="AI364" s="26"/>
      <c r="AJ364" s="26"/>
      <c r="AK364" s="26"/>
      <c r="AL364" s="26"/>
      <c r="AM364" s="26"/>
      <c r="AN364" s="26"/>
      <c r="AO364" s="26"/>
    </row>
    <row r="365" ht="14.25" customHeight="1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  <c r="AE365" s="26"/>
      <c r="AF365" s="26"/>
      <c r="AG365" s="26"/>
      <c r="AH365" s="26"/>
      <c r="AI365" s="26"/>
      <c r="AJ365" s="26"/>
      <c r="AK365" s="26"/>
      <c r="AL365" s="26"/>
      <c r="AM365" s="26"/>
      <c r="AN365" s="26"/>
      <c r="AO365" s="26"/>
    </row>
    <row r="366" ht="14.25" customHeight="1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  <c r="AF366" s="26"/>
      <c r="AG366" s="26"/>
      <c r="AH366" s="26"/>
      <c r="AI366" s="26"/>
      <c r="AJ366" s="26"/>
      <c r="AK366" s="26"/>
      <c r="AL366" s="26"/>
      <c r="AM366" s="26"/>
      <c r="AN366" s="26"/>
      <c r="AO366" s="26"/>
    </row>
    <row r="367" ht="14.25" customHeight="1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  <c r="AE367" s="26"/>
      <c r="AF367" s="26"/>
      <c r="AG367" s="26"/>
      <c r="AH367" s="26"/>
      <c r="AI367" s="26"/>
      <c r="AJ367" s="26"/>
      <c r="AK367" s="26"/>
      <c r="AL367" s="26"/>
      <c r="AM367" s="26"/>
      <c r="AN367" s="26"/>
      <c r="AO367" s="26"/>
    </row>
    <row r="368" ht="14.25" customHeight="1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  <c r="AE368" s="26"/>
      <c r="AF368" s="26"/>
      <c r="AG368" s="26"/>
      <c r="AH368" s="26"/>
      <c r="AI368" s="26"/>
      <c r="AJ368" s="26"/>
      <c r="AK368" s="26"/>
      <c r="AL368" s="26"/>
      <c r="AM368" s="26"/>
      <c r="AN368" s="26"/>
      <c r="AO368" s="26"/>
    </row>
    <row r="369" ht="14.25" customHeight="1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  <c r="AE369" s="26"/>
      <c r="AF369" s="26"/>
      <c r="AG369" s="26"/>
      <c r="AH369" s="26"/>
      <c r="AI369" s="26"/>
      <c r="AJ369" s="26"/>
      <c r="AK369" s="26"/>
      <c r="AL369" s="26"/>
      <c r="AM369" s="26"/>
      <c r="AN369" s="26"/>
      <c r="AO369" s="26"/>
    </row>
    <row r="370" ht="14.25" customHeight="1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  <c r="AF370" s="26"/>
      <c r="AG370" s="26"/>
      <c r="AH370" s="26"/>
      <c r="AI370" s="26"/>
      <c r="AJ370" s="26"/>
      <c r="AK370" s="26"/>
      <c r="AL370" s="26"/>
      <c r="AM370" s="26"/>
      <c r="AN370" s="26"/>
      <c r="AO370" s="26"/>
    </row>
    <row r="371" ht="14.25" customHeight="1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  <c r="AE371" s="26"/>
      <c r="AF371" s="26"/>
      <c r="AG371" s="26"/>
      <c r="AH371" s="26"/>
      <c r="AI371" s="26"/>
      <c r="AJ371" s="26"/>
      <c r="AK371" s="26"/>
      <c r="AL371" s="26"/>
      <c r="AM371" s="26"/>
      <c r="AN371" s="26"/>
      <c r="AO371" s="26"/>
    </row>
    <row r="372" ht="14.25" customHeight="1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  <c r="AE372" s="26"/>
      <c r="AF372" s="26"/>
      <c r="AG372" s="26"/>
      <c r="AH372" s="26"/>
      <c r="AI372" s="26"/>
      <c r="AJ372" s="26"/>
      <c r="AK372" s="26"/>
      <c r="AL372" s="26"/>
      <c r="AM372" s="26"/>
      <c r="AN372" s="26"/>
      <c r="AO372" s="26"/>
    </row>
    <row r="373" ht="14.25" customHeight="1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  <c r="AE373" s="26"/>
      <c r="AF373" s="26"/>
      <c r="AG373" s="26"/>
      <c r="AH373" s="26"/>
      <c r="AI373" s="26"/>
      <c r="AJ373" s="26"/>
      <c r="AK373" s="26"/>
      <c r="AL373" s="26"/>
      <c r="AM373" s="26"/>
      <c r="AN373" s="26"/>
      <c r="AO373" s="26"/>
    </row>
    <row r="374" ht="14.25" customHeight="1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  <c r="AE374" s="26"/>
      <c r="AF374" s="26"/>
      <c r="AG374" s="26"/>
      <c r="AH374" s="26"/>
      <c r="AI374" s="26"/>
      <c r="AJ374" s="26"/>
      <c r="AK374" s="26"/>
      <c r="AL374" s="26"/>
      <c r="AM374" s="26"/>
      <c r="AN374" s="26"/>
      <c r="AO374" s="26"/>
    </row>
    <row r="375" ht="14.25" customHeight="1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  <c r="AE375" s="26"/>
      <c r="AF375" s="26"/>
      <c r="AG375" s="26"/>
      <c r="AH375" s="26"/>
      <c r="AI375" s="26"/>
      <c r="AJ375" s="26"/>
      <c r="AK375" s="26"/>
      <c r="AL375" s="26"/>
      <c r="AM375" s="26"/>
      <c r="AN375" s="26"/>
      <c r="AO375" s="26"/>
    </row>
    <row r="376" ht="14.25" customHeight="1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26"/>
      <c r="AF376" s="26"/>
      <c r="AG376" s="26"/>
      <c r="AH376" s="26"/>
      <c r="AI376" s="26"/>
      <c r="AJ376" s="26"/>
      <c r="AK376" s="26"/>
      <c r="AL376" s="26"/>
      <c r="AM376" s="26"/>
      <c r="AN376" s="26"/>
      <c r="AO376" s="26"/>
    </row>
    <row r="377" ht="14.25" customHeight="1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  <c r="AE377" s="26"/>
      <c r="AF377" s="26"/>
      <c r="AG377" s="26"/>
      <c r="AH377" s="26"/>
      <c r="AI377" s="26"/>
      <c r="AJ377" s="26"/>
      <c r="AK377" s="26"/>
      <c r="AL377" s="26"/>
      <c r="AM377" s="26"/>
      <c r="AN377" s="26"/>
      <c r="AO377" s="26"/>
    </row>
    <row r="378" ht="14.25" customHeight="1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  <c r="AE378" s="26"/>
      <c r="AF378" s="26"/>
      <c r="AG378" s="26"/>
      <c r="AH378" s="26"/>
      <c r="AI378" s="26"/>
      <c r="AJ378" s="26"/>
      <c r="AK378" s="26"/>
      <c r="AL378" s="26"/>
      <c r="AM378" s="26"/>
      <c r="AN378" s="26"/>
      <c r="AO378" s="26"/>
    </row>
    <row r="379" ht="14.25" customHeight="1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  <c r="AE379" s="26"/>
      <c r="AF379" s="26"/>
      <c r="AG379" s="26"/>
      <c r="AH379" s="26"/>
      <c r="AI379" s="26"/>
      <c r="AJ379" s="26"/>
      <c r="AK379" s="26"/>
      <c r="AL379" s="26"/>
      <c r="AM379" s="26"/>
      <c r="AN379" s="26"/>
      <c r="AO379" s="26"/>
    </row>
    <row r="380" ht="14.25" customHeight="1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  <c r="AF380" s="26"/>
      <c r="AG380" s="26"/>
      <c r="AH380" s="26"/>
      <c r="AI380" s="26"/>
      <c r="AJ380" s="26"/>
      <c r="AK380" s="26"/>
      <c r="AL380" s="26"/>
      <c r="AM380" s="26"/>
      <c r="AN380" s="26"/>
      <c r="AO380" s="26"/>
    </row>
    <row r="381" ht="14.25" customHeight="1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  <c r="AE381" s="26"/>
      <c r="AF381" s="26"/>
      <c r="AG381" s="26"/>
      <c r="AH381" s="26"/>
      <c r="AI381" s="26"/>
      <c r="AJ381" s="26"/>
      <c r="AK381" s="26"/>
      <c r="AL381" s="26"/>
      <c r="AM381" s="26"/>
      <c r="AN381" s="26"/>
      <c r="AO381" s="26"/>
    </row>
    <row r="382" ht="14.25" customHeight="1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  <c r="AE382" s="26"/>
      <c r="AF382" s="26"/>
      <c r="AG382" s="26"/>
      <c r="AH382" s="26"/>
      <c r="AI382" s="26"/>
      <c r="AJ382" s="26"/>
      <c r="AK382" s="26"/>
      <c r="AL382" s="26"/>
      <c r="AM382" s="26"/>
      <c r="AN382" s="26"/>
      <c r="AO382" s="26"/>
    </row>
    <row r="383" ht="14.25" customHeight="1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  <c r="AE383" s="26"/>
      <c r="AF383" s="26"/>
      <c r="AG383" s="26"/>
      <c r="AH383" s="26"/>
      <c r="AI383" s="26"/>
      <c r="AJ383" s="26"/>
      <c r="AK383" s="26"/>
      <c r="AL383" s="26"/>
      <c r="AM383" s="26"/>
      <c r="AN383" s="26"/>
      <c r="AO383" s="26"/>
    </row>
    <row r="384" ht="14.25" customHeight="1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  <c r="AE384" s="26"/>
      <c r="AF384" s="26"/>
      <c r="AG384" s="26"/>
      <c r="AH384" s="26"/>
      <c r="AI384" s="26"/>
      <c r="AJ384" s="26"/>
      <c r="AK384" s="26"/>
      <c r="AL384" s="26"/>
      <c r="AM384" s="26"/>
      <c r="AN384" s="26"/>
      <c r="AO384" s="26"/>
    </row>
    <row r="385" ht="14.25" customHeight="1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  <c r="AE385" s="26"/>
      <c r="AF385" s="26"/>
      <c r="AG385" s="26"/>
      <c r="AH385" s="26"/>
      <c r="AI385" s="26"/>
      <c r="AJ385" s="26"/>
      <c r="AK385" s="26"/>
      <c r="AL385" s="26"/>
      <c r="AM385" s="26"/>
      <c r="AN385" s="26"/>
      <c r="AO385" s="26"/>
    </row>
    <row r="386" ht="14.25" customHeight="1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  <c r="AE386" s="26"/>
      <c r="AF386" s="26"/>
      <c r="AG386" s="26"/>
      <c r="AH386" s="26"/>
      <c r="AI386" s="26"/>
      <c r="AJ386" s="26"/>
      <c r="AK386" s="26"/>
      <c r="AL386" s="26"/>
      <c r="AM386" s="26"/>
      <c r="AN386" s="26"/>
      <c r="AO386" s="26"/>
    </row>
    <row r="387" ht="14.25" customHeight="1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  <c r="AD387" s="26"/>
      <c r="AE387" s="26"/>
      <c r="AF387" s="26"/>
      <c r="AG387" s="26"/>
      <c r="AH387" s="26"/>
      <c r="AI387" s="26"/>
      <c r="AJ387" s="26"/>
      <c r="AK387" s="26"/>
      <c r="AL387" s="26"/>
      <c r="AM387" s="26"/>
      <c r="AN387" s="26"/>
      <c r="AO387" s="26"/>
    </row>
    <row r="388" ht="14.25" customHeight="1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  <c r="AE388" s="26"/>
      <c r="AF388" s="26"/>
      <c r="AG388" s="26"/>
      <c r="AH388" s="26"/>
      <c r="AI388" s="26"/>
      <c r="AJ388" s="26"/>
      <c r="AK388" s="26"/>
      <c r="AL388" s="26"/>
      <c r="AM388" s="26"/>
      <c r="AN388" s="26"/>
      <c r="AO388" s="26"/>
    </row>
    <row r="389" ht="14.25" customHeight="1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26"/>
      <c r="AE389" s="26"/>
      <c r="AF389" s="26"/>
      <c r="AG389" s="26"/>
      <c r="AH389" s="26"/>
      <c r="AI389" s="26"/>
      <c r="AJ389" s="26"/>
      <c r="AK389" s="26"/>
      <c r="AL389" s="26"/>
      <c r="AM389" s="26"/>
      <c r="AN389" s="26"/>
      <c r="AO389" s="26"/>
    </row>
    <row r="390" ht="14.25" customHeight="1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  <c r="AE390" s="26"/>
      <c r="AF390" s="26"/>
      <c r="AG390" s="26"/>
      <c r="AH390" s="26"/>
      <c r="AI390" s="26"/>
      <c r="AJ390" s="26"/>
      <c r="AK390" s="26"/>
      <c r="AL390" s="26"/>
      <c r="AM390" s="26"/>
      <c r="AN390" s="26"/>
      <c r="AO390" s="26"/>
    </row>
    <row r="391" ht="14.25" customHeight="1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  <c r="AD391" s="26"/>
      <c r="AE391" s="26"/>
      <c r="AF391" s="26"/>
      <c r="AG391" s="26"/>
      <c r="AH391" s="26"/>
      <c r="AI391" s="26"/>
      <c r="AJ391" s="26"/>
      <c r="AK391" s="26"/>
      <c r="AL391" s="26"/>
      <c r="AM391" s="26"/>
      <c r="AN391" s="26"/>
      <c r="AO391" s="26"/>
    </row>
    <row r="392" ht="14.25" customHeight="1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  <c r="AE392" s="26"/>
      <c r="AF392" s="26"/>
      <c r="AG392" s="26"/>
      <c r="AH392" s="26"/>
      <c r="AI392" s="26"/>
      <c r="AJ392" s="26"/>
      <c r="AK392" s="26"/>
      <c r="AL392" s="26"/>
      <c r="AM392" s="26"/>
      <c r="AN392" s="26"/>
      <c r="AO392" s="26"/>
    </row>
    <row r="393" ht="14.25" customHeight="1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  <c r="AE393" s="26"/>
      <c r="AF393" s="26"/>
      <c r="AG393" s="26"/>
      <c r="AH393" s="26"/>
      <c r="AI393" s="26"/>
      <c r="AJ393" s="26"/>
      <c r="AK393" s="26"/>
      <c r="AL393" s="26"/>
      <c r="AM393" s="26"/>
      <c r="AN393" s="26"/>
      <c r="AO393" s="26"/>
    </row>
    <row r="394" ht="14.25" customHeight="1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  <c r="AE394" s="26"/>
      <c r="AF394" s="26"/>
      <c r="AG394" s="26"/>
      <c r="AH394" s="26"/>
      <c r="AI394" s="26"/>
      <c r="AJ394" s="26"/>
      <c r="AK394" s="26"/>
      <c r="AL394" s="26"/>
      <c r="AM394" s="26"/>
      <c r="AN394" s="26"/>
      <c r="AO394" s="26"/>
    </row>
    <row r="395" ht="14.25" customHeight="1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  <c r="AE395" s="26"/>
      <c r="AF395" s="26"/>
      <c r="AG395" s="26"/>
      <c r="AH395" s="26"/>
      <c r="AI395" s="26"/>
      <c r="AJ395" s="26"/>
      <c r="AK395" s="26"/>
      <c r="AL395" s="26"/>
      <c r="AM395" s="26"/>
      <c r="AN395" s="26"/>
      <c r="AO395" s="26"/>
    </row>
    <row r="396" ht="14.25" customHeight="1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  <c r="AE396" s="26"/>
      <c r="AF396" s="26"/>
      <c r="AG396" s="26"/>
      <c r="AH396" s="26"/>
      <c r="AI396" s="26"/>
      <c r="AJ396" s="26"/>
      <c r="AK396" s="26"/>
      <c r="AL396" s="26"/>
      <c r="AM396" s="26"/>
      <c r="AN396" s="26"/>
      <c r="AO396" s="26"/>
    </row>
    <row r="397" ht="14.25" customHeight="1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  <c r="AE397" s="26"/>
      <c r="AF397" s="26"/>
      <c r="AG397" s="26"/>
      <c r="AH397" s="26"/>
      <c r="AI397" s="26"/>
      <c r="AJ397" s="26"/>
      <c r="AK397" s="26"/>
      <c r="AL397" s="26"/>
      <c r="AM397" s="26"/>
      <c r="AN397" s="26"/>
      <c r="AO397" s="26"/>
    </row>
    <row r="398" ht="14.25" customHeight="1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  <c r="AE398" s="26"/>
      <c r="AF398" s="26"/>
      <c r="AG398" s="26"/>
      <c r="AH398" s="26"/>
      <c r="AI398" s="26"/>
      <c r="AJ398" s="26"/>
      <c r="AK398" s="26"/>
      <c r="AL398" s="26"/>
      <c r="AM398" s="26"/>
      <c r="AN398" s="26"/>
      <c r="AO398" s="26"/>
    </row>
    <row r="399" ht="14.25" customHeight="1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  <c r="AE399" s="26"/>
      <c r="AF399" s="26"/>
      <c r="AG399" s="26"/>
      <c r="AH399" s="26"/>
      <c r="AI399" s="26"/>
      <c r="AJ399" s="26"/>
      <c r="AK399" s="26"/>
      <c r="AL399" s="26"/>
      <c r="AM399" s="26"/>
      <c r="AN399" s="26"/>
      <c r="AO399" s="26"/>
    </row>
    <row r="400" ht="14.25" customHeight="1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  <c r="AE400" s="26"/>
      <c r="AF400" s="26"/>
      <c r="AG400" s="26"/>
      <c r="AH400" s="26"/>
      <c r="AI400" s="26"/>
      <c r="AJ400" s="26"/>
      <c r="AK400" s="26"/>
      <c r="AL400" s="26"/>
      <c r="AM400" s="26"/>
      <c r="AN400" s="26"/>
      <c r="AO400" s="26"/>
    </row>
    <row r="401" ht="14.25" customHeight="1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  <c r="AD401" s="26"/>
      <c r="AE401" s="26"/>
      <c r="AF401" s="26"/>
      <c r="AG401" s="26"/>
      <c r="AH401" s="26"/>
      <c r="AI401" s="26"/>
      <c r="AJ401" s="26"/>
      <c r="AK401" s="26"/>
      <c r="AL401" s="26"/>
      <c r="AM401" s="26"/>
      <c r="AN401" s="26"/>
      <c r="AO401" s="26"/>
    </row>
    <row r="402" ht="14.25" customHeight="1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  <c r="AD402" s="26"/>
      <c r="AE402" s="26"/>
      <c r="AF402" s="26"/>
      <c r="AG402" s="26"/>
      <c r="AH402" s="26"/>
      <c r="AI402" s="26"/>
      <c r="AJ402" s="26"/>
      <c r="AK402" s="26"/>
      <c r="AL402" s="26"/>
      <c r="AM402" s="26"/>
      <c r="AN402" s="26"/>
      <c r="AO402" s="26"/>
    </row>
    <row r="403" ht="14.25" customHeight="1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  <c r="AD403" s="26"/>
      <c r="AE403" s="26"/>
      <c r="AF403" s="26"/>
      <c r="AG403" s="26"/>
      <c r="AH403" s="26"/>
      <c r="AI403" s="26"/>
      <c r="AJ403" s="26"/>
      <c r="AK403" s="26"/>
      <c r="AL403" s="26"/>
      <c r="AM403" s="26"/>
      <c r="AN403" s="26"/>
      <c r="AO403" s="26"/>
    </row>
    <row r="404" ht="14.25" customHeight="1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  <c r="AE404" s="26"/>
      <c r="AF404" s="26"/>
      <c r="AG404" s="26"/>
      <c r="AH404" s="26"/>
      <c r="AI404" s="26"/>
      <c r="AJ404" s="26"/>
      <c r="AK404" s="26"/>
      <c r="AL404" s="26"/>
      <c r="AM404" s="26"/>
      <c r="AN404" s="26"/>
      <c r="AO404" s="26"/>
    </row>
    <row r="405" ht="14.25" customHeight="1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  <c r="AD405" s="26"/>
      <c r="AE405" s="26"/>
      <c r="AF405" s="26"/>
      <c r="AG405" s="26"/>
      <c r="AH405" s="26"/>
      <c r="AI405" s="26"/>
      <c r="AJ405" s="26"/>
      <c r="AK405" s="26"/>
      <c r="AL405" s="26"/>
      <c r="AM405" s="26"/>
      <c r="AN405" s="26"/>
      <c r="AO405" s="26"/>
    </row>
    <row r="406" ht="14.25" customHeight="1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  <c r="AE406" s="26"/>
      <c r="AF406" s="26"/>
      <c r="AG406" s="26"/>
      <c r="AH406" s="26"/>
      <c r="AI406" s="26"/>
      <c r="AJ406" s="26"/>
      <c r="AK406" s="26"/>
      <c r="AL406" s="26"/>
      <c r="AM406" s="26"/>
      <c r="AN406" s="26"/>
      <c r="AO406" s="26"/>
    </row>
    <row r="407" ht="14.25" customHeight="1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  <c r="AD407" s="26"/>
      <c r="AE407" s="26"/>
      <c r="AF407" s="26"/>
      <c r="AG407" s="26"/>
      <c r="AH407" s="26"/>
      <c r="AI407" s="26"/>
      <c r="AJ407" s="26"/>
      <c r="AK407" s="26"/>
      <c r="AL407" s="26"/>
      <c r="AM407" s="26"/>
      <c r="AN407" s="26"/>
      <c r="AO407" s="26"/>
    </row>
    <row r="408" ht="14.25" customHeight="1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  <c r="AD408" s="26"/>
      <c r="AE408" s="26"/>
      <c r="AF408" s="26"/>
      <c r="AG408" s="26"/>
      <c r="AH408" s="26"/>
      <c r="AI408" s="26"/>
      <c r="AJ408" s="26"/>
      <c r="AK408" s="26"/>
      <c r="AL408" s="26"/>
      <c r="AM408" s="26"/>
      <c r="AN408" s="26"/>
      <c r="AO408" s="26"/>
    </row>
    <row r="409" ht="14.25" customHeight="1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  <c r="AD409" s="26"/>
      <c r="AE409" s="26"/>
      <c r="AF409" s="26"/>
      <c r="AG409" s="26"/>
      <c r="AH409" s="26"/>
      <c r="AI409" s="26"/>
      <c r="AJ409" s="26"/>
      <c r="AK409" s="26"/>
      <c r="AL409" s="26"/>
      <c r="AM409" s="26"/>
      <c r="AN409" s="26"/>
      <c r="AO409" s="26"/>
    </row>
    <row r="410" ht="14.25" customHeight="1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  <c r="AE410" s="26"/>
      <c r="AF410" s="26"/>
      <c r="AG410" s="26"/>
      <c r="AH410" s="26"/>
      <c r="AI410" s="26"/>
      <c r="AJ410" s="26"/>
      <c r="AK410" s="26"/>
      <c r="AL410" s="26"/>
      <c r="AM410" s="26"/>
      <c r="AN410" s="26"/>
      <c r="AO410" s="26"/>
    </row>
    <row r="411" ht="14.25" customHeight="1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  <c r="AD411" s="26"/>
      <c r="AE411" s="26"/>
      <c r="AF411" s="26"/>
      <c r="AG411" s="26"/>
      <c r="AH411" s="26"/>
      <c r="AI411" s="26"/>
      <c r="AJ411" s="26"/>
      <c r="AK411" s="26"/>
      <c r="AL411" s="26"/>
      <c r="AM411" s="26"/>
      <c r="AN411" s="26"/>
      <c r="AO411" s="26"/>
    </row>
    <row r="412" ht="14.25" customHeight="1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  <c r="AD412" s="26"/>
      <c r="AE412" s="26"/>
      <c r="AF412" s="26"/>
      <c r="AG412" s="26"/>
      <c r="AH412" s="26"/>
      <c r="AI412" s="26"/>
      <c r="AJ412" s="26"/>
      <c r="AK412" s="26"/>
      <c r="AL412" s="26"/>
      <c r="AM412" s="26"/>
      <c r="AN412" s="26"/>
      <c r="AO412" s="26"/>
    </row>
    <row r="413" ht="14.25" customHeight="1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  <c r="AD413" s="26"/>
      <c r="AE413" s="26"/>
      <c r="AF413" s="26"/>
      <c r="AG413" s="26"/>
      <c r="AH413" s="26"/>
      <c r="AI413" s="26"/>
      <c r="AJ413" s="26"/>
      <c r="AK413" s="26"/>
      <c r="AL413" s="26"/>
      <c r="AM413" s="26"/>
      <c r="AN413" s="26"/>
      <c r="AO413" s="26"/>
    </row>
    <row r="414" ht="14.25" customHeight="1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  <c r="AE414" s="26"/>
      <c r="AF414" s="26"/>
      <c r="AG414" s="26"/>
      <c r="AH414" s="26"/>
      <c r="AI414" s="26"/>
      <c r="AJ414" s="26"/>
      <c r="AK414" s="26"/>
      <c r="AL414" s="26"/>
      <c r="AM414" s="26"/>
      <c r="AN414" s="26"/>
      <c r="AO414" s="26"/>
    </row>
    <row r="415" ht="14.25" customHeight="1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  <c r="AD415" s="26"/>
      <c r="AE415" s="26"/>
      <c r="AF415" s="26"/>
      <c r="AG415" s="26"/>
      <c r="AH415" s="26"/>
      <c r="AI415" s="26"/>
      <c r="AJ415" s="26"/>
      <c r="AK415" s="26"/>
      <c r="AL415" s="26"/>
      <c r="AM415" s="26"/>
      <c r="AN415" s="26"/>
      <c r="AO415" s="26"/>
    </row>
    <row r="416" ht="14.25" customHeight="1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  <c r="AE416" s="26"/>
      <c r="AF416" s="26"/>
      <c r="AG416" s="26"/>
      <c r="AH416" s="26"/>
      <c r="AI416" s="26"/>
      <c r="AJ416" s="26"/>
      <c r="AK416" s="26"/>
      <c r="AL416" s="26"/>
      <c r="AM416" s="26"/>
      <c r="AN416" s="26"/>
      <c r="AO416" s="26"/>
    </row>
    <row r="417" ht="14.25" customHeight="1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  <c r="AD417" s="26"/>
      <c r="AE417" s="26"/>
      <c r="AF417" s="26"/>
      <c r="AG417" s="26"/>
      <c r="AH417" s="26"/>
      <c r="AI417" s="26"/>
      <c r="AJ417" s="26"/>
      <c r="AK417" s="26"/>
      <c r="AL417" s="26"/>
      <c r="AM417" s="26"/>
      <c r="AN417" s="26"/>
      <c r="AO417" s="26"/>
    </row>
    <row r="418" ht="14.25" customHeight="1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  <c r="AD418" s="26"/>
      <c r="AE418" s="26"/>
      <c r="AF418" s="26"/>
      <c r="AG418" s="26"/>
      <c r="AH418" s="26"/>
      <c r="AI418" s="26"/>
      <c r="AJ418" s="26"/>
      <c r="AK418" s="26"/>
      <c r="AL418" s="26"/>
      <c r="AM418" s="26"/>
      <c r="AN418" s="26"/>
      <c r="AO418" s="26"/>
    </row>
    <row r="419" ht="14.25" customHeight="1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  <c r="AC419" s="26"/>
      <c r="AD419" s="26"/>
      <c r="AE419" s="26"/>
      <c r="AF419" s="26"/>
      <c r="AG419" s="26"/>
      <c r="AH419" s="26"/>
      <c r="AI419" s="26"/>
      <c r="AJ419" s="26"/>
      <c r="AK419" s="26"/>
      <c r="AL419" s="26"/>
      <c r="AM419" s="26"/>
      <c r="AN419" s="26"/>
      <c r="AO419" s="26"/>
    </row>
    <row r="420" ht="14.25" customHeight="1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  <c r="AD420" s="26"/>
      <c r="AE420" s="26"/>
      <c r="AF420" s="26"/>
      <c r="AG420" s="26"/>
      <c r="AH420" s="26"/>
      <c r="AI420" s="26"/>
      <c r="AJ420" s="26"/>
      <c r="AK420" s="26"/>
      <c r="AL420" s="26"/>
      <c r="AM420" s="26"/>
      <c r="AN420" s="26"/>
      <c r="AO420" s="26"/>
    </row>
    <row r="421" ht="14.25" customHeight="1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  <c r="AC421" s="26"/>
      <c r="AD421" s="26"/>
      <c r="AE421" s="26"/>
      <c r="AF421" s="26"/>
      <c r="AG421" s="26"/>
      <c r="AH421" s="26"/>
      <c r="AI421" s="26"/>
      <c r="AJ421" s="26"/>
      <c r="AK421" s="26"/>
      <c r="AL421" s="26"/>
      <c r="AM421" s="26"/>
      <c r="AN421" s="26"/>
      <c r="AO421" s="26"/>
    </row>
    <row r="422" ht="14.25" customHeight="1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6"/>
      <c r="AD422" s="26"/>
      <c r="AE422" s="26"/>
      <c r="AF422" s="26"/>
      <c r="AG422" s="26"/>
      <c r="AH422" s="26"/>
      <c r="AI422" s="26"/>
      <c r="AJ422" s="26"/>
      <c r="AK422" s="26"/>
      <c r="AL422" s="26"/>
      <c r="AM422" s="26"/>
      <c r="AN422" s="26"/>
      <c r="AO422" s="26"/>
    </row>
    <row r="423" ht="14.25" customHeight="1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  <c r="AD423" s="26"/>
      <c r="AE423" s="26"/>
      <c r="AF423" s="26"/>
      <c r="AG423" s="26"/>
      <c r="AH423" s="26"/>
      <c r="AI423" s="26"/>
      <c r="AJ423" s="26"/>
      <c r="AK423" s="26"/>
      <c r="AL423" s="26"/>
      <c r="AM423" s="26"/>
      <c r="AN423" s="26"/>
      <c r="AO423" s="26"/>
    </row>
    <row r="424" ht="14.25" customHeight="1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  <c r="AD424" s="26"/>
      <c r="AE424" s="26"/>
      <c r="AF424" s="26"/>
      <c r="AG424" s="26"/>
      <c r="AH424" s="26"/>
      <c r="AI424" s="26"/>
      <c r="AJ424" s="26"/>
      <c r="AK424" s="26"/>
      <c r="AL424" s="26"/>
      <c r="AM424" s="26"/>
      <c r="AN424" s="26"/>
      <c r="AO424" s="26"/>
    </row>
    <row r="425" ht="14.25" customHeight="1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  <c r="AD425" s="26"/>
      <c r="AE425" s="26"/>
      <c r="AF425" s="26"/>
      <c r="AG425" s="26"/>
      <c r="AH425" s="26"/>
      <c r="AI425" s="26"/>
      <c r="AJ425" s="26"/>
      <c r="AK425" s="26"/>
      <c r="AL425" s="26"/>
      <c r="AM425" s="26"/>
      <c r="AN425" s="26"/>
      <c r="AO425" s="26"/>
    </row>
    <row r="426" ht="14.25" customHeight="1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  <c r="AD426" s="26"/>
      <c r="AE426" s="26"/>
      <c r="AF426" s="26"/>
      <c r="AG426" s="26"/>
      <c r="AH426" s="26"/>
      <c r="AI426" s="26"/>
      <c r="AJ426" s="26"/>
      <c r="AK426" s="26"/>
      <c r="AL426" s="26"/>
      <c r="AM426" s="26"/>
      <c r="AN426" s="26"/>
      <c r="AO426" s="26"/>
    </row>
    <row r="427" ht="14.25" customHeight="1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  <c r="AD427" s="26"/>
      <c r="AE427" s="26"/>
      <c r="AF427" s="26"/>
      <c r="AG427" s="26"/>
      <c r="AH427" s="26"/>
      <c r="AI427" s="26"/>
      <c r="AJ427" s="26"/>
      <c r="AK427" s="26"/>
      <c r="AL427" s="26"/>
      <c r="AM427" s="26"/>
      <c r="AN427" s="26"/>
      <c r="AO427" s="26"/>
    </row>
    <row r="428" ht="14.25" customHeight="1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  <c r="AD428" s="26"/>
      <c r="AE428" s="26"/>
      <c r="AF428" s="26"/>
      <c r="AG428" s="26"/>
      <c r="AH428" s="26"/>
      <c r="AI428" s="26"/>
      <c r="AJ428" s="26"/>
      <c r="AK428" s="26"/>
      <c r="AL428" s="26"/>
      <c r="AM428" s="26"/>
      <c r="AN428" s="26"/>
      <c r="AO428" s="26"/>
    </row>
    <row r="429" ht="14.25" customHeight="1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  <c r="AD429" s="26"/>
      <c r="AE429" s="26"/>
      <c r="AF429" s="26"/>
      <c r="AG429" s="26"/>
      <c r="AH429" s="26"/>
      <c r="AI429" s="26"/>
      <c r="AJ429" s="26"/>
      <c r="AK429" s="26"/>
      <c r="AL429" s="26"/>
      <c r="AM429" s="26"/>
      <c r="AN429" s="26"/>
      <c r="AO429" s="26"/>
    </row>
    <row r="430" ht="14.25" customHeight="1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  <c r="AD430" s="26"/>
      <c r="AE430" s="26"/>
      <c r="AF430" s="26"/>
      <c r="AG430" s="26"/>
      <c r="AH430" s="26"/>
      <c r="AI430" s="26"/>
      <c r="AJ430" s="26"/>
      <c r="AK430" s="26"/>
      <c r="AL430" s="26"/>
      <c r="AM430" s="26"/>
      <c r="AN430" s="26"/>
      <c r="AO430" s="26"/>
    </row>
    <row r="431" ht="14.25" customHeight="1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  <c r="AD431" s="26"/>
      <c r="AE431" s="26"/>
      <c r="AF431" s="26"/>
      <c r="AG431" s="26"/>
      <c r="AH431" s="26"/>
      <c r="AI431" s="26"/>
      <c r="AJ431" s="26"/>
      <c r="AK431" s="26"/>
      <c r="AL431" s="26"/>
      <c r="AM431" s="26"/>
      <c r="AN431" s="26"/>
      <c r="AO431" s="26"/>
    </row>
    <row r="432" ht="14.25" customHeight="1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  <c r="AC432" s="26"/>
      <c r="AD432" s="26"/>
      <c r="AE432" s="26"/>
      <c r="AF432" s="26"/>
      <c r="AG432" s="26"/>
      <c r="AH432" s="26"/>
      <c r="AI432" s="26"/>
      <c r="AJ432" s="26"/>
      <c r="AK432" s="26"/>
      <c r="AL432" s="26"/>
      <c r="AM432" s="26"/>
      <c r="AN432" s="26"/>
      <c r="AO432" s="26"/>
    </row>
    <row r="433" ht="14.25" customHeight="1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  <c r="AC433" s="26"/>
      <c r="AD433" s="26"/>
      <c r="AE433" s="26"/>
      <c r="AF433" s="26"/>
      <c r="AG433" s="26"/>
      <c r="AH433" s="26"/>
      <c r="AI433" s="26"/>
      <c r="AJ433" s="26"/>
      <c r="AK433" s="26"/>
      <c r="AL433" s="26"/>
      <c r="AM433" s="26"/>
      <c r="AN433" s="26"/>
      <c r="AO433" s="26"/>
    </row>
    <row r="434" ht="14.25" customHeight="1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  <c r="AC434" s="26"/>
      <c r="AD434" s="26"/>
      <c r="AE434" s="26"/>
      <c r="AF434" s="26"/>
      <c r="AG434" s="26"/>
      <c r="AH434" s="26"/>
      <c r="AI434" s="26"/>
      <c r="AJ434" s="26"/>
      <c r="AK434" s="26"/>
      <c r="AL434" s="26"/>
      <c r="AM434" s="26"/>
      <c r="AN434" s="26"/>
      <c r="AO434" s="26"/>
    </row>
    <row r="435" ht="14.25" customHeight="1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  <c r="AC435" s="26"/>
      <c r="AD435" s="26"/>
      <c r="AE435" s="26"/>
      <c r="AF435" s="26"/>
      <c r="AG435" s="26"/>
      <c r="AH435" s="26"/>
      <c r="AI435" s="26"/>
      <c r="AJ435" s="26"/>
      <c r="AK435" s="26"/>
      <c r="AL435" s="26"/>
      <c r="AM435" s="26"/>
      <c r="AN435" s="26"/>
      <c r="AO435" s="26"/>
    </row>
    <row r="436" ht="14.25" customHeight="1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  <c r="AC436" s="26"/>
      <c r="AD436" s="26"/>
      <c r="AE436" s="26"/>
      <c r="AF436" s="26"/>
      <c r="AG436" s="26"/>
      <c r="AH436" s="26"/>
      <c r="AI436" s="26"/>
      <c r="AJ436" s="26"/>
      <c r="AK436" s="26"/>
      <c r="AL436" s="26"/>
      <c r="AM436" s="26"/>
      <c r="AN436" s="26"/>
      <c r="AO436" s="26"/>
    </row>
    <row r="437" ht="14.25" customHeight="1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  <c r="AC437" s="26"/>
      <c r="AD437" s="26"/>
      <c r="AE437" s="26"/>
      <c r="AF437" s="26"/>
      <c r="AG437" s="26"/>
      <c r="AH437" s="26"/>
      <c r="AI437" s="26"/>
      <c r="AJ437" s="26"/>
      <c r="AK437" s="26"/>
      <c r="AL437" s="26"/>
      <c r="AM437" s="26"/>
      <c r="AN437" s="26"/>
      <c r="AO437" s="26"/>
    </row>
    <row r="438" ht="14.25" customHeight="1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  <c r="AC438" s="26"/>
      <c r="AD438" s="26"/>
      <c r="AE438" s="26"/>
      <c r="AF438" s="26"/>
      <c r="AG438" s="26"/>
      <c r="AH438" s="26"/>
      <c r="AI438" s="26"/>
      <c r="AJ438" s="26"/>
      <c r="AK438" s="26"/>
      <c r="AL438" s="26"/>
      <c r="AM438" s="26"/>
      <c r="AN438" s="26"/>
      <c r="AO438" s="26"/>
    </row>
    <row r="439" ht="14.25" customHeight="1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  <c r="AC439" s="26"/>
      <c r="AD439" s="26"/>
      <c r="AE439" s="26"/>
      <c r="AF439" s="26"/>
      <c r="AG439" s="26"/>
      <c r="AH439" s="26"/>
      <c r="AI439" s="26"/>
      <c r="AJ439" s="26"/>
      <c r="AK439" s="26"/>
      <c r="AL439" s="26"/>
      <c r="AM439" s="26"/>
      <c r="AN439" s="26"/>
      <c r="AO439" s="26"/>
    </row>
    <row r="440" ht="14.25" customHeight="1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  <c r="AC440" s="26"/>
      <c r="AD440" s="26"/>
      <c r="AE440" s="26"/>
      <c r="AF440" s="26"/>
      <c r="AG440" s="26"/>
      <c r="AH440" s="26"/>
      <c r="AI440" s="26"/>
      <c r="AJ440" s="26"/>
      <c r="AK440" s="26"/>
      <c r="AL440" s="26"/>
      <c r="AM440" s="26"/>
      <c r="AN440" s="26"/>
      <c r="AO440" s="26"/>
    </row>
    <row r="441" ht="14.25" customHeight="1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  <c r="AC441" s="26"/>
      <c r="AD441" s="26"/>
      <c r="AE441" s="26"/>
      <c r="AF441" s="26"/>
      <c r="AG441" s="26"/>
      <c r="AH441" s="26"/>
      <c r="AI441" s="26"/>
      <c r="AJ441" s="26"/>
      <c r="AK441" s="26"/>
      <c r="AL441" s="26"/>
      <c r="AM441" s="26"/>
      <c r="AN441" s="26"/>
      <c r="AO441" s="26"/>
    </row>
    <row r="442" ht="14.25" customHeight="1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  <c r="AC442" s="26"/>
      <c r="AD442" s="26"/>
      <c r="AE442" s="26"/>
      <c r="AF442" s="26"/>
      <c r="AG442" s="26"/>
      <c r="AH442" s="26"/>
      <c r="AI442" s="26"/>
      <c r="AJ442" s="26"/>
      <c r="AK442" s="26"/>
      <c r="AL442" s="26"/>
      <c r="AM442" s="26"/>
      <c r="AN442" s="26"/>
      <c r="AO442" s="26"/>
    </row>
    <row r="443" ht="14.25" customHeight="1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  <c r="AC443" s="26"/>
      <c r="AD443" s="26"/>
      <c r="AE443" s="26"/>
      <c r="AF443" s="26"/>
      <c r="AG443" s="26"/>
      <c r="AH443" s="26"/>
      <c r="AI443" s="26"/>
      <c r="AJ443" s="26"/>
      <c r="AK443" s="26"/>
      <c r="AL443" s="26"/>
      <c r="AM443" s="26"/>
      <c r="AN443" s="26"/>
      <c r="AO443" s="26"/>
    </row>
    <row r="444" ht="14.25" customHeight="1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  <c r="AC444" s="26"/>
      <c r="AD444" s="26"/>
      <c r="AE444" s="26"/>
      <c r="AF444" s="26"/>
      <c r="AG444" s="26"/>
      <c r="AH444" s="26"/>
      <c r="AI444" s="26"/>
      <c r="AJ444" s="26"/>
      <c r="AK444" s="26"/>
      <c r="AL444" s="26"/>
      <c r="AM444" s="26"/>
      <c r="AN444" s="26"/>
      <c r="AO444" s="26"/>
    </row>
    <row r="445" ht="14.25" customHeight="1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  <c r="AC445" s="26"/>
      <c r="AD445" s="26"/>
      <c r="AE445" s="26"/>
      <c r="AF445" s="26"/>
      <c r="AG445" s="26"/>
      <c r="AH445" s="26"/>
      <c r="AI445" s="26"/>
      <c r="AJ445" s="26"/>
      <c r="AK445" s="26"/>
      <c r="AL445" s="26"/>
      <c r="AM445" s="26"/>
      <c r="AN445" s="26"/>
      <c r="AO445" s="26"/>
    </row>
    <row r="446" ht="14.25" customHeight="1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  <c r="AC446" s="26"/>
      <c r="AD446" s="26"/>
      <c r="AE446" s="26"/>
      <c r="AF446" s="26"/>
      <c r="AG446" s="26"/>
      <c r="AH446" s="26"/>
      <c r="AI446" s="26"/>
      <c r="AJ446" s="26"/>
      <c r="AK446" s="26"/>
      <c r="AL446" s="26"/>
      <c r="AM446" s="26"/>
      <c r="AN446" s="26"/>
      <c r="AO446" s="26"/>
    </row>
    <row r="447" ht="14.25" customHeight="1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  <c r="AC447" s="26"/>
      <c r="AD447" s="26"/>
      <c r="AE447" s="26"/>
      <c r="AF447" s="26"/>
      <c r="AG447" s="26"/>
      <c r="AH447" s="26"/>
      <c r="AI447" s="26"/>
      <c r="AJ447" s="26"/>
      <c r="AK447" s="26"/>
      <c r="AL447" s="26"/>
      <c r="AM447" s="26"/>
      <c r="AN447" s="26"/>
      <c r="AO447" s="26"/>
    </row>
    <row r="448" ht="14.25" customHeight="1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  <c r="AC448" s="26"/>
      <c r="AD448" s="26"/>
      <c r="AE448" s="26"/>
      <c r="AF448" s="26"/>
      <c r="AG448" s="26"/>
      <c r="AH448" s="26"/>
      <c r="AI448" s="26"/>
      <c r="AJ448" s="26"/>
      <c r="AK448" s="26"/>
      <c r="AL448" s="26"/>
      <c r="AM448" s="26"/>
      <c r="AN448" s="26"/>
      <c r="AO448" s="26"/>
    </row>
    <row r="449" ht="14.25" customHeight="1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  <c r="AC449" s="26"/>
      <c r="AD449" s="26"/>
      <c r="AE449" s="26"/>
      <c r="AF449" s="26"/>
      <c r="AG449" s="26"/>
      <c r="AH449" s="26"/>
      <c r="AI449" s="26"/>
      <c r="AJ449" s="26"/>
      <c r="AK449" s="26"/>
      <c r="AL449" s="26"/>
      <c r="AM449" s="26"/>
      <c r="AN449" s="26"/>
      <c r="AO449" s="26"/>
    </row>
    <row r="450" ht="14.25" customHeight="1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  <c r="AC450" s="26"/>
      <c r="AD450" s="26"/>
      <c r="AE450" s="26"/>
      <c r="AF450" s="26"/>
      <c r="AG450" s="26"/>
      <c r="AH450" s="26"/>
      <c r="AI450" s="26"/>
      <c r="AJ450" s="26"/>
      <c r="AK450" s="26"/>
      <c r="AL450" s="26"/>
      <c r="AM450" s="26"/>
      <c r="AN450" s="26"/>
      <c r="AO450" s="26"/>
    </row>
    <row r="451" ht="14.25" customHeight="1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  <c r="AC451" s="26"/>
      <c r="AD451" s="26"/>
      <c r="AE451" s="26"/>
      <c r="AF451" s="26"/>
      <c r="AG451" s="26"/>
      <c r="AH451" s="26"/>
      <c r="AI451" s="26"/>
      <c r="AJ451" s="26"/>
      <c r="AK451" s="26"/>
      <c r="AL451" s="26"/>
      <c r="AM451" s="26"/>
      <c r="AN451" s="26"/>
      <c r="AO451" s="26"/>
    </row>
    <row r="452" ht="14.25" customHeight="1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  <c r="AC452" s="26"/>
      <c r="AD452" s="26"/>
      <c r="AE452" s="26"/>
      <c r="AF452" s="26"/>
      <c r="AG452" s="26"/>
      <c r="AH452" s="26"/>
      <c r="AI452" s="26"/>
      <c r="AJ452" s="26"/>
      <c r="AK452" s="26"/>
      <c r="AL452" s="26"/>
      <c r="AM452" s="26"/>
      <c r="AN452" s="26"/>
      <c r="AO452" s="26"/>
    </row>
    <row r="453" ht="14.25" customHeight="1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  <c r="AC453" s="26"/>
      <c r="AD453" s="26"/>
      <c r="AE453" s="26"/>
      <c r="AF453" s="26"/>
      <c r="AG453" s="26"/>
      <c r="AH453" s="26"/>
      <c r="AI453" s="26"/>
      <c r="AJ453" s="26"/>
      <c r="AK453" s="26"/>
      <c r="AL453" s="26"/>
      <c r="AM453" s="26"/>
      <c r="AN453" s="26"/>
      <c r="AO453" s="26"/>
    </row>
    <row r="454" ht="14.25" customHeight="1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  <c r="AC454" s="26"/>
      <c r="AD454" s="26"/>
      <c r="AE454" s="26"/>
      <c r="AF454" s="26"/>
      <c r="AG454" s="26"/>
      <c r="AH454" s="26"/>
      <c r="AI454" s="26"/>
      <c r="AJ454" s="26"/>
      <c r="AK454" s="26"/>
      <c r="AL454" s="26"/>
      <c r="AM454" s="26"/>
      <c r="AN454" s="26"/>
      <c r="AO454" s="26"/>
    </row>
    <row r="455" ht="14.25" customHeight="1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  <c r="AC455" s="26"/>
      <c r="AD455" s="26"/>
      <c r="AE455" s="26"/>
      <c r="AF455" s="26"/>
      <c r="AG455" s="26"/>
      <c r="AH455" s="26"/>
      <c r="AI455" s="26"/>
      <c r="AJ455" s="26"/>
      <c r="AK455" s="26"/>
      <c r="AL455" s="26"/>
      <c r="AM455" s="26"/>
      <c r="AN455" s="26"/>
      <c r="AO455" s="26"/>
    </row>
    <row r="456" ht="14.25" customHeight="1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  <c r="AC456" s="26"/>
      <c r="AD456" s="26"/>
      <c r="AE456" s="26"/>
      <c r="AF456" s="26"/>
      <c r="AG456" s="26"/>
      <c r="AH456" s="26"/>
      <c r="AI456" s="26"/>
      <c r="AJ456" s="26"/>
      <c r="AK456" s="26"/>
      <c r="AL456" s="26"/>
      <c r="AM456" s="26"/>
      <c r="AN456" s="26"/>
      <c r="AO456" s="26"/>
    </row>
    <row r="457" ht="14.25" customHeight="1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  <c r="AC457" s="26"/>
      <c r="AD457" s="26"/>
      <c r="AE457" s="26"/>
      <c r="AF457" s="26"/>
      <c r="AG457" s="26"/>
      <c r="AH457" s="26"/>
      <c r="AI457" s="26"/>
      <c r="AJ457" s="26"/>
      <c r="AK457" s="26"/>
      <c r="AL457" s="26"/>
      <c r="AM457" s="26"/>
      <c r="AN457" s="26"/>
      <c r="AO457" s="26"/>
    </row>
    <row r="458" ht="14.25" customHeight="1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  <c r="AC458" s="26"/>
      <c r="AD458" s="26"/>
      <c r="AE458" s="26"/>
      <c r="AF458" s="26"/>
      <c r="AG458" s="26"/>
      <c r="AH458" s="26"/>
      <c r="AI458" s="26"/>
      <c r="AJ458" s="26"/>
      <c r="AK458" s="26"/>
      <c r="AL458" s="26"/>
      <c r="AM458" s="26"/>
      <c r="AN458" s="26"/>
      <c r="AO458" s="26"/>
    </row>
    <row r="459" ht="14.25" customHeight="1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  <c r="AC459" s="26"/>
      <c r="AD459" s="26"/>
      <c r="AE459" s="26"/>
      <c r="AF459" s="26"/>
      <c r="AG459" s="26"/>
      <c r="AH459" s="26"/>
      <c r="AI459" s="26"/>
      <c r="AJ459" s="26"/>
      <c r="AK459" s="26"/>
      <c r="AL459" s="26"/>
      <c r="AM459" s="26"/>
      <c r="AN459" s="26"/>
      <c r="AO459" s="26"/>
    </row>
    <row r="460" ht="14.25" customHeight="1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  <c r="AC460" s="26"/>
      <c r="AD460" s="26"/>
      <c r="AE460" s="26"/>
      <c r="AF460" s="26"/>
      <c r="AG460" s="26"/>
      <c r="AH460" s="26"/>
      <c r="AI460" s="26"/>
      <c r="AJ460" s="26"/>
      <c r="AK460" s="26"/>
      <c r="AL460" s="26"/>
      <c r="AM460" s="26"/>
      <c r="AN460" s="26"/>
      <c r="AO460" s="26"/>
    </row>
    <row r="461" ht="14.25" customHeight="1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  <c r="AC461" s="26"/>
      <c r="AD461" s="26"/>
      <c r="AE461" s="26"/>
      <c r="AF461" s="26"/>
      <c r="AG461" s="26"/>
      <c r="AH461" s="26"/>
      <c r="AI461" s="26"/>
      <c r="AJ461" s="26"/>
      <c r="AK461" s="26"/>
      <c r="AL461" s="26"/>
      <c r="AM461" s="26"/>
      <c r="AN461" s="26"/>
      <c r="AO461" s="26"/>
    </row>
    <row r="462" ht="14.25" customHeight="1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  <c r="AC462" s="26"/>
      <c r="AD462" s="26"/>
      <c r="AE462" s="26"/>
      <c r="AF462" s="26"/>
      <c r="AG462" s="26"/>
      <c r="AH462" s="26"/>
      <c r="AI462" s="26"/>
      <c r="AJ462" s="26"/>
      <c r="AK462" s="26"/>
      <c r="AL462" s="26"/>
      <c r="AM462" s="26"/>
      <c r="AN462" s="26"/>
      <c r="AO462" s="26"/>
    </row>
    <row r="463" ht="14.25" customHeight="1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  <c r="AC463" s="26"/>
      <c r="AD463" s="26"/>
      <c r="AE463" s="26"/>
      <c r="AF463" s="26"/>
      <c r="AG463" s="26"/>
      <c r="AH463" s="26"/>
      <c r="AI463" s="26"/>
      <c r="AJ463" s="26"/>
      <c r="AK463" s="26"/>
      <c r="AL463" s="26"/>
      <c r="AM463" s="26"/>
      <c r="AN463" s="26"/>
      <c r="AO463" s="26"/>
    </row>
    <row r="464" ht="14.25" customHeight="1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  <c r="AC464" s="26"/>
      <c r="AD464" s="26"/>
      <c r="AE464" s="26"/>
      <c r="AF464" s="26"/>
      <c r="AG464" s="26"/>
      <c r="AH464" s="26"/>
      <c r="AI464" s="26"/>
      <c r="AJ464" s="26"/>
      <c r="AK464" s="26"/>
      <c r="AL464" s="26"/>
      <c r="AM464" s="26"/>
      <c r="AN464" s="26"/>
      <c r="AO464" s="26"/>
    </row>
    <row r="465" ht="14.25" customHeight="1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  <c r="AC465" s="26"/>
      <c r="AD465" s="26"/>
      <c r="AE465" s="26"/>
      <c r="AF465" s="26"/>
      <c r="AG465" s="26"/>
      <c r="AH465" s="26"/>
      <c r="AI465" s="26"/>
      <c r="AJ465" s="26"/>
      <c r="AK465" s="26"/>
      <c r="AL465" s="26"/>
      <c r="AM465" s="26"/>
      <c r="AN465" s="26"/>
      <c r="AO465" s="26"/>
    </row>
    <row r="466" ht="14.25" customHeight="1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  <c r="AC466" s="26"/>
      <c r="AD466" s="26"/>
      <c r="AE466" s="26"/>
      <c r="AF466" s="26"/>
      <c r="AG466" s="26"/>
      <c r="AH466" s="26"/>
      <c r="AI466" s="26"/>
      <c r="AJ466" s="26"/>
      <c r="AK466" s="26"/>
      <c r="AL466" s="26"/>
      <c r="AM466" s="26"/>
      <c r="AN466" s="26"/>
      <c r="AO466" s="26"/>
    </row>
    <row r="467" ht="14.25" customHeight="1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  <c r="AC467" s="26"/>
      <c r="AD467" s="26"/>
      <c r="AE467" s="26"/>
      <c r="AF467" s="26"/>
      <c r="AG467" s="26"/>
      <c r="AH467" s="26"/>
      <c r="AI467" s="26"/>
      <c r="AJ467" s="26"/>
      <c r="AK467" s="26"/>
      <c r="AL467" s="26"/>
      <c r="AM467" s="26"/>
      <c r="AN467" s="26"/>
      <c r="AO467" s="26"/>
    </row>
    <row r="468" ht="14.25" customHeight="1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  <c r="AC468" s="26"/>
      <c r="AD468" s="26"/>
      <c r="AE468" s="26"/>
      <c r="AF468" s="26"/>
      <c r="AG468" s="26"/>
      <c r="AH468" s="26"/>
      <c r="AI468" s="26"/>
      <c r="AJ468" s="26"/>
      <c r="AK468" s="26"/>
      <c r="AL468" s="26"/>
      <c r="AM468" s="26"/>
      <c r="AN468" s="26"/>
      <c r="AO468" s="26"/>
    </row>
    <row r="469" ht="14.25" customHeight="1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  <c r="AC469" s="26"/>
      <c r="AD469" s="26"/>
      <c r="AE469" s="26"/>
      <c r="AF469" s="26"/>
      <c r="AG469" s="26"/>
      <c r="AH469" s="26"/>
      <c r="AI469" s="26"/>
      <c r="AJ469" s="26"/>
      <c r="AK469" s="26"/>
      <c r="AL469" s="26"/>
      <c r="AM469" s="26"/>
      <c r="AN469" s="26"/>
      <c r="AO469" s="26"/>
    </row>
    <row r="470" ht="14.25" customHeight="1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  <c r="AC470" s="26"/>
      <c r="AD470" s="26"/>
      <c r="AE470" s="26"/>
      <c r="AF470" s="26"/>
      <c r="AG470" s="26"/>
      <c r="AH470" s="26"/>
      <c r="AI470" s="26"/>
      <c r="AJ470" s="26"/>
      <c r="AK470" s="26"/>
      <c r="AL470" s="26"/>
      <c r="AM470" s="26"/>
      <c r="AN470" s="26"/>
      <c r="AO470" s="26"/>
    </row>
    <row r="471" ht="14.25" customHeight="1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  <c r="AC471" s="26"/>
      <c r="AD471" s="26"/>
      <c r="AE471" s="26"/>
      <c r="AF471" s="26"/>
      <c r="AG471" s="26"/>
      <c r="AH471" s="26"/>
      <c r="AI471" s="26"/>
      <c r="AJ471" s="26"/>
      <c r="AK471" s="26"/>
      <c r="AL471" s="26"/>
      <c r="AM471" s="26"/>
      <c r="AN471" s="26"/>
      <c r="AO471" s="26"/>
    </row>
    <row r="472" ht="14.25" customHeight="1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  <c r="AC472" s="26"/>
      <c r="AD472" s="26"/>
      <c r="AE472" s="26"/>
      <c r="AF472" s="26"/>
      <c r="AG472" s="26"/>
      <c r="AH472" s="26"/>
      <c r="AI472" s="26"/>
      <c r="AJ472" s="26"/>
      <c r="AK472" s="26"/>
      <c r="AL472" s="26"/>
      <c r="AM472" s="26"/>
      <c r="AN472" s="26"/>
      <c r="AO472" s="26"/>
    </row>
    <row r="473" ht="14.25" customHeight="1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  <c r="AC473" s="26"/>
      <c r="AD473" s="26"/>
      <c r="AE473" s="26"/>
      <c r="AF473" s="26"/>
      <c r="AG473" s="26"/>
      <c r="AH473" s="26"/>
      <c r="AI473" s="26"/>
      <c r="AJ473" s="26"/>
      <c r="AK473" s="26"/>
      <c r="AL473" s="26"/>
      <c r="AM473" s="26"/>
      <c r="AN473" s="26"/>
      <c r="AO473" s="26"/>
    </row>
    <row r="474" ht="14.25" customHeight="1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  <c r="AC474" s="26"/>
      <c r="AD474" s="26"/>
      <c r="AE474" s="26"/>
      <c r="AF474" s="26"/>
      <c r="AG474" s="26"/>
      <c r="AH474" s="26"/>
      <c r="AI474" s="26"/>
      <c r="AJ474" s="26"/>
      <c r="AK474" s="26"/>
      <c r="AL474" s="26"/>
      <c r="AM474" s="26"/>
      <c r="AN474" s="26"/>
      <c r="AO474" s="26"/>
    </row>
    <row r="475" ht="14.25" customHeight="1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  <c r="AC475" s="26"/>
      <c r="AD475" s="26"/>
      <c r="AE475" s="26"/>
      <c r="AF475" s="26"/>
      <c r="AG475" s="26"/>
      <c r="AH475" s="26"/>
      <c r="AI475" s="26"/>
      <c r="AJ475" s="26"/>
      <c r="AK475" s="26"/>
      <c r="AL475" s="26"/>
      <c r="AM475" s="26"/>
      <c r="AN475" s="26"/>
      <c r="AO475" s="26"/>
    </row>
    <row r="476" ht="14.25" customHeight="1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  <c r="AC476" s="26"/>
      <c r="AD476" s="26"/>
      <c r="AE476" s="26"/>
      <c r="AF476" s="26"/>
      <c r="AG476" s="26"/>
      <c r="AH476" s="26"/>
      <c r="AI476" s="26"/>
      <c r="AJ476" s="26"/>
      <c r="AK476" s="26"/>
      <c r="AL476" s="26"/>
      <c r="AM476" s="26"/>
      <c r="AN476" s="26"/>
      <c r="AO476" s="26"/>
    </row>
    <row r="477" ht="14.25" customHeight="1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  <c r="AC477" s="26"/>
      <c r="AD477" s="26"/>
      <c r="AE477" s="26"/>
      <c r="AF477" s="26"/>
      <c r="AG477" s="26"/>
      <c r="AH477" s="26"/>
      <c r="AI477" s="26"/>
      <c r="AJ477" s="26"/>
      <c r="AK477" s="26"/>
      <c r="AL477" s="26"/>
      <c r="AM477" s="26"/>
      <c r="AN477" s="26"/>
      <c r="AO477" s="26"/>
    </row>
    <row r="478" ht="14.25" customHeight="1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  <c r="AC478" s="26"/>
      <c r="AD478" s="26"/>
      <c r="AE478" s="26"/>
      <c r="AF478" s="26"/>
      <c r="AG478" s="26"/>
      <c r="AH478" s="26"/>
      <c r="AI478" s="26"/>
      <c r="AJ478" s="26"/>
      <c r="AK478" s="26"/>
      <c r="AL478" s="26"/>
      <c r="AM478" s="26"/>
      <c r="AN478" s="26"/>
      <c r="AO478" s="26"/>
    </row>
    <row r="479" ht="14.25" customHeight="1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  <c r="AC479" s="26"/>
      <c r="AD479" s="26"/>
      <c r="AE479" s="26"/>
      <c r="AF479" s="26"/>
      <c r="AG479" s="26"/>
      <c r="AH479" s="26"/>
      <c r="AI479" s="26"/>
      <c r="AJ479" s="26"/>
      <c r="AK479" s="26"/>
      <c r="AL479" s="26"/>
      <c r="AM479" s="26"/>
      <c r="AN479" s="26"/>
      <c r="AO479" s="26"/>
    </row>
    <row r="480" ht="14.25" customHeight="1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  <c r="AC480" s="26"/>
      <c r="AD480" s="26"/>
      <c r="AE480" s="26"/>
      <c r="AF480" s="26"/>
      <c r="AG480" s="26"/>
      <c r="AH480" s="26"/>
      <c r="AI480" s="26"/>
      <c r="AJ480" s="26"/>
      <c r="AK480" s="26"/>
      <c r="AL480" s="26"/>
      <c r="AM480" s="26"/>
      <c r="AN480" s="26"/>
      <c r="AO480" s="26"/>
    </row>
    <row r="481" ht="14.25" customHeight="1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  <c r="AC481" s="26"/>
      <c r="AD481" s="26"/>
      <c r="AE481" s="26"/>
      <c r="AF481" s="26"/>
      <c r="AG481" s="26"/>
      <c r="AH481" s="26"/>
      <c r="AI481" s="26"/>
      <c r="AJ481" s="26"/>
      <c r="AK481" s="26"/>
      <c r="AL481" s="26"/>
      <c r="AM481" s="26"/>
      <c r="AN481" s="26"/>
      <c r="AO481" s="26"/>
    </row>
    <row r="482" ht="14.25" customHeight="1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  <c r="AC482" s="26"/>
      <c r="AD482" s="26"/>
      <c r="AE482" s="26"/>
      <c r="AF482" s="26"/>
      <c r="AG482" s="26"/>
      <c r="AH482" s="26"/>
      <c r="AI482" s="26"/>
      <c r="AJ482" s="26"/>
      <c r="AK482" s="26"/>
      <c r="AL482" s="26"/>
      <c r="AM482" s="26"/>
      <c r="AN482" s="26"/>
      <c r="AO482" s="26"/>
    </row>
    <row r="483" ht="14.25" customHeight="1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  <c r="AC483" s="26"/>
      <c r="AD483" s="26"/>
      <c r="AE483" s="26"/>
      <c r="AF483" s="26"/>
      <c r="AG483" s="26"/>
      <c r="AH483" s="26"/>
      <c r="AI483" s="26"/>
      <c r="AJ483" s="26"/>
      <c r="AK483" s="26"/>
      <c r="AL483" s="26"/>
      <c r="AM483" s="26"/>
      <c r="AN483" s="26"/>
      <c r="AO483" s="26"/>
    </row>
    <row r="484" ht="14.25" customHeight="1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  <c r="AC484" s="26"/>
      <c r="AD484" s="26"/>
      <c r="AE484" s="26"/>
      <c r="AF484" s="26"/>
      <c r="AG484" s="26"/>
      <c r="AH484" s="26"/>
      <c r="AI484" s="26"/>
      <c r="AJ484" s="26"/>
      <c r="AK484" s="26"/>
      <c r="AL484" s="26"/>
      <c r="AM484" s="26"/>
      <c r="AN484" s="26"/>
      <c r="AO484" s="26"/>
    </row>
    <row r="485" ht="14.25" customHeight="1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  <c r="AC485" s="26"/>
      <c r="AD485" s="26"/>
      <c r="AE485" s="26"/>
      <c r="AF485" s="26"/>
      <c r="AG485" s="26"/>
      <c r="AH485" s="26"/>
      <c r="AI485" s="26"/>
      <c r="AJ485" s="26"/>
      <c r="AK485" s="26"/>
      <c r="AL485" s="26"/>
      <c r="AM485" s="26"/>
      <c r="AN485" s="26"/>
      <c r="AO485" s="26"/>
    </row>
    <row r="486" ht="14.25" customHeight="1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  <c r="AC486" s="26"/>
      <c r="AD486" s="26"/>
      <c r="AE486" s="26"/>
      <c r="AF486" s="26"/>
      <c r="AG486" s="26"/>
      <c r="AH486" s="26"/>
      <c r="AI486" s="26"/>
      <c r="AJ486" s="26"/>
      <c r="AK486" s="26"/>
      <c r="AL486" s="26"/>
      <c r="AM486" s="26"/>
      <c r="AN486" s="26"/>
      <c r="AO486" s="26"/>
    </row>
    <row r="487" ht="14.25" customHeight="1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  <c r="AC487" s="26"/>
      <c r="AD487" s="26"/>
      <c r="AE487" s="26"/>
      <c r="AF487" s="26"/>
      <c r="AG487" s="26"/>
      <c r="AH487" s="26"/>
      <c r="AI487" s="26"/>
      <c r="AJ487" s="26"/>
      <c r="AK487" s="26"/>
      <c r="AL487" s="26"/>
      <c r="AM487" s="26"/>
      <c r="AN487" s="26"/>
      <c r="AO487" s="26"/>
    </row>
    <row r="488" ht="14.25" customHeight="1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  <c r="AC488" s="26"/>
      <c r="AD488" s="26"/>
      <c r="AE488" s="26"/>
      <c r="AF488" s="26"/>
      <c r="AG488" s="26"/>
      <c r="AH488" s="26"/>
      <c r="AI488" s="26"/>
      <c r="AJ488" s="26"/>
      <c r="AK488" s="26"/>
      <c r="AL488" s="26"/>
      <c r="AM488" s="26"/>
      <c r="AN488" s="26"/>
      <c r="AO488" s="26"/>
    </row>
    <row r="489" ht="14.25" customHeight="1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  <c r="AC489" s="26"/>
      <c r="AD489" s="26"/>
      <c r="AE489" s="26"/>
      <c r="AF489" s="26"/>
      <c r="AG489" s="26"/>
      <c r="AH489" s="26"/>
      <c r="AI489" s="26"/>
      <c r="AJ489" s="26"/>
      <c r="AK489" s="26"/>
      <c r="AL489" s="26"/>
      <c r="AM489" s="26"/>
      <c r="AN489" s="26"/>
      <c r="AO489" s="26"/>
    </row>
    <row r="490" ht="14.25" customHeight="1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  <c r="AC490" s="26"/>
      <c r="AD490" s="26"/>
      <c r="AE490" s="26"/>
      <c r="AF490" s="26"/>
      <c r="AG490" s="26"/>
      <c r="AH490" s="26"/>
      <c r="AI490" s="26"/>
      <c r="AJ490" s="26"/>
      <c r="AK490" s="26"/>
      <c r="AL490" s="26"/>
      <c r="AM490" s="26"/>
      <c r="AN490" s="26"/>
      <c r="AO490" s="26"/>
    </row>
    <row r="491" ht="14.25" customHeight="1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  <c r="AC491" s="26"/>
      <c r="AD491" s="26"/>
      <c r="AE491" s="26"/>
      <c r="AF491" s="26"/>
      <c r="AG491" s="26"/>
      <c r="AH491" s="26"/>
      <c r="AI491" s="26"/>
      <c r="AJ491" s="26"/>
      <c r="AK491" s="26"/>
      <c r="AL491" s="26"/>
      <c r="AM491" s="26"/>
      <c r="AN491" s="26"/>
      <c r="AO491" s="26"/>
    </row>
    <row r="492" ht="14.25" customHeight="1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  <c r="AC492" s="26"/>
      <c r="AD492" s="26"/>
      <c r="AE492" s="26"/>
      <c r="AF492" s="26"/>
      <c r="AG492" s="26"/>
      <c r="AH492" s="26"/>
      <c r="AI492" s="26"/>
      <c r="AJ492" s="26"/>
      <c r="AK492" s="26"/>
      <c r="AL492" s="26"/>
      <c r="AM492" s="26"/>
      <c r="AN492" s="26"/>
      <c r="AO492" s="26"/>
    </row>
    <row r="493" ht="14.25" customHeight="1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  <c r="AC493" s="26"/>
      <c r="AD493" s="26"/>
      <c r="AE493" s="26"/>
      <c r="AF493" s="26"/>
      <c r="AG493" s="26"/>
      <c r="AH493" s="26"/>
      <c r="AI493" s="26"/>
      <c r="AJ493" s="26"/>
      <c r="AK493" s="26"/>
      <c r="AL493" s="26"/>
      <c r="AM493" s="26"/>
      <c r="AN493" s="26"/>
      <c r="AO493" s="26"/>
    </row>
    <row r="494" ht="14.25" customHeight="1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  <c r="AC494" s="26"/>
      <c r="AD494" s="26"/>
      <c r="AE494" s="26"/>
      <c r="AF494" s="26"/>
      <c r="AG494" s="26"/>
      <c r="AH494" s="26"/>
      <c r="AI494" s="26"/>
      <c r="AJ494" s="26"/>
      <c r="AK494" s="26"/>
      <c r="AL494" s="26"/>
      <c r="AM494" s="26"/>
      <c r="AN494" s="26"/>
      <c r="AO494" s="26"/>
    </row>
    <row r="495" ht="14.25" customHeight="1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  <c r="AC495" s="26"/>
      <c r="AD495" s="26"/>
      <c r="AE495" s="26"/>
      <c r="AF495" s="26"/>
      <c r="AG495" s="26"/>
      <c r="AH495" s="26"/>
      <c r="AI495" s="26"/>
      <c r="AJ495" s="26"/>
      <c r="AK495" s="26"/>
      <c r="AL495" s="26"/>
      <c r="AM495" s="26"/>
      <c r="AN495" s="26"/>
      <c r="AO495" s="26"/>
    </row>
    <row r="496" ht="14.25" customHeight="1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  <c r="AC496" s="26"/>
      <c r="AD496" s="26"/>
      <c r="AE496" s="26"/>
      <c r="AF496" s="26"/>
      <c r="AG496" s="26"/>
      <c r="AH496" s="26"/>
      <c r="AI496" s="26"/>
      <c r="AJ496" s="26"/>
      <c r="AK496" s="26"/>
      <c r="AL496" s="26"/>
      <c r="AM496" s="26"/>
      <c r="AN496" s="26"/>
      <c r="AO496" s="26"/>
    </row>
    <row r="497" ht="14.25" customHeight="1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  <c r="AC497" s="26"/>
      <c r="AD497" s="26"/>
      <c r="AE497" s="26"/>
      <c r="AF497" s="26"/>
      <c r="AG497" s="26"/>
      <c r="AH497" s="26"/>
      <c r="AI497" s="26"/>
      <c r="AJ497" s="26"/>
      <c r="AK497" s="26"/>
      <c r="AL497" s="26"/>
      <c r="AM497" s="26"/>
      <c r="AN497" s="26"/>
      <c r="AO497" s="26"/>
    </row>
    <row r="498" ht="14.25" customHeight="1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  <c r="AC498" s="26"/>
      <c r="AD498" s="26"/>
      <c r="AE498" s="26"/>
      <c r="AF498" s="26"/>
      <c r="AG498" s="26"/>
      <c r="AH498" s="26"/>
      <c r="AI498" s="26"/>
      <c r="AJ498" s="26"/>
      <c r="AK498" s="26"/>
      <c r="AL498" s="26"/>
      <c r="AM498" s="26"/>
      <c r="AN498" s="26"/>
      <c r="AO498" s="26"/>
    </row>
    <row r="499" ht="14.25" customHeight="1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  <c r="AC499" s="26"/>
      <c r="AD499" s="26"/>
      <c r="AE499" s="26"/>
      <c r="AF499" s="26"/>
      <c r="AG499" s="26"/>
      <c r="AH499" s="26"/>
      <c r="AI499" s="26"/>
      <c r="AJ499" s="26"/>
      <c r="AK499" s="26"/>
      <c r="AL499" s="26"/>
      <c r="AM499" s="26"/>
      <c r="AN499" s="26"/>
      <c r="AO499" s="26"/>
    </row>
    <row r="500" ht="14.25" customHeight="1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  <c r="AC500" s="26"/>
      <c r="AD500" s="26"/>
      <c r="AE500" s="26"/>
      <c r="AF500" s="26"/>
      <c r="AG500" s="26"/>
      <c r="AH500" s="26"/>
      <c r="AI500" s="26"/>
      <c r="AJ500" s="26"/>
      <c r="AK500" s="26"/>
      <c r="AL500" s="26"/>
      <c r="AM500" s="26"/>
      <c r="AN500" s="26"/>
      <c r="AO500" s="26"/>
    </row>
    <row r="501" ht="14.25" customHeight="1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  <c r="AC501" s="26"/>
      <c r="AD501" s="26"/>
      <c r="AE501" s="26"/>
      <c r="AF501" s="26"/>
      <c r="AG501" s="26"/>
      <c r="AH501" s="26"/>
      <c r="AI501" s="26"/>
      <c r="AJ501" s="26"/>
      <c r="AK501" s="26"/>
      <c r="AL501" s="26"/>
      <c r="AM501" s="26"/>
      <c r="AN501" s="26"/>
      <c r="AO501" s="26"/>
    </row>
    <row r="502" ht="14.25" customHeight="1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  <c r="AC502" s="26"/>
      <c r="AD502" s="26"/>
      <c r="AE502" s="26"/>
      <c r="AF502" s="26"/>
      <c r="AG502" s="26"/>
      <c r="AH502" s="26"/>
      <c r="AI502" s="26"/>
      <c r="AJ502" s="26"/>
      <c r="AK502" s="26"/>
      <c r="AL502" s="26"/>
      <c r="AM502" s="26"/>
      <c r="AN502" s="26"/>
      <c r="AO502" s="26"/>
    </row>
    <row r="503" ht="14.25" customHeight="1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  <c r="AC503" s="26"/>
      <c r="AD503" s="26"/>
      <c r="AE503" s="26"/>
      <c r="AF503" s="26"/>
      <c r="AG503" s="26"/>
      <c r="AH503" s="26"/>
      <c r="AI503" s="26"/>
      <c r="AJ503" s="26"/>
      <c r="AK503" s="26"/>
      <c r="AL503" s="26"/>
      <c r="AM503" s="26"/>
      <c r="AN503" s="26"/>
      <c r="AO503" s="26"/>
    </row>
    <row r="504" ht="14.25" customHeight="1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  <c r="AC504" s="26"/>
      <c r="AD504" s="26"/>
      <c r="AE504" s="26"/>
      <c r="AF504" s="26"/>
      <c r="AG504" s="26"/>
      <c r="AH504" s="26"/>
      <c r="AI504" s="26"/>
      <c r="AJ504" s="26"/>
      <c r="AK504" s="26"/>
      <c r="AL504" s="26"/>
      <c r="AM504" s="26"/>
      <c r="AN504" s="26"/>
      <c r="AO504" s="26"/>
    </row>
    <row r="505" ht="14.25" customHeight="1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  <c r="AC505" s="26"/>
      <c r="AD505" s="26"/>
      <c r="AE505" s="26"/>
      <c r="AF505" s="26"/>
      <c r="AG505" s="26"/>
      <c r="AH505" s="26"/>
      <c r="AI505" s="26"/>
      <c r="AJ505" s="26"/>
      <c r="AK505" s="26"/>
      <c r="AL505" s="26"/>
      <c r="AM505" s="26"/>
      <c r="AN505" s="26"/>
      <c r="AO505" s="26"/>
    </row>
    <row r="506" ht="14.25" customHeight="1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  <c r="AC506" s="26"/>
      <c r="AD506" s="26"/>
      <c r="AE506" s="26"/>
      <c r="AF506" s="26"/>
      <c r="AG506" s="26"/>
      <c r="AH506" s="26"/>
      <c r="AI506" s="26"/>
      <c r="AJ506" s="26"/>
      <c r="AK506" s="26"/>
      <c r="AL506" s="26"/>
      <c r="AM506" s="26"/>
      <c r="AN506" s="26"/>
      <c r="AO506" s="26"/>
    </row>
    <row r="507" ht="14.25" customHeight="1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  <c r="AC507" s="26"/>
      <c r="AD507" s="26"/>
      <c r="AE507" s="26"/>
      <c r="AF507" s="26"/>
      <c r="AG507" s="26"/>
      <c r="AH507" s="26"/>
      <c r="AI507" s="26"/>
      <c r="AJ507" s="26"/>
      <c r="AK507" s="26"/>
      <c r="AL507" s="26"/>
      <c r="AM507" s="26"/>
      <c r="AN507" s="26"/>
      <c r="AO507" s="26"/>
    </row>
    <row r="508" ht="14.25" customHeight="1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  <c r="AC508" s="26"/>
      <c r="AD508" s="26"/>
      <c r="AE508" s="26"/>
      <c r="AF508" s="26"/>
      <c r="AG508" s="26"/>
      <c r="AH508" s="26"/>
      <c r="AI508" s="26"/>
      <c r="AJ508" s="26"/>
      <c r="AK508" s="26"/>
      <c r="AL508" s="26"/>
      <c r="AM508" s="26"/>
      <c r="AN508" s="26"/>
      <c r="AO508" s="26"/>
    </row>
    <row r="509" ht="14.25" customHeight="1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  <c r="AC509" s="26"/>
      <c r="AD509" s="26"/>
      <c r="AE509" s="26"/>
      <c r="AF509" s="26"/>
      <c r="AG509" s="26"/>
      <c r="AH509" s="26"/>
      <c r="AI509" s="26"/>
      <c r="AJ509" s="26"/>
      <c r="AK509" s="26"/>
      <c r="AL509" s="26"/>
      <c r="AM509" s="26"/>
      <c r="AN509" s="26"/>
      <c r="AO509" s="26"/>
    </row>
    <row r="510" ht="14.25" customHeight="1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  <c r="AC510" s="26"/>
      <c r="AD510" s="26"/>
      <c r="AE510" s="26"/>
      <c r="AF510" s="26"/>
      <c r="AG510" s="26"/>
      <c r="AH510" s="26"/>
      <c r="AI510" s="26"/>
      <c r="AJ510" s="26"/>
      <c r="AK510" s="26"/>
      <c r="AL510" s="26"/>
      <c r="AM510" s="26"/>
      <c r="AN510" s="26"/>
      <c r="AO510" s="26"/>
    </row>
    <row r="511" ht="14.25" customHeight="1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  <c r="AC511" s="26"/>
      <c r="AD511" s="26"/>
      <c r="AE511" s="26"/>
      <c r="AF511" s="26"/>
      <c r="AG511" s="26"/>
      <c r="AH511" s="26"/>
      <c r="AI511" s="26"/>
      <c r="AJ511" s="26"/>
      <c r="AK511" s="26"/>
      <c r="AL511" s="26"/>
      <c r="AM511" s="26"/>
      <c r="AN511" s="26"/>
      <c r="AO511" s="26"/>
    </row>
    <row r="512" ht="14.25" customHeight="1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  <c r="AC512" s="26"/>
      <c r="AD512" s="26"/>
      <c r="AE512" s="26"/>
      <c r="AF512" s="26"/>
      <c r="AG512" s="26"/>
      <c r="AH512" s="26"/>
      <c r="AI512" s="26"/>
      <c r="AJ512" s="26"/>
      <c r="AK512" s="26"/>
      <c r="AL512" s="26"/>
      <c r="AM512" s="26"/>
      <c r="AN512" s="26"/>
      <c r="AO512" s="26"/>
    </row>
    <row r="513" ht="14.25" customHeight="1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  <c r="AC513" s="26"/>
      <c r="AD513" s="26"/>
      <c r="AE513" s="26"/>
      <c r="AF513" s="26"/>
      <c r="AG513" s="26"/>
      <c r="AH513" s="26"/>
      <c r="AI513" s="26"/>
      <c r="AJ513" s="26"/>
      <c r="AK513" s="26"/>
      <c r="AL513" s="26"/>
      <c r="AM513" s="26"/>
      <c r="AN513" s="26"/>
      <c r="AO513" s="26"/>
    </row>
    <row r="514" ht="14.25" customHeight="1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  <c r="AC514" s="26"/>
      <c r="AD514" s="26"/>
      <c r="AE514" s="26"/>
      <c r="AF514" s="26"/>
      <c r="AG514" s="26"/>
      <c r="AH514" s="26"/>
      <c r="AI514" s="26"/>
      <c r="AJ514" s="26"/>
      <c r="AK514" s="26"/>
      <c r="AL514" s="26"/>
      <c r="AM514" s="26"/>
      <c r="AN514" s="26"/>
      <c r="AO514" s="26"/>
    </row>
    <row r="515" ht="14.25" customHeight="1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  <c r="AC515" s="26"/>
      <c r="AD515" s="26"/>
      <c r="AE515" s="26"/>
      <c r="AF515" s="26"/>
      <c r="AG515" s="26"/>
      <c r="AH515" s="26"/>
      <c r="AI515" s="26"/>
      <c r="AJ515" s="26"/>
      <c r="AK515" s="26"/>
      <c r="AL515" s="26"/>
      <c r="AM515" s="26"/>
      <c r="AN515" s="26"/>
      <c r="AO515" s="26"/>
    </row>
    <row r="516" ht="14.25" customHeight="1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  <c r="AC516" s="26"/>
      <c r="AD516" s="26"/>
      <c r="AE516" s="26"/>
      <c r="AF516" s="26"/>
      <c r="AG516" s="26"/>
      <c r="AH516" s="26"/>
      <c r="AI516" s="26"/>
      <c r="AJ516" s="26"/>
      <c r="AK516" s="26"/>
      <c r="AL516" s="26"/>
      <c r="AM516" s="26"/>
      <c r="AN516" s="26"/>
      <c r="AO516" s="26"/>
    </row>
    <row r="517" ht="14.25" customHeight="1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  <c r="AC517" s="26"/>
      <c r="AD517" s="26"/>
      <c r="AE517" s="26"/>
      <c r="AF517" s="26"/>
      <c r="AG517" s="26"/>
      <c r="AH517" s="26"/>
      <c r="AI517" s="26"/>
      <c r="AJ517" s="26"/>
      <c r="AK517" s="26"/>
      <c r="AL517" s="26"/>
      <c r="AM517" s="26"/>
      <c r="AN517" s="26"/>
      <c r="AO517" s="26"/>
    </row>
    <row r="518" ht="14.25" customHeight="1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  <c r="AC518" s="26"/>
      <c r="AD518" s="26"/>
      <c r="AE518" s="26"/>
      <c r="AF518" s="26"/>
      <c r="AG518" s="26"/>
      <c r="AH518" s="26"/>
      <c r="AI518" s="26"/>
      <c r="AJ518" s="26"/>
      <c r="AK518" s="26"/>
      <c r="AL518" s="26"/>
      <c r="AM518" s="26"/>
      <c r="AN518" s="26"/>
      <c r="AO518" s="26"/>
    </row>
    <row r="519" ht="14.25" customHeight="1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  <c r="AC519" s="26"/>
      <c r="AD519" s="26"/>
      <c r="AE519" s="26"/>
      <c r="AF519" s="26"/>
      <c r="AG519" s="26"/>
      <c r="AH519" s="26"/>
      <c r="AI519" s="26"/>
      <c r="AJ519" s="26"/>
      <c r="AK519" s="26"/>
      <c r="AL519" s="26"/>
      <c r="AM519" s="26"/>
      <c r="AN519" s="26"/>
      <c r="AO519" s="26"/>
    </row>
    <row r="520" ht="14.25" customHeight="1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  <c r="AC520" s="26"/>
      <c r="AD520" s="26"/>
      <c r="AE520" s="26"/>
      <c r="AF520" s="26"/>
      <c r="AG520" s="26"/>
      <c r="AH520" s="26"/>
      <c r="AI520" s="26"/>
      <c r="AJ520" s="26"/>
      <c r="AK520" s="26"/>
      <c r="AL520" s="26"/>
      <c r="AM520" s="26"/>
      <c r="AN520" s="26"/>
      <c r="AO520" s="26"/>
    </row>
    <row r="521" ht="14.25" customHeight="1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  <c r="AC521" s="26"/>
      <c r="AD521" s="26"/>
      <c r="AE521" s="26"/>
      <c r="AF521" s="26"/>
      <c r="AG521" s="26"/>
      <c r="AH521" s="26"/>
      <c r="AI521" s="26"/>
      <c r="AJ521" s="26"/>
      <c r="AK521" s="26"/>
      <c r="AL521" s="26"/>
      <c r="AM521" s="26"/>
      <c r="AN521" s="26"/>
      <c r="AO521" s="26"/>
    </row>
    <row r="522" ht="14.25" customHeight="1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  <c r="AC522" s="26"/>
      <c r="AD522" s="26"/>
      <c r="AE522" s="26"/>
      <c r="AF522" s="26"/>
      <c r="AG522" s="26"/>
      <c r="AH522" s="26"/>
      <c r="AI522" s="26"/>
      <c r="AJ522" s="26"/>
      <c r="AK522" s="26"/>
      <c r="AL522" s="26"/>
      <c r="AM522" s="26"/>
      <c r="AN522" s="26"/>
      <c r="AO522" s="26"/>
    </row>
    <row r="523" ht="14.25" customHeight="1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  <c r="AC523" s="26"/>
      <c r="AD523" s="26"/>
      <c r="AE523" s="26"/>
      <c r="AF523" s="26"/>
      <c r="AG523" s="26"/>
      <c r="AH523" s="26"/>
      <c r="AI523" s="26"/>
      <c r="AJ523" s="26"/>
      <c r="AK523" s="26"/>
      <c r="AL523" s="26"/>
      <c r="AM523" s="26"/>
      <c r="AN523" s="26"/>
      <c r="AO523" s="26"/>
    </row>
    <row r="524" ht="14.25" customHeight="1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  <c r="AC524" s="26"/>
      <c r="AD524" s="26"/>
      <c r="AE524" s="26"/>
      <c r="AF524" s="26"/>
      <c r="AG524" s="26"/>
      <c r="AH524" s="26"/>
      <c r="AI524" s="26"/>
      <c r="AJ524" s="26"/>
      <c r="AK524" s="26"/>
      <c r="AL524" s="26"/>
      <c r="AM524" s="26"/>
      <c r="AN524" s="26"/>
      <c r="AO524" s="26"/>
    </row>
    <row r="525" ht="14.25" customHeight="1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  <c r="AC525" s="26"/>
      <c r="AD525" s="26"/>
      <c r="AE525" s="26"/>
      <c r="AF525" s="26"/>
      <c r="AG525" s="26"/>
      <c r="AH525" s="26"/>
      <c r="AI525" s="26"/>
      <c r="AJ525" s="26"/>
      <c r="AK525" s="26"/>
      <c r="AL525" s="26"/>
      <c r="AM525" s="26"/>
      <c r="AN525" s="26"/>
      <c r="AO525" s="26"/>
    </row>
    <row r="526" ht="14.25" customHeight="1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  <c r="AC526" s="26"/>
      <c r="AD526" s="26"/>
      <c r="AE526" s="26"/>
      <c r="AF526" s="26"/>
      <c r="AG526" s="26"/>
      <c r="AH526" s="26"/>
      <c r="AI526" s="26"/>
      <c r="AJ526" s="26"/>
      <c r="AK526" s="26"/>
      <c r="AL526" s="26"/>
      <c r="AM526" s="26"/>
      <c r="AN526" s="26"/>
      <c r="AO526" s="26"/>
    </row>
    <row r="527" ht="14.25" customHeight="1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  <c r="AC527" s="26"/>
      <c r="AD527" s="26"/>
      <c r="AE527" s="26"/>
      <c r="AF527" s="26"/>
      <c r="AG527" s="26"/>
      <c r="AH527" s="26"/>
      <c r="AI527" s="26"/>
      <c r="AJ527" s="26"/>
      <c r="AK527" s="26"/>
      <c r="AL527" s="26"/>
      <c r="AM527" s="26"/>
      <c r="AN527" s="26"/>
      <c r="AO527" s="26"/>
    </row>
    <row r="528" ht="14.25" customHeight="1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  <c r="AC528" s="26"/>
      <c r="AD528" s="26"/>
      <c r="AE528" s="26"/>
      <c r="AF528" s="26"/>
      <c r="AG528" s="26"/>
      <c r="AH528" s="26"/>
      <c r="AI528" s="26"/>
      <c r="AJ528" s="26"/>
      <c r="AK528" s="26"/>
      <c r="AL528" s="26"/>
      <c r="AM528" s="26"/>
      <c r="AN528" s="26"/>
      <c r="AO528" s="26"/>
    </row>
    <row r="529" ht="14.25" customHeight="1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  <c r="AC529" s="26"/>
      <c r="AD529" s="26"/>
      <c r="AE529" s="26"/>
      <c r="AF529" s="26"/>
      <c r="AG529" s="26"/>
      <c r="AH529" s="26"/>
      <c r="AI529" s="26"/>
      <c r="AJ529" s="26"/>
      <c r="AK529" s="26"/>
      <c r="AL529" s="26"/>
      <c r="AM529" s="26"/>
      <c r="AN529" s="26"/>
      <c r="AO529" s="26"/>
    </row>
    <row r="530" ht="14.25" customHeight="1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  <c r="AC530" s="26"/>
      <c r="AD530" s="26"/>
      <c r="AE530" s="26"/>
      <c r="AF530" s="26"/>
      <c r="AG530" s="26"/>
      <c r="AH530" s="26"/>
      <c r="AI530" s="26"/>
      <c r="AJ530" s="26"/>
      <c r="AK530" s="26"/>
      <c r="AL530" s="26"/>
      <c r="AM530" s="26"/>
      <c r="AN530" s="26"/>
      <c r="AO530" s="26"/>
    </row>
    <row r="531" ht="14.25" customHeight="1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  <c r="AC531" s="26"/>
      <c r="AD531" s="26"/>
      <c r="AE531" s="26"/>
      <c r="AF531" s="26"/>
      <c r="AG531" s="26"/>
      <c r="AH531" s="26"/>
      <c r="AI531" s="26"/>
      <c r="AJ531" s="26"/>
      <c r="AK531" s="26"/>
      <c r="AL531" s="26"/>
      <c r="AM531" s="26"/>
      <c r="AN531" s="26"/>
      <c r="AO531" s="26"/>
    </row>
    <row r="532" ht="14.25" customHeight="1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  <c r="AC532" s="26"/>
      <c r="AD532" s="26"/>
      <c r="AE532" s="26"/>
      <c r="AF532" s="26"/>
      <c r="AG532" s="26"/>
      <c r="AH532" s="26"/>
      <c r="AI532" s="26"/>
      <c r="AJ532" s="26"/>
      <c r="AK532" s="26"/>
      <c r="AL532" s="26"/>
      <c r="AM532" s="26"/>
      <c r="AN532" s="26"/>
      <c r="AO532" s="26"/>
    </row>
    <row r="533" ht="14.25" customHeight="1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  <c r="AC533" s="26"/>
      <c r="AD533" s="26"/>
      <c r="AE533" s="26"/>
      <c r="AF533" s="26"/>
      <c r="AG533" s="26"/>
      <c r="AH533" s="26"/>
      <c r="AI533" s="26"/>
      <c r="AJ533" s="26"/>
      <c r="AK533" s="26"/>
      <c r="AL533" s="26"/>
      <c r="AM533" s="26"/>
      <c r="AN533" s="26"/>
      <c r="AO533" s="26"/>
    </row>
    <row r="534" ht="14.25" customHeight="1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  <c r="AC534" s="26"/>
      <c r="AD534" s="26"/>
      <c r="AE534" s="26"/>
      <c r="AF534" s="26"/>
      <c r="AG534" s="26"/>
      <c r="AH534" s="26"/>
      <c r="AI534" s="26"/>
      <c r="AJ534" s="26"/>
      <c r="AK534" s="26"/>
      <c r="AL534" s="26"/>
      <c r="AM534" s="26"/>
      <c r="AN534" s="26"/>
      <c r="AO534" s="26"/>
    </row>
    <row r="535" ht="14.25" customHeight="1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  <c r="AC535" s="26"/>
      <c r="AD535" s="26"/>
      <c r="AE535" s="26"/>
      <c r="AF535" s="26"/>
      <c r="AG535" s="26"/>
      <c r="AH535" s="26"/>
      <c r="AI535" s="26"/>
      <c r="AJ535" s="26"/>
      <c r="AK535" s="26"/>
      <c r="AL535" s="26"/>
      <c r="AM535" s="26"/>
      <c r="AN535" s="26"/>
      <c r="AO535" s="26"/>
    </row>
    <row r="536" ht="14.25" customHeight="1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  <c r="AC536" s="26"/>
      <c r="AD536" s="26"/>
      <c r="AE536" s="26"/>
      <c r="AF536" s="26"/>
      <c r="AG536" s="26"/>
      <c r="AH536" s="26"/>
      <c r="AI536" s="26"/>
      <c r="AJ536" s="26"/>
      <c r="AK536" s="26"/>
      <c r="AL536" s="26"/>
      <c r="AM536" s="26"/>
      <c r="AN536" s="26"/>
      <c r="AO536" s="26"/>
    </row>
    <row r="537" ht="14.25" customHeight="1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  <c r="AC537" s="26"/>
      <c r="AD537" s="26"/>
      <c r="AE537" s="26"/>
      <c r="AF537" s="26"/>
      <c r="AG537" s="26"/>
      <c r="AH537" s="26"/>
      <c r="AI537" s="26"/>
      <c r="AJ537" s="26"/>
      <c r="AK537" s="26"/>
      <c r="AL537" s="26"/>
      <c r="AM537" s="26"/>
      <c r="AN537" s="26"/>
      <c r="AO537" s="26"/>
    </row>
    <row r="538" ht="14.25" customHeight="1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  <c r="AC538" s="26"/>
      <c r="AD538" s="26"/>
      <c r="AE538" s="26"/>
      <c r="AF538" s="26"/>
      <c r="AG538" s="26"/>
      <c r="AH538" s="26"/>
      <c r="AI538" s="26"/>
      <c r="AJ538" s="26"/>
      <c r="AK538" s="26"/>
      <c r="AL538" s="26"/>
      <c r="AM538" s="26"/>
      <c r="AN538" s="26"/>
      <c r="AO538" s="26"/>
    </row>
    <row r="539" ht="14.25" customHeight="1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  <c r="AC539" s="26"/>
      <c r="AD539" s="26"/>
      <c r="AE539" s="26"/>
      <c r="AF539" s="26"/>
      <c r="AG539" s="26"/>
      <c r="AH539" s="26"/>
      <c r="AI539" s="26"/>
      <c r="AJ539" s="26"/>
      <c r="AK539" s="26"/>
      <c r="AL539" s="26"/>
      <c r="AM539" s="26"/>
      <c r="AN539" s="26"/>
      <c r="AO539" s="26"/>
    </row>
    <row r="540" ht="14.25" customHeight="1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  <c r="AC540" s="26"/>
      <c r="AD540" s="26"/>
      <c r="AE540" s="26"/>
      <c r="AF540" s="26"/>
      <c r="AG540" s="26"/>
      <c r="AH540" s="26"/>
      <c r="AI540" s="26"/>
      <c r="AJ540" s="26"/>
      <c r="AK540" s="26"/>
      <c r="AL540" s="26"/>
      <c r="AM540" s="26"/>
      <c r="AN540" s="26"/>
      <c r="AO540" s="26"/>
    </row>
    <row r="541" ht="14.25" customHeight="1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  <c r="AC541" s="26"/>
      <c r="AD541" s="26"/>
      <c r="AE541" s="26"/>
      <c r="AF541" s="26"/>
      <c r="AG541" s="26"/>
      <c r="AH541" s="26"/>
      <c r="AI541" s="26"/>
      <c r="AJ541" s="26"/>
      <c r="AK541" s="26"/>
      <c r="AL541" s="26"/>
      <c r="AM541" s="26"/>
      <c r="AN541" s="26"/>
      <c r="AO541" s="26"/>
    </row>
    <row r="542" ht="14.25" customHeight="1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  <c r="AC542" s="26"/>
      <c r="AD542" s="26"/>
      <c r="AE542" s="26"/>
      <c r="AF542" s="26"/>
      <c r="AG542" s="26"/>
      <c r="AH542" s="26"/>
      <c r="AI542" s="26"/>
      <c r="AJ542" s="26"/>
      <c r="AK542" s="26"/>
      <c r="AL542" s="26"/>
      <c r="AM542" s="26"/>
      <c r="AN542" s="26"/>
      <c r="AO542" s="26"/>
    </row>
    <row r="543" ht="14.25" customHeight="1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  <c r="AC543" s="26"/>
      <c r="AD543" s="26"/>
      <c r="AE543" s="26"/>
      <c r="AF543" s="26"/>
      <c r="AG543" s="26"/>
      <c r="AH543" s="26"/>
      <c r="AI543" s="26"/>
      <c r="AJ543" s="26"/>
      <c r="AK543" s="26"/>
      <c r="AL543" s="26"/>
      <c r="AM543" s="26"/>
      <c r="AN543" s="26"/>
      <c r="AO543" s="26"/>
    </row>
    <row r="544" ht="14.25" customHeight="1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  <c r="AC544" s="26"/>
      <c r="AD544" s="26"/>
      <c r="AE544" s="26"/>
      <c r="AF544" s="26"/>
      <c r="AG544" s="26"/>
      <c r="AH544" s="26"/>
      <c r="AI544" s="26"/>
      <c r="AJ544" s="26"/>
      <c r="AK544" s="26"/>
      <c r="AL544" s="26"/>
      <c r="AM544" s="26"/>
      <c r="AN544" s="26"/>
      <c r="AO544" s="26"/>
    </row>
    <row r="545" ht="14.25" customHeight="1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  <c r="AC545" s="26"/>
      <c r="AD545" s="26"/>
      <c r="AE545" s="26"/>
      <c r="AF545" s="26"/>
      <c r="AG545" s="26"/>
      <c r="AH545" s="26"/>
      <c r="AI545" s="26"/>
      <c r="AJ545" s="26"/>
      <c r="AK545" s="26"/>
      <c r="AL545" s="26"/>
      <c r="AM545" s="26"/>
      <c r="AN545" s="26"/>
      <c r="AO545" s="26"/>
    </row>
    <row r="546" ht="14.25" customHeight="1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  <c r="AC546" s="26"/>
      <c r="AD546" s="26"/>
      <c r="AE546" s="26"/>
      <c r="AF546" s="26"/>
      <c r="AG546" s="26"/>
      <c r="AH546" s="26"/>
      <c r="AI546" s="26"/>
      <c r="AJ546" s="26"/>
      <c r="AK546" s="26"/>
      <c r="AL546" s="26"/>
      <c r="AM546" s="26"/>
      <c r="AN546" s="26"/>
      <c r="AO546" s="26"/>
    </row>
    <row r="547" ht="14.25" customHeight="1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  <c r="AC547" s="26"/>
      <c r="AD547" s="26"/>
      <c r="AE547" s="26"/>
      <c r="AF547" s="26"/>
      <c r="AG547" s="26"/>
      <c r="AH547" s="26"/>
      <c r="AI547" s="26"/>
      <c r="AJ547" s="26"/>
      <c r="AK547" s="26"/>
      <c r="AL547" s="26"/>
      <c r="AM547" s="26"/>
      <c r="AN547" s="26"/>
      <c r="AO547" s="26"/>
    </row>
    <row r="548" ht="14.25" customHeight="1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  <c r="AC548" s="26"/>
      <c r="AD548" s="26"/>
      <c r="AE548" s="26"/>
      <c r="AF548" s="26"/>
      <c r="AG548" s="26"/>
      <c r="AH548" s="26"/>
      <c r="AI548" s="26"/>
      <c r="AJ548" s="26"/>
      <c r="AK548" s="26"/>
      <c r="AL548" s="26"/>
      <c r="AM548" s="26"/>
      <c r="AN548" s="26"/>
      <c r="AO548" s="26"/>
    </row>
    <row r="549" ht="14.25" customHeight="1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  <c r="AC549" s="26"/>
      <c r="AD549" s="26"/>
      <c r="AE549" s="26"/>
      <c r="AF549" s="26"/>
      <c r="AG549" s="26"/>
      <c r="AH549" s="26"/>
      <c r="AI549" s="26"/>
      <c r="AJ549" s="26"/>
      <c r="AK549" s="26"/>
      <c r="AL549" s="26"/>
      <c r="AM549" s="26"/>
      <c r="AN549" s="26"/>
      <c r="AO549" s="26"/>
    </row>
    <row r="550" ht="14.25" customHeight="1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  <c r="AC550" s="26"/>
      <c r="AD550" s="26"/>
      <c r="AE550" s="26"/>
      <c r="AF550" s="26"/>
      <c r="AG550" s="26"/>
      <c r="AH550" s="26"/>
      <c r="AI550" s="26"/>
      <c r="AJ550" s="26"/>
      <c r="AK550" s="26"/>
      <c r="AL550" s="26"/>
      <c r="AM550" s="26"/>
      <c r="AN550" s="26"/>
      <c r="AO550" s="26"/>
    </row>
    <row r="551" ht="14.25" customHeight="1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  <c r="AC551" s="26"/>
      <c r="AD551" s="26"/>
      <c r="AE551" s="26"/>
      <c r="AF551" s="26"/>
      <c r="AG551" s="26"/>
      <c r="AH551" s="26"/>
      <c r="AI551" s="26"/>
      <c r="AJ551" s="26"/>
      <c r="AK551" s="26"/>
      <c r="AL551" s="26"/>
      <c r="AM551" s="26"/>
      <c r="AN551" s="26"/>
      <c r="AO551" s="26"/>
    </row>
    <row r="552" ht="14.25" customHeight="1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  <c r="AC552" s="26"/>
      <c r="AD552" s="26"/>
      <c r="AE552" s="26"/>
      <c r="AF552" s="26"/>
      <c r="AG552" s="26"/>
      <c r="AH552" s="26"/>
      <c r="AI552" s="26"/>
      <c r="AJ552" s="26"/>
      <c r="AK552" s="26"/>
      <c r="AL552" s="26"/>
      <c r="AM552" s="26"/>
      <c r="AN552" s="26"/>
      <c r="AO552" s="26"/>
    </row>
    <row r="553" ht="14.25" customHeight="1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  <c r="AC553" s="26"/>
      <c r="AD553" s="26"/>
      <c r="AE553" s="26"/>
      <c r="AF553" s="26"/>
      <c r="AG553" s="26"/>
      <c r="AH553" s="26"/>
      <c r="AI553" s="26"/>
      <c r="AJ553" s="26"/>
      <c r="AK553" s="26"/>
      <c r="AL553" s="26"/>
      <c r="AM553" s="26"/>
      <c r="AN553" s="26"/>
      <c r="AO553" s="26"/>
    </row>
    <row r="554" ht="14.25" customHeight="1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  <c r="AC554" s="26"/>
      <c r="AD554" s="26"/>
      <c r="AE554" s="26"/>
      <c r="AF554" s="26"/>
      <c r="AG554" s="26"/>
      <c r="AH554" s="26"/>
      <c r="AI554" s="26"/>
      <c r="AJ554" s="26"/>
      <c r="AK554" s="26"/>
      <c r="AL554" s="26"/>
      <c r="AM554" s="26"/>
      <c r="AN554" s="26"/>
      <c r="AO554" s="26"/>
    </row>
    <row r="555" ht="14.25" customHeight="1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  <c r="AC555" s="26"/>
      <c r="AD555" s="26"/>
      <c r="AE555" s="26"/>
      <c r="AF555" s="26"/>
      <c r="AG555" s="26"/>
      <c r="AH555" s="26"/>
      <c r="AI555" s="26"/>
      <c r="AJ555" s="26"/>
      <c r="AK555" s="26"/>
      <c r="AL555" s="26"/>
      <c r="AM555" s="26"/>
      <c r="AN555" s="26"/>
      <c r="AO555" s="26"/>
    </row>
    <row r="556" ht="14.25" customHeight="1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  <c r="AC556" s="26"/>
      <c r="AD556" s="26"/>
      <c r="AE556" s="26"/>
      <c r="AF556" s="26"/>
      <c r="AG556" s="26"/>
      <c r="AH556" s="26"/>
      <c r="AI556" s="26"/>
      <c r="AJ556" s="26"/>
      <c r="AK556" s="26"/>
      <c r="AL556" s="26"/>
      <c r="AM556" s="26"/>
      <c r="AN556" s="26"/>
      <c r="AO556" s="26"/>
    </row>
    <row r="557" ht="14.25" customHeight="1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  <c r="AC557" s="26"/>
      <c r="AD557" s="26"/>
      <c r="AE557" s="26"/>
      <c r="AF557" s="26"/>
      <c r="AG557" s="26"/>
      <c r="AH557" s="26"/>
      <c r="AI557" s="26"/>
      <c r="AJ557" s="26"/>
      <c r="AK557" s="26"/>
      <c r="AL557" s="26"/>
      <c r="AM557" s="26"/>
      <c r="AN557" s="26"/>
      <c r="AO557" s="26"/>
    </row>
    <row r="558" ht="14.25" customHeight="1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  <c r="AC558" s="26"/>
      <c r="AD558" s="26"/>
      <c r="AE558" s="26"/>
      <c r="AF558" s="26"/>
      <c r="AG558" s="26"/>
      <c r="AH558" s="26"/>
      <c r="AI558" s="26"/>
      <c r="AJ558" s="26"/>
      <c r="AK558" s="26"/>
      <c r="AL558" s="26"/>
      <c r="AM558" s="26"/>
      <c r="AN558" s="26"/>
      <c r="AO558" s="26"/>
    </row>
    <row r="559" ht="14.25" customHeight="1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  <c r="AB559" s="26"/>
      <c r="AC559" s="26"/>
      <c r="AD559" s="26"/>
      <c r="AE559" s="26"/>
      <c r="AF559" s="26"/>
      <c r="AG559" s="26"/>
      <c r="AH559" s="26"/>
      <c r="AI559" s="26"/>
      <c r="AJ559" s="26"/>
      <c r="AK559" s="26"/>
      <c r="AL559" s="26"/>
      <c r="AM559" s="26"/>
      <c r="AN559" s="26"/>
      <c r="AO559" s="26"/>
    </row>
    <row r="560" ht="14.25" customHeight="1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  <c r="AC560" s="26"/>
      <c r="AD560" s="26"/>
      <c r="AE560" s="26"/>
      <c r="AF560" s="26"/>
      <c r="AG560" s="26"/>
      <c r="AH560" s="26"/>
      <c r="AI560" s="26"/>
      <c r="AJ560" s="26"/>
      <c r="AK560" s="26"/>
      <c r="AL560" s="26"/>
      <c r="AM560" s="26"/>
      <c r="AN560" s="26"/>
      <c r="AO560" s="26"/>
    </row>
    <row r="561" ht="14.25" customHeight="1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  <c r="AC561" s="26"/>
      <c r="AD561" s="26"/>
      <c r="AE561" s="26"/>
      <c r="AF561" s="26"/>
      <c r="AG561" s="26"/>
      <c r="AH561" s="26"/>
      <c r="AI561" s="26"/>
      <c r="AJ561" s="26"/>
      <c r="AK561" s="26"/>
      <c r="AL561" s="26"/>
      <c r="AM561" s="26"/>
      <c r="AN561" s="26"/>
      <c r="AO561" s="26"/>
    </row>
    <row r="562" ht="14.25" customHeight="1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  <c r="AC562" s="26"/>
      <c r="AD562" s="26"/>
      <c r="AE562" s="26"/>
      <c r="AF562" s="26"/>
      <c r="AG562" s="26"/>
      <c r="AH562" s="26"/>
      <c r="AI562" s="26"/>
      <c r="AJ562" s="26"/>
      <c r="AK562" s="26"/>
      <c r="AL562" s="26"/>
      <c r="AM562" s="26"/>
      <c r="AN562" s="26"/>
      <c r="AO562" s="26"/>
    </row>
    <row r="563" ht="14.25" customHeight="1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  <c r="AC563" s="26"/>
      <c r="AD563" s="26"/>
      <c r="AE563" s="26"/>
      <c r="AF563" s="26"/>
      <c r="AG563" s="26"/>
      <c r="AH563" s="26"/>
      <c r="AI563" s="26"/>
      <c r="AJ563" s="26"/>
      <c r="AK563" s="26"/>
      <c r="AL563" s="26"/>
      <c r="AM563" s="26"/>
      <c r="AN563" s="26"/>
      <c r="AO563" s="26"/>
    </row>
    <row r="564" ht="14.25" customHeight="1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  <c r="AC564" s="26"/>
      <c r="AD564" s="26"/>
      <c r="AE564" s="26"/>
      <c r="AF564" s="26"/>
      <c r="AG564" s="26"/>
      <c r="AH564" s="26"/>
      <c r="AI564" s="26"/>
      <c r="AJ564" s="26"/>
      <c r="AK564" s="26"/>
      <c r="AL564" s="26"/>
      <c r="AM564" s="26"/>
      <c r="AN564" s="26"/>
      <c r="AO564" s="26"/>
    </row>
    <row r="565" ht="14.25" customHeight="1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  <c r="AC565" s="26"/>
      <c r="AD565" s="26"/>
      <c r="AE565" s="26"/>
      <c r="AF565" s="26"/>
      <c r="AG565" s="26"/>
      <c r="AH565" s="26"/>
      <c r="AI565" s="26"/>
      <c r="AJ565" s="26"/>
      <c r="AK565" s="26"/>
      <c r="AL565" s="26"/>
      <c r="AM565" s="26"/>
      <c r="AN565" s="26"/>
      <c r="AO565" s="26"/>
    </row>
    <row r="566" ht="14.25" customHeight="1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  <c r="AC566" s="26"/>
      <c r="AD566" s="26"/>
      <c r="AE566" s="26"/>
      <c r="AF566" s="26"/>
      <c r="AG566" s="26"/>
      <c r="AH566" s="26"/>
      <c r="AI566" s="26"/>
      <c r="AJ566" s="26"/>
      <c r="AK566" s="26"/>
      <c r="AL566" s="26"/>
      <c r="AM566" s="26"/>
      <c r="AN566" s="26"/>
      <c r="AO566" s="26"/>
    </row>
    <row r="567" ht="14.25" customHeight="1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26"/>
      <c r="AB567" s="26"/>
      <c r="AC567" s="26"/>
      <c r="AD567" s="26"/>
      <c r="AE567" s="26"/>
      <c r="AF567" s="26"/>
      <c r="AG567" s="26"/>
      <c r="AH567" s="26"/>
      <c r="AI567" s="26"/>
      <c r="AJ567" s="26"/>
      <c r="AK567" s="26"/>
      <c r="AL567" s="26"/>
      <c r="AM567" s="26"/>
      <c r="AN567" s="26"/>
      <c r="AO567" s="26"/>
    </row>
    <row r="568" ht="14.25" customHeight="1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  <c r="AC568" s="26"/>
      <c r="AD568" s="26"/>
      <c r="AE568" s="26"/>
      <c r="AF568" s="26"/>
      <c r="AG568" s="26"/>
      <c r="AH568" s="26"/>
      <c r="AI568" s="26"/>
      <c r="AJ568" s="26"/>
      <c r="AK568" s="26"/>
      <c r="AL568" s="26"/>
      <c r="AM568" s="26"/>
      <c r="AN568" s="26"/>
      <c r="AO568" s="26"/>
    </row>
    <row r="569" ht="14.25" customHeight="1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A569" s="26"/>
      <c r="AB569" s="26"/>
      <c r="AC569" s="26"/>
      <c r="AD569" s="26"/>
      <c r="AE569" s="26"/>
      <c r="AF569" s="26"/>
      <c r="AG569" s="26"/>
      <c r="AH569" s="26"/>
      <c r="AI569" s="26"/>
      <c r="AJ569" s="26"/>
      <c r="AK569" s="26"/>
      <c r="AL569" s="26"/>
      <c r="AM569" s="26"/>
      <c r="AN569" s="26"/>
      <c r="AO569" s="26"/>
    </row>
    <row r="570" ht="14.25" customHeight="1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  <c r="AC570" s="26"/>
      <c r="AD570" s="26"/>
      <c r="AE570" s="26"/>
      <c r="AF570" s="26"/>
      <c r="AG570" s="26"/>
      <c r="AH570" s="26"/>
      <c r="AI570" s="26"/>
      <c r="AJ570" s="26"/>
      <c r="AK570" s="26"/>
      <c r="AL570" s="26"/>
      <c r="AM570" s="26"/>
      <c r="AN570" s="26"/>
      <c r="AO570" s="26"/>
    </row>
    <row r="571" ht="14.25" customHeight="1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  <c r="AC571" s="26"/>
      <c r="AD571" s="26"/>
      <c r="AE571" s="26"/>
      <c r="AF571" s="26"/>
      <c r="AG571" s="26"/>
      <c r="AH571" s="26"/>
      <c r="AI571" s="26"/>
      <c r="AJ571" s="26"/>
      <c r="AK571" s="26"/>
      <c r="AL571" s="26"/>
      <c r="AM571" s="26"/>
      <c r="AN571" s="26"/>
      <c r="AO571" s="26"/>
    </row>
    <row r="572" ht="14.25" customHeight="1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  <c r="AC572" s="26"/>
      <c r="AD572" s="26"/>
      <c r="AE572" s="26"/>
      <c r="AF572" s="26"/>
      <c r="AG572" s="26"/>
      <c r="AH572" s="26"/>
      <c r="AI572" s="26"/>
      <c r="AJ572" s="26"/>
      <c r="AK572" s="26"/>
      <c r="AL572" s="26"/>
      <c r="AM572" s="26"/>
      <c r="AN572" s="26"/>
      <c r="AO572" s="26"/>
    </row>
    <row r="573" ht="14.25" customHeight="1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26"/>
      <c r="AB573" s="26"/>
      <c r="AC573" s="26"/>
      <c r="AD573" s="26"/>
      <c r="AE573" s="26"/>
      <c r="AF573" s="26"/>
      <c r="AG573" s="26"/>
      <c r="AH573" s="26"/>
      <c r="AI573" s="26"/>
      <c r="AJ573" s="26"/>
      <c r="AK573" s="26"/>
      <c r="AL573" s="26"/>
      <c r="AM573" s="26"/>
      <c r="AN573" s="26"/>
      <c r="AO573" s="26"/>
    </row>
    <row r="574" ht="14.25" customHeight="1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  <c r="AC574" s="26"/>
      <c r="AD574" s="26"/>
      <c r="AE574" s="26"/>
      <c r="AF574" s="26"/>
      <c r="AG574" s="26"/>
      <c r="AH574" s="26"/>
      <c r="AI574" s="26"/>
      <c r="AJ574" s="26"/>
      <c r="AK574" s="26"/>
      <c r="AL574" s="26"/>
      <c r="AM574" s="26"/>
      <c r="AN574" s="26"/>
      <c r="AO574" s="26"/>
    </row>
    <row r="575" ht="14.25" customHeight="1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26"/>
      <c r="AB575" s="26"/>
      <c r="AC575" s="26"/>
      <c r="AD575" s="26"/>
      <c r="AE575" s="26"/>
      <c r="AF575" s="26"/>
      <c r="AG575" s="26"/>
      <c r="AH575" s="26"/>
      <c r="AI575" s="26"/>
      <c r="AJ575" s="26"/>
      <c r="AK575" s="26"/>
      <c r="AL575" s="26"/>
      <c r="AM575" s="26"/>
      <c r="AN575" s="26"/>
      <c r="AO575" s="26"/>
    </row>
    <row r="576" ht="14.25" customHeight="1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  <c r="AC576" s="26"/>
      <c r="AD576" s="26"/>
      <c r="AE576" s="26"/>
      <c r="AF576" s="26"/>
      <c r="AG576" s="26"/>
      <c r="AH576" s="26"/>
      <c r="AI576" s="26"/>
      <c r="AJ576" s="26"/>
      <c r="AK576" s="26"/>
      <c r="AL576" s="26"/>
      <c r="AM576" s="26"/>
      <c r="AN576" s="26"/>
      <c r="AO576" s="26"/>
    </row>
    <row r="577" ht="14.25" customHeight="1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  <c r="AA577" s="26"/>
      <c r="AB577" s="26"/>
      <c r="AC577" s="26"/>
      <c r="AD577" s="26"/>
      <c r="AE577" s="26"/>
      <c r="AF577" s="26"/>
      <c r="AG577" s="26"/>
      <c r="AH577" s="26"/>
      <c r="AI577" s="26"/>
      <c r="AJ577" s="26"/>
      <c r="AK577" s="26"/>
      <c r="AL577" s="26"/>
      <c r="AM577" s="26"/>
      <c r="AN577" s="26"/>
      <c r="AO577" s="26"/>
    </row>
    <row r="578" ht="14.25" customHeight="1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  <c r="AC578" s="26"/>
      <c r="AD578" s="26"/>
      <c r="AE578" s="26"/>
      <c r="AF578" s="26"/>
      <c r="AG578" s="26"/>
      <c r="AH578" s="26"/>
      <c r="AI578" s="26"/>
      <c r="AJ578" s="26"/>
      <c r="AK578" s="26"/>
      <c r="AL578" s="26"/>
      <c r="AM578" s="26"/>
      <c r="AN578" s="26"/>
      <c r="AO578" s="26"/>
    </row>
    <row r="579" ht="14.25" customHeight="1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  <c r="AC579" s="26"/>
      <c r="AD579" s="26"/>
      <c r="AE579" s="26"/>
      <c r="AF579" s="26"/>
      <c r="AG579" s="26"/>
      <c r="AH579" s="26"/>
      <c r="AI579" s="26"/>
      <c r="AJ579" s="26"/>
      <c r="AK579" s="26"/>
      <c r="AL579" s="26"/>
      <c r="AM579" s="26"/>
      <c r="AN579" s="26"/>
      <c r="AO579" s="26"/>
    </row>
    <row r="580" ht="14.25" customHeight="1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  <c r="AC580" s="26"/>
      <c r="AD580" s="26"/>
      <c r="AE580" s="26"/>
      <c r="AF580" s="26"/>
      <c r="AG580" s="26"/>
      <c r="AH580" s="26"/>
      <c r="AI580" s="26"/>
      <c r="AJ580" s="26"/>
      <c r="AK580" s="26"/>
      <c r="AL580" s="26"/>
      <c r="AM580" s="26"/>
      <c r="AN580" s="26"/>
      <c r="AO580" s="26"/>
    </row>
    <row r="581" ht="14.25" customHeight="1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  <c r="AC581" s="26"/>
      <c r="AD581" s="26"/>
      <c r="AE581" s="26"/>
      <c r="AF581" s="26"/>
      <c r="AG581" s="26"/>
      <c r="AH581" s="26"/>
      <c r="AI581" s="26"/>
      <c r="AJ581" s="26"/>
      <c r="AK581" s="26"/>
      <c r="AL581" s="26"/>
      <c r="AM581" s="26"/>
      <c r="AN581" s="26"/>
      <c r="AO581" s="26"/>
    </row>
    <row r="582" ht="14.25" customHeight="1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  <c r="AC582" s="26"/>
      <c r="AD582" s="26"/>
      <c r="AE582" s="26"/>
      <c r="AF582" s="26"/>
      <c r="AG582" s="26"/>
      <c r="AH582" s="26"/>
      <c r="AI582" s="26"/>
      <c r="AJ582" s="26"/>
      <c r="AK582" s="26"/>
      <c r="AL582" s="26"/>
      <c r="AM582" s="26"/>
      <c r="AN582" s="26"/>
      <c r="AO582" s="26"/>
    </row>
    <row r="583" ht="14.25" customHeight="1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  <c r="AB583" s="26"/>
      <c r="AC583" s="26"/>
      <c r="AD583" s="26"/>
      <c r="AE583" s="26"/>
      <c r="AF583" s="26"/>
      <c r="AG583" s="26"/>
      <c r="AH583" s="26"/>
      <c r="AI583" s="26"/>
      <c r="AJ583" s="26"/>
      <c r="AK583" s="26"/>
      <c r="AL583" s="26"/>
      <c r="AM583" s="26"/>
      <c r="AN583" s="26"/>
      <c r="AO583" s="26"/>
    </row>
    <row r="584" ht="14.25" customHeight="1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  <c r="AC584" s="26"/>
      <c r="AD584" s="26"/>
      <c r="AE584" s="26"/>
      <c r="AF584" s="26"/>
      <c r="AG584" s="26"/>
      <c r="AH584" s="26"/>
      <c r="AI584" s="26"/>
      <c r="AJ584" s="26"/>
      <c r="AK584" s="26"/>
      <c r="AL584" s="26"/>
      <c r="AM584" s="26"/>
      <c r="AN584" s="26"/>
      <c r="AO584" s="26"/>
    </row>
    <row r="585" ht="14.25" customHeight="1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/>
      <c r="AB585" s="26"/>
      <c r="AC585" s="26"/>
      <c r="AD585" s="26"/>
      <c r="AE585" s="26"/>
      <c r="AF585" s="26"/>
      <c r="AG585" s="26"/>
      <c r="AH585" s="26"/>
      <c r="AI585" s="26"/>
      <c r="AJ585" s="26"/>
      <c r="AK585" s="26"/>
      <c r="AL585" s="26"/>
      <c r="AM585" s="26"/>
      <c r="AN585" s="26"/>
      <c r="AO585" s="26"/>
    </row>
    <row r="586" ht="14.25" customHeight="1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  <c r="AC586" s="26"/>
      <c r="AD586" s="26"/>
      <c r="AE586" s="26"/>
      <c r="AF586" s="26"/>
      <c r="AG586" s="26"/>
      <c r="AH586" s="26"/>
      <c r="AI586" s="26"/>
      <c r="AJ586" s="26"/>
      <c r="AK586" s="26"/>
      <c r="AL586" s="26"/>
      <c r="AM586" s="26"/>
      <c r="AN586" s="26"/>
      <c r="AO586" s="26"/>
    </row>
    <row r="587" ht="14.25" customHeight="1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  <c r="AC587" s="26"/>
      <c r="AD587" s="26"/>
      <c r="AE587" s="26"/>
      <c r="AF587" s="26"/>
      <c r="AG587" s="26"/>
      <c r="AH587" s="26"/>
      <c r="AI587" s="26"/>
      <c r="AJ587" s="26"/>
      <c r="AK587" s="26"/>
      <c r="AL587" s="26"/>
      <c r="AM587" s="26"/>
      <c r="AN587" s="26"/>
      <c r="AO587" s="26"/>
    </row>
    <row r="588" ht="14.25" customHeight="1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  <c r="AC588" s="26"/>
      <c r="AD588" s="26"/>
      <c r="AE588" s="26"/>
      <c r="AF588" s="26"/>
      <c r="AG588" s="26"/>
      <c r="AH588" s="26"/>
      <c r="AI588" s="26"/>
      <c r="AJ588" s="26"/>
      <c r="AK588" s="26"/>
      <c r="AL588" s="26"/>
      <c r="AM588" s="26"/>
      <c r="AN588" s="26"/>
      <c r="AO588" s="26"/>
    </row>
    <row r="589" ht="14.25" customHeight="1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/>
      <c r="AB589" s="26"/>
      <c r="AC589" s="26"/>
      <c r="AD589" s="26"/>
      <c r="AE589" s="26"/>
      <c r="AF589" s="26"/>
      <c r="AG589" s="26"/>
      <c r="AH589" s="26"/>
      <c r="AI589" s="26"/>
      <c r="AJ589" s="26"/>
      <c r="AK589" s="26"/>
      <c r="AL589" s="26"/>
      <c r="AM589" s="26"/>
      <c r="AN589" s="26"/>
      <c r="AO589" s="26"/>
    </row>
    <row r="590" ht="14.25" customHeight="1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  <c r="AC590" s="26"/>
      <c r="AD590" s="26"/>
      <c r="AE590" s="26"/>
      <c r="AF590" s="26"/>
      <c r="AG590" s="26"/>
      <c r="AH590" s="26"/>
      <c r="AI590" s="26"/>
      <c r="AJ590" s="26"/>
      <c r="AK590" s="26"/>
      <c r="AL590" s="26"/>
      <c r="AM590" s="26"/>
      <c r="AN590" s="26"/>
      <c r="AO590" s="26"/>
    </row>
    <row r="591" ht="14.25" customHeight="1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  <c r="AB591" s="26"/>
      <c r="AC591" s="26"/>
      <c r="AD591" s="26"/>
      <c r="AE591" s="26"/>
      <c r="AF591" s="26"/>
      <c r="AG591" s="26"/>
      <c r="AH591" s="26"/>
      <c r="AI591" s="26"/>
      <c r="AJ591" s="26"/>
      <c r="AK591" s="26"/>
      <c r="AL591" s="26"/>
      <c r="AM591" s="26"/>
      <c r="AN591" s="26"/>
      <c r="AO591" s="26"/>
    </row>
    <row r="592" ht="14.25" customHeight="1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  <c r="AC592" s="26"/>
      <c r="AD592" s="26"/>
      <c r="AE592" s="26"/>
      <c r="AF592" s="26"/>
      <c r="AG592" s="26"/>
      <c r="AH592" s="26"/>
      <c r="AI592" s="26"/>
      <c r="AJ592" s="26"/>
      <c r="AK592" s="26"/>
      <c r="AL592" s="26"/>
      <c r="AM592" s="26"/>
      <c r="AN592" s="26"/>
      <c r="AO592" s="26"/>
    </row>
    <row r="593" ht="14.25" customHeight="1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26"/>
      <c r="AB593" s="26"/>
      <c r="AC593" s="26"/>
      <c r="AD593" s="26"/>
      <c r="AE593" s="26"/>
      <c r="AF593" s="26"/>
      <c r="AG593" s="26"/>
      <c r="AH593" s="26"/>
      <c r="AI593" s="26"/>
      <c r="AJ593" s="26"/>
      <c r="AK593" s="26"/>
      <c r="AL593" s="26"/>
      <c r="AM593" s="26"/>
      <c r="AN593" s="26"/>
      <c r="AO593" s="26"/>
    </row>
    <row r="594" ht="14.25" customHeight="1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  <c r="AC594" s="26"/>
      <c r="AD594" s="26"/>
      <c r="AE594" s="26"/>
      <c r="AF594" s="26"/>
      <c r="AG594" s="26"/>
      <c r="AH594" s="26"/>
      <c r="AI594" s="26"/>
      <c r="AJ594" s="26"/>
      <c r="AK594" s="26"/>
      <c r="AL594" s="26"/>
      <c r="AM594" s="26"/>
      <c r="AN594" s="26"/>
      <c r="AO594" s="26"/>
    </row>
    <row r="595" ht="14.25" customHeight="1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26"/>
      <c r="AB595" s="26"/>
      <c r="AC595" s="26"/>
      <c r="AD595" s="26"/>
      <c r="AE595" s="26"/>
      <c r="AF595" s="26"/>
      <c r="AG595" s="26"/>
      <c r="AH595" s="26"/>
      <c r="AI595" s="26"/>
      <c r="AJ595" s="26"/>
      <c r="AK595" s="26"/>
      <c r="AL595" s="26"/>
      <c r="AM595" s="26"/>
      <c r="AN595" s="26"/>
      <c r="AO595" s="26"/>
    </row>
    <row r="596" ht="14.25" customHeight="1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  <c r="AC596" s="26"/>
      <c r="AD596" s="26"/>
      <c r="AE596" s="26"/>
      <c r="AF596" s="26"/>
      <c r="AG596" s="26"/>
      <c r="AH596" s="26"/>
      <c r="AI596" s="26"/>
      <c r="AJ596" s="26"/>
      <c r="AK596" s="26"/>
      <c r="AL596" s="26"/>
      <c r="AM596" s="26"/>
      <c r="AN596" s="26"/>
      <c r="AO596" s="26"/>
    </row>
    <row r="597" ht="14.25" customHeight="1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  <c r="AC597" s="26"/>
      <c r="AD597" s="26"/>
      <c r="AE597" s="26"/>
      <c r="AF597" s="26"/>
      <c r="AG597" s="26"/>
      <c r="AH597" s="26"/>
      <c r="AI597" s="26"/>
      <c r="AJ597" s="26"/>
      <c r="AK597" s="26"/>
      <c r="AL597" s="26"/>
      <c r="AM597" s="26"/>
      <c r="AN597" s="26"/>
      <c r="AO597" s="26"/>
    </row>
    <row r="598" ht="14.25" customHeight="1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  <c r="AC598" s="26"/>
      <c r="AD598" s="26"/>
      <c r="AE598" s="26"/>
      <c r="AF598" s="26"/>
      <c r="AG598" s="26"/>
      <c r="AH598" s="26"/>
      <c r="AI598" s="26"/>
      <c r="AJ598" s="26"/>
      <c r="AK598" s="26"/>
      <c r="AL598" s="26"/>
      <c r="AM598" s="26"/>
      <c r="AN598" s="26"/>
      <c r="AO598" s="26"/>
    </row>
    <row r="599" ht="14.25" customHeight="1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  <c r="AB599" s="26"/>
      <c r="AC599" s="26"/>
      <c r="AD599" s="26"/>
      <c r="AE599" s="26"/>
      <c r="AF599" s="26"/>
      <c r="AG599" s="26"/>
      <c r="AH599" s="26"/>
      <c r="AI599" s="26"/>
      <c r="AJ599" s="26"/>
      <c r="AK599" s="26"/>
      <c r="AL599" s="26"/>
      <c r="AM599" s="26"/>
      <c r="AN599" s="26"/>
      <c r="AO599" s="26"/>
    </row>
    <row r="600" ht="14.25" customHeight="1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  <c r="AC600" s="26"/>
      <c r="AD600" s="26"/>
      <c r="AE600" s="26"/>
      <c r="AF600" s="26"/>
      <c r="AG600" s="26"/>
      <c r="AH600" s="26"/>
      <c r="AI600" s="26"/>
      <c r="AJ600" s="26"/>
      <c r="AK600" s="26"/>
      <c r="AL600" s="26"/>
      <c r="AM600" s="26"/>
      <c r="AN600" s="26"/>
      <c r="AO600" s="26"/>
    </row>
    <row r="601" ht="14.25" customHeight="1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26"/>
      <c r="AB601" s="26"/>
      <c r="AC601" s="26"/>
      <c r="AD601" s="26"/>
      <c r="AE601" s="26"/>
      <c r="AF601" s="26"/>
      <c r="AG601" s="26"/>
      <c r="AH601" s="26"/>
      <c r="AI601" s="26"/>
      <c r="AJ601" s="26"/>
      <c r="AK601" s="26"/>
      <c r="AL601" s="26"/>
      <c r="AM601" s="26"/>
      <c r="AN601" s="26"/>
      <c r="AO601" s="26"/>
    </row>
    <row r="602" ht="14.25" customHeight="1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  <c r="AB602" s="26"/>
      <c r="AC602" s="26"/>
      <c r="AD602" s="26"/>
      <c r="AE602" s="26"/>
      <c r="AF602" s="26"/>
      <c r="AG602" s="26"/>
      <c r="AH602" s="26"/>
      <c r="AI602" s="26"/>
      <c r="AJ602" s="26"/>
      <c r="AK602" s="26"/>
      <c r="AL602" s="26"/>
      <c r="AM602" s="26"/>
      <c r="AN602" s="26"/>
      <c r="AO602" s="26"/>
    </row>
    <row r="603" ht="14.25" customHeight="1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  <c r="AB603" s="26"/>
      <c r="AC603" s="26"/>
      <c r="AD603" s="26"/>
      <c r="AE603" s="26"/>
      <c r="AF603" s="26"/>
      <c r="AG603" s="26"/>
      <c r="AH603" s="26"/>
      <c r="AI603" s="26"/>
      <c r="AJ603" s="26"/>
      <c r="AK603" s="26"/>
      <c r="AL603" s="26"/>
      <c r="AM603" s="26"/>
      <c r="AN603" s="26"/>
      <c r="AO603" s="26"/>
    </row>
    <row r="604" ht="14.25" customHeight="1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  <c r="AC604" s="26"/>
      <c r="AD604" s="26"/>
      <c r="AE604" s="26"/>
      <c r="AF604" s="26"/>
      <c r="AG604" s="26"/>
      <c r="AH604" s="26"/>
      <c r="AI604" s="26"/>
      <c r="AJ604" s="26"/>
      <c r="AK604" s="26"/>
      <c r="AL604" s="26"/>
      <c r="AM604" s="26"/>
      <c r="AN604" s="26"/>
      <c r="AO604" s="26"/>
    </row>
    <row r="605" ht="14.25" customHeight="1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  <c r="AB605" s="26"/>
      <c r="AC605" s="26"/>
      <c r="AD605" s="26"/>
      <c r="AE605" s="26"/>
      <c r="AF605" s="26"/>
      <c r="AG605" s="26"/>
      <c r="AH605" s="26"/>
      <c r="AI605" s="26"/>
      <c r="AJ605" s="26"/>
      <c r="AK605" s="26"/>
      <c r="AL605" s="26"/>
      <c r="AM605" s="26"/>
      <c r="AN605" s="26"/>
      <c r="AO605" s="26"/>
    </row>
    <row r="606" ht="14.25" customHeight="1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  <c r="AC606" s="26"/>
      <c r="AD606" s="26"/>
      <c r="AE606" s="26"/>
      <c r="AF606" s="26"/>
      <c r="AG606" s="26"/>
      <c r="AH606" s="26"/>
      <c r="AI606" s="26"/>
      <c r="AJ606" s="26"/>
      <c r="AK606" s="26"/>
      <c r="AL606" s="26"/>
      <c r="AM606" s="26"/>
      <c r="AN606" s="26"/>
      <c r="AO606" s="26"/>
    </row>
    <row r="607" ht="14.25" customHeight="1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/>
      <c r="AB607" s="26"/>
      <c r="AC607" s="26"/>
      <c r="AD607" s="26"/>
      <c r="AE607" s="26"/>
      <c r="AF607" s="26"/>
      <c r="AG607" s="26"/>
      <c r="AH607" s="26"/>
      <c r="AI607" s="26"/>
      <c r="AJ607" s="26"/>
      <c r="AK607" s="26"/>
      <c r="AL607" s="26"/>
      <c r="AM607" s="26"/>
      <c r="AN607" s="26"/>
      <c r="AO607" s="26"/>
    </row>
    <row r="608" ht="14.25" customHeight="1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  <c r="AC608" s="26"/>
      <c r="AD608" s="26"/>
      <c r="AE608" s="26"/>
      <c r="AF608" s="26"/>
      <c r="AG608" s="26"/>
      <c r="AH608" s="26"/>
      <c r="AI608" s="26"/>
      <c r="AJ608" s="26"/>
      <c r="AK608" s="26"/>
      <c r="AL608" s="26"/>
      <c r="AM608" s="26"/>
      <c r="AN608" s="26"/>
      <c r="AO608" s="26"/>
    </row>
    <row r="609" ht="14.25" customHeight="1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  <c r="AA609" s="26"/>
      <c r="AB609" s="26"/>
      <c r="AC609" s="26"/>
      <c r="AD609" s="26"/>
      <c r="AE609" s="26"/>
      <c r="AF609" s="26"/>
      <c r="AG609" s="26"/>
      <c r="AH609" s="26"/>
      <c r="AI609" s="26"/>
      <c r="AJ609" s="26"/>
      <c r="AK609" s="26"/>
      <c r="AL609" s="26"/>
      <c r="AM609" s="26"/>
      <c r="AN609" s="26"/>
      <c r="AO609" s="26"/>
    </row>
    <row r="610" ht="14.25" customHeight="1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  <c r="AC610" s="26"/>
      <c r="AD610" s="26"/>
      <c r="AE610" s="26"/>
      <c r="AF610" s="26"/>
      <c r="AG610" s="26"/>
      <c r="AH610" s="26"/>
      <c r="AI610" s="26"/>
      <c r="AJ610" s="26"/>
      <c r="AK610" s="26"/>
      <c r="AL610" s="26"/>
      <c r="AM610" s="26"/>
      <c r="AN610" s="26"/>
      <c r="AO610" s="26"/>
    </row>
    <row r="611" ht="14.25" customHeight="1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A611" s="26"/>
      <c r="AB611" s="26"/>
      <c r="AC611" s="26"/>
      <c r="AD611" s="26"/>
      <c r="AE611" s="26"/>
      <c r="AF611" s="26"/>
      <c r="AG611" s="26"/>
      <c r="AH611" s="26"/>
      <c r="AI611" s="26"/>
      <c r="AJ611" s="26"/>
      <c r="AK611" s="26"/>
      <c r="AL611" s="26"/>
      <c r="AM611" s="26"/>
      <c r="AN611" s="26"/>
      <c r="AO611" s="26"/>
    </row>
    <row r="612" ht="14.25" customHeight="1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  <c r="AC612" s="26"/>
      <c r="AD612" s="26"/>
      <c r="AE612" s="26"/>
      <c r="AF612" s="26"/>
      <c r="AG612" s="26"/>
      <c r="AH612" s="26"/>
      <c r="AI612" s="26"/>
      <c r="AJ612" s="26"/>
      <c r="AK612" s="26"/>
      <c r="AL612" s="26"/>
      <c r="AM612" s="26"/>
      <c r="AN612" s="26"/>
      <c r="AO612" s="26"/>
    </row>
    <row r="613" ht="14.25" customHeight="1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26"/>
      <c r="AB613" s="26"/>
      <c r="AC613" s="26"/>
      <c r="AD613" s="26"/>
      <c r="AE613" s="26"/>
      <c r="AF613" s="26"/>
      <c r="AG613" s="26"/>
      <c r="AH613" s="26"/>
      <c r="AI613" s="26"/>
      <c r="AJ613" s="26"/>
      <c r="AK613" s="26"/>
      <c r="AL613" s="26"/>
      <c r="AM613" s="26"/>
      <c r="AN613" s="26"/>
      <c r="AO613" s="26"/>
    </row>
    <row r="614" ht="14.25" customHeight="1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  <c r="AC614" s="26"/>
      <c r="AD614" s="26"/>
      <c r="AE614" s="26"/>
      <c r="AF614" s="26"/>
      <c r="AG614" s="26"/>
      <c r="AH614" s="26"/>
      <c r="AI614" s="26"/>
      <c r="AJ614" s="26"/>
      <c r="AK614" s="26"/>
      <c r="AL614" s="26"/>
      <c r="AM614" s="26"/>
      <c r="AN614" s="26"/>
      <c r="AO614" s="26"/>
    </row>
    <row r="615" ht="14.25" customHeight="1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A615" s="26"/>
      <c r="AB615" s="26"/>
      <c r="AC615" s="26"/>
      <c r="AD615" s="26"/>
      <c r="AE615" s="26"/>
      <c r="AF615" s="26"/>
      <c r="AG615" s="26"/>
      <c r="AH615" s="26"/>
      <c r="AI615" s="26"/>
      <c r="AJ615" s="26"/>
      <c r="AK615" s="26"/>
      <c r="AL615" s="26"/>
      <c r="AM615" s="26"/>
      <c r="AN615" s="26"/>
      <c r="AO615" s="26"/>
    </row>
    <row r="616" ht="14.25" customHeight="1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  <c r="AC616" s="26"/>
      <c r="AD616" s="26"/>
      <c r="AE616" s="26"/>
      <c r="AF616" s="26"/>
      <c r="AG616" s="26"/>
      <c r="AH616" s="26"/>
      <c r="AI616" s="26"/>
      <c r="AJ616" s="26"/>
      <c r="AK616" s="26"/>
      <c r="AL616" s="26"/>
      <c r="AM616" s="26"/>
      <c r="AN616" s="26"/>
      <c r="AO616" s="26"/>
    </row>
    <row r="617" ht="14.25" customHeight="1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  <c r="AB617" s="26"/>
      <c r="AC617" s="26"/>
      <c r="AD617" s="26"/>
      <c r="AE617" s="26"/>
      <c r="AF617" s="26"/>
      <c r="AG617" s="26"/>
      <c r="AH617" s="26"/>
      <c r="AI617" s="26"/>
      <c r="AJ617" s="26"/>
      <c r="AK617" s="26"/>
      <c r="AL617" s="26"/>
      <c r="AM617" s="26"/>
      <c r="AN617" s="26"/>
      <c r="AO617" s="26"/>
    </row>
    <row r="618" ht="14.25" customHeight="1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  <c r="AC618" s="26"/>
      <c r="AD618" s="26"/>
      <c r="AE618" s="26"/>
      <c r="AF618" s="26"/>
      <c r="AG618" s="26"/>
      <c r="AH618" s="26"/>
      <c r="AI618" s="26"/>
      <c r="AJ618" s="26"/>
      <c r="AK618" s="26"/>
      <c r="AL618" s="26"/>
      <c r="AM618" s="26"/>
      <c r="AN618" s="26"/>
      <c r="AO618" s="26"/>
    </row>
    <row r="619" ht="14.25" customHeight="1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  <c r="AB619" s="26"/>
      <c r="AC619" s="26"/>
      <c r="AD619" s="26"/>
      <c r="AE619" s="26"/>
      <c r="AF619" s="26"/>
      <c r="AG619" s="26"/>
      <c r="AH619" s="26"/>
      <c r="AI619" s="26"/>
      <c r="AJ619" s="26"/>
      <c r="AK619" s="26"/>
      <c r="AL619" s="26"/>
      <c r="AM619" s="26"/>
      <c r="AN619" s="26"/>
      <c r="AO619" s="26"/>
    </row>
    <row r="620" ht="14.25" customHeight="1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  <c r="AC620" s="26"/>
      <c r="AD620" s="26"/>
      <c r="AE620" s="26"/>
      <c r="AF620" s="26"/>
      <c r="AG620" s="26"/>
      <c r="AH620" s="26"/>
      <c r="AI620" s="26"/>
      <c r="AJ620" s="26"/>
      <c r="AK620" s="26"/>
      <c r="AL620" s="26"/>
      <c r="AM620" s="26"/>
      <c r="AN620" s="26"/>
      <c r="AO620" s="26"/>
    </row>
    <row r="621" ht="14.25" customHeight="1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  <c r="AB621" s="26"/>
      <c r="AC621" s="26"/>
      <c r="AD621" s="26"/>
      <c r="AE621" s="26"/>
      <c r="AF621" s="26"/>
      <c r="AG621" s="26"/>
      <c r="AH621" s="26"/>
      <c r="AI621" s="26"/>
      <c r="AJ621" s="26"/>
      <c r="AK621" s="26"/>
      <c r="AL621" s="26"/>
      <c r="AM621" s="26"/>
      <c r="AN621" s="26"/>
      <c r="AO621" s="26"/>
    </row>
    <row r="622" ht="14.25" customHeight="1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  <c r="AC622" s="26"/>
      <c r="AD622" s="26"/>
      <c r="AE622" s="26"/>
      <c r="AF622" s="26"/>
      <c r="AG622" s="26"/>
      <c r="AH622" s="26"/>
      <c r="AI622" s="26"/>
      <c r="AJ622" s="26"/>
      <c r="AK622" s="26"/>
      <c r="AL622" s="26"/>
      <c r="AM622" s="26"/>
      <c r="AN622" s="26"/>
      <c r="AO622" s="26"/>
    </row>
    <row r="623" ht="14.25" customHeight="1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26"/>
      <c r="AB623" s="26"/>
      <c r="AC623" s="26"/>
      <c r="AD623" s="26"/>
      <c r="AE623" s="26"/>
      <c r="AF623" s="26"/>
      <c r="AG623" s="26"/>
      <c r="AH623" s="26"/>
      <c r="AI623" s="26"/>
      <c r="AJ623" s="26"/>
      <c r="AK623" s="26"/>
      <c r="AL623" s="26"/>
      <c r="AM623" s="26"/>
      <c r="AN623" s="26"/>
      <c r="AO623" s="26"/>
    </row>
    <row r="624" ht="14.25" customHeight="1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  <c r="AC624" s="26"/>
      <c r="AD624" s="26"/>
      <c r="AE624" s="26"/>
      <c r="AF624" s="26"/>
      <c r="AG624" s="26"/>
      <c r="AH624" s="26"/>
      <c r="AI624" s="26"/>
      <c r="AJ624" s="26"/>
      <c r="AK624" s="26"/>
      <c r="AL624" s="26"/>
      <c r="AM624" s="26"/>
      <c r="AN624" s="26"/>
      <c r="AO624" s="26"/>
    </row>
    <row r="625" ht="14.25" customHeight="1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  <c r="AC625" s="26"/>
      <c r="AD625" s="26"/>
      <c r="AE625" s="26"/>
      <c r="AF625" s="26"/>
      <c r="AG625" s="26"/>
      <c r="AH625" s="26"/>
      <c r="AI625" s="26"/>
      <c r="AJ625" s="26"/>
      <c r="AK625" s="26"/>
      <c r="AL625" s="26"/>
      <c r="AM625" s="26"/>
      <c r="AN625" s="26"/>
      <c r="AO625" s="26"/>
    </row>
    <row r="626" ht="14.25" customHeight="1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  <c r="AC626" s="26"/>
      <c r="AD626" s="26"/>
      <c r="AE626" s="26"/>
      <c r="AF626" s="26"/>
      <c r="AG626" s="26"/>
      <c r="AH626" s="26"/>
      <c r="AI626" s="26"/>
      <c r="AJ626" s="26"/>
      <c r="AK626" s="26"/>
      <c r="AL626" s="26"/>
      <c r="AM626" s="26"/>
      <c r="AN626" s="26"/>
      <c r="AO626" s="26"/>
    </row>
    <row r="627" ht="14.25" customHeight="1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  <c r="AC627" s="26"/>
      <c r="AD627" s="26"/>
      <c r="AE627" s="26"/>
      <c r="AF627" s="26"/>
      <c r="AG627" s="26"/>
      <c r="AH627" s="26"/>
      <c r="AI627" s="26"/>
      <c r="AJ627" s="26"/>
      <c r="AK627" s="26"/>
      <c r="AL627" s="26"/>
      <c r="AM627" s="26"/>
      <c r="AN627" s="26"/>
      <c r="AO627" s="26"/>
    </row>
    <row r="628" ht="14.25" customHeight="1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  <c r="AC628" s="26"/>
      <c r="AD628" s="26"/>
      <c r="AE628" s="26"/>
      <c r="AF628" s="26"/>
      <c r="AG628" s="26"/>
      <c r="AH628" s="26"/>
      <c r="AI628" s="26"/>
      <c r="AJ628" s="26"/>
      <c r="AK628" s="26"/>
      <c r="AL628" s="26"/>
      <c r="AM628" s="26"/>
      <c r="AN628" s="26"/>
      <c r="AO628" s="26"/>
    </row>
    <row r="629" ht="14.25" customHeight="1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  <c r="AB629" s="26"/>
      <c r="AC629" s="26"/>
      <c r="AD629" s="26"/>
      <c r="AE629" s="26"/>
      <c r="AF629" s="26"/>
      <c r="AG629" s="26"/>
      <c r="AH629" s="26"/>
      <c r="AI629" s="26"/>
      <c r="AJ629" s="26"/>
      <c r="AK629" s="26"/>
      <c r="AL629" s="26"/>
      <c r="AM629" s="26"/>
      <c r="AN629" s="26"/>
      <c r="AO629" s="26"/>
    </row>
    <row r="630" ht="14.25" customHeight="1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  <c r="AC630" s="26"/>
      <c r="AD630" s="26"/>
      <c r="AE630" s="26"/>
      <c r="AF630" s="26"/>
      <c r="AG630" s="26"/>
      <c r="AH630" s="26"/>
      <c r="AI630" s="26"/>
      <c r="AJ630" s="26"/>
      <c r="AK630" s="26"/>
      <c r="AL630" s="26"/>
      <c r="AM630" s="26"/>
      <c r="AN630" s="26"/>
      <c r="AO630" s="26"/>
    </row>
    <row r="631" ht="14.25" customHeight="1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A631" s="26"/>
      <c r="AB631" s="26"/>
      <c r="AC631" s="26"/>
      <c r="AD631" s="26"/>
      <c r="AE631" s="26"/>
      <c r="AF631" s="26"/>
      <c r="AG631" s="26"/>
      <c r="AH631" s="26"/>
      <c r="AI631" s="26"/>
      <c r="AJ631" s="26"/>
      <c r="AK631" s="26"/>
      <c r="AL631" s="26"/>
      <c r="AM631" s="26"/>
      <c r="AN631" s="26"/>
      <c r="AO631" s="26"/>
    </row>
    <row r="632" ht="14.25" customHeight="1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  <c r="AC632" s="26"/>
      <c r="AD632" s="26"/>
      <c r="AE632" s="26"/>
      <c r="AF632" s="26"/>
      <c r="AG632" s="26"/>
      <c r="AH632" s="26"/>
      <c r="AI632" s="26"/>
      <c r="AJ632" s="26"/>
      <c r="AK632" s="26"/>
      <c r="AL632" s="26"/>
      <c r="AM632" s="26"/>
      <c r="AN632" s="26"/>
      <c r="AO632" s="26"/>
    </row>
    <row r="633" ht="14.25" customHeight="1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26"/>
      <c r="AB633" s="26"/>
      <c r="AC633" s="26"/>
      <c r="AD633" s="26"/>
      <c r="AE633" s="26"/>
      <c r="AF633" s="26"/>
      <c r="AG633" s="26"/>
      <c r="AH633" s="26"/>
      <c r="AI633" s="26"/>
      <c r="AJ633" s="26"/>
      <c r="AK633" s="26"/>
      <c r="AL633" s="26"/>
      <c r="AM633" s="26"/>
      <c r="AN633" s="26"/>
      <c r="AO633" s="26"/>
    </row>
    <row r="634" ht="14.25" customHeight="1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  <c r="AC634" s="26"/>
      <c r="AD634" s="26"/>
      <c r="AE634" s="26"/>
      <c r="AF634" s="26"/>
      <c r="AG634" s="26"/>
      <c r="AH634" s="26"/>
      <c r="AI634" s="26"/>
      <c r="AJ634" s="26"/>
      <c r="AK634" s="26"/>
      <c r="AL634" s="26"/>
      <c r="AM634" s="26"/>
      <c r="AN634" s="26"/>
      <c r="AO634" s="26"/>
    </row>
    <row r="635" ht="14.25" customHeight="1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  <c r="AC635" s="26"/>
      <c r="AD635" s="26"/>
      <c r="AE635" s="26"/>
      <c r="AF635" s="26"/>
      <c r="AG635" s="26"/>
      <c r="AH635" s="26"/>
      <c r="AI635" s="26"/>
      <c r="AJ635" s="26"/>
      <c r="AK635" s="26"/>
      <c r="AL635" s="26"/>
      <c r="AM635" s="26"/>
      <c r="AN635" s="26"/>
      <c r="AO635" s="26"/>
    </row>
    <row r="636" ht="14.25" customHeight="1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  <c r="AC636" s="26"/>
      <c r="AD636" s="26"/>
      <c r="AE636" s="26"/>
      <c r="AF636" s="26"/>
      <c r="AG636" s="26"/>
      <c r="AH636" s="26"/>
      <c r="AI636" s="26"/>
      <c r="AJ636" s="26"/>
      <c r="AK636" s="26"/>
      <c r="AL636" s="26"/>
      <c r="AM636" s="26"/>
      <c r="AN636" s="26"/>
      <c r="AO636" s="26"/>
    </row>
    <row r="637" ht="14.25" customHeight="1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  <c r="AC637" s="26"/>
      <c r="AD637" s="26"/>
      <c r="AE637" s="26"/>
      <c r="AF637" s="26"/>
      <c r="AG637" s="26"/>
      <c r="AH637" s="26"/>
      <c r="AI637" s="26"/>
      <c r="AJ637" s="26"/>
      <c r="AK637" s="26"/>
      <c r="AL637" s="26"/>
      <c r="AM637" s="26"/>
      <c r="AN637" s="26"/>
      <c r="AO637" s="26"/>
    </row>
    <row r="638" ht="14.25" customHeight="1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  <c r="AC638" s="26"/>
      <c r="AD638" s="26"/>
      <c r="AE638" s="26"/>
      <c r="AF638" s="26"/>
      <c r="AG638" s="26"/>
      <c r="AH638" s="26"/>
      <c r="AI638" s="26"/>
      <c r="AJ638" s="26"/>
      <c r="AK638" s="26"/>
      <c r="AL638" s="26"/>
      <c r="AM638" s="26"/>
      <c r="AN638" s="26"/>
      <c r="AO638" s="26"/>
    </row>
    <row r="639" ht="14.25" customHeight="1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  <c r="AC639" s="26"/>
      <c r="AD639" s="26"/>
      <c r="AE639" s="26"/>
      <c r="AF639" s="26"/>
      <c r="AG639" s="26"/>
      <c r="AH639" s="26"/>
      <c r="AI639" s="26"/>
      <c r="AJ639" s="26"/>
      <c r="AK639" s="26"/>
      <c r="AL639" s="26"/>
      <c r="AM639" s="26"/>
      <c r="AN639" s="26"/>
      <c r="AO639" s="26"/>
    </row>
    <row r="640" ht="14.25" customHeight="1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  <c r="AC640" s="26"/>
      <c r="AD640" s="26"/>
      <c r="AE640" s="26"/>
      <c r="AF640" s="26"/>
      <c r="AG640" s="26"/>
      <c r="AH640" s="26"/>
      <c r="AI640" s="26"/>
      <c r="AJ640" s="26"/>
      <c r="AK640" s="26"/>
      <c r="AL640" s="26"/>
      <c r="AM640" s="26"/>
      <c r="AN640" s="26"/>
      <c r="AO640" s="26"/>
    </row>
    <row r="641" ht="14.25" customHeight="1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  <c r="AC641" s="26"/>
      <c r="AD641" s="26"/>
      <c r="AE641" s="26"/>
      <c r="AF641" s="26"/>
      <c r="AG641" s="26"/>
      <c r="AH641" s="26"/>
      <c r="AI641" s="26"/>
      <c r="AJ641" s="26"/>
      <c r="AK641" s="26"/>
      <c r="AL641" s="26"/>
      <c r="AM641" s="26"/>
      <c r="AN641" s="26"/>
      <c r="AO641" s="26"/>
    </row>
    <row r="642" ht="14.25" customHeight="1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  <c r="AC642" s="26"/>
      <c r="AD642" s="26"/>
      <c r="AE642" s="26"/>
      <c r="AF642" s="26"/>
      <c r="AG642" s="26"/>
      <c r="AH642" s="26"/>
      <c r="AI642" s="26"/>
      <c r="AJ642" s="26"/>
      <c r="AK642" s="26"/>
      <c r="AL642" s="26"/>
      <c r="AM642" s="26"/>
      <c r="AN642" s="26"/>
      <c r="AO642" s="26"/>
    </row>
    <row r="643" ht="14.25" customHeight="1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  <c r="AB643" s="26"/>
      <c r="AC643" s="26"/>
      <c r="AD643" s="26"/>
      <c r="AE643" s="26"/>
      <c r="AF643" s="26"/>
      <c r="AG643" s="26"/>
      <c r="AH643" s="26"/>
      <c r="AI643" s="26"/>
      <c r="AJ643" s="26"/>
      <c r="AK643" s="26"/>
      <c r="AL643" s="26"/>
      <c r="AM643" s="26"/>
      <c r="AN643" s="26"/>
      <c r="AO643" s="26"/>
    </row>
    <row r="644" ht="14.25" customHeight="1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  <c r="AC644" s="26"/>
      <c r="AD644" s="26"/>
      <c r="AE644" s="26"/>
      <c r="AF644" s="26"/>
      <c r="AG644" s="26"/>
      <c r="AH644" s="26"/>
      <c r="AI644" s="26"/>
      <c r="AJ644" s="26"/>
      <c r="AK644" s="26"/>
      <c r="AL644" s="26"/>
      <c r="AM644" s="26"/>
      <c r="AN644" s="26"/>
      <c r="AO644" s="26"/>
    </row>
    <row r="645" ht="14.25" customHeight="1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  <c r="AB645" s="26"/>
      <c r="AC645" s="26"/>
      <c r="AD645" s="26"/>
      <c r="AE645" s="26"/>
      <c r="AF645" s="26"/>
      <c r="AG645" s="26"/>
      <c r="AH645" s="26"/>
      <c r="AI645" s="26"/>
      <c r="AJ645" s="26"/>
      <c r="AK645" s="26"/>
      <c r="AL645" s="26"/>
      <c r="AM645" s="26"/>
      <c r="AN645" s="26"/>
      <c r="AO645" s="26"/>
    </row>
    <row r="646" ht="14.25" customHeight="1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  <c r="AC646" s="26"/>
      <c r="AD646" s="26"/>
      <c r="AE646" s="26"/>
      <c r="AF646" s="26"/>
      <c r="AG646" s="26"/>
      <c r="AH646" s="26"/>
      <c r="AI646" s="26"/>
      <c r="AJ646" s="26"/>
      <c r="AK646" s="26"/>
      <c r="AL646" s="26"/>
      <c r="AM646" s="26"/>
      <c r="AN646" s="26"/>
      <c r="AO646" s="26"/>
    </row>
    <row r="647" ht="14.25" customHeight="1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  <c r="AB647" s="26"/>
      <c r="AC647" s="26"/>
      <c r="AD647" s="26"/>
      <c r="AE647" s="26"/>
      <c r="AF647" s="26"/>
      <c r="AG647" s="26"/>
      <c r="AH647" s="26"/>
      <c r="AI647" s="26"/>
      <c r="AJ647" s="26"/>
      <c r="AK647" s="26"/>
      <c r="AL647" s="26"/>
      <c r="AM647" s="26"/>
      <c r="AN647" s="26"/>
      <c r="AO647" s="26"/>
    </row>
    <row r="648" ht="14.25" customHeight="1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  <c r="AC648" s="26"/>
      <c r="AD648" s="26"/>
      <c r="AE648" s="26"/>
      <c r="AF648" s="26"/>
      <c r="AG648" s="26"/>
      <c r="AH648" s="26"/>
      <c r="AI648" s="26"/>
      <c r="AJ648" s="26"/>
      <c r="AK648" s="26"/>
      <c r="AL648" s="26"/>
      <c r="AM648" s="26"/>
      <c r="AN648" s="26"/>
      <c r="AO648" s="26"/>
    </row>
    <row r="649" ht="14.25" customHeight="1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  <c r="AB649" s="26"/>
      <c r="AC649" s="26"/>
      <c r="AD649" s="26"/>
      <c r="AE649" s="26"/>
      <c r="AF649" s="26"/>
      <c r="AG649" s="26"/>
      <c r="AH649" s="26"/>
      <c r="AI649" s="26"/>
      <c r="AJ649" s="26"/>
      <c r="AK649" s="26"/>
      <c r="AL649" s="26"/>
      <c r="AM649" s="26"/>
      <c r="AN649" s="26"/>
      <c r="AO649" s="26"/>
    </row>
    <row r="650" ht="14.25" customHeight="1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  <c r="AC650" s="26"/>
      <c r="AD650" s="26"/>
      <c r="AE650" s="26"/>
      <c r="AF650" s="26"/>
      <c r="AG650" s="26"/>
      <c r="AH650" s="26"/>
      <c r="AI650" s="26"/>
      <c r="AJ650" s="26"/>
      <c r="AK650" s="26"/>
      <c r="AL650" s="26"/>
      <c r="AM650" s="26"/>
      <c r="AN650" s="26"/>
      <c r="AO650" s="26"/>
    </row>
    <row r="651" ht="14.25" customHeight="1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A651" s="26"/>
      <c r="AB651" s="26"/>
      <c r="AC651" s="26"/>
      <c r="AD651" s="26"/>
      <c r="AE651" s="26"/>
      <c r="AF651" s="26"/>
      <c r="AG651" s="26"/>
      <c r="AH651" s="26"/>
      <c r="AI651" s="26"/>
      <c r="AJ651" s="26"/>
      <c r="AK651" s="26"/>
      <c r="AL651" s="26"/>
      <c r="AM651" s="26"/>
      <c r="AN651" s="26"/>
      <c r="AO651" s="26"/>
    </row>
    <row r="652" ht="14.25" customHeight="1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  <c r="AC652" s="26"/>
      <c r="AD652" s="26"/>
      <c r="AE652" s="26"/>
      <c r="AF652" s="26"/>
      <c r="AG652" s="26"/>
      <c r="AH652" s="26"/>
      <c r="AI652" s="26"/>
      <c r="AJ652" s="26"/>
      <c r="AK652" s="26"/>
      <c r="AL652" s="26"/>
      <c r="AM652" s="26"/>
      <c r="AN652" s="26"/>
      <c r="AO652" s="26"/>
    </row>
    <row r="653" ht="14.25" customHeight="1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  <c r="AB653" s="26"/>
      <c r="AC653" s="26"/>
      <c r="AD653" s="26"/>
      <c r="AE653" s="26"/>
      <c r="AF653" s="26"/>
      <c r="AG653" s="26"/>
      <c r="AH653" s="26"/>
      <c r="AI653" s="26"/>
      <c r="AJ653" s="26"/>
      <c r="AK653" s="26"/>
      <c r="AL653" s="26"/>
      <c r="AM653" s="26"/>
      <c r="AN653" s="26"/>
      <c r="AO653" s="26"/>
    </row>
    <row r="654" ht="14.25" customHeight="1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  <c r="AC654" s="26"/>
      <c r="AD654" s="26"/>
      <c r="AE654" s="26"/>
      <c r="AF654" s="26"/>
      <c r="AG654" s="26"/>
      <c r="AH654" s="26"/>
      <c r="AI654" s="26"/>
      <c r="AJ654" s="26"/>
      <c r="AK654" s="26"/>
      <c r="AL654" s="26"/>
      <c r="AM654" s="26"/>
      <c r="AN654" s="26"/>
      <c r="AO654" s="26"/>
    </row>
    <row r="655" ht="14.25" customHeight="1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  <c r="AB655" s="26"/>
      <c r="AC655" s="26"/>
      <c r="AD655" s="26"/>
      <c r="AE655" s="26"/>
      <c r="AF655" s="26"/>
      <c r="AG655" s="26"/>
      <c r="AH655" s="26"/>
      <c r="AI655" s="26"/>
      <c r="AJ655" s="26"/>
      <c r="AK655" s="26"/>
      <c r="AL655" s="26"/>
      <c r="AM655" s="26"/>
      <c r="AN655" s="26"/>
      <c r="AO655" s="26"/>
    </row>
    <row r="656" ht="14.25" customHeight="1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  <c r="AC656" s="26"/>
      <c r="AD656" s="26"/>
      <c r="AE656" s="26"/>
      <c r="AF656" s="26"/>
      <c r="AG656" s="26"/>
      <c r="AH656" s="26"/>
      <c r="AI656" s="26"/>
      <c r="AJ656" s="26"/>
      <c r="AK656" s="26"/>
      <c r="AL656" s="26"/>
      <c r="AM656" s="26"/>
      <c r="AN656" s="26"/>
      <c r="AO656" s="26"/>
    </row>
    <row r="657" ht="14.25" customHeight="1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  <c r="AB657" s="26"/>
      <c r="AC657" s="26"/>
      <c r="AD657" s="26"/>
      <c r="AE657" s="26"/>
      <c r="AF657" s="26"/>
      <c r="AG657" s="26"/>
      <c r="AH657" s="26"/>
      <c r="AI657" s="26"/>
      <c r="AJ657" s="26"/>
      <c r="AK657" s="26"/>
      <c r="AL657" s="26"/>
      <c r="AM657" s="26"/>
      <c r="AN657" s="26"/>
      <c r="AO657" s="26"/>
    </row>
    <row r="658" ht="14.25" customHeight="1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  <c r="AC658" s="26"/>
      <c r="AD658" s="26"/>
      <c r="AE658" s="26"/>
      <c r="AF658" s="26"/>
      <c r="AG658" s="26"/>
      <c r="AH658" s="26"/>
      <c r="AI658" s="26"/>
      <c r="AJ658" s="26"/>
      <c r="AK658" s="26"/>
      <c r="AL658" s="26"/>
      <c r="AM658" s="26"/>
      <c r="AN658" s="26"/>
      <c r="AO658" s="26"/>
    </row>
    <row r="659" ht="14.25" customHeight="1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26"/>
      <c r="AB659" s="26"/>
      <c r="AC659" s="26"/>
      <c r="AD659" s="26"/>
      <c r="AE659" s="26"/>
      <c r="AF659" s="26"/>
      <c r="AG659" s="26"/>
      <c r="AH659" s="26"/>
      <c r="AI659" s="26"/>
      <c r="AJ659" s="26"/>
      <c r="AK659" s="26"/>
      <c r="AL659" s="26"/>
      <c r="AM659" s="26"/>
      <c r="AN659" s="26"/>
      <c r="AO659" s="26"/>
    </row>
    <row r="660" ht="14.25" customHeight="1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  <c r="AC660" s="26"/>
      <c r="AD660" s="26"/>
      <c r="AE660" s="26"/>
      <c r="AF660" s="26"/>
      <c r="AG660" s="26"/>
      <c r="AH660" s="26"/>
      <c r="AI660" s="26"/>
      <c r="AJ660" s="26"/>
      <c r="AK660" s="26"/>
      <c r="AL660" s="26"/>
      <c r="AM660" s="26"/>
      <c r="AN660" s="26"/>
      <c r="AO660" s="26"/>
    </row>
    <row r="661" ht="14.25" customHeight="1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  <c r="AB661" s="26"/>
      <c r="AC661" s="26"/>
      <c r="AD661" s="26"/>
      <c r="AE661" s="26"/>
      <c r="AF661" s="26"/>
      <c r="AG661" s="26"/>
      <c r="AH661" s="26"/>
      <c r="AI661" s="26"/>
      <c r="AJ661" s="26"/>
      <c r="AK661" s="26"/>
      <c r="AL661" s="26"/>
      <c r="AM661" s="26"/>
      <c r="AN661" s="26"/>
      <c r="AO661" s="26"/>
    </row>
    <row r="662" ht="14.25" customHeight="1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  <c r="AC662" s="26"/>
      <c r="AD662" s="26"/>
      <c r="AE662" s="26"/>
      <c r="AF662" s="26"/>
      <c r="AG662" s="26"/>
      <c r="AH662" s="26"/>
      <c r="AI662" s="26"/>
      <c r="AJ662" s="26"/>
      <c r="AK662" s="26"/>
      <c r="AL662" s="26"/>
      <c r="AM662" s="26"/>
      <c r="AN662" s="26"/>
      <c r="AO662" s="26"/>
    </row>
    <row r="663" ht="14.25" customHeight="1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26"/>
      <c r="AB663" s="26"/>
      <c r="AC663" s="26"/>
      <c r="AD663" s="26"/>
      <c r="AE663" s="26"/>
      <c r="AF663" s="26"/>
      <c r="AG663" s="26"/>
      <c r="AH663" s="26"/>
      <c r="AI663" s="26"/>
      <c r="AJ663" s="26"/>
      <c r="AK663" s="26"/>
      <c r="AL663" s="26"/>
      <c r="AM663" s="26"/>
      <c r="AN663" s="26"/>
      <c r="AO663" s="26"/>
    </row>
    <row r="664" ht="14.25" customHeight="1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  <c r="AC664" s="26"/>
      <c r="AD664" s="26"/>
      <c r="AE664" s="26"/>
      <c r="AF664" s="26"/>
      <c r="AG664" s="26"/>
      <c r="AH664" s="26"/>
      <c r="AI664" s="26"/>
      <c r="AJ664" s="26"/>
      <c r="AK664" s="26"/>
      <c r="AL664" s="26"/>
      <c r="AM664" s="26"/>
      <c r="AN664" s="26"/>
      <c r="AO664" s="26"/>
    </row>
    <row r="665" ht="14.25" customHeight="1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/>
      <c r="AB665" s="26"/>
      <c r="AC665" s="26"/>
      <c r="AD665" s="26"/>
      <c r="AE665" s="26"/>
      <c r="AF665" s="26"/>
      <c r="AG665" s="26"/>
      <c r="AH665" s="26"/>
      <c r="AI665" s="26"/>
      <c r="AJ665" s="26"/>
      <c r="AK665" s="26"/>
      <c r="AL665" s="26"/>
      <c r="AM665" s="26"/>
      <c r="AN665" s="26"/>
      <c r="AO665" s="26"/>
    </row>
    <row r="666" ht="14.25" customHeight="1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  <c r="AC666" s="26"/>
      <c r="AD666" s="26"/>
      <c r="AE666" s="26"/>
      <c r="AF666" s="26"/>
      <c r="AG666" s="26"/>
      <c r="AH666" s="26"/>
      <c r="AI666" s="26"/>
      <c r="AJ666" s="26"/>
      <c r="AK666" s="26"/>
      <c r="AL666" s="26"/>
      <c r="AM666" s="26"/>
      <c r="AN666" s="26"/>
      <c r="AO666" s="26"/>
    </row>
    <row r="667" ht="14.25" customHeight="1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/>
      <c r="AB667" s="26"/>
      <c r="AC667" s="26"/>
      <c r="AD667" s="26"/>
      <c r="AE667" s="26"/>
      <c r="AF667" s="26"/>
      <c r="AG667" s="26"/>
      <c r="AH667" s="26"/>
      <c r="AI667" s="26"/>
      <c r="AJ667" s="26"/>
      <c r="AK667" s="26"/>
      <c r="AL667" s="26"/>
      <c r="AM667" s="26"/>
      <c r="AN667" s="26"/>
      <c r="AO667" s="26"/>
    </row>
    <row r="668" ht="14.25" customHeight="1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  <c r="AC668" s="26"/>
      <c r="AD668" s="26"/>
      <c r="AE668" s="26"/>
      <c r="AF668" s="26"/>
      <c r="AG668" s="26"/>
      <c r="AH668" s="26"/>
      <c r="AI668" s="26"/>
      <c r="AJ668" s="26"/>
      <c r="AK668" s="26"/>
      <c r="AL668" s="26"/>
      <c r="AM668" s="26"/>
      <c r="AN668" s="26"/>
      <c r="AO668" s="26"/>
    </row>
    <row r="669" ht="14.25" customHeight="1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/>
      <c r="AB669" s="26"/>
      <c r="AC669" s="26"/>
      <c r="AD669" s="26"/>
      <c r="AE669" s="26"/>
      <c r="AF669" s="26"/>
      <c r="AG669" s="26"/>
      <c r="AH669" s="26"/>
      <c r="AI669" s="26"/>
      <c r="AJ669" s="26"/>
      <c r="AK669" s="26"/>
      <c r="AL669" s="26"/>
      <c r="AM669" s="26"/>
      <c r="AN669" s="26"/>
      <c r="AO669" s="26"/>
    </row>
    <row r="670" ht="14.25" customHeight="1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  <c r="AC670" s="26"/>
      <c r="AD670" s="26"/>
      <c r="AE670" s="26"/>
      <c r="AF670" s="26"/>
      <c r="AG670" s="26"/>
      <c r="AH670" s="26"/>
      <c r="AI670" s="26"/>
      <c r="AJ670" s="26"/>
      <c r="AK670" s="26"/>
      <c r="AL670" s="26"/>
      <c r="AM670" s="26"/>
      <c r="AN670" s="26"/>
      <c r="AO670" s="26"/>
    </row>
    <row r="671" ht="14.25" customHeight="1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A671" s="26"/>
      <c r="AB671" s="26"/>
      <c r="AC671" s="26"/>
      <c r="AD671" s="26"/>
      <c r="AE671" s="26"/>
      <c r="AF671" s="26"/>
      <c r="AG671" s="26"/>
      <c r="AH671" s="26"/>
      <c r="AI671" s="26"/>
      <c r="AJ671" s="26"/>
      <c r="AK671" s="26"/>
      <c r="AL671" s="26"/>
      <c r="AM671" s="26"/>
      <c r="AN671" s="26"/>
      <c r="AO671" s="26"/>
    </row>
    <row r="672" ht="14.25" customHeight="1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  <c r="AC672" s="26"/>
      <c r="AD672" s="26"/>
      <c r="AE672" s="26"/>
      <c r="AF672" s="26"/>
      <c r="AG672" s="26"/>
      <c r="AH672" s="26"/>
      <c r="AI672" s="26"/>
      <c r="AJ672" s="26"/>
      <c r="AK672" s="26"/>
      <c r="AL672" s="26"/>
      <c r="AM672" s="26"/>
      <c r="AN672" s="26"/>
      <c r="AO672" s="26"/>
    </row>
    <row r="673" ht="14.25" customHeight="1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  <c r="AB673" s="26"/>
      <c r="AC673" s="26"/>
      <c r="AD673" s="26"/>
      <c r="AE673" s="26"/>
      <c r="AF673" s="26"/>
      <c r="AG673" s="26"/>
      <c r="AH673" s="26"/>
      <c r="AI673" s="26"/>
      <c r="AJ673" s="26"/>
      <c r="AK673" s="26"/>
      <c r="AL673" s="26"/>
      <c r="AM673" s="26"/>
      <c r="AN673" s="26"/>
      <c r="AO673" s="26"/>
    </row>
    <row r="674" ht="14.25" customHeight="1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  <c r="AC674" s="26"/>
      <c r="AD674" s="26"/>
      <c r="AE674" s="26"/>
      <c r="AF674" s="26"/>
      <c r="AG674" s="26"/>
      <c r="AH674" s="26"/>
      <c r="AI674" s="26"/>
      <c r="AJ674" s="26"/>
      <c r="AK674" s="26"/>
      <c r="AL674" s="26"/>
      <c r="AM674" s="26"/>
      <c r="AN674" s="26"/>
      <c r="AO674" s="26"/>
    </row>
    <row r="675" ht="14.25" customHeight="1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/>
      <c r="AB675" s="26"/>
      <c r="AC675" s="26"/>
      <c r="AD675" s="26"/>
      <c r="AE675" s="26"/>
      <c r="AF675" s="26"/>
      <c r="AG675" s="26"/>
      <c r="AH675" s="26"/>
      <c r="AI675" s="26"/>
      <c r="AJ675" s="26"/>
      <c r="AK675" s="26"/>
      <c r="AL675" s="26"/>
      <c r="AM675" s="26"/>
      <c r="AN675" s="26"/>
      <c r="AO675" s="26"/>
    </row>
    <row r="676" ht="14.25" customHeight="1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  <c r="AC676" s="26"/>
      <c r="AD676" s="26"/>
      <c r="AE676" s="26"/>
      <c r="AF676" s="26"/>
      <c r="AG676" s="26"/>
      <c r="AH676" s="26"/>
      <c r="AI676" s="26"/>
      <c r="AJ676" s="26"/>
      <c r="AK676" s="26"/>
      <c r="AL676" s="26"/>
      <c r="AM676" s="26"/>
      <c r="AN676" s="26"/>
      <c r="AO676" s="26"/>
    </row>
    <row r="677" ht="14.25" customHeight="1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A677" s="26"/>
      <c r="AB677" s="26"/>
      <c r="AC677" s="26"/>
      <c r="AD677" s="26"/>
      <c r="AE677" s="26"/>
      <c r="AF677" s="26"/>
      <c r="AG677" s="26"/>
      <c r="AH677" s="26"/>
      <c r="AI677" s="26"/>
      <c r="AJ677" s="26"/>
      <c r="AK677" s="26"/>
      <c r="AL677" s="26"/>
      <c r="AM677" s="26"/>
      <c r="AN677" s="26"/>
      <c r="AO677" s="26"/>
    </row>
    <row r="678" ht="14.25" customHeight="1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  <c r="AC678" s="26"/>
      <c r="AD678" s="26"/>
      <c r="AE678" s="26"/>
      <c r="AF678" s="26"/>
      <c r="AG678" s="26"/>
      <c r="AH678" s="26"/>
      <c r="AI678" s="26"/>
      <c r="AJ678" s="26"/>
      <c r="AK678" s="26"/>
      <c r="AL678" s="26"/>
      <c r="AM678" s="26"/>
      <c r="AN678" s="26"/>
      <c r="AO678" s="26"/>
    </row>
    <row r="679" ht="14.25" customHeight="1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  <c r="AA679" s="26"/>
      <c r="AB679" s="26"/>
      <c r="AC679" s="26"/>
      <c r="AD679" s="26"/>
      <c r="AE679" s="26"/>
      <c r="AF679" s="26"/>
      <c r="AG679" s="26"/>
      <c r="AH679" s="26"/>
      <c r="AI679" s="26"/>
      <c r="AJ679" s="26"/>
      <c r="AK679" s="26"/>
      <c r="AL679" s="26"/>
      <c r="AM679" s="26"/>
      <c r="AN679" s="26"/>
      <c r="AO679" s="26"/>
    </row>
    <row r="680" ht="14.25" customHeight="1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  <c r="AC680" s="26"/>
      <c r="AD680" s="26"/>
      <c r="AE680" s="26"/>
      <c r="AF680" s="26"/>
      <c r="AG680" s="26"/>
      <c r="AH680" s="26"/>
      <c r="AI680" s="26"/>
      <c r="AJ680" s="26"/>
      <c r="AK680" s="26"/>
      <c r="AL680" s="26"/>
      <c r="AM680" s="26"/>
      <c r="AN680" s="26"/>
      <c r="AO680" s="26"/>
    </row>
    <row r="681" ht="14.25" customHeight="1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  <c r="AA681" s="26"/>
      <c r="AB681" s="26"/>
      <c r="AC681" s="26"/>
      <c r="AD681" s="26"/>
      <c r="AE681" s="26"/>
      <c r="AF681" s="26"/>
      <c r="AG681" s="26"/>
      <c r="AH681" s="26"/>
      <c r="AI681" s="26"/>
      <c r="AJ681" s="26"/>
      <c r="AK681" s="26"/>
      <c r="AL681" s="26"/>
      <c r="AM681" s="26"/>
      <c r="AN681" s="26"/>
      <c r="AO681" s="26"/>
    </row>
    <row r="682" ht="14.25" customHeight="1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  <c r="AC682" s="26"/>
      <c r="AD682" s="26"/>
      <c r="AE682" s="26"/>
      <c r="AF682" s="26"/>
      <c r="AG682" s="26"/>
      <c r="AH682" s="26"/>
      <c r="AI682" s="26"/>
      <c r="AJ682" s="26"/>
      <c r="AK682" s="26"/>
      <c r="AL682" s="26"/>
      <c r="AM682" s="26"/>
      <c r="AN682" s="26"/>
      <c r="AO682" s="26"/>
    </row>
    <row r="683" ht="14.25" customHeight="1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  <c r="AB683" s="26"/>
      <c r="AC683" s="26"/>
      <c r="AD683" s="26"/>
      <c r="AE683" s="26"/>
      <c r="AF683" s="26"/>
      <c r="AG683" s="26"/>
      <c r="AH683" s="26"/>
      <c r="AI683" s="26"/>
      <c r="AJ683" s="26"/>
      <c r="AK683" s="26"/>
      <c r="AL683" s="26"/>
      <c r="AM683" s="26"/>
      <c r="AN683" s="26"/>
      <c r="AO683" s="26"/>
    </row>
    <row r="684" ht="14.25" customHeight="1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  <c r="AC684" s="26"/>
      <c r="AD684" s="26"/>
      <c r="AE684" s="26"/>
      <c r="AF684" s="26"/>
      <c r="AG684" s="26"/>
      <c r="AH684" s="26"/>
      <c r="AI684" s="26"/>
      <c r="AJ684" s="26"/>
      <c r="AK684" s="26"/>
      <c r="AL684" s="26"/>
      <c r="AM684" s="26"/>
      <c r="AN684" s="26"/>
      <c r="AO684" s="26"/>
    </row>
    <row r="685" ht="14.25" customHeight="1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A685" s="26"/>
      <c r="AB685" s="26"/>
      <c r="AC685" s="26"/>
      <c r="AD685" s="26"/>
      <c r="AE685" s="26"/>
      <c r="AF685" s="26"/>
      <c r="AG685" s="26"/>
      <c r="AH685" s="26"/>
      <c r="AI685" s="26"/>
      <c r="AJ685" s="26"/>
      <c r="AK685" s="26"/>
      <c r="AL685" s="26"/>
      <c r="AM685" s="26"/>
      <c r="AN685" s="26"/>
      <c r="AO685" s="26"/>
    </row>
    <row r="686" ht="14.25" customHeight="1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  <c r="AC686" s="26"/>
      <c r="AD686" s="26"/>
      <c r="AE686" s="26"/>
      <c r="AF686" s="26"/>
      <c r="AG686" s="26"/>
      <c r="AH686" s="26"/>
      <c r="AI686" s="26"/>
      <c r="AJ686" s="26"/>
      <c r="AK686" s="26"/>
      <c r="AL686" s="26"/>
      <c r="AM686" s="26"/>
      <c r="AN686" s="26"/>
      <c r="AO686" s="26"/>
    </row>
    <row r="687" ht="14.25" customHeight="1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  <c r="AA687" s="26"/>
      <c r="AB687" s="26"/>
      <c r="AC687" s="26"/>
      <c r="AD687" s="26"/>
      <c r="AE687" s="26"/>
      <c r="AF687" s="26"/>
      <c r="AG687" s="26"/>
      <c r="AH687" s="26"/>
      <c r="AI687" s="26"/>
      <c r="AJ687" s="26"/>
      <c r="AK687" s="26"/>
      <c r="AL687" s="26"/>
      <c r="AM687" s="26"/>
      <c r="AN687" s="26"/>
      <c r="AO687" s="26"/>
    </row>
    <row r="688" ht="14.25" customHeight="1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  <c r="AB688" s="26"/>
      <c r="AC688" s="26"/>
      <c r="AD688" s="26"/>
      <c r="AE688" s="26"/>
      <c r="AF688" s="26"/>
      <c r="AG688" s="26"/>
      <c r="AH688" s="26"/>
      <c r="AI688" s="26"/>
      <c r="AJ688" s="26"/>
      <c r="AK688" s="26"/>
      <c r="AL688" s="26"/>
      <c r="AM688" s="26"/>
      <c r="AN688" s="26"/>
      <c r="AO688" s="26"/>
    </row>
    <row r="689" ht="14.25" customHeight="1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A689" s="26"/>
      <c r="AB689" s="26"/>
      <c r="AC689" s="26"/>
      <c r="AD689" s="26"/>
      <c r="AE689" s="26"/>
      <c r="AF689" s="26"/>
      <c r="AG689" s="26"/>
      <c r="AH689" s="26"/>
      <c r="AI689" s="26"/>
      <c r="AJ689" s="26"/>
      <c r="AK689" s="26"/>
      <c r="AL689" s="26"/>
      <c r="AM689" s="26"/>
      <c r="AN689" s="26"/>
      <c r="AO689" s="26"/>
    </row>
    <row r="690" ht="14.25" customHeight="1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  <c r="AC690" s="26"/>
      <c r="AD690" s="26"/>
      <c r="AE690" s="26"/>
      <c r="AF690" s="26"/>
      <c r="AG690" s="26"/>
      <c r="AH690" s="26"/>
      <c r="AI690" s="26"/>
      <c r="AJ690" s="26"/>
      <c r="AK690" s="26"/>
      <c r="AL690" s="26"/>
      <c r="AM690" s="26"/>
      <c r="AN690" s="26"/>
      <c r="AO690" s="26"/>
    </row>
    <row r="691" ht="14.25" customHeight="1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  <c r="AA691" s="26"/>
      <c r="AB691" s="26"/>
      <c r="AC691" s="26"/>
      <c r="AD691" s="26"/>
      <c r="AE691" s="26"/>
      <c r="AF691" s="26"/>
      <c r="AG691" s="26"/>
      <c r="AH691" s="26"/>
      <c r="AI691" s="26"/>
      <c r="AJ691" s="26"/>
      <c r="AK691" s="26"/>
      <c r="AL691" s="26"/>
      <c r="AM691" s="26"/>
      <c r="AN691" s="26"/>
      <c r="AO691" s="26"/>
    </row>
    <row r="692" ht="14.25" customHeight="1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  <c r="AB692" s="26"/>
      <c r="AC692" s="26"/>
      <c r="AD692" s="26"/>
      <c r="AE692" s="26"/>
      <c r="AF692" s="26"/>
      <c r="AG692" s="26"/>
      <c r="AH692" s="26"/>
      <c r="AI692" s="26"/>
      <c r="AJ692" s="26"/>
      <c r="AK692" s="26"/>
      <c r="AL692" s="26"/>
      <c r="AM692" s="26"/>
      <c r="AN692" s="26"/>
      <c r="AO692" s="26"/>
    </row>
    <row r="693" ht="14.25" customHeight="1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  <c r="AA693" s="26"/>
      <c r="AB693" s="26"/>
      <c r="AC693" s="26"/>
      <c r="AD693" s="26"/>
      <c r="AE693" s="26"/>
      <c r="AF693" s="26"/>
      <c r="AG693" s="26"/>
      <c r="AH693" s="26"/>
      <c r="AI693" s="26"/>
      <c r="AJ693" s="26"/>
      <c r="AK693" s="26"/>
      <c r="AL693" s="26"/>
      <c r="AM693" s="26"/>
      <c r="AN693" s="26"/>
      <c r="AO693" s="26"/>
    </row>
    <row r="694" ht="14.25" customHeight="1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  <c r="AB694" s="26"/>
      <c r="AC694" s="26"/>
      <c r="AD694" s="26"/>
      <c r="AE694" s="26"/>
      <c r="AF694" s="26"/>
      <c r="AG694" s="26"/>
      <c r="AH694" s="26"/>
      <c r="AI694" s="26"/>
      <c r="AJ694" s="26"/>
      <c r="AK694" s="26"/>
      <c r="AL694" s="26"/>
      <c r="AM694" s="26"/>
      <c r="AN694" s="26"/>
      <c r="AO694" s="26"/>
    </row>
    <row r="695" ht="14.25" customHeight="1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A695" s="26"/>
      <c r="AB695" s="26"/>
      <c r="AC695" s="26"/>
      <c r="AD695" s="26"/>
      <c r="AE695" s="26"/>
      <c r="AF695" s="26"/>
      <c r="AG695" s="26"/>
      <c r="AH695" s="26"/>
      <c r="AI695" s="26"/>
      <c r="AJ695" s="26"/>
      <c r="AK695" s="26"/>
      <c r="AL695" s="26"/>
      <c r="AM695" s="26"/>
      <c r="AN695" s="26"/>
      <c r="AO695" s="26"/>
    </row>
    <row r="696" ht="14.25" customHeight="1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  <c r="AC696" s="26"/>
      <c r="AD696" s="26"/>
      <c r="AE696" s="26"/>
      <c r="AF696" s="26"/>
      <c r="AG696" s="26"/>
      <c r="AH696" s="26"/>
      <c r="AI696" s="26"/>
      <c r="AJ696" s="26"/>
      <c r="AK696" s="26"/>
      <c r="AL696" s="26"/>
      <c r="AM696" s="26"/>
      <c r="AN696" s="26"/>
      <c r="AO696" s="26"/>
    </row>
    <row r="697" ht="14.25" customHeight="1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A697" s="26"/>
      <c r="AB697" s="26"/>
      <c r="AC697" s="26"/>
      <c r="AD697" s="26"/>
      <c r="AE697" s="26"/>
      <c r="AF697" s="26"/>
      <c r="AG697" s="26"/>
      <c r="AH697" s="26"/>
      <c r="AI697" s="26"/>
      <c r="AJ697" s="26"/>
      <c r="AK697" s="26"/>
      <c r="AL697" s="26"/>
      <c r="AM697" s="26"/>
      <c r="AN697" s="26"/>
      <c r="AO697" s="26"/>
    </row>
    <row r="698" ht="14.25" customHeight="1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  <c r="AC698" s="26"/>
      <c r="AD698" s="26"/>
      <c r="AE698" s="26"/>
      <c r="AF698" s="26"/>
      <c r="AG698" s="26"/>
      <c r="AH698" s="26"/>
      <c r="AI698" s="26"/>
      <c r="AJ698" s="26"/>
      <c r="AK698" s="26"/>
      <c r="AL698" s="26"/>
      <c r="AM698" s="26"/>
      <c r="AN698" s="26"/>
      <c r="AO698" s="26"/>
    </row>
    <row r="699" ht="14.25" customHeight="1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  <c r="AB699" s="26"/>
      <c r="AC699" s="26"/>
      <c r="AD699" s="26"/>
      <c r="AE699" s="26"/>
      <c r="AF699" s="26"/>
      <c r="AG699" s="26"/>
      <c r="AH699" s="26"/>
      <c r="AI699" s="26"/>
      <c r="AJ699" s="26"/>
      <c r="AK699" s="26"/>
      <c r="AL699" s="26"/>
      <c r="AM699" s="26"/>
      <c r="AN699" s="26"/>
      <c r="AO699" s="26"/>
    </row>
    <row r="700" ht="14.25" customHeight="1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  <c r="AC700" s="26"/>
      <c r="AD700" s="26"/>
      <c r="AE700" s="26"/>
      <c r="AF700" s="26"/>
      <c r="AG700" s="26"/>
      <c r="AH700" s="26"/>
      <c r="AI700" s="26"/>
      <c r="AJ700" s="26"/>
      <c r="AK700" s="26"/>
      <c r="AL700" s="26"/>
      <c r="AM700" s="26"/>
      <c r="AN700" s="26"/>
      <c r="AO700" s="26"/>
    </row>
    <row r="701" ht="14.25" customHeight="1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  <c r="AA701" s="26"/>
      <c r="AB701" s="26"/>
      <c r="AC701" s="26"/>
      <c r="AD701" s="26"/>
      <c r="AE701" s="26"/>
      <c r="AF701" s="26"/>
      <c r="AG701" s="26"/>
      <c r="AH701" s="26"/>
      <c r="AI701" s="26"/>
      <c r="AJ701" s="26"/>
      <c r="AK701" s="26"/>
      <c r="AL701" s="26"/>
      <c r="AM701" s="26"/>
      <c r="AN701" s="26"/>
      <c r="AO701" s="26"/>
    </row>
    <row r="702" ht="14.25" customHeight="1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  <c r="AC702" s="26"/>
      <c r="AD702" s="26"/>
      <c r="AE702" s="26"/>
      <c r="AF702" s="26"/>
      <c r="AG702" s="26"/>
      <c r="AH702" s="26"/>
      <c r="AI702" s="26"/>
      <c r="AJ702" s="26"/>
      <c r="AK702" s="26"/>
      <c r="AL702" s="26"/>
      <c r="AM702" s="26"/>
      <c r="AN702" s="26"/>
      <c r="AO702" s="26"/>
    </row>
    <row r="703" ht="14.25" customHeight="1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  <c r="AA703" s="26"/>
      <c r="AB703" s="26"/>
      <c r="AC703" s="26"/>
      <c r="AD703" s="26"/>
      <c r="AE703" s="26"/>
      <c r="AF703" s="26"/>
      <c r="AG703" s="26"/>
      <c r="AH703" s="26"/>
      <c r="AI703" s="26"/>
      <c r="AJ703" s="26"/>
      <c r="AK703" s="26"/>
      <c r="AL703" s="26"/>
      <c r="AM703" s="26"/>
      <c r="AN703" s="26"/>
      <c r="AO703" s="26"/>
    </row>
    <row r="704" ht="14.25" customHeight="1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  <c r="AB704" s="26"/>
      <c r="AC704" s="26"/>
      <c r="AD704" s="26"/>
      <c r="AE704" s="26"/>
      <c r="AF704" s="26"/>
      <c r="AG704" s="26"/>
      <c r="AH704" s="26"/>
      <c r="AI704" s="26"/>
      <c r="AJ704" s="26"/>
      <c r="AK704" s="26"/>
      <c r="AL704" s="26"/>
      <c r="AM704" s="26"/>
      <c r="AN704" s="26"/>
      <c r="AO704" s="26"/>
    </row>
    <row r="705" ht="14.25" customHeight="1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  <c r="AA705" s="26"/>
      <c r="AB705" s="26"/>
      <c r="AC705" s="26"/>
      <c r="AD705" s="26"/>
      <c r="AE705" s="26"/>
      <c r="AF705" s="26"/>
      <c r="AG705" s="26"/>
      <c r="AH705" s="26"/>
      <c r="AI705" s="26"/>
      <c r="AJ705" s="26"/>
      <c r="AK705" s="26"/>
      <c r="AL705" s="26"/>
      <c r="AM705" s="26"/>
      <c r="AN705" s="26"/>
      <c r="AO705" s="26"/>
    </row>
    <row r="706" ht="14.25" customHeight="1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  <c r="AB706" s="26"/>
      <c r="AC706" s="26"/>
      <c r="AD706" s="26"/>
      <c r="AE706" s="26"/>
      <c r="AF706" s="26"/>
      <c r="AG706" s="26"/>
      <c r="AH706" s="26"/>
      <c r="AI706" s="26"/>
      <c r="AJ706" s="26"/>
      <c r="AK706" s="26"/>
      <c r="AL706" s="26"/>
      <c r="AM706" s="26"/>
      <c r="AN706" s="26"/>
      <c r="AO706" s="26"/>
    </row>
    <row r="707" ht="14.25" customHeight="1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  <c r="AA707" s="26"/>
      <c r="AB707" s="26"/>
      <c r="AC707" s="26"/>
      <c r="AD707" s="26"/>
      <c r="AE707" s="26"/>
      <c r="AF707" s="26"/>
      <c r="AG707" s="26"/>
      <c r="AH707" s="26"/>
      <c r="AI707" s="26"/>
      <c r="AJ707" s="26"/>
      <c r="AK707" s="26"/>
      <c r="AL707" s="26"/>
      <c r="AM707" s="26"/>
      <c r="AN707" s="26"/>
      <c r="AO707" s="26"/>
    </row>
    <row r="708" ht="14.25" customHeight="1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  <c r="AB708" s="26"/>
      <c r="AC708" s="26"/>
      <c r="AD708" s="26"/>
      <c r="AE708" s="26"/>
      <c r="AF708" s="26"/>
      <c r="AG708" s="26"/>
      <c r="AH708" s="26"/>
      <c r="AI708" s="26"/>
      <c r="AJ708" s="26"/>
      <c r="AK708" s="26"/>
      <c r="AL708" s="26"/>
      <c r="AM708" s="26"/>
      <c r="AN708" s="26"/>
      <c r="AO708" s="26"/>
    </row>
    <row r="709" ht="14.25" customHeight="1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/>
      <c r="AB709" s="26"/>
      <c r="AC709" s="26"/>
      <c r="AD709" s="26"/>
      <c r="AE709" s="26"/>
      <c r="AF709" s="26"/>
      <c r="AG709" s="26"/>
      <c r="AH709" s="26"/>
      <c r="AI709" s="26"/>
      <c r="AJ709" s="26"/>
      <c r="AK709" s="26"/>
      <c r="AL709" s="26"/>
      <c r="AM709" s="26"/>
      <c r="AN709" s="26"/>
      <c r="AO709" s="26"/>
    </row>
    <row r="710" ht="14.25" customHeight="1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  <c r="AB710" s="26"/>
      <c r="AC710" s="26"/>
      <c r="AD710" s="26"/>
      <c r="AE710" s="26"/>
      <c r="AF710" s="26"/>
      <c r="AG710" s="26"/>
      <c r="AH710" s="26"/>
      <c r="AI710" s="26"/>
      <c r="AJ710" s="26"/>
      <c r="AK710" s="26"/>
      <c r="AL710" s="26"/>
      <c r="AM710" s="26"/>
      <c r="AN710" s="26"/>
      <c r="AO710" s="26"/>
    </row>
    <row r="711" ht="14.25" customHeight="1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  <c r="AA711" s="26"/>
      <c r="AB711" s="26"/>
      <c r="AC711" s="26"/>
      <c r="AD711" s="26"/>
      <c r="AE711" s="26"/>
      <c r="AF711" s="26"/>
      <c r="AG711" s="26"/>
      <c r="AH711" s="26"/>
      <c r="AI711" s="26"/>
      <c r="AJ711" s="26"/>
      <c r="AK711" s="26"/>
      <c r="AL711" s="26"/>
      <c r="AM711" s="26"/>
      <c r="AN711" s="26"/>
      <c r="AO711" s="26"/>
    </row>
    <row r="712" ht="14.25" customHeight="1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  <c r="AB712" s="26"/>
      <c r="AC712" s="26"/>
      <c r="AD712" s="26"/>
      <c r="AE712" s="26"/>
      <c r="AF712" s="26"/>
      <c r="AG712" s="26"/>
      <c r="AH712" s="26"/>
      <c r="AI712" s="26"/>
      <c r="AJ712" s="26"/>
      <c r="AK712" s="26"/>
      <c r="AL712" s="26"/>
      <c r="AM712" s="26"/>
      <c r="AN712" s="26"/>
      <c r="AO712" s="26"/>
    </row>
    <row r="713" ht="14.25" customHeight="1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  <c r="AA713" s="26"/>
      <c r="AB713" s="26"/>
      <c r="AC713" s="26"/>
      <c r="AD713" s="26"/>
      <c r="AE713" s="26"/>
      <c r="AF713" s="26"/>
      <c r="AG713" s="26"/>
      <c r="AH713" s="26"/>
      <c r="AI713" s="26"/>
      <c r="AJ713" s="26"/>
      <c r="AK713" s="26"/>
      <c r="AL713" s="26"/>
      <c r="AM713" s="26"/>
      <c r="AN713" s="26"/>
      <c r="AO713" s="26"/>
    </row>
    <row r="714" ht="14.25" customHeight="1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  <c r="AC714" s="26"/>
      <c r="AD714" s="26"/>
      <c r="AE714" s="26"/>
      <c r="AF714" s="26"/>
      <c r="AG714" s="26"/>
      <c r="AH714" s="26"/>
      <c r="AI714" s="26"/>
      <c r="AJ714" s="26"/>
      <c r="AK714" s="26"/>
      <c r="AL714" s="26"/>
      <c r="AM714" s="26"/>
      <c r="AN714" s="26"/>
      <c r="AO714" s="26"/>
    </row>
    <row r="715" ht="14.25" customHeight="1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  <c r="AA715" s="26"/>
      <c r="AB715" s="26"/>
      <c r="AC715" s="26"/>
      <c r="AD715" s="26"/>
      <c r="AE715" s="26"/>
      <c r="AF715" s="26"/>
      <c r="AG715" s="26"/>
      <c r="AH715" s="26"/>
      <c r="AI715" s="26"/>
      <c r="AJ715" s="26"/>
      <c r="AK715" s="26"/>
      <c r="AL715" s="26"/>
      <c r="AM715" s="26"/>
      <c r="AN715" s="26"/>
      <c r="AO715" s="26"/>
    </row>
    <row r="716" ht="14.25" customHeight="1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  <c r="AC716" s="26"/>
      <c r="AD716" s="26"/>
      <c r="AE716" s="26"/>
      <c r="AF716" s="26"/>
      <c r="AG716" s="26"/>
      <c r="AH716" s="26"/>
      <c r="AI716" s="26"/>
      <c r="AJ716" s="26"/>
      <c r="AK716" s="26"/>
      <c r="AL716" s="26"/>
      <c r="AM716" s="26"/>
      <c r="AN716" s="26"/>
      <c r="AO716" s="26"/>
    </row>
    <row r="717" ht="14.25" customHeight="1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6"/>
      <c r="AB717" s="26"/>
      <c r="AC717" s="26"/>
      <c r="AD717" s="26"/>
      <c r="AE717" s="26"/>
      <c r="AF717" s="26"/>
      <c r="AG717" s="26"/>
      <c r="AH717" s="26"/>
      <c r="AI717" s="26"/>
      <c r="AJ717" s="26"/>
      <c r="AK717" s="26"/>
      <c r="AL717" s="26"/>
      <c r="AM717" s="26"/>
      <c r="AN717" s="26"/>
      <c r="AO717" s="26"/>
    </row>
    <row r="718" ht="14.25" customHeight="1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  <c r="AB718" s="26"/>
      <c r="AC718" s="26"/>
      <c r="AD718" s="26"/>
      <c r="AE718" s="26"/>
      <c r="AF718" s="26"/>
      <c r="AG718" s="26"/>
      <c r="AH718" s="26"/>
      <c r="AI718" s="26"/>
      <c r="AJ718" s="26"/>
      <c r="AK718" s="26"/>
      <c r="AL718" s="26"/>
      <c r="AM718" s="26"/>
      <c r="AN718" s="26"/>
      <c r="AO718" s="26"/>
    </row>
    <row r="719" ht="14.25" customHeight="1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  <c r="AA719" s="26"/>
      <c r="AB719" s="26"/>
      <c r="AC719" s="26"/>
      <c r="AD719" s="26"/>
      <c r="AE719" s="26"/>
      <c r="AF719" s="26"/>
      <c r="AG719" s="26"/>
      <c r="AH719" s="26"/>
      <c r="AI719" s="26"/>
      <c r="AJ719" s="26"/>
      <c r="AK719" s="26"/>
      <c r="AL719" s="26"/>
      <c r="AM719" s="26"/>
      <c r="AN719" s="26"/>
      <c r="AO719" s="26"/>
    </row>
    <row r="720" ht="14.25" customHeight="1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  <c r="AB720" s="26"/>
      <c r="AC720" s="26"/>
      <c r="AD720" s="26"/>
      <c r="AE720" s="26"/>
      <c r="AF720" s="26"/>
      <c r="AG720" s="26"/>
      <c r="AH720" s="26"/>
      <c r="AI720" s="26"/>
      <c r="AJ720" s="26"/>
      <c r="AK720" s="26"/>
      <c r="AL720" s="26"/>
      <c r="AM720" s="26"/>
      <c r="AN720" s="26"/>
      <c r="AO720" s="26"/>
    </row>
    <row r="721" ht="14.25" customHeight="1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  <c r="AA721" s="26"/>
      <c r="AB721" s="26"/>
      <c r="AC721" s="26"/>
      <c r="AD721" s="26"/>
      <c r="AE721" s="26"/>
      <c r="AF721" s="26"/>
      <c r="AG721" s="26"/>
      <c r="AH721" s="26"/>
      <c r="AI721" s="26"/>
      <c r="AJ721" s="26"/>
      <c r="AK721" s="26"/>
      <c r="AL721" s="26"/>
      <c r="AM721" s="26"/>
      <c r="AN721" s="26"/>
      <c r="AO721" s="26"/>
    </row>
    <row r="722" ht="14.25" customHeight="1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  <c r="AC722" s="26"/>
      <c r="AD722" s="26"/>
      <c r="AE722" s="26"/>
      <c r="AF722" s="26"/>
      <c r="AG722" s="26"/>
      <c r="AH722" s="26"/>
      <c r="AI722" s="26"/>
      <c r="AJ722" s="26"/>
      <c r="AK722" s="26"/>
      <c r="AL722" s="26"/>
      <c r="AM722" s="26"/>
      <c r="AN722" s="26"/>
      <c r="AO722" s="26"/>
    </row>
    <row r="723" ht="14.25" customHeight="1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  <c r="AA723" s="26"/>
      <c r="AB723" s="26"/>
      <c r="AC723" s="26"/>
      <c r="AD723" s="26"/>
      <c r="AE723" s="26"/>
      <c r="AF723" s="26"/>
      <c r="AG723" s="26"/>
      <c r="AH723" s="26"/>
      <c r="AI723" s="26"/>
      <c r="AJ723" s="26"/>
      <c r="AK723" s="26"/>
      <c r="AL723" s="26"/>
      <c r="AM723" s="26"/>
      <c r="AN723" s="26"/>
      <c r="AO723" s="26"/>
    </row>
    <row r="724" ht="14.25" customHeight="1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  <c r="AC724" s="26"/>
      <c r="AD724" s="26"/>
      <c r="AE724" s="26"/>
      <c r="AF724" s="26"/>
      <c r="AG724" s="26"/>
      <c r="AH724" s="26"/>
      <c r="AI724" s="26"/>
      <c r="AJ724" s="26"/>
      <c r="AK724" s="26"/>
      <c r="AL724" s="26"/>
      <c r="AM724" s="26"/>
      <c r="AN724" s="26"/>
      <c r="AO724" s="26"/>
    </row>
    <row r="725" ht="14.25" customHeight="1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  <c r="AA725" s="26"/>
      <c r="AB725" s="26"/>
      <c r="AC725" s="26"/>
      <c r="AD725" s="26"/>
      <c r="AE725" s="26"/>
      <c r="AF725" s="26"/>
      <c r="AG725" s="26"/>
      <c r="AH725" s="26"/>
      <c r="AI725" s="26"/>
      <c r="AJ725" s="26"/>
      <c r="AK725" s="26"/>
      <c r="AL725" s="26"/>
      <c r="AM725" s="26"/>
      <c r="AN725" s="26"/>
      <c r="AO725" s="26"/>
    </row>
    <row r="726" ht="14.25" customHeight="1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  <c r="AC726" s="26"/>
      <c r="AD726" s="26"/>
      <c r="AE726" s="26"/>
      <c r="AF726" s="26"/>
      <c r="AG726" s="26"/>
      <c r="AH726" s="26"/>
      <c r="AI726" s="26"/>
      <c r="AJ726" s="26"/>
      <c r="AK726" s="26"/>
      <c r="AL726" s="26"/>
      <c r="AM726" s="26"/>
      <c r="AN726" s="26"/>
      <c r="AO726" s="26"/>
    </row>
    <row r="727" ht="14.25" customHeight="1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  <c r="AA727" s="26"/>
      <c r="AB727" s="26"/>
      <c r="AC727" s="26"/>
      <c r="AD727" s="26"/>
      <c r="AE727" s="26"/>
      <c r="AF727" s="26"/>
      <c r="AG727" s="26"/>
      <c r="AH727" s="26"/>
      <c r="AI727" s="26"/>
      <c r="AJ727" s="26"/>
      <c r="AK727" s="26"/>
      <c r="AL727" s="26"/>
      <c r="AM727" s="26"/>
      <c r="AN727" s="26"/>
      <c r="AO727" s="26"/>
    </row>
    <row r="728" ht="14.25" customHeight="1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  <c r="AC728" s="26"/>
      <c r="AD728" s="26"/>
      <c r="AE728" s="26"/>
      <c r="AF728" s="26"/>
      <c r="AG728" s="26"/>
      <c r="AH728" s="26"/>
      <c r="AI728" s="26"/>
      <c r="AJ728" s="26"/>
      <c r="AK728" s="26"/>
      <c r="AL728" s="26"/>
      <c r="AM728" s="26"/>
      <c r="AN728" s="26"/>
      <c r="AO728" s="26"/>
    </row>
    <row r="729" ht="14.25" customHeight="1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  <c r="AA729" s="26"/>
      <c r="AB729" s="26"/>
      <c r="AC729" s="26"/>
      <c r="AD729" s="26"/>
      <c r="AE729" s="26"/>
      <c r="AF729" s="26"/>
      <c r="AG729" s="26"/>
      <c r="AH729" s="26"/>
      <c r="AI729" s="26"/>
      <c r="AJ729" s="26"/>
      <c r="AK729" s="26"/>
      <c r="AL729" s="26"/>
      <c r="AM729" s="26"/>
      <c r="AN729" s="26"/>
      <c r="AO729" s="26"/>
    </row>
    <row r="730" ht="14.25" customHeight="1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  <c r="AC730" s="26"/>
      <c r="AD730" s="26"/>
      <c r="AE730" s="26"/>
      <c r="AF730" s="26"/>
      <c r="AG730" s="26"/>
      <c r="AH730" s="26"/>
      <c r="AI730" s="26"/>
      <c r="AJ730" s="26"/>
      <c r="AK730" s="26"/>
      <c r="AL730" s="26"/>
      <c r="AM730" s="26"/>
      <c r="AN730" s="26"/>
      <c r="AO730" s="26"/>
    </row>
    <row r="731" ht="14.25" customHeight="1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  <c r="AA731" s="26"/>
      <c r="AB731" s="26"/>
      <c r="AC731" s="26"/>
      <c r="AD731" s="26"/>
      <c r="AE731" s="26"/>
      <c r="AF731" s="26"/>
      <c r="AG731" s="26"/>
      <c r="AH731" s="26"/>
      <c r="AI731" s="26"/>
      <c r="AJ731" s="26"/>
      <c r="AK731" s="26"/>
      <c r="AL731" s="26"/>
      <c r="AM731" s="26"/>
      <c r="AN731" s="26"/>
      <c r="AO731" s="26"/>
    </row>
    <row r="732" ht="14.25" customHeight="1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  <c r="AB732" s="26"/>
      <c r="AC732" s="26"/>
      <c r="AD732" s="26"/>
      <c r="AE732" s="26"/>
      <c r="AF732" s="26"/>
      <c r="AG732" s="26"/>
      <c r="AH732" s="26"/>
      <c r="AI732" s="26"/>
      <c r="AJ732" s="26"/>
      <c r="AK732" s="26"/>
      <c r="AL732" s="26"/>
      <c r="AM732" s="26"/>
      <c r="AN732" s="26"/>
      <c r="AO732" s="26"/>
    </row>
    <row r="733" ht="14.25" customHeight="1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  <c r="AA733" s="26"/>
      <c r="AB733" s="26"/>
      <c r="AC733" s="26"/>
      <c r="AD733" s="26"/>
      <c r="AE733" s="26"/>
      <c r="AF733" s="26"/>
      <c r="AG733" s="26"/>
      <c r="AH733" s="26"/>
      <c r="AI733" s="26"/>
      <c r="AJ733" s="26"/>
      <c r="AK733" s="26"/>
      <c r="AL733" s="26"/>
      <c r="AM733" s="26"/>
      <c r="AN733" s="26"/>
      <c r="AO733" s="26"/>
    </row>
    <row r="734" ht="14.25" customHeight="1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  <c r="AB734" s="26"/>
      <c r="AC734" s="26"/>
      <c r="AD734" s="26"/>
      <c r="AE734" s="26"/>
      <c r="AF734" s="26"/>
      <c r="AG734" s="26"/>
      <c r="AH734" s="26"/>
      <c r="AI734" s="26"/>
      <c r="AJ734" s="26"/>
      <c r="AK734" s="26"/>
      <c r="AL734" s="26"/>
      <c r="AM734" s="26"/>
      <c r="AN734" s="26"/>
      <c r="AO734" s="26"/>
    </row>
    <row r="735" ht="14.25" customHeight="1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  <c r="AA735" s="26"/>
      <c r="AB735" s="26"/>
      <c r="AC735" s="26"/>
      <c r="AD735" s="26"/>
      <c r="AE735" s="26"/>
      <c r="AF735" s="26"/>
      <c r="AG735" s="26"/>
      <c r="AH735" s="26"/>
      <c r="AI735" s="26"/>
      <c r="AJ735" s="26"/>
      <c r="AK735" s="26"/>
      <c r="AL735" s="26"/>
      <c r="AM735" s="26"/>
      <c r="AN735" s="26"/>
      <c r="AO735" s="26"/>
    </row>
    <row r="736" ht="14.25" customHeight="1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  <c r="AC736" s="26"/>
      <c r="AD736" s="26"/>
      <c r="AE736" s="26"/>
      <c r="AF736" s="26"/>
      <c r="AG736" s="26"/>
      <c r="AH736" s="26"/>
      <c r="AI736" s="26"/>
      <c r="AJ736" s="26"/>
      <c r="AK736" s="26"/>
      <c r="AL736" s="26"/>
      <c r="AM736" s="26"/>
      <c r="AN736" s="26"/>
      <c r="AO736" s="26"/>
    </row>
    <row r="737" ht="14.25" customHeight="1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  <c r="AA737" s="26"/>
      <c r="AB737" s="26"/>
      <c r="AC737" s="26"/>
      <c r="AD737" s="26"/>
      <c r="AE737" s="26"/>
      <c r="AF737" s="26"/>
      <c r="AG737" s="26"/>
      <c r="AH737" s="26"/>
      <c r="AI737" s="26"/>
      <c r="AJ737" s="26"/>
      <c r="AK737" s="26"/>
      <c r="AL737" s="26"/>
      <c r="AM737" s="26"/>
      <c r="AN737" s="26"/>
      <c r="AO737" s="26"/>
    </row>
    <row r="738" ht="14.25" customHeight="1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  <c r="AB738" s="26"/>
      <c r="AC738" s="26"/>
      <c r="AD738" s="26"/>
      <c r="AE738" s="26"/>
      <c r="AF738" s="26"/>
      <c r="AG738" s="26"/>
      <c r="AH738" s="26"/>
      <c r="AI738" s="26"/>
      <c r="AJ738" s="26"/>
      <c r="AK738" s="26"/>
      <c r="AL738" s="26"/>
      <c r="AM738" s="26"/>
      <c r="AN738" s="26"/>
      <c r="AO738" s="26"/>
    </row>
    <row r="739" ht="14.25" customHeight="1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  <c r="AA739" s="26"/>
      <c r="AB739" s="26"/>
      <c r="AC739" s="26"/>
      <c r="AD739" s="26"/>
      <c r="AE739" s="26"/>
      <c r="AF739" s="26"/>
      <c r="AG739" s="26"/>
      <c r="AH739" s="26"/>
      <c r="AI739" s="26"/>
      <c r="AJ739" s="26"/>
      <c r="AK739" s="26"/>
      <c r="AL739" s="26"/>
      <c r="AM739" s="26"/>
      <c r="AN739" s="26"/>
      <c r="AO739" s="26"/>
    </row>
    <row r="740" ht="14.25" customHeight="1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  <c r="AB740" s="26"/>
      <c r="AC740" s="26"/>
      <c r="AD740" s="26"/>
      <c r="AE740" s="26"/>
      <c r="AF740" s="26"/>
      <c r="AG740" s="26"/>
      <c r="AH740" s="26"/>
      <c r="AI740" s="26"/>
      <c r="AJ740" s="26"/>
      <c r="AK740" s="26"/>
      <c r="AL740" s="26"/>
      <c r="AM740" s="26"/>
      <c r="AN740" s="26"/>
      <c r="AO740" s="26"/>
    </row>
    <row r="741" ht="14.25" customHeight="1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  <c r="AA741" s="26"/>
      <c r="AB741" s="26"/>
      <c r="AC741" s="26"/>
      <c r="AD741" s="26"/>
      <c r="AE741" s="26"/>
      <c r="AF741" s="26"/>
      <c r="AG741" s="26"/>
      <c r="AH741" s="26"/>
      <c r="AI741" s="26"/>
      <c r="AJ741" s="26"/>
      <c r="AK741" s="26"/>
      <c r="AL741" s="26"/>
      <c r="AM741" s="26"/>
      <c r="AN741" s="26"/>
      <c r="AO741" s="26"/>
    </row>
    <row r="742" ht="14.25" customHeight="1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  <c r="AB742" s="26"/>
      <c r="AC742" s="26"/>
      <c r="AD742" s="26"/>
      <c r="AE742" s="26"/>
      <c r="AF742" s="26"/>
      <c r="AG742" s="26"/>
      <c r="AH742" s="26"/>
      <c r="AI742" s="26"/>
      <c r="AJ742" s="26"/>
      <c r="AK742" s="26"/>
      <c r="AL742" s="26"/>
      <c r="AM742" s="26"/>
      <c r="AN742" s="26"/>
      <c r="AO742" s="26"/>
    </row>
    <row r="743" ht="14.25" customHeight="1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  <c r="AA743" s="26"/>
      <c r="AB743" s="26"/>
      <c r="AC743" s="26"/>
      <c r="AD743" s="26"/>
      <c r="AE743" s="26"/>
      <c r="AF743" s="26"/>
      <c r="AG743" s="26"/>
      <c r="AH743" s="26"/>
      <c r="AI743" s="26"/>
      <c r="AJ743" s="26"/>
      <c r="AK743" s="26"/>
      <c r="AL743" s="26"/>
      <c r="AM743" s="26"/>
      <c r="AN743" s="26"/>
      <c r="AO743" s="26"/>
    </row>
    <row r="744" ht="14.25" customHeight="1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  <c r="AA744" s="26"/>
      <c r="AB744" s="26"/>
      <c r="AC744" s="26"/>
      <c r="AD744" s="26"/>
      <c r="AE744" s="26"/>
      <c r="AF744" s="26"/>
      <c r="AG744" s="26"/>
      <c r="AH744" s="26"/>
      <c r="AI744" s="26"/>
      <c r="AJ744" s="26"/>
      <c r="AK744" s="26"/>
      <c r="AL744" s="26"/>
      <c r="AM744" s="26"/>
      <c r="AN744" s="26"/>
      <c r="AO744" s="26"/>
    </row>
    <row r="745" ht="14.25" customHeight="1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  <c r="AA745" s="26"/>
      <c r="AB745" s="26"/>
      <c r="AC745" s="26"/>
      <c r="AD745" s="26"/>
      <c r="AE745" s="26"/>
      <c r="AF745" s="26"/>
      <c r="AG745" s="26"/>
      <c r="AH745" s="26"/>
      <c r="AI745" s="26"/>
      <c r="AJ745" s="26"/>
      <c r="AK745" s="26"/>
      <c r="AL745" s="26"/>
      <c r="AM745" s="26"/>
      <c r="AN745" s="26"/>
      <c r="AO745" s="26"/>
    </row>
    <row r="746" ht="14.25" customHeight="1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  <c r="AA746" s="26"/>
      <c r="AB746" s="26"/>
      <c r="AC746" s="26"/>
      <c r="AD746" s="26"/>
      <c r="AE746" s="26"/>
      <c r="AF746" s="26"/>
      <c r="AG746" s="26"/>
      <c r="AH746" s="26"/>
      <c r="AI746" s="26"/>
      <c r="AJ746" s="26"/>
      <c r="AK746" s="26"/>
      <c r="AL746" s="26"/>
      <c r="AM746" s="26"/>
      <c r="AN746" s="26"/>
      <c r="AO746" s="26"/>
    </row>
    <row r="747" ht="14.25" customHeight="1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  <c r="AA747" s="26"/>
      <c r="AB747" s="26"/>
      <c r="AC747" s="26"/>
      <c r="AD747" s="26"/>
      <c r="AE747" s="26"/>
      <c r="AF747" s="26"/>
      <c r="AG747" s="26"/>
      <c r="AH747" s="26"/>
      <c r="AI747" s="26"/>
      <c r="AJ747" s="26"/>
      <c r="AK747" s="26"/>
      <c r="AL747" s="26"/>
      <c r="AM747" s="26"/>
      <c r="AN747" s="26"/>
      <c r="AO747" s="26"/>
    </row>
    <row r="748" ht="14.25" customHeight="1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  <c r="AA748" s="26"/>
      <c r="AB748" s="26"/>
      <c r="AC748" s="26"/>
      <c r="AD748" s="26"/>
      <c r="AE748" s="26"/>
      <c r="AF748" s="26"/>
      <c r="AG748" s="26"/>
      <c r="AH748" s="26"/>
      <c r="AI748" s="26"/>
      <c r="AJ748" s="26"/>
      <c r="AK748" s="26"/>
      <c r="AL748" s="26"/>
      <c r="AM748" s="26"/>
      <c r="AN748" s="26"/>
      <c r="AO748" s="26"/>
    </row>
    <row r="749" ht="14.25" customHeight="1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  <c r="AA749" s="26"/>
      <c r="AB749" s="26"/>
      <c r="AC749" s="26"/>
      <c r="AD749" s="26"/>
      <c r="AE749" s="26"/>
      <c r="AF749" s="26"/>
      <c r="AG749" s="26"/>
      <c r="AH749" s="26"/>
      <c r="AI749" s="26"/>
      <c r="AJ749" s="26"/>
      <c r="AK749" s="26"/>
      <c r="AL749" s="26"/>
      <c r="AM749" s="26"/>
      <c r="AN749" s="26"/>
      <c r="AO749" s="26"/>
    </row>
    <row r="750" ht="14.25" customHeight="1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  <c r="AB750" s="26"/>
      <c r="AC750" s="26"/>
      <c r="AD750" s="26"/>
      <c r="AE750" s="26"/>
      <c r="AF750" s="26"/>
      <c r="AG750" s="26"/>
      <c r="AH750" s="26"/>
      <c r="AI750" s="26"/>
      <c r="AJ750" s="26"/>
      <c r="AK750" s="26"/>
      <c r="AL750" s="26"/>
      <c r="AM750" s="26"/>
      <c r="AN750" s="26"/>
      <c r="AO750" s="26"/>
    </row>
    <row r="751" ht="14.25" customHeight="1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  <c r="AA751" s="26"/>
      <c r="AB751" s="26"/>
      <c r="AC751" s="26"/>
      <c r="AD751" s="26"/>
      <c r="AE751" s="26"/>
      <c r="AF751" s="26"/>
      <c r="AG751" s="26"/>
      <c r="AH751" s="26"/>
      <c r="AI751" s="26"/>
      <c r="AJ751" s="26"/>
      <c r="AK751" s="26"/>
      <c r="AL751" s="26"/>
      <c r="AM751" s="26"/>
      <c r="AN751" s="26"/>
      <c r="AO751" s="26"/>
    </row>
    <row r="752" ht="14.25" customHeight="1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  <c r="AA752" s="26"/>
      <c r="AB752" s="26"/>
      <c r="AC752" s="26"/>
      <c r="AD752" s="26"/>
      <c r="AE752" s="26"/>
      <c r="AF752" s="26"/>
      <c r="AG752" s="26"/>
      <c r="AH752" s="26"/>
      <c r="AI752" s="26"/>
      <c r="AJ752" s="26"/>
      <c r="AK752" s="26"/>
      <c r="AL752" s="26"/>
      <c r="AM752" s="26"/>
      <c r="AN752" s="26"/>
      <c r="AO752" s="26"/>
    </row>
    <row r="753" ht="14.25" customHeight="1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  <c r="AA753" s="26"/>
      <c r="AB753" s="26"/>
      <c r="AC753" s="26"/>
      <c r="AD753" s="26"/>
      <c r="AE753" s="26"/>
      <c r="AF753" s="26"/>
      <c r="AG753" s="26"/>
      <c r="AH753" s="26"/>
      <c r="AI753" s="26"/>
      <c r="AJ753" s="26"/>
      <c r="AK753" s="26"/>
      <c r="AL753" s="26"/>
      <c r="AM753" s="26"/>
      <c r="AN753" s="26"/>
      <c r="AO753" s="26"/>
    </row>
    <row r="754" ht="14.25" customHeight="1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  <c r="AA754" s="26"/>
      <c r="AB754" s="26"/>
      <c r="AC754" s="26"/>
      <c r="AD754" s="26"/>
      <c r="AE754" s="26"/>
      <c r="AF754" s="26"/>
      <c r="AG754" s="26"/>
      <c r="AH754" s="26"/>
      <c r="AI754" s="26"/>
      <c r="AJ754" s="26"/>
      <c r="AK754" s="26"/>
      <c r="AL754" s="26"/>
      <c r="AM754" s="26"/>
      <c r="AN754" s="26"/>
      <c r="AO754" s="26"/>
    </row>
    <row r="755" ht="14.25" customHeight="1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  <c r="AA755" s="26"/>
      <c r="AB755" s="26"/>
      <c r="AC755" s="26"/>
      <c r="AD755" s="26"/>
      <c r="AE755" s="26"/>
      <c r="AF755" s="26"/>
      <c r="AG755" s="26"/>
      <c r="AH755" s="26"/>
      <c r="AI755" s="26"/>
      <c r="AJ755" s="26"/>
      <c r="AK755" s="26"/>
      <c r="AL755" s="26"/>
      <c r="AM755" s="26"/>
      <c r="AN755" s="26"/>
      <c r="AO755" s="26"/>
    </row>
    <row r="756" ht="14.25" customHeight="1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  <c r="AA756" s="26"/>
      <c r="AB756" s="26"/>
      <c r="AC756" s="26"/>
      <c r="AD756" s="26"/>
      <c r="AE756" s="26"/>
      <c r="AF756" s="26"/>
      <c r="AG756" s="26"/>
      <c r="AH756" s="26"/>
      <c r="AI756" s="26"/>
      <c r="AJ756" s="26"/>
      <c r="AK756" s="26"/>
      <c r="AL756" s="26"/>
      <c r="AM756" s="26"/>
      <c r="AN756" s="26"/>
      <c r="AO756" s="26"/>
    </row>
    <row r="757" ht="14.25" customHeight="1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  <c r="AA757" s="26"/>
      <c r="AB757" s="26"/>
      <c r="AC757" s="26"/>
      <c r="AD757" s="26"/>
      <c r="AE757" s="26"/>
      <c r="AF757" s="26"/>
      <c r="AG757" s="26"/>
      <c r="AH757" s="26"/>
      <c r="AI757" s="26"/>
      <c r="AJ757" s="26"/>
      <c r="AK757" s="26"/>
      <c r="AL757" s="26"/>
      <c r="AM757" s="26"/>
      <c r="AN757" s="26"/>
      <c r="AO757" s="26"/>
    </row>
    <row r="758" ht="14.25" customHeight="1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  <c r="AA758" s="26"/>
      <c r="AB758" s="26"/>
      <c r="AC758" s="26"/>
      <c r="AD758" s="26"/>
      <c r="AE758" s="26"/>
      <c r="AF758" s="26"/>
      <c r="AG758" s="26"/>
      <c r="AH758" s="26"/>
      <c r="AI758" s="26"/>
      <c r="AJ758" s="26"/>
      <c r="AK758" s="26"/>
      <c r="AL758" s="26"/>
      <c r="AM758" s="26"/>
      <c r="AN758" s="26"/>
      <c r="AO758" s="26"/>
    </row>
    <row r="759" ht="14.25" customHeight="1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  <c r="AA759" s="26"/>
      <c r="AB759" s="26"/>
      <c r="AC759" s="26"/>
      <c r="AD759" s="26"/>
      <c r="AE759" s="26"/>
      <c r="AF759" s="26"/>
      <c r="AG759" s="26"/>
      <c r="AH759" s="26"/>
      <c r="AI759" s="26"/>
      <c r="AJ759" s="26"/>
      <c r="AK759" s="26"/>
      <c r="AL759" s="26"/>
      <c r="AM759" s="26"/>
      <c r="AN759" s="26"/>
      <c r="AO759" s="26"/>
    </row>
    <row r="760" ht="14.25" customHeight="1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  <c r="AA760" s="26"/>
      <c r="AB760" s="26"/>
      <c r="AC760" s="26"/>
      <c r="AD760" s="26"/>
      <c r="AE760" s="26"/>
      <c r="AF760" s="26"/>
      <c r="AG760" s="26"/>
      <c r="AH760" s="26"/>
      <c r="AI760" s="26"/>
      <c r="AJ760" s="26"/>
      <c r="AK760" s="26"/>
      <c r="AL760" s="26"/>
      <c r="AM760" s="26"/>
      <c r="AN760" s="26"/>
      <c r="AO760" s="26"/>
    </row>
    <row r="761" ht="14.25" customHeight="1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  <c r="AA761" s="26"/>
      <c r="AB761" s="26"/>
      <c r="AC761" s="26"/>
      <c r="AD761" s="26"/>
      <c r="AE761" s="26"/>
      <c r="AF761" s="26"/>
      <c r="AG761" s="26"/>
      <c r="AH761" s="26"/>
      <c r="AI761" s="26"/>
      <c r="AJ761" s="26"/>
      <c r="AK761" s="26"/>
      <c r="AL761" s="26"/>
      <c r="AM761" s="26"/>
      <c r="AN761" s="26"/>
      <c r="AO761" s="26"/>
    </row>
    <row r="762" ht="14.25" customHeight="1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  <c r="AA762" s="26"/>
      <c r="AB762" s="26"/>
      <c r="AC762" s="26"/>
      <c r="AD762" s="26"/>
      <c r="AE762" s="26"/>
      <c r="AF762" s="26"/>
      <c r="AG762" s="26"/>
      <c r="AH762" s="26"/>
      <c r="AI762" s="26"/>
      <c r="AJ762" s="26"/>
      <c r="AK762" s="26"/>
      <c r="AL762" s="26"/>
      <c r="AM762" s="26"/>
      <c r="AN762" s="26"/>
      <c r="AO762" s="26"/>
    </row>
    <row r="763" ht="14.25" customHeight="1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  <c r="AA763" s="26"/>
      <c r="AB763" s="26"/>
      <c r="AC763" s="26"/>
      <c r="AD763" s="26"/>
      <c r="AE763" s="26"/>
      <c r="AF763" s="26"/>
      <c r="AG763" s="26"/>
      <c r="AH763" s="26"/>
      <c r="AI763" s="26"/>
      <c r="AJ763" s="26"/>
      <c r="AK763" s="26"/>
      <c r="AL763" s="26"/>
      <c r="AM763" s="26"/>
      <c r="AN763" s="26"/>
      <c r="AO763" s="26"/>
    </row>
    <row r="764" ht="14.25" customHeight="1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  <c r="AA764" s="26"/>
      <c r="AB764" s="26"/>
      <c r="AC764" s="26"/>
      <c r="AD764" s="26"/>
      <c r="AE764" s="26"/>
      <c r="AF764" s="26"/>
      <c r="AG764" s="26"/>
      <c r="AH764" s="26"/>
      <c r="AI764" s="26"/>
      <c r="AJ764" s="26"/>
      <c r="AK764" s="26"/>
      <c r="AL764" s="26"/>
      <c r="AM764" s="26"/>
      <c r="AN764" s="26"/>
      <c r="AO764" s="26"/>
    </row>
    <row r="765" ht="14.25" customHeight="1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  <c r="AA765" s="26"/>
      <c r="AB765" s="26"/>
      <c r="AC765" s="26"/>
      <c r="AD765" s="26"/>
      <c r="AE765" s="26"/>
      <c r="AF765" s="26"/>
      <c r="AG765" s="26"/>
      <c r="AH765" s="26"/>
      <c r="AI765" s="26"/>
      <c r="AJ765" s="26"/>
      <c r="AK765" s="26"/>
      <c r="AL765" s="26"/>
      <c r="AM765" s="26"/>
      <c r="AN765" s="26"/>
      <c r="AO765" s="26"/>
    </row>
    <row r="766" ht="14.25" customHeight="1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  <c r="AA766" s="26"/>
      <c r="AB766" s="26"/>
      <c r="AC766" s="26"/>
      <c r="AD766" s="26"/>
      <c r="AE766" s="26"/>
      <c r="AF766" s="26"/>
      <c r="AG766" s="26"/>
      <c r="AH766" s="26"/>
      <c r="AI766" s="26"/>
      <c r="AJ766" s="26"/>
      <c r="AK766" s="26"/>
      <c r="AL766" s="26"/>
      <c r="AM766" s="26"/>
      <c r="AN766" s="26"/>
      <c r="AO766" s="26"/>
    </row>
    <row r="767" ht="14.25" customHeight="1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  <c r="AA767" s="26"/>
      <c r="AB767" s="26"/>
      <c r="AC767" s="26"/>
      <c r="AD767" s="26"/>
      <c r="AE767" s="26"/>
      <c r="AF767" s="26"/>
      <c r="AG767" s="26"/>
      <c r="AH767" s="26"/>
      <c r="AI767" s="26"/>
      <c r="AJ767" s="26"/>
      <c r="AK767" s="26"/>
      <c r="AL767" s="26"/>
      <c r="AM767" s="26"/>
      <c r="AN767" s="26"/>
      <c r="AO767" s="26"/>
    </row>
    <row r="768" ht="14.25" customHeight="1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  <c r="AA768" s="26"/>
      <c r="AB768" s="26"/>
      <c r="AC768" s="26"/>
      <c r="AD768" s="26"/>
      <c r="AE768" s="26"/>
      <c r="AF768" s="26"/>
      <c r="AG768" s="26"/>
      <c r="AH768" s="26"/>
      <c r="AI768" s="26"/>
      <c r="AJ768" s="26"/>
      <c r="AK768" s="26"/>
      <c r="AL768" s="26"/>
      <c r="AM768" s="26"/>
      <c r="AN768" s="26"/>
      <c r="AO768" s="26"/>
    </row>
    <row r="769" ht="14.25" customHeight="1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  <c r="AA769" s="26"/>
      <c r="AB769" s="26"/>
      <c r="AC769" s="26"/>
      <c r="AD769" s="26"/>
      <c r="AE769" s="26"/>
      <c r="AF769" s="26"/>
      <c r="AG769" s="26"/>
      <c r="AH769" s="26"/>
      <c r="AI769" s="26"/>
      <c r="AJ769" s="26"/>
      <c r="AK769" s="26"/>
      <c r="AL769" s="26"/>
      <c r="AM769" s="26"/>
      <c r="AN769" s="26"/>
      <c r="AO769" s="26"/>
    </row>
    <row r="770" ht="14.25" customHeight="1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  <c r="AA770" s="26"/>
      <c r="AB770" s="26"/>
      <c r="AC770" s="26"/>
      <c r="AD770" s="26"/>
      <c r="AE770" s="26"/>
      <c r="AF770" s="26"/>
      <c r="AG770" s="26"/>
      <c r="AH770" s="26"/>
      <c r="AI770" s="26"/>
      <c r="AJ770" s="26"/>
      <c r="AK770" s="26"/>
      <c r="AL770" s="26"/>
      <c r="AM770" s="26"/>
      <c r="AN770" s="26"/>
      <c r="AO770" s="26"/>
    </row>
    <row r="771" ht="14.25" customHeight="1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  <c r="AA771" s="26"/>
      <c r="AB771" s="26"/>
      <c r="AC771" s="26"/>
      <c r="AD771" s="26"/>
      <c r="AE771" s="26"/>
      <c r="AF771" s="26"/>
      <c r="AG771" s="26"/>
      <c r="AH771" s="26"/>
      <c r="AI771" s="26"/>
      <c r="AJ771" s="26"/>
      <c r="AK771" s="26"/>
      <c r="AL771" s="26"/>
      <c r="AM771" s="26"/>
      <c r="AN771" s="26"/>
      <c r="AO771" s="26"/>
    </row>
    <row r="772" ht="14.25" customHeight="1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  <c r="AA772" s="26"/>
      <c r="AB772" s="26"/>
      <c r="AC772" s="26"/>
      <c r="AD772" s="26"/>
      <c r="AE772" s="26"/>
      <c r="AF772" s="26"/>
      <c r="AG772" s="26"/>
      <c r="AH772" s="26"/>
      <c r="AI772" s="26"/>
      <c r="AJ772" s="26"/>
      <c r="AK772" s="26"/>
      <c r="AL772" s="26"/>
      <c r="AM772" s="26"/>
      <c r="AN772" s="26"/>
      <c r="AO772" s="26"/>
    </row>
    <row r="773" ht="14.25" customHeight="1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  <c r="AA773" s="26"/>
      <c r="AB773" s="26"/>
      <c r="AC773" s="26"/>
      <c r="AD773" s="26"/>
      <c r="AE773" s="26"/>
      <c r="AF773" s="26"/>
      <c r="AG773" s="26"/>
      <c r="AH773" s="26"/>
      <c r="AI773" s="26"/>
      <c r="AJ773" s="26"/>
      <c r="AK773" s="26"/>
      <c r="AL773" s="26"/>
      <c r="AM773" s="26"/>
      <c r="AN773" s="26"/>
      <c r="AO773" s="26"/>
    </row>
    <row r="774" ht="14.25" customHeight="1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  <c r="AA774" s="26"/>
      <c r="AB774" s="26"/>
      <c r="AC774" s="26"/>
      <c r="AD774" s="26"/>
      <c r="AE774" s="26"/>
      <c r="AF774" s="26"/>
      <c r="AG774" s="26"/>
      <c r="AH774" s="26"/>
      <c r="AI774" s="26"/>
      <c r="AJ774" s="26"/>
      <c r="AK774" s="26"/>
      <c r="AL774" s="26"/>
      <c r="AM774" s="26"/>
      <c r="AN774" s="26"/>
      <c r="AO774" s="26"/>
    </row>
    <row r="775" ht="14.25" customHeight="1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  <c r="AA775" s="26"/>
      <c r="AB775" s="26"/>
      <c r="AC775" s="26"/>
      <c r="AD775" s="26"/>
      <c r="AE775" s="26"/>
      <c r="AF775" s="26"/>
      <c r="AG775" s="26"/>
      <c r="AH775" s="26"/>
      <c r="AI775" s="26"/>
      <c r="AJ775" s="26"/>
      <c r="AK775" s="26"/>
      <c r="AL775" s="26"/>
      <c r="AM775" s="26"/>
      <c r="AN775" s="26"/>
      <c r="AO775" s="26"/>
    </row>
    <row r="776" ht="14.25" customHeight="1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  <c r="AA776" s="26"/>
      <c r="AB776" s="26"/>
      <c r="AC776" s="26"/>
      <c r="AD776" s="26"/>
      <c r="AE776" s="26"/>
      <c r="AF776" s="26"/>
      <c r="AG776" s="26"/>
      <c r="AH776" s="26"/>
      <c r="AI776" s="26"/>
      <c r="AJ776" s="26"/>
      <c r="AK776" s="26"/>
      <c r="AL776" s="26"/>
      <c r="AM776" s="26"/>
      <c r="AN776" s="26"/>
      <c r="AO776" s="26"/>
    </row>
    <row r="777" ht="14.25" customHeight="1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  <c r="AA777" s="26"/>
      <c r="AB777" s="26"/>
      <c r="AC777" s="26"/>
      <c r="AD777" s="26"/>
      <c r="AE777" s="26"/>
      <c r="AF777" s="26"/>
      <c r="AG777" s="26"/>
      <c r="AH777" s="26"/>
      <c r="AI777" s="26"/>
      <c r="AJ777" s="26"/>
      <c r="AK777" s="26"/>
      <c r="AL777" s="26"/>
      <c r="AM777" s="26"/>
      <c r="AN777" s="26"/>
      <c r="AO777" s="26"/>
    </row>
    <row r="778" ht="14.25" customHeight="1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  <c r="AA778" s="26"/>
      <c r="AB778" s="26"/>
      <c r="AC778" s="26"/>
      <c r="AD778" s="26"/>
      <c r="AE778" s="26"/>
      <c r="AF778" s="26"/>
      <c r="AG778" s="26"/>
      <c r="AH778" s="26"/>
      <c r="AI778" s="26"/>
      <c r="AJ778" s="26"/>
      <c r="AK778" s="26"/>
      <c r="AL778" s="26"/>
      <c r="AM778" s="26"/>
      <c r="AN778" s="26"/>
      <c r="AO778" s="26"/>
    </row>
    <row r="779" ht="14.25" customHeight="1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  <c r="AA779" s="26"/>
      <c r="AB779" s="26"/>
      <c r="AC779" s="26"/>
      <c r="AD779" s="26"/>
      <c r="AE779" s="26"/>
      <c r="AF779" s="26"/>
      <c r="AG779" s="26"/>
      <c r="AH779" s="26"/>
      <c r="AI779" s="26"/>
      <c r="AJ779" s="26"/>
      <c r="AK779" s="26"/>
      <c r="AL779" s="26"/>
      <c r="AM779" s="26"/>
      <c r="AN779" s="26"/>
      <c r="AO779" s="26"/>
    </row>
    <row r="780" ht="14.25" customHeight="1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  <c r="AA780" s="26"/>
      <c r="AB780" s="26"/>
      <c r="AC780" s="26"/>
      <c r="AD780" s="26"/>
      <c r="AE780" s="26"/>
      <c r="AF780" s="26"/>
      <c r="AG780" s="26"/>
      <c r="AH780" s="26"/>
      <c r="AI780" s="26"/>
      <c r="AJ780" s="26"/>
      <c r="AK780" s="26"/>
      <c r="AL780" s="26"/>
      <c r="AM780" s="26"/>
      <c r="AN780" s="26"/>
      <c r="AO780" s="26"/>
    </row>
    <row r="781" ht="14.25" customHeight="1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  <c r="AA781" s="26"/>
      <c r="AB781" s="26"/>
      <c r="AC781" s="26"/>
      <c r="AD781" s="26"/>
      <c r="AE781" s="26"/>
      <c r="AF781" s="26"/>
      <c r="AG781" s="26"/>
      <c r="AH781" s="26"/>
      <c r="AI781" s="26"/>
      <c r="AJ781" s="26"/>
      <c r="AK781" s="26"/>
      <c r="AL781" s="26"/>
      <c r="AM781" s="26"/>
      <c r="AN781" s="26"/>
      <c r="AO781" s="26"/>
    </row>
    <row r="782" ht="14.25" customHeight="1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  <c r="AA782" s="26"/>
      <c r="AB782" s="26"/>
      <c r="AC782" s="26"/>
      <c r="AD782" s="26"/>
      <c r="AE782" s="26"/>
      <c r="AF782" s="26"/>
      <c r="AG782" s="26"/>
      <c r="AH782" s="26"/>
      <c r="AI782" s="26"/>
      <c r="AJ782" s="26"/>
      <c r="AK782" s="26"/>
      <c r="AL782" s="26"/>
      <c r="AM782" s="26"/>
      <c r="AN782" s="26"/>
      <c r="AO782" s="26"/>
    </row>
    <row r="783" ht="14.25" customHeight="1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  <c r="AA783" s="26"/>
      <c r="AB783" s="26"/>
      <c r="AC783" s="26"/>
      <c r="AD783" s="26"/>
      <c r="AE783" s="26"/>
      <c r="AF783" s="26"/>
      <c r="AG783" s="26"/>
      <c r="AH783" s="26"/>
      <c r="AI783" s="26"/>
      <c r="AJ783" s="26"/>
      <c r="AK783" s="26"/>
      <c r="AL783" s="26"/>
      <c r="AM783" s="26"/>
      <c r="AN783" s="26"/>
      <c r="AO783" s="26"/>
    </row>
    <row r="784" ht="14.25" customHeight="1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  <c r="AA784" s="26"/>
      <c r="AB784" s="26"/>
      <c r="AC784" s="26"/>
      <c r="AD784" s="26"/>
      <c r="AE784" s="26"/>
      <c r="AF784" s="26"/>
      <c r="AG784" s="26"/>
      <c r="AH784" s="26"/>
      <c r="AI784" s="26"/>
      <c r="AJ784" s="26"/>
      <c r="AK784" s="26"/>
      <c r="AL784" s="26"/>
      <c r="AM784" s="26"/>
      <c r="AN784" s="26"/>
      <c r="AO784" s="26"/>
    </row>
    <row r="785" ht="14.25" customHeight="1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  <c r="AA785" s="26"/>
      <c r="AB785" s="26"/>
      <c r="AC785" s="26"/>
      <c r="AD785" s="26"/>
      <c r="AE785" s="26"/>
      <c r="AF785" s="26"/>
      <c r="AG785" s="26"/>
      <c r="AH785" s="26"/>
      <c r="AI785" s="26"/>
      <c r="AJ785" s="26"/>
      <c r="AK785" s="26"/>
      <c r="AL785" s="26"/>
      <c r="AM785" s="26"/>
      <c r="AN785" s="26"/>
      <c r="AO785" s="26"/>
    </row>
    <row r="786" ht="14.25" customHeight="1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  <c r="AA786" s="26"/>
      <c r="AB786" s="26"/>
      <c r="AC786" s="26"/>
      <c r="AD786" s="26"/>
      <c r="AE786" s="26"/>
      <c r="AF786" s="26"/>
      <c r="AG786" s="26"/>
      <c r="AH786" s="26"/>
      <c r="AI786" s="26"/>
      <c r="AJ786" s="26"/>
      <c r="AK786" s="26"/>
      <c r="AL786" s="26"/>
      <c r="AM786" s="26"/>
      <c r="AN786" s="26"/>
      <c r="AO786" s="26"/>
    </row>
    <row r="787" ht="14.25" customHeight="1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  <c r="AA787" s="26"/>
      <c r="AB787" s="26"/>
      <c r="AC787" s="26"/>
      <c r="AD787" s="26"/>
      <c r="AE787" s="26"/>
      <c r="AF787" s="26"/>
      <c r="AG787" s="26"/>
      <c r="AH787" s="26"/>
      <c r="AI787" s="26"/>
      <c r="AJ787" s="26"/>
      <c r="AK787" s="26"/>
      <c r="AL787" s="26"/>
      <c r="AM787" s="26"/>
      <c r="AN787" s="26"/>
      <c r="AO787" s="26"/>
    </row>
    <row r="788" ht="14.25" customHeight="1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  <c r="AA788" s="26"/>
      <c r="AB788" s="26"/>
      <c r="AC788" s="26"/>
      <c r="AD788" s="26"/>
      <c r="AE788" s="26"/>
      <c r="AF788" s="26"/>
      <c r="AG788" s="26"/>
      <c r="AH788" s="26"/>
      <c r="AI788" s="26"/>
      <c r="AJ788" s="26"/>
      <c r="AK788" s="26"/>
      <c r="AL788" s="26"/>
      <c r="AM788" s="26"/>
      <c r="AN788" s="26"/>
      <c r="AO788" s="26"/>
    </row>
    <row r="789" ht="14.25" customHeight="1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  <c r="AA789" s="26"/>
      <c r="AB789" s="26"/>
      <c r="AC789" s="26"/>
      <c r="AD789" s="26"/>
      <c r="AE789" s="26"/>
      <c r="AF789" s="26"/>
      <c r="AG789" s="26"/>
      <c r="AH789" s="26"/>
      <c r="AI789" s="26"/>
      <c r="AJ789" s="26"/>
      <c r="AK789" s="26"/>
      <c r="AL789" s="26"/>
      <c r="AM789" s="26"/>
      <c r="AN789" s="26"/>
      <c r="AO789" s="26"/>
    </row>
    <row r="790" ht="14.25" customHeight="1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  <c r="AA790" s="26"/>
      <c r="AB790" s="26"/>
      <c r="AC790" s="26"/>
      <c r="AD790" s="26"/>
      <c r="AE790" s="26"/>
      <c r="AF790" s="26"/>
      <c r="AG790" s="26"/>
      <c r="AH790" s="26"/>
      <c r="AI790" s="26"/>
      <c r="AJ790" s="26"/>
      <c r="AK790" s="26"/>
      <c r="AL790" s="26"/>
      <c r="AM790" s="26"/>
      <c r="AN790" s="26"/>
      <c r="AO790" s="26"/>
    </row>
    <row r="791" ht="14.25" customHeight="1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  <c r="AA791" s="26"/>
      <c r="AB791" s="26"/>
      <c r="AC791" s="26"/>
      <c r="AD791" s="26"/>
      <c r="AE791" s="26"/>
      <c r="AF791" s="26"/>
      <c r="AG791" s="26"/>
      <c r="AH791" s="26"/>
      <c r="AI791" s="26"/>
      <c r="AJ791" s="26"/>
      <c r="AK791" s="26"/>
      <c r="AL791" s="26"/>
      <c r="AM791" s="26"/>
      <c r="AN791" s="26"/>
      <c r="AO791" s="26"/>
    </row>
    <row r="792" ht="14.25" customHeight="1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  <c r="AA792" s="26"/>
      <c r="AB792" s="26"/>
      <c r="AC792" s="26"/>
      <c r="AD792" s="26"/>
      <c r="AE792" s="26"/>
      <c r="AF792" s="26"/>
      <c r="AG792" s="26"/>
      <c r="AH792" s="26"/>
      <c r="AI792" s="26"/>
      <c r="AJ792" s="26"/>
      <c r="AK792" s="26"/>
      <c r="AL792" s="26"/>
      <c r="AM792" s="26"/>
      <c r="AN792" s="26"/>
      <c r="AO792" s="26"/>
    </row>
    <row r="793" ht="14.25" customHeight="1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  <c r="AA793" s="26"/>
      <c r="AB793" s="26"/>
      <c r="AC793" s="26"/>
      <c r="AD793" s="26"/>
      <c r="AE793" s="26"/>
      <c r="AF793" s="26"/>
      <c r="AG793" s="26"/>
      <c r="AH793" s="26"/>
      <c r="AI793" s="26"/>
      <c r="AJ793" s="26"/>
      <c r="AK793" s="26"/>
      <c r="AL793" s="26"/>
      <c r="AM793" s="26"/>
      <c r="AN793" s="26"/>
      <c r="AO793" s="26"/>
    </row>
    <row r="794" ht="14.25" customHeight="1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  <c r="AA794" s="26"/>
      <c r="AB794" s="26"/>
      <c r="AC794" s="26"/>
      <c r="AD794" s="26"/>
      <c r="AE794" s="26"/>
      <c r="AF794" s="26"/>
      <c r="AG794" s="26"/>
      <c r="AH794" s="26"/>
      <c r="AI794" s="26"/>
      <c r="AJ794" s="26"/>
      <c r="AK794" s="26"/>
      <c r="AL794" s="26"/>
      <c r="AM794" s="26"/>
      <c r="AN794" s="26"/>
      <c r="AO794" s="26"/>
    </row>
    <row r="795" ht="14.25" customHeight="1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  <c r="AA795" s="26"/>
      <c r="AB795" s="26"/>
      <c r="AC795" s="26"/>
      <c r="AD795" s="26"/>
      <c r="AE795" s="26"/>
      <c r="AF795" s="26"/>
      <c r="AG795" s="26"/>
      <c r="AH795" s="26"/>
      <c r="AI795" s="26"/>
      <c r="AJ795" s="26"/>
      <c r="AK795" s="26"/>
      <c r="AL795" s="26"/>
      <c r="AM795" s="26"/>
      <c r="AN795" s="26"/>
      <c r="AO795" s="26"/>
    </row>
    <row r="796" ht="14.25" customHeight="1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  <c r="AA796" s="26"/>
      <c r="AB796" s="26"/>
      <c r="AC796" s="26"/>
      <c r="AD796" s="26"/>
      <c r="AE796" s="26"/>
      <c r="AF796" s="26"/>
      <c r="AG796" s="26"/>
      <c r="AH796" s="26"/>
      <c r="AI796" s="26"/>
      <c r="AJ796" s="26"/>
      <c r="AK796" s="26"/>
      <c r="AL796" s="26"/>
      <c r="AM796" s="26"/>
      <c r="AN796" s="26"/>
      <c r="AO796" s="26"/>
    </row>
    <row r="797" ht="14.25" customHeight="1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  <c r="AA797" s="26"/>
      <c r="AB797" s="26"/>
      <c r="AC797" s="26"/>
      <c r="AD797" s="26"/>
      <c r="AE797" s="26"/>
      <c r="AF797" s="26"/>
      <c r="AG797" s="26"/>
      <c r="AH797" s="26"/>
      <c r="AI797" s="26"/>
      <c r="AJ797" s="26"/>
      <c r="AK797" s="26"/>
      <c r="AL797" s="26"/>
      <c r="AM797" s="26"/>
      <c r="AN797" s="26"/>
      <c r="AO797" s="26"/>
    </row>
    <row r="798" ht="14.25" customHeight="1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  <c r="AA798" s="26"/>
      <c r="AB798" s="26"/>
      <c r="AC798" s="26"/>
      <c r="AD798" s="26"/>
      <c r="AE798" s="26"/>
      <c r="AF798" s="26"/>
      <c r="AG798" s="26"/>
      <c r="AH798" s="26"/>
      <c r="AI798" s="26"/>
      <c r="AJ798" s="26"/>
      <c r="AK798" s="26"/>
      <c r="AL798" s="26"/>
      <c r="AM798" s="26"/>
      <c r="AN798" s="26"/>
      <c r="AO798" s="26"/>
    </row>
    <row r="799" ht="14.25" customHeight="1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  <c r="AA799" s="26"/>
      <c r="AB799" s="26"/>
      <c r="AC799" s="26"/>
      <c r="AD799" s="26"/>
      <c r="AE799" s="26"/>
      <c r="AF799" s="26"/>
      <c r="AG799" s="26"/>
      <c r="AH799" s="26"/>
      <c r="AI799" s="26"/>
      <c r="AJ799" s="26"/>
      <c r="AK799" s="26"/>
      <c r="AL799" s="26"/>
      <c r="AM799" s="26"/>
      <c r="AN799" s="26"/>
      <c r="AO799" s="26"/>
    </row>
    <row r="800" ht="14.25" customHeight="1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  <c r="AA800" s="26"/>
      <c r="AB800" s="26"/>
      <c r="AC800" s="26"/>
      <c r="AD800" s="26"/>
      <c r="AE800" s="26"/>
      <c r="AF800" s="26"/>
      <c r="AG800" s="26"/>
      <c r="AH800" s="26"/>
      <c r="AI800" s="26"/>
      <c r="AJ800" s="26"/>
      <c r="AK800" s="26"/>
      <c r="AL800" s="26"/>
      <c r="AM800" s="26"/>
      <c r="AN800" s="26"/>
      <c r="AO800" s="26"/>
    </row>
    <row r="801" ht="14.25" customHeight="1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  <c r="AA801" s="26"/>
      <c r="AB801" s="26"/>
      <c r="AC801" s="26"/>
      <c r="AD801" s="26"/>
      <c r="AE801" s="26"/>
      <c r="AF801" s="26"/>
      <c r="AG801" s="26"/>
      <c r="AH801" s="26"/>
      <c r="AI801" s="26"/>
      <c r="AJ801" s="26"/>
      <c r="AK801" s="26"/>
      <c r="AL801" s="26"/>
      <c r="AM801" s="26"/>
      <c r="AN801" s="26"/>
      <c r="AO801" s="26"/>
    </row>
    <row r="802" ht="14.25" customHeight="1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  <c r="AA802" s="26"/>
      <c r="AB802" s="26"/>
      <c r="AC802" s="26"/>
      <c r="AD802" s="26"/>
      <c r="AE802" s="26"/>
      <c r="AF802" s="26"/>
      <c r="AG802" s="26"/>
      <c r="AH802" s="26"/>
      <c r="AI802" s="26"/>
      <c r="AJ802" s="26"/>
      <c r="AK802" s="26"/>
      <c r="AL802" s="26"/>
      <c r="AM802" s="26"/>
      <c r="AN802" s="26"/>
      <c r="AO802" s="26"/>
    </row>
    <row r="803" ht="14.25" customHeight="1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  <c r="AA803" s="26"/>
      <c r="AB803" s="26"/>
      <c r="AC803" s="26"/>
      <c r="AD803" s="26"/>
      <c r="AE803" s="26"/>
      <c r="AF803" s="26"/>
      <c r="AG803" s="26"/>
      <c r="AH803" s="26"/>
      <c r="AI803" s="26"/>
      <c r="AJ803" s="26"/>
      <c r="AK803" s="26"/>
      <c r="AL803" s="26"/>
      <c r="AM803" s="26"/>
      <c r="AN803" s="26"/>
      <c r="AO803" s="26"/>
    </row>
    <row r="804" ht="14.25" customHeight="1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  <c r="AB804" s="26"/>
      <c r="AC804" s="26"/>
      <c r="AD804" s="26"/>
      <c r="AE804" s="26"/>
      <c r="AF804" s="26"/>
      <c r="AG804" s="26"/>
      <c r="AH804" s="26"/>
      <c r="AI804" s="26"/>
      <c r="AJ804" s="26"/>
      <c r="AK804" s="26"/>
      <c r="AL804" s="26"/>
      <c r="AM804" s="26"/>
      <c r="AN804" s="26"/>
      <c r="AO804" s="26"/>
    </row>
    <row r="805" ht="14.25" customHeight="1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  <c r="AA805" s="26"/>
      <c r="AB805" s="26"/>
      <c r="AC805" s="26"/>
      <c r="AD805" s="26"/>
      <c r="AE805" s="26"/>
      <c r="AF805" s="26"/>
      <c r="AG805" s="26"/>
      <c r="AH805" s="26"/>
      <c r="AI805" s="26"/>
      <c r="AJ805" s="26"/>
      <c r="AK805" s="26"/>
      <c r="AL805" s="26"/>
      <c r="AM805" s="26"/>
      <c r="AN805" s="26"/>
      <c r="AO805" s="26"/>
    </row>
    <row r="806" ht="14.25" customHeight="1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  <c r="AB806" s="26"/>
      <c r="AC806" s="26"/>
      <c r="AD806" s="26"/>
      <c r="AE806" s="26"/>
      <c r="AF806" s="26"/>
      <c r="AG806" s="26"/>
      <c r="AH806" s="26"/>
      <c r="AI806" s="26"/>
      <c r="AJ806" s="26"/>
      <c r="AK806" s="26"/>
      <c r="AL806" s="26"/>
      <c r="AM806" s="26"/>
      <c r="AN806" s="26"/>
      <c r="AO806" s="26"/>
    </row>
    <row r="807" ht="14.25" customHeight="1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  <c r="AA807" s="26"/>
      <c r="AB807" s="26"/>
      <c r="AC807" s="26"/>
      <c r="AD807" s="26"/>
      <c r="AE807" s="26"/>
      <c r="AF807" s="26"/>
      <c r="AG807" s="26"/>
      <c r="AH807" s="26"/>
      <c r="AI807" s="26"/>
      <c r="AJ807" s="26"/>
      <c r="AK807" s="26"/>
      <c r="AL807" s="26"/>
      <c r="AM807" s="26"/>
      <c r="AN807" s="26"/>
      <c r="AO807" s="26"/>
    </row>
    <row r="808" ht="14.25" customHeight="1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  <c r="AA808" s="26"/>
      <c r="AB808" s="26"/>
      <c r="AC808" s="26"/>
      <c r="AD808" s="26"/>
      <c r="AE808" s="26"/>
      <c r="AF808" s="26"/>
      <c r="AG808" s="26"/>
      <c r="AH808" s="26"/>
      <c r="AI808" s="26"/>
      <c r="AJ808" s="26"/>
      <c r="AK808" s="26"/>
      <c r="AL808" s="26"/>
      <c r="AM808" s="26"/>
      <c r="AN808" s="26"/>
      <c r="AO808" s="26"/>
    </row>
    <row r="809" ht="14.25" customHeight="1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  <c r="AA809" s="26"/>
      <c r="AB809" s="26"/>
      <c r="AC809" s="26"/>
      <c r="AD809" s="26"/>
      <c r="AE809" s="26"/>
      <c r="AF809" s="26"/>
      <c r="AG809" s="26"/>
      <c r="AH809" s="26"/>
      <c r="AI809" s="26"/>
      <c r="AJ809" s="26"/>
      <c r="AK809" s="26"/>
      <c r="AL809" s="26"/>
      <c r="AM809" s="26"/>
      <c r="AN809" s="26"/>
      <c r="AO809" s="26"/>
    </row>
    <row r="810" ht="14.25" customHeight="1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  <c r="AA810" s="26"/>
      <c r="AB810" s="26"/>
      <c r="AC810" s="26"/>
      <c r="AD810" s="26"/>
      <c r="AE810" s="26"/>
      <c r="AF810" s="26"/>
      <c r="AG810" s="26"/>
      <c r="AH810" s="26"/>
      <c r="AI810" s="26"/>
      <c r="AJ810" s="26"/>
      <c r="AK810" s="26"/>
      <c r="AL810" s="26"/>
      <c r="AM810" s="26"/>
      <c r="AN810" s="26"/>
      <c r="AO810" s="26"/>
    </row>
    <row r="811" ht="14.25" customHeight="1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  <c r="AA811" s="26"/>
      <c r="AB811" s="26"/>
      <c r="AC811" s="26"/>
      <c r="AD811" s="26"/>
      <c r="AE811" s="26"/>
      <c r="AF811" s="26"/>
      <c r="AG811" s="26"/>
      <c r="AH811" s="26"/>
      <c r="AI811" s="26"/>
      <c r="AJ811" s="26"/>
      <c r="AK811" s="26"/>
      <c r="AL811" s="26"/>
      <c r="AM811" s="26"/>
      <c r="AN811" s="26"/>
      <c r="AO811" s="26"/>
    </row>
    <row r="812" ht="14.25" customHeight="1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  <c r="AA812" s="26"/>
      <c r="AB812" s="26"/>
      <c r="AC812" s="26"/>
      <c r="AD812" s="26"/>
      <c r="AE812" s="26"/>
      <c r="AF812" s="26"/>
      <c r="AG812" s="26"/>
      <c r="AH812" s="26"/>
      <c r="AI812" s="26"/>
      <c r="AJ812" s="26"/>
      <c r="AK812" s="26"/>
      <c r="AL812" s="26"/>
      <c r="AM812" s="26"/>
      <c r="AN812" s="26"/>
      <c r="AO812" s="26"/>
    </row>
    <row r="813" ht="14.25" customHeight="1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  <c r="AA813" s="26"/>
      <c r="AB813" s="26"/>
      <c r="AC813" s="26"/>
      <c r="AD813" s="26"/>
      <c r="AE813" s="26"/>
      <c r="AF813" s="26"/>
      <c r="AG813" s="26"/>
      <c r="AH813" s="26"/>
      <c r="AI813" s="26"/>
      <c r="AJ813" s="26"/>
      <c r="AK813" s="26"/>
      <c r="AL813" s="26"/>
      <c r="AM813" s="26"/>
      <c r="AN813" s="26"/>
      <c r="AO813" s="26"/>
    </row>
    <row r="814" ht="14.25" customHeight="1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  <c r="AA814" s="26"/>
      <c r="AB814" s="26"/>
      <c r="AC814" s="26"/>
      <c r="AD814" s="26"/>
      <c r="AE814" s="26"/>
      <c r="AF814" s="26"/>
      <c r="AG814" s="26"/>
      <c r="AH814" s="26"/>
      <c r="AI814" s="26"/>
      <c r="AJ814" s="26"/>
      <c r="AK814" s="26"/>
      <c r="AL814" s="26"/>
      <c r="AM814" s="26"/>
      <c r="AN814" s="26"/>
      <c r="AO814" s="26"/>
    </row>
    <row r="815" ht="14.25" customHeight="1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  <c r="AA815" s="26"/>
      <c r="AB815" s="26"/>
      <c r="AC815" s="26"/>
      <c r="AD815" s="26"/>
      <c r="AE815" s="26"/>
      <c r="AF815" s="26"/>
      <c r="AG815" s="26"/>
      <c r="AH815" s="26"/>
      <c r="AI815" s="26"/>
      <c r="AJ815" s="26"/>
      <c r="AK815" s="26"/>
      <c r="AL815" s="26"/>
      <c r="AM815" s="26"/>
      <c r="AN815" s="26"/>
      <c r="AO815" s="26"/>
    </row>
    <row r="816" ht="14.25" customHeight="1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  <c r="AA816" s="26"/>
      <c r="AB816" s="26"/>
      <c r="AC816" s="26"/>
      <c r="AD816" s="26"/>
      <c r="AE816" s="26"/>
      <c r="AF816" s="26"/>
      <c r="AG816" s="26"/>
      <c r="AH816" s="26"/>
      <c r="AI816" s="26"/>
      <c r="AJ816" s="26"/>
      <c r="AK816" s="26"/>
      <c r="AL816" s="26"/>
      <c r="AM816" s="26"/>
      <c r="AN816" s="26"/>
      <c r="AO816" s="26"/>
    </row>
    <row r="817" ht="14.25" customHeight="1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  <c r="AA817" s="26"/>
      <c r="AB817" s="26"/>
      <c r="AC817" s="26"/>
      <c r="AD817" s="26"/>
      <c r="AE817" s="26"/>
      <c r="AF817" s="26"/>
      <c r="AG817" s="26"/>
      <c r="AH817" s="26"/>
      <c r="AI817" s="26"/>
      <c r="AJ817" s="26"/>
      <c r="AK817" s="26"/>
      <c r="AL817" s="26"/>
      <c r="AM817" s="26"/>
      <c r="AN817" s="26"/>
      <c r="AO817" s="26"/>
    </row>
    <row r="818" ht="14.25" customHeight="1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  <c r="AA818" s="26"/>
      <c r="AB818" s="26"/>
      <c r="AC818" s="26"/>
      <c r="AD818" s="26"/>
      <c r="AE818" s="26"/>
      <c r="AF818" s="26"/>
      <c r="AG818" s="26"/>
      <c r="AH818" s="26"/>
      <c r="AI818" s="26"/>
      <c r="AJ818" s="26"/>
      <c r="AK818" s="26"/>
      <c r="AL818" s="26"/>
      <c r="AM818" s="26"/>
      <c r="AN818" s="26"/>
      <c r="AO818" s="26"/>
    </row>
    <row r="819" ht="14.25" customHeight="1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  <c r="AA819" s="26"/>
      <c r="AB819" s="26"/>
      <c r="AC819" s="26"/>
      <c r="AD819" s="26"/>
      <c r="AE819" s="26"/>
      <c r="AF819" s="26"/>
      <c r="AG819" s="26"/>
      <c r="AH819" s="26"/>
      <c r="AI819" s="26"/>
      <c r="AJ819" s="26"/>
      <c r="AK819" s="26"/>
      <c r="AL819" s="26"/>
      <c r="AM819" s="26"/>
      <c r="AN819" s="26"/>
      <c r="AO819" s="26"/>
    </row>
    <row r="820" ht="14.25" customHeight="1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  <c r="AA820" s="26"/>
      <c r="AB820" s="26"/>
      <c r="AC820" s="26"/>
      <c r="AD820" s="26"/>
      <c r="AE820" s="26"/>
      <c r="AF820" s="26"/>
      <c r="AG820" s="26"/>
      <c r="AH820" s="26"/>
      <c r="AI820" s="26"/>
      <c r="AJ820" s="26"/>
      <c r="AK820" s="26"/>
      <c r="AL820" s="26"/>
      <c r="AM820" s="26"/>
      <c r="AN820" s="26"/>
      <c r="AO820" s="26"/>
    </row>
    <row r="821" ht="14.25" customHeight="1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  <c r="AA821" s="26"/>
      <c r="AB821" s="26"/>
      <c r="AC821" s="26"/>
      <c r="AD821" s="26"/>
      <c r="AE821" s="26"/>
      <c r="AF821" s="26"/>
      <c r="AG821" s="26"/>
      <c r="AH821" s="26"/>
      <c r="AI821" s="26"/>
      <c r="AJ821" s="26"/>
      <c r="AK821" s="26"/>
      <c r="AL821" s="26"/>
      <c r="AM821" s="26"/>
      <c r="AN821" s="26"/>
      <c r="AO821" s="26"/>
    </row>
    <row r="822" ht="14.25" customHeight="1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  <c r="AA822" s="26"/>
      <c r="AB822" s="26"/>
      <c r="AC822" s="26"/>
      <c r="AD822" s="26"/>
      <c r="AE822" s="26"/>
      <c r="AF822" s="26"/>
      <c r="AG822" s="26"/>
      <c r="AH822" s="26"/>
      <c r="AI822" s="26"/>
      <c r="AJ822" s="26"/>
      <c r="AK822" s="26"/>
      <c r="AL822" s="26"/>
      <c r="AM822" s="26"/>
      <c r="AN822" s="26"/>
      <c r="AO822" s="26"/>
    </row>
    <row r="823" ht="14.25" customHeight="1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  <c r="AA823" s="26"/>
      <c r="AB823" s="26"/>
      <c r="AC823" s="26"/>
      <c r="AD823" s="26"/>
      <c r="AE823" s="26"/>
      <c r="AF823" s="26"/>
      <c r="AG823" s="26"/>
      <c r="AH823" s="26"/>
      <c r="AI823" s="26"/>
      <c r="AJ823" s="26"/>
      <c r="AK823" s="26"/>
      <c r="AL823" s="26"/>
      <c r="AM823" s="26"/>
      <c r="AN823" s="26"/>
      <c r="AO823" s="26"/>
    </row>
    <row r="824" ht="14.25" customHeight="1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  <c r="AA824" s="26"/>
      <c r="AB824" s="26"/>
      <c r="AC824" s="26"/>
      <c r="AD824" s="26"/>
      <c r="AE824" s="26"/>
      <c r="AF824" s="26"/>
      <c r="AG824" s="26"/>
      <c r="AH824" s="26"/>
      <c r="AI824" s="26"/>
      <c r="AJ824" s="26"/>
      <c r="AK824" s="26"/>
      <c r="AL824" s="26"/>
      <c r="AM824" s="26"/>
      <c r="AN824" s="26"/>
      <c r="AO824" s="26"/>
    </row>
    <row r="825" ht="14.25" customHeight="1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  <c r="AA825" s="26"/>
      <c r="AB825" s="26"/>
      <c r="AC825" s="26"/>
      <c r="AD825" s="26"/>
      <c r="AE825" s="26"/>
      <c r="AF825" s="26"/>
      <c r="AG825" s="26"/>
      <c r="AH825" s="26"/>
      <c r="AI825" s="26"/>
      <c r="AJ825" s="26"/>
      <c r="AK825" s="26"/>
      <c r="AL825" s="26"/>
      <c r="AM825" s="26"/>
      <c r="AN825" s="26"/>
      <c r="AO825" s="26"/>
    </row>
    <row r="826" ht="14.25" customHeight="1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  <c r="AA826" s="26"/>
      <c r="AB826" s="26"/>
      <c r="AC826" s="26"/>
      <c r="AD826" s="26"/>
      <c r="AE826" s="26"/>
      <c r="AF826" s="26"/>
      <c r="AG826" s="26"/>
      <c r="AH826" s="26"/>
      <c r="AI826" s="26"/>
      <c r="AJ826" s="26"/>
      <c r="AK826" s="26"/>
      <c r="AL826" s="26"/>
      <c r="AM826" s="26"/>
      <c r="AN826" s="26"/>
      <c r="AO826" s="26"/>
    </row>
    <row r="827" ht="14.25" customHeight="1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  <c r="AA827" s="26"/>
      <c r="AB827" s="26"/>
      <c r="AC827" s="26"/>
      <c r="AD827" s="26"/>
      <c r="AE827" s="26"/>
      <c r="AF827" s="26"/>
      <c r="AG827" s="26"/>
      <c r="AH827" s="26"/>
      <c r="AI827" s="26"/>
      <c r="AJ827" s="26"/>
      <c r="AK827" s="26"/>
      <c r="AL827" s="26"/>
      <c r="AM827" s="26"/>
      <c r="AN827" s="26"/>
      <c r="AO827" s="26"/>
    </row>
    <row r="828" ht="14.25" customHeight="1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  <c r="AA828" s="26"/>
      <c r="AB828" s="26"/>
      <c r="AC828" s="26"/>
      <c r="AD828" s="26"/>
      <c r="AE828" s="26"/>
      <c r="AF828" s="26"/>
      <c r="AG828" s="26"/>
      <c r="AH828" s="26"/>
      <c r="AI828" s="26"/>
      <c r="AJ828" s="26"/>
      <c r="AK828" s="26"/>
      <c r="AL828" s="26"/>
      <c r="AM828" s="26"/>
      <c r="AN828" s="26"/>
      <c r="AO828" s="26"/>
    </row>
    <row r="829" ht="14.25" customHeight="1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  <c r="AA829" s="26"/>
      <c r="AB829" s="26"/>
      <c r="AC829" s="26"/>
      <c r="AD829" s="26"/>
      <c r="AE829" s="26"/>
      <c r="AF829" s="26"/>
      <c r="AG829" s="26"/>
      <c r="AH829" s="26"/>
      <c r="AI829" s="26"/>
      <c r="AJ829" s="26"/>
      <c r="AK829" s="26"/>
      <c r="AL829" s="26"/>
      <c r="AM829" s="26"/>
      <c r="AN829" s="26"/>
      <c r="AO829" s="26"/>
    </row>
    <row r="830" ht="14.25" customHeight="1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  <c r="AA830" s="26"/>
      <c r="AB830" s="26"/>
      <c r="AC830" s="26"/>
      <c r="AD830" s="26"/>
      <c r="AE830" s="26"/>
      <c r="AF830" s="26"/>
      <c r="AG830" s="26"/>
      <c r="AH830" s="26"/>
      <c r="AI830" s="26"/>
      <c r="AJ830" s="26"/>
      <c r="AK830" s="26"/>
      <c r="AL830" s="26"/>
      <c r="AM830" s="26"/>
      <c r="AN830" s="26"/>
      <c r="AO830" s="26"/>
    </row>
    <row r="831" ht="14.25" customHeight="1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  <c r="AA831" s="26"/>
      <c r="AB831" s="26"/>
      <c r="AC831" s="26"/>
      <c r="AD831" s="26"/>
      <c r="AE831" s="26"/>
      <c r="AF831" s="26"/>
      <c r="AG831" s="26"/>
      <c r="AH831" s="26"/>
      <c r="AI831" s="26"/>
      <c r="AJ831" s="26"/>
      <c r="AK831" s="26"/>
      <c r="AL831" s="26"/>
      <c r="AM831" s="26"/>
      <c r="AN831" s="26"/>
      <c r="AO831" s="26"/>
    </row>
    <row r="832" ht="14.25" customHeight="1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  <c r="AA832" s="26"/>
      <c r="AB832" s="26"/>
      <c r="AC832" s="26"/>
      <c r="AD832" s="26"/>
      <c r="AE832" s="26"/>
      <c r="AF832" s="26"/>
      <c r="AG832" s="26"/>
      <c r="AH832" s="26"/>
      <c r="AI832" s="26"/>
      <c r="AJ832" s="26"/>
      <c r="AK832" s="26"/>
      <c r="AL832" s="26"/>
      <c r="AM832" s="26"/>
      <c r="AN832" s="26"/>
      <c r="AO832" s="26"/>
    </row>
    <row r="833" ht="14.25" customHeight="1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  <c r="AA833" s="26"/>
      <c r="AB833" s="26"/>
      <c r="AC833" s="26"/>
      <c r="AD833" s="26"/>
      <c r="AE833" s="26"/>
      <c r="AF833" s="26"/>
      <c r="AG833" s="26"/>
      <c r="AH833" s="26"/>
      <c r="AI833" s="26"/>
      <c r="AJ833" s="26"/>
      <c r="AK833" s="26"/>
      <c r="AL833" s="26"/>
      <c r="AM833" s="26"/>
      <c r="AN833" s="26"/>
      <c r="AO833" s="26"/>
    </row>
    <row r="834" ht="14.25" customHeight="1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  <c r="AA834" s="26"/>
      <c r="AB834" s="26"/>
      <c r="AC834" s="26"/>
      <c r="AD834" s="26"/>
      <c r="AE834" s="26"/>
      <c r="AF834" s="26"/>
      <c r="AG834" s="26"/>
      <c r="AH834" s="26"/>
      <c r="AI834" s="26"/>
      <c r="AJ834" s="26"/>
      <c r="AK834" s="26"/>
      <c r="AL834" s="26"/>
      <c r="AM834" s="26"/>
      <c r="AN834" s="26"/>
      <c r="AO834" s="26"/>
    </row>
    <row r="835" ht="14.25" customHeight="1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  <c r="AA835" s="26"/>
      <c r="AB835" s="26"/>
      <c r="AC835" s="26"/>
      <c r="AD835" s="26"/>
      <c r="AE835" s="26"/>
      <c r="AF835" s="26"/>
      <c r="AG835" s="26"/>
      <c r="AH835" s="26"/>
      <c r="AI835" s="26"/>
      <c r="AJ835" s="26"/>
      <c r="AK835" s="26"/>
      <c r="AL835" s="26"/>
      <c r="AM835" s="26"/>
      <c r="AN835" s="26"/>
      <c r="AO835" s="26"/>
    </row>
    <row r="836" ht="14.25" customHeight="1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  <c r="AB836" s="26"/>
      <c r="AC836" s="26"/>
      <c r="AD836" s="26"/>
      <c r="AE836" s="26"/>
      <c r="AF836" s="26"/>
      <c r="AG836" s="26"/>
      <c r="AH836" s="26"/>
      <c r="AI836" s="26"/>
      <c r="AJ836" s="26"/>
      <c r="AK836" s="26"/>
      <c r="AL836" s="26"/>
      <c r="AM836" s="26"/>
      <c r="AN836" s="26"/>
      <c r="AO836" s="26"/>
    </row>
    <row r="837" ht="14.25" customHeight="1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  <c r="AA837" s="26"/>
      <c r="AB837" s="26"/>
      <c r="AC837" s="26"/>
      <c r="AD837" s="26"/>
      <c r="AE837" s="26"/>
      <c r="AF837" s="26"/>
      <c r="AG837" s="26"/>
      <c r="AH837" s="26"/>
      <c r="AI837" s="26"/>
      <c r="AJ837" s="26"/>
      <c r="AK837" s="26"/>
      <c r="AL837" s="26"/>
      <c r="AM837" s="26"/>
      <c r="AN837" s="26"/>
      <c r="AO837" s="26"/>
    </row>
    <row r="838" ht="14.25" customHeight="1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  <c r="AA838" s="26"/>
      <c r="AB838" s="26"/>
      <c r="AC838" s="26"/>
      <c r="AD838" s="26"/>
      <c r="AE838" s="26"/>
      <c r="AF838" s="26"/>
      <c r="AG838" s="26"/>
      <c r="AH838" s="26"/>
      <c r="AI838" s="26"/>
      <c r="AJ838" s="26"/>
      <c r="AK838" s="26"/>
      <c r="AL838" s="26"/>
      <c r="AM838" s="26"/>
      <c r="AN838" s="26"/>
      <c r="AO838" s="26"/>
    </row>
    <row r="839" ht="14.25" customHeight="1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  <c r="AA839" s="26"/>
      <c r="AB839" s="26"/>
      <c r="AC839" s="26"/>
      <c r="AD839" s="26"/>
      <c r="AE839" s="26"/>
      <c r="AF839" s="26"/>
      <c r="AG839" s="26"/>
      <c r="AH839" s="26"/>
      <c r="AI839" s="26"/>
      <c r="AJ839" s="26"/>
      <c r="AK839" s="26"/>
      <c r="AL839" s="26"/>
      <c r="AM839" s="26"/>
      <c r="AN839" s="26"/>
      <c r="AO839" s="26"/>
    </row>
    <row r="840" ht="14.25" customHeight="1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  <c r="AA840" s="26"/>
      <c r="AB840" s="26"/>
      <c r="AC840" s="26"/>
      <c r="AD840" s="26"/>
      <c r="AE840" s="26"/>
      <c r="AF840" s="26"/>
      <c r="AG840" s="26"/>
      <c r="AH840" s="26"/>
      <c r="AI840" s="26"/>
      <c r="AJ840" s="26"/>
      <c r="AK840" s="26"/>
      <c r="AL840" s="26"/>
      <c r="AM840" s="26"/>
      <c r="AN840" s="26"/>
      <c r="AO840" s="26"/>
    </row>
    <row r="841" ht="14.25" customHeight="1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  <c r="AA841" s="26"/>
      <c r="AB841" s="26"/>
      <c r="AC841" s="26"/>
      <c r="AD841" s="26"/>
      <c r="AE841" s="26"/>
      <c r="AF841" s="26"/>
      <c r="AG841" s="26"/>
      <c r="AH841" s="26"/>
      <c r="AI841" s="26"/>
      <c r="AJ841" s="26"/>
      <c r="AK841" s="26"/>
      <c r="AL841" s="26"/>
      <c r="AM841" s="26"/>
      <c r="AN841" s="26"/>
      <c r="AO841" s="26"/>
    </row>
    <row r="842" ht="14.25" customHeight="1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  <c r="AA842" s="26"/>
      <c r="AB842" s="26"/>
      <c r="AC842" s="26"/>
      <c r="AD842" s="26"/>
      <c r="AE842" s="26"/>
      <c r="AF842" s="26"/>
      <c r="AG842" s="26"/>
      <c r="AH842" s="26"/>
      <c r="AI842" s="26"/>
      <c r="AJ842" s="26"/>
      <c r="AK842" s="26"/>
      <c r="AL842" s="26"/>
      <c r="AM842" s="26"/>
      <c r="AN842" s="26"/>
      <c r="AO842" s="26"/>
    </row>
    <row r="843" ht="14.25" customHeight="1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  <c r="AA843" s="26"/>
      <c r="AB843" s="26"/>
      <c r="AC843" s="26"/>
      <c r="AD843" s="26"/>
      <c r="AE843" s="26"/>
      <c r="AF843" s="26"/>
      <c r="AG843" s="26"/>
      <c r="AH843" s="26"/>
      <c r="AI843" s="26"/>
      <c r="AJ843" s="26"/>
      <c r="AK843" s="26"/>
      <c r="AL843" s="26"/>
      <c r="AM843" s="26"/>
      <c r="AN843" s="26"/>
      <c r="AO843" s="26"/>
    </row>
    <row r="844" ht="14.25" customHeight="1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  <c r="AA844" s="26"/>
      <c r="AB844" s="26"/>
      <c r="AC844" s="26"/>
      <c r="AD844" s="26"/>
      <c r="AE844" s="26"/>
      <c r="AF844" s="26"/>
      <c r="AG844" s="26"/>
      <c r="AH844" s="26"/>
      <c r="AI844" s="26"/>
      <c r="AJ844" s="26"/>
      <c r="AK844" s="26"/>
      <c r="AL844" s="26"/>
      <c r="AM844" s="26"/>
      <c r="AN844" s="26"/>
      <c r="AO844" s="26"/>
    </row>
    <row r="845" ht="14.25" customHeight="1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  <c r="AA845" s="26"/>
      <c r="AB845" s="26"/>
      <c r="AC845" s="26"/>
      <c r="AD845" s="26"/>
      <c r="AE845" s="26"/>
      <c r="AF845" s="26"/>
      <c r="AG845" s="26"/>
      <c r="AH845" s="26"/>
      <c r="AI845" s="26"/>
      <c r="AJ845" s="26"/>
      <c r="AK845" s="26"/>
      <c r="AL845" s="26"/>
      <c r="AM845" s="26"/>
      <c r="AN845" s="26"/>
      <c r="AO845" s="26"/>
    </row>
    <row r="846" ht="14.25" customHeight="1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  <c r="AA846" s="26"/>
      <c r="AB846" s="26"/>
      <c r="AC846" s="26"/>
      <c r="AD846" s="26"/>
      <c r="AE846" s="26"/>
      <c r="AF846" s="26"/>
      <c r="AG846" s="26"/>
      <c r="AH846" s="26"/>
      <c r="AI846" s="26"/>
      <c r="AJ846" s="26"/>
      <c r="AK846" s="26"/>
      <c r="AL846" s="26"/>
      <c r="AM846" s="26"/>
      <c r="AN846" s="26"/>
      <c r="AO846" s="26"/>
    </row>
    <row r="847" ht="14.25" customHeight="1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  <c r="AA847" s="26"/>
      <c r="AB847" s="26"/>
      <c r="AC847" s="26"/>
      <c r="AD847" s="26"/>
      <c r="AE847" s="26"/>
      <c r="AF847" s="26"/>
      <c r="AG847" s="26"/>
      <c r="AH847" s="26"/>
      <c r="AI847" s="26"/>
      <c r="AJ847" s="26"/>
      <c r="AK847" s="26"/>
      <c r="AL847" s="26"/>
      <c r="AM847" s="26"/>
      <c r="AN847" s="26"/>
      <c r="AO847" s="26"/>
    </row>
    <row r="848" ht="14.25" customHeight="1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  <c r="AA848" s="26"/>
      <c r="AB848" s="26"/>
      <c r="AC848" s="26"/>
      <c r="AD848" s="26"/>
      <c r="AE848" s="26"/>
      <c r="AF848" s="26"/>
      <c r="AG848" s="26"/>
      <c r="AH848" s="26"/>
      <c r="AI848" s="26"/>
      <c r="AJ848" s="26"/>
      <c r="AK848" s="26"/>
      <c r="AL848" s="26"/>
      <c r="AM848" s="26"/>
      <c r="AN848" s="26"/>
      <c r="AO848" s="26"/>
    </row>
    <row r="849" ht="14.25" customHeight="1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  <c r="AA849" s="26"/>
      <c r="AB849" s="26"/>
      <c r="AC849" s="26"/>
      <c r="AD849" s="26"/>
      <c r="AE849" s="26"/>
      <c r="AF849" s="26"/>
      <c r="AG849" s="26"/>
      <c r="AH849" s="26"/>
      <c r="AI849" s="26"/>
      <c r="AJ849" s="26"/>
      <c r="AK849" s="26"/>
      <c r="AL849" s="26"/>
      <c r="AM849" s="26"/>
      <c r="AN849" s="26"/>
      <c r="AO849" s="26"/>
    </row>
    <row r="850" ht="14.25" customHeight="1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  <c r="AA850" s="26"/>
      <c r="AB850" s="26"/>
      <c r="AC850" s="26"/>
      <c r="AD850" s="26"/>
      <c r="AE850" s="26"/>
      <c r="AF850" s="26"/>
      <c r="AG850" s="26"/>
      <c r="AH850" s="26"/>
      <c r="AI850" s="26"/>
      <c r="AJ850" s="26"/>
      <c r="AK850" s="26"/>
      <c r="AL850" s="26"/>
      <c r="AM850" s="26"/>
      <c r="AN850" s="26"/>
      <c r="AO850" s="26"/>
    </row>
    <row r="851" ht="14.25" customHeight="1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  <c r="AA851" s="26"/>
      <c r="AB851" s="26"/>
      <c r="AC851" s="26"/>
      <c r="AD851" s="26"/>
      <c r="AE851" s="26"/>
      <c r="AF851" s="26"/>
      <c r="AG851" s="26"/>
      <c r="AH851" s="26"/>
      <c r="AI851" s="26"/>
      <c r="AJ851" s="26"/>
      <c r="AK851" s="26"/>
      <c r="AL851" s="26"/>
      <c r="AM851" s="26"/>
      <c r="AN851" s="26"/>
      <c r="AO851" s="26"/>
    </row>
    <row r="852" ht="14.25" customHeight="1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  <c r="AA852" s="26"/>
      <c r="AB852" s="26"/>
      <c r="AC852" s="26"/>
      <c r="AD852" s="26"/>
      <c r="AE852" s="26"/>
      <c r="AF852" s="26"/>
      <c r="AG852" s="26"/>
      <c r="AH852" s="26"/>
      <c r="AI852" s="26"/>
      <c r="AJ852" s="26"/>
      <c r="AK852" s="26"/>
      <c r="AL852" s="26"/>
      <c r="AM852" s="26"/>
      <c r="AN852" s="26"/>
      <c r="AO852" s="26"/>
    </row>
    <row r="853" ht="14.25" customHeight="1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  <c r="AA853" s="26"/>
      <c r="AB853" s="26"/>
      <c r="AC853" s="26"/>
      <c r="AD853" s="26"/>
      <c r="AE853" s="26"/>
      <c r="AF853" s="26"/>
      <c r="AG853" s="26"/>
      <c r="AH853" s="26"/>
      <c r="AI853" s="26"/>
      <c r="AJ853" s="26"/>
      <c r="AK853" s="26"/>
      <c r="AL853" s="26"/>
      <c r="AM853" s="26"/>
      <c r="AN853" s="26"/>
      <c r="AO853" s="26"/>
    </row>
    <row r="854" ht="14.25" customHeight="1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  <c r="AA854" s="26"/>
      <c r="AB854" s="26"/>
      <c r="AC854" s="26"/>
      <c r="AD854" s="26"/>
      <c r="AE854" s="26"/>
      <c r="AF854" s="26"/>
      <c r="AG854" s="26"/>
      <c r="AH854" s="26"/>
      <c r="AI854" s="26"/>
      <c r="AJ854" s="26"/>
      <c r="AK854" s="26"/>
      <c r="AL854" s="26"/>
      <c r="AM854" s="26"/>
      <c r="AN854" s="26"/>
      <c r="AO854" s="26"/>
    </row>
    <row r="855" ht="14.25" customHeight="1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  <c r="AA855" s="26"/>
      <c r="AB855" s="26"/>
      <c r="AC855" s="26"/>
      <c r="AD855" s="26"/>
      <c r="AE855" s="26"/>
      <c r="AF855" s="26"/>
      <c r="AG855" s="26"/>
      <c r="AH855" s="26"/>
      <c r="AI855" s="26"/>
      <c r="AJ855" s="26"/>
      <c r="AK855" s="26"/>
      <c r="AL855" s="26"/>
      <c r="AM855" s="26"/>
      <c r="AN855" s="26"/>
      <c r="AO855" s="26"/>
    </row>
    <row r="856" ht="14.25" customHeight="1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  <c r="AA856" s="26"/>
      <c r="AB856" s="26"/>
      <c r="AC856" s="26"/>
      <c r="AD856" s="26"/>
      <c r="AE856" s="26"/>
      <c r="AF856" s="26"/>
      <c r="AG856" s="26"/>
      <c r="AH856" s="26"/>
      <c r="AI856" s="26"/>
      <c r="AJ856" s="26"/>
      <c r="AK856" s="26"/>
      <c r="AL856" s="26"/>
      <c r="AM856" s="26"/>
      <c r="AN856" s="26"/>
      <c r="AO856" s="26"/>
    </row>
    <row r="857" ht="14.25" customHeight="1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  <c r="AA857" s="26"/>
      <c r="AB857" s="26"/>
      <c r="AC857" s="26"/>
      <c r="AD857" s="26"/>
      <c r="AE857" s="26"/>
      <c r="AF857" s="26"/>
      <c r="AG857" s="26"/>
      <c r="AH857" s="26"/>
      <c r="AI857" s="26"/>
      <c r="AJ857" s="26"/>
      <c r="AK857" s="26"/>
      <c r="AL857" s="26"/>
      <c r="AM857" s="26"/>
      <c r="AN857" s="26"/>
      <c r="AO857" s="26"/>
    </row>
    <row r="858" ht="14.25" customHeight="1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  <c r="AA858" s="26"/>
      <c r="AB858" s="26"/>
      <c r="AC858" s="26"/>
      <c r="AD858" s="26"/>
      <c r="AE858" s="26"/>
      <c r="AF858" s="26"/>
      <c r="AG858" s="26"/>
      <c r="AH858" s="26"/>
      <c r="AI858" s="26"/>
      <c r="AJ858" s="26"/>
      <c r="AK858" s="26"/>
      <c r="AL858" s="26"/>
      <c r="AM858" s="26"/>
      <c r="AN858" s="26"/>
      <c r="AO858" s="26"/>
    </row>
    <row r="859" ht="14.25" customHeight="1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  <c r="AA859" s="26"/>
      <c r="AB859" s="26"/>
      <c r="AC859" s="26"/>
      <c r="AD859" s="26"/>
      <c r="AE859" s="26"/>
      <c r="AF859" s="26"/>
      <c r="AG859" s="26"/>
      <c r="AH859" s="26"/>
      <c r="AI859" s="26"/>
      <c r="AJ859" s="26"/>
      <c r="AK859" s="26"/>
      <c r="AL859" s="26"/>
      <c r="AM859" s="26"/>
      <c r="AN859" s="26"/>
      <c r="AO859" s="26"/>
    </row>
    <row r="860" ht="14.25" customHeight="1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  <c r="AA860" s="26"/>
      <c r="AB860" s="26"/>
      <c r="AC860" s="26"/>
      <c r="AD860" s="26"/>
      <c r="AE860" s="26"/>
      <c r="AF860" s="26"/>
      <c r="AG860" s="26"/>
      <c r="AH860" s="26"/>
      <c r="AI860" s="26"/>
      <c r="AJ860" s="26"/>
      <c r="AK860" s="26"/>
      <c r="AL860" s="26"/>
      <c r="AM860" s="26"/>
      <c r="AN860" s="26"/>
      <c r="AO860" s="26"/>
    </row>
    <row r="861" ht="14.25" customHeight="1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  <c r="AA861" s="26"/>
      <c r="AB861" s="26"/>
      <c r="AC861" s="26"/>
      <c r="AD861" s="26"/>
      <c r="AE861" s="26"/>
      <c r="AF861" s="26"/>
      <c r="AG861" s="26"/>
      <c r="AH861" s="26"/>
      <c r="AI861" s="26"/>
      <c r="AJ861" s="26"/>
      <c r="AK861" s="26"/>
      <c r="AL861" s="26"/>
      <c r="AM861" s="26"/>
      <c r="AN861" s="26"/>
      <c r="AO861" s="26"/>
    </row>
    <row r="862" ht="14.25" customHeight="1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  <c r="AA862" s="26"/>
      <c r="AB862" s="26"/>
      <c r="AC862" s="26"/>
      <c r="AD862" s="26"/>
      <c r="AE862" s="26"/>
      <c r="AF862" s="26"/>
      <c r="AG862" s="26"/>
      <c r="AH862" s="26"/>
      <c r="AI862" s="26"/>
      <c r="AJ862" s="26"/>
      <c r="AK862" s="26"/>
      <c r="AL862" s="26"/>
      <c r="AM862" s="26"/>
      <c r="AN862" s="26"/>
      <c r="AO862" s="26"/>
    </row>
    <row r="863" ht="14.25" customHeight="1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  <c r="AA863" s="26"/>
      <c r="AB863" s="26"/>
      <c r="AC863" s="26"/>
      <c r="AD863" s="26"/>
      <c r="AE863" s="26"/>
      <c r="AF863" s="26"/>
      <c r="AG863" s="26"/>
      <c r="AH863" s="26"/>
      <c r="AI863" s="26"/>
      <c r="AJ863" s="26"/>
      <c r="AK863" s="26"/>
      <c r="AL863" s="26"/>
      <c r="AM863" s="26"/>
      <c r="AN863" s="26"/>
      <c r="AO863" s="26"/>
    </row>
    <row r="864" ht="14.25" customHeight="1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  <c r="AA864" s="26"/>
      <c r="AB864" s="26"/>
      <c r="AC864" s="26"/>
      <c r="AD864" s="26"/>
      <c r="AE864" s="26"/>
      <c r="AF864" s="26"/>
      <c r="AG864" s="26"/>
      <c r="AH864" s="26"/>
      <c r="AI864" s="26"/>
      <c r="AJ864" s="26"/>
      <c r="AK864" s="26"/>
      <c r="AL864" s="26"/>
      <c r="AM864" s="26"/>
      <c r="AN864" s="26"/>
      <c r="AO864" s="26"/>
    </row>
    <row r="865" ht="14.25" customHeight="1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  <c r="AA865" s="26"/>
      <c r="AB865" s="26"/>
      <c r="AC865" s="26"/>
      <c r="AD865" s="26"/>
      <c r="AE865" s="26"/>
      <c r="AF865" s="26"/>
      <c r="AG865" s="26"/>
      <c r="AH865" s="26"/>
      <c r="AI865" s="26"/>
      <c r="AJ865" s="26"/>
      <c r="AK865" s="26"/>
      <c r="AL865" s="26"/>
      <c r="AM865" s="26"/>
      <c r="AN865" s="26"/>
      <c r="AO865" s="26"/>
    </row>
    <row r="866" ht="14.25" customHeight="1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  <c r="AA866" s="26"/>
      <c r="AB866" s="26"/>
      <c r="AC866" s="26"/>
      <c r="AD866" s="26"/>
      <c r="AE866" s="26"/>
      <c r="AF866" s="26"/>
      <c r="AG866" s="26"/>
      <c r="AH866" s="26"/>
      <c r="AI866" s="26"/>
      <c r="AJ866" s="26"/>
      <c r="AK866" s="26"/>
      <c r="AL866" s="26"/>
      <c r="AM866" s="26"/>
      <c r="AN866" s="26"/>
      <c r="AO866" s="26"/>
    </row>
    <row r="867" ht="14.25" customHeight="1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  <c r="AA867" s="26"/>
      <c r="AB867" s="26"/>
      <c r="AC867" s="26"/>
      <c r="AD867" s="26"/>
      <c r="AE867" s="26"/>
      <c r="AF867" s="26"/>
      <c r="AG867" s="26"/>
      <c r="AH867" s="26"/>
      <c r="AI867" s="26"/>
      <c r="AJ867" s="26"/>
      <c r="AK867" s="26"/>
      <c r="AL867" s="26"/>
      <c r="AM867" s="26"/>
      <c r="AN867" s="26"/>
      <c r="AO867" s="26"/>
    </row>
    <row r="868" ht="14.25" customHeight="1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  <c r="AA868" s="26"/>
      <c r="AB868" s="26"/>
      <c r="AC868" s="26"/>
      <c r="AD868" s="26"/>
      <c r="AE868" s="26"/>
      <c r="AF868" s="26"/>
      <c r="AG868" s="26"/>
      <c r="AH868" s="26"/>
      <c r="AI868" s="26"/>
      <c r="AJ868" s="26"/>
      <c r="AK868" s="26"/>
      <c r="AL868" s="26"/>
      <c r="AM868" s="26"/>
      <c r="AN868" s="26"/>
      <c r="AO868" s="26"/>
    </row>
    <row r="869" ht="14.25" customHeight="1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  <c r="AA869" s="26"/>
      <c r="AB869" s="26"/>
      <c r="AC869" s="26"/>
      <c r="AD869" s="26"/>
      <c r="AE869" s="26"/>
      <c r="AF869" s="26"/>
      <c r="AG869" s="26"/>
      <c r="AH869" s="26"/>
      <c r="AI869" s="26"/>
      <c r="AJ869" s="26"/>
      <c r="AK869" s="26"/>
      <c r="AL869" s="26"/>
      <c r="AM869" s="26"/>
      <c r="AN869" s="26"/>
      <c r="AO869" s="26"/>
    </row>
    <row r="870" ht="14.25" customHeight="1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  <c r="AA870" s="26"/>
      <c r="AB870" s="26"/>
      <c r="AC870" s="26"/>
      <c r="AD870" s="26"/>
      <c r="AE870" s="26"/>
      <c r="AF870" s="26"/>
      <c r="AG870" s="26"/>
      <c r="AH870" s="26"/>
      <c r="AI870" s="26"/>
      <c r="AJ870" s="26"/>
      <c r="AK870" s="26"/>
      <c r="AL870" s="26"/>
      <c r="AM870" s="26"/>
      <c r="AN870" s="26"/>
      <c r="AO870" s="26"/>
    </row>
    <row r="871" ht="14.25" customHeight="1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  <c r="AA871" s="26"/>
      <c r="AB871" s="26"/>
      <c r="AC871" s="26"/>
      <c r="AD871" s="26"/>
      <c r="AE871" s="26"/>
      <c r="AF871" s="26"/>
      <c r="AG871" s="26"/>
      <c r="AH871" s="26"/>
      <c r="AI871" s="26"/>
      <c r="AJ871" s="26"/>
      <c r="AK871" s="26"/>
      <c r="AL871" s="26"/>
      <c r="AM871" s="26"/>
      <c r="AN871" s="26"/>
      <c r="AO871" s="26"/>
    </row>
    <row r="872" ht="14.25" customHeight="1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  <c r="AA872" s="26"/>
      <c r="AB872" s="26"/>
      <c r="AC872" s="26"/>
      <c r="AD872" s="26"/>
      <c r="AE872" s="26"/>
      <c r="AF872" s="26"/>
      <c r="AG872" s="26"/>
      <c r="AH872" s="26"/>
      <c r="AI872" s="26"/>
      <c r="AJ872" s="26"/>
      <c r="AK872" s="26"/>
      <c r="AL872" s="26"/>
      <c r="AM872" s="26"/>
      <c r="AN872" s="26"/>
      <c r="AO872" s="26"/>
    </row>
    <row r="873" ht="14.25" customHeight="1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  <c r="AA873" s="26"/>
      <c r="AB873" s="26"/>
      <c r="AC873" s="26"/>
      <c r="AD873" s="26"/>
      <c r="AE873" s="26"/>
      <c r="AF873" s="26"/>
      <c r="AG873" s="26"/>
      <c r="AH873" s="26"/>
      <c r="AI873" s="26"/>
      <c r="AJ873" s="26"/>
      <c r="AK873" s="26"/>
      <c r="AL873" s="26"/>
      <c r="AM873" s="26"/>
      <c r="AN873" s="26"/>
      <c r="AO873" s="26"/>
    </row>
    <row r="874" ht="14.25" customHeight="1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  <c r="AA874" s="26"/>
      <c r="AB874" s="26"/>
      <c r="AC874" s="26"/>
      <c r="AD874" s="26"/>
      <c r="AE874" s="26"/>
      <c r="AF874" s="26"/>
      <c r="AG874" s="26"/>
      <c r="AH874" s="26"/>
      <c r="AI874" s="26"/>
      <c r="AJ874" s="26"/>
      <c r="AK874" s="26"/>
      <c r="AL874" s="26"/>
      <c r="AM874" s="26"/>
      <c r="AN874" s="26"/>
      <c r="AO874" s="26"/>
    </row>
    <row r="875" ht="14.25" customHeight="1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  <c r="AA875" s="26"/>
      <c r="AB875" s="26"/>
      <c r="AC875" s="26"/>
      <c r="AD875" s="26"/>
      <c r="AE875" s="26"/>
      <c r="AF875" s="26"/>
      <c r="AG875" s="26"/>
      <c r="AH875" s="26"/>
      <c r="AI875" s="26"/>
      <c r="AJ875" s="26"/>
      <c r="AK875" s="26"/>
      <c r="AL875" s="26"/>
      <c r="AM875" s="26"/>
      <c r="AN875" s="26"/>
      <c r="AO875" s="26"/>
    </row>
    <row r="876" ht="14.25" customHeight="1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  <c r="AA876" s="26"/>
      <c r="AB876" s="26"/>
      <c r="AC876" s="26"/>
      <c r="AD876" s="26"/>
      <c r="AE876" s="26"/>
      <c r="AF876" s="26"/>
      <c r="AG876" s="26"/>
      <c r="AH876" s="26"/>
      <c r="AI876" s="26"/>
      <c r="AJ876" s="26"/>
      <c r="AK876" s="26"/>
      <c r="AL876" s="26"/>
      <c r="AM876" s="26"/>
      <c r="AN876" s="26"/>
      <c r="AO876" s="26"/>
    </row>
    <row r="877" ht="14.25" customHeight="1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  <c r="AA877" s="26"/>
      <c r="AB877" s="26"/>
      <c r="AC877" s="26"/>
      <c r="AD877" s="26"/>
      <c r="AE877" s="26"/>
      <c r="AF877" s="26"/>
      <c r="AG877" s="26"/>
      <c r="AH877" s="26"/>
      <c r="AI877" s="26"/>
      <c r="AJ877" s="26"/>
      <c r="AK877" s="26"/>
      <c r="AL877" s="26"/>
      <c r="AM877" s="26"/>
      <c r="AN877" s="26"/>
      <c r="AO877" s="26"/>
    </row>
    <row r="878" ht="14.25" customHeight="1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  <c r="AA878" s="26"/>
      <c r="AB878" s="26"/>
      <c r="AC878" s="26"/>
      <c r="AD878" s="26"/>
      <c r="AE878" s="26"/>
      <c r="AF878" s="26"/>
      <c r="AG878" s="26"/>
      <c r="AH878" s="26"/>
      <c r="AI878" s="26"/>
      <c r="AJ878" s="26"/>
      <c r="AK878" s="26"/>
      <c r="AL878" s="26"/>
      <c r="AM878" s="26"/>
      <c r="AN878" s="26"/>
      <c r="AO878" s="26"/>
    </row>
    <row r="879" ht="14.25" customHeight="1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  <c r="AA879" s="26"/>
      <c r="AB879" s="26"/>
      <c r="AC879" s="26"/>
      <c r="AD879" s="26"/>
      <c r="AE879" s="26"/>
      <c r="AF879" s="26"/>
      <c r="AG879" s="26"/>
      <c r="AH879" s="26"/>
      <c r="AI879" s="26"/>
      <c r="AJ879" s="26"/>
      <c r="AK879" s="26"/>
      <c r="AL879" s="26"/>
      <c r="AM879" s="26"/>
      <c r="AN879" s="26"/>
      <c r="AO879" s="26"/>
    </row>
    <row r="880" ht="14.25" customHeight="1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  <c r="AA880" s="26"/>
      <c r="AB880" s="26"/>
      <c r="AC880" s="26"/>
      <c r="AD880" s="26"/>
      <c r="AE880" s="26"/>
      <c r="AF880" s="26"/>
      <c r="AG880" s="26"/>
      <c r="AH880" s="26"/>
      <c r="AI880" s="26"/>
      <c r="AJ880" s="26"/>
      <c r="AK880" s="26"/>
      <c r="AL880" s="26"/>
      <c r="AM880" s="26"/>
      <c r="AN880" s="26"/>
      <c r="AO880" s="26"/>
    </row>
    <row r="881" ht="14.25" customHeight="1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  <c r="AA881" s="26"/>
      <c r="AB881" s="26"/>
      <c r="AC881" s="26"/>
      <c r="AD881" s="26"/>
      <c r="AE881" s="26"/>
      <c r="AF881" s="26"/>
      <c r="AG881" s="26"/>
      <c r="AH881" s="26"/>
      <c r="AI881" s="26"/>
      <c r="AJ881" s="26"/>
      <c r="AK881" s="26"/>
      <c r="AL881" s="26"/>
      <c r="AM881" s="26"/>
      <c r="AN881" s="26"/>
      <c r="AO881" s="26"/>
    </row>
    <row r="882" ht="14.25" customHeight="1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  <c r="AA882" s="26"/>
      <c r="AB882" s="26"/>
      <c r="AC882" s="26"/>
      <c r="AD882" s="26"/>
      <c r="AE882" s="26"/>
      <c r="AF882" s="26"/>
      <c r="AG882" s="26"/>
      <c r="AH882" s="26"/>
      <c r="AI882" s="26"/>
      <c r="AJ882" s="26"/>
      <c r="AK882" s="26"/>
      <c r="AL882" s="26"/>
      <c r="AM882" s="26"/>
      <c r="AN882" s="26"/>
      <c r="AO882" s="26"/>
    </row>
    <row r="883" ht="14.25" customHeight="1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  <c r="AA883" s="26"/>
      <c r="AB883" s="26"/>
      <c r="AC883" s="26"/>
      <c r="AD883" s="26"/>
      <c r="AE883" s="26"/>
      <c r="AF883" s="26"/>
      <c r="AG883" s="26"/>
      <c r="AH883" s="26"/>
      <c r="AI883" s="26"/>
      <c r="AJ883" s="26"/>
      <c r="AK883" s="26"/>
      <c r="AL883" s="26"/>
      <c r="AM883" s="26"/>
      <c r="AN883" s="26"/>
      <c r="AO883" s="26"/>
    </row>
    <row r="884" ht="14.25" customHeight="1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  <c r="AA884" s="26"/>
      <c r="AB884" s="26"/>
      <c r="AC884" s="26"/>
      <c r="AD884" s="26"/>
      <c r="AE884" s="26"/>
      <c r="AF884" s="26"/>
      <c r="AG884" s="26"/>
      <c r="AH884" s="26"/>
      <c r="AI884" s="26"/>
      <c r="AJ884" s="26"/>
      <c r="AK884" s="26"/>
      <c r="AL884" s="26"/>
      <c r="AM884" s="26"/>
      <c r="AN884" s="26"/>
      <c r="AO884" s="26"/>
    </row>
    <row r="885" ht="14.25" customHeight="1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  <c r="AA885" s="26"/>
      <c r="AB885" s="26"/>
      <c r="AC885" s="26"/>
      <c r="AD885" s="26"/>
      <c r="AE885" s="26"/>
      <c r="AF885" s="26"/>
      <c r="AG885" s="26"/>
      <c r="AH885" s="26"/>
      <c r="AI885" s="26"/>
      <c r="AJ885" s="26"/>
      <c r="AK885" s="26"/>
      <c r="AL885" s="26"/>
      <c r="AM885" s="26"/>
      <c r="AN885" s="26"/>
      <c r="AO885" s="26"/>
    </row>
    <row r="886" ht="14.25" customHeight="1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  <c r="AA886" s="26"/>
      <c r="AB886" s="26"/>
      <c r="AC886" s="26"/>
      <c r="AD886" s="26"/>
      <c r="AE886" s="26"/>
      <c r="AF886" s="26"/>
      <c r="AG886" s="26"/>
      <c r="AH886" s="26"/>
      <c r="AI886" s="26"/>
      <c r="AJ886" s="26"/>
      <c r="AK886" s="26"/>
      <c r="AL886" s="26"/>
      <c r="AM886" s="26"/>
      <c r="AN886" s="26"/>
      <c r="AO886" s="26"/>
    </row>
    <row r="887" ht="14.25" customHeight="1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  <c r="AA887" s="26"/>
      <c r="AB887" s="26"/>
      <c r="AC887" s="26"/>
      <c r="AD887" s="26"/>
      <c r="AE887" s="26"/>
      <c r="AF887" s="26"/>
      <c r="AG887" s="26"/>
      <c r="AH887" s="26"/>
      <c r="AI887" s="26"/>
      <c r="AJ887" s="26"/>
      <c r="AK887" s="26"/>
      <c r="AL887" s="26"/>
      <c r="AM887" s="26"/>
      <c r="AN887" s="26"/>
      <c r="AO887" s="26"/>
    </row>
    <row r="888" ht="14.25" customHeight="1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  <c r="AA888" s="26"/>
      <c r="AB888" s="26"/>
      <c r="AC888" s="26"/>
      <c r="AD888" s="26"/>
      <c r="AE888" s="26"/>
      <c r="AF888" s="26"/>
      <c r="AG888" s="26"/>
      <c r="AH888" s="26"/>
      <c r="AI888" s="26"/>
      <c r="AJ888" s="26"/>
      <c r="AK888" s="26"/>
      <c r="AL888" s="26"/>
      <c r="AM888" s="26"/>
      <c r="AN888" s="26"/>
      <c r="AO888" s="26"/>
    </row>
    <row r="889" ht="14.25" customHeight="1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  <c r="AA889" s="26"/>
      <c r="AB889" s="26"/>
      <c r="AC889" s="26"/>
      <c r="AD889" s="26"/>
      <c r="AE889" s="26"/>
      <c r="AF889" s="26"/>
      <c r="AG889" s="26"/>
      <c r="AH889" s="26"/>
      <c r="AI889" s="26"/>
      <c r="AJ889" s="26"/>
      <c r="AK889" s="26"/>
      <c r="AL889" s="26"/>
      <c r="AM889" s="26"/>
      <c r="AN889" s="26"/>
      <c r="AO889" s="26"/>
    </row>
    <row r="890" ht="14.25" customHeight="1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  <c r="AA890" s="26"/>
      <c r="AB890" s="26"/>
      <c r="AC890" s="26"/>
      <c r="AD890" s="26"/>
      <c r="AE890" s="26"/>
      <c r="AF890" s="26"/>
      <c r="AG890" s="26"/>
      <c r="AH890" s="26"/>
      <c r="AI890" s="26"/>
      <c r="AJ890" s="26"/>
      <c r="AK890" s="26"/>
      <c r="AL890" s="26"/>
      <c r="AM890" s="26"/>
      <c r="AN890" s="26"/>
      <c r="AO890" s="26"/>
    </row>
    <row r="891" ht="14.25" customHeight="1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  <c r="AA891" s="26"/>
      <c r="AB891" s="26"/>
      <c r="AC891" s="26"/>
      <c r="AD891" s="26"/>
      <c r="AE891" s="26"/>
      <c r="AF891" s="26"/>
      <c r="AG891" s="26"/>
      <c r="AH891" s="26"/>
      <c r="AI891" s="26"/>
      <c r="AJ891" s="26"/>
      <c r="AK891" s="26"/>
      <c r="AL891" s="26"/>
      <c r="AM891" s="26"/>
      <c r="AN891" s="26"/>
      <c r="AO891" s="26"/>
    </row>
    <row r="892" ht="14.25" customHeight="1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  <c r="AA892" s="26"/>
      <c r="AB892" s="26"/>
      <c r="AC892" s="26"/>
      <c r="AD892" s="26"/>
      <c r="AE892" s="26"/>
      <c r="AF892" s="26"/>
      <c r="AG892" s="26"/>
      <c r="AH892" s="26"/>
      <c r="AI892" s="26"/>
      <c r="AJ892" s="26"/>
      <c r="AK892" s="26"/>
      <c r="AL892" s="26"/>
      <c r="AM892" s="26"/>
      <c r="AN892" s="26"/>
      <c r="AO892" s="26"/>
    </row>
    <row r="893" ht="14.25" customHeight="1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  <c r="AA893" s="26"/>
      <c r="AB893" s="26"/>
      <c r="AC893" s="26"/>
      <c r="AD893" s="26"/>
      <c r="AE893" s="26"/>
      <c r="AF893" s="26"/>
      <c r="AG893" s="26"/>
      <c r="AH893" s="26"/>
      <c r="AI893" s="26"/>
      <c r="AJ893" s="26"/>
      <c r="AK893" s="26"/>
      <c r="AL893" s="26"/>
      <c r="AM893" s="26"/>
      <c r="AN893" s="26"/>
      <c r="AO893" s="26"/>
    </row>
    <row r="894" ht="14.25" customHeight="1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  <c r="AA894" s="26"/>
      <c r="AB894" s="26"/>
      <c r="AC894" s="26"/>
      <c r="AD894" s="26"/>
      <c r="AE894" s="26"/>
      <c r="AF894" s="26"/>
      <c r="AG894" s="26"/>
      <c r="AH894" s="26"/>
      <c r="AI894" s="26"/>
      <c r="AJ894" s="26"/>
      <c r="AK894" s="26"/>
      <c r="AL894" s="26"/>
      <c r="AM894" s="26"/>
      <c r="AN894" s="26"/>
      <c r="AO894" s="26"/>
    </row>
    <row r="895" ht="14.25" customHeight="1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  <c r="AA895" s="26"/>
      <c r="AB895" s="26"/>
      <c r="AC895" s="26"/>
      <c r="AD895" s="26"/>
      <c r="AE895" s="26"/>
      <c r="AF895" s="26"/>
      <c r="AG895" s="26"/>
      <c r="AH895" s="26"/>
      <c r="AI895" s="26"/>
      <c r="AJ895" s="26"/>
      <c r="AK895" s="26"/>
      <c r="AL895" s="26"/>
      <c r="AM895" s="26"/>
      <c r="AN895" s="26"/>
      <c r="AO895" s="26"/>
    </row>
    <row r="896" ht="14.25" customHeight="1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  <c r="AA896" s="26"/>
      <c r="AB896" s="26"/>
      <c r="AC896" s="26"/>
      <c r="AD896" s="26"/>
      <c r="AE896" s="26"/>
      <c r="AF896" s="26"/>
      <c r="AG896" s="26"/>
      <c r="AH896" s="26"/>
      <c r="AI896" s="26"/>
      <c r="AJ896" s="26"/>
      <c r="AK896" s="26"/>
      <c r="AL896" s="26"/>
      <c r="AM896" s="26"/>
      <c r="AN896" s="26"/>
      <c r="AO896" s="26"/>
    </row>
    <row r="897" ht="14.25" customHeight="1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  <c r="AA897" s="26"/>
      <c r="AB897" s="26"/>
      <c r="AC897" s="26"/>
      <c r="AD897" s="26"/>
      <c r="AE897" s="26"/>
      <c r="AF897" s="26"/>
      <c r="AG897" s="26"/>
      <c r="AH897" s="26"/>
      <c r="AI897" s="26"/>
      <c r="AJ897" s="26"/>
      <c r="AK897" s="26"/>
      <c r="AL897" s="26"/>
      <c r="AM897" s="26"/>
      <c r="AN897" s="26"/>
      <c r="AO897" s="26"/>
    </row>
    <row r="898" ht="14.25" customHeight="1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  <c r="AA898" s="26"/>
      <c r="AB898" s="26"/>
      <c r="AC898" s="26"/>
      <c r="AD898" s="26"/>
      <c r="AE898" s="26"/>
      <c r="AF898" s="26"/>
      <c r="AG898" s="26"/>
      <c r="AH898" s="26"/>
      <c r="AI898" s="26"/>
      <c r="AJ898" s="26"/>
      <c r="AK898" s="26"/>
      <c r="AL898" s="26"/>
      <c r="AM898" s="26"/>
      <c r="AN898" s="26"/>
      <c r="AO898" s="26"/>
    </row>
    <row r="899" ht="14.25" customHeight="1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  <c r="AA899" s="26"/>
      <c r="AB899" s="26"/>
      <c r="AC899" s="26"/>
      <c r="AD899" s="26"/>
      <c r="AE899" s="26"/>
      <c r="AF899" s="26"/>
      <c r="AG899" s="26"/>
      <c r="AH899" s="26"/>
      <c r="AI899" s="26"/>
      <c r="AJ899" s="26"/>
      <c r="AK899" s="26"/>
      <c r="AL899" s="26"/>
      <c r="AM899" s="26"/>
      <c r="AN899" s="26"/>
      <c r="AO899" s="26"/>
    </row>
    <row r="900" ht="14.25" customHeight="1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  <c r="AA900" s="26"/>
      <c r="AB900" s="26"/>
      <c r="AC900" s="26"/>
      <c r="AD900" s="26"/>
      <c r="AE900" s="26"/>
      <c r="AF900" s="26"/>
      <c r="AG900" s="26"/>
      <c r="AH900" s="26"/>
      <c r="AI900" s="26"/>
      <c r="AJ900" s="26"/>
      <c r="AK900" s="26"/>
      <c r="AL900" s="26"/>
      <c r="AM900" s="26"/>
      <c r="AN900" s="26"/>
      <c r="AO900" s="26"/>
    </row>
    <row r="901" ht="14.25" customHeight="1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  <c r="AA901" s="26"/>
      <c r="AB901" s="26"/>
      <c r="AC901" s="26"/>
      <c r="AD901" s="26"/>
      <c r="AE901" s="26"/>
      <c r="AF901" s="26"/>
      <c r="AG901" s="26"/>
      <c r="AH901" s="26"/>
      <c r="AI901" s="26"/>
      <c r="AJ901" s="26"/>
      <c r="AK901" s="26"/>
      <c r="AL901" s="26"/>
      <c r="AM901" s="26"/>
      <c r="AN901" s="26"/>
      <c r="AO901" s="26"/>
    </row>
    <row r="902" ht="14.25" customHeight="1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  <c r="AA902" s="26"/>
      <c r="AB902" s="26"/>
      <c r="AC902" s="26"/>
      <c r="AD902" s="26"/>
      <c r="AE902" s="26"/>
      <c r="AF902" s="26"/>
      <c r="AG902" s="26"/>
      <c r="AH902" s="26"/>
      <c r="AI902" s="26"/>
      <c r="AJ902" s="26"/>
      <c r="AK902" s="26"/>
      <c r="AL902" s="26"/>
      <c r="AM902" s="26"/>
      <c r="AN902" s="26"/>
      <c r="AO902" s="26"/>
    </row>
    <row r="903" ht="14.25" customHeight="1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  <c r="AA903" s="26"/>
      <c r="AB903" s="26"/>
      <c r="AC903" s="26"/>
      <c r="AD903" s="26"/>
      <c r="AE903" s="26"/>
      <c r="AF903" s="26"/>
      <c r="AG903" s="26"/>
      <c r="AH903" s="26"/>
      <c r="AI903" s="26"/>
      <c r="AJ903" s="26"/>
      <c r="AK903" s="26"/>
      <c r="AL903" s="26"/>
      <c r="AM903" s="26"/>
      <c r="AN903" s="26"/>
      <c r="AO903" s="26"/>
    </row>
    <row r="904" ht="14.25" customHeight="1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  <c r="AA904" s="26"/>
      <c r="AB904" s="26"/>
      <c r="AC904" s="26"/>
      <c r="AD904" s="26"/>
      <c r="AE904" s="26"/>
      <c r="AF904" s="26"/>
      <c r="AG904" s="26"/>
      <c r="AH904" s="26"/>
      <c r="AI904" s="26"/>
      <c r="AJ904" s="26"/>
      <c r="AK904" s="26"/>
      <c r="AL904" s="26"/>
      <c r="AM904" s="26"/>
      <c r="AN904" s="26"/>
      <c r="AO904" s="26"/>
    </row>
    <row r="905" ht="14.25" customHeight="1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  <c r="AA905" s="26"/>
      <c r="AB905" s="26"/>
      <c r="AC905" s="26"/>
      <c r="AD905" s="26"/>
      <c r="AE905" s="26"/>
      <c r="AF905" s="26"/>
      <c r="AG905" s="26"/>
      <c r="AH905" s="26"/>
      <c r="AI905" s="26"/>
      <c r="AJ905" s="26"/>
      <c r="AK905" s="26"/>
      <c r="AL905" s="26"/>
      <c r="AM905" s="26"/>
      <c r="AN905" s="26"/>
      <c r="AO905" s="26"/>
    </row>
    <row r="906" ht="14.25" customHeight="1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  <c r="AA906" s="26"/>
      <c r="AB906" s="26"/>
      <c r="AC906" s="26"/>
      <c r="AD906" s="26"/>
      <c r="AE906" s="26"/>
      <c r="AF906" s="26"/>
      <c r="AG906" s="26"/>
      <c r="AH906" s="26"/>
      <c r="AI906" s="26"/>
      <c r="AJ906" s="26"/>
      <c r="AK906" s="26"/>
      <c r="AL906" s="26"/>
      <c r="AM906" s="26"/>
      <c r="AN906" s="26"/>
      <c r="AO906" s="26"/>
    </row>
    <row r="907" ht="14.25" customHeight="1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  <c r="AA907" s="26"/>
      <c r="AB907" s="26"/>
      <c r="AC907" s="26"/>
      <c r="AD907" s="26"/>
      <c r="AE907" s="26"/>
      <c r="AF907" s="26"/>
      <c r="AG907" s="26"/>
      <c r="AH907" s="26"/>
      <c r="AI907" s="26"/>
      <c r="AJ907" s="26"/>
      <c r="AK907" s="26"/>
      <c r="AL907" s="26"/>
      <c r="AM907" s="26"/>
      <c r="AN907" s="26"/>
      <c r="AO907" s="26"/>
    </row>
    <row r="908" ht="14.25" customHeight="1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  <c r="AA908" s="26"/>
      <c r="AB908" s="26"/>
      <c r="AC908" s="26"/>
      <c r="AD908" s="26"/>
      <c r="AE908" s="26"/>
      <c r="AF908" s="26"/>
      <c r="AG908" s="26"/>
      <c r="AH908" s="26"/>
      <c r="AI908" s="26"/>
      <c r="AJ908" s="26"/>
      <c r="AK908" s="26"/>
      <c r="AL908" s="26"/>
      <c r="AM908" s="26"/>
      <c r="AN908" s="26"/>
      <c r="AO908" s="26"/>
    </row>
    <row r="909" ht="14.25" customHeight="1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  <c r="AA909" s="26"/>
      <c r="AB909" s="26"/>
      <c r="AC909" s="26"/>
      <c r="AD909" s="26"/>
      <c r="AE909" s="26"/>
      <c r="AF909" s="26"/>
      <c r="AG909" s="26"/>
      <c r="AH909" s="26"/>
      <c r="AI909" s="26"/>
      <c r="AJ909" s="26"/>
      <c r="AK909" s="26"/>
      <c r="AL909" s="26"/>
      <c r="AM909" s="26"/>
      <c r="AN909" s="26"/>
      <c r="AO909" s="26"/>
    </row>
    <row r="910" ht="14.25" customHeight="1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  <c r="AA910" s="26"/>
      <c r="AB910" s="26"/>
      <c r="AC910" s="26"/>
      <c r="AD910" s="26"/>
      <c r="AE910" s="26"/>
      <c r="AF910" s="26"/>
      <c r="AG910" s="26"/>
      <c r="AH910" s="26"/>
      <c r="AI910" s="26"/>
      <c r="AJ910" s="26"/>
      <c r="AK910" s="26"/>
      <c r="AL910" s="26"/>
      <c r="AM910" s="26"/>
      <c r="AN910" s="26"/>
      <c r="AO910" s="26"/>
    </row>
    <row r="911" ht="14.25" customHeight="1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  <c r="AA911" s="26"/>
      <c r="AB911" s="26"/>
      <c r="AC911" s="26"/>
      <c r="AD911" s="26"/>
      <c r="AE911" s="26"/>
      <c r="AF911" s="26"/>
      <c r="AG911" s="26"/>
      <c r="AH911" s="26"/>
      <c r="AI911" s="26"/>
      <c r="AJ911" s="26"/>
      <c r="AK911" s="26"/>
      <c r="AL911" s="26"/>
      <c r="AM911" s="26"/>
      <c r="AN911" s="26"/>
      <c r="AO911" s="26"/>
    </row>
    <row r="912" ht="14.25" customHeight="1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  <c r="AA912" s="26"/>
      <c r="AB912" s="26"/>
      <c r="AC912" s="26"/>
      <c r="AD912" s="26"/>
      <c r="AE912" s="26"/>
      <c r="AF912" s="26"/>
      <c r="AG912" s="26"/>
      <c r="AH912" s="26"/>
      <c r="AI912" s="26"/>
      <c r="AJ912" s="26"/>
      <c r="AK912" s="26"/>
      <c r="AL912" s="26"/>
      <c r="AM912" s="26"/>
      <c r="AN912" s="26"/>
      <c r="AO912" s="26"/>
    </row>
    <row r="913" ht="14.25" customHeight="1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  <c r="AA913" s="26"/>
      <c r="AB913" s="26"/>
      <c r="AC913" s="26"/>
      <c r="AD913" s="26"/>
      <c r="AE913" s="26"/>
      <c r="AF913" s="26"/>
      <c r="AG913" s="26"/>
      <c r="AH913" s="26"/>
      <c r="AI913" s="26"/>
      <c r="AJ913" s="26"/>
      <c r="AK913" s="26"/>
      <c r="AL913" s="26"/>
      <c r="AM913" s="26"/>
      <c r="AN913" s="26"/>
      <c r="AO913" s="26"/>
    </row>
    <row r="914" ht="14.25" customHeight="1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  <c r="AA914" s="26"/>
      <c r="AB914" s="26"/>
      <c r="AC914" s="26"/>
      <c r="AD914" s="26"/>
      <c r="AE914" s="26"/>
      <c r="AF914" s="26"/>
      <c r="AG914" s="26"/>
      <c r="AH914" s="26"/>
      <c r="AI914" s="26"/>
      <c r="AJ914" s="26"/>
      <c r="AK914" s="26"/>
      <c r="AL914" s="26"/>
      <c r="AM914" s="26"/>
      <c r="AN914" s="26"/>
      <c r="AO914" s="26"/>
    </row>
    <row r="915" ht="14.25" customHeight="1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  <c r="AA915" s="26"/>
      <c r="AB915" s="26"/>
      <c r="AC915" s="26"/>
      <c r="AD915" s="26"/>
      <c r="AE915" s="26"/>
      <c r="AF915" s="26"/>
      <c r="AG915" s="26"/>
      <c r="AH915" s="26"/>
      <c r="AI915" s="26"/>
      <c r="AJ915" s="26"/>
      <c r="AK915" s="26"/>
      <c r="AL915" s="26"/>
      <c r="AM915" s="26"/>
      <c r="AN915" s="26"/>
      <c r="AO915" s="26"/>
    </row>
    <row r="916" ht="14.25" customHeight="1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  <c r="AA916" s="26"/>
      <c r="AB916" s="26"/>
      <c r="AC916" s="26"/>
      <c r="AD916" s="26"/>
      <c r="AE916" s="26"/>
      <c r="AF916" s="26"/>
      <c r="AG916" s="26"/>
      <c r="AH916" s="26"/>
      <c r="AI916" s="26"/>
      <c r="AJ916" s="26"/>
      <c r="AK916" s="26"/>
      <c r="AL916" s="26"/>
      <c r="AM916" s="26"/>
      <c r="AN916" s="26"/>
      <c r="AO916" s="26"/>
    </row>
    <row r="917" ht="14.25" customHeight="1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  <c r="AA917" s="26"/>
      <c r="AB917" s="26"/>
      <c r="AC917" s="26"/>
      <c r="AD917" s="26"/>
      <c r="AE917" s="26"/>
      <c r="AF917" s="26"/>
      <c r="AG917" s="26"/>
      <c r="AH917" s="26"/>
      <c r="AI917" s="26"/>
      <c r="AJ917" s="26"/>
      <c r="AK917" s="26"/>
      <c r="AL917" s="26"/>
      <c r="AM917" s="26"/>
      <c r="AN917" s="26"/>
      <c r="AO917" s="26"/>
    </row>
    <row r="918" ht="14.25" customHeight="1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  <c r="AA918" s="26"/>
      <c r="AB918" s="26"/>
      <c r="AC918" s="26"/>
      <c r="AD918" s="26"/>
      <c r="AE918" s="26"/>
      <c r="AF918" s="26"/>
      <c r="AG918" s="26"/>
      <c r="AH918" s="26"/>
      <c r="AI918" s="26"/>
      <c r="AJ918" s="26"/>
      <c r="AK918" s="26"/>
      <c r="AL918" s="26"/>
      <c r="AM918" s="26"/>
      <c r="AN918" s="26"/>
      <c r="AO918" s="26"/>
    </row>
    <row r="919" ht="14.25" customHeight="1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  <c r="AA919" s="26"/>
      <c r="AB919" s="26"/>
      <c r="AC919" s="26"/>
      <c r="AD919" s="26"/>
      <c r="AE919" s="26"/>
      <c r="AF919" s="26"/>
      <c r="AG919" s="26"/>
      <c r="AH919" s="26"/>
      <c r="AI919" s="26"/>
      <c r="AJ919" s="26"/>
      <c r="AK919" s="26"/>
      <c r="AL919" s="26"/>
      <c r="AM919" s="26"/>
      <c r="AN919" s="26"/>
      <c r="AO919" s="26"/>
    </row>
    <row r="920" ht="14.25" customHeight="1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  <c r="AA920" s="26"/>
      <c r="AB920" s="26"/>
      <c r="AC920" s="26"/>
      <c r="AD920" s="26"/>
      <c r="AE920" s="26"/>
      <c r="AF920" s="26"/>
      <c r="AG920" s="26"/>
      <c r="AH920" s="26"/>
      <c r="AI920" s="26"/>
      <c r="AJ920" s="26"/>
      <c r="AK920" s="26"/>
      <c r="AL920" s="26"/>
      <c r="AM920" s="26"/>
      <c r="AN920" s="26"/>
      <c r="AO920" s="26"/>
    </row>
    <row r="921" ht="14.25" customHeight="1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  <c r="AA921" s="26"/>
      <c r="AB921" s="26"/>
      <c r="AC921" s="26"/>
      <c r="AD921" s="26"/>
      <c r="AE921" s="26"/>
      <c r="AF921" s="26"/>
      <c r="AG921" s="26"/>
      <c r="AH921" s="26"/>
      <c r="AI921" s="26"/>
      <c r="AJ921" s="26"/>
      <c r="AK921" s="26"/>
      <c r="AL921" s="26"/>
      <c r="AM921" s="26"/>
      <c r="AN921" s="26"/>
      <c r="AO921" s="26"/>
    </row>
    <row r="922" ht="14.25" customHeight="1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  <c r="AA922" s="26"/>
      <c r="AB922" s="26"/>
      <c r="AC922" s="26"/>
      <c r="AD922" s="26"/>
      <c r="AE922" s="26"/>
      <c r="AF922" s="26"/>
      <c r="AG922" s="26"/>
      <c r="AH922" s="26"/>
      <c r="AI922" s="26"/>
      <c r="AJ922" s="26"/>
      <c r="AK922" s="26"/>
      <c r="AL922" s="26"/>
      <c r="AM922" s="26"/>
      <c r="AN922" s="26"/>
      <c r="AO922" s="26"/>
    </row>
    <row r="923" ht="14.25" customHeight="1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  <c r="AA923" s="26"/>
      <c r="AB923" s="26"/>
      <c r="AC923" s="26"/>
      <c r="AD923" s="26"/>
      <c r="AE923" s="26"/>
      <c r="AF923" s="26"/>
      <c r="AG923" s="26"/>
      <c r="AH923" s="26"/>
      <c r="AI923" s="26"/>
      <c r="AJ923" s="26"/>
      <c r="AK923" s="26"/>
      <c r="AL923" s="26"/>
      <c r="AM923" s="26"/>
      <c r="AN923" s="26"/>
      <c r="AO923" s="26"/>
    </row>
    <row r="924" ht="14.25" customHeight="1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  <c r="AA924" s="26"/>
      <c r="AB924" s="26"/>
      <c r="AC924" s="26"/>
      <c r="AD924" s="26"/>
      <c r="AE924" s="26"/>
      <c r="AF924" s="26"/>
      <c r="AG924" s="26"/>
      <c r="AH924" s="26"/>
      <c r="AI924" s="26"/>
      <c r="AJ924" s="26"/>
      <c r="AK924" s="26"/>
      <c r="AL924" s="26"/>
      <c r="AM924" s="26"/>
      <c r="AN924" s="26"/>
      <c r="AO924" s="26"/>
    </row>
    <row r="925" ht="14.25" customHeight="1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  <c r="AA925" s="26"/>
      <c r="AB925" s="26"/>
      <c r="AC925" s="26"/>
      <c r="AD925" s="26"/>
      <c r="AE925" s="26"/>
      <c r="AF925" s="26"/>
      <c r="AG925" s="26"/>
      <c r="AH925" s="26"/>
      <c r="AI925" s="26"/>
      <c r="AJ925" s="26"/>
      <c r="AK925" s="26"/>
      <c r="AL925" s="26"/>
      <c r="AM925" s="26"/>
      <c r="AN925" s="26"/>
      <c r="AO925" s="26"/>
    </row>
    <row r="926" ht="14.25" customHeight="1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  <c r="AA926" s="26"/>
      <c r="AB926" s="26"/>
      <c r="AC926" s="26"/>
      <c r="AD926" s="26"/>
      <c r="AE926" s="26"/>
      <c r="AF926" s="26"/>
      <c r="AG926" s="26"/>
      <c r="AH926" s="26"/>
      <c r="AI926" s="26"/>
      <c r="AJ926" s="26"/>
      <c r="AK926" s="26"/>
      <c r="AL926" s="26"/>
      <c r="AM926" s="26"/>
      <c r="AN926" s="26"/>
      <c r="AO926" s="26"/>
    </row>
    <row r="927" ht="14.25" customHeight="1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  <c r="AA927" s="26"/>
      <c r="AB927" s="26"/>
      <c r="AC927" s="26"/>
      <c r="AD927" s="26"/>
      <c r="AE927" s="26"/>
      <c r="AF927" s="26"/>
      <c r="AG927" s="26"/>
      <c r="AH927" s="26"/>
      <c r="AI927" s="26"/>
      <c r="AJ927" s="26"/>
      <c r="AK927" s="26"/>
      <c r="AL927" s="26"/>
      <c r="AM927" s="26"/>
      <c r="AN927" s="26"/>
      <c r="AO927" s="26"/>
    </row>
    <row r="928" ht="14.25" customHeight="1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  <c r="AA928" s="26"/>
      <c r="AB928" s="26"/>
      <c r="AC928" s="26"/>
      <c r="AD928" s="26"/>
      <c r="AE928" s="26"/>
      <c r="AF928" s="26"/>
      <c r="AG928" s="26"/>
      <c r="AH928" s="26"/>
      <c r="AI928" s="26"/>
      <c r="AJ928" s="26"/>
      <c r="AK928" s="26"/>
      <c r="AL928" s="26"/>
      <c r="AM928" s="26"/>
      <c r="AN928" s="26"/>
      <c r="AO928" s="26"/>
    </row>
    <row r="929" ht="14.25" customHeight="1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  <c r="AA929" s="26"/>
      <c r="AB929" s="26"/>
      <c r="AC929" s="26"/>
      <c r="AD929" s="26"/>
      <c r="AE929" s="26"/>
      <c r="AF929" s="26"/>
      <c r="AG929" s="26"/>
      <c r="AH929" s="26"/>
      <c r="AI929" s="26"/>
      <c r="AJ929" s="26"/>
      <c r="AK929" s="26"/>
      <c r="AL929" s="26"/>
      <c r="AM929" s="26"/>
      <c r="AN929" s="26"/>
      <c r="AO929" s="26"/>
    </row>
    <row r="930" ht="14.25" customHeight="1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  <c r="AA930" s="26"/>
      <c r="AB930" s="26"/>
      <c r="AC930" s="26"/>
      <c r="AD930" s="26"/>
      <c r="AE930" s="26"/>
      <c r="AF930" s="26"/>
      <c r="AG930" s="26"/>
      <c r="AH930" s="26"/>
      <c r="AI930" s="26"/>
      <c r="AJ930" s="26"/>
      <c r="AK930" s="26"/>
      <c r="AL930" s="26"/>
      <c r="AM930" s="26"/>
      <c r="AN930" s="26"/>
      <c r="AO930" s="26"/>
    </row>
    <row r="931" ht="14.25" customHeight="1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  <c r="AA931" s="26"/>
      <c r="AB931" s="26"/>
      <c r="AC931" s="26"/>
      <c r="AD931" s="26"/>
      <c r="AE931" s="26"/>
      <c r="AF931" s="26"/>
      <c r="AG931" s="26"/>
      <c r="AH931" s="26"/>
      <c r="AI931" s="26"/>
      <c r="AJ931" s="26"/>
      <c r="AK931" s="26"/>
      <c r="AL931" s="26"/>
      <c r="AM931" s="26"/>
      <c r="AN931" s="26"/>
      <c r="AO931" s="26"/>
    </row>
    <row r="932" ht="14.25" customHeight="1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  <c r="AA932" s="26"/>
      <c r="AB932" s="26"/>
      <c r="AC932" s="26"/>
      <c r="AD932" s="26"/>
      <c r="AE932" s="26"/>
      <c r="AF932" s="26"/>
      <c r="AG932" s="26"/>
      <c r="AH932" s="26"/>
      <c r="AI932" s="26"/>
      <c r="AJ932" s="26"/>
      <c r="AK932" s="26"/>
      <c r="AL932" s="26"/>
      <c r="AM932" s="26"/>
      <c r="AN932" s="26"/>
      <c r="AO932" s="26"/>
    </row>
    <row r="933" ht="14.25" customHeight="1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  <c r="AA933" s="26"/>
      <c r="AB933" s="26"/>
      <c r="AC933" s="26"/>
      <c r="AD933" s="26"/>
      <c r="AE933" s="26"/>
      <c r="AF933" s="26"/>
      <c r="AG933" s="26"/>
      <c r="AH933" s="26"/>
      <c r="AI933" s="26"/>
      <c r="AJ933" s="26"/>
      <c r="AK933" s="26"/>
      <c r="AL933" s="26"/>
      <c r="AM933" s="26"/>
      <c r="AN933" s="26"/>
      <c r="AO933" s="26"/>
    </row>
    <row r="934" ht="14.25" customHeight="1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  <c r="AA934" s="26"/>
      <c r="AB934" s="26"/>
      <c r="AC934" s="26"/>
      <c r="AD934" s="26"/>
      <c r="AE934" s="26"/>
      <c r="AF934" s="26"/>
      <c r="AG934" s="26"/>
      <c r="AH934" s="26"/>
      <c r="AI934" s="26"/>
      <c r="AJ934" s="26"/>
      <c r="AK934" s="26"/>
      <c r="AL934" s="26"/>
      <c r="AM934" s="26"/>
      <c r="AN934" s="26"/>
      <c r="AO934" s="26"/>
    </row>
    <row r="935" ht="14.25" customHeight="1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  <c r="AA935" s="26"/>
      <c r="AB935" s="26"/>
      <c r="AC935" s="26"/>
      <c r="AD935" s="26"/>
      <c r="AE935" s="26"/>
      <c r="AF935" s="26"/>
      <c r="AG935" s="26"/>
      <c r="AH935" s="26"/>
      <c r="AI935" s="26"/>
      <c r="AJ935" s="26"/>
      <c r="AK935" s="26"/>
      <c r="AL935" s="26"/>
      <c r="AM935" s="26"/>
      <c r="AN935" s="26"/>
      <c r="AO935" s="26"/>
    </row>
    <row r="936" ht="14.25" customHeight="1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  <c r="AA936" s="26"/>
      <c r="AB936" s="26"/>
      <c r="AC936" s="26"/>
      <c r="AD936" s="26"/>
      <c r="AE936" s="26"/>
      <c r="AF936" s="26"/>
      <c r="AG936" s="26"/>
      <c r="AH936" s="26"/>
      <c r="AI936" s="26"/>
      <c r="AJ936" s="26"/>
      <c r="AK936" s="26"/>
      <c r="AL936" s="26"/>
      <c r="AM936" s="26"/>
      <c r="AN936" s="26"/>
      <c r="AO936" s="26"/>
    </row>
    <row r="937" ht="14.25" customHeight="1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  <c r="AA937" s="26"/>
      <c r="AB937" s="26"/>
      <c r="AC937" s="26"/>
      <c r="AD937" s="26"/>
      <c r="AE937" s="26"/>
      <c r="AF937" s="26"/>
      <c r="AG937" s="26"/>
      <c r="AH937" s="26"/>
      <c r="AI937" s="26"/>
      <c r="AJ937" s="26"/>
      <c r="AK937" s="26"/>
      <c r="AL937" s="26"/>
      <c r="AM937" s="26"/>
      <c r="AN937" s="26"/>
      <c r="AO937" s="26"/>
    </row>
    <row r="938" ht="14.25" customHeight="1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  <c r="AA938" s="26"/>
      <c r="AB938" s="26"/>
      <c r="AC938" s="26"/>
      <c r="AD938" s="26"/>
      <c r="AE938" s="26"/>
      <c r="AF938" s="26"/>
      <c r="AG938" s="26"/>
      <c r="AH938" s="26"/>
      <c r="AI938" s="26"/>
      <c r="AJ938" s="26"/>
      <c r="AK938" s="26"/>
      <c r="AL938" s="26"/>
      <c r="AM938" s="26"/>
      <c r="AN938" s="26"/>
      <c r="AO938" s="26"/>
    </row>
    <row r="939" ht="14.25" customHeight="1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  <c r="AA939" s="26"/>
      <c r="AB939" s="26"/>
      <c r="AC939" s="26"/>
      <c r="AD939" s="26"/>
      <c r="AE939" s="26"/>
      <c r="AF939" s="26"/>
      <c r="AG939" s="26"/>
      <c r="AH939" s="26"/>
      <c r="AI939" s="26"/>
      <c r="AJ939" s="26"/>
      <c r="AK939" s="26"/>
      <c r="AL939" s="26"/>
      <c r="AM939" s="26"/>
      <c r="AN939" s="26"/>
      <c r="AO939" s="26"/>
    </row>
    <row r="940" ht="14.25" customHeight="1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  <c r="AA940" s="26"/>
      <c r="AB940" s="26"/>
      <c r="AC940" s="26"/>
      <c r="AD940" s="26"/>
      <c r="AE940" s="26"/>
      <c r="AF940" s="26"/>
      <c r="AG940" s="26"/>
      <c r="AH940" s="26"/>
      <c r="AI940" s="26"/>
      <c r="AJ940" s="26"/>
      <c r="AK940" s="26"/>
      <c r="AL940" s="26"/>
      <c r="AM940" s="26"/>
      <c r="AN940" s="26"/>
      <c r="AO940" s="26"/>
    </row>
    <row r="941" ht="14.25" customHeight="1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  <c r="AA941" s="26"/>
      <c r="AB941" s="26"/>
      <c r="AC941" s="26"/>
      <c r="AD941" s="26"/>
      <c r="AE941" s="26"/>
      <c r="AF941" s="26"/>
      <c r="AG941" s="26"/>
      <c r="AH941" s="26"/>
      <c r="AI941" s="26"/>
      <c r="AJ941" s="26"/>
      <c r="AK941" s="26"/>
      <c r="AL941" s="26"/>
      <c r="AM941" s="26"/>
      <c r="AN941" s="26"/>
      <c r="AO941" s="26"/>
    </row>
    <row r="942" ht="14.25" customHeight="1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  <c r="AA942" s="26"/>
      <c r="AB942" s="26"/>
      <c r="AC942" s="26"/>
      <c r="AD942" s="26"/>
      <c r="AE942" s="26"/>
      <c r="AF942" s="26"/>
      <c r="AG942" s="26"/>
      <c r="AH942" s="26"/>
      <c r="AI942" s="26"/>
      <c r="AJ942" s="26"/>
      <c r="AK942" s="26"/>
      <c r="AL942" s="26"/>
      <c r="AM942" s="26"/>
      <c r="AN942" s="26"/>
      <c r="AO942" s="26"/>
    </row>
    <row r="943" ht="14.25" customHeight="1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  <c r="AA943" s="26"/>
      <c r="AB943" s="26"/>
      <c r="AC943" s="26"/>
      <c r="AD943" s="26"/>
      <c r="AE943" s="26"/>
      <c r="AF943" s="26"/>
      <c r="AG943" s="26"/>
      <c r="AH943" s="26"/>
      <c r="AI943" s="26"/>
      <c r="AJ943" s="26"/>
      <c r="AK943" s="26"/>
      <c r="AL943" s="26"/>
      <c r="AM943" s="26"/>
      <c r="AN943" s="26"/>
      <c r="AO943" s="26"/>
    </row>
    <row r="944" ht="14.25" customHeight="1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  <c r="AA944" s="26"/>
      <c r="AB944" s="26"/>
      <c r="AC944" s="26"/>
      <c r="AD944" s="26"/>
      <c r="AE944" s="26"/>
      <c r="AF944" s="26"/>
      <c r="AG944" s="26"/>
      <c r="AH944" s="26"/>
      <c r="AI944" s="26"/>
      <c r="AJ944" s="26"/>
      <c r="AK944" s="26"/>
      <c r="AL944" s="26"/>
      <c r="AM944" s="26"/>
      <c r="AN944" s="26"/>
      <c r="AO944" s="26"/>
    </row>
    <row r="945" ht="14.25" customHeight="1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  <c r="AA945" s="26"/>
      <c r="AB945" s="26"/>
      <c r="AC945" s="26"/>
      <c r="AD945" s="26"/>
      <c r="AE945" s="26"/>
      <c r="AF945" s="26"/>
      <c r="AG945" s="26"/>
      <c r="AH945" s="26"/>
      <c r="AI945" s="26"/>
      <c r="AJ945" s="26"/>
      <c r="AK945" s="26"/>
      <c r="AL945" s="26"/>
      <c r="AM945" s="26"/>
      <c r="AN945" s="26"/>
      <c r="AO945" s="26"/>
    </row>
    <row r="946" ht="14.25" customHeight="1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  <c r="AA946" s="26"/>
      <c r="AB946" s="26"/>
      <c r="AC946" s="26"/>
      <c r="AD946" s="26"/>
      <c r="AE946" s="26"/>
      <c r="AF946" s="26"/>
      <c r="AG946" s="26"/>
      <c r="AH946" s="26"/>
      <c r="AI946" s="26"/>
      <c r="AJ946" s="26"/>
      <c r="AK946" s="26"/>
      <c r="AL946" s="26"/>
      <c r="AM946" s="26"/>
      <c r="AN946" s="26"/>
      <c r="AO946" s="26"/>
    </row>
    <row r="947" ht="14.25" customHeight="1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  <c r="AA947" s="26"/>
      <c r="AB947" s="26"/>
      <c r="AC947" s="26"/>
      <c r="AD947" s="26"/>
      <c r="AE947" s="26"/>
      <c r="AF947" s="26"/>
      <c r="AG947" s="26"/>
      <c r="AH947" s="26"/>
      <c r="AI947" s="26"/>
      <c r="AJ947" s="26"/>
      <c r="AK947" s="26"/>
      <c r="AL947" s="26"/>
      <c r="AM947" s="26"/>
      <c r="AN947" s="26"/>
      <c r="AO947" s="26"/>
    </row>
    <row r="948" ht="14.25" customHeight="1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  <c r="AA948" s="26"/>
      <c r="AB948" s="26"/>
      <c r="AC948" s="26"/>
      <c r="AD948" s="26"/>
      <c r="AE948" s="26"/>
      <c r="AF948" s="26"/>
      <c r="AG948" s="26"/>
      <c r="AH948" s="26"/>
      <c r="AI948" s="26"/>
      <c r="AJ948" s="26"/>
      <c r="AK948" s="26"/>
      <c r="AL948" s="26"/>
      <c r="AM948" s="26"/>
      <c r="AN948" s="26"/>
      <c r="AO948" s="26"/>
    </row>
    <row r="949" ht="14.25" customHeight="1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  <c r="AA949" s="26"/>
      <c r="AB949" s="26"/>
      <c r="AC949" s="26"/>
      <c r="AD949" s="26"/>
      <c r="AE949" s="26"/>
      <c r="AF949" s="26"/>
      <c r="AG949" s="26"/>
      <c r="AH949" s="26"/>
      <c r="AI949" s="26"/>
      <c r="AJ949" s="26"/>
      <c r="AK949" s="26"/>
      <c r="AL949" s="26"/>
      <c r="AM949" s="26"/>
      <c r="AN949" s="26"/>
      <c r="AO949" s="26"/>
    </row>
    <row r="950" ht="14.25" customHeight="1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  <c r="AA950" s="26"/>
      <c r="AB950" s="26"/>
      <c r="AC950" s="26"/>
      <c r="AD950" s="26"/>
      <c r="AE950" s="26"/>
      <c r="AF950" s="26"/>
      <c r="AG950" s="26"/>
      <c r="AH950" s="26"/>
      <c r="AI950" s="26"/>
      <c r="AJ950" s="26"/>
      <c r="AK950" s="26"/>
      <c r="AL950" s="26"/>
      <c r="AM950" s="26"/>
      <c r="AN950" s="26"/>
      <c r="AO950" s="26"/>
    </row>
    <row r="951" ht="14.25" customHeight="1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  <c r="AA951" s="26"/>
      <c r="AB951" s="26"/>
      <c r="AC951" s="26"/>
      <c r="AD951" s="26"/>
      <c r="AE951" s="26"/>
      <c r="AF951" s="26"/>
      <c r="AG951" s="26"/>
      <c r="AH951" s="26"/>
      <c r="AI951" s="26"/>
      <c r="AJ951" s="26"/>
      <c r="AK951" s="26"/>
      <c r="AL951" s="26"/>
      <c r="AM951" s="26"/>
      <c r="AN951" s="26"/>
      <c r="AO951" s="26"/>
    </row>
    <row r="952" ht="14.25" customHeight="1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  <c r="AA952" s="26"/>
      <c r="AB952" s="26"/>
      <c r="AC952" s="26"/>
      <c r="AD952" s="26"/>
      <c r="AE952" s="26"/>
      <c r="AF952" s="26"/>
      <c r="AG952" s="26"/>
      <c r="AH952" s="26"/>
      <c r="AI952" s="26"/>
      <c r="AJ952" s="26"/>
      <c r="AK952" s="26"/>
      <c r="AL952" s="26"/>
      <c r="AM952" s="26"/>
      <c r="AN952" s="26"/>
      <c r="AO952" s="26"/>
    </row>
    <row r="953" ht="14.25" customHeight="1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  <c r="AA953" s="26"/>
      <c r="AB953" s="26"/>
      <c r="AC953" s="26"/>
      <c r="AD953" s="26"/>
      <c r="AE953" s="26"/>
      <c r="AF953" s="26"/>
      <c r="AG953" s="26"/>
      <c r="AH953" s="26"/>
      <c r="AI953" s="26"/>
      <c r="AJ953" s="26"/>
      <c r="AK953" s="26"/>
      <c r="AL953" s="26"/>
      <c r="AM953" s="26"/>
      <c r="AN953" s="26"/>
      <c r="AO953" s="26"/>
    </row>
    <row r="954" ht="14.25" customHeight="1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  <c r="AA954" s="26"/>
      <c r="AB954" s="26"/>
      <c r="AC954" s="26"/>
      <c r="AD954" s="26"/>
      <c r="AE954" s="26"/>
      <c r="AF954" s="26"/>
      <c r="AG954" s="26"/>
      <c r="AH954" s="26"/>
      <c r="AI954" s="26"/>
      <c r="AJ954" s="26"/>
      <c r="AK954" s="26"/>
      <c r="AL954" s="26"/>
      <c r="AM954" s="26"/>
      <c r="AN954" s="26"/>
      <c r="AO954" s="26"/>
    </row>
    <row r="955" ht="14.25" customHeight="1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  <c r="AA955" s="26"/>
      <c r="AB955" s="26"/>
      <c r="AC955" s="26"/>
      <c r="AD955" s="26"/>
      <c r="AE955" s="26"/>
      <c r="AF955" s="26"/>
      <c r="AG955" s="26"/>
      <c r="AH955" s="26"/>
      <c r="AI955" s="26"/>
      <c r="AJ955" s="26"/>
      <c r="AK955" s="26"/>
      <c r="AL955" s="26"/>
      <c r="AM955" s="26"/>
      <c r="AN955" s="26"/>
      <c r="AO955" s="26"/>
    </row>
    <row r="956" ht="14.25" customHeight="1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  <c r="AA956" s="26"/>
      <c r="AB956" s="26"/>
      <c r="AC956" s="26"/>
      <c r="AD956" s="26"/>
      <c r="AE956" s="26"/>
      <c r="AF956" s="26"/>
      <c r="AG956" s="26"/>
      <c r="AH956" s="26"/>
      <c r="AI956" s="26"/>
      <c r="AJ956" s="26"/>
      <c r="AK956" s="26"/>
      <c r="AL956" s="26"/>
      <c r="AM956" s="26"/>
      <c r="AN956" s="26"/>
      <c r="AO956" s="26"/>
    </row>
    <row r="957" ht="14.25" customHeight="1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  <c r="AA957" s="26"/>
      <c r="AB957" s="26"/>
      <c r="AC957" s="26"/>
      <c r="AD957" s="26"/>
      <c r="AE957" s="26"/>
      <c r="AF957" s="26"/>
      <c r="AG957" s="26"/>
      <c r="AH957" s="26"/>
      <c r="AI957" s="26"/>
      <c r="AJ957" s="26"/>
      <c r="AK957" s="26"/>
      <c r="AL957" s="26"/>
      <c r="AM957" s="26"/>
      <c r="AN957" s="26"/>
      <c r="AO957" s="26"/>
    </row>
    <row r="958" ht="14.25" customHeight="1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  <c r="AA958" s="26"/>
      <c r="AB958" s="26"/>
      <c r="AC958" s="26"/>
      <c r="AD958" s="26"/>
      <c r="AE958" s="26"/>
      <c r="AF958" s="26"/>
      <c r="AG958" s="26"/>
      <c r="AH958" s="26"/>
      <c r="AI958" s="26"/>
      <c r="AJ958" s="26"/>
      <c r="AK958" s="26"/>
      <c r="AL958" s="26"/>
      <c r="AM958" s="26"/>
      <c r="AN958" s="26"/>
      <c r="AO958" s="26"/>
    </row>
    <row r="959" ht="14.25" customHeight="1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  <c r="AA959" s="26"/>
      <c r="AB959" s="26"/>
      <c r="AC959" s="26"/>
      <c r="AD959" s="26"/>
      <c r="AE959" s="26"/>
      <c r="AF959" s="26"/>
      <c r="AG959" s="26"/>
      <c r="AH959" s="26"/>
      <c r="AI959" s="26"/>
      <c r="AJ959" s="26"/>
      <c r="AK959" s="26"/>
      <c r="AL959" s="26"/>
      <c r="AM959" s="26"/>
      <c r="AN959" s="26"/>
      <c r="AO959" s="26"/>
    </row>
    <row r="960" ht="14.25" customHeight="1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  <c r="AA960" s="26"/>
      <c r="AB960" s="26"/>
      <c r="AC960" s="26"/>
      <c r="AD960" s="26"/>
      <c r="AE960" s="26"/>
      <c r="AF960" s="26"/>
      <c r="AG960" s="26"/>
      <c r="AH960" s="26"/>
      <c r="AI960" s="26"/>
      <c r="AJ960" s="26"/>
      <c r="AK960" s="26"/>
      <c r="AL960" s="26"/>
      <c r="AM960" s="26"/>
      <c r="AN960" s="26"/>
      <c r="AO960" s="26"/>
    </row>
    <row r="961" ht="14.25" customHeight="1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  <c r="AA961" s="26"/>
      <c r="AB961" s="26"/>
      <c r="AC961" s="26"/>
      <c r="AD961" s="26"/>
      <c r="AE961" s="26"/>
      <c r="AF961" s="26"/>
      <c r="AG961" s="26"/>
      <c r="AH961" s="26"/>
      <c r="AI961" s="26"/>
      <c r="AJ961" s="26"/>
      <c r="AK961" s="26"/>
      <c r="AL961" s="26"/>
      <c r="AM961" s="26"/>
      <c r="AN961" s="26"/>
      <c r="AO961" s="26"/>
    </row>
    <row r="962" ht="14.25" customHeight="1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  <c r="AA962" s="26"/>
      <c r="AB962" s="26"/>
      <c r="AC962" s="26"/>
      <c r="AD962" s="26"/>
      <c r="AE962" s="26"/>
      <c r="AF962" s="26"/>
      <c r="AG962" s="26"/>
      <c r="AH962" s="26"/>
      <c r="AI962" s="26"/>
      <c r="AJ962" s="26"/>
      <c r="AK962" s="26"/>
      <c r="AL962" s="26"/>
      <c r="AM962" s="26"/>
      <c r="AN962" s="26"/>
      <c r="AO962" s="26"/>
    </row>
    <row r="963" ht="14.25" customHeight="1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  <c r="AA963" s="26"/>
      <c r="AB963" s="26"/>
      <c r="AC963" s="26"/>
      <c r="AD963" s="26"/>
      <c r="AE963" s="26"/>
      <c r="AF963" s="26"/>
      <c r="AG963" s="26"/>
      <c r="AH963" s="26"/>
      <c r="AI963" s="26"/>
      <c r="AJ963" s="26"/>
      <c r="AK963" s="26"/>
      <c r="AL963" s="26"/>
      <c r="AM963" s="26"/>
      <c r="AN963" s="26"/>
      <c r="AO963" s="26"/>
    </row>
    <row r="964" ht="14.25" customHeight="1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  <c r="AA964" s="26"/>
      <c r="AB964" s="26"/>
      <c r="AC964" s="26"/>
      <c r="AD964" s="26"/>
      <c r="AE964" s="26"/>
      <c r="AF964" s="26"/>
      <c r="AG964" s="26"/>
      <c r="AH964" s="26"/>
      <c r="AI964" s="26"/>
      <c r="AJ964" s="26"/>
      <c r="AK964" s="26"/>
      <c r="AL964" s="26"/>
      <c r="AM964" s="26"/>
      <c r="AN964" s="26"/>
      <c r="AO964" s="26"/>
    </row>
    <row r="965" ht="14.25" customHeight="1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  <c r="AA965" s="26"/>
      <c r="AB965" s="26"/>
      <c r="AC965" s="26"/>
      <c r="AD965" s="26"/>
      <c r="AE965" s="26"/>
      <c r="AF965" s="26"/>
      <c r="AG965" s="26"/>
      <c r="AH965" s="26"/>
      <c r="AI965" s="26"/>
      <c r="AJ965" s="26"/>
      <c r="AK965" s="26"/>
      <c r="AL965" s="26"/>
      <c r="AM965" s="26"/>
      <c r="AN965" s="26"/>
      <c r="AO965" s="26"/>
    </row>
    <row r="966" ht="14.25" customHeight="1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  <c r="AA966" s="26"/>
      <c r="AB966" s="26"/>
      <c r="AC966" s="26"/>
      <c r="AD966" s="26"/>
      <c r="AE966" s="26"/>
      <c r="AF966" s="26"/>
      <c r="AG966" s="26"/>
      <c r="AH966" s="26"/>
      <c r="AI966" s="26"/>
      <c r="AJ966" s="26"/>
      <c r="AK966" s="26"/>
      <c r="AL966" s="26"/>
      <c r="AM966" s="26"/>
      <c r="AN966" s="26"/>
      <c r="AO966" s="26"/>
    </row>
    <row r="967" ht="14.25" customHeight="1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  <c r="AA967" s="26"/>
      <c r="AB967" s="26"/>
      <c r="AC967" s="26"/>
      <c r="AD967" s="26"/>
      <c r="AE967" s="26"/>
      <c r="AF967" s="26"/>
      <c r="AG967" s="26"/>
      <c r="AH967" s="26"/>
      <c r="AI967" s="26"/>
      <c r="AJ967" s="26"/>
      <c r="AK967" s="26"/>
      <c r="AL967" s="26"/>
      <c r="AM967" s="26"/>
      <c r="AN967" s="26"/>
      <c r="AO967" s="26"/>
    </row>
    <row r="968" ht="14.25" customHeight="1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  <c r="AA968" s="26"/>
      <c r="AB968" s="26"/>
      <c r="AC968" s="26"/>
      <c r="AD968" s="26"/>
      <c r="AE968" s="26"/>
      <c r="AF968" s="26"/>
      <c r="AG968" s="26"/>
      <c r="AH968" s="26"/>
      <c r="AI968" s="26"/>
      <c r="AJ968" s="26"/>
      <c r="AK968" s="26"/>
      <c r="AL968" s="26"/>
      <c r="AM968" s="26"/>
      <c r="AN968" s="26"/>
      <c r="AO968" s="26"/>
    </row>
    <row r="969" ht="14.25" customHeight="1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  <c r="AA969" s="26"/>
      <c r="AB969" s="26"/>
      <c r="AC969" s="26"/>
      <c r="AD969" s="26"/>
      <c r="AE969" s="26"/>
      <c r="AF969" s="26"/>
      <c r="AG969" s="26"/>
      <c r="AH969" s="26"/>
      <c r="AI969" s="26"/>
      <c r="AJ969" s="26"/>
      <c r="AK969" s="26"/>
      <c r="AL969" s="26"/>
      <c r="AM969" s="26"/>
      <c r="AN969" s="26"/>
      <c r="AO969" s="26"/>
    </row>
    <row r="970" ht="14.25" customHeight="1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  <c r="AA970" s="26"/>
      <c r="AB970" s="26"/>
      <c r="AC970" s="26"/>
      <c r="AD970" s="26"/>
      <c r="AE970" s="26"/>
      <c r="AF970" s="26"/>
      <c r="AG970" s="26"/>
      <c r="AH970" s="26"/>
      <c r="AI970" s="26"/>
      <c r="AJ970" s="26"/>
      <c r="AK970" s="26"/>
      <c r="AL970" s="26"/>
      <c r="AM970" s="26"/>
      <c r="AN970" s="26"/>
      <c r="AO970" s="26"/>
    </row>
    <row r="971" ht="14.25" customHeight="1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  <c r="AA971" s="26"/>
      <c r="AB971" s="26"/>
      <c r="AC971" s="26"/>
      <c r="AD971" s="26"/>
      <c r="AE971" s="26"/>
      <c r="AF971" s="26"/>
      <c r="AG971" s="26"/>
      <c r="AH971" s="26"/>
      <c r="AI971" s="26"/>
      <c r="AJ971" s="26"/>
      <c r="AK971" s="26"/>
      <c r="AL971" s="26"/>
      <c r="AM971" s="26"/>
      <c r="AN971" s="26"/>
      <c r="AO971" s="26"/>
    </row>
    <row r="972" ht="14.25" customHeight="1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  <c r="AA972" s="26"/>
      <c r="AB972" s="26"/>
      <c r="AC972" s="26"/>
      <c r="AD972" s="26"/>
      <c r="AE972" s="26"/>
      <c r="AF972" s="26"/>
      <c r="AG972" s="26"/>
      <c r="AH972" s="26"/>
      <c r="AI972" s="26"/>
      <c r="AJ972" s="26"/>
      <c r="AK972" s="26"/>
      <c r="AL972" s="26"/>
      <c r="AM972" s="26"/>
      <c r="AN972" s="26"/>
      <c r="AO972" s="26"/>
    </row>
    <row r="973" ht="14.25" customHeight="1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  <c r="AA973" s="26"/>
      <c r="AB973" s="26"/>
      <c r="AC973" s="26"/>
      <c r="AD973" s="26"/>
      <c r="AE973" s="26"/>
      <c r="AF973" s="26"/>
      <c r="AG973" s="26"/>
      <c r="AH973" s="26"/>
      <c r="AI973" s="26"/>
      <c r="AJ973" s="26"/>
      <c r="AK973" s="26"/>
      <c r="AL973" s="26"/>
      <c r="AM973" s="26"/>
      <c r="AN973" s="26"/>
      <c r="AO973" s="26"/>
    </row>
    <row r="974" ht="14.25" customHeight="1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  <c r="AA974" s="26"/>
      <c r="AB974" s="26"/>
      <c r="AC974" s="26"/>
      <c r="AD974" s="26"/>
      <c r="AE974" s="26"/>
      <c r="AF974" s="26"/>
      <c r="AG974" s="26"/>
      <c r="AH974" s="26"/>
      <c r="AI974" s="26"/>
      <c r="AJ974" s="26"/>
      <c r="AK974" s="26"/>
      <c r="AL974" s="26"/>
      <c r="AM974" s="26"/>
      <c r="AN974" s="26"/>
      <c r="AO974" s="26"/>
    </row>
    <row r="975" ht="14.25" customHeight="1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  <c r="AA975" s="26"/>
      <c r="AB975" s="26"/>
      <c r="AC975" s="26"/>
      <c r="AD975" s="26"/>
      <c r="AE975" s="26"/>
      <c r="AF975" s="26"/>
      <c r="AG975" s="26"/>
      <c r="AH975" s="26"/>
      <c r="AI975" s="26"/>
      <c r="AJ975" s="26"/>
      <c r="AK975" s="26"/>
      <c r="AL975" s="26"/>
      <c r="AM975" s="26"/>
      <c r="AN975" s="26"/>
      <c r="AO975" s="26"/>
    </row>
    <row r="976" ht="14.25" customHeight="1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  <c r="AA976" s="26"/>
      <c r="AB976" s="26"/>
      <c r="AC976" s="26"/>
      <c r="AD976" s="26"/>
      <c r="AE976" s="26"/>
      <c r="AF976" s="26"/>
      <c r="AG976" s="26"/>
      <c r="AH976" s="26"/>
      <c r="AI976" s="26"/>
      <c r="AJ976" s="26"/>
      <c r="AK976" s="26"/>
      <c r="AL976" s="26"/>
      <c r="AM976" s="26"/>
      <c r="AN976" s="26"/>
      <c r="AO976" s="26"/>
    </row>
    <row r="977" ht="14.25" customHeight="1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  <c r="AA977" s="26"/>
      <c r="AB977" s="26"/>
      <c r="AC977" s="26"/>
      <c r="AD977" s="26"/>
      <c r="AE977" s="26"/>
      <c r="AF977" s="26"/>
      <c r="AG977" s="26"/>
      <c r="AH977" s="26"/>
      <c r="AI977" s="26"/>
      <c r="AJ977" s="26"/>
      <c r="AK977" s="26"/>
      <c r="AL977" s="26"/>
      <c r="AM977" s="26"/>
      <c r="AN977" s="26"/>
      <c r="AO977" s="26"/>
    </row>
    <row r="978" ht="14.25" customHeight="1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  <c r="AA978" s="26"/>
      <c r="AB978" s="26"/>
      <c r="AC978" s="26"/>
      <c r="AD978" s="26"/>
      <c r="AE978" s="26"/>
      <c r="AF978" s="26"/>
      <c r="AG978" s="26"/>
      <c r="AH978" s="26"/>
      <c r="AI978" s="26"/>
      <c r="AJ978" s="26"/>
      <c r="AK978" s="26"/>
      <c r="AL978" s="26"/>
      <c r="AM978" s="26"/>
      <c r="AN978" s="26"/>
      <c r="AO978" s="26"/>
    </row>
    <row r="979" ht="14.25" customHeight="1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  <c r="AA979" s="26"/>
      <c r="AB979" s="26"/>
      <c r="AC979" s="26"/>
      <c r="AD979" s="26"/>
      <c r="AE979" s="26"/>
      <c r="AF979" s="26"/>
      <c r="AG979" s="26"/>
      <c r="AH979" s="26"/>
      <c r="AI979" s="26"/>
      <c r="AJ979" s="26"/>
      <c r="AK979" s="26"/>
      <c r="AL979" s="26"/>
      <c r="AM979" s="26"/>
      <c r="AN979" s="26"/>
      <c r="AO979" s="26"/>
    </row>
    <row r="980" ht="14.25" customHeight="1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  <c r="AA980" s="26"/>
      <c r="AB980" s="26"/>
      <c r="AC980" s="26"/>
      <c r="AD980" s="26"/>
      <c r="AE980" s="26"/>
      <c r="AF980" s="26"/>
      <c r="AG980" s="26"/>
      <c r="AH980" s="26"/>
      <c r="AI980" s="26"/>
      <c r="AJ980" s="26"/>
      <c r="AK980" s="26"/>
      <c r="AL980" s="26"/>
      <c r="AM980" s="26"/>
      <c r="AN980" s="26"/>
      <c r="AO980" s="26"/>
    </row>
    <row r="981" ht="14.25" customHeight="1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  <c r="AA981" s="26"/>
      <c r="AB981" s="26"/>
      <c r="AC981" s="26"/>
      <c r="AD981" s="26"/>
      <c r="AE981" s="26"/>
      <c r="AF981" s="26"/>
      <c r="AG981" s="26"/>
      <c r="AH981" s="26"/>
      <c r="AI981" s="26"/>
      <c r="AJ981" s="26"/>
      <c r="AK981" s="26"/>
      <c r="AL981" s="26"/>
      <c r="AM981" s="26"/>
      <c r="AN981" s="26"/>
      <c r="AO981" s="26"/>
    </row>
    <row r="982" ht="14.25" customHeight="1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  <c r="AA982" s="26"/>
      <c r="AB982" s="26"/>
      <c r="AC982" s="26"/>
      <c r="AD982" s="26"/>
      <c r="AE982" s="26"/>
      <c r="AF982" s="26"/>
      <c r="AG982" s="26"/>
      <c r="AH982" s="26"/>
      <c r="AI982" s="26"/>
      <c r="AJ982" s="26"/>
      <c r="AK982" s="26"/>
      <c r="AL982" s="26"/>
      <c r="AM982" s="26"/>
      <c r="AN982" s="26"/>
      <c r="AO982" s="26"/>
    </row>
    <row r="983" ht="14.25" customHeight="1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  <c r="AA983" s="26"/>
      <c r="AB983" s="26"/>
      <c r="AC983" s="26"/>
      <c r="AD983" s="26"/>
      <c r="AE983" s="26"/>
      <c r="AF983" s="26"/>
      <c r="AG983" s="26"/>
      <c r="AH983" s="26"/>
      <c r="AI983" s="26"/>
      <c r="AJ983" s="26"/>
      <c r="AK983" s="26"/>
      <c r="AL983" s="26"/>
      <c r="AM983" s="26"/>
      <c r="AN983" s="26"/>
      <c r="AO983" s="26"/>
    </row>
    <row r="984" ht="14.25" customHeight="1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  <c r="AA984" s="26"/>
      <c r="AB984" s="26"/>
      <c r="AC984" s="26"/>
      <c r="AD984" s="26"/>
      <c r="AE984" s="26"/>
      <c r="AF984" s="26"/>
      <c r="AG984" s="26"/>
      <c r="AH984" s="26"/>
      <c r="AI984" s="26"/>
      <c r="AJ984" s="26"/>
      <c r="AK984" s="26"/>
      <c r="AL984" s="26"/>
      <c r="AM984" s="26"/>
      <c r="AN984" s="26"/>
      <c r="AO984" s="26"/>
    </row>
    <row r="985" ht="14.25" customHeight="1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  <c r="AA985" s="26"/>
      <c r="AB985" s="26"/>
      <c r="AC985" s="26"/>
      <c r="AD985" s="26"/>
      <c r="AE985" s="26"/>
      <c r="AF985" s="26"/>
      <c r="AG985" s="26"/>
      <c r="AH985" s="26"/>
      <c r="AI985" s="26"/>
      <c r="AJ985" s="26"/>
      <c r="AK985" s="26"/>
      <c r="AL985" s="26"/>
      <c r="AM985" s="26"/>
      <c r="AN985" s="26"/>
      <c r="AO985" s="26"/>
    </row>
    <row r="986" ht="14.25" customHeight="1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  <c r="AA986" s="26"/>
      <c r="AB986" s="26"/>
      <c r="AC986" s="26"/>
      <c r="AD986" s="26"/>
      <c r="AE986" s="26"/>
      <c r="AF986" s="26"/>
      <c r="AG986" s="26"/>
      <c r="AH986" s="26"/>
      <c r="AI986" s="26"/>
      <c r="AJ986" s="26"/>
      <c r="AK986" s="26"/>
      <c r="AL986" s="26"/>
      <c r="AM986" s="26"/>
      <c r="AN986" s="26"/>
      <c r="AO986" s="26"/>
    </row>
    <row r="987" ht="14.25" customHeight="1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  <c r="AA987" s="26"/>
      <c r="AB987" s="26"/>
      <c r="AC987" s="26"/>
      <c r="AD987" s="26"/>
      <c r="AE987" s="26"/>
      <c r="AF987" s="26"/>
      <c r="AG987" s="26"/>
      <c r="AH987" s="26"/>
      <c r="AI987" s="26"/>
      <c r="AJ987" s="26"/>
      <c r="AK987" s="26"/>
      <c r="AL987" s="26"/>
      <c r="AM987" s="26"/>
      <c r="AN987" s="26"/>
      <c r="AO987" s="26"/>
    </row>
    <row r="988" ht="14.25" customHeight="1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  <c r="AA988" s="26"/>
      <c r="AB988" s="26"/>
      <c r="AC988" s="26"/>
      <c r="AD988" s="26"/>
      <c r="AE988" s="26"/>
      <c r="AF988" s="26"/>
      <c r="AG988" s="26"/>
      <c r="AH988" s="26"/>
      <c r="AI988" s="26"/>
      <c r="AJ988" s="26"/>
      <c r="AK988" s="26"/>
      <c r="AL988" s="26"/>
      <c r="AM988" s="26"/>
      <c r="AN988" s="26"/>
      <c r="AO988" s="26"/>
    </row>
    <row r="989" ht="14.25" customHeight="1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  <c r="AA989" s="26"/>
      <c r="AB989" s="26"/>
      <c r="AC989" s="26"/>
      <c r="AD989" s="26"/>
      <c r="AE989" s="26"/>
      <c r="AF989" s="26"/>
      <c r="AG989" s="26"/>
      <c r="AH989" s="26"/>
      <c r="AI989" s="26"/>
      <c r="AJ989" s="26"/>
      <c r="AK989" s="26"/>
      <c r="AL989" s="26"/>
      <c r="AM989" s="26"/>
      <c r="AN989" s="26"/>
      <c r="AO989" s="26"/>
    </row>
    <row r="990" ht="14.25" customHeight="1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  <c r="AA990" s="26"/>
      <c r="AB990" s="26"/>
      <c r="AC990" s="26"/>
      <c r="AD990" s="26"/>
      <c r="AE990" s="26"/>
      <c r="AF990" s="26"/>
      <c r="AG990" s="26"/>
      <c r="AH990" s="26"/>
      <c r="AI990" s="26"/>
      <c r="AJ990" s="26"/>
      <c r="AK990" s="26"/>
      <c r="AL990" s="26"/>
      <c r="AM990" s="26"/>
      <c r="AN990" s="26"/>
      <c r="AO990" s="26"/>
    </row>
    <row r="991" ht="14.25" customHeight="1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  <c r="AA991" s="26"/>
      <c r="AB991" s="26"/>
      <c r="AC991" s="26"/>
      <c r="AD991" s="26"/>
      <c r="AE991" s="26"/>
      <c r="AF991" s="26"/>
      <c r="AG991" s="26"/>
      <c r="AH991" s="26"/>
      <c r="AI991" s="26"/>
      <c r="AJ991" s="26"/>
      <c r="AK991" s="26"/>
      <c r="AL991" s="26"/>
      <c r="AM991" s="26"/>
      <c r="AN991" s="26"/>
      <c r="AO991" s="26"/>
    </row>
    <row r="992" ht="14.25" customHeight="1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  <c r="AA992" s="26"/>
      <c r="AB992" s="26"/>
      <c r="AC992" s="26"/>
      <c r="AD992" s="26"/>
      <c r="AE992" s="26"/>
      <c r="AF992" s="26"/>
      <c r="AG992" s="26"/>
      <c r="AH992" s="26"/>
      <c r="AI992" s="26"/>
      <c r="AJ992" s="26"/>
      <c r="AK992" s="26"/>
      <c r="AL992" s="26"/>
      <c r="AM992" s="26"/>
      <c r="AN992" s="26"/>
      <c r="AO992" s="26"/>
    </row>
    <row r="993" ht="14.25" customHeight="1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  <c r="AA993" s="26"/>
      <c r="AB993" s="26"/>
      <c r="AC993" s="26"/>
      <c r="AD993" s="26"/>
      <c r="AE993" s="26"/>
      <c r="AF993" s="26"/>
      <c r="AG993" s="26"/>
      <c r="AH993" s="26"/>
      <c r="AI993" s="26"/>
      <c r="AJ993" s="26"/>
      <c r="AK993" s="26"/>
      <c r="AL993" s="26"/>
      <c r="AM993" s="26"/>
      <c r="AN993" s="26"/>
      <c r="AO993" s="26"/>
    </row>
    <row r="994" ht="14.25" customHeight="1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  <c r="AA994" s="26"/>
      <c r="AB994" s="26"/>
      <c r="AC994" s="26"/>
      <c r="AD994" s="26"/>
      <c r="AE994" s="26"/>
      <c r="AF994" s="26"/>
      <c r="AG994" s="26"/>
      <c r="AH994" s="26"/>
      <c r="AI994" s="26"/>
      <c r="AJ994" s="26"/>
      <c r="AK994" s="26"/>
      <c r="AL994" s="26"/>
      <c r="AM994" s="26"/>
      <c r="AN994" s="26"/>
      <c r="AO994" s="26"/>
    </row>
    <row r="995" ht="14.25" customHeight="1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  <c r="AA995" s="26"/>
      <c r="AB995" s="26"/>
      <c r="AC995" s="26"/>
      <c r="AD995" s="26"/>
      <c r="AE995" s="26"/>
      <c r="AF995" s="26"/>
      <c r="AG995" s="26"/>
      <c r="AH995" s="26"/>
      <c r="AI995" s="26"/>
      <c r="AJ995" s="26"/>
      <c r="AK995" s="26"/>
      <c r="AL995" s="26"/>
      <c r="AM995" s="26"/>
      <c r="AN995" s="26"/>
      <c r="AO995" s="26"/>
    </row>
    <row r="996" ht="14.25" customHeight="1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  <c r="AA996" s="26"/>
      <c r="AB996" s="26"/>
      <c r="AC996" s="26"/>
      <c r="AD996" s="26"/>
      <c r="AE996" s="26"/>
      <c r="AF996" s="26"/>
      <c r="AG996" s="26"/>
      <c r="AH996" s="26"/>
      <c r="AI996" s="26"/>
      <c r="AJ996" s="26"/>
      <c r="AK996" s="26"/>
      <c r="AL996" s="26"/>
      <c r="AM996" s="26"/>
      <c r="AN996" s="26"/>
      <c r="AO996" s="26"/>
    </row>
    <row r="997" ht="14.25" customHeight="1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  <c r="AA997" s="26"/>
      <c r="AB997" s="26"/>
      <c r="AC997" s="26"/>
      <c r="AD997" s="26"/>
      <c r="AE997" s="26"/>
      <c r="AF997" s="26"/>
      <c r="AG997" s="26"/>
      <c r="AH997" s="26"/>
      <c r="AI997" s="26"/>
      <c r="AJ997" s="26"/>
      <c r="AK997" s="26"/>
      <c r="AL997" s="26"/>
      <c r="AM997" s="26"/>
      <c r="AN997" s="26"/>
      <c r="AO997" s="26"/>
    </row>
    <row r="998" ht="14.25" customHeight="1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  <c r="AA998" s="26"/>
      <c r="AB998" s="26"/>
      <c r="AC998" s="26"/>
      <c r="AD998" s="26"/>
      <c r="AE998" s="26"/>
      <c r="AF998" s="26"/>
      <c r="AG998" s="26"/>
      <c r="AH998" s="26"/>
      <c r="AI998" s="26"/>
      <c r="AJ998" s="26"/>
      <c r="AK998" s="26"/>
      <c r="AL998" s="26"/>
      <c r="AM998" s="26"/>
      <c r="AN998" s="26"/>
      <c r="AO998" s="26"/>
    </row>
    <row r="999" ht="14.25" customHeight="1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  <c r="AA999" s="26"/>
      <c r="AB999" s="26"/>
      <c r="AC999" s="26"/>
      <c r="AD999" s="26"/>
      <c r="AE999" s="26"/>
      <c r="AF999" s="26"/>
      <c r="AG999" s="26"/>
      <c r="AH999" s="26"/>
      <c r="AI999" s="26"/>
      <c r="AJ999" s="26"/>
      <c r="AK999" s="26"/>
      <c r="AL999" s="26"/>
      <c r="AM999" s="26"/>
      <c r="AN999" s="26"/>
      <c r="AO999" s="26"/>
    </row>
    <row r="1000" ht="14.25" customHeight="1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  <c r="AA1000" s="26"/>
      <c r="AB1000" s="26"/>
      <c r="AC1000" s="26"/>
      <c r="AD1000" s="26"/>
      <c r="AE1000" s="26"/>
      <c r="AF1000" s="26"/>
      <c r="AG1000" s="26"/>
      <c r="AH1000" s="26"/>
      <c r="AI1000" s="26"/>
      <c r="AJ1000" s="26"/>
      <c r="AK1000" s="26"/>
      <c r="AL1000" s="26"/>
      <c r="AM1000" s="26"/>
      <c r="AN1000" s="26"/>
      <c r="AO1000" s="26"/>
    </row>
  </sheetData>
  <mergeCells count="24">
    <mergeCell ref="A1:A3"/>
    <mergeCell ref="B2:K2"/>
    <mergeCell ref="L2:M2"/>
    <mergeCell ref="N2:N3"/>
    <mergeCell ref="O2:O3"/>
    <mergeCell ref="P2:P3"/>
    <mergeCell ref="Q2:Q3"/>
    <mergeCell ref="S2:Y2"/>
    <mergeCell ref="Z2:Z3"/>
    <mergeCell ref="AA2:AA3"/>
    <mergeCell ref="AB2:AB3"/>
    <mergeCell ref="AC2:AC3"/>
    <mergeCell ref="AD2:AD3"/>
    <mergeCell ref="AE2:AE3"/>
    <mergeCell ref="AM2:AM3"/>
    <mergeCell ref="AN2:AN3"/>
    <mergeCell ref="AO2:AO3"/>
    <mergeCell ref="AF2:AF3"/>
    <mergeCell ref="AG2:AG3"/>
    <mergeCell ref="AH2:AH3"/>
    <mergeCell ref="AI2:AI3"/>
    <mergeCell ref="AJ2:AJ3"/>
    <mergeCell ref="AK2:AK3"/>
    <mergeCell ref="AL2:AL3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20.86"/>
    <col customWidth="1" min="2" max="2" width="19.29"/>
    <col customWidth="1" min="3" max="3" width="18.57"/>
    <col customWidth="1" min="4" max="4" width="33.43"/>
    <col customWidth="1" min="5" max="5" width="31.86"/>
    <col customWidth="1" min="6" max="7" width="11.86"/>
    <col customWidth="1" min="8" max="8" width="17.29"/>
    <col customWidth="1" min="9" max="9" width="9.43"/>
    <col customWidth="1" min="10" max="10" width="14.29"/>
    <col customWidth="1" min="11" max="11" width="39.14"/>
    <col customWidth="1" min="12" max="12" width="18.43"/>
    <col customWidth="1" min="13" max="14" width="14.43"/>
    <col customWidth="1" min="15" max="26" width="9.14"/>
  </cols>
  <sheetData>
    <row r="1" ht="12.75" customHeight="1">
      <c r="A1" s="109"/>
      <c r="B1" s="109"/>
      <c r="C1" s="109"/>
      <c r="D1" s="109"/>
      <c r="E1" s="109"/>
      <c r="F1" s="3"/>
      <c r="G1" s="3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</row>
    <row r="2" ht="12.75" customHeight="1">
      <c r="A2" s="109"/>
      <c r="B2" s="109"/>
      <c r="C2" s="109"/>
      <c r="D2" s="109"/>
      <c r="E2" s="109"/>
      <c r="F2" s="3"/>
      <c r="G2" s="3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</row>
    <row r="3" ht="12.75" customHeight="1">
      <c r="A3" s="110" t="s">
        <v>1010</v>
      </c>
      <c r="B3" s="110" t="s">
        <v>1011</v>
      </c>
      <c r="C3" s="110" t="s">
        <v>1012</v>
      </c>
      <c r="D3" s="110" t="s">
        <v>1013</v>
      </c>
      <c r="E3" s="110" t="s">
        <v>1014</v>
      </c>
      <c r="F3" s="110" t="s">
        <v>1015</v>
      </c>
      <c r="G3" s="110" t="s">
        <v>1016</v>
      </c>
      <c r="H3" s="110" t="s">
        <v>1017</v>
      </c>
      <c r="I3" s="110" t="s">
        <v>1018</v>
      </c>
      <c r="J3" s="110" t="s">
        <v>1019</v>
      </c>
      <c r="K3" s="110" t="s">
        <v>141</v>
      </c>
      <c r="L3" s="110"/>
      <c r="M3" s="110" t="s">
        <v>1020</v>
      </c>
      <c r="N3" s="110" t="s">
        <v>1021</v>
      </c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</row>
    <row r="4" ht="12.75" customHeight="1">
      <c r="A4" s="111" t="s">
        <v>1022</v>
      </c>
      <c r="B4" s="112" t="s">
        <v>1023</v>
      </c>
      <c r="C4" s="112" t="s">
        <v>1024</v>
      </c>
      <c r="D4" s="113" t="s">
        <v>1025</v>
      </c>
      <c r="E4" s="113" t="s">
        <v>1025</v>
      </c>
      <c r="F4" s="114"/>
      <c r="G4" s="114"/>
      <c r="H4" s="115"/>
      <c r="I4" s="115"/>
      <c r="J4" s="115"/>
      <c r="K4" s="115"/>
      <c r="L4" s="115"/>
      <c r="M4" s="116"/>
      <c r="N4" s="116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</row>
    <row r="5" ht="12.75" customHeight="1">
      <c r="A5" s="117" t="s">
        <v>1026</v>
      </c>
      <c r="B5" s="118" t="s">
        <v>1027</v>
      </c>
      <c r="C5" s="118" t="s">
        <v>1028</v>
      </c>
      <c r="D5" s="116" t="s">
        <v>1029</v>
      </c>
      <c r="E5" s="116" t="s">
        <v>1029</v>
      </c>
      <c r="F5" s="119"/>
      <c r="G5" s="119"/>
      <c r="H5" s="116"/>
      <c r="I5" s="116"/>
      <c r="J5" s="116"/>
      <c r="K5" s="116"/>
      <c r="L5" s="116"/>
      <c r="M5" s="116"/>
      <c r="N5" s="116"/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</row>
    <row r="6" ht="12.75" customHeight="1">
      <c r="A6" s="40" t="s">
        <v>1030</v>
      </c>
      <c r="B6" s="120" t="s">
        <v>1031</v>
      </c>
      <c r="C6" s="40" t="s">
        <v>1032</v>
      </c>
      <c r="D6" s="121" t="s">
        <v>1033</v>
      </c>
      <c r="E6" s="121" t="s">
        <v>1033</v>
      </c>
      <c r="F6" s="122"/>
      <c r="G6" s="122"/>
      <c r="H6" s="123"/>
      <c r="I6" s="123"/>
      <c r="J6" s="123"/>
      <c r="K6" s="123"/>
      <c r="L6" s="123"/>
      <c r="M6" s="116"/>
      <c r="N6" s="116"/>
      <c r="O6" s="109"/>
      <c r="P6" s="109"/>
      <c r="Q6" s="109"/>
      <c r="R6" s="109"/>
      <c r="S6" s="109"/>
      <c r="T6" s="109"/>
      <c r="U6" s="109"/>
      <c r="V6" s="109"/>
      <c r="W6" s="109"/>
      <c r="X6" s="109"/>
      <c r="Y6" s="109"/>
      <c r="Z6" s="109"/>
    </row>
    <row r="7" ht="12.75" customHeight="1">
      <c r="A7" s="124" t="s">
        <v>1034</v>
      </c>
      <c r="B7" s="125" t="s">
        <v>1035</v>
      </c>
      <c r="C7" s="126" t="s">
        <v>1036</v>
      </c>
      <c r="D7" s="124" t="s">
        <v>1037</v>
      </c>
      <c r="E7" s="124" t="s">
        <v>1037</v>
      </c>
      <c r="F7" s="114"/>
      <c r="G7" s="114"/>
      <c r="H7" s="127"/>
      <c r="I7" s="127"/>
      <c r="J7" s="127"/>
      <c r="K7" s="127"/>
      <c r="L7" s="127"/>
      <c r="M7" s="116"/>
      <c r="N7" s="116"/>
      <c r="O7" s="109"/>
      <c r="P7" s="109"/>
      <c r="Q7" s="109"/>
      <c r="R7" s="109"/>
      <c r="S7" s="109"/>
      <c r="T7" s="109"/>
      <c r="U7" s="109"/>
      <c r="V7" s="109"/>
      <c r="W7" s="109"/>
      <c r="X7" s="109"/>
      <c r="Y7" s="109"/>
      <c r="Z7" s="109"/>
    </row>
    <row r="8" ht="12.75" customHeight="1">
      <c r="A8" s="128" t="s">
        <v>1038</v>
      </c>
      <c r="B8" s="129" t="s">
        <v>1039</v>
      </c>
      <c r="C8" s="130" t="s">
        <v>1040</v>
      </c>
      <c r="D8" s="113" t="s">
        <v>1041</v>
      </c>
      <c r="E8" s="113" t="s">
        <v>1041</v>
      </c>
      <c r="F8" s="114"/>
      <c r="G8" s="114"/>
      <c r="H8" s="115"/>
      <c r="I8" s="115"/>
      <c r="J8" s="115"/>
      <c r="K8" s="115"/>
      <c r="L8" s="115"/>
      <c r="M8" s="116"/>
      <c r="N8" s="116"/>
      <c r="O8" s="109"/>
      <c r="P8" s="109"/>
      <c r="Q8" s="109"/>
      <c r="R8" s="109"/>
      <c r="S8" s="109"/>
      <c r="T8" s="109"/>
      <c r="U8" s="109"/>
      <c r="V8" s="109"/>
      <c r="W8" s="109"/>
      <c r="X8" s="109"/>
      <c r="Y8" s="109"/>
      <c r="Z8" s="109"/>
    </row>
    <row r="9" ht="12.75" customHeight="1">
      <c r="A9" s="131" t="s">
        <v>1042</v>
      </c>
      <c r="B9" s="112" t="s">
        <v>1043</v>
      </c>
      <c r="C9" s="112" t="s">
        <v>1044</v>
      </c>
      <c r="D9" s="113" t="s">
        <v>1045</v>
      </c>
      <c r="E9" s="113" t="s">
        <v>1045</v>
      </c>
      <c r="F9" s="114"/>
      <c r="G9" s="114"/>
      <c r="H9" s="115"/>
      <c r="I9" s="115"/>
      <c r="J9" s="115"/>
      <c r="K9" s="115"/>
      <c r="L9" s="115"/>
      <c r="M9" s="116"/>
      <c r="N9" s="116"/>
      <c r="O9" s="109"/>
      <c r="P9" s="109"/>
      <c r="Q9" s="109"/>
      <c r="R9" s="109"/>
      <c r="S9" s="109"/>
      <c r="T9" s="109"/>
      <c r="U9" s="109"/>
      <c r="V9" s="109"/>
      <c r="W9" s="109"/>
      <c r="X9" s="109"/>
      <c r="Y9" s="109"/>
      <c r="Z9" s="109"/>
    </row>
    <row r="10" ht="12.75" customHeight="1">
      <c r="A10" s="132" t="s">
        <v>1046</v>
      </c>
      <c r="B10" s="118" t="s">
        <v>1047</v>
      </c>
      <c r="C10" s="117"/>
      <c r="D10" s="116" t="s">
        <v>1048</v>
      </c>
      <c r="E10" s="116" t="s">
        <v>1048</v>
      </c>
      <c r="F10" s="119"/>
      <c r="G10" s="119"/>
      <c r="H10" s="116"/>
      <c r="I10" s="116"/>
      <c r="J10" s="116"/>
      <c r="K10" s="116"/>
      <c r="L10" s="116"/>
      <c r="M10" s="117"/>
      <c r="N10" s="117"/>
      <c r="O10" s="133"/>
      <c r="P10" s="133"/>
      <c r="Q10" s="133"/>
      <c r="R10" s="133"/>
      <c r="S10" s="133"/>
      <c r="T10" s="133"/>
      <c r="U10" s="133"/>
      <c r="V10" s="133"/>
      <c r="W10" s="133"/>
      <c r="X10" s="133"/>
      <c r="Y10" s="133"/>
      <c r="Z10" s="133"/>
    </row>
    <row r="11" ht="12.75" customHeight="1">
      <c r="A11" s="132" t="s">
        <v>1049</v>
      </c>
      <c r="B11" s="134"/>
      <c r="C11" s="134"/>
      <c r="D11" s="135"/>
      <c r="E11" s="135"/>
      <c r="F11" s="136"/>
      <c r="G11" s="136"/>
      <c r="H11" s="135"/>
      <c r="I11" s="135"/>
      <c r="J11" s="135"/>
      <c r="K11" s="135"/>
      <c r="L11" s="135"/>
      <c r="M11" s="117"/>
      <c r="N11" s="117"/>
      <c r="O11" s="133"/>
      <c r="P11" s="133"/>
      <c r="Q11" s="133"/>
      <c r="R11" s="133"/>
      <c r="S11" s="133"/>
      <c r="T11" s="133"/>
      <c r="U11" s="133"/>
      <c r="V11" s="133"/>
      <c r="W11" s="133"/>
      <c r="X11" s="133"/>
      <c r="Y11" s="133"/>
      <c r="Z11" s="133"/>
    </row>
    <row r="12" ht="12.75" customHeight="1">
      <c r="A12" s="126" t="s">
        <v>1050</v>
      </c>
      <c r="B12" s="129" t="s">
        <v>1051</v>
      </c>
      <c r="C12" s="137" t="s">
        <v>1052</v>
      </c>
      <c r="D12" s="124" t="s">
        <v>1053</v>
      </c>
      <c r="E12" s="124" t="s">
        <v>1053</v>
      </c>
      <c r="F12" s="114"/>
      <c r="G12" s="114"/>
      <c r="H12" s="127"/>
      <c r="I12" s="127"/>
      <c r="J12" s="127"/>
      <c r="K12" s="127"/>
      <c r="L12" s="127"/>
      <c r="M12" s="116"/>
      <c r="N12" s="116"/>
      <c r="O12" s="109"/>
      <c r="P12" s="109"/>
      <c r="Q12" s="109"/>
      <c r="R12" s="109"/>
      <c r="S12" s="109"/>
      <c r="T12" s="109"/>
      <c r="U12" s="109"/>
      <c r="V12" s="109"/>
      <c r="W12" s="109"/>
      <c r="X12" s="109"/>
      <c r="Y12" s="109"/>
      <c r="Z12" s="109"/>
    </row>
    <row r="13" ht="12.75" customHeight="1">
      <c r="A13" s="138" t="s">
        <v>1054</v>
      </c>
      <c r="B13" s="139" t="s">
        <v>1055</v>
      </c>
      <c r="C13" s="140" t="s">
        <v>1056</v>
      </c>
      <c r="D13" s="138" t="s">
        <v>1057</v>
      </c>
      <c r="E13" s="138" t="s">
        <v>1057</v>
      </c>
      <c r="F13" s="141"/>
      <c r="G13" s="141"/>
      <c r="H13" s="138"/>
      <c r="I13" s="138"/>
      <c r="J13" s="138"/>
      <c r="K13" s="138"/>
      <c r="L13" s="138"/>
      <c r="M13" s="116"/>
      <c r="N13" s="116"/>
      <c r="O13" s="109"/>
      <c r="P13" s="109"/>
      <c r="Q13" s="109"/>
      <c r="R13" s="109"/>
      <c r="S13" s="109"/>
      <c r="T13" s="109"/>
      <c r="U13" s="109"/>
      <c r="V13" s="109"/>
      <c r="W13" s="109"/>
      <c r="X13" s="109"/>
      <c r="Y13" s="109"/>
      <c r="Z13" s="109"/>
    </row>
    <row r="14" ht="12.75" customHeight="1">
      <c r="A14" s="40" t="s">
        <v>1058</v>
      </c>
      <c r="B14" s="142" t="s">
        <v>1059</v>
      </c>
      <c r="C14" s="117" t="s">
        <v>1060</v>
      </c>
      <c r="D14" s="116" t="s">
        <v>1061</v>
      </c>
      <c r="E14" s="116" t="s">
        <v>1061</v>
      </c>
      <c r="F14" s="119"/>
      <c r="G14" s="119"/>
      <c r="H14" s="116"/>
      <c r="I14" s="116"/>
      <c r="J14" s="116"/>
      <c r="K14" s="116"/>
      <c r="L14" s="116"/>
      <c r="M14" s="143"/>
      <c r="N14" s="143"/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09"/>
      <c r="Z14" s="109"/>
    </row>
    <row r="15" ht="12.75" customHeight="1">
      <c r="A15" s="144" t="s">
        <v>1062</v>
      </c>
      <c r="B15" s="145" t="s">
        <v>1063</v>
      </c>
      <c r="C15" s="146" t="s">
        <v>1064</v>
      </c>
      <c r="D15" s="147" t="s">
        <v>1057</v>
      </c>
      <c r="E15" s="147" t="s">
        <v>1057</v>
      </c>
      <c r="F15" s="148">
        <v>0.0075</v>
      </c>
      <c r="G15" s="148">
        <v>0.0075</v>
      </c>
      <c r="H15" s="146" t="s">
        <v>1065</v>
      </c>
      <c r="I15" s="147" t="s">
        <v>1066</v>
      </c>
      <c r="J15" s="147" t="s">
        <v>1067</v>
      </c>
      <c r="K15" s="149" t="s">
        <v>1068</v>
      </c>
      <c r="L15" s="149"/>
      <c r="M15" s="150"/>
      <c r="N15" s="40" t="s">
        <v>1069</v>
      </c>
      <c r="O15" s="109"/>
      <c r="P15" s="109"/>
      <c r="Q15" s="109"/>
      <c r="R15" s="109"/>
      <c r="S15" s="109"/>
      <c r="T15" s="109"/>
      <c r="U15" s="109"/>
      <c r="V15" s="109"/>
      <c r="W15" s="109"/>
      <c r="X15" s="109"/>
      <c r="Y15" s="109"/>
      <c r="Z15" s="109"/>
    </row>
    <row r="16" ht="12.75" customHeight="1">
      <c r="A16" s="151" t="s">
        <v>1070</v>
      </c>
      <c r="B16" s="120" t="s">
        <v>1071</v>
      </c>
      <c r="C16" s="40" t="s">
        <v>1072</v>
      </c>
      <c r="D16" s="40" t="s">
        <v>1073</v>
      </c>
      <c r="E16" s="40" t="s">
        <v>1074</v>
      </c>
      <c r="F16" s="148">
        <v>0.005</v>
      </c>
      <c r="G16" s="148">
        <v>0.005</v>
      </c>
      <c r="H16" s="120" t="s">
        <v>1075</v>
      </c>
      <c r="I16" s="40"/>
      <c r="J16" s="40" t="s">
        <v>1076</v>
      </c>
      <c r="K16" s="152" t="s">
        <v>1077</v>
      </c>
      <c r="L16" s="152"/>
      <c r="M16" s="40"/>
      <c r="N16" s="40" t="s">
        <v>1078</v>
      </c>
      <c r="O16" s="109"/>
      <c r="P16" s="109"/>
      <c r="Q16" s="109"/>
      <c r="R16" s="109"/>
      <c r="S16" s="109"/>
      <c r="T16" s="109"/>
      <c r="U16" s="109"/>
      <c r="V16" s="109"/>
      <c r="W16" s="109"/>
      <c r="X16" s="109"/>
      <c r="Y16" s="109"/>
      <c r="Z16" s="109"/>
    </row>
    <row r="17" ht="12.75" customHeight="1">
      <c r="A17" s="151" t="s">
        <v>1079</v>
      </c>
      <c r="B17" s="120" t="s">
        <v>1080</v>
      </c>
      <c r="C17" s="40"/>
      <c r="D17" s="40" t="s">
        <v>1081</v>
      </c>
      <c r="E17" s="40" t="str">
        <f>D17</f>
        <v>KP PONDOKBUNGUR RT 001 RW 001 DESA PONDOKBUNGUR KEC PONDOKSALAM KAB PURWAKARTA JAWA BARAT</v>
      </c>
      <c r="F17" s="148">
        <v>0.0075</v>
      </c>
      <c r="G17" s="148">
        <v>0.005</v>
      </c>
      <c r="H17" s="120" t="s">
        <v>1082</v>
      </c>
      <c r="I17" s="40" t="s">
        <v>1083</v>
      </c>
      <c r="J17" s="40" t="s">
        <v>1084</v>
      </c>
      <c r="K17" s="152" t="s">
        <v>1085</v>
      </c>
      <c r="L17" s="152"/>
      <c r="M17" s="40"/>
      <c r="N17" s="40" t="s">
        <v>1069</v>
      </c>
      <c r="O17" s="109"/>
      <c r="P17" s="109"/>
      <c r="Q17" s="109"/>
      <c r="R17" s="109"/>
      <c r="S17" s="109"/>
      <c r="T17" s="109"/>
      <c r="U17" s="109"/>
      <c r="V17" s="109"/>
      <c r="W17" s="109"/>
      <c r="X17" s="109"/>
      <c r="Y17" s="109"/>
      <c r="Z17" s="109"/>
    </row>
    <row r="18" ht="12.75" customHeight="1">
      <c r="A18" s="151" t="s">
        <v>1086</v>
      </c>
      <c r="B18" s="120" t="s">
        <v>1087</v>
      </c>
      <c r="C18" s="40" t="s">
        <v>1088</v>
      </c>
      <c r="D18" s="40" t="s">
        <v>1089</v>
      </c>
      <c r="E18" s="40" t="s">
        <v>1089</v>
      </c>
      <c r="F18" s="148">
        <v>0.005</v>
      </c>
      <c r="G18" s="148">
        <v>0.005</v>
      </c>
      <c r="H18" s="120" t="s">
        <v>1090</v>
      </c>
      <c r="I18" s="40" t="s">
        <v>1091</v>
      </c>
      <c r="J18" s="40" t="s">
        <v>1086</v>
      </c>
      <c r="K18" s="152" t="s">
        <v>1092</v>
      </c>
      <c r="L18" s="152"/>
      <c r="M18" s="40"/>
      <c r="N18" s="40" t="s">
        <v>1069</v>
      </c>
      <c r="O18" s="109"/>
      <c r="P18" s="109"/>
      <c r="Q18" s="109"/>
      <c r="R18" s="109"/>
      <c r="S18" s="109"/>
      <c r="T18" s="109"/>
      <c r="U18" s="109"/>
      <c r="V18" s="109"/>
      <c r="W18" s="109"/>
      <c r="X18" s="109"/>
      <c r="Y18" s="109"/>
      <c r="Z18" s="109"/>
    </row>
    <row r="19" ht="12.75" customHeight="1">
      <c r="A19" s="40" t="s">
        <v>1093</v>
      </c>
      <c r="B19" s="120" t="s">
        <v>1094</v>
      </c>
      <c r="C19" s="40" t="s">
        <v>1095</v>
      </c>
      <c r="D19" s="40" t="s">
        <v>1096</v>
      </c>
      <c r="E19" s="40" t="str">
        <f>D19</f>
        <v>Perum Graha Alana B6-17 RT 001 RW 009 Kel Kuningan Kec Kuningan Kab Kuningan Jawa Barat</v>
      </c>
      <c r="F19" s="148">
        <v>0.005</v>
      </c>
      <c r="G19" s="148">
        <v>0.005</v>
      </c>
      <c r="H19" s="120" t="s">
        <v>1097</v>
      </c>
      <c r="I19" s="40" t="s">
        <v>1091</v>
      </c>
      <c r="J19" s="40" t="s">
        <v>1098</v>
      </c>
      <c r="K19" s="152" t="s">
        <v>1099</v>
      </c>
      <c r="L19" s="152"/>
      <c r="M19" s="40"/>
      <c r="N19" s="40" t="s">
        <v>1078</v>
      </c>
      <c r="O19" s="109"/>
      <c r="P19" s="109"/>
      <c r="Q19" s="109"/>
      <c r="R19" s="109"/>
      <c r="S19" s="109"/>
      <c r="T19" s="109"/>
      <c r="U19" s="109"/>
      <c r="V19" s="109"/>
      <c r="W19" s="109"/>
      <c r="X19" s="109"/>
      <c r="Y19" s="109"/>
      <c r="Z19" s="109"/>
    </row>
    <row r="20" ht="12.75" customHeight="1">
      <c r="A20" s="40" t="s">
        <v>1100</v>
      </c>
      <c r="B20" s="120" t="s">
        <v>1101</v>
      </c>
      <c r="C20" s="40" t="s">
        <v>1102</v>
      </c>
      <c r="D20" s="40" t="s">
        <v>1103</v>
      </c>
      <c r="E20" s="40"/>
      <c r="F20" s="148">
        <v>0.005</v>
      </c>
      <c r="G20" s="148">
        <v>0.005</v>
      </c>
      <c r="H20" s="120" t="s">
        <v>1104</v>
      </c>
      <c r="I20" s="40" t="s">
        <v>1105</v>
      </c>
      <c r="J20" s="40" t="s">
        <v>1100</v>
      </c>
      <c r="K20" s="152" t="s">
        <v>1106</v>
      </c>
      <c r="L20" s="152"/>
      <c r="M20" s="40"/>
      <c r="N20" s="40" t="s">
        <v>1078</v>
      </c>
      <c r="O20" s="109"/>
      <c r="P20" s="109"/>
      <c r="Q20" s="109"/>
      <c r="R20" s="109"/>
      <c r="S20" s="109"/>
      <c r="T20" s="109"/>
      <c r="U20" s="109"/>
      <c r="V20" s="109"/>
      <c r="W20" s="109"/>
      <c r="X20" s="109"/>
      <c r="Y20" s="109"/>
      <c r="Z20" s="109"/>
    </row>
    <row r="21" ht="12.75" customHeight="1">
      <c r="A21" s="40" t="s">
        <v>1107</v>
      </c>
      <c r="B21" s="120" t="s">
        <v>1108</v>
      </c>
      <c r="C21" s="40" t="s">
        <v>1109</v>
      </c>
      <c r="D21" s="40" t="s">
        <v>1110</v>
      </c>
      <c r="E21" s="40" t="str">
        <f t="shared" ref="E21:E23" si="1">D21</f>
        <v>Blok V RT 07 RW 03 Desa Surakarta Kecamatan Suranenggala Kabupaten Cirebon Jawa Barat</v>
      </c>
      <c r="F21" s="148">
        <v>0.005</v>
      </c>
      <c r="G21" s="148">
        <v>0.005</v>
      </c>
      <c r="H21" s="120" t="s">
        <v>1111</v>
      </c>
      <c r="I21" s="40" t="s">
        <v>1112</v>
      </c>
      <c r="J21" s="40" t="s">
        <v>1113</v>
      </c>
      <c r="K21" s="152" t="s">
        <v>1114</v>
      </c>
      <c r="L21" s="152"/>
      <c r="M21" s="40"/>
      <c r="N21" s="40" t="s">
        <v>1078</v>
      </c>
      <c r="O21" s="109"/>
      <c r="P21" s="109"/>
      <c r="Q21" s="109"/>
      <c r="R21" s="109"/>
      <c r="S21" s="109"/>
      <c r="T21" s="109"/>
      <c r="U21" s="109"/>
      <c r="V21" s="109"/>
      <c r="W21" s="109"/>
      <c r="X21" s="109"/>
      <c r="Y21" s="109"/>
      <c r="Z21" s="109"/>
    </row>
    <row r="22" ht="12.75" customHeight="1">
      <c r="A22" s="40" t="s">
        <v>1115</v>
      </c>
      <c r="B22" s="120" t="s">
        <v>1116</v>
      </c>
      <c r="C22" s="40" t="s">
        <v>1117</v>
      </c>
      <c r="D22" s="40" t="s">
        <v>1118</v>
      </c>
      <c r="E22" s="40" t="str">
        <f t="shared" si="1"/>
        <v>Dusun Sidamulya Rt. 001 Rw. 13 Desa Bojong Gedang Kec Rancah Kab Ciamis Jawa Barat</v>
      </c>
      <c r="F22" s="148">
        <v>0.005</v>
      </c>
      <c r="G22" s="148">
        <v>0.005</v>
      </c>
      <c r="H22" s="120" t="s">
        <v>1119</v>
      </c>
      <c r="I22" s="40" t="s">
        <v>1120</v>
      </c>
      <c r="J22" s="40" t="s">
        <v>1121</v>
      </c>
      <c r="K22" s="152" t="s">
        <v>1122</v>
      </c>
      <c r="L22" s="152"/>
      <c r="M22" s="40" t="s">
        <v>1123</v>
      </c>
      <c r="N22" s="40" t="s">
        <v>1078</v>
      </c>
      <c r="O22" s="109"/>
      <c r="P22" s="109"/>
      <c r="Q22" s="109"/>
      <c r="R22" s="109"/>
      <c r="S22" s="109"/>
      <c r="T22" s="109"/>
      <c r="U22" s="109"/>
      <c r="V22" s="109"/>
      <c r="W22" s="109"/>
      <c r="X22" s="109"/>
      <c r="Y22" s="109"/>
      <c r="Z22" s="109"/>
    </row>
    <row r="23" ht="12.75" customHeight="1">
      <c r="A23" s="40" t="s">
        <v>1124</v>
      </c>
      <c r="B23" s="153" t="s">
        <v>1125</v>
      </c>
      <c r="C23" s="40" t="s">
        <v>1126</v>
      </c>
      <c r="D23" s="40" t="s">
        <v>1127</v>
      </c>
      <c r="E23" s="40" t="str">
        <f t="shared" si="1"/>
        <v>Jl Ismail No 09 RT 08 Rw 02 Ds Dermayu Kec. Sindang Kab Indramayu Jawa Barat</v>
      </c>
      <c r="F23" s="148">
        <v>0.005</v>
      </c>
      <c r="G23" s="148">
        <v>0.005</v>
      </c>
      <c r="H23" s="120" t="s">
        <v>1128</v>
      </c>
      <c r="I23" s="40" t="s">
        <v>1083</v>
      </c>
      <c r="J23" s="40" t="s">
        <v>1129</v>
      </c>
      <c r="K23" s="152" t="s">
        <v>1130</v>
      </c>
      <c r="L23" s="152"/>
      <c r="M23" s="40"/>
      <c r="N23" s="40" t="s">
        <v>1069</v>
      </c>
      <c r="O23" s="109"/>
      <c r="P23" s="109"/>
      <c r="Q23" s="109"/>
      <c r="R23" s="109"/>
      <c r="S23" s="109"/>
      <c r="T23" s="109"/>
      <c r="U23" s="109"/>
      <c r="V23" s="109"/>
      <c r="W23" s="109"/>
      <c r="X23" s="109"/>
      <c r="Y23" s="109"/>
      <c r="Z23" s="109"/>
    </row>
    <row r="24" ht="12.75" customHeight="1">
      <c r="A24" s="109"/>
      <c r="B24" s="109"/>
      <c r="C24" s="109"/>
      <c r="D24" s="109"/>
      <c r="E24" s="109"/>
      <c r="F24" s="154"/>
      <c r="G24" s="154"/>
      <c r="H24" s="109"/>
      <c r="I24" s="109"/>
      <c r="J24" s="109"/>
      <c r="K24" s="109"/>
      <c r="L24" s="109"/>
      <c r="M24" s="109"/>
      <c r="N24" s="109"/>
      <c r="O24" s="109"/>
      <c r="P24" s="109"/>
      <c r="Q24" s="109"/>
      <c r="R24" s="109"/>
      <c r="S24" s="109"/>
      <c r="T24" s="109"/>
      <c r="U24" s="109"/>
      <c r="V24" s="109"/>
      <c r="W24" s="109"/>
      <c r="X24" s="109"/>
      <c r="Y24" s="109"/>
      <c r="Z24" s="109"/>
    </row>
    <row r="25" ht="12.75" customHeight="1">
      <c r="A25" s="40" t="s">
        <v>1131</v>
      </c>
      <c r="B25" s="120" t="s">
        <v>1132</v>
      </c>
      <c r="C25" s="40" t="s">
        <v>1133</v>
      </c>
      <c r="D25" s="40" t="s">
        <v>1134</v>
      </c>
      <c r="E25" s="40" t="s">
        <v>1134</v>
      </c>
      <c r="F25" s="155"/>
      <c r="G25" s="155"/>
      <c r="H25" s="120" t="s">
        <v>1135</v>
      </c>
      <c r="I25" s="40"/>
      <c r="J25" s="40"/>
      <c r="K25" s="152" t="s">
        <v>1136</v>
      </c>
      <c r="L25" s="120" t="s">
        <v>1137</v>
      </c>
      <c r="M25" s="40"/>
      <c r="N25" s="40"/>
      <c r="O25" s="109"/>
      <c r="P25" s="109"/>
      <c r="Q25" s="109"/>
      <c r="R25" s="109"/>
      <c r="S25" s="109"/>
      <c r="T25" s="109"/>
      <c r="U25" s="109"/>
      <c r="V25" s="109"/>
      <c r="W25" s="109"/>
      <c r="X25" s="109"/>
      <c r="Y25" s="109"/>
      <c r="Z25" s="109"/>
    </row>
    <row r="26" ht="12.75" customHeight="1">
      <c r="A26" s="109" t="s">
        <v>1138</v>
      </c>
      <c r="B26" s="156" t="s">
        <v>1139</v>
      </c>
      <c r="C26" s="109"/>
      <c r="D26" s="109" t="s">
        <v>1140</v>
      </c>
      <c r="E26" s="109"/>
      <c r="F26" s="154"/>
      <c r="G26" s="154"/>
      <c r="H26" s="156" t="s">
        <v>1141</v>
      </c>
      <c r="I26" s="109" t="s">
        <v>1091</v>
      </c>
      <c r="J26" s="109"/>
      <c r="K26" s="13" t="s">
        <v>1142</v>
      </c>
      <c r="L26" s="156" t="s">
        <v>1143</v>
      </c>
      <c r="M26" s="109"/>
      <c r="N26" s="109"/>
      <c r="O26" s="109"/>
      <c r="P26" s="109"/>
      <c r="Q26" s="109"/>
      <c r="R26" s="109"/>
      <c r="S26" s="109"/>
      <c r="T26" s="109"/>
      <c r="U26" s="109"/>
      <c r="V26" s="109"/>
      <c r="W26" s="109"/>
      <c r="X26" s="109"/>
      <c r="Y26" s="109"/>
      <c r="Z26" s="109"/>
    </row>
    <row r="27" ht="12.75" customHeight="1">
      <c r="A27" s="109"/>
      <c r="B27" s="109"/>
      <c r="C27" s="109"/>
      <c r="D27" s="109"/>
      <c r="E27" s="109"/>
      <c r="F27" s="154"/>
      <c r="G27" s="154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</row>
    <row r="28" ht="12.75" customHeight="1">
      <c r="A28" s="109"/>
      <c r="B28" s="109"/>
      <c r="C28" s="109"/>
      <c r="D28" s="109"/>
      <c r="E28" s="109"/>
      <c r="F28" s="154"/>
      <c r="G28" s="154"/>
      <c r="H28" s="109"/>
      <c r="I28" s="109"/>
      <c r="J28" s="109"/>
      <c r="K28" s="109"/>
      <c r="L28" s="109"/>
      <c r="M28" s="109"/>
      <c r="N28" s="109"/>
      <c r="O28" s="109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</row>
    <row r="29" ht="12.75" customHeight="1">
      <c r="A29" s="109"/>
      <c r="B29" s="109"/>
      <c r="C29" s="109"/>
      <c r="D29" s="109"/>
      <c r="E29" s="109"/>
      <c r="F29" s="154"/>
      <c r="G29" s="154"/>
      <c r="H29" s="109"/>
      <c r="I29" s="109"/>
      <c r="J29" s="109"/>
      <c r="K29" s="109"/>
      <c r="L29" s="109"/>
      <c r="M29" s="109"/>
      <c r="N29" s="109"/>
      <c r="O29" s="109"/>
      <c r="P29" s="109"/>
      <c r="Q29" s="109"/>
      <c r="R29" s="109"/>
      <c r="S29" s="109"/>
      <c r="T29" s="109"/>
      <c r="U29" s="109"/>
      <c r="V29" s="109"/>
      <c r="W29" s="109"/>
      <c r="X29" s="109"/>
      <c r="Y29" s="109"/>
      <c r="Z29" s="109"/>
    </row>
    <row r="30" ht="12.75" customHeight="1">
      <c r="A30" s="109"/>
      <c r="B30" s="109"/>
      <c r="C30" s="109"/>
      <c r="D30" s="109"/>
      <c r="E30" s="109"/>
      <c r="F30" s="154"/>
      <c r="G30" s="154"/>
      <c r="H30" s="109"/>
      <c r="I30" s="109"/>
      <c r="J30" s="109"/>
      <c r="K30" s="109"/>
      <c r="L30" s="109"/>
      <c r="M30" s="109"/>
      <c r="N30" s="109"/>
      <c r="O30" s="109"/>
      <c r="P30" s="109"/>
      <c r="Q30" s="109"/>
      <c r="R30" s="109"/>
      <c r="S30" s="109"/>
      <c r="T30" s="109"/>
      <c r="U30" s="109"/>
      <c r="V30" s="109"/>
      <c r="W30" s="109"/>
      <c r="X30" s="109"/>
      <c r="Y30" s="109"/>
      <c r="Z30" s="109"/>
    </row>
    <row r="31" ht="12.75" customHeight="1">
      <c r="A31" s="109"/>
      <c r="B31" s="109"/>
      <c r="C31" s="109"/>
      <c r="D31" s="109"/>
      <c r="E31" s="109"/>
      <c r="F31" s="154"/>
      <c r="G31" s="154"/>
      <c r="H31" s="109"/>
      <c r="I31" s="109"/>
      <c r="J31" s="109"/>
      <c r="K31" s="109"/>
      <c r="L31" s="109"/>
      <c r="M31" s="109"/>
      <c r="N31" s="109"/>
      <c r="O31" s="109"/>
      <c r="P31" s="109"/>
      <c r="Q31" s="109"/>
      <c r="R31" s="109"/>
      <c r="S31" s="109"/>
      <c r="T31" s="109"/>
      <c r="U31" s="109"/>
      <c r="V31" s="109"/>
      <c r="W31" s="109"/>
      <c r="X31" s="109"/>
      <c r="Y31" s="109"/>
      <c r="Z31" s="109"/>
    </row>
    <row r="32" ht="12.75" customHeight="1">
      <c r="A32" s="109"/>
      <c r="B32" s="109"/>
      <c r="C32" s="109"/>
      <c r="D32" s="109"/>
      <c r="E32" s="109"/>
      <c r="F32" s="154"/>
      <c r="G32" s="154"/>
      <c r="H32" s="109"/>
      <c r="I32" s="109"/>
      <c r="J32" s="109"/>
      <c r="K32" s="109"/>
      <c r="L32" s="109"/>
      <c r="M32" s="109"/>
      <c r="N32" s="109"/>
      <c r="O32" s="109"/>
      <c r="P32" s="109"/>
      <c r="Q32" s="109"/>
      <c r="R32" s="109"/>
      <c r="S32" s="109"/>
      <c r="T32" s="109"/>
      <c r="U32" s="109"/>
      <c r="V32" s="109"/>
      <c r="W32" s="109"/>
      <c r="X32" s="109"/>
      <c r="Y32" s="109"/>
      <c r="Z32" s="109"/>
    </row>
    <row r="33" ht="12.75" customHeight="1">
      <c r="A33" s="109"/>
      <c r="B33" s="109"/>
      <c r="C33" s="109"/>
      <c r="D33" s="109"/>
      <c r="E33" s="109"/>
      <c r="F33" s="154"/>
      <c r="G33" s="154"/>
      <c r="H33" s="109"/>
      <c r="I33" s="109"/>
      <c r="J33" s="109"/>
      <c r="K33" s="109"/>
      <c r="L33" s="109"/>
      <c r="M33" s="109"/>
      <c r="N33" s="109"/>
      <c r="O33" s="109"/>
      <c r="P33" s="109"/>
      <c r="Q33" s="109"/>
      <c r="R33" s="109"/>
      <c r="S33" s="109"/>
      <c r="T33" s="109"/>
      <c r="U33" s="109"/>
      <c r="V33" s="109"/>
      <c r="W33" s="109"/>
      <c r="X33" s="109"/>
      <c r="Y33" s="109"/>
      <c r="Z33" s="109"/>
    </row>
    <row r="34" ht="12.75" customHeight="1">
      <c r="A34" s="109"/>
      <c r="B34" s="109"/>
      <c r="C34" s="109"/>
      <c r="D34" s="109"/>
      <c r="E34" s="109"/>
      <c r="F34" s="154"/>
      <c r="G34" s="154"/>
      <c r="H34" s="109"/>
      <c r="I34" s="109"/>
      <c r="J34" s="109"/>
      <c r="K34" s="109"/>
      <c r="L34" s="109"/>
      <c r="M34" s="109"/>
      <c r="N34" s="109"/>
      <c r="O34" s="109"/>
      <c r="P34" s="109"/>
      <c r="Q34" s="109"/>
      <c r="R34" s="109"/>
      <c r="S34" s="109"/>
      <c r="T34" s="109"/>
      <c r="U34" s="109"/>
      <c r="V34" s="109"/>
      <c r="W34" s="109"/>
      <c r="X34" s="109"/>
      <c r="Y34" s="109"/>
      <c r="Z34" s="109"/>
    </row>
    <row r="35" ht="12.75" customHeight="1">
      <c r="A35" s="109"/>
      <c r="B35" s="109"/>
      <c r="C35" s="109"/>
      <c r="D35" s="109"/>
      <c r="E35" s="109"/>
      <c r="F35" s="154"/>
      <c r="G35" s="154"/>
      <c r="H35" s="109"/>
      <c r="I35" s="109"/>
      <c r="J35" s="109"/>
      <c r="K35" s="109"/>
      <c r="L35" s="109"/>
      <c r="M35" s="109"/>
      <c r="N35" s="109"/>
      <c r="O35" s="109"/>
      <c r="P35" s="109"/>
      <c r="Q35" s="109"/>
      <c r="R35" s="109"/>
      <c r="S35" s="109"/>
      <c r="T35" s="109"/>
      <c r="U35" s="109"/>
      <c r="V35" s="109"/>
      <c r="W35" s="109"/>
      <c r="X35" s="109"/>
      <c r="Y35" s="109"/>
      <c r="Z35" s="109"/>
    </row>
    <row r="36" ht="12.75" customHeight="1">
      <c r="A36" s="109"/>
      <c r="B36" s="109"/>
      <c r="C36" s="109"/>
      <c r="D36" s="109"/>
      <c r="E36" s="109"/>
      <c r="F36" s="154"/>
      <c r="G36" s="154"/>
      <c r="H36" s="109"/>
      <c r="I36" s="109"/>
      <c r="J36" s="109"/>
      <c r="K36" s="109"/>
      <c r="L36" s="109"/>
      <c r="M36" s="109"/>
      <c r="N36" s="109"/>
      <c r="O36" s="109"/>
      <c r="P36" s="109"/>
      <c r="Q36" s="109"/>
      <c r="R36" s="109"/>
      <c r="S36" s="109"/>
      <c r="T36" s="109"/>
      <c r="U36" s="109"/>
      <c r="V36" s="109"/>
      <c r="W36" s="109"/>
      <c r="X36" s="109"/>
      <c r="Y36" s="109"/>
      <c r="Z36" s="109"/>
    </row>
    <row r="37" ht="12.75" customHeight="1">
      <c r="A37" s="109"/>
      <c r="B37" s="109"/>
      <c r="C37" s="109"/>
      <c r="D37" s="109"/>
      <c r="E37" s="109"/>
      <c r="F37" s="154"/>
      <c r="G37" s="154"/>
      <c r="H37" s="109"/>
      <c r="I37" s="109"/>
      <c r="J37" s="109"/>
      <c r="K37" s="109"/>
      <c r="L37" s="109"/>
      <c r="M37" s="109"/>
      <c r="N37" s="109"/>
      <c r="O37" s="109"/>
      <c r="P37" s="109"/>
      <c r="Q37" s="109"/>
      <c r="R37" s="109"/>
      <c r="S37" s="109"/>
      <c r="T37" s="109"/>
      <c r="U37" s="109"/>
      <c r="V37" s="109"/>
      <c r="W37" s="109"/>
      <c r="X37" s="109"/>
      <c r="Y37" s="109"/>
      <c r="Z37" s="109"/>
    </row>
    <row r="38" ht="12.75" customHeight="1">
      <c r="A38" s="109"/>
      <c r="B38" s="109"/>
      <c r="C38" s="109"/>
      <c r="D38" s="109"/>
      <c r="E38" s="109"/>
      <c r="F38" s="154"/>
      <c r="G38" s="154"/>
      <c r="H38" s="109"/>
      <c r="I38" s="109"/>
      <c r="J38" s="109"/>
      <c r="K38" s="109"/>
      <c r="L38" s="109"/>
      <c r="M38" s="109"/>
      <c r="N38" s="109"/>
      <c r="O38" s="109"/>
      <c r="P38" s="109"/>
      <c r="Q38" s="109"/>
      <c r="R38" s="109"/>
      <c r="S38" s="109"/>
      <c r="T38" s="109"/>
      <c r="U38" s="109"/>
      <c r="V38" s="109"/>
      <c r="W38" s="109"/>
      <c r="X38" s="109"/>
      <c r="Y38" s="109"/>
      <c r="Z38" s="109"/>
    </row>
    <row r="39" ht="12.75" customHeight="1">
      <c r="A39" s="109"/>
      <c r="B39" s="109"/>
      <c r="C39" s="109"/>
      <c r="D39" s="109"/>
      <c r="E39" s="109"/>
      <c r="F39" s="154"/>
      <c r="G39" s="154"/>
      <c r="H39" s="109"/>
      <c r="I39" s="109"/>
      <c r="J39" s="109"/>
      <c r="K39" s="109"/>
      <c r="L39" s="109"/>
      <c r="M39" s="109"/>
      <c r="N39" s="109"/>
      <c r="O39" s="109"/>
      <c r="P39" s="109"/>
      <c r="Q39" s="109"/>
      <c r="R39" s="109"/>
      <c r="S39" s="109"/>
      <c r="T39" s="109"/>
      <c r="U39" s="109"/>
      <c r="V39" s="109"/>
      <c r="W39" s="109"/>
      <c r="X39" s="109"/>
      <c r="Y39" s="109"/>
      <c r="Z39" s="109"/>
    </row>
    <row r="40" ht="12.75" customHeight="1">
      <c r="A40" s="109"/>
      <c r="B40" s="109"/>
      <c r="C40" s="109"/>
      <c r="D40" s="109"/>
      <c r="E40" s="109"/>
      <c r="F40" s="154"/>
      <c r="G40" s="154"/>
      <c r="H40" s="109"/>
      <c r="I40" s="109"/>
      <c r="J40" s="109"/>
      <c r="K40" s="109"/>
      <c r="L40" s="109"/>
      <c r="M40" s="109"/>
      <c r="N40" s="109"/>
      <c r="O40" s="109"/>
      <c r="P40" s="109"/>
      <c r="Q40" s="109"/>
      <c r="R40" s="109"/>
      <c r="S40" s="109"/>
      <c r="T40" s="109"/>
      <c r="U40" s="109"/>
      <c r="V40" s="109"/>
      <c r="W40" s="109"/>
      <c r="X40" s="109"/>
      <c r="Y40" s="109"/>
      <c r="Z40" s="109"/>
    </row>
    <row r="41" ht="12.75" customHeight="1">
      <c r="A41" s="109"/>
      <c r="B41" s="109"/>
      <c r="C41" s="109"/>
      <c r="D41" s="109"/>
      <c r="E41" s="109"/>
      <c r="F41" s="154"/>
      <c r="G41" s="154"/>
      <c r="H41" s="109"/>
      <c r="I41" s="109"/>
      <c r="J41" s="109"/>
      <c r="K41" s="109"/>
      <c r="L41" s="109"/>
      <c r="M41" s="109"/>
      <c r="N41" s="109"/>
      <c r="O41" s="109"/>
      <c r="P41" s="109"/>
      <c r="Q41" s="109"/>
      <c r="R41" s="109"/>
      <c r="S41" s="109"/>
      <c r="T41" s="109"/>
      <c r="U41" s="109"/>
      <c r="V41" s="109"/>
      <c r="W41" s="109"/>
      <c r="X41" s="109"/>
      <c r="Y41" s="109"/>
      <c r="Z41" s="109"/>
    </row>
    <row r="42" ht="12.75" customHeight="1">
      <c r="A42" s="109"/>
      <c r="B42" s="109"/>
      <c r="C42" s="109"/>
      <c r="D42" s="109"/>
      <c r="E42" s="109"/>
      <c r="F42" s="154"/>
      <c r="G42" s="154"/>
      <c r="H42" s="109"/>
      <c r="I42" s="109"/>
      <c r="J42" s="109"/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109"/>
      <c r="Y42" s="109"/>
      <c r="Z42" s="109"/>
    </row>
    <row r="43" ht="12.75" customHeight="1">
      <c r="A43" s="109"/>
      <c r="B43" s="109"/>
      <c r="C43" s="109"/>
      <c r="D43" s="109"/>
      <c r="E43" s="109"/>
      <c r="F43" s="154"/>
      <c r="G43" s="154"/>
      <c r="H43" s="109"/>
      <c r="I43" s="109"/>
      <c r="J43" s="109"/>
      <c r="K43" s="109"/>
      <c r="L43" s="109"/>
      <c r="M43" s="109"/>
      <c r="N43" s="109"/>
      <c r="O43" s="109"/>
      <c r="P43" s="109"/>
      <c r="Q43" s="109"/>
      <c r="R43" s="109"/>
      <c r="S43" s="109"/>
      <c r="T43" s="109"/>
      <c r="U43" s="109"/>
      <c r="V43" s="109"/>
      <c r="W43" s="109"/>
      <c r="X43" s="109"/>
      <c r="Y43" s="109"/>
      <c r="Z43" s="109"/>
    </row>
    <row r="44" ht="12.75" customHeight="1">
      <c r="A44" s="109"/>
      <c r="B44" s="109"/>
      <c r="C44" s="109"/>
      <c r="D44" s="109"/>
      <c r="E44" s="109"/>
      <c r="F44" s="154"/>
      <c r="G44" s="154"/>
      <c r="H44" s="109"/>
      <c r="I44" s="109"/>
      <c r="J44" s="109"/>
      <c r="K44" s="109"/>
      <c r="L44" s="109"/>
      <c r="M44" s="109"/>
      <c r="N44" s="109"/>
      <c r="O44" s="109"/>
      <c r="P44" s="109"/>
      <c r="Q44" s="109"/>
      <c r="R44" s="109"/>
      <c r="S44" s="109"/>
      <c r="T44" s="109"/>
      <c r="U44" s="109"/>
      <c r="V44" s="109"/>
      <c r="W44" s="109"/>
      <c r="X44" s="109"/>
      <c r="Y44" s="109"/>
      <c r="Z44" s="109"/>
    </row>
    <row r="45" ht="12.75" customHeight="1">
      <c r="A45" s="109"/>
      <c r="B45" s="109"/>
      <c r="C45" s="109"/>
      <c r="D45" s="109"/>
      <c r="E45" s="109"/>
      <c r="F45" s="154"/>
      <c r="G45" s="154"/>
      <c r="H45" s="109"/>
      <c r="I45" s="109"/>
      <c r="J45" s="109"/>
      <c r="K45" s="109"/>
      <c r="L45" s="109"/>
      <c r="M45" s="109"/>
      <c r="N45" s="109"/>
      <c r="O45" s="109"/>
      <c r="P45" s="109"/>
      <c r="Q45" s="109"/>
      <c r="R45" s="109"/>
      <c r="S45" s="109"/>
      <c r="T45" s="109"/>
      <c r="U45" s="109"/>
      <c r="V45" s="109"/>
      <c r="W45" s="109"/>
      <c r="X45" s="109"/>
      <c r="Y45" s="109"/>
      <c r="Z45" s="109"/>
    </row>
    <row r="46" ht="12.75" customHeight="1">
      <c r="A46" s="109"/>
      <c r="B46" s="109"/>
      <c r="C46" s="109"/>
      <c r="D46" s="109"/>
      <c r="E46" s="109"/>
      <c r="F46" s="154"/>
      <c r="G46" s="154"/>
      <c r="H46" s="109"/>
      <c r="I46" s="109"/>
      <c r="J46" s="109"/>
      <c r="K46" s="109"/>
      <c r="L46" s="109"/>
      <c r="M46" s="109"/>
      <c r="N46" s="109"/>
      <c r="O46" s="109"/>
      <c r="P46" s="109"/>
      <c r="Q46" s="109"/>
      <c r="R46" s="109"/>
      <c r="S46" s="109"/>
      <c r="T46" s="109"/>
      <c r="U46" s="109"/>
      <c r="V46" s="109"/>
      <c r="W46" s="109"/>
      <c r="X46" s="109"/>
      <c r="Y46" s="109"/>
      <c r="Z46" s="109"/>
    </row>
    <row r="47" ht="12.75" customHeight="1">
      <c r="A47" s="109"/>
      <c r="B47" s="109"/>
      <c r="C47" s="109"/>
      <c r="D47" s="109"/>
      <c r="E47" s="109"/>
      <c r="F47" s="154"/>
      <c r="G47" s="154"/>
      <c r="H47" s="109"/>
      <c r="I47" s="109"/>
      <c r="J47" s="109"/>
      <c r="K47" s="109"/>
      <c r="L47" s="109"/>
      <c r="M47" s="109"/>
      <c r="N47" s="109"/>
      <c r="O47" s="109"/>
      <c r="P47" s="109"/>
      <c r="Q47" s="109"/>
      <c r="R47" s="109"/>
      <c r="S47" s="109"/>
      <c r="T47" s="109"/>
      <c r="U47" s="109"/>
      <c r="V47" s="109"/>
      <c r="W47" s="109"/>
      <c r="X47" s="109"/>
      <c r="Y47" s="109"/>
      <c r="Z47" s="109"/>
    </row>
    <row r="48" ht="12.75" customHeight="1">
      <c r="A48" s="109"/>
      <c r="B48" s="109"/>
      <c r="C48" s="109"/>
      <c r="D48" s="109"/>
      <c r="E48" s="109"/>
      <c r="F48" s="154"/>
      <c r="G48" s="154"/>
      <c r="H48" s="109"/>
      <c r="I48" s="109"/>
      <c r="J48" s="109"/>
      <c r="K48" s="109"/>
      <c r="L48" s="109"/>
      <c r="M48" s="109"/>
      <c r="N48" s="109"/>
      <c r="O48" s="109"/>
      <c r="P48" s="109"/>
      <c r="Q48" s="109"/>
      <c r="R48" s="109"/>
      <c r="S48" s="109"/>
      <c r="T48" s="109"/>
      <c r="U48" s="109"/>
      <c r="V48" s="109"/>
      <c r="W48" s="109"/>
      <c r="X48" s="109"/>
      <c r="Y48" s="109"/>
      <c r="Z48" s="109"/>
    </row>
    <row r="49" ht="12.75" customHeight="1">
      <c r="A49" s="109"/>
      <c r="B49" s="109"/>
      <c r="C49" s="109"/>
      <c r="D49" s="109"/>
      <c r="E49" s="109"/>
      <c r="F49" s="154"/>
      <c r="G49" s="154"/>
      <c r="H49" s="109"/>
      <c r="I49" s="109"/>
      <c r="J49" s="109"/>
      <c r="K49" s="109"/>
      <c r="L49" s="109"/>
      <c r="M49" s="109"/>
      <c r="N49" s="109"/>
      <c r="O49" s="109"/>
      <c r="P49" s="109"/>
      <c r="Q49" s="109"/>
      <c r="R49" s="109"/>
      <c r="S49" s="109"/>
      <c r="T49" s="109"/>
      <c r="U49" s="109"/>
      <c r="V49" s="109"/>
      <c r="W49" s="109"/>
      <c r="X49" s="109"/>
      <c r="Y49" s="109"/>
      <c r="Z49" s="109"/>
    </row>
    <row r="50" ht="12.75" customHeight="1">
      <c r="A50" s="109"/>
      <c r="B50" s="109"/>
      <c r="C50" s="109"/>
      <c r="D50" s="109"/>
      <c r="E50" s="109"/>
      <c r="F50" s="154"/>
      <c r="G50" s="154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</row>
    <row r="51" ht="12.75" customHeight="1">
      <c r="A51" s="109"/>
      <c r="B51" s="109"/>
      <c r="C51" s="109"/>
      <c r="D51" s="109"/>
      <c r="E51" s="109"/>
      <c r="F51" s="154"/>
      <c r="G51" s="154"/>
      <c r="H51" s="109"/>
      <c r="I51" s="109"/>
      <c r="J51" s="109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</row>
    <row r="52" ht="12.75" customHeight="1">
      <c r="A52" s="109"/>
      <c r="B52" s="109"/>
      <c r="C52" s="109"/>
      <c r="D52" s="109"/>
      <c r="E52" s="109"/>
      <c r="F52" s="154"/>
      <c r="G52" s="154"/>
      <c r="H52" s="109"/>
      <c r="I52" s="109"/>
      <c r="J52" s="109"/>
      <c r="K52" s="109"/>
      <c r="L52" s="109"/>
      <c r="M52" s="109"/>
      <c r="N52" s="109"/>
      <c r="O52" s="109"/>
      <c r="P52" s="109"/>
      <c r="Q52" s="109"/>
      <c r="R52" s="109"/>
      <c r="S52" s="109"/>
      <c r="T52" s="109"/>
      <c r="U52" s="109"/>
      <c r="V52" s="109"/>
      <c r="W52" s="109"/>
      <c r="X52" s="109"/>
      <c r="Y52" s="109"/>
      <c r="Z52" s="109"/>
    </row>
    <row r="53" ht="12.75" customHeight="1">
      <c r="A53" s="109"/>
      <c r="B53" s="109"/>
      <c r="C53" s="109"/>
      <c r="D53" s="109"/>
      <c r="E53" s="109"/>
      <c r="F53" s="154"/>
      <c r="G53" s="154"/>
      <c r="H53" s="109"/>
      <c r="I53" s="109"/>
      <c r="J53" s="109"/>
      <c r="K53" s="109"/>
      <c r="L53" s="109"/>
      <c r="M53" s="109"/>
      <c r="N53" s="109"/>
      <c r="O53" s="109"/>
      <c r="P53" s="109"/>
      <c r="Q53" s="109"/>
      <c r="R53" s="109"/>
      <c r="S53" s="109"/>
      <c r="T53" s="109"/>
      <c r="U53" s="109"/>
      <c r="V53" s="109"/>
      <c r="W53" s="109"/>
      <c r="X53" s="109"/>
      <c r="Y53" s="109"/>
      <c r="Z53" s="109"/>
    </row>
    <row r="54" ht="12.75" customHeight="1">
      <c r="A54" s="109"/>
      <c r="B54" s="109"/>
      <c r="C54" s="109"/>
      <c r="D54" s="109"/>
      <c r="E54" s="109"/>
      <c r="F54" s="154"/>
      <c r="G54" s="154"/>
      <c r="H54" s="109"/>
      <c r="I54" s="109"/>
      <c r="J54" s="109"/>
      <c r="K54" s="109"/>
      <c r="L54" s="109"/>
      <c r="M54" s="109"/>
      <c r="N54" s="109"/>
      <c r="O54" s="109"/>
      <c r="P54" s="109"/>
      <c r="Q54" s="109"/>
      <c r="R54" s="109"/>
      <c r="S54" s="109"/>
      <c r="T54" s="109"/>
      <c r="U54" s="109"/>
      <c r="V54" s="109"/>
      <c r="W54" s="109"/>
      <c r="X54" s="109"/>
      <c r="Y54" s="109"/>
      <c r="Z54" s="109"/>
    </row>
    <row r="55" ht="12.75" customHeight="1">
      <c r="A55" s="109"/>
      <c r="B55" s="109"/>
      <c r="C55" s="109"/>
      <c r="D55" s="109"/>
      <c r="E55" s="109"/>
      <c r="F55" s="154"/>
      <c r="G55" s="154"/>
      <c r="H55" s="109"/>
      <c r="I55" s="109"/>
      <c r="J55" s="109"/>
      <c r="K55" s="109"/>
      <c r="L55" s="109"/>
      <c r="M55" s="109"/>
      <c r="N55" s="109"/>
      <c r="O55" s="109"/>
      <c r="P55" s="109"/>
      <c r="Q55" s="109"/>
      <c r="R55" s="109"/>
      <c r="S55" s="109"/>
      <c r="T55" s="109"/>
      <c r="U55" s="109"/>
      <c r="V55" s="109"/>
      <c r="W55" s="109"/>
      <c r="X55" s="109"/>
      <c r="Y55" s="109"/>
      <c r="Z55" s="109"/>
    </row>
    <row r="56" ht="12.75" customHeight="1">
      <c r="A56" s="109"/>
      <c r="B56" s="109"/>
      <c r="C56" s="109"/>
      <c r="D56" s="109"/>
      <c r="E56" s="109"/>
      <c r="F56" s="154"/>
      <c r="G56" s="154"/>
      <c r="H56" s="109"/>
      <c r="I56" s="109"/>
      <c r="J56" s="109"/>
      <c r="K56" s="109"/>
      <c r="L56" s="109"/>
      <c r="M56" s="109"/>
      <c r="N56" s="109"/>
      <c r="O56" s="109"/>
      <c r="P56" s="109"/>
      <c r="Q56" s="109"/>
      <c r="R56" s="109"/>
      <c r="S56" s="109"/>
      <c r="T56" s="109"/>
      <c r="U56" s="109"/>
      <c r="V56" s="109"/>
      <c r="W56" s="109"/>
      <c r="X56" s="109"/>
      <c r="Y56" s="109"/>
      <c r="Z56" s="109"/>
    </row>
    <row r="57" ht="12.75" customHeight="1">
      <c r="A57" s="109"/>
      <c r="B57" s="109"/>
      <c r="C57" s="109"/>
      <c r="D57" s="109"/>
      <c r="E57" s="109"/>
      <c r="F57" s="154"/>
      <c r="G57" s="154"/>
      <c r="H57" s="109"/>
      <c r="I57" s="109"/>
      <c r="J57" s="109"/>
      <c r="K57" s="109"/>
      <c r="L57" s="109"/>
      <c r="M57" s="109"/>
      <c r="N57" s="109"/>
      <c r="O57" s="109"/>
      <c r="P57" s="109"/>
      <c r="Q57" s="109"/>
      <c r="R57" s="109"/>
      <c r="S57" s="109"/>
      <c r="T57" s="109"/>
      <c r="U57" s="109"/>
      <c r="V57" s="109"/>
      <c r="W57" s="109"/>
      <c r="X57" s="109"/>
      <c r="Y57" s="109"/>
      <c r="Z57" s="109"/>
    </row>
    <row r="58" ht="12.75" customHeight="1">
      <c r="A58" s="109"/>
      <c r="B58" s="109"/>
      <c r="C58" s="109"/>
      <c r="D58" s="109"/>
      <c r="E58" s="109"/>
      <c r="F58" s="154"/>
      <c r="G58" s="154"/>
      <c r="H58" s="109"/>
      <c r="I58" s="109"/>
      <c r="J58" s="109"/>
      <c r="K58" s="109"/>
      <c r="L58" s="109"/>
      <c r="M58" s="109"/>
      <c r="N58" s="109"/>
      <c r="O58" s="109"/>
      <c r="P58" s="109"/>
      <c r="Q58" s="109"/>
      <c r="R58" s="109"/>
      <c r="S58" s="109"/>
      <c r="T58" s="109"/>
      <c r="U58" s="109"/>
      <c r="V58" s="109"/>
      <c r="W58" s="109"/>
      <c r="X58" s="109"/>
      <c r="Y58" s="109"/>
      <c r="Z58" s="109"/>
    </row>
    <row r="59" ht="12.75" customHeight="1">
      <c r="A59" s="109"/>
      <c r="B59" s="109"/>
      <c r="C59" s="109"/>
      <c r="D59" s="109"/>
      <c r="E59" s="109"/>
      <c r="F59" s="154"/>
      <c r="G59" s="154"/>
      <c r="H59" s="109"/>
      <c r="I59" s="109"/>
      <c r="J59" s="109"/>
      <c r="K59" s="109"/>
      <c r="L59" s="109"/>
      <c r="M59" s="109"/>
      <c r="N59" s="109"/>
      <c r="O59" s="109"/>
      <c r="P59" s="109"/>
      <c r="Q59" s="109"/>
      <c r="R59" s="109"/>
      <c r="S59" s="109"/>
      <c r="T59" s="109"/>
      <c r="U59" s="109"/>
      <c r="V59" s="109"/>
      <c r="W59" s="109"/>
      <c r="X59" s="109"/>
      <c r="Y59" s="109"/>
      <c r="Z59" s="109"/>
    </row>
    <row r="60" ht="12.75" customHeight="1">
      <c r="A60" s="109"/>
      <c r="B60" s="109"/>
      <c r="C60" s="109"/>
      <c r="D60" s="109"/>
      <c r="E60" s="109"/>
      <c r="F60" s="154"/>
      <c r="G60" s="154"/>
      <c r="H60" s="109"/>
      <c r="I60" s="109"/>
      <c r="J60" s="109"/>
      <c r="K60" s="109"/>
      <c r="L60" s="109"/>
      <c r="M60" s="109"/>
      <c r="N60" s="109"/>
      <c r="O60" s="109"/>
      <c r="P60" s="109"/>
      <c r="Q60" s="109"/>
      <c r="R60" s="109"/>
      <c r="S60" s="109"/>
      <c r="T60" s="109"/>
      <c r="U60" s="109"/>
      <c r="V60" s="109"/>
      <c r="W60" s="109"/>
      <c r="X60" s="109"/>
      <c r="Y60" s="109"/>
      <c r="Z60" s="109"/>
    </row>
    <row r="61" ht="12.75" customHeight="1">
      <c r="A61" s="109"/>
      <c r="B61" s="109"/>
      <c r="C61" s="109"/>
      <c r="D61" s="109"/>
      <c r="E61" s="109"/>
      <c r="F61" s="154"/>
      <c r="G61" s="154"/>
      <c r="H61" s="109"/>
      <c r="I61" s="109"/>
      <c r="J61" s="109"/>
      <c r="K61" s="109"/>
      <c r="L61" s="109"/>
      <c r="M61" s="109"/>
      <c r="N61" s="109"/>
      <c r="O61" s="109"/>
      <c r="P61" s="109"/>
      <c r="Q61" s="109"/>
      <c r="R61" s="109"/>
      <c r="S61" s="109"/>
      <c r="T61" s="109"/>
      <c r="U61" s="109"/>
      <c r="V61" s="109"/>
      <c r="W61" s="109"/>
      <c r="X61" s="109"/>
      <c r="Y61" s="109"/>
      <c r="Z61" s="109"/>
    </row>
    <row r="62" ht="12.75" customHeight="1">
      <c r="A62" s="109"/>
      <c r="B62" s="109"/>
      <c r="C62" s="109"/>
      <c r="D62" s="109"/>
      <c r="E62" s="109"/>
      <c r="F62" s="154"/>
      <c r="G62" s="154"/>
      <c r="H62" s="109"/>
      <c r="I62" s="109"/>
      <c r="J62" s="109"/>
      <c r="K62" s="109"/>
      <c r="L62" s="109"/>
      <c r="M62" s="109"/>
      <c r="N62" s="109"/>
      <c r="O62" s="109"/>
      <c r="P62" s="109"/>
      <c r="Q62" s="109"/>
      <c r="R62" s="109"/>
      <c r="S62" s="109"/>
      <c r="T62" s="109"/>
      <c r="U62" s="109"/>
      <c r="V62" s="109"/>
      <c r="W62" s="109"/>
      <c r="X62" s="109"/>
      <c r="Y62" s="109"/>
      <c r="Z62" s="109"/>
    </row>
    <row r="63" ht="12.75" customHeight="1">
      <c r="A63" s="109"/>
      <c r="B63" s="109"/>
      <c r="C63" s="109"/>
      <c r="D63" s="109"/>
      <c r="E63" s="109"/>
      <c r="F63" s="154"/>
      <c r="G63" s="154"/>
      <c r="H63" s="109"/>
      <c r="I63" s="109"/>
      <c r="J63" s="109"/>
      <c r="K63" s="109"/>
      <c r="L63" s="109"/>
      <c r="M63" s="109"/>
      <c r="N63" s="109"/>
      <c r="O63" s="109"/>
      <c r="P63" s="109"/>
      <c r="Q63" s="109"/>
      <c r="R63" s="109"/>
      <c r="S63" s="109"/>
      <c r="T63" s="109"/>
      <c r="U63" s="109"/>
      <c r="V63" s="109"/>
      <c r="W63" s="109"/>
      <c r="X63" s="109"/>
      <c r="Y63" s="109"/>
      <c r="Z63" s="109"/>
    </row>
    <row r="64" ht="12.75" customHeight="1">
      <c r="A64" s="109"/>
      <c r="B64" s="109"/>
      <c r="C64" s="109"/>
      <c r="D64" s="109"/>
      <c r="E64" s="109"/>
      <c r="F64" s="154"/>
      <c r="G64" s="154"/>
      <c r="H64" s="109"/>
      <c r="I64" s="109"/>
      <c r="J64" s="109"/>
      <c r="K64" s="109"/>
      <c r="L64" s="109"/>
      <c r="M64" s="109"/>
      <c r="N64" s="109"/>
      <c r="O64" s="109"/>
      <c r="P64" s="109"/>
      <c r="Q64" s="109"/>
      <c r="R64" s="109"/>
      <c r="S64" s="109"/>
      <c r="T64" s="109"/>
      <c r="U64" s="109"/>
      <c r="V64" s="109"/>
      <c r="W64" s="109"/>
      <c r="X64" s="109"/>
      <c r="Y64" s="109"/>
      <c r="Z64" s="109"/>
    </row>
    <row r="65" ht="12.75" customHeight="1">
      <c r="A65" s="109"/>
      <c r="B65" s="109"/>
      <c r="C65" s="109"/>
      <c r="D65" s="109"/>
      <c r="E65" s="109"/>
      <c r="F65" s="154"/>
      <c r="G65" s="154"/>
      <c r="H65" s="109"/>
      <c r="I65" s="109"/>
      <c r="J65" s="109"/>
      <c r="K65" s="109"/>
      <c r="L65" s="109"/>
      <c r="M65" s="109"/>
      <c r="N65" s="109"/>
      <c r="O65" s="109"/>
      <c r="P65" s="109"/>
      <c r="Q65" s="109"/>
      <c r="R65" s="109"/>
      <c r="S65" s="109"/>
      <c r="T65" s="109"/>
      <c r="U65" s="109"/>
      <c r="V65" s="109"/>
      <c r="W65" s="109"/>
      <c r="X65" s="109"/>
      <c r="Y65" s="109"/>
      <c r="Z65" s="109"/>
    </row>
    <row r="66" ht="12.75" customHeight="1">
      <c r="A66" s="109"/>
      <c r="B66" s="109"/>
      <c r="C66" s="109"/>
      <c r="D66" s="109"/>
      <c r="E66" s="109"/>
      <c r="F66" s="154"/>
      <c r="G66" s="154"/>
      <c r="H66" s="109"/>
      <c r="I66" s="109"/>
      <c r="J66" s="109"/>
      <c r="K66" s="109"/>
      <c r="L66" s="109"/>
      <c r="M66" s="109"/>
      <c r="N66" s="109"/>
      <c r="O66" s="109"/>
      <c r="P66" s="109"/>
      <c r="Q66" s="109"/>
      <c r="R66" s="109"/>
      <c r="S66" s="109"/>
      <c r="T66" s="109"/>
      <c r="U66" s="109"/>
      <c r="V66" s="109"/>
      <c r="W66" s="109"/>
      <c r="X66" s="109"/>
      <c r="Y66" s="109"/>
      <c r="Z66" s="109"/>
    </row>
    <row r="67" ht="12.75" customHeight="1">
      <c r="A67" s="109"/>
      <c r="B67" s="109"/>
      <c r="C67" s="109"/>
      <c r="D67" s="109"/>
      <c r="E67" s="109"/>
      <c r="F67" s="154"/>
      <c r="G67" s="154"/>
      <c r="H67" s="109"/>
      <c r="I67" s="109"/>
      <c r="J67" s="109"/>
      <c r="K67" s="109"/>
      <c r="L67" s="109"/>
      <c r="M67" s="109"/>
      <c r="N67" s="109"/>
      <c r="O67" s="109"/>
      <c r="P67" s="109"/>
      <c r="Q67" s="109"/>
      <c r="R67" s="109"/>
      <c r="S67" s="109"/>
      <c r="T67" s="109"/>
      <c r="U67" s="109"/>
      <c r="V67" s="109"/>
      <c r="W67" s="109"/>
      <c r="X67" s="109"/>
      <c r="Y67" s="109"/>
      <c r="Z67" s="109"/>
    </row>
    <row r="68" ht="12.75" customHeight="1">
      <c r="A68" s="109"/>
      <c r="B68" s="109"/>
      <c r="C68" s="109"/>
      <c r="D68" s="109"/>
      <c r="E68" s="109"/>
      <c r="F68" s="154"/>
      <c r="G68" s="154"/>
      <c r="H68" s="109"/>
      <c r="I68" s="109"/>
      <c r="J68" s="109"/>
      <c r="K68" s="109"/>
      <c r="L68" s="109"/>
      <c r="M68" s="109"/>
      <c r="N68" s="109"/>
      <c r="O68" s="109"/>
      <c r="P68" s="109"/>
      <c r="Q68" s="109"/>
      <c r="R68" s="109"/>
      <c r="S68" s="109"/>
      <c r="T68" s="109"/>
      <c r="U68" s="109"/>
      <c r="V68" s="109"/>
      <c r="W68" s="109"/>
      <c r="X68" s="109"/>
      <c r="Y68" s="109"/>
      <c r="Z68" s="109"/>
    </row>
    <row r="69" ht="12.75" customHeight="1">
      <c r="A69" s="109"/>
      <c r="B69" s="109"/>
      <c r="C69" s="109"/>
      <c r="D69" s="109"/>
      <c r="E69" s="109"/>
      <c r="F69" s="154"/>
      <c r="G69" s="154"/>
      <c r="H69" s="109"/>
      <c r="I69" s="109"/>
      <c r="J69" s="109"/>
      <c r="K69" s="109"/>
      <c r="L69" s="109"/>
      <c r="M69" s="109"/>
      <c r="N69" s="109"/>
      <c r="O69" s="109"/>
      <c r="P69" s="109"/>
      <c r="Q69" s="109"/>
      <c r="R69" s="109"/>
      <c r="S69" s="109"/>
      <c r="T69" s="109"/>
      <c r="U69" s="109"/>
      <c r="V69" s="109"/>
      <c r="W69" s="109"/>
      <c r="X69" s="109"/>
      <c r="Y69" s="109"/>
      <c r="Z69" s="109"/>
    </row>
    <row r="70" ht="12.75" customHeight="1">
      <c r="A70" s="109"/>
      <c r="B70" s="109"/>
      <c r="C70" s="109"/>
      <c r="D70" s="109"/>
      <c r="E70" s="109"/>
      <c r="F70" s="154"/>
      <c r="G70" s="154"/>
      <c r="H70" s="109"/>
      <c r="I70" s="109"/>
      <c r="J70" s="109"/>
      <c r="K70" s="109"/>
      <c r="L70" s="109"/>
      <c r="M70" s="109"/>
      <c r="N70" s="109"/>
      <c r="O70" s="109"/>
      <c r="P70" s="109"/>
      <c r="Q70" s="109"/>
      <c r="R70" s="109"/>
      <c r="S70" s="109"/>
      <c r="T70" s="109"/>
      <c r="U70" s="109"/>
      <c r="V70" s="109"/>
      <c r="W70" s="109"/>
      <c r="X70" s="109"/>
      <c r="Y70" s="109"/>
      <c r="Z70" s="109"/>
    </row>
    <row r="71" ht="12.75" customHeight="1">
      <c r="A71" s="109"/>
      <c r="B71" s="109"/>
      <c r="C71" s="109"/>
      <c r="D71" s="109"/>
      <c r="E71" s="109"/>
      <c r="F71" s="154"/>
      <c r="G71" s="154"/>
      <c r="H71" s="109"/>
      <c r="I71" s="109"/>
      <c r="J71" s="109"/>
      <c r="K71" s="109"/>
      <c r="L71" s="109"/>
      <c r="M71" s="109"/>
      <c r="N71" s="109"/>
      <c r="O71" s="109"/>
      <c r="P71" s="109"/>
      <c r="Q71" s="109"/>
      <c r="R71" s="109"/>
      <c r="S71" s="109"/>
      <c r="T71" s="109"/>
      <c r="U71" s="109"/>
      <c r="V71" s="109"/>
      <c r="W71" s="109"/>
      <c r="X71" s="109"/>
      <c r="Y71" s="109"/>
      <c r="Z71" s="109"/>
    </row>
    <row r="72" ht="12.75" customHeight="1">
      <c r="A72" s="109"/>
      <c r="B72" s="109"/>
      <c r="C72" s="109"/>
      <c r="D72" s="109"/>
      <c r="E72" s="109"/>
      <c r="F72" s="154"/>
      <c r="G72" s="154"/>
      <c r="H72" s="109"/>
      <c r="I72" s="109"/>
      <c r="J72" s="109"/>
      <c r="K72" s="109"/>
      <c r="L72" s="109"/>
      <c r="M72" s="109"/>
      <c r="N72" s="109"/>
      <c r="O72" s="109"/>
      <c r="P72" s="109"/>
      <c r="Q72" s="109"/>
      <c r="R72" s="109"/>
      <c r="S72" s="109"/>
      <c r="T72" s="109"/>
      <c r="U72" s="109"/>
      <c r="V72" s="109"/>
      <c r="W72" s="109"/>
      <c r="X72" s="109"/>
      <c r="Y72" s="109"/>
      <c r="Z72" s="109"/>
    </row>
    <row r="73" ht="12.75" customHeight="1">
      <c r="A73" s="109"/>
      <c r="B73" s="109"/>
      <c r="C73" s="109"/>
      <c r="D73" s="109"/>
      <c r="E73" s="109"/>
      <c r="F73" s="154"/>
      <c r="G73" s="154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</row>
    <row r="74" ht="12.75" customHeight="1">
      <c r="A74" s="109"/>
      <c r="B74" s="109"/>
      <c r="C74" s="109"/>
      <c r="D74" s="109"/>
      <c r="E74" s="109"/>
      <c r="F74" s="154"/>
      <c r="G74" s="154"/>
      <c r="H74" s="109"/>
      <c r="I74" s="109"/>
      <c r="J74" s="109"/>
      <c r="K74" s="109"/>
      <c r="L74" s="109"/>
      <c r="M74" s="109"/>
      <c r="N74" s="109"/>
      <c r="O74" s="109"/>
      <c r="P74" s="109"/>
      <c r="Q74" s="109"/>
      <c r="R74" s="109"/>
      <c r="S74" s="109"/>
      <c r="T74" s="109"/>
      <c r="U74" s="109"/>
      <c r="V74" s="109"/>
      <c r="W74" s="109"/>
      <c r="X74" s="109"/>
      <c r="Y74" s="109"/>
      <c r="Z74" s="109"/>
    </row>
    <row r="75" ht="12.75" customHeight="1">
      <c r="A75" s="109"/>
      <c r="B75" s="109"/>
      <c r="C75" s="109"/>
      <c r="D75" s="109"/>
      <c r="E75" s="109"/>
      <c r="F75" s="154"/>
      <c r="G75" s="154"/>
      <c r="H75" s="109"/>
      <c r="I75" s="109"/>
      <c r="J75" s="109"/>
      <c r="K75" s="109"/>
      <c r="L75" s="109"/>
      <c r="M75" s="109"/>
      <c r="N75" s="109"/>
      <c r="O75" s="109"/>
      <c r="P75" s="109"/>
      <c r="Q75" s="109"/>
      <c r="R75" s="109"/>
      <c r="S75" s="109"/>
      <c r="T75" s="109"/>
      <c r="U75" s="109"/>
      <c r="V75" s="109"/>
      <c r="W75" s="109"/>
      <c r="X75" s="109"/>
      <c r="Y75" s="109"/>
      <c r="Z75" s="109"/>
    </row>
    <row r="76" ht="12.75" customHeight="1">
      <c r="A76" s="109"/>
      <c r="B76" s="109"/>
      <c r="C76" s="109"/>
      <c r="D76" s="109"/>
      <c r="E76" s="109"/>
      <c r="F76" s="154"/>
      <c r="G76" s="154"/>
      <c r="H76" s="109"/>
      <c r="I76" s="109"/>
      <c r="J76" s="109"/>
      <c r="K76" s="109"/>
      <c r="L76" s="109"/>
      <c r="M76" s="109"/>
      <c r="N76" s="109"/>
      <c r="O76" s="109"/>
      <c r="P76" s="109"/>
      <c r="Q76" s="109"/>
      <c r="R76" s="109"/>
      <c r="S76" s="109"/>
      <c r="T76" s="109"/>
      <c r="U76" s="109"/>
      <c r="V76" s="109"/>
      <c r="W76" s="109"/>
      <c r="X76" s="109"/>
      <c r="Y76" s="109"/>
      <c r="Z76" s="109"/>
    </row>
    <row r="77" ht="12.75" customHeight="1">
      <c r="A77" s="109"/>
      <c r="B77" s="109"/>
      <c r="C77" s="109"/>
      <c r="D77" s="109"/>
      <c r="E77" s="109"/>
      <c r="F77" s="154"/>
      <c r="G77" s="154"/>
      <c r="H77" s="109"/>
      <c r="I77" s="109"/>
      <c r="J77" s="109"/>
      <c r="K77" s="109"/>
      <c r="L77" s="109"/>
      <c r="M77" s="109"/>
      <c r="N77" s="109"/>
      <c r="O77" s="109"/>
      <c r="P77" s="109"/>
      <c r="Q77" s="109"/>
      <c r="R77" s="109"/>
      <c r="S77" s="109"/>
      <c r="T77" s="109"/>
      <c r="U77" s="109"/>
      <c r="V77" s="109"/>
      <c r="W77" s="109"/>
      <c r="X77" s="109"/>
      <c r="Y77" s="109"/>
      <c r="Z77" s="109"/>
    </row>
    <row r="78" ht="12.75" customHeight="1">
      <c r="A78" s="109"/>
      <c r="B78" s="109"/>
      <c r="C78" s="109"/>
      <c r="D78" s="109"/>
      <c r="E78" s="109"/>
      <c r="F78" s="154"/>
      <c r="G78" s="154"/>
      <c r="H78" s="109"/>
      <c r="I78" s="109"/>
      <c r="J78" s="109"/>
      <c r="K78" s="109"/>
      <c r="L78" s="109"/>
      <c r="M78" s="109"/>
      <c r="N78" s="109"/>
      <c r="O78" s="109"/>
      <c r="P78" s="109"/>
      <c r="Q78" s="109"/>
      <c r="R78" s="109"/>
      <c r="S78" s="109"/>
      <c r="T78" s="109"/>
      <c r="U78" s="109"/>
      <c r="V78" s="109"/>
      <c r="W78" s="109"/>
      <c r="X78" s="109"/>
      <c r="Y78" s="109"/>
      <c r="Z78" s="109"/>
    </row>
    <row r="79" ht="12.75" customHeight="1">
      <c r="A79" s="109"/>
      <c r="B79" s="109"/>
      <c r="C79" s="109"/>
      <c r="D79" s="109"/>
      <c r="E79" s="109"/>
      <c r="F79" s="154"/>
      <c r="G79" s="154"/>
      <c r="H79" s="109"/>
      <c r="I79" s="109"/>
      <c r="J79" s="109"/>
      <c r="K79" s="109"/>
      <c r="L79" s="109"/>
      <c r="M79" s="109"/>
      <c r="N79" s="109"/>
      <c r="O79" s="109"/>
      <c r="P79" s="109"/>
      <c r="Q79" s="109"/>
      <c r="R79" s="109"/>
      <c r="S79" s="109"/>
      <c r="T79" s="109"/>
      <c r="U79" s="109"/>
      <c r="V79" s="109"/>
      <c r="W79" s="109"/>
      <c r="X79" s="109"/>
      <c r="Y79" s="109"/>
      <c r="Z79" s="109"/>
    </row>
    <row r="80" ht="12.75" customHeight="1">
      <c r="A80" s="109"/>
      <c r="B80" s="109"/>
      <c r="C80" s="109"/>
      <c r="D80" s="109"/>
      <c r="E80" s="109"/>
      <c r="F80" s="154"/>
      <c r="G80" s="154"/>
      <c r="H80" s="109"/>
      <c r="I80" s="109"/>
      <c r="J80" s="109"/>
      <c r="K80" s="109"/>
      <c r="L80" s="109"/>
      <c r="M80" s="109"/>
      <c r="N80" s="109"/>
      <c r="O80" s="109"/>
      <c r="P80" s="109"/>
      <c r="Q80" s="109"/>
      <c r="R80" s="109"/>
      <c r="S80" s="109"/>
      <c r="T80" s="109"/>
      <c r="U80" s="109"/>
      <c r="V80" s="109"/>
      <c r="W80" s="109"/>
      <c r="X80" s="109"/>
      <c r="Y80" s="109"/>
      <c r="Z80" s="109"/>
    </row>
    <row r="81" ht="12.75" customHeight="1">
      <c r="A81" s="109"/>
      <c r="B81" s="109"/>
      <c r="C81" s="109"/>
      <c r="D81" s="109"/>
      <c r="E81" s="109"/>
      <c r="F81" s="154"/>
      <c r="G81" s="154"/>
      <c r="H81" s="109"/>
      <c r="I81" s="109"/>
      <c r="J81" s="109"/>
      <c r="K81" s="109"/>
      <c r="L81" s="109"/>
      <c r="M81" s="109"/>
      <c r="N81" s="109"/>
      <c r="O81" s="109"/>
      <c r="P81" s="109"/>
      <c r="Q81" s="109"/>
      <c r="R81" s="109"/>
      <c r="S81" s="109"/>
      <c r="T81" s="109"/>
      <c r="U81" s="109"/>
      <c r="V81" s="109"/>
      <c r="W81" s="109"/>
      <c r="X81" s="109"/>
      <c r="Y81" s="109"/>
      <c r="Z81" s="109"/>
    </row>
    <row r="82" ht="12.75" customHeight="1">
      <c r="A82" s="109"/>
      <c r="B82" s="109"/>
      <c r="C82" s="109"/>
      <c r="D82" s="109"/>
      <c r="E82" s="109"/>
      <c r="F82" s="154"/>
      <c r="G82" s="154"/>
      <c r="H82" s="109"/>
      <c r="I82" s="109"/>
      <c r="J82" s="109"/>
      <c r="K82" s="109"/>
      <c r="L82" s="109"/>
      <c r="M82" s="109"/>
      <c r="N82" s="109"/>
      <c r="O82" s="109"/>
      <c r="P82" s="109"/>
      <c r="Q82" s="109"/>
      <c r="R82" s="109"/>
      <c r="S82" s="109"/>
      <c r="T82" s="109"/>
      <c r="U82" s="109"/>
      <c r="V82" s="109"/>
      <c r="W82" s="109"/>
      <c r="X82" s="109"/>
      <c r="Y82" s="109"/>
      <c r="Z82" s="109"/>
    </row>
    <row r="83" ht="12.75" customHeight="1">
      <c r="A83" s="109"/>
      <c r="B83" s="109"/>
      <c r="C83" s="109"/>
      <c r="D83" s="109"/>
      <c r="E83" s="109"/>
      <c r="F83" s="154"/>
      <c r="G83" s="154"/>
      <c r="H83" s="109"/>
      <c r="I83" s="109"/>
      <c r="J83" s="109"/>
      <c r="K83" s="109"/>
      <c r="L83" s="109"/>
      <c r="M83" s="109"/>
      <c r="N83" s="109"/>
      <c r="O83" s="109"/>
      <c r="P83" s="109"/>
      <c r="Q83" s="109"/>
      <c r="R83" s="109"/>
      <c r="S83" s="109"/>
      <c r="T83" s="109"/>
      <c r="U83" s="109"/>
      <c r="V83" s="109"/>
      <c r="W83" s="109"/>
      <c r="X83" s="109"/>
      <c r="Y83" s="109"/>
      <c r="Z83" s="109"/>
    </row>
    <row r="84" ht="12.75" customHeight="1">
      <c r="A84" s="109"/>
      <c r="B84" s="109"/>
      <c r="C84" s="109"/>
      <c r="D84" s="109"/>
      <c r="E84" s="109"/>
      <c r="F84" s="154"/>
      <c r="G84" s="154"/>
      <c r="H84" s="109"/>
      <c r="I84" s="109"/>
      <c r="J84" s="109"/>
      <c r="K84" s="109"/>
      <c r="L84" s="109"/>
      <c r="M84" s="109"/>
      <c r="N84" s="109"/>
      <c r="O84" s="109"/>
      <c r="P84" s="109"/>
      <c r="Q84" s="109"/>
      <c r="R84" s="109"/>
      <c r="S84" s="109"/>
      <c r="T84" s="109"/>
      <c r="U84" s="109"/>
      <c r="V84" s="109"/>
      <c r="W84" s="109"/>
      <c r="X84" s="109"/>
      <c r="Y84" s="109"/>
      <c r="Z84" s="109"/>
    </row>
    <row r="85" ht="12.75" customHeight="1">
      <c r="A85" s="109"/>
      <c r="B85" s="109"/>
      <c r="C85" s="109"/>
      <c r="D85" s="109"/>
      <c r="E85" s="109"/>
      <c r="F85" s="154"/>
      <c r="G85" s="154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  <c r="T85" s="109"/>
      <c r="U85" s="109"/>
      <c r="V85" s="109"/>
      <c r="W85" s="109"/>
      <c r="X85" s="109"/>
      <c r="Y85" s="109"/>
      <c r="Z85" s="109"/>
    </row>
    <row r="86" ht="12.75" customHeight="1">
      <c r="A86" s="109"/>
      <c r="B86" s="109"/>
      <c r="C86" s="109"/>
      <c r="D86" s="109"/>
      <c r="E86" s="109"/>
      <c r="F86" s="154"/>
      <c r="G86" s="154"/>
      <c r="H86" s="109"/>
      <c r="I86" s="109"/>
      <c r="J86" s="109"/>
      <c r="K86" s="109"/>
      <c r="L86" s="109"/>
      <c r="M86" s="109"/>
      <c r="N86" s="109"/>
      <c r="O86" s="109"/>
      <c r="P86" s="109"/>
      <c r="Q86" s="109"/>
      <c r="R86" s="109"/>
      <c r="S86" s="109"/>
      <c r="T86" s="109"/>
      <c r="U86" s="109"/>
      <c r="V86" s="109"/>
      <c r="W86" s="109"/>
      <c r="X86" s="109"/>
      <c r="Y86" s="109"/>
      <c r="Z86" s="109"/>
    </row>
    <row r="87" ht="12.75" customHeight="1">
      <c r="A87" s="109"/>
      <c r="B87" s="109"/>
      <c r="C87" s="109"/>
      <c r="D87" s="109"/>
      <c r="E87" s="109"/>
      <c r="F87" s="154"/>
      <c r="G87" s="154"/>
      <c r="H87" s="109"/>
      <c r="I87" s="109"/>
      <c r="J87" s="109"/>
      <c r="K87" s="109"/>
      <c r="L87" s="109"/>
      <c r="M87" s="109"/>
      <c r="N87" s="109"/>
      <c r="O87" s="109"/>
      <c r="P87" s="109"/>
      <c r="Q87" s="109"/>
      <c r="R87" s="109"/>
      <c r="S87" s="109"/>
      <c r="T87" s="109"/>
      <c r="U87" s="109"/>
      <c r="V87" s="109"/>
      <c r="W87" s="109"/>
      <c r="X87" s="109"/>
      <c r="Y87" s="109"/>
      <c r="Z87" s="109"/>
    </row>
    <row r="88" ht="12.75" customHeight="1">
      <c r="A88" s="109"/>
      <c r="B88" s="109"/>
      <c r="C88" s="109"/>
      <c r="D88" s="109"/>
      <c r="E88" s="109"/>
      <c r="F88" s="154"/>
      <c r="G88" s="154"/>
      <c r="H88" s="109"/>
      <c r="I88" s="109"/>
      <c r="J88" s="109"/>
      <c r="K88" s="109"/>
      <c r="L88" s="109"/>
      <c r="M88" s="109"/>
      <c r="N88" s="109"/>
      <c r="O88" s="109"/>
      <c r="P88" s="109"/>
      <c r="Q88" s="109"/>
      <c r="R88" s="109"/>
      <c r="S88" s="109"/>
      <c r="T88" s="109"/>
      <c r="U88" s="109"/>
      <c r="V88" s="109"/>
      <c r="W88" s="109"/>
      <c r="X88" s="109"/>
      <c r="Y88" s="109"/>
      <c r="Z88" s="109"/>
    </row>
    <row r="89" ht="12.75" customHeight="1">
      <c r="A89" s="109"/>
      <c r="B89" s="109"/>
      <c r="C89" s="109"/>
      <c r="D89" s="109"/>
      <c r="E89" s="109"/>
      <c r="F89" s="154"/>
      <c r="G89" s="154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  <c r="T89" s="109"/>
      <c r="U89" s="109"/>
      <c r="V89" s="109"/>
      <c r="W89" s="109"/>
      <c r="X89" s="109"/>
      <c r="Y89" s="109"/>
      <c r="Z89" s="109"/>
    </row>
    <row r="90" ht="12.75" customHeight="1">
      <c r="A90" s="109"/>
      <c r="B90" s="109"/>
      <c r="C90" s="109"/>
      <c r="D90" s="109"/>
      <c r="E90" s="109"/>
      <c r="F90" s="154"/>
      <c r="G90" s="154"/>
      <c r="H90" s="109"/>
      <c r="I90" s="109"/>
      <c r="J90" s="109"/>
      <c r="K90" s="109"/>
      <c r="L90" s="109"/>
      <c r="M90" s="109"/>
      <c r="N90" s="109"/>
      <c r="O90" s="109"/>
      <c r="P90" s="109"/>
      <c r="Q90" s="109"/>
      <c r="R90" s="109"/>
      <c r="S90" s="109"/>
      <c r="T90" s="109"/>
      <c r="U90" s="109"/>
      <c r="V90" s="109"/>
      <c r="W90" s="109"/>
      <c r="X90" s="109"/>
      <c r="Y90" s="109"/>
      <c r="Z90" s="109"/>
    </row>
    <row r="91" ht="12.75" customHeight="1">
      <c r="A91" s="109"/>
      <c r="B91" s="109"/>
      <c r="C91" s="109"/>
      <c r="D91" s="109"/>
      <c r="E91" s="109"/>
      <c r="F91" s="154"/>
      <c r="G91" s="154"/>
      <c r="H91" s="109"/>
      <c r="I91" s="109"/>
      <c r="J91" s="109"/>
      <c r="K91" s="109"/>
      <c r="L91" s="109"/>
      <c r="M91" s="109"/>
      <c r="N91" s="109"/>
      <c r="O91" s="109"/>
      <c r="P91" s="109"/>
      <c r="Q91" s="109"/>
      <c r="R91" s="109"/>
      <c r="S91" s="109"/>
      <c r="T91" s="109"/>
      <c r="U91" s="109"/>
      <c r="V91" s="109"/>
      <c r="W91" s="109"/>
      <c r="X91" s="109"/>
      <c r="Y91" s="109"/>
      <c r="Z91" s="109"/>
    </row>
    <row r="92" ht="12.75" customHeight="1">
      <c r="A92" s="109"/>
      <c r="B92" s="109"/>
      <c r="C92" s="109"/>
      <c r="D92" s="109"/>
      <c r="E92" s="109"/>
      <c r="F92" s="154"/>
      <c r="G92" s="154"/>
      <c r="H92" s="109"/>
      <c r="I92" s="109"/>
      <c r="J92" s="109"/>
      <c r="K92" s="109"/>
      <c r="L92" s="109"/>
      <c r="M92" s="109"/>
      <c r="N92" s="109"/>
      <c r="O92" s="109"/>
      <c r="P92" s="109"/>
      <c r="Q92" s="109"/>
      <c r="R92" s="109"/>
      <c r="S92" s="109"/>
      <c r="T92" s="109"/>
      <c r="U92" s="109"/>
      <c r="V92" s="109"/>
      <c r="W92" s="109"/>
      <c r="X92" s="109"/>
      <c r="Y92" s="109"/>
      <c r="Z92" s="109"/>
    </row>
    <row r="93" ht="12.75" customHeight="1">
      <c r="A93" s="109"/>
      <c r="B93" s="109"/>
      <c r="C93" s="109"/>
      <c r="D93" s="109"/>
      <c r="E93" s="109"/>
      <c r="F93" s="154"/>
      <c r="G93" s="154"/>
      <c r="H93" s="109"/>
      <c r="I93" s="109"/>
      <c r="J93" s="109"/>
      <c r="K93" s="109"/>
      <c r="L93" s="109"/>
      <c r="M93" s="109"/>
      <c r="N93" s="109"/>
      <c r="O93" s="109"/>
      <c r="P93" s="109"/>
      <c r="Q93" s="109"/>
      <c r="R93" s="109"/>
      <c r="S93" s="109"/>
      <c r="T93" s="109"/>
      <c r="U93" s="109"/>
      <c r="V93" s="109"/>
      <c r="W93" s="109"/>
      <c r="X93" s="109"/>
      <c r="Y93" s="109"/>
      <c r="Z93" s="109"/>
    </row>
    <row r="94" ht="12.75" customHeight="1">
      <c r="A94" s="109"/>
      <c r="B94" s="109"/>
      <c r="C94" s="109"/>
      <c r="D94" s="109"/>
      <c r="E94" s="109"/>
      <c r="F94" s="154"/>
      <c r="G94" s="154"/>
      <c r="H94" s="109"/>
      <c r="I94" s="109"/>
      <c r="J94" s="109"/>
      <c r="K94" s="109"/>
      <c r="L94" s="109"/>
      <c r="M94" s="109"/>
      <c r="N94" s="109"/>
      <c r="O94" s="109"/>
      <c r="P94" s="109"/>
      <c r="Q94" s="109"/>
      <c r="R94" s="109"/>
      <c r="S94" s="109"/>
      <c r="T94" s="109"/>
      <c r="U94" s="109"/>
      <c r="V94" s="109"/>
      <c r="W94" s="109"/>
      <c r="X94" s="109"/>
      <c r="Y94" s="109"/>
      <c r="Z94" s="109"/>
    </row>
    <row r="95" ht="12.75" customHeight="1">
      <c r="A95" s="109"/>
      <c r="B95" s="109"/>
      <c r="C95" s="109"/>
      <c r="D95" s="109"/>
      <c r="E95" s="109"/>
      <c r="F95" s="154"/>
      <c r="G95" s="154"/>
      <c r="H95" s="109"/>
      <c r="I95" s="109"/>
      <c r="J95" s="109"/>
      <c r="K95" s="109"/>
      <c r="L95" s="109"/>
      <c r="M95" s="109"/>
      <c r="N95" s="109"/>
      <c r="O95" s="109"/>
      <c r="P95" s="109"/>
      <c r="Q95" s="109"/>
      <c r="R95" s="109"/>
      <c r="S95" s="109"/>
      <c r="T95" s="109"/>
      <c r="U95" s="109"/>
      <c r="V95" s="109"/>
      <c r="W95" s="109"/>
      <c r="X95" s="109"/>
      <c r="Y95" s="109"/>
      <c r="Z95" s="109"/>
    </row>
    <row r="96" ht="12.75" customHeight="1">
      <c r="A96" s="109"/>
      <c r="B96" s="109"/>
      <c r="C96" s="109"/>
      <c r="D96" s="109"/>
      <c r="E96" s="109"/>
      <c r="F96" s="154"/>
      <c r="G96" s="154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</row>
    <row r="97" ht="12.75" customHeight="1">
      <c r="A97" s="109"/>
      <c r="B97" s="109"/>
      <c r="C97" s="109"/>
      <c r="D97" s="109"/>
      <c r="E97" s="109"/>
      <c r="F97" s="154"/>
      <c r="G97" s="154"/>
      <c r="H97" s="109"/>
      <c r="I97" s="109"/>
      <c r="J97" s="109"/>
      <c r="K97" s="109"/>
      <c r="L97" s="109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109"/>
      <c r="Y97" s="109"/>
      <c r="Z97" s="109"/>
    </row>
    <row r="98" ht="12.75" customHeight="1">
      <c r="A98" s="109"/>
      <c r="B98" s="109"/>
      <c r="C98" s="109"/>
      <c r="D98" s="109"/>
      <c r="E98" s="109"/>
      <c r="F98" s="154"/>
      <c r="G98" s="154"/>
      <c r="H98" s="109"/>
      <c r="I98" s="109"/>
      <c r="J98" s="109"/>
      <c r="K98" s="109"/>
      <c r="L98" s="109"/>
      <c r="M98" s="109"/>
      <c r="N98" s="109"/>
      <c r="O98" s="109"/>
      <c r="P98" s="109"/>
      <c r="Q98" s="109"/>
      <c r="R98" s="109"/>
      <c r="S98" s="109"/>
      <c r="T98" s="109"/>
      <c r="U98" s="109"/>
      <c r="V98" s="109"/>
      <c r="W98" s="109"/>
      <c r="X98" s="109"/>
      <c r="Y98" s="109"/>
      <c r="Z98" s="109"/>
    </row>
    <row r="99" ht="12.75" customHeight="1">
      <c r="A99" s="109"/>
      <c r="B99" s="109"/>
      <c r="C99" s="109"/>
      <c r="D99" s="109"/>
      <c r="E99" s="109"/>
      <c r="F99" s="154"/>
      <c r="G99" s="154"/>
      <c r="H99" s="109"/>
      <c r="I99" s="109"/>
      <c r="J99" s="109"/>
      <c r="K99" s="109"/>
      <c r="L99" s="109"/>
      <c r="M99" s="109"/>
      <c r="N99" s="109"/>
      <c r="O99" s="109"/>
      <c r="P99" s="109"/>
      <c r="Q99" s="109"/>
      <c r="R99" s="109"/>
      <c r="S99" s="109"/>
      <c r="T99" s="109"/>
      <c r="U99" s="109"/>
      <c r="V99" s="109"/>
      <c r="W99" s="109"/>
      <c r="X99" s="109"/>
      <c r="Y99" s="109"/>
      <c r="Z99" s="109"/>
    </row>
    <row r="100" ht="12.75" customHeight="1">
      <c r="A100" s="109"/>
      <c r="B100" s="109"/>
      <c r="C100" s="109"/>
      <c r="D100" s="109"/>
      <c r="E100" s="109"/>
      <c r="F100" s="154"/>
      <c r="G100" s="154"/>
      <c r="H100" s="109"/>
      <c r="I100" s="109"/>
      <c r="J100" s="109"/>
      <c r="K100" s="109"/>
      <c r="L100" s="109"/>
      <c r="M100" s="109"/>
      <c r="N100" s="109"/>
      <c r="O100" s="109"/>
      <c r="P100" s="109"/>
      <c r="Q100" s="109"/>
      <c r="R100" s="109"/>
      <c r="S100" s="109"/>
      <c r="T100" s="109"/>
      <c r="U100" s="109"/>
      <c r="V100" s="109"/>
      <c r="W100" s="109"/>
      <c r="X100" s="109"/>
      <c r="Y100" s="109"/>
      <c r="Z100" s="109"/>
    </row>
    <row r="101" ht="12.75" customHeight="1">
      <c r="A101" s="109"/>
      <c r="B101" s="109"/>
      <c r="C101" s="109"/>
      <c r="D101" s="109"/>
      <c r="E101" s="109"/>
      <c r="F101" s="154"/>
      <c r="G101" s="154"/>
      <c r="H101" s="109"/>
      <c r="I101" s="109"/>
      <c r="J101" s="109"/>
      <c r="K101" s="109"/>
      <c r="L101" s="109"/>
      <c r="M101" s="109"/>
      <c r="N101" s="109"/>
      <c r="O101" s="109"/>
      <c r="P101" s="109"/>
      <c r="Q101" s="109"/>
      <c r="R101" s="109"/>
      <c r="S101" s="109"/>
      <c r="T101" s="109"/>
      <c r="U101" s="109"/>
      <c r="V101" s="109"/>
      <c r="W101" s="109"/>
      <c r="X101" s="109"/>
      <c r="Y101" s="109"/>
      <c r="Z101" s="109"/>
    </row>
    <row r="102" ht="12.75" customHeight="1">
      <c r="A102" s="109"/>
      <c r="B102" s="109"/>
      <c r="C102" s="109"/>
      <c r="D102" s="109"/>
      <c r="E102" s="109"/>
      <c r="F102" s="154"/>
      <c r="G102" s="154"/>
      <c r="H102" s="109"/>
      <c r="I102" s="109"/>
      <c r="J102" s="109"/>
      <c r="K102" s="109"/>
      <c r="L102" s="109"/>
      <c r="M102" s="109"/>
      <c r="N102" s="109"/>
      <c r="O102" s="109"/>
      <c r="P102" s="109"/>
      <c r="Q102" s="109"/>
      <c r="R102" s="109"/>
      <c r="S102" s="109"/>
      <c r="T102" s="109"/>
      <c r="U102" s="109"/>
      <c r="V102" s="109"/>
      <c r="W102" s="109"/>
      <c r="X102" s="109"/>
      <c r="Y102" s="109"/>
      <c r="Z102" s="109"/>
    </row>
    <row r="103" ht="12.75" customHeight="1">
      <c r="A103" s="109"/>
      <c r="B103" s="109"/>
      <c r="C103" s="109"/>
      <c r="D103" s="109"/>
      <c r="E103" s="109"/>
      <c r="F103" s="154"/>
      <c r="G103" s="154"/>
      <c r="H103" s="109"/>
      <c r="I103" s="109"/>
      <c r="J103" s="109"/>
      <c r="K103" s="109"/>
      <c r="L103" s="109"/>
      <c r="M103" s="109"/>
      <c r="N103" s="109"/>
      <c r="O103" s="109"/>
      <c r="P103" s="109"/>
      <c r="Q103" s="109"/>
      <c r="R103" s="109"/>
      <c r="S103" s="109"/>
      <c r="T103" s="109"/>
      <c r="U103" s="109"/>
      <c r="V103" s="109"/>
      <c r="W103" s="109"/>
      <c r="X103" s="109"/>
      <c r="Y103" s="109"/>
      <c r="Z103" s="109"/>
    </row>
    <row r="104" ht="12.75" customHeight="1">
      <c r="A104" s="109"/>
      <c r="B104" s="109"/>
      <c r="C104" s="109"/>
      <c r="D104" s="109"/>
      <c r="E104" s="109"/>
      <c r="F104" s="154"/>
      <c r="G104" s="154"/>
      <c r="H104" s="109"/>
      <c r="I104" s="109"/>
      <c r="J104" s="109"/>
      <c r="K104" s="109"/>
      <c r="L104" s="109"/>
      <c r="M104" s="109"/>
      <c r="N104" s="109"/>
      <c r="O104" s="109"/>
      <c r="P104" s="109"/>
      <c r="Q104" s="109"/>
      <c r="R104" s="109"/>
      <c r="S104" s="109"/>
      <c r="T104" s="109"/>
      <c r="U104" s="109"/>
      <c r="V104" s="109"/>
      <c r="W104" s="109"/>
      <c r="X104" s="109"/>
      <c r="Y104" s="109"/>
      <c r="Z104" s="109"/>
    </row>
    <row r="105" ht="12.75" customHeight="1">
      <c r="A105" s="109"/>
      <c r="B105" s="109"/>
      <c r="C105" s="109"/>
      <c r="D105" s="109"/>
      <c r="E105" s="109"/>
      <c r="F105" s="154"/>
      <c r="G105" s="154"/>
      <c r="H105" s="109"/>
      <c r="I105" s="109"/>
      <c r="J105" s="109"/>
      <c r="K105" s="109"/>
      <c r="L105" s="109"/>
      <c r="M105" s="109"/>
      <c r="N105" s="109"/>
      <c r="O105" s="109"/>
      <c r="P105" s="109"/>
      <c r="Q105" s="109"/>
      <c r="R105" s="109"/>
      <c r="S105" s="109"/>
      <c r="T105" s="109"/>
      <c r="U105" s="109"/>
      <c r="V105" s="109"/>
      <c r="W105" s="109"/>
      <c r="X105" s="109"/>
      <c r="Y105" s="109"/>
      <c r="Z105" s="109"/>
    </row>
    <row r="106" ht="12.75" customHeight="1">
      <c r="A106" s="109"/>
      <c r="B106" s="109"/>
      <c r="C106" s="109"/>
      <c r="D106" s="109"/>
      <c r="E106" s="109"/>
      <c r="F106" s="154"/>
      <c r="G106" s="154"/>
      <c r="H106" s="109"/>
      <c r="I106" s="109"/>
      <c r="J106" s="109"/>
      <c r="K106" s="109"/>
      <c r="L106" s="109"/>
      <c r="M106" s="109"/>
      <c r="N106" s="109"/>
      <c r="O106" s="109"/>
      <c r="P106" s="109"/>
      <c r="Q106" s="109"/>
      <c r="R106" s="109"/>
      <c r="S106" s="109"/>
      <c r="T106" s="109"/>
      <c r="U106" s="109"/>
      <c r="V106" s="109"/>
      <c r="W106" s="109"/>
      <c r="X106" s="109"/>
      <c r="Y106" s="109"/>
      <c r="Z106" s="109"/>
    </row>
    <row r="107" ht="12.75" customHeight="1">
      <c r="A107" s="109"/>
      <c r="B107" s="109"/>
      <c r="C107" s="109"/>
      <c r="D107" s="109"/>
      <c r="E107" s="109"/>
      <c r="F107" s="154"/>
      <c r="G107" s="154"/>
      <c r="H107" s="109"/>
      <c r="I107" s="109"/>
      <c r="J107" s="109"/>
      <c r="K107" s="109"/>
      <c r="L107" s="109"/>
      <c r="M107" s="109"/>
      <c r="N107" s="109"/>
      <c r="O107" s="109"/>
      <c r="P107" s="109"/>
      <c r="Q107" s="109"/>
      <c r="R107" s="109"/>
      <c r="S107" s="109"/>
      <c r="T107" s="109"/>
      <c r="U107" s="109"/>
      <c r="V107" s="109"/>
      <c r="W107" s="109"/>
      <c r="X107" s="109"/>
      <c r="Y107" s="109"/>
      <c r="Z107" s="109"/>
    </row>
    <row r="108" ht="12.75" customHeight="1">
      <c r="A108" s="109"/>
      <c r="B108" s="109"/>
      <c r="C108" s="109"/>
      <c r="D108" s="109"/>
      <c r="E108" s="109"/>
      <c r="F108" s="154"/>
      <c r="G108" s="154"/>
      <c r="H108" s="109"/>
      <c r="I108" s="109"/>
      <c r="J108" s="109"/>
      <c r="K108" s="109"/>
      <c r="L108" s="109"/>
      <c r="M108" s="109"/>
      <c r="N108" s="109"/>
      <c r="O108" s="109"/>
      <c r="P108" s="109"/>
      <c r="Q108" s="109"/>
      <c r="R108" s="109"/>
      <c r="S108" s="109"/>
      <c r="T108" s="109"/>
      <c r="U108" s="109"/>
      <c r="V108" s="109"/>
      <c r="W108" s="109"/>
      <c r="X108" s="109"/>
      <c r="Y108" s="109"/>
      <c r="Z108" s="109"/>
    </row>
    <row r="109" ht="12.75" customHeight="1">
      <c r="A109" s="109"/>
      <c r="B109" s="109"/>
      <c r="C109" s="109"/>
      <c r="D109" s="109"/>
      <c r="E109" s="109"/>
      <c r="F109" s="154"/>
      <c r="G109" s="154"/>
      <c r="H109" s="109"/>
      <c r="I109" s="109"/>
      <c r="J109" s="109"/>
      <c r="K109" s="109"/>
      <c r="L109" s="109"/>
      <c r="M109" s="109"/>
      <c r="N109" s="109"/>
      <c r="O109" s="109"/>
      <c r="P109" s="109"/>
      <c r="Q109" s="109"/>
      <c r="R109" s="109"/>
      <c r="S109" s="109"/>
      <c r="T109" s="109"/>
      <c r="U109" s="109"/>
      <c r="V109" s="109"/>
      <c r="W109" s="109"/>
      <c r="X109" s="109"/>
      <c r="Y109" s="109"/>
      <c r="Z109" s="109"/>
    </row>
    <row r="110" ht="12.75" customHeight="1">
      <c r="A110" s="109"/>
      <c r="B110" s="109"/>
      <c r="C110" s="109"/>
      <c r="D110" s="109"/>
      <c r="E110" s="109"/>
      <c r="F110" s="154"/>
      <c r="G110" s="154"/>
      <c r="H110" s="109"/>
      <c r="I110" s="109"/>
      <c r="J110" s="109"/>
      <c r="K110" s="109"/>
      <c r="L110" s="109"/>
      <c r="M110" s="109"/>
      <c r="N110" s="109"/>
      <c r="O110" s="109"/>
      <c r="P110" s="109"/>
      <c r="Q110" s="109"/>
      <c r="R110" s="109"/>
      <c r="S110" s="109"/>
      <c r="T110" s="109"/>
      <c r="U110" s="109"/>
      <c r="V110" s="109"/>
      <c r="W110" s="109"/>
      <c r="X110" s="109"/>
      <c r="Y110" s="109"/>
      <c r="Z110" s="109"/>
    </row>
    <row r="111" ht="12.75" customHeight="1">
      <c r="A111" s="109"/>
      <c r="B111" s="109"/>
      <c r="C111" s="109"/>
      <c r="D111" s="109"/>
      <c r="E111" s="109"/>
      <c r="F111" s="154"/>
      <c r="G111" s="154"/>
      <c r="H111" s="109"/>
      <c r="I111" s="109"/>
      <c r="J111" s="109"/>
      <c r="K111" s="109"/>
      <c r="L111" s="109"/>
      <c r="M111" s="109"/>
      <c r="N111" s="109"/>
      <c r="O111" s="109"/>
      <c r="P111" s="109"/>
      <c r="Q111" s="109"/>
      <c r="R111" s="109"/>
      <c r="S111" s="109"/>
      <c r="T111" s="109"/>
      <c r="U111" s="109"/>
      <c r="V111" s="109"/>
      <c r="W111" s="109"/>
      <c r="X111" s="109"/>
      <c r="Y111" s="109"/>
      <c r="Z111" s="109"/>
    </row>
    <row r="112" ht="12.75" customHeight="1">
      <c r="A112" s="109"/>
      <c r="B112" s="109"/>
      <c r="C112" s="109"/>
      <c r="D112" s="109"/>
      <c r="E112" s="109"/>
      <c r="F112" s="154"/>
      <c r="G112" s="154"/>
      <c r="H112" s="109"/>
      <c r="I112" s="109"/>
      <c r="J112" s="109"/>
      <c r="K112" s="109"/>
      <c r="L112" s="109"/>
      <c r="M112" s="109"/>
      <c r="N112" s="109"/>
      <c r="O112" s="109"/>
      <c r="P112" s="109"/>
      <c r="Q112" s="109"/>
      <c r="R112" s="109"/>
      <c r="S112" s="109"/>
      <c r="T112" s="109"/>
      <c r="U112" s="109"/>
      <c r="V112" s="109"/>
      <c r="W112" s="109"/>
      <c r="X112" s="109"/>
      <c r="Y112" s="109"/>
      <c r="Z112" s="109"/>
    </row>
    <row r="113" ht="12.75" customHeight="1">
      <c r="A113" s="109"/>
      <c r="B113" s="109"/>
      <c r="C113" s="109"/>
      <c r="D113" s="109"/>
      <c r="E113" s="109"/>
      <c r="F113" s="154"/>
      <c r="G113" s="154"/>
      <c r="H113" s="109"/>
      <c r="I113" s="109"/>
      <c r="J113" s="109"/>
      <c r="K113" s="109"/>
      <c r="L113" s="109"/>
      <c r="M113" s="109"/>
      <c r="N113" s="109"/>
      <c r="O113" s="109"/>
      <c r="P113" s="109"/>
      <c r="Q113" s="109"/>
      <c r="R113" s="109"/>
      <c r="S113" s="109"/>
      <c r="T113" s="109"/>
      <c r="U113" s="109"/>
      <c r="V113" s="109"/>
      <c r="W113" s="109"/>
      <c r="X113" s="109"/>
      <c r="Y113" s="109"/>
      <c r="Z113" s="109"/>
    </row>
    <row r="114" ht="12.75" customHeight="1">
      <c r="A114" s="109"/>
      <c r="B114" s="109"/>
      <c r="C114" s="109"/>
      <c r="D114" s="109"/>
      <c r="E114" s="109"/>
      <c r="F114" s="154"/>
      <c r="G114" s="154"/>
      <c r="H114" s="109"/>
      <c r="I114" s="109"/>
      <c r="J114" s="109"/>
      <c r="K114" s="109"/>
      <c r="L114" s="109"/>
      <c r="M114" s="109"/>
      <c r="N114" s="109"/>
      <c r="O114" s="109"/>
      <c r="P114" s="109"/>
      <c r="Q114" s="109"/>
      <c r="R114" s="109"/>
      <c r="S114" s="109"/>
      <c r="T114" s="109"/>
      <c r="U114" s="109"/>
      <c r="V114" s="109"/>
      <c r="W114" s="109"/>
      <c r="X114" s="109"/>
      <c r="Y114" s="109"/>
      <c r="Z114" s="109"/>
    </row>
    <row r="115" ht="12.75" customHeight="1">
      <c r="A115" s="109"/>
      <c r="B115" s="109"/>
      <c r="C115" s="109"/>
      <c r="D115" s="109"/>
      <c r="E115" s="109"/>
      <c r="F115" s="154"/>
      <c r="G115" s="154"/>
      <c r="H115" s="109"/>
      <c r="I115" s="109"/>
      <c r="J115" s="109"/>
      <c r="K115" s="109"/>
      <c r="L115" s="109"/>
      <c r="M115" s="109"/>
      <c r="N115" s="109"/>
      <c r="O115" s="109"/>
      <c r="P115" s="109"/>
      <c r="Q115" s="109"/>
      <c r="R115" s="109"/>
      <c r="S115" s="109"/>
      <c r="T115" s="109"/>
      <c r="U115" s="109"/>
      <c r="V115" s="109"/>
      <c r="W115" s="109"/>
      <c r="X115" s="109"/>
      <c r="Y115" s="109"/>
      <c r="Z115" s="109"/>
    </row>
    <row r="116" ht="12.75" customHeight="1">
      <c r="A116" s="109"/>
      <c r="B116" s="109"/>
      <c r="C116" s="109"/>
      <c r="D116" s="109"/>
      <c r="E116" s="109"/>
      <c r="F116" s="154"/>
      <c r="G116" s="154"/>
      <c r="H116" s="109"/>
      <c r="I116" s="109"/>
      <c r="J116" s="109"/>
      <c r="K116" s="109"/>
      <c r="L116" s="109"/>
      <c r="M116" s="109"/>
      <c r="N116" s="109"/>
      <c r="O116" s="109"/>
      <c r="P116" s="109"/>
      <c r="Q116" s="109"/>
      <c r="R116" s="109"/>
      <c r="S116" s="109"/>
      <c r="T116" s="109"/>
      <c r="U116" s="109"/>
      <c r="V116" s="109"/>
      <c r="W116" s="109"/>
      <c r="X116" s="109"/>
      <c r="Y116" s="109"/>
      <c r="Z116" s="109"/>
    </row>
    <row r="117" ht="12.75" customHeight="1">
      <c r="A117" s="109"/>
      <c r="B117" s="109"/>
      <c r="C117" s="109"/>
      <c r="D117" s="109"/>
      <c r="E117" s="109"/>
      <c r="F117" s="154"/>
      <c r="G117" s="154"/>
      <c r="H117" s="109"/>
      <c r="I117" s="109"/>
      <c r="J117" s="109"/>
      <c r="K117" s="109"/>
      <c r="L117" s="109"/>
      <c r="M117" s="109"/>
      <c r="N117" s="109"/>
      <c r="O117" s="109"/>
      <c r="P117" s="109"/>
      <c r="Q117" s="109"/>
      <c r="R117" s="109"/>
      <c r="S117" s="109"/>
      <c r="T117" s="109"/>
      <c r="U117" s="109"/>
      <c r="V117" s="109"/>
      <c r="W117" s="109"/>
      <c r="X117" s="109"/>
      <c r="Y117" s="109"/>
      <c r="Z117" s="109"/>
    </row>
    <row r="118" ht="12.75" customHeight="1">
      <c r="A118" s="109"/>
      <c r="B118" s="109"/>
      <c r="C118" s="109"/>
      <c r="D118" s="109"/>
      <c r="E118" s="109"/>
      <c r="F118" s="154"/>
      <c r="G118" s="154"/>
      <c r="H118" s="109"/>
      <c r="I118" s="109"/>
      <c r="J118" s="109"/>
      <c r="K118" s="109"/>
      <c r="L118" s="109"/>
      <c r="M118" s="109"/>
      <c r="N118" s="109"/>
      <c r="O118" s="109"/>
      <c r="P118" s="109"/>
      <c r="Q118" s="109"/>
      <c r="R118" s="109"/>
      <c r="S118" s="109"/>
      <c r="T118" s="109"/>
      <c r="U118" s="109"/>
      <c r="V118" s="109"/>
      <c r="W118" s="109"/>
      <c r="X118" s="109"/>
      <c r="Y118" s="109"/>
      <c r="Z118" s="109"/>
    </row>
    <row r="119" ht="12.75" customHeight="1">
      <c r="A119" s="109"/>
      <c r="B119" s="109"/>
      <c r="C119" s="109"/>
      <c r="D119" s="109"/>
      <c r="E119" s="109"/>
      <c r="F119" s="154"/>
      <c r="G119" s="154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</row>
    <row r="120" ht="12.75" customHeight="1">
      <c r="A120" s="109"/>
      <c r="B120" s="109"/>
      <c r="C120" s="109"/>
      <c r="D120" s="109"/>
      <c r="E120" s="109"/>
      <c r="F120" s="154"/>
      <c r="G120" s="154"/>
      <c r="H120" s="109"/>
      <c r="I120" s="109"/>
      <c r="J120" s="109"/>
      <c r="K120" s="109"/>
      <c r="L120" s="109"/>
      <c r="M120" s="109"/>
      <c r="N120" s="109"/>
      <c r="O120" s="109"/>
      <c r="P120" s="109"/>
      <c r="Q120" s="109"/>
      <c r="R120" s="109"/>
      <c r="S120" s="109"/>
      <c r="T120" s="109"/>
      <c r="U120" s="109"/>
      <c r="V120" s="109"/>
      <c r="W120" s="109"/>
      <c r="X120" s="109"/>
      <c r="Y120" s="109"/>
      <c r="Z120" s="109"/>
    </row>
    <row r="121" ht="12.75" customHeight="1">
      <c r="A121" s="109"/>
      <c r="B121" s="109"/>
      <c r="C121" s="109"/>
      <c r="D121" s="109"/>
      <c r="E121" s="109"/>
      <c r="F121" s="154"/>
      <c r="G121" s="154"/>
      <c r="H121" s="109"/>
      <c r="I121" s="109"/>
      <c r="J121" s="109"/>
      <c r="K121" s="109"/>
      <c r="L121" s="109"/>
      <c r="M121" s="109"/>
      <c r="N121" s="109"/>
      <c r="O121" s="109"/>
      <c r="P121" s="109"/>
      <c r="Q121" s="109"/>
      <c r="R121" s="109"/>
      <c r="S121" s="109"/>
      <c r="T121" s="109"/>
      <c r="U121" s="109"/>
      <c r="V121" s="109"/>
      <c r="W121" s="109"/>
      <c r="X121" s="109"/>
      <c r="Y121" s="109"/>
      <c r="Z121" s="109"/>
    </row>
    <row r="122" ht="12.75" customHeight="1">
      <c r="A122" s="109"/>
      <c r="B122" s="109"/>
      <c r="C122" s="109"/>
      <c r="D122" s="109"/>
      <c r="E122" s="109"/>
      <c r="F122" s="154"/>
      <c r="G122" s="154"/>
      <c r="H122" s="109"/>
      <c r="I122" s="109"/>
      <c r="J122" s="109"/>
      <c r="K122" s="109"/>
      <c r="L122" s="109"/>
      <c r="M122" s="109"/>
      <c r="N122" s="109"/>
      <c r="O122" s="109"/>
      <c r="P122" s="109"/>
      <c r="Q122" s="109"/>
      <c r="R122" s="109"/>
      <c r="S122" s="109"/>
      <c r="T122" s="109"/>
      <c r="U122" s="109"/>
      <c r="V122" s="109"/>
      <c r="W122" s="109"/>
      <c r="X122" s="109"/>
      <c r="Y122" s="109"/>
      <c r="Z122" s="109"/>
    </row>
    <row r="123" ht="12.75" customHeight="1">
      <c r="A123" s="109"/>
      <c r="B123" s="109"/>
      <c r="C123" s="109"/>
      <c r="D123" s="109"/>
      <c r="E123" s="109"/>
      <c r="F123" s="154"/>
      <c r="G123" s="154"/>
      <c r="H123" s="109"/>
      <c r="I123" s="109"/>
      <c r="J123" s="109"/>
      <c r="K123" s="109"/>
      <c r="L123" s="109"/>
      <c r="M123" s="109"/>
      <c r="N123" s="109"/>
      <c r="O123" s="109"/>
      <c r="P123" s="109"/>
      <c r="Q123" s="109"/>
      <c r="R123" s="109"/>
      <c r="S123" s="109"/>
      <c r="T123" s="109"/>
      <c r="U123" s="109"/>
      <c r="V123" s="109"/>
      <c r="W123" s="109"/>
      <c r="X123" s="109"/>
      <c r="Y123" s="109"/>
      <c r="Z123" s="109"/>
    </row>
    <row r="124" ht="12.75" customHeight="1">
      <c r="A124" s="109"/>
      <c r="B124" s="109"/>
      <c r="C124" s="109"/>
      <c r="D124" s="109"/>
      <c r="E124" s="109"/>
      <c r="F124" s="154"/>
      <c r="G124" s="154"/>
      <c r="H124" s="109"/>
      <c r="I124" s="109"/>
      <c r="J124" s="109"/>
      <c r="K124" s="109"/>
      <c r="L124" s="109"/>
      <c r="M124" s="109"/>
      <c r="N124" s="109"/>
      <c r="O124" s="109"/>
      <c r="P124" s="109"/>
      <c r="Q124" s="109"/>
      <c r="R124" s="109"/>
      <c r="S124" s="109"/>
      <c r="T124" s="109"/>
      <c r="U124" s="109"/>
      <c r="V124" s="109"/>
      <c r="W124" s="109"/>
      <c r="X124" s="109"/>
      <c r="Y124" s="109"/>
      <c r="Z124" s="109"/>
    </row>
    <row r="125" ht="12.75" customHeight="1">
      <c r="A125" s="109"/>
      <c r="B125" s="109"/>
      <c r="C125" s="109"/>
      <c r="D125" s="109"/>
      <c r="E125" s="109"/>
      <c r="F125" s="154"/>
      <c r="G125" s="154"/>
      <c r="H125" s="109"/>
      <c r="I125" s="109"/>
      <c r="J125" s="109"/>
      <c r="K125" s="109"/>
      <c r="L125" s="109"/>
      <c r="M125" s="109"/>
      <c r="N125" s="109"/>
      <c r="O125" s="109"/>
      <c r="P125" s="109"/>
      <c r="Q125" s="109"/>
      <c r="R125" s="109"/>
      <c r="S125" s="109"/>
      <c r="T125" s="109"/>
      <c r="U125" s="109"/>
      <c r="V125" s="109"/>
      <c r="W125" s="109"/>
      <c r="X125" s="109"/>
      <c r="Y125" s="109"/>
      <c r="Z125" s="109"/>
    </row>
    <row r="126" ht="12.75" customHeight="1">
      <c r="A126" s="109"/>
      <c r="B126" s="109"/>
      <c r="C126" s="109"/>
      <c r="D126" s="109"/>
      <c r="E126" s="109"/>
      <c r="F126" s="154"/>
      <c r="G126" s="154"/>
      <c r="H126" s="109"/>
      <c r="I126" s="109"/>
      <c r="J126" s="109"/>
      <c r="K126" s="109"/>
      <c r="L126" s="109"/>
      <c r="M126" s="109"/>
      <c r="N126" s="109"/>
      <c r="O126" s="109"/>
      <c r="P126" s="109"/>
      <c r="Q126" s="109"/>
      <c r="R126" s="109"/>
      <c r="S126" s="109"/>
      <c r="T126" s="109"/>
      <c r="U126" s="109"/>
      <c r="V126" s="109"/>
      <c r="W126" s="109"/>
      <c r="X126" s="109"/>
      <c r="Y126" s="109"/>
      <c r="Z126" s="109"/>
    </row>
    <row r="127" ht="12.75" customHeight="1">
      <c r="A127" s="109"/>
      <c r="B127" s="109"/>
      <c r="C127" s="109"/>
      <c r="D127" s="109"/>
      <c r="E127" s="109"/>
      <c r="F127" s="154"/>
      <c r="G127" s="154"/>
      <c r="H127" s="109"/>
      <c r="I127" s="109"/>
      <c r="J127" s="109"/>
      <c r="K127" s="109"/>
      <c r="L127" s="109"/>
      <c r="M127" s="109"/>
      <c r="N127" s="109"/>
      <c r="O127" s="109"/>
      <c r="P127" s="109"/>
      <c r="Q127" s="109"/>
      <c r="R127" s="109"/>
      <c r="S127" s="109"/>
      <c r="T127" s="109"/>
      <c r="U127" s="109"/>
      <c r="V127" s="109"/>
      <c r="W127" s="109"/>
      <c r="X127" s="109"/>
      <c r="Y127" s="109"/>
      <c r="Z127" s="109"/>
    </row>
    <row r="128" ht="12.75" customHeight="1">
      <c r="A128" s="109"/>
      <c r="B128" s="109"/>
      <c r="C128" s="109"/>
      <c r="D128" s="109"/>
      <c r="E128" s="109"/>
      <c r="F128" s="154"/>
      <c r="G128" s="154"/>
      <c r="H128" s="109"/>
      <c r="I128" s="109"/>
      <c r="J128" s="109"/>
      <c r="K128" s="109"/>
      <c r="L128" s="109"/>
      <c r="M128" s="109"/>
      <c r="N128" s="109"/>
      <c r="O128" s="109"/>
      <c r="P128" s="109"/>
      <c r="Q128" s="109"/>
      <c r="R128" s="109"/>
      <c r="S128" s="109"/>
      <c r="T128" s="109"/>
      <c r="U128" s="109"/>
      <c r="V128" s="109"/>
      <c r="W128" s="109"/>
      <c r="X128" s="109"/>
      <c r="Y128" s="109"/>
      <c r="Z128" s="109"/>
    </row>
    <row r="129" ht="12.75" customHeight="1">
      <c r="A129" s="109"/>
      <c r="B129" s="109"/>
      <c r="C129" s="109"/>
      <c r="D129" s="109"/>
      <c r="E129" s="109"/>
      <c r="F129" s="154"/>
      <c r="G129" s="154"/>
      <c r="H129" s="109"/>
      <c r="I129" s="109"/>
      <c r="J129" s="109"/>
      <c r="K129" s="109"/>
      <c r="L129" s="109"/>
      <c r="M129" s="109"/>
      <c r="N129" s="109"/>
      <c r="O129" s="109"/>
      <c r="P129" s="109"/>
      <c r="Q129" s="109"/>
      <c r="R129" s="109"/>
      <c r="S129" s="109"/>
      <c r="T129" s="109"/>
      <c r="U129" s="109"/>
      <c r="V129" s="109"/>
      <c r="W129" s="109"/>
      <c r="X129" s="109"/>
      <c r="Y129" s="109"/>
      <c r="Z129" s="109"/>
    </row>
    <row r="130" ht="12.75" customHeight="1">
      <c r="A130" s="109"/>
      <c r="B130" s="109"/>
      <c r="C130" s="109"/>
      <c r="D130" s="109"/>
      <c r="E130" s="109"/>
      <c r="F130" s="154"/>
      <c r="G130" s="154"/>
      <c r="H130" s="109"/>
      <c r="I130" s="109"/>
      <c r="J130" s="109"/>
      <c r="K130" s="109"/>
      <c r="L130" s="109"/>
      <c r="M130" s="109"/>
      <c r="N130" s="109"/>
      <c r="O130" s="109"/>
      <c r="P130" s="109"/>
      <c r="Q130" s="109"/>
      <c r="R130" s="109"/>
      <c r="S130" s="109"/>
      <c r="T130" s="109"/>
      <c r="U130" s="109"/>
      <c r="V130" s="109"/>
      <c r="W130" s="109"/>
      <c r="X130" s="109"/>
      <c r="Y130" s="109"/>
      <c r="Z130" s="109"/>
    </row>
    <row r="131" ht="12.75" customHeight="1">
      <c r="A131" s="109"/>
      <c r="B131" s="109"/>
      <c r="C131" s="109"/>
      <c r="D131" s="109"/>
      <c r="E131" s="109"/>
      <c r="F131" s="154"/>
      <c r="G131" s="154"/>
      <c r="H131" s="109"/>
      <c r="I131" s="109"/>
      <c r="J131" s="109"/>
      <c r="K131" s="109"/>
      <c r="L131" s="109"/>
      <c r="M131" s="109"/>
      <c r="N131" s="109"/>
      <c r="O131" s="109"/>
      <c r="P131" s="109"/>
      <c r="Q131" s="109"/>
      <c r="R131" s="109"/>
      <c r="S131" s="109"/>
      <c r="T131" s="109"/>
      <c r="U131" s="109"/>
      <c r="V131" s="109"/>
      <c r="W131" s="109"/>
      <c r="X131" s="109"/>
      <c r="Y131" s="109"/>
      <c r="Z131" s="109"/>
    </row>
    <row r="132" ht="12.75" customHeight="1">
      <c r="A132" s="109"/>
      <c r="B132" s="109"/>
      <c r="C132" s="109"/>
      <c r="D132" s="109"/>
      <c r="E132" s="109"/>
      <c r="F132" s="154"/>
      <c r="G132" s="154"/>
      <c r="H132" s="109"/>
      <c r="I132" s="109"/>
      <c r="J132" s="109"/>
      <c r="K132" s="109"/>
      <c r="L132" s="109"/>
      <c r="M132" s="109"/>
      <c r="N132" s="109"/>
      <c r="O132" s="109"/>
      <c r="P132" s="109"/>
      <c r="Q132" s="109"/>
      <c r="R132" s="109"/>
      <c r="S132" s="109"/>
      <c r="T132" s="109"/>
      <c r="U132" s="109"/>
      <c r="V132" s="109"/>
      <c r="W132" s="109"/>
      <c r="X132" s="109"/>
      <c r="Y132" s="109"/>
      <c r="Z132" s="109"/>
    </row>
    <row r="133" ht="12.75" customHeight="1">
      <c r="A133" s="109"/>
      <c r="B133" s="109"/>
      <c r="C133" s="109"/>
      <c r="D133" s="109"/>
      <c r="E133" s="109"/>
      <c r="F133" s="154"/>
      <c r="G133" s="154"/>
      <c r="H133" s="109"/>
      <c r="I133" s="109"/>
      <c r="J133" s="109"/>
      <c r="K133" s="109"/>
      <c r="L133" s="109"/>
      <c r="M133" s="109"/>
      <c r="N133" s="109"/>
      <c r="O133" s="109"/>
      <c r="P133" s="109"/>
      <c r="Q133" s="109"/>
      <c r="R133" s="109"/>
      <c r="S133" s="109"/>
      <c r="T133" s="109"/>
      <c r="U133" s="109"/>
      <c r="V133" s="109"/>
      <c r="W133" s="109"/>
      <c r="X133" s="109"/>
      <c r="Y133" s="109"/>
      <c r="Z133" s="109"/>
    </row>
    <row r="134" ht="12.75" customHeight="1">
      <c r="A134" s="109"/>
      <c r="B134" s="109"/>
      <c r="C134" s="109"/>
      <c r="D134" s="109"/>
      <c r="E134" s="109"/>
      <c r="F134" s="154"/>
      <c r="G134" s="154"/>
      <c r="H134" s="109"/>
      <c r="I134" s="109"/>
      <c r="J134" s="109"/>
      <c r="K134" s="109"/>
      <c r="L134" s="109"/>
      <c r="M134" s="109"/>
      <c r="N134" s="109"/>
      <c r="O134" s="109"/>
      <c r="P134" s="109"/>
      <c r="Q134" s="109"/>
      <c r="R134" s="109"/>
      <c r="S134" s="109"/>
      <c r="T134" s="109"/>
      <c r="U134" s="109"/>
      <c r="V134" s="109"/>
      <c r="W134" s="109"/>
      <c r="X134" s="109"/>
      <c r="Y134" s="109"/>
      <c r="Z134" s="109"/>
    </row>
    <row r="135" ht="12.75" customHeight="1">
      <c r="A135" s="109"/>
      <c r="B135" s="109"/>
      <c r="C135" s="109"/>
      <c r="D135" s="109"/>
      <c r="E135" s="109"/>
      <c r="F135" s="154"/>
      <c r="G135" s="154"/>
      <c r="H135" s="109"/>
      <c r="I135" s="109"/>
      <c r="J135" s="109"/>
      <c r="K135" s="109"/>
      <c r="L135" s="109"/>
      <c r="M135" s="109"/>
      <c r="N135" s="109"/>
      <c r="O135" s="109"/>
      <c r="P135" s="109"/>
      <c r="Q135" s="109"/>
      <c r="R135" s="109"/>
      <c r="S135" s="109"/>
      <c r="T135" s="109"/>
      <c r="U135" s="109"/>
      <c r="V135" s="109"/>
      <c r="W135" s="109"/>
      <c r="X135" s="109"/>
      <c r="Y135" s="109"/>
      <c r="Z135" s="109"/>
    </row>
    <row r="136" ht="12.75" customHeight="1">
      <c r="A136" s="109"/>
      <c r="B136" s="109"/>
      <c r="C136" s="109"/>
      <c r="D136" s="109"/>
      <c r="E136" s="109"/>
      <c r="F136" s="154"/>
      <c r="G136" s="154"/>
      <c r="H136" s="109"/>
      <c r="I136" s="109"/>
      <c r="J136" s="109"/>
      <c r="K136" s="109"/>
      <c r="L136" s="109"/>
      <c r="M136" s="109"/>
      <c r="N136" s="109"/>
      <c r="O136" s="109"/>
      <c r="P136" s="109"/>
      <c r="Q136" s="109"/>
      <c r="R136" s="109"/>
      <c r="S136" s="109"/>
      <c r="T136" s="109"/>
      <c r="U136" s="109"/>
      <c r="V136" s="109"/>
      <c r="W136" s="109"/>
      <c r="X136" s="109"/>
      <c r="Y136" s="109"/>
      <c r="Z136" s="109"/>
    </row>
    <row r="137" ht="12.75" customHeight="1">
      <c r="A137" s="109"/>
      <c r="B137" s="109"/>
      <c r="C137" s="109"/>
      <c r="D137" s="109"/>
      <c r="E137" s="109"/>
      <c r="F137" s="154"/>
      <c r="G137" s="154"/>
      <c r="H137" s="109"/>
      <c r="I137" s="109"/>
      <c r="J137" s="109"/>
      <c r="K137" s="109"/>
      <c r="L137" s="109"/>
      <c r="M137" s="109"/>
      <c r="N137" s="109"/>
      <c r="O137" s="109"/>
      <c r="P137" s="109"/>
      <c r="Q137" s="109"/>
      <c r="R137" s="109"/>
      <c r="S137" s="109"/>
      <c r="T137" s="109"/>
      <c r="U137" s="109"/>
      <c r="V137" s="109"/>
      <c r="W137" s="109"/>
      <c r="X137" s="109"/>
      <c r="Y137" s="109"/>
      <c r="Z137" s="109"/>
    </row>
    <row r="138" ht="12.75" customHeight="1">
      <c r="A138" s="109"/>
      <c r="B138" s="109"/>
      <c r="C138" s="109"/>
      <c r="D138" s="109"/>
      <c r="E138" s="109"/>
      <c r="F138" s="154"/>
      <c r="G138" s="154"/>
      <c r="H138" s="109"/>
      <c r="I138" s="109"/>
      <c r="J138" s="109"/>
      <c r="K138" s="109"/>
      <c r="L138" s="109"/>
      <c r="M138" s="109"/>
      <c r="N138" s="109"/>
      <c r="O138" s="109"/>
      <c r="P138" s="109"/>
      <c r="Q138" s="109"/>
      <c r="R138" s="109"/>
      <c r="S138" s="109"/>
      <c r="T138" s="109"/>
      <c r="U138" s="109"/>
      <c r="V138" s="109"/>
      <c r="W138" s="109"/>
      <c r="X138" s="109"/>
      <c r="Y138" s="109"/>
      <c r="Z138" s="109"/>
    </row>
    <row r="139" ht="12.75" customHeight="1">
      <c r="A139" s="109"/>
      <c r="B139" s="109"/>
      <c r="C139" s="109"/>
      <c r="D139" s="109"/>
      <c r="E139" s="109"/>
      <c r="F139" s="154"/>
      <c r="G139" s="154"/>
      <c r="H139" s="109"/>
      <c r="I139" s="109"/>
      <c r="J139" s="109"/>
      <c r="K139" s="109"/>
      <c r="L139" s="109"/>
      <c r="M139" s="109"/>
      <c r="N139" s="109"/>
      <c r="O139" s="109"/>
      <c r="P139" s="109"/>
      <c r="Q139" s="109"/>
      <c r="R139" s="109"/>
      <c r="S139" s="109"/>
      <c r="T139" s="109"/>
      <c r="U139" s="109"/>
      <c r="V139" s="109"/>
      <c r="W139" s="109"/>
      <c r="X139" s="109"/>
      <c r="Y139" s="109"/>
      <c r="Z139" s="109"/>
    </row>
    <row r="140" ht="12.75" customHeight="1">
      <c r="A140" s="109"/>
      <c r="B140" s="109"/>
      <c r="C140" s="109"/>
      <c r="D140" s="109"/>
      <c r="E140" s="109"/>
      <c r="F140" s="154"/>
      <c r="G140" s="154"/>
      <c r="H140" s="109"/>
      <c r="I140" s="109"/>
      <c r="J140" s="109"/>
      <c r="K140" s="109"/>
      <c r="L140" s="109"/>
      <c r="M140" s="109"/>
      <c r="N140" s="109"/>
      <c r="O140" s="109"/>
      <c r="P140" s="109"/>
      <c r="Q140" s="109"/>
      <c r="R140" s="109"/>
      <c r="S140" s="109"/>
      <c r="T140" s="109"/>
      <c r="U140" s="109"/>
      <c r="V140" s="109"/>
      <c r="W140" s="109"/>
      <c r="X140" s="109"/>
      <c r="Y140" s="109"/>
      <c r="Z140" s="109"/>
    </row>
    <row r="141" ht="12.75" customHeight="1">
      <c r="A141" s="109"/>
      <c r="B141" s="109"/>
      <c r="C141" s="109"/>
      <c r="D141" s="109"/>
      <c r="E141" s="109"/>
      <c r="F141" s="154"/>
      <c r="G141" s="154"/>
      <c r="H141" s="109"/>
      <c r="I141" s="109"/>
      <c r="J141" s="109"/>
      <c r="K141" s="109"/>
      <c r="L141" s="109"/>
      <c r="M141" s="109"/>
      <c r="N141" s="109"/>
      <c r="O141" s="109"/>
      <c r="P141" s="109"/>
      <c r="Q141" s="109"/>
      <c r="R141" s="109"/>
      <c r="S141" s="109"/>
      <c r="T141" s="109"/>
      <c r="U141" s="109"/>
      <c r="V141" s="109"/>
      <c r="W141" s="109"/>
      <c r="X141" s="109"/>
      <c r="Y141" s="109"/>
      <c r="Z141" s="109"/>
    </row>
    <row r="142" ht="12.75" customHeight="1">
      <c r="A142" s="109"/>
      <c r="B142" s="109"/>
      <c r="C142" s="109"/>
      <c r="D142" s="109"/>
      <c r="E142" s="109"/>
      <c r="F142" s="154"/>
      <c r="G142" s="154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</row>
    <row r="143" ht="12.75" customHeight="1">
      <c r="A143" s="109"/>
      <c r="B143" s="109"/>
      <c r="C143" s="109"/>
      <c r="D143" s="109"/>
      <c r="E143" s="109"/>
      <c r="F143" s="154"/>
      <c r="G143" s="154"/>
      <c r="H143" s="109"/>
      <c r="I143" s="109"/>
      <c r="J143" s="109"/>
      <c r="K143" s="109"/>
      <c r="L143" s="109"/>
      <c r="M143" s="109"/>
      <c r="N143" s="109"/>
      <c r="O143" s="109"/>
      <c r="P143" s="109"/>
      <c r="Q143" s="109"/>
      <c r="R143" s="109"/>
      <c r="S143" s="109"/>
      <c r="T143" s="109"/>
      <c r="U143" s="109"/>
      <c r="V143" s="109"/>
      <c r="W143" s="109"/>
      <c r="X143" s="109"/>
      <c r="Y143" s="109"/>
      <c r="Z143" s="109"/>
    </row>
    <row r="144" ht="12.75" customHeight="1">
      <c r="A144" s="109"/>
      <c r="B144" s="109"/>
      <c r="C144" s="109"/>
      <c r="D144" s="109"/>
      <c r="E144" s="109"/>
      <c r="F144" s="154"/>
      <c r="G144" s="154"/>
      <c r="H144" s="109"/>
      <c r="I144" s="109"/>
      <c r="J144" s="109"/>
      <c r="K144" s="109"/>
      <c r="L144" s="109"/>
      <c r="M144" s="109"/>
      <c r="N144" s="109"/>
      <c r="O144" s="109"/>
      <c r="P144" s="109"/>
      <c r="Q144" s="109"/>
      <c r="R144" s="109"/>
      <c r="S144" s="109"/>
      <c r="T144" s="109"/>
      <c r="U144" s="109"/>
      <c r="V144" s="109"/>
      <c r="W144" s="109"/>
      <c r="X144" s="109"/>
      <c r="Y144" s="109"/>
      <c r="Z144" s="109"/>
    </row>
    <row r="145" ht="12.75" customHeight="1">
      <c r="A145" s="109"/>
      <c r="B145" s="109"/>
      <c r="C145" s="109"/>
      <c r="D145" s="109"/>
      <c r="E145" s="109"/>
      <c r="F145" s="154"/>
      <c r="G145" s="154"/>
      <c r="H145" s="109"/>
      <c r="I145" s="109"/>
      <c r="J145" s="109"/>
      <c r="K145" s="109"/>
      <c r="L145" s="109"/>
      <c r="M145" s="109"/>
      <c r="N145" s="109"/>
      <c r="O145" s="109"/>
      <c r="P145" s="109"/>
      <c r="Q145" s="109"/>
      <c r="R145" s="109"/>
      <c r="S145" s="109"/>
      <c r="T145" s="109"/>
      <c r="U145" s="109"/>
      <c r="V145" s="109"/>
      <c r="W145" s="109"/>
      <c r="X145" s="109"/>
      <c r="Y145" s="109"/>
      <c r="Z145" s="109"/>
    </row>
    <row r="146" ht="12.75" customHeight="1">
      <c r="A146" s="109"/>
      <c r="B146" s="109"/>
      <c r="C146" s="109"/>
      <c r="D146" s="109"/>
      <c r="E146" s="109"/>
      <c r="F146" s="154"/>
      <c r="G146" s="154"/>
      <c r="H146" s="109"/>
      <c r="I146" s="109"/>
      <c r="J146" s="109"/>
      <c r="K146" s="109"/>
      <c r="L146" s="109"/>
      <c r="M146" s="109"/>
      <c r="N146" s="109"/>
      <c r="O146" s="109"/>
      <c r="P146" s="109"/>
      <c r="Q146" s="109"/>
      <c r="R146" s="109"/>
      <c r="S146" s="109"/>
      <c r="T146" s="109"/>
      <c r="U146" s="109"/>
      <c r="V146" s="109"/>
      <c r="W146" s="109"/>
      <c r="X146" s="109"/>
      <c r="Y146" s="109"/>
      <c r="Z146" s="109"/>
    </row>
    <row r="147" ht="12.75" customHeight="1">
      <c r="A147" s="109"/>
      <c r="B147" s="109"/>
      <c r="C147" s="109"/>
      <c r="D147" s="109"/>
      <c r="E147" s="109"/>
      <c r="F147" s="154"/>
      <c r="G147" s="154"/>
      <c r="H147" s="109"/>
      <c r="I147" s="109"/>
      <c r="J147" s="109"/>
      <c r="K147" s="109"/>
      <c r="L147" s="109"/>
      <c r="M147" s="109"/>
      <c r="N147" s="109"/>
      <c r="O147" s="109"/>
      <c r="P147" s="109"/>
      <c r="Q147" s="109"/>
      <c r="R147" s="109"/>
      <c r="S147" s="109"/>
      <c r="T147" s="109"/>
      <c r="U147" s="109"/>
      <c r="V147" s="109"/>
      <c r="W147" s="109"/>
      <c r="X147" s="109"/>
      <c r="Y147" s="109"/>
      <c r="Z147" s="109"/>
    </row>
    <row r="148" ht="12.75" customHeight="1">
      <c r="A148" s="109"/>
      <c r="B148" s="109"/>
      <c r="C148" s="109"/>
      <c r="D148" s="109"/>
      <c r="E148" s="109"/>
      <c r="F148" s="154"/>
      <c r="G148" s="154"/>
      <c r="H148" s="109"/>
      <c r="I148" s="109"/>
      <c r="J148" s="109"/>
      <c r="K148" s="109"/>
      <c r="L148" s="109"/>
      <c r="M148" s="109"/>
      <c r="N148" s="109"/>
      <c r="O148" s="109"/>
      <c r="P148" s="109"/>
      <c r="Q148" s="109"/>
      <c r="R148" s="109"/>
      <c r="S148" s="109"/>
      <c r="T148" s="109"/>
      <c r="U148" s="109"/>
      <c r="V148" s="109"/>
      <c r="W148" s="109"/>
      <c r="X148" s="109"/>
      <c r="Y148" s="109"/>
      <c r="Z148" s="109"/>
    </row>
    <row r="149" ht="12.75" customHeight="1">
      <c r="A149" s="109"/>
      <c r="B149" s="109"/>
      <c r="C149" s="109"/>
      <c r="D149" s="109"/>
      <c r="E149" s="109"/>
      <c r="F149" s="154"/>
      <c r="G149" s="154"/>
      <c r="H149" s="109"/>
      <c r="I149" s="109"/>
      <c r="J149" s="109"/>
      <c r="K149" s="109"/>
      <c r="L149" s="109"/>
      <c r="M149" s="109"/>
      <c r="N149" s="109"/>
      <c r="O149" s="109"/>
      <c r="P149" s="109"/>
      <c r="Q149" s="109"/>
      <c r="R149" s="109"/>
      <c r="S149" s="109"/>
      <c r="T149" s="109"/>
      <c r="U149" s="109"/>
      <c r="V149" s="109"/>
      <c r="W149" s="109"/>
      <c r="X149" s="109"/>
      <c r="Y149" s="109"/>
      <c r="Z149" s="109"/>
    </row>
    <row r="150" ht="12.75" customHeight="1">
      <c r="A150" s="109"/>
      <c r="B150" s="109"/>
      <c r="C150" s="109"/>
      <c r="D150" s="109"/>
      <c r="E150" s="109"/>
      <c r="F150" s="154"/>
      <c r="G150" s="154"/>
      <c r="H150" s="109"/>
      <c r="I150" s="109"/>
      <c r="J150" s="109"/>
      <c r="K150" s="109"/>
      <c r="L150" s="109"/>
      <c r="M150" s="109"/>
      <c r="N150" s="109"/>
      <c r="O150" s="109"/>
      <c r="P150" s="109"/>
      <c r="Q150" s="109"/>
      <c r="R150" s="109"/>
      <c r="S150" s="109"/>
      <c r="T150" s="109"/>
      <c r="U150" s="109"/>
      <c r="V150" s="109"/>
      <c r="W150" s="109"/>
      <c r="X150" s="109"/>
      <c r="Y150" s="109"/>
      <c r="Z150" s="109"/>
    </row>
    <row r="151" ht="12.75" customHeight="1">
      <c r="A151" s="109"/>
      <c r="B151" s="109"/>
      <c r="C151" s="109"/>
      <c r="D151" s="109"/>
      <c r="E151" s="109"/>
      <c r="F151" s="154"/>
      <c r="G151" s="154"/>
      <c r="H151" s="109"/>
      <c r="I151" s="109"/>
      <c r="J151" s="109"/>
      <c r="K151" s="109"/>
      <c r="L151" s="109"/>
      <c r="M151" s="109"/>
      <c r="N151" s="109"/>
      <c r="O151" s="109"/>
      <c r="P151" s="109"/>
      <c r="Q151" s="109"/>
      <c r="R151" s="109"/>
      <c r="S151" s="109"/>
      <c r="T151" s="109"/>
      <c r="U151" s="109"/>
      <c r="V151" s="109"/>
      <c r="W151" s="109"/>
      <c r="X151" s="109"/>
      <c r="Y151" s="109"/>
      <c r="Z151" s="109"/>
    </row>
    <row r="152" ht="12.75" customHeight="1">
      <c r="A152" s="109"/>
      <c r="B152" s="109"/>
      <c r="C152" s="109"/>
      <c r="D152" s="109"/>
      <c r="E152" s="109"/>
      <c r="F152" s="154"/>
      <c r="G152" s="154"/>
      <c r="H152" s="109"/>
      <c r="I152" s="109"/>
      <c r="J152" s="109"/>
      <c r="K152" s="109"/>
      <c r="L152" s="109"/>
      <c r="M152" s="109"/>
      <c r="N152" s="109"/>
      <c r="O152" s="109"/>
      <c r="P152" s="109"/>
      <c r="Q152" s="109"/>
      <c r="R152" s="109"/>
      <c r="S152" s="109"/>
      <c r="T152" s="109"/>
      <c r="U152" s="109"/>
      <c r="V152" s="109"/>
      <c r="W152" s="109"/>
      <c r="X152" s="109"/>
      <c r="Y152" s="109"/>
      <c r="Z152" s="109"/>
    </row>
    <row r="153" ht="12.75" customHeight="1">
      <c r="A153" s="109"/>
      <c r="B153" s="109"/>
      <c r="C153" s="109"/>
      <c r="D153" s="109"/>
      <c r="E153" s="109"/>
      <c r="F153" s="154"/>
      <c r="G153" s="154"/>
      <c r="H153" s="109"/>
      <c r="I153" s="109"/>
      <c r="J153" s="109"/>
      <c r="K153" s="109"/>
      <c r="L153" s="109"/>
      <c r="M153" s="109"/>
      <c r="N153" s="109"/>
      <c r="O153" s="109"/>
      <c r="P153" s="109"/>
      <c r="Q153" s="109"/>
      <c r="R153" s="109"/>
      <c r="S153" s="109"/>
      <c r="T153" s="109"/>
      <c r="U153" s="109"/>
      <c r="V153" s="109"/>
      <c r="W153" s="109"/>
      <c r="X153" s="109"/>
      <c r="Y153" s="109"/>
      <c r="Z153" s="109"/>
    </row>
    <row r="154" ht="12.75" customHeight="1">
      <c r="A154" s="109"/>
      <c r="B154" s="109"/>
      <c r="C154" s="109"/>
      <c r="D154" s="109"/>
      <c r="E154" s="109"/>
      <c r="F154" s="154"/>
      <c r="G154" s="154"/>
      <c r="H154" s="109"/>
      <c r="I154" s="109"/>
      <c r="J154" s="109"/>
      <c r="K154" s="109"/>
      <c r="L154" s="109"/>
      <c r="M154" s="109"/>
      <c r="N154" s="109"/>
      <c r="O154" s="109"/>
      <c r="P154" s="109"/>
      <c r="Q154" s="109"/>
      <c r="R154" s="109"/>
      <c r="S154" s="109"/>
      <c r="T154" s="109"/>
      <c r="U154" s="109"/>
      <c r="V154" s="109"/>
      <c r="W154" s="109"/>
      <c r="X154" s="109"/>
      <c r="Y154" s="109"/>
      <c r="Z154" s="109"/>
    </row>
    <row r="155" ht="12.75" customHeight="1">
      <c r="A155" s="109"/>
      <c r="B155" s="109"/>
      <c r="C155" s="109"/>
      <c r="D155" s="109"/>
      <c r="E155" s="109"/>
      <c r="F155" s="154"/>
      <c r="G155" s="154"/>
      <c r="H155" s="109"/>
      <c r="I155" s="109"/>
      <c r="J155" s="109"/>
      <c r="K155" s="109"/>
      <c r="L155" s="109"/>
      <c r="M155" s="109"/>
      <c r="N155" s="109"/>
      <c r="O155" s="109"/>
      <c r="P155" s="109"/>
      <c r="Q155" s="109"/>
      <c r="R155" s="109"/>
      <c r="S155" s="109"/>
      <c r="T155" s="109"/>
      <c r="U155" s="109"/>
      <c r="V155" s="109"/>
      <c r="W155" s="109"/>
      <c r="X155" s="109"/>
      <c r="Y155" s="109"/>
      <c r="Z155" s="109"/>
    </row>
    <row r="156" ht="12.75" customHeight="1">
      <c r="A156" s="109"/>
      <c r="B156" s="109"/>
      <c r="C156" s="109"/>
      <c r="D156" s="109"/>
      <c r="E156" s="109"/>
      <c r="F156" s="154"/>
      <c r="G156" s="154"/>
      <c r="H156" s="109"/>
      <c r="I156" s="109"/>
      <c r="J156" s="109"/>
      <c r="K156" s="109"/>
      <c r="L156" s="109"/>
      <c r="M156" s="109"/>
      <c r="N156" s="109"/>
      <c r="O156" s="109"/>
      <c r="P156" s="109"/>
      <c r="Q156" s="109"/>
      <c r="R156" s="109"/>
      <c r="S156" s="109"/>
      <c r="T156" s="109"/>
      <c r="U156" s="109"/>
      <c r="V156" s="109"/>
      <c r="W156" s="109"/>
      <c r="X156" s="109"/>
      <c r="Y156" s="109"/>
      <c r="Z156" s="109"/>
    </row>
    <row r="157" ht="12.75" customHeight="1">
      <c r="A157" s="109"/>
      <c r="B157" s="109"/>
      <c r="C157" s="109"/>
      <c r="D157" s="109"/>
      <c r="E157" s="109"/>
      <c r="F157" s="154"/>
      <c r="G157" s="154"/>
      <c r="H157" s="109"/>
      <c r="I157" s="109"/>
      <c r="J157" s="109"/>
      <c r="K157" s="109"/>
      <c r="L157" s="109"/>
      <c r="M157" s="109"/>
      <c r="N157" s="109"/>
      <c r="O157" s="109"/>
      <c r="P157" s="109"/>
      <c r="Q157" s="109"/>
      <c r="R157" s="109"/>
      <c r="S157" s="109"/>
      <c r="T157" s="109"/>
      <c r="U157" s="109"/>
      <c r="V157" s="109"/>
      <c r="W157" s="109"/>
      <c r="X157" s="109"/>
      <c r="Y157" s="109"/>
      <c r="Z157" s="109"/>
    </row>
    <row r="158" ht="12.75" customHeight="1">
      <c r="A158" s="109"/>
      <c r="B158" s="109"/>
      <c r="C158" s="109"/>
      <c r="D158" s="109"/>
      <c r="E158" s="109"/>
      <c r="F158" s="154"/>
      <c r="G158" s="154"/>
      <c r="H158" s="109"/>
      <c r="I158" s="109"/>
      <c r="J158" s="109"/>
      <c r="K158" s="109"/>
      <c r="L158" s="109"/>
      <c r="M158" s="109"/>
      <c r="N158" s="109"/>
      <c r="O158" s="109"/>
      <c r="P158" s="109"/>
      <c r="Q158" s="109"/>
      <c r="R158" s="109"/>
      <c r="S158" s="109"/>
      <c r="T158" s="109"/>
      <c r="U158" s="109"/>
      <c r="V158" s="109"/>
      <c r="W158" s="109"/>
      <c r="X158" s="109"/>
      <c r="Y158" s="109"/>
      <c r="Z158" s="109"/>
    </row>
    <row r="159" ht="12.75" customHeight="1">
      <c r="A159" s="109"/>
      <c r="B159" s="109"/>
      <c r="C159" s="109"/>
      <c r="D159" s="109"/>
      <c r="E159" s="109"/>
      <c r="F159" s="154"/>
      <c r="G159" s="154"/>
      <c r="H159" s="109"/>
      <c r="I159" s="109"/>
      <c r="J159" s="109"/>
      <c r="K159" s="109"/>
      <c r="L159" s="109"/>
      <c r="M159" s="109"/>
      <c r="N159" s="109"/>
      <c r="O159" s="109"/>
      <c r="P159" s="109"/>
      <c r="Q159" s="109"/>
      <c r="R159" s="109"/>
      <c r="S159" s="109"/>
      <c r="T159" s="109"/>
      <c r="U159" s="109"/>
      <c r="V159" s="109"/>
      <c r="W159" s="109"/>
      <c r="X159" s="109"/>
      <c r="Y159" s="109"/>
      <c r="Z159" s="109"/>
    </row>
    <row r="160" ht="12.75" customHeight="1">
      <c r="A160" s="109"/>
      <c r="B160" s="109"/>
      <c r="C160" s="109"/>
      <c r="D160" s="109"/>
      <c r="E160" s="109"/>
      <c r="F160" s="154"/>
      <c r="G160" s="154"/>
      <c r="H160" s="109"/>
      <c r="I160" s="109"/>
      <c r="J160" s="109"/>
      <c r="K160" s="109"/>
      <c r="L160" s="109"/>
      <c r="M160" s="109"/>
      <c r="N160" s="109"/>
      <c r="O160" s="109"/>
      <c r="P160" s="109"/>
      <c r="Q160" s="109"/>
      <c r="R160" s="109"/>
      <c r="S160" s="109"/>
      <c r="T160" s="109"/>
      <c r="U160" s="109"/>
      <c r="V160" s="109"/>
      <c r="W160" s="109"/>
      <c r="X160" s="109"/>
      <c r="Y160" s="109"/>
      <c r="Z160" s="109"/>
    </row>
    <row r="161" ht="12.75" customHeight="1">
      <c r="A161" s="109"/>
      <c r="B161" s="109"/>
      <c r="C161" s="109"/>
      <c r="D161" s="109"/>
      <c r="E161" s="109"/>
      <c r="F161" s="154"/>
      <c r="G161" s="154"/>
      <c r="H161" s="109"/>
      <c r="I161" s="109"/>
      <c r="J161" s="109"/>
      <c r="K161" s="109"/>
      <c r="L161" s="109"/>
      <c r="M161" s="109"/>
      <c r="N161" s="109"/>
      <c r="O161" s="109"/>
      <c r="P161" s="109"/>
      <c r="Q161" s="109"/>
      <c r="R161" s="109"/>
      <c r="S161" s="109"/>
      <c r="T161" s="109"/>
      <c r="U161" s="109"/>
      <c r="V161" s="109"/>
      <c r="W161" s="109"/>
      <c r="X161" s="109"/>
      <c r="Y161" s="109"/>
      <c r="Z161" s="109"/>
    </row>
    <row r="162" ht="12.75" customHeight="1">
      <c r="A162" s="109"/>
      <c r="B162" s="109"/>
      <c r="C162" s="109"/>
      <c r="D162" s="109"/>
      <c r="E162" s="109"/>
      <c r="F162" s="154"/>
      <c r="G162" s="154"/>
      <c r="H162" s="109"/>
      <c r="I162" s="109"/>
      <c r="J162" s="109"/>
      <c r="K162" s="109"/>
      <c r="L162" s="109"/>
      <c r="M162" s="109"/>
      <c r="N162" s="109"/>
      <c r="O162" s="109"/>
      <c r="P162" s="109"/>
      <c r="Q162" s="109"/>
      <c r="R162" s="109"/>
      <c r="S162" s="109"/>
      <c r="T162" s="109"/>
      <c r="U162" s="109"/>
      <c r="V162" s="109"/>
      <c r="W162" s="109"/>
      <c r="X162" s="109"/>
      <c r="Y162" s="109"/>
      <c r="Z162" s="109"/>
    </row>
    <row r="163" ht="12.75" customHeight="1">
      <c r="A163" s="109"/>
      <c r="B163" s="109"/>
      <c r="C163" s="109"/>
      <c r="D163" s="109"/>
      <c r="E163" s="109"/>
      <c r="F163" s="154"/>
      <c r="G163" s="154"/>
      <c r="H163" s="109"/>
      <c r="I163" s="109"/>
      <c r="J163" s="109"/>
      <c r="K163" s="109"/>
      <c r="L163" s="109"/>
      <c r="M163" s="109"/>
      <c r="N163" s="109"/>
      <c r="O163" s="109"/>
      <c r="P163" s="109"/>
      <c r="Q163" s="109"/>
      <c r="R163" s="109"/>
      <c r="S163" s="109"/>
      <c r="T163" s="109"/>
      <c r="U163" s="109"/>
      <c r="V163" s="109"/>
      <c r="W163" s="109"/>
      <c r="X163" s="109"/>
      <c r="Y163" s="109"/>
      <c r="Z163" s="109"/>
    </row>
    <row r="164" ht="12.75" customHeight="1">
      <c r="A164" s="109"/>
      <c r="B164" s="109"/>
      <c r="C164" s="109"/>
      <c r="D164" s="109"/>
      <c r="E164" s="109"/>
      <c r="F164" s="154"/>
      <c r="G164" s="154"/>
      <c r="H164" s="109"/>
      <c r="I164" s="109"/>
      <c r="J164" s="109"/>
      <c r="K164" s="109"/>
      <c r="L164" s="109"/>
      <c r="M164" s="109"/>
      <c r="N164" s="109"/>
      <c r="O164" s="109"/>
      <c r="P164" s="109"/>
      <c r="Q164" s="109"/>
      <c r="R164" s="109"/>
      <c r="S164" s="109"/>
      <c r="T164" s="109"/>
      <c r="U164" s="109"/>
      <c r="V164" s="109"/>
      <c r="W164" s="109"/>
      <c r="X164" s="109"/>
      <c r="Y164" s="109"/>
      <c r="Z164" s="109"/>
    </row>
    <row r="165" ht="12.75" customHeight="1">
      <c r="A165" s="109"/>
      <c r="B165" s="109"/>
      <c r="C165" s="109"/>
      <c r="D165" s="109"/>
      <c r="E165" s="109"/>
      <c r="F165" s="154"/>
      <c r="G165" s="154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</row>
    <row r="166" ht="12.75" customHeight="1">
      <c r="A166" s="109"/>
      <c r="B166" s="109"/>
      <c r="C166" s="109"/>
      <c r="D166" s="109"/>
      <c r="E166" s="109"/>
      <c r="F166" s="154"/>
      <c r="G166" s="154"/>
      <c r="H166" s="109"/>
      <c r="I166" s="109"/>
      <c r="J166" s="109"/>
      <c r="K166" s="109"/>
      <c r="L166" s="109"/>
      <c r="M166" s="109"/>
      <c r="N166" s="109"/>
      <c r="O166" s="109"/>
      <c r="P166" s="109"/>
      <c r="Q166" s="109"/>
      <c r="R166" s="109"/>
      <c r="S166" s="109"/>
      <c r="T166" s="109"/>
      <c r="U166" s="109"/>
      <c r="V166" s="109"/>
      <c r="W166" s="109"/>
      <c r="X166" s="109"/>
      <c r="Y166" s="109"/>
      <c r="Z166" s="109"/>
    </row>
    <row r="167" ht="12.75" customHeight="1">
      <c r="A167" s="109"/>
      <c r="B167" s="109"/>
      <c r="C167" s="109"/>
      <c r="D167" s="109"/>
      <c r="E167" s="109"/>
      <c r="F167" s="154"/>
      <c r="G167" s="154"/>
      <c r="H167" s="109"/>
      <c r="I167" s="109"/>
      <c r="J167" s="109"/>
      <c r="K167" s="109"/>
      <c r="L167" s="109"/>
      <c r="M167" s="109"/>
      <c r="N167" s="109"/>
      <c r="O167" s="109"/>
      <c r="P167" s="109"/>
      <c r="Q167" s="109"/>
      <c r="R167" s="109"/>
      <c r="S167" s="109"/>
      <c r="T167" s="109"/>
      <c r="U167" s="109"/>
      <c r="V167" s="109"/>
      <c r="W167" s="109"/>
      <c r="X167" s="109"/>
      <c r="Y167" s="109"/>
      <c r="Z167" s="109"/>
    </row>
    <row r="168" ht="12.75" customHeight="1">
      <c r="A168" s="109"/>
      <c r="B168" s="109"/>
      <c r="C168" s="109"/>
      <c r="D168" s="109"/>
      <c r="E168" s="109"/>
      <c r="F168" s="154"/>
      <c r="G168" s="154"/>
      <c r="H168" s="109"/>
      <c r="I168" s="109"/>
      <c r="J168" s="109"/>
      <c r="K168" s="109"/>
      <c r="L168" s="109"/>
      <c r="M168" s="109"/>
      <c r="N168" s="109"/>
      <c r="O168" s="109"/>
      <c r="P168" s="109"/>
      <c r="Q168" s="109"/>
      <c r="R168" s="109"/>
      <c r="S168" s="109"/>
      <c r="T168" s="109"/>
      <c r="U168" s="109"/>
      <c r="V168" s="109"/>
      <c r="W168" s="109"/>
      <c r="X168" s="109"/>
      <c r="Y168" s="109"/>
      <c r="Z168" s="109"/>
    </row>
    <row r="169" ht="12.75" customHeight="1">
      <c r="A169" s="109"/>
      <c r="B169" s="109"/>
      <c r="C169" s="109"/>
      <c r="D169" s="109"/>
      <c r="E169" s="109"/>
      <c r="F169" s="154"/>
      <c r="G169" s="154"/>
      <c r="H169" s="109"/>
      <c r="I169" s="109"/>
      <c r="J169" s="109"/>
      <c r="K169" s="109"/>
      <c r="L169" s="109"/>
      <c r="M169" s="109"/>
      <c r="N169" s="109"/>
      <c r="O169" s="109"/>
      <c r="P169" s="109"/>
      <c r="Q169" s="109"/>
      <c r="R169" s="109"/>
      <c r="S169" s="109"/>
      <c r="T169" s="109"/>
      <c r="U169" s="109"/>
      <c r="V169" s="109"/>
      <c r="W169" s="109"/>
      <c r="X169" s="109"/>
      <c r="Y169" s="109"/>
      <c r="Z169" s="109"/>
    </row>
    <row r="170" ht="12.75" customHeight="1">
      <c r="A170" s="109"/>
      <c r="B170" s="109"/>
      <c r="C170" s="109"/>
      <c r="D170" s="109"/>
      <c r="E170" s="109"/>
      <c r="F170" s="154"/>
      <c r="G170" s="154"/>
      <c r="H170" s="109"/>
      <c r="I170" s="109"/>
      <c r="J170" s="109"/>
      <c r="K170" s="109"/>
      <c r="L170" s="109"/>
      <c r="M170" s="109"/>
      <c r="N170" s="109"/>
      <c r="O170" s="109"/>
      <c r="P170" s="109"/>
      <c r="Q170" s="109"/>
      <c r="R170" s="109"/>
      <c r="S170" s="109"/>
      <c r="T170" s="109"/>
      <c r="U170" s="109"/>
      <c r="V170" s="109"/>
      <c r="W170" s="109"/>
      <c r="X170" s="109"/>
      <c r="Y170" s="109"/>
      <c r="Z170" s="109"/>
    </row>
    <row r="171" ht="12.75" customHeight="1">
      <c r="A171" s="109"/>
      <c r="B171" s="109"/>
      <c r="C171" s="109"/>
      <c r="D171" s="109"/>
      <c r="E171" s="109"/>
      <c r="F171" s="154"/>
      <c r="G171" s="154"/>
      <c r="H171" s="109"/>
      <c r="I171" s="109"/>
      <c r="J171" s="109"/>
      <c r="K171" s="109"/>
      <c r="L171" s="109"/>
      <c r="M171" s="109"/>
      <c r="N171" s="109"/>
      <c r="O171" s="109"/>
      <c r="P171" s="109"/>
      <c r="Q171" s="109"/>
      <c r="R171" s="109"/>
      <c r="S171" s="109"/>
      <c r="T171" s="109"/>
      <c r="U171" s="109"/>
      <c r="V171" s="109"/>
      <c r="W171" s="109"/>
      <c r="X171" s="109"/>
      <c r="Y171" s="109"/>
      <c r="Z171" s="109"/>
    </row>
    <row r="172" ht="12.75" customHeight="1">
      <c r="A172" s="109"/>
      <c r="B172" s="109"/>
      <c r="C172" s="109"/>
      <c r="D172" s="109"/>
      <c r="E172" s="109"/>
      <c r="F172" s="154"/>
      <c r="G172" s="154"/>
      <c r="H172" s="109"/>
      <c r="I172" s="109"/>
      <c r="J172" s="109"/>
      <c r="K172" s="109"/>
      <c r="L172" s="109"/>
      <c r="M172" s="109"/>
      <c r="N172" s="109"/>
      <c r="O172" s="109"/>
      <c r="P172" s="109"/>
      <c r="Q172" s="109"/>
      <c r="R172" s="109"/>
      <c r="S172" s="109"/>
      <c r="T172" s="109"/>
      <c r="U172" s="109"/>
      <c r="V172" s="109"/>
      <c r="W172" s="109"/>
      <c r="X172" s="109"/>
      <c r="Y172" s="109"/>
      <c r="Z172" s="109"/>
    </row>
    <row r="173" ht="12.75" customHeight="1">
      <c r="A173" s="109"/>
      <c r="B173" s="109"/>
      <c r="C173" s="109"/>
      <c r="D173" s="109"/>
      <c r="E173" s="109"/>
      <c r="F173" s="154"/>
      <c r="G173" s="154"/>
      <c r="H173" s="109"/>
      <c r="I173" s="109"/>
      <c r="J173" s="109"/>
      <c r="K173" s="109"/>
      <c r="L173" s="109"/>
      <c r="M173" s="109"/>
      <c r="N173" s="109"/>
      <c r="O173" s="109"/>
      <c r="P173" s="109"/>
      <c r="Q173" s="109"/>
      <c r="R173" s="109"/>
      <c r="S173" s="109"/>
      <c r="T173" s="109"/>
      <c r="U173" s="109"/>
      <c r="V173" s="109"/>
      <c r="W173" s="109"/>
      <c r="X173" s="109"/>
      <c r="Y173" s="109"/>
      <c r="Z173" s="109"/>
    </row>
    <row r="174" ht="12.75" customHeight="1">
      <c r="A174" s="109"/>
      <c r="B174" s="109"/>
      <c r="C174" s="109"/>
      <c r="D174" s="109"/>
      <c r="E174" s="109"/>
      <c r="F174" s="154"/>
      <c r="G174" s="154"/>
      <c r="H174" s="109"/>
      <c r="I174" s="109"/>
      <c r="J174" s="109"/>
      <c r="K174" s="109"/>
      <c r="L174" s="109"/>
      <c r="M174" s="109"/>
      <c r="N174" s="109"/>
      <c r="O174" s="109"/>
      <c r="P174" s="109"/>
      <c r="Q174" s="109"/>
      <c r="R174" s="109"/>
      <c r="S174" s="109"/>
      <c r="T174" s="109"/>
      <c r="U174" s="109"/>
      <c r="V174" s="109"/>
      <c r="W174" s="109"/>
      <c r="X174" s="109"/>
      <c r="Y174" s="109"/>
      <c r="Z174" s="109"/>
    </row>
    <row r="175" ht="12.75" customHeight="1">
      <c r="A175" s="109"/>
      <c r="B175" s="109"/>
      <c r="C175" s="109"/>
      <c r="D175" s="109"/>
      <c r="E175" s="109"/>
      <c r="F175" s="154"/>
      <c r="G175" s="154"/>
      <c r="H175" s="109"/>
      <c r="I175" s="109"/>
      <c r="J175" s="109"/>
      <c r="K175" s="109"/>
      <c r="L175" s="109"/>
      <c r="M175" s="109"/>
      <c r="N175" s="109"/>
      <c r="O175" s="109"/>
      <c r="P175" s="109"/>
      <c r="Q175" s="109"/>
      <c r="R175" s="109"/>
      <c r="S175" s="109"/>
      <c r="T175" s="109"/>
      <c r="U175" s="109"/>
      <c r="V175" s="109"/>
      <c r="W175" s="109"/>
      <c r="X175" s="109"/>
      <c r="Y175" s="109"/>
      <c r="Z175" s="109"/>
    </row>
    <row r="176" ht="12.75" customHeight="1">
      <c r="A176" s="109"/>
      <c r="B176" s="109"/>
      <c r="C176" s="109"/>
      <c r="D176" s="109"/>
      <c r="E176" s="109"/>
      <c r="F176" s="154"/>
      <c r="G176" s="154"/>
      <c r="H176" s="109"/>
      <c r="I176" s="109"/>
      <c r="J176" s="109"/>
      <c r="K176" s="109"/>
      <c r="L176" s="109"/>
      <c r="M176" s="109"/>
      <c r="N176" s="109"/>
      <c r="O176" s="109"/>
      <c r="P176" s="109"/>
      <c r="Q176" s="109"/>
      <c r="R176" s="109"/>
      <c r="S176" s="109"/>
      <c r="T176" s="109"/>
      <c r="U176" s="109"/>
      <c r="V176" s="109"/>
      <c r="W176" s="109"/>
      <c r="X176" s="109"/>
      <c r="Y176" s="109"/>
      <c r="Z176" s="109"/>
    </row>
    <row r="177" ht="12.75" customHeight="1">
      <c r="A177" s="109"/>
      <c r="B177" s="109"/>
      <c r="C177" s="109"/>
      <c r="D177" s="109"/>
      <c r="E177" s="109"/>
      <c r="F177" s="154"/>
      <c r="G177" s="154"/>
      <c r="H177" s="109"/>
      <c r="I177" s="109"/>
      <c r="J177" s="109"/>
      <c r="K177" s="109"/>
      <c r="L177" s="109"/>
      <c r="M177" s="109"/>
      <c r="N177" s="109"/>
      <c r="O177" s="109"/>
      <c r="P177" s="109"/>
      <c r="Q177" s="109"/>
      <c r="R177" s="109"/>
      <c r="S177" s="109"/>
      <c r="T177" s="109"/>
      <c r="U177" s="109"/>
      <c r="V177" s="109"/>
      <c r="W177" s="109"/>
      <c r="X177" s="109"/>
      <c r="Y177" s="109"/>
      <c r="Z177" s="109"/>
    </row>
    <row r="178" ht="12.75" customHeight="1">
      <c r="A178" s="109"/>
      <c r="B178" s="109"/>
      <c r="C178" s="109"/>
      <c r="D178" s="109"/>
      <c r="E178" s="109"/>
      <c r="F178" s="154"/>
      <c r="G178" s="154"/>
      <c r="H178" s="109"/>
      <c r="I178" s="109"/>
      <c r="J178" s="109"/>
      <c r="K178" s="109"/>
      <c r="L178" s="109"/>
      <c r="M178" s="109"/>
      <c r="N178" s="109"/>
      <c r="O178" s="109"/>
      <c r="P178" s="109"/>
      <c r="Q178" s="109"/>
      <c r="R178" s="109"/>
      <c r="S178" s="109"/>
      <c r="T178" s="109"/>
      <c r="U178" s="109"/>
      <c r="V178" s="109"/>
      <c r="W178" s="109"/>
      <c r="X178" s="109"/>
      <c r="Y178" s="109"/>
      <c r="Z178" s="109"/>
    </row>
    <row r="179" ht="12.75" customHeight="1">
      <c r="A179" s="109"/>
      <c r="B179" s="109"/>
      <c r="C179" s="109"/>
      <c r="D179" s="109"/>
      <c r="E179" s="109"/>
      <c r="F179" s="154"/>
      <c r="G179" s="154"/>
      <c r="H179" s="109"/>
      <c r="I179" s="109"/>
      <c r="J179" s="109"/>
      <c r="K179" s="109"/>
      <c r="L179" s="109"/>
      <c r="M179" s="109"/>
      <c r="N179" s="109"/>
      <c r="O179" s="109"/>
      <c r="P179" s="109"/>
      <c r="Q179" s="109"/>
      <c r="R179" s="109"/>
      <c r="S179" s="109"/>
      <c r="T179" s="109"/>
      <c r="U179" s="109"/>
      <c r="V179" s="109"/>
      <c r="W179" s="109"/>
      <c r="X179" s="109"/>
      <c r="Y179" s="109"/>
      <c r="Z179" s="109"/>
    </row>
    <row r="180" ht="12.75" customHeight="1">
      <c r="A180" s="109"/>
      <c r="B180" s="109"/>
      <c r="C180" s="109"/>
      <c r="D180" s="109"/>
      <c r="E180" s="109"/>
      <c r="F180" s="154"/>
      <c r="G180" s="154"/>
      <c r="H180" s="109"/>
      <c r="I180" s="109"/>
      <c r="J180" s="109"/>
      <c r="K180" s="109"/>
      <c r="L180" s="109"/>
      <c r="M180" s="109"/>
      <c r="N180" s="109"/>
      <c r="O180" s="109"/>
      <c r="P180" s="109"/>
      <c r="Q180" s="109"/>
      <c r="R180" s="109"/>
      <c r="S180" s="109"/>
      <c r="T180" s="109"/>
      <c r="U180" s="109"/>
      <c r="V180" s="109"/>
      <c r="W180" s="109"/>
      <c r="X180" s="109"/>
      <c r="Y180" s="109"/>
      <c r="Z180" s="109"/>
    </row>
    <row r="181" ht="12.75" customHeight="1">
      <c r="A181" s="109"/>
      <c r="B181" s="109"/>
      <c r="C181" s="109"/>
      <c r="D181" s="109"/>
      <c r="E181" s="109"/>
      <c r="F181" s="154"/>
      <c r="G181" s="154"/>
      <c r="H181" s="109"/>
      <c r="I181" s="109"/>
      <c r="J181" s="109"/>
      <c r="K181" s="109"/>
      <c r="L181" s="109"/>
      <c r="M181" s="109"/>
      <c r="N181" s="109"/>
      <c r="O181" s="109"/>
      <c r="P181" s="109"/>
      <c r="Q181" s="109"/>
      <c r="R181" s="109"/>
      <c r="S181" s="109"/>
      <c r="T181" s="109"/>
      <c r="U181" s="109"/>
      <c r="V181" s="109"/>
      <c r="W181" s="109"/>
      <c r="X181" s="109"/>
      <c r="Y181" s="109"/>
      <c r="Z181" s="109"/>
    </row>
    <row r="182" ht="12.75" customHeight="1">
      <c r="A182" s="109"/>
      <c r="B182" s="109"/>
      <c r="C182" s="109"/>
      <c r="D182" s="109"/>
      <c r="E182" s="109"/>
      <c r="F182" s="154"/>
      <c r="G182" s="154"/>
      <c r="H182" s="109"/>
      <c r="I182" s="109"/>
      <c r="J182" s="109"/>
      <c r="K182" s="109"/>
      <c r="L182" s="109"/>
      <c r="M182" s="109"/>
      <c r="N182" s="109"/>
      <c r="O182" s="109"/>
      <c r="P182" s="109"/>
      <c r="Q182" s="109"/>
      <c r="R182" s="109"/>
      <c r="S182" s="109"/>
      <c r="T182" s="109"/>
      <c r="U182" s="109"/>
      <c r="V182" s="109"/>
      <c r="W182" s="109"/>
      <c r="X182" s="109"/>
      <c r="Y182" s="109"/>
      <c r="Z182" s="109"/>
    </row>
    <row r="183" ht="12.75" customHeight="1">
      <c r="A183" s="109"/>
      <c r="B183" s="109"/>
      <c r="C183" s="109"/>
      <c r="D183" s="109"/>
      <c r="E183" s="109"/>
      <c r="F183" s="154"/>
      <c r="G183" s="154"/>
      <c r="H183" s="109"/>
      <c r="I183" s="109"/>
      <c r="J183" s="109"/>
      <c r="K183" s="109"/>
      <c r="L183" s="109"/>
      <c r="M183" s="109"/>
      <c r="N183" s="109"/>
      <c r="O183" s="109"/>
      <c r="P183" s="109"/>
      <c r="Q183" s="109"/>
      <c r="R183" s="109"/>
      <c r="S183" s="109"/>
      <c r="T183" s="109"/>
      <c r="U183" s="109"/>
      <c r="V183" s="109"/>
      <c r="W183" s="109"/>
      <c r="X183" s="109"/>
      <c r="Y183" s="109"/>
      <c r="Z183" s="109"/>
    </row>
    <row r="184" ht="12.75" customHeight="1">
      <c r="A184" s="109"/>
      <c r="B184" s="109"/>
      <c r="C184" s="109"/>
      <c r="D184" s="109"/>
      <c r="E184" s="109"/>
      <c r="F184" s="154"/>
      <c r="G184" s="154"/>
      <c r="H184" s="109"/>
      <c r="I184" s="109"/>
      <c r="J184" s="109"/>
      <c r="K184" s="109"/>
      <c r="L184" s="109"/>
      <c r="M184" s="109"/>
      <c r="N184" s="109"/>
      <c r="O184" s="109"/>
      <c r="P184" s="109"/>
      <c r="Q184" s="109"/>
      <c r="R184" s="109"/>
      <c r="S184" s="109"/>
      <c r="T184" s="109"/>
      <c r="U184" s="109"/>
      <c r="V184" s="109"/>
      <c r="W184" s="109"/>
      <c r="X184" s="109"/>
      <c r="Y184" s="109"/>
      <c r="Z184" s="109"/>
    </row>
    <row r="185" ht="12.75" customHeight="1">
      <c r="A185" s="109"/>
      <c r="B185" s="109"/>
      <c r="C185" s="109"/>
      <c r="D185" s="109"/>
      <c r="E185" s="109"/>
      <c r="F185" s="154"/>
      <c r="G185" s="154"/>
      <c r="H185" s="109"/>
      <c r="I185" s="109"/>
      <c r="J185" s="109"/>
      <c r="K185" s="109"/>
      <c r="L185" s="109"/>
      <c r="M185" s="109"/>
      <c r="N185" s="109"/>
      <c r="O185" s="109"/>
      <c r="P185" s="109"/>
      <c r="Q185" s="109"/>
      <c r="R185" s="109"/>
      <c r="S185" s="109"/>
      <c r="T185" s="109"/>
      <c r="U185" s="109"/>
      <c r="V185" s="109"/>
      <c r="W185" s="109"/>
      <c r="X185" s="109"/>
      <c r="Y185" s="109"/>
      <c r="Z185" s="109"/>
    </row>
    <row r="186" ht="12.75" customHeight="1">
      <c r="A186" s="109"/>
      <c r="B186" s="109"/>
      <c r="C186" s="109"/>
      <c r="D186" s="109"/>
      <c r="E186" s="109"/>
      <c r="F186" s="154"/>
      <c r="G186" s="154"/>
      <c r="H186" s="109"/>
      <c r="I186" s="109"/>
      <c r="J186" s="109"/>
      <c r="K186" s="109"/>
      <c r="L186" s="109"/>
      <c r="M186" s="109"/>
      <c r="N186" s="109"/>
      <c r="O186" s="109"/>
      <c r="P186" s="109"/>
      <c r="Q186" s="109"/>
      <c r="R186" s="109"/>
      <c r="S186" s="109"/>
      <c r="T186" s="109"/>
      <c r="U186" s="109"/>
      <c r="V186" s="109"/>
      <c r="W186" s="109"/>
      <c r="X186" s="109"/>
      <c r="Y186" s="109"/>
      <c r="Z186" s="109"/>
    </row>
    <row r="187" ht="12.75" customHeight="1">
      <c r="A187" s="109"/>
      <c r="B187" s="109"/>
      <c r="C187" s="109"/>
      <c r="D187" s="109"/>
      <c r="E187" s="109"/>
      <c r="F187" s="154"/>
      <c r="G187" s="154"/>
      <c r="H187" s="109"/>
      <c r="I187" s="109"/>
      <c r="J187" s="109"/>
      <c r="K187" s="109"/>
      <c r="L187" s="109"/>
      <c r="M187" s="109"/>
      <c r="N187" s="109"/>
      <c r="O187" s="109"/>
      <c r="P187" s="109"/>
      <c r="Q187" s="109"/>
      <c r="R187" s="109"/>
      <c r="S187" s="109"/>
      <c r="T187" s="109"/>
      <c r="U187" s="109"/>
      <c r="V187" s="109"/>
      <c r="W187" s="109"/>
      <c r="X187" s="109"/>
      <c r="Y187" s="109"/>
      <c r="Z187" s="109"/>
    </row>
    <row r="188" ht="12.75" customHeight="1">
      <c r="A188" s="109"/>
      <c r="B188" s="109"/>
      <c r="C188" s="109"/>
      <c r="D188" s="109"/>
      <c r="E188" s="109"/>
      <c r="F188" s="154"/>
      <c r="G188" s="154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</row>
    <row r="189" ht="12.75" customHeight="1">
      <c r="A189" s="109"/>
      <c r="B189" s="109"/>
      <c r="C189" s="109"/>
      <c r="D189" s="109"/>
      <c r="E189" s="109"/>
      <c r="F189" s="154"/>
      <c r="G189" s="154"/>
      <c r="H189" s="109"/>
      <c r="I189" s="109"/>
      <c r="J189" s="109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109"/>
      <c r="V189" s="109"/>
      <c r="W189" s="109"/>
      <c r="X189" s="109"/>
      <c r="Y189" s="109"/>
      <c r="Z189" s="109"/>
    </row>
    <row r="190" ht="12.75" customHeight="1">
      <c r="A190" s="109"/>
      <c r="B190" s="109"/>
      <c r="C190" s="109"/>
      <c r="D190" s="109"/>
      <c r="E190" s="109"/>
      <c r="F190" s="154"/>
      <c r="G190" s="154"/>
      <c r="H190" s="109"/>
      <c r="I190" s="109"/>
      <c r="J190" s="109"/>
      <c r="K190" s="109"/>
      <c r="L190" s="109"/>
      <c r="M190" s="109"/>
      <c r="N190" s="109"/>
      <c r="O190" s="109"/>
      <c r="P190" s="109"/>
      <c r="Q190" s="109"/>
      <c r="R190" s="109"/>
      <c r="S190" s="109"/>
      <c r="T190" s="109"/>
      <c r="U190" s="109"/>
      <c r="V190" s="109"/>
      <c r="W190" s="109"/>
      <c r="X190" s="109"/>
      <c r="Y190" s="109"/>
      <c r="Z190" s="109"/>
    </row>
    <row r="191" ht="12.75" customHeight="1">
      <c r="A191" s="109"/>
      <c r="B191" s="109"/>
      <c r="C191" s="109"/>
      <c r="D191" s="109"/>
      <c r="E191" s="109"/>
      <c r="F191" s="154"/>
      <c r="G191" s="154"/>
      <c r="H191" s="109"/>
      <c r="I191" s="109"/>
      <c r="J191" s="109"/>
      <c r="K191" s="109"/>
      <c r="L191" s="109"/>
      <c r="M191" s="109"/>
      <c r="N191" s="109"/>
      <c r="O191" s="109"/>
      <c r="P191" s="109"/>
      <c r="Q191" s="109"/>
      <c r="R191" s="109"/>
      <c r="S191" s="109"/>
      <c r="T191" s="109"/>
      <c r="U191" s="109"/>
      <c r="V191" s="109"/>
      <c r="W191" s="109"/>
      <c r="X191" s="109"/>
      <c r="Y191" s="109"/>
      <c r="Z191" s="109"/>
    </row>
    <row r="192" ht="12.75" customHeight="1">
      <c r="A192" s="109"/>
      <c r="B192" s="109"/>
      <c r="C192" s="109"/>
      <c r="D192" s="109"/>
      <c r="E192" s="109"/>
      <c r="F192" s="154"/>
      <c r="G192" s="154"/>
      <c r="H192" s="109"/>
      <c r="I192" s="109"/>
      <c r="J192" s="109"/>
      <c r="K192" s="109"/>
      <c r="L192" s="109"/>
      <c r="M192" s="109"/>
      <c r="N192" s="109"/>
      <c r="O192" s="109"/>
      <c r="P192" s="109"/>
      <c r="Q192" s="109"/>
      <c r="R192" s="109"/>
      <c r="S192" s="109"/>
      <c r="T192" s="109"/>
      <c r="U192" s="109"/>
      <c r="V192" s="109"/>
      <c r="W192" s="109"/>
      <c r="X192" s="109"/>
      <c r="Y192" s="109"/>
      <c r="Z192" s="109"/>
    </row>
    <row r="193" ht="12.75" customHeight="1">
      <c r="A193" s="109"/>
      <c r="B193" s="109"/>
      <c r="C193" s="109"/>
      <c r="D193" s="109"/>
      <c r="E193" s="109"/>
      <c r="F193" s="154"/>
      <c r="G193" s="154"/>
      <c r="H193" s="109"/>
      <c r="I193" s="109"/>
      <c r="J193" s="109"/>
      <c r="K193" s="109"/>
      <c r="L193" s="109"/>
      <c r="M193" s="109"/>
      <c r="N193" s="109"/>
      <c r="O193" s="109"/>
      <c r="P193" s="109"/>
      <c r="Q193" s="109"/>
      <c r="R193" s="109"/>
      <c r="S193" s="109"/>
      <c r="T193" s="109"/>
      <c r="U193" s="109"/>
      <c r="V193" s="109"/>
      <c r="W193" s="109"/>
      <c r="X193" s="109"/>
      <c r="Y193" s="109"/>
      <c r="Z193" s="109"/>
    </row>
    <row r="194" ht="12.75" customHeight="1">
      <c r="A194" s="109"/>
      <c r="B194" s="109"/>
      <c r="C194" s="109"/>
      <c r="D194" s="109"/>
      <c r="E194" s="109"/>
      <c r="F194" s="154"/>
      <c r="G194" s="154"/>
      <c r="H194" s="109"/>
      <c r="I194" s="109"/>
      <c r="J194" s="109"/>
      <c r="K194" s="109"/>
      <c r="L194" s="109"/>
      <c r="M194" s="109"/>
      <c r="N194" s="109"/>
      <c r="O194" s="109"/>
      <c r="P194" s="109"/>
      <c r="Q194" s="109"/>
      <c r="R194" s="109"/>
      <c r="S194" s="109"/>
      <c r="T194" s="109"/>
      <c r="U194" s="109"/>
      <c r="V194" s="109"/>
      <c r="W194" s="109"/>
      <c r="X194" s="109"/>
      <c r="Y194" s="109"/>
      <c r="Z194" s="109"/>
    </row>
    <row r="195" ht="12.75" customHeight="1">
      <c r="A195" s="109"/>
      <c r="B195" s="109"/>
      <c r="C195" s="109"/>
      <c r="D195" s="109"/>
      <c r="E195" s="109"/>
      <c r="F195" s="154"/>
      <c r="G195" s="154"/>
      <c r="H195" s="109"/>
      <c r="I195" s="109"/>
      <c r="J195" s="109"/>
      <c r="K195" s="109"/>
      <c r="L195" s="109"/>
      <c r="M195" s="109"/>
      <c r="N195" s="109"/>
      <c r="O195" s="109"/>
      <c r="P195" s="109"/>
      <c r="Q195" s="109"/>
      <c r="R195" s="109"/>
      <c r="S195" s="109"/>
      <c r="T195" s="109"/>
      <c r="U195" s="109"/>
      <c r="V195" s="109"/>
      <c r="W195" s="109"/>
      <c r="X195" s="109"/>
      <c r="Y195" s="109"/>
      <c r="Z195" s="109"/>
    </row>
    <row r="196" ht="12.75" customHeight="1">
      <c r="A196" s="109"/>
      <c r="B196" s="109"/>
      <c r="C196" s="109"/>
      <c r="D196" s="109"/>
      <c r="E196" s="109"/>
      <c r="F196" s="154"/>
      <c r="G196" s="154"/>
      <c r="H196" s="109"/>
      <c r="I196" s="109"/>
      <c r="J196" s="109"/>
      <c r="K196" s="109"/>
      <c r="L196" s="109"/>
      <c r="M196" s="109"/>
      <c r="N196" s="109"/>
      <c r="O196" s="109"/>
      <c r="P196" s="109"/>
      <c r="Q196" s="109"/>
      <c r="R196" s="109"/>
      <c r="S196" s="109"/>
      <c r="T196" s="109"/>
      <c r="U196" s="109"/>
      <c r="V196" s="109"/>
      <c r="W196" s="109"/>
      <c r="X196" s="109"/>
      <c r="Y196" s="109"/>
      <c r="Z196" s="109"/>
    </row>
    <row r="197" ht="12.75" customHeight="1">
      <c r="A197" s="109"/>
      <c r="B197" s="109"/>
      <c r="C197" s="109"/>
      <c r="D197" s="109"/>
      <c r="E197" s="109"/>
      <c r="F197" s="154"/>
      <c r="G197" s="154"/>
      <c r="H197" s="109"/>
      <c r="I197" s="109"/>
      <c r="J197" s="109"/>
      <c r="K197" s="109"/>
      <c r="L197" s="109"/>
      <c r="M197" s="109"/>
      <c r="N197" s="109"/>
      <c r="O197" s="109"/>
      <c r="P197" s="109"/>
      <c r="Q197" s="109"/>
      <c r="R197" s="109"/>
      <c r="S197" s="109"/>
      <c r="T197" s="109"/>
      <c r="U197" s="109"/>
      <c r="V197" s="109"/>
      <c r="W197" s="109"/>
      <c r="X197" s="109"/>
      <c r="Y197" s="109"/>
      <c r="Z197" s="109"/>
    </row>
    <row r="198" ht="12.75" customHeight="1">
      <c r="A198" s="109"/>
      <c r="B198" s="109"/>
      <c r="C198" s="109"/>
      <c r="D198" s="109"/>
      <c r="E198" s="109"/>
      <c r="F198" s="154"/>
      <c r="G198" s="154"/>
      <c r="H198" s="109"/>
      <c r="I198" s="109"/>
      <c r="J198" s="109"/>
      <c r="K198" s="109"/>
      <c r="L198" s="109"/>
      <c r="M198" s="109"/>
      <c r="N198" s="109"/>
      <c r="O198" s="109"/>
      <c r="P198" s="109"/>
      <c r="Q198" s="109"/>
      <c r="R198" s="109"/>
      <c r="S198" s="109"/>
      <c r="T198" s="109"/>
      <c r="U198" s="109"/>
      <c r="V198" s="109"/>
      <c r="W198" s="109"/>
      <c r="X198" s="109"/>
      <c r="Y198" s="109"/>
      <c r="Z198" s="109"/>
    </row>
    <row r="199" ht="12.75" customHeight="1">
      <c r="A199" s="109"/>
      <c r="B199" s="109"/>
      <c r="C199" s="109"/>
      <c r="D199" s="109"/>
      <c r="E199" s="109"/>
      <c r="F199" s="154"/>
      <c r="G199" s="154"/>
      <c r="H199" s="109"/>
      <c r="I199" s="109"/>
      <c r="J199" s="109"/>
      <c r="K199" s="109"/>
      <c r="L199" s="109"/>
      <c r="M199" s="109"/>
      <c r="N199" s="109"/>
      <c r="O199" s="109"/>
      <c r="P199" s="109"/>
      <c r="Q199" s="109"/>
      <c r="R199" s="109"/>
      <c r="S199" s="109"/>
      <c r="T199" s="109"/>
      <c r="U199" s="109"/>
      <c r="V199" s="109"/>
      <c r="W199" s="109"/>
      <c r="X199" s="109"/>
      <c r="Y199" s="109"/>
      <c r="Z199" s="109"/>
    </row>
    <row r="200" ht="12.75" customHeight="1">
      <c r="A200" s="109"/>
      <c r="B200" s="109"/>
      <c r="C200" s="109"/>
      <c r="D200" s="109"/>
      <c r="E200" s="109"/>
      <c r="F200" s="154"/>
      <c r="G200" s="154"/>
      <c r="H200" s="109"/>
      <c r="I200" s="109"/>
      <c r="J200" s="109"/>
      <c r="K200" s="109"/>
      <c r="L200" s="109"/>
      <c r="M200" s="109"/>
      <c r="N200" s="109"/>
      <c r="O200" s="109"/>
      <c r="P200" s="109"/>
      <c r="Q200" s="109"/>
      <c r="R200" s="109"/>
      <c r="S200" s="109"/>
      <c r="T200" s="109"/>
      <c r="U200" s="109"/>
      <c r="V200" s="109"/>
      <c r="W200" s="109"/>
      <c r="X200" s="109"/>
      <c r="Y200" s="109"/>
      <c r="Z200" s="109"/>
    </row>
    <row r="201" ht="12.75" customHeight="1">
      <c r="A201" s="109"/>
      <c r="B201" s="109"/>
      <c r="C201" s="109"/>
      <c r="D201" s="109"/>
      <c r="E201" s="109"/>
      <c r="F201" s="154"/>
      <c r="G201" s="154"/>
      <c r="H201" s="109"/>
      <c r="I201" s="109"/>
      <c r="J201" s="109"/>
      <c r="K201" s="109"/>
      <c r="L201" s="109"/>
      <c r="M201" s="109"/>
      <c r="N201" s="109"/>
      <c r="O201" s="109"/>
      <c r="P201" s="109"/>
      <c r="Q201" s="109"/>
      <c r="R201" s="109"/>
      <c r="S201" s="109"/>
      <c r="T201" s="109"/>
      <c r="U201" s="109"/>
      <c r="V201" s="109"/>
      <c r="W201" s="109"/>
      <c r="X201" s="109"/>
      <c r="Y201" s="109"/>
      <c r="Z201" s="109"/>
    </row>
    <row r="202" ht="12.75" customHeight="1">
      <c r="A202" s="109"/>
      <c r="B202" s="109"/>
      <c r="C202" s="109"/>
      <c r="D202" s="109"/>
      <c r="E202" s="109"/>
      <c r="F202" s="154"/>
      <c r="G202" s="154"/>
      <c r="H202" s="109"/>
      <c r="I202" s="109"/>
      <c r="J202" s="109"/>
      <c r="K202" s="109"/>
      <c r="L202" s="109"/>
      <c r="M202" s="109"/>
      <c r="N202" s="109"/>
      <c r="O202" s="109"/>
      <c r="P202" s="109"/>
      <c r="Q202" s="109"/>
      <c r="R202" s="109"/>
      <c r="S202" s="109"/>
      <c r="T202" s="109"/>
      <c r="U202" s="109"/>
      <c r="V202" s="109"/>
      <c r="W202" s="109"/>
      <c r="X202" s="109"/>
      <c r="Y202" s="109"/>
      <c r="Z202" s="109"/>
    </row>
    <row r="203" ht="12.75" customHeight="1">
      <c r="A203" s="109"/>
      <c r="B203" s="109"/>
      <c r="C203" s="109"/>
      <c r="D203" s="109"/>
      <c r="E203" s="109"/>
      <c r="F203" s="154"/>
      <c r="G203" s="154"/>
      <c r="H203" s="109"/>
      <c r="I203" s="109"/>
      <c r="J203" s="109"/>
      <c r="K203" s="109"/>
      <c r="L203" s="109"/>
      <c r="M203" s="109"/>
      <c r="N203" s="109"/>
      <c r="O203" s="109"/>
      <c r="P203" s="109"/>
      <c r="Q203" s="109"/>
      <c r="R203" s="109"/>
      <c r="S203" s="109"/>
      <c r="T203" s="109"/>
      <c r="U203" s="109"/>
      <c r="V203" s="109"/>
      <c r="W203" s="109"/>
      <c r="X203" s="109"/>
      <c r="Y203" s="109"/>
      <c r="Z203" s="109"/>
    </row>
    <row r="204" ht="12.75" customHeight="1">
      <c r="A204" s="109"/>
      <c r="B204" s="109"/>
      <c r="C204" s="109"/>
      <c r="D204" s="109"/>
      <c r="E204" s="109"/>
      <c r="F204" s="154"/>
      <c r="G204" s="154"/>
      <c r="H204" s="109"/>
      <c r="I204" s="109"/>
      <c r="J204" s="109"/>
      <c r="K204" s="109"/>
      <c r="L204" s="109"/>
      <c r="M204" s="109"/>
      <c r="N204" s="109"/>
      <c r="O204" s="109"/>
      <c r="P204" s="109"/>
      <c r="Q204" s="109"/>
      <c r="R204" s="109"/>
      <c r="S204" s="109"/>
      <c r="T204" s="109"/>
      <c r="U204" s="109"/>
      <c r="V204" s="109"/>
      <c r="W204" s="109"/>
      <c r="X204" s="109"/>
      <c r="Y204" s="109"/>
      <c r="Z204" s="109"/>
    </row>
    <row r="205" ht="12.75" customHeight="1">
      <c r="A205" s="109"/>
      <c r="B205" s="109"/>
      <c r="C205" s="109"/>
      <c r="D205" s="109"/>
      <c r="E205" s="109"/>
      <c r="F205" s="154"/>
      <c r="G205" s="154"/>
      <c r="H205" s="109"/>
      <c r="I205" s="109"/>
      <c r="J205" s="109"/>
      <c r="K205" s="109"/>
      <c r="L205" s="109"/>
      <c r="M205" s="109"/>
      <c r="N205" s="109"/>
      <c r="O205" s="109"/>
      <c r="P205" s="109"/>
      <c r="Q205" s="109"/>
      <c r="R205" s="109"/>
      <c r="S205" s="109"/>
      <c r="T205" s="109"/>
      <c r="U205" s="109"/>
      <c r="V205" s="109"/>
      <c r="W205" s="109"/>
      <c r="X205" s="109"/>
      <c r="Y205" s="109"/>
      <c r="Z205" s="109"/>
    </row>
    <row r="206" ht="12.75" customHeight="1">
      <c r="A206" s="109"/>
      <c r="B206" s="109"/>
      <c r="C206" s="109"/>
      <c r="D206" s="109"/>
      <c r="E206" s="109"/>
      <c r="F206" s="154"/>
      <c r="G206" s="154"/>
      <c r="H206" s="109"/>
      <c r="I206" s="109"/>
      <c r="J206" s="109"/>
      <c r="K206" s="109"/>
      <c r="L206" s="109"/>
      <c r="M206" s="109"/>
      <c r="N206" s="109"/>
      <c r="O206" s="109"/>
      <c r="P206" s="109"/>
      <c r="Q206" s="109"/>
      <c r="R206" s="109"/>
      <c r="S206" s="109"/>
      <c r="T206" s="109"/>
      <c r="U206" s="109"/>
      <c r="V206" s="109"/>
      <c r="W206" s="109"/>
      <c r="X206" s="109"/>
      <c r="Y206" s="109"/>
      <c r="Z206" s="109"/>
    </row>
    <row r="207" ht="12.75" customHeight="1">
      <c r="A207" s="109"/>
      <c r="B207" s="109"/>
      <c r="C207" s="109"/>
      <c r="D207" s="109"/>
      <c r="E207" s="109"/>
      <c r="F207" s="154"/>
      <c r="G207" s="154"/>
      <c r="H207" s="109"/>
      <c r="I207" s="109"/>
      <c r="J207" s="109"/>
      <c r="K207" s="109"/>
      <c r="L207" s="109"/>
      <c r="M207" s="109"/>
      <c r="N207" s="109"/>
      <c r="O207" s="109"/>
      <c r="P207" s="109"/>
      <c r="Q207" s="109"/>
      <c r="R207" s="109"/>
      <c r="S207" s="109"/>
      <c r="T207" s="109"/>
      <c r="U207" s="109"/>
      <c r="V207" s="109"/>
      <c r="W207" s="109"/>
      <c r="X207" s="109"/>
      <c r="Y207" s="109"/>
      <c r="Z207" s="109"/>
    </row>
    <row r="208" ht="12.75" customHeight="1">
      <c r="A208" s="109"/>
      <c r="B208" s="109"/>
      <c r="C208" s="109"/>
      <c r="D208" s="109"/>
      <c r="E208" s="109"/>
      <c r="F208" s="154"/>
      <c r="G208" s="154"/>
      <c r="H208" s="109"/>
      <c r="I208" s="109"/>
      <c r="J208" s="109"/>
      <c r="K208" s="109"/>
      <c r="L208" s="109"/>
      <c r="M208" s="109"/>
      <c r="N208" s="109"/>
      <c r="O208" s="109"/>
      <c r="P208" s="109"/>
      <c r="Q208" s="109"/>
      <c r="R208" s="109"/>
      <c r="S208" s="109"/>
      <c r="T208" s="109"/>
      <c r="U208" s="109"/>
      <c r="V208" s="109"/>
      <c r="W208" s="109"/>
      <c r="X208" s="109"/>
      <c r="Y208" s="109"/>
      <c r="Z208" s="109"/>
    </row>
    <row r="209" ht="12.75" customHeight="1">
      <c r="A209" s="109"/>
      <c r="B209" s="109"/>
      <c r="C209" s="109"/>
      <c r="D209" s="109"/>
      <c r="E209" s="109"/>
      <c r="F209" s="154"/>
      <c r="G209" s="154"/>
      <c r="H209" s="109"/>
      <c r="I209" s="109"/>
      <c r="J209" s="109"/>
      <c r="K209" s="109"/>
      <c r="L209" s="109"/>
      <c r="M209" s="109"/>
      <c r="N209" s="109"/>
      <c r="O209" s="109"/>
      <c r="P209" s="109"/>
      <c r="Q209" s="109"/>
      <c r="R209" s="109"/>
      <c r="S209" s="109"/>
      <c r="T209" s="109"/>
      <c r="U209" s="109"/>
      <c r="V209" s="109"/>
      <c r="W209" s="109"/>
      <c r="X209" s="109"/>
      <c r="Y209" s="109"/>
      <c r="Z209" s="109"/>
    </row>
    <row r="210" ht="12.75" customHeight="1">
      <c r="A210" s="109"/>
      <c r="B210" s="109"/>
      <c r="C210" s="109"/>
      <c r="D210" s="109"/>
      <c r="E210" s="109"/>
      <c r="F210" s="154"/>
      <c r="G210" s="154"/>
      <c r="H210" s="109"/>
      <c r="I210" s="109"/>
      <c r="J210" s="109"/>
      <c r="K210" s="109"/>
      <c r="L210" s="109"/>
      <c r="M210" s="109"/>
      <c r="N210" s="109"/>
      <c r="O210" s="109"/>
      <c r="P210" s="109"/>
      <c r="Q210" s="109"/>
      <c r="R210" s="109"/>
      <c r="S210" s="109"/>
      <c r="T210" s="109"/>
      <c r="U210" s="109"/>
      <c r="V210" s="109"/>
      <c r="W210" s="109"/>
      <c r="X210" s="109"/>
      <c r="Y210" s="109"/>
      <c r="Z210" s="109"/>
    </row>
    <row r="211" ht="12.75" customHeight="1">
      <c r="A211" s="109"/>
      <c r="B211" s="109"/>
      <c r="C211" s="109"/>
      <c r="D211" s="109"/>
      <c r="E211" s="109"/>
      <c r="F211" s="154"/>
      <c r="G211" s="154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</row>
    <row r="212" ht="12.75" customHeight="1">
      <c r="A212" s="109"/>
      <c r="B212" s="109"/>
      <c r="C212" s="109"/>
      <c r="D212" s="109"/>
      <c r="E212" s="109"/>
      <c r="F212" s="154"/>
      <c r="G212" s="154"/>
      <c r="H212" s="109"/>
      <c r="I212" s="109"/>
      <c r="J212" s="109"/>
      <c r="K212" s="109"/>
      <c r="L212" s="109"/>
      <c r="M212" s="109"/>
      <c r="N212" s="109"/>
      <c r="O212" s="109"/>
      <c r="P212" s="109"/>
      <c r="Q212" s="109"/>
      <c r="R212" s="109"/>
      <c r="S212" s="109"/>
      <c r="T212" s="109"/>
      <c r="U212" s="109"/>
      <c r="V212" s="109"/>
      <c r="W212" s="109"/>
      <c r="X212" s="109"/>
      <c r="Y212" s="109"/>
      <c r="Z212" s="109"/>
    </row>
    <row r="213" ht="12.75" customHeight="1">
      <c r="A213" s="109"/>
      <c r="B213" s="109"/>
      <c r="C213" s="109"/>
      <c r="D213" s="109"/>
      <c r="E213" s="109"/>
      <c r="F213" s="154"/>
      <c r="G213" s="154"/>
      <c r="H213" s="109"/>
      <c r="I213" s="109"/>
      <c r="J213" s="109"/>
      <c r="K213" s="109"/>
      <c r="L213" s="109"/>
      <c r="M213" s="109"/>
      <c r="N213" s="109"/>
      <c r="O213" s="109"/>
      <c r="P213" s="109"/>
      <c r="Q213" s="109"/>
      <c r="R213" s="109"/>
      <c r="S213" s="109"/>
      <c r="T213" s="109"/>
      <c r="U213" s="109"/>
      <c r="V213" s="109"/>
      <c r="W213" s="109"/>
      <c r="X213" s="109"/>
      <c r="Y213" s="109"/>
      <c r="Z213" s="109"/>
    </row>
    <row r="214" ht="12.75" customHeight="1">
      <c r="A214" s="109"/>
      <c r="B214" s="109"/>
      <c r="C214" s="109"/>
      <c r="D214" s="109"/>
      <c r="E214" s="109"/>
      <c r="F214" s="154"/>
      <c r="G214" s="154"/>
      <c r="H214" s="109"/>
      <c r="I214" s="109"/>
      <c r="J214" s="109"/>
      <c r="K214" s="109"/>
      <c r="L214" s="109"/>
      <c r="M214" s="109"/>
      <c r="N214" s="109"/>
      <c r="O214" s="109"/>
      <c r="P214" s="109"/>
      <c r="Q214" s="109"/>
      <c r="R214" s="109"/>
      <c r="S214" s="109"/>
      <c r="T214" s="109"/>
      <c r="U214" s="109"/>
      <c r="V214" s="109"/>
      <c r="W214" s="109"/>
      <c r="X214" s="109"/>
      <c r="Y214" s="109"/>
      <c r="Z214" s="109"/>
    </row>
    <row r="215" ht="12.75" customHeight="1">
      <c r="A215" s="109"/>
      <c r="B215" s="109"/>
      <c r="C215" s="109"/>
      <c r="D215" s="109"/>
      <c r="E215" s="109"/>
      <c r="F215" s="154"/>
      <c r="G215" s="154"/>
      <c r="H215" s="109"/>
      <c r="I215" s="109"/>
      <c r="J215" s="109"/>
      <c r="K215" s="109"/>
      <c r="L215" s="109"/>
      <c r="M215" s="109"/>
      <c r="N215" s="109"/>
      <c r="O215" s="109"/>
      <c r="P215" s="109"/>
      <c r="Q215" s="109"/>
      <c r="R215" s="109"/>
      <c r="S215" s="109"/>
      <c r="T215" s="109"/>
      <c r="U215" s="109"/>
      <c r="V215" s="109"/>
      <c r="W215" s="109"/>
      <c r="X215" s="109"/>
      <c r="Y215" s="109"/>
      <c r="Z215" s="109"/>
    </row>
    <row r="216" ht="12.75" customHeight="1">
      <c r="A216" s="109"/>
      <c r="B216" s="109"/>
      <c r="C216" s="109"/>
      <c r="D216" s="109"/>
      <c r="E216" s="109"/>
      <c r="F216" s="154"/>
      <c r="G216" s="154"/>
      <c r="H216" s="109"/>
      <c r="I216" s="109"/>
      <c r="J216" s="109"/>
      <c r="K216" s="109"/>
      <c r="L216" s="109"/>
      <c r="M216" s="109"/>
      <c r="N216" s="109"/>
      <c r="O216" s="109"/>
      <c r="P216" s="109"/>
      <c r="Q216" s="109"/>
      <c r="R216" s="109"/>
      <c r="S216" s="109"/>
      <c r="T216" s="109"/>
      <c r="U216" s="109"/>
      <c r="V216" s="109"/>
      <c r="W216" s="109"/>
      <c r="X216" s="109"/>
      <c r="Y216" s="109"/>
      <c r="Z216" s="109"/>
    </row>
    <row r="217" ht="12.75" customHeight="1">
      <c r="A217" s="109"/>
      <c r="B217" s="109"/>
      <c r="C217" s="109"/>
      <c r="D217" s="109"/>
      <c r="E217" s="109"/>
      <c r="F217" s="154"/>
      <c r="G217" s="154"/>
      <c r="H217" s="109"/>
      <c r="I217" s="109"/>
      <c r="J217" s="109"/>
      <c r="K217" s="109"/>
      <c r="L217" s="109"/>
      <c r="M217" s="109"/>
      <c r="N217" s="109"/>
      <c r="O217" s="109"/>
      <c r="P217" s="109"/>
      <c r="Q217" s="109"/>
      <c r="R217" s="109"/>
      <c r="S217" s="109"/>
      <c r="T217" s="109"/>
      <c r="U217" s="109"/>
      <c r="V217" s="109"/>
      <c r="W217" s="109"/>
      <c r="X217" s="109"/>
      <c r="Y217" s="109"/>
      <c r="Z217" s="109"/>
    </row>
    <row r="218" ht="12.75" customHeight="1">
      <c r="A218" s="109"/>
      <c r="B218" s="109"/>
      <c r="C218" s="109"/>
      <c r="D218" s="109"/>
      <c r="E218" s="109"/>
      <c r="F218" s="154"/>
      <c r="G218" s="154"/>
      <c r="H218" s="109"/>
      <c r="I218" s="109"/>
      <c r="J218" s="109"/>
      <c r="K218" s="109"/>
      <c r="L218" s="109"/>
      <c r="M218" s="109"/>
      <c r="N218" s="109"/>
      <c r="O218" s="109"/>
      <c r="P218" s="109"/>
      <c r="Q218" s="109"/>
      <c r="R218" s="109"/>
      <c r="S218" s="109"/>
      <c r="T218" s="109"/>
      <c r="U218" s="109"/>
      <c r="V218" s="109"/>
      <c r="W218" s="109"/>
      <c r="X218" s="109"/>
      <c r="Y218" s="109"/>
      <c r="Z218" s="109"/>
    </row>
    <row r="219" ht="12.75" customHeight="1">
      <c r="A219" s="109"/>
      <c r="B219" s="109"/>
      <c r="C219" s="109"/>
      <c r="D219" s="109"/>
      <c r="E219" s="109"/>
      <c r="F219" s="154"/>
      <c r="G219" s="154"/>
      <c r="H219" s="109"/>
      <c r="I219" s="109"/>
      <c r="J219" s="109"/>
      <c r="K219" s="109"/>
      <c r="L219" s="109"/>
      <c r="M219" s="109"/>
      <c r="N219" s="109"/>
      <c r="O219" s="109"/>
      <c r="P219" s="109"/>
      <c r="Q219" s="109"/>
      <c r="R219" s="109"/>
      <c r="S219" s="109"/>
      <c r="T219" s="109"/>
      <c r="U219" s="109"/>
      <c r="V219" s="109"/>
      <c r="W219" s="109"/>
      <c r="X219" s="109"/>
      <c r="Y219" s="109"/>
      <c r="Z219" s="109"/>
    </row>
    <row r="220" ht="12.75" customHeight="1">
      <c r="A220" s="109"/>
      <c r="B220" s="109"/>
      <c r="C220" s="109"/>
      <c r="D220" s="109"/>
      <c r="E220" s="109"/>
      <c r="F220" s="154"/>
      <c r="G220" s="154"/>
      <c r="H220" s="109"/>
      <c r="I220" s="109"/>
      <c r="J220" s="109"/>
      <c r="K220" s="109"/>
      <c r="L220" s="109"/>
      <c r="M220" s="109"/>
      <c r="N220" s="109"/>
      <c r="O220" s="109"/>
      <c r="P220" s="109"/>
      <c r="Q220" s="109"/>
      <c r="R220" s="109"/>
      <c r="S220" s="109"/>
      <c r="T220" s="109"/>
      <c r="U220" s="109"/>
      <c r="V220" s="109"/>
      <c r="W220" s="109"/>
      <c r="X220" s="109"/>
      <c r="Y220" s="109"/>
      <c r="Z220" s="109"/>
    </row>
    <row r="221" ht="12.75" customHeight="1">
      <c r="A221" s="109"/>
      <c r="B221" s="109"/>
      <c r="C221" s="109"/>
      <c r="D221" s="109"/>
      <c r="E221" s="109"/>
      <c r="F221" s="154"/>
      <c r="G221" s="154"/>
      <c r="H221" s="109"/>
      <c r="I221" s="109"/>
      <c r="J221" s="109"/>
      <c r="K221" s="109"/>
      <c r="L221" s="109"/>
      <c r="M221" s="109"/>
      <c r="N221" s="109"/>
      <c r="O221" s="109"/>
      <c r="P221" s="109"/>
      <c r="Q221" s="109"/>
      <c r="R221" s="109"/>
      <c r="S221" s="109"/>
      <c r="T221" s="109"/>
      <c r="U221" s="109"/>
      <c r="V221" s="109"/>
      <c r="W221" s="109"/>
      <c r="X221" s="109"/>
      <c r="Y221" s="109"/>
      <c r="Z221" s="109"/>
    </row>
    <row r="222" ht="12.75" customHeight="1">
      <c r="A222" s="109"/>
      <c r="B222" s="109"/>
      <c r="C222" s="109"/>
      <c r="D222" s="109"/>
      <c r="E222" s="109"/>
      <c r="F222" s="154"/>
      <c r="G222" s="154"/>
      <c r="H222" s="109"/>
      <c r="I222" s="109"/>
      <c r="J222" s="109"/>
      <c r="K222" s="109"/>
      <c r="L222" s="109"/>
      <c r="M222" s="109"/>
      <c r="N222" s="109"/>
      <c r="O222" s="109"/>
      <c r="P222" s="109"/>
      <c r="Q222" s="109"/>
      <c r="R222" s="109"/>
      <c r="S222" s="109"/>
      <c r="T222" s="109"/>
      <c r="U222" s="109"/>
      <c r="V222" s="109"/>
      <c r="W222" s="109"/>
      <c r="X222" s="109"/>
      <c r="Y222" s="109"/>
      <c r="Z222" s="109"/>
    </row>
    <row r="223" ht="12.75" customHeight="1">
      <c r="A223" s="109"/>
      <c r="B223" s="109"/>
      <c r="C223" s="109"/>
      <c r="D223" s="109"/>
      <c r="E223" s="109"/>
      <c r="F223" s="154"/>
      <c r="G223" s="154"/>
      <c r="H223" s="109"/>
      <c r="I223" s="109"/>
      <c r="J223" s="109"/>
      <c r="K223" s="109"/>
      <c r="L223" s="109"/>
      <c r="M223" s="109"/>
      <c r="N223" s="109"/>
      <c r="O223" s="109"/>
      <c r="P223" s="109"/>
      <c r="Q223" s="109"/>
      <c r="R223" s="109"/>
      <c r="S223" s="109"/>
      <c r="T223" s="109"/>
      <c r="U223" s="109"/>
      <c r="V223" s="109"/>
      <c r="W223" s="109"/>
      <c r="X223" s="109"/>
      <c r="Y223" s="109"/>
      <c r="Z223" s="109"/>
    </row>
    <row r="224" ht="12.75" customHeight="1">
      <c r="A224" s="109"/>
      <c r="B224" s="109"/>
      <c r="C224" s="109"/>
      <c r="D224" s="109"/>
      <c r="E224" s="109"/>
      <c r="F224" s="154"/>
      <c r="G224" s="154"/>
      <c r="H224" s="109"/>
      <c r="I224" s="109"/>
      <c r="J224" s="109"/>
      <c r="K224" s="109"/>
      <c r="L224" s="109"/>
      <c r="M224" s="109"/>
      <c r="N224" s="109"/>
      <c r="O224" s="109"/>
      <c r="P224" s="109"/>
      <c r="Q224" s="109"/>
      <c r="R224" s="109"/>
      <c r="S224" s="109"/>
      <c r="T224" s="109"/>
      <c r="U224" s="109"/>
      <c r="V224" s="109"/>
      <c r="W224" s="109"/>
      <c r="X224" s="109"/>
      <c r="Y224" s="109"/>
      <c r="Z224" s="109"/>
    </row>
    <row r="225" ht="12.75" customHeight="1">
      <c r="A225" s="109"/>
      <c r="B225" s="109"/>
      <c r="C225" s="109"/>
      <c r="D225" s="109"/>
      <c r="E225" s="109"/>
      <c r="F225" s="154"/>
      <c r="G225" s="154"/>
      <c r="H225" s="109"/>
      <c r="I225" s="109"/>
      <c r="J225" s="109"/>
      <c r="K225" s="109"/>
      <c r="L225" s="109"/>
      <c r="M225" s="109"/>
      <c r="N225" s="109"/>
      <c r="O225" s="109"/>
      <c r="P225" s="109"/>
      <c r="Q225" s="109"/>
      <c r="R225" s="109"/>
      <c r="S225" s="109"/>
      <c r="T225" s="109"/>
      <c r="U225" s="109"/>
      <c r="V225" s="109"/>
      <c r="W225" s="109"/>
      <c r="X225" s="109"/>
      <c r="Y225" s="109"/>
      <c r="Z225" s="109"/>
    </row>
    <row r="226" ht="12.75" customHeight="1">
      <c r="A226" s="109"/>
      <c r="B226" s="109"/>
      <c r="C226" s="109"/>
      <c r="D226" s="109"/>
      <c r="E226" s="109"/>
      <c r="F226" s="154"/>
      <c r="G226" s="154"/>
      <c r="H226" s="109"/>
      <c r="I226" s="109"/>
      <c r="J226" s="109"/>
      <c r="K226" s="109"/>
      <c r="L226" s="109"/>
      <c r="M226" s="109"/>
      <c r="N226" s="109"/>
      <c r="O226" s="109"/>
      <c r="P226" s="109"/>
      <c r="Q226" s="109"/>
      <c r="R226" s="109"/>
      <c r="S226" s="109"/>
      <c r="T226" s="109"/>
      <c r="U226" s="109"/>
      <c r="V226" s="109"/>
      <c r="W226" s="109"/>
      <c r="X226" s="109"/>
      <c r="Y226" s="109"/>
      <c r="Z226" s="109"/>
    </row>
    <row r="227" ht="12.75" customHeight="1">
      <c r="A227" s="109"/>
      <c r="B227" s="109"/>
      <c r="C227" s="109"/>
      <c r="D227" s="109"/>
      <c r="E227" s="109"/>
      <c r="F227" s="154"/>
      <c r="G227" s="154"/>
      <c r="H227" s="109"/>
      <c r="I227" s="109"/>
      <c r="J227" s="109"/>
      <c r="K227" s="109"/>
      <c r="L227" s="109"/>
      <c r="M227" s="109"/>
      <c r="N227" s="109"/>
      <c r="O227" s="109"/>
      <c r="P227" s="109"/>
      <c r="Q227" s="109"/>
      <c r="R227" s="109"/>
      <c r="S227" s="109"/>
      <c r="T227" s="109"/>
      <c r="U227" s="109"/>
      <c r="V227" s="109"/>
      <c r="W227" s="109"/>
      <c r="X227" s="109"/>
      <c r="Y227" s="109"/>
      <c r="Z227" s="109"/>
    </row>
    <row r="228" ht="12.75" customHeight="1">
      <c r="A228" s="109"/>
      <c r="B228" s="109"/>
      <c r="C228" s="109"/>
      <c r="D228" s="109"/>
      <c r="E228" s="109"/>
      <c r="F228" s="154"/>
      <c r="G228" s="154"/>
      <c r="H228" s="109"/>
      <c r="I228" s="109"/>
      <c r="J228" s="109"/>
      <c r="K228" s="109"/>
      <c r="L228" s="109"/>
      <c r="M228" s="109"/>
      <c r="N228" s="109"/>
      <c r="O228" s="109"/>
      <c r="P228" s="109"/>
      <c r="Q228" s="109"/>
      <c r="R228" s="109"/>
      <c r="S228" s="109"/>
      <c r="T228" s="109"/>
      <c r="U228" s="109"/>
      <c r="V228" s="109"/>
      <c r="W228" s="109"/>
      <c r="X228" s="109"/>
      <c r="Y228" s="109"/>
      <c r="Z228" s="109"/>
    </row>
    <row r="229" ht="12.75" customHeight="1">
      <c r="A229" s="109"/>
      <c r="B229" s="109"/>
      <c r="C229" s="109"/>
      <c r="D229" s="109"/>
      <c r="E229" s="109"/>
      <c r="F229" s="154"/>
      <c r="G229" s="154"/>
      <c r="H229" s="109"/>
      <c r="I229" s="109"/>
      <c r="J229" s="109"/>
      <c r="K229" s="109"/>
      <c r="L229" s="109"/>
      <c r="M229" s="109"/>
      <c r="N229" s="109"/>
      <c r="O229" s="109"/>
      <c r="P229" s="109"/>
      <c r="Q229" s="109"/>
      <c r="R229" s="109"/>
      <c r="S229" s="109"/>
      <c r="T229" s="109"/>
      <c r="U229" s="109"/>
      <c r="V229" s="109"/>
      <c r="W229" s="109"/>
      <c r="X229" s="109"/>
      <c r="Y229" s="109"/>
      <c r="Z229" s="109"/>
    </row>
    <row r="230" ht="12.75" customHeight="1">
      <c r="A230" s="109"/>
      <c r="B230" s="109"/>
      <c r="C230" s="109"/>
      <c r="D230" s="109"/>
      <c r="E230" s="109"/>
      <c r="F230" s="154"/>
      <c r="G230" s="154"/>
      <c r="H230" s="109"/>
      <c r="I230" s="109"/>
      <c r="J230" s="109"/>
      <c r="K230" s="109"/>
      <c r="L230" s="109"/>
      <c r="M230" s="109"/>
      <c r="N230" s="109"/>
      <c r="O230" s="109"/>
      <c r="P230" s="109"/>
      <c r="Q230" s="109"/>
      <c r="R230" s="109"/>
      <c r="S230" s="109"/>
      <c r="T230" s="109"/>
      <c r="U230" s="109"/>
      <c r="V230" s="109"/>
      <c r="W230" s="109"/>
      <c r="X230" s="109"/>
      <c r="Y230" s="109"/>
      <c r="Z230" s="109"/>
    </row>
    <row r="231" ht="12.75" customHeight="1">
      <c r="A231" s="109"/>
      <c r="B231" s="109"/>
      <c r="C231" s="109"/>
      <c r="D231" s="109"/>
      <c r="E231" s="109"/>
      <c r="F231" s="154"/>
      <c r="G231" s="154"/>
      <c r="H231" s="109"/>
      <c r="I231" s="109"/>
      <c r="J231" s="109"/>
      <c r="K231" s="109"/>
      <c r="L231" s="109"/>
      <c r="M231" s="109"/>
      <c r="N231" s="109"/>
      <c r="O231" s="109"/>
      <c r="P231" s="109"/>
      <c r="Q231" s="109"/>
      <c r="R231" s="109"/>
      <c r="S231" s="109"/>
      <c r="T231" s="109"/>
      <c r="U231" s="109"/>
      <c r="V231" s="109"/>
      <c r="W231" s="109"/>
      <c r="X231" s="109"/>
      <c r="Y231" s="109"/>
      <c r="Z231" s="109"/>
    </row>
    <row r="232" ht="12.75" customHeight="1">
      <c r="A232" s="109"/>
      <c r="B232" s="109"/>
      <c r="C232" s="109"/>
      <c r="D232" s="109"/>
      <c r="E232" s="109"/>
      <c r="F232" s="154"/>
      <c r="G232" s="154"/>
      <c r="H232" s="109"/>
      <c r="I232" s="109"/>
      <c r="J232" s="109"/>
      <c r="K232" s="109"/>
      <c r="L232" s="109"/>
      <c r="M232" s="109"/>
      <c r="N232" s="109"/>
      <c r="O232" s="109"/>
      <c r="P232" s="109"/>
      <c r="Q232" s="109"/>
      <c r="R232" s="109"/>
      <c r="S232" s="109"/>
      <c r="T232" s="109"/>
      <c r="U232" s="109"/>
      <c r="V232" s="109"/>
      <c r="W232" s="109"/>
      <c r="X232" s="109"/>
      <c r="Y232" s="109"/>
      <c r="Z232" s="109"/>
    </row>
    <row r="233" ht="12.75" customHeight="1">
      <c r="A233" s="109"/>
      <c r="B233" s="109"/>
      <c r="C233" s="109"/>
      <c r="D233" s="109"/>
      <c r="E233" s="109"/>
      <c r="F233" s="154"/>
      <c r="G233" s="154"/>
      <c r="H233" s="109"/>
      <c r="I233" s="109"/>
      <c r="J233" s="109"/>
      <c r="K233" s="109"/>
      <c r="L233" s="109"/>
      <c r="M233" s="109"/>
      <c r="N233" s="109"/>
      <c r="O233" s="109"/>
      <c r="P233" s="109"/>
      <c r="Q233" s="109"/>
      <c r="R233" s="109"/>
      <c r="S233" s="109"/>
      <c r="T233" s="109"/>
      <c r="U233" s="109"/>
      <c r="V233" s="109"/>
      <c r="W233" s="109"/>
      <c r="X233" s="109"/>
      <c r="Y233" s="109"/>
      <c r="Z233" s="109"/>
    </row>
    <row r="234" ht="12.75" customHeight="1">
      <c r="A234" s="109"/>
      <c r="B234" s="109"/>
      <c r="C234" s="109"/>
      <c r="D234" s="109"/>
      <c r="E234" s="109"/>
      <c r="F234" s="154"/>
      <c r="G234" s="154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</row>
    <row r="235" ht="12.75" customHeight="1">
      <c r="A235" s="109"/>
      <c r="B235" s="109"/>
      <c r="C235" s="109"/>
      <c r="D235" s="109"/>
      <c r="E235" s="109"/>
      <c r="F235" s="154"/>
      <c r="G235" s="154"/>
      <c r="H235" s="109"/>
      <c r="I235" s="109"/>
      <c r="J235" s="109"/>
      <c r="K235" s="109"/>
      <c r="L235" s="109"/>
      <c r="M235" s="109"/>
      <c r="N235" s="109"/>
      <c r="O235" s="109"/>
      <c r="P235" s="109"/>
      <c r="Q235" s="109"/>
      <c r="R235" s="109"/>
      <c r="S235" s="109"/>
      <c r="T235" s="109"/>
      <c r="U235" s="109"/>
      <c r="V235" s="109"/>
      <c r="W235" s="109"/>
      <c r="X235" s="109"/>
      <c r="Y235" s="109"/>
      <c r="Z235" s="109"/>
    </row>
    <row r="236" ht="12.75" customHeight="1">
      <c r="A236" s="109"/>
      <c r="B236" s="109"/>
      <c r="C236" s="109"/>
      <c r="D236" s="109"/>
      <c r="E236" s="109"/>
      <c r="F236" s="154"/>
      <c r="G236" s="154"/>
      <c r="H236" s="109"/>
      <c r="I236" s="109"/>
      <c r="J236" s="109"/>
      <c r="K236" s="109"/>
      <c r="L236" s="109"/>
      <c r="M236" s="109"/>
      <c r="N236" s="109"/>
      <c r="O236" s="109"/>
      <c r="P236" s="109"/>
      <c r="Q236" s="109"/>
      <c r="R236" s="109"/>
      <c r="S236" s="109"/>
      <c r="T236" s="109"/>
      <c r="U236" s="109"/>
      <c r="V236" s="109"/>
      <c r="W236" s="109"/>
      <c r="X236" s="109"/>
      <c r="Y236" s="109"/>
      <c r="Z236" s="109"/>
    </row>
    <row r="237" ht="12.75" customHeight="1">
      <c r="A237" s="109"/>
      <c r="B237" s="109"/>
      <c r="C237" s="109"/>
      <c r="D237" s="109"/>
      <c r="E237" s="109"/>
      <c r="F237" s="154"/>
      <c r="G237" s="154"/>
      <c r="H237" s="109"/>
      <c r="I237" s="109"/>
      <c r="J237" s="109"/>
      <c r="K237" s="109"/>
      <c r="L237" s="109"/>
      <c r="M237" s="109"/>
      <c r="N237" s="109"/>
      <c r="O237" s="109"/>
      <c r="P237" s="109"/>
      <c r="Q237" s="109"/>
      <c r="R237" s="109"/>
      <c r="S237" s="109"/>
      <c r="T237" s="109"/>
      <c r="U237" s="109"/>
      <c r="V237" s="109"/>
      <c r="W237" s="109"/>
      <c r="X237" s="109"/>
      <c r="Y237" s="109"/>
      <c r="Z237" s="109"/>
    </row>
    <row r="238" ht="12.75" customHeight="1">
      <c r="A238" s="109"/>
      <c r="B238" s="109"/>
      <c r="C238" s="109"/>
      <c r="D238" s="109"/>
      <c r="E238" s="109"/>
      <c r="F238" s="154"/>
      <c r="G238" s="154"/>
      <c r="H238" s="109"/>
      <c r="I238" s="109"/>
      <c r="J238" s="109"/>
      <c r="K238" s="109"/>
      <c r="L238" s="109"/>
      <c r="M238" s="109"/>
      <c r="N238" s="109"/>
      <c r="O238" s="109"/>
      <c r="P238" s="109"/>
      <c r="Q238" s="109"/>
      <c r="R238" s="109"/>
      <c r="S238" s="109"/>
      <c r="T238" s="109"/>
      <c r="U238" s="109"/>
      <c r="V238" s="109"/>
      <c r="W238" s="109"/>
      <c r="X238" s="109"/>
      <c r="Y238" s="109"/>
      <c r="Z238" s="109"/>
    </row>
    <row r="239" ht="12.75" customHeight="1">
      <c r="A239" s="109"/>
      <c r="B239" s="109"/>
      <c r="C239" s="109"/>
      <c r="D239" s="109"/>
      <c r="E239" s="109"/>
      <c r="F239" s="154"/>
      <c r="G239" s="154"/>
      <c r="H239" s="109"/>
      <c r="I239" s="109"/>
      <c r="J239" s="109"/>
      <c r="K239" s="109"/>
      <c r="L239" s="109"/>
      <c r="M239" s="109"/>
      <c r="N239" s="109"/>
      <c r="O239" s="109"/>
      <c r="P239" s="109"/>
      <c r="Q239" s="109"/>
      <c r="R239" s="109"/>
      <c r="S239" s="109"/>
      <c r="T239" s="109"/>
      <c r="U239" s="109"/>
      <c r="V239" s="109"/>
      <c r="W239" s="109"/>
      <c r="X239" s="109"/>
      <c r="Y239" s="109"/>
      <c r="Z239" s="109"/>
    </row>
    <row r="240" ht="12.75" customHeight="1">
      <c r="A240" s="109"/>
      <c r="B240" s="109"/>
      <c r="C240" s="109"/>
      <c r="D240" s="109"/>
      <c r="E240" s="109"/>
      <c r="F240" s="154"/>
      <c r="G240" s="154"/>
      <c r="H240" s="109"/>
      <c r="I240" s="109"/>
      <c r="J240" s="109"/>
      <c r="K240" s="109"/>
      <c r="L240" s="109"/>
      <c r="M240" s="109"/>
      <c r="N240" s="109"/>
      <c r="O240" s="109"/>
      <c r="P240" s="109"/>
      <c r="Q240" s="109"/>
      <c r="R240" s="109"/>
      <c r="S240" s="109"/>
      <c r="T240" s="109"/>
      <c r="U240" s="109"/>
      <c r="V240" s="109"/>
      <c r="W240" s="109"/>
      <c r="X240" s="109"/>
      <c r="Y240" s="109"/>
      <c r="Z240" s="109"/>
    </row>
    <row r="241" ht="12.75" customHeight="1">
      <c r="A241" s="109"/>
      <c r="B241" s="109"/>
      <c r="C241" s="109"/>
      <c r="D241" s="109"/>
      <c r="E241" s="109"/>
      <c r="F241" s="154"/>
      <c r="G241" s="154"/>
      <c r="H241" s="109"/>
      <c r="I241" s="109"/>
      <c r="J241" s="109"/>
      <c r="K241" s="109"/>
      <c r="L241" s="109"/>
      <c r="M241" s="109"/>
      <c r="N241" s="109"/>
      <c r="O241" s="109"/>
      <c r="P241" s="109"/>
      <c r="Q241" s="109"/>
      <c r="R241" s="109"/>
      <c r="S241" s="109"/>
      <c r="T241" s="109"/>
      <c r="U241" s="109"/>
      <c r="V241" s="109"/>
      <c r="W241" s="109"/>
      <c r="X241" s="109"/>
      <c r="Y241" s="109"/>
      <c r="Z241" s="109"/>
    </row>
    <row r="242" ht="12.75" customHeight="1">
      <c r="A242" s="109"/>
      <c r="B242" s="109"/>
      <c r="C242" s="109"/>
      <c r="D242" s="109"/>
      <c r="E242" s="109"/>
      <c r="F242" s="154"/>
      <c r="G242" s="154"/>
      <c r="H242" s="109"/>
      <c r="I242" s="109"/>
      <c r="J242" s="109"/>
      <c r="K242" s="109"/>
      <c r="L242" s="109"/>
      <c r="M242" s="109"/>
      <c r="N242" s="109"/>
      <c r="O242" s="109"/>
      <c r="P242" s="109"/>
      <c r="Q242" s="109"/>
      <c r="R242" s="109"/>
      <c r="S242" s="109"/>
      <c r="T242" s="109"/>
      <c r="U242" s="109"/>
      <c r="V242" s="109"/>
      <c r="W242" s="109"/>
      <c r="X242" s="109"/>
      <c r="Y242" s="109"/>
      <c r="Z242" s="109"/>
    </row>
    <row r="243" ht="12.75" customHeight="1">
      <c r="A243" s="109"/>
      <c r="B243" s="109"/>
      <c r="C243" s="109"/>
      <c r="D243" s="109"/>
      <c r="E243" s="109"/>
      <c r="F243" s="154"/>
      <c r="G243" s="154"/>
      <c r="H243" s="109"/>
      <c r="I243" s="109"/>
      <c r="J243" s="109"/>
      <c r="K243" s="109"/>
      <c r="L243" s="109"/>
      <c r="M243" s="109"/>
      <c r="N243" s="109"/>
      <c r="O243" s="109"/>
      <c r="P243" s="109"/>
      <c r="Q243" s="109"/>
      <c r="R243" s="109"/>
      <c r="S243" s="109"/>
      <c r="T243" s="109"/>
      <c r="U243" s="109"/>
      <c r="V243" s="109"/>
      <c r="W243" s="109"/>
      <c r="X243" s="109"/>
      <c r="Y243" s="109"/>
      <c r="Z243" s="109"/>
    </row>
    <row r="244" ht="12.75" customHeight="1">
      <c r="A244" s="109"/>
      <c r="B244" s="109"/>
      <c r="C244" s="109"/>
      <c r="D244" s="109"/>
      <c r="E244" s="109"/>
      <c r="F244" s="154"/>
      <c r="G244" s="154"/>
      <c r="H244" s="109"/>
      <c r="I244" s="109"/>
      <c r="J244" s="109"/>
      <c r="K244" s="109"/>
      <c r="L244" s="109"/>
      <c r="M244" s="109"/>
      <c r="N244" s="109"/>
      <c r="O244" s="109"/>
      <c r="P244" s="109"/>
      <c r="Q244" s="109"/>
      <c r="R244" s="109"/>
      <c r="S244" s="109"/>
      <c r="T244" s="109"/>
      <c r="U244" s="109"/>
      <c r="V244" s="109"/>
      <c r="W244" s="109"/>
      <c r="X244" s="109"/>
      <c r="Y244" s="109"/>
      <c r="Z244" s="109"/>
    </row>
    <row r="245" ht="12.75" customHeight="1">
      <c r="A245" s="109"/>
      <c r="B245" s="109"/>
      <c r="C245" s="109"/>
      <c r="D245" s="109"/>
      <c r="E245" s="109"/>
      <c r="F245" s="154"/>
      <c r="G245" s="154"/>
      <c r="H245" s="109"/>
      <c r="I245" s="109"/>
      <c r="J245" s="109"/>
      <c r="K245" s="109"/>
      <c r="L245" s="109"/>
      <c r="M245" s="109"/>
      <c r="N245" s="109"/>
      <c r="O245" s="109"/>
      <c r="P245" s="109"/>
      <c r="Q245" s="109"/>
      <c r="R245" s="109"/>
      <c r="S245" s="109"/>
      <c r="T245" s="109"/>
      <c r="U245" s="109"/>
      <c r="V245" s="109"/>
      <c r="W245" s="109"/>
      <c r="X245" s="109"/>
      <c r="Y245" s="109"/>
      <c r="Z245" s="109"/>
    </row>
    <row r="246" ht="12.75" customHeight="1">
      <c r="A246" s="109"/>
      <c r="B246" s="109"/>
      <c r="C246" s="109"/>
      <c r="D246" s="109"/>
      <c r="E246" s="109"/>
      <c r="F246" s="154"/>
      <c r="G246" s="154"/>
      <c r="H246" s="109"/>
      <c r="I246" s="109"/>
      <c r="J246" s="109"/>
      <c r="K246" s="109"/>
      <c r="L246" s="109"/>
      <c r="M246" s="109"/>
      <c r="N246" s="109"/>
      <c r="O246" s="109"/>
      <c r="P246" s="109"/>
      <c r="Q246" s="109"/>
      <c r="R246" s="109"/>
      <c r="S246" s="109"/>
      <c r="T246" s="109"/>
      <c r="U246" s="109"/>
      <c r="V246" s="109"/>
      <c r="W246" s="109"/>
      <c r="X246" s="109"/>
      <c r="Y246" s="109"/>
      <c r="Z246" s="109"/>
    </row>
    <row r="247" ht="12.75" customHeight="1">
      <c r="A247" s="109"/>
      <c r="B247" s="109"/>
      <c r="C247" s="109"/>
      <c r="D247" s="109"/>
      <c r="E247" s="109"/>
      <c r="F247" s="154"/>
      <c r="G247" s="154"/>
      <c r="H247" s="109"/>
      <c r="I247" s="109"/>
      <c r="J247" s="109"/>
      <c r="K247" s="109"/>
      <c r="L247" s="109"/>
      <c r="M247" s="109"/>
      <c r="N247" s="109"/>
      <c r="O247" s="109"/>
      <c r="P247" s="109"/>
      <c r="Q247" s="109"/>
      <c r="R247" s="109"/>
      <c r="S247" s="109"/>
      <c r="T247" s="109"/>
      <c r="U247" s="109"/>
      <c r="V247" s="109"/>
      <c r="W247" s="109"/>
      <c r="X247" s="109"/>
      <c r="Y247" s="109"/>
      <c r="Z247" s="109"/>
    </row>
    <row r="248" ht="12.75" customHeight="1">
      <c r="A248" s="109"/>
      <c r="B248" s="109"/>
      <c r="C248" s="109"/>
      <c r="D248" s="109"/>
      <c r="E248" s="109"/>
      <c r="F248" s="154"/>
      <c r="G248" s="154"/>
      <c r="H248" s="109"/>
      <c r="I248" s="109"/>
      <c r="J248" s="109"/>
      <c r="K248" s="109"/>
      <c r="L248" s="109"/>
      <c r="M248" s="109"/>
      <c r="N248" s="109"/>
      <c r="O248" s="109"/>
      <c r="P248" s="109"/>
      <c r="Q248" s="109"/>
      <c r="R248" s="109"/>
      <c r="S248" s="109"/>
      <c r="T248" s="109"/>
      <c r="U248" s="109"/>
      <c r="V248" s="109"/>
      <c r="W248" s="109"/>
      <c r="X248" s="109"/>
      <c r="Y248" s="109"/>
      <c r="Z248" s="109"/>
    </row>
    <row r="249" ht="12.75" customHeight="1">
      <c r="A249" s="109"/>
      <c r="B249" s="109"/>
      <c r="C249" s="109"/>
      <c r="D249" s="109"/>
      <c r="E249" s="109"/>
      <c r="F249" s="154"/>
      <c r="G249" s="154"/>
      <c r="H249" s="109"/>
      <c r="I249" s="109"/>
      <c r="J249" s="109"/>
      <c r="K249" s="109"/>
      <c r="L249" s="109"/>
      <c r="M249" s="109"/>
      <c r="N249" s="109"/>
      <c r="O249" s="109"/>
      <c r="P249" s="109"/>
      <c r="Q249" s="109"/>
      <c r="R249" s="109"/>
      <c r="S249" s="109"/>
      <c r="T249" s="109"/>
      <c r="U249" s="109"/>
      <c r="V249" s="109"/>
      <c r="W249" s="109"/>
      <c r="X249" s="109"/>
      <c r="Y249" s="109"/>
      <c r="Z249" s="109"/>
    </row>
    <row r="250" ht="12.75" customHeight="1">
      <c r="A250" s="109"/>
      <c r="B250" s="109"/>
      <c r="C250" s="109"/>
      <c r="D250" s="109"/>
      <c r="E250" s="109"/>
      <c r="F250" s="154"/>
      <c r="G250" s="154"/>
      <c r="H250" s="109"/>
      <c r="I250" s="109"/>
      <c r="J250" s="109"/>
      <c r="K250" s="109"/>
      <c r="L250" s="109"/>
      <c r="M250" s="109"/>
      <c r="N250" s="109"/>
      <c r="O250" s="109"/>
      <c r="P250" s="109"/>
      <c r="Q250" s="109"/>
      <c r="R250" s="109"/>
      <c r="S250" s="109"/>
      <c r="T250" s="109"/>
      <c r="U250" s="109"/>
      <c r="V250" s="109"/>
      <c r="W250" s="109"/>
      <c r="X250" s="109"/>
      <c r="Y250" s="109"/>
      <c r="Z250" s="109"/>
    </row>
    <row r="251" ht="12.75" customHeight="1">
      <c r="A251" s="109"/>
      <c r="B251" s="109"/>
      <c r="C251" s="109"/>
      <c r="D251" s="109"/>
      <c r="E251" s="109"/>
      <c r="F251" s="154"/>
      <c r="G251" s="154"/>
      <c r="H251" s="109"/>
      <c r="I251" s="109"/>
      <c r="J251" s="109"/>
      <c r="K251" s="109"/>
      <c r="L251" s="109"/>
      <c r="M251" s="109"/>
      <c r="N251" s="109"/>
      <c r="O251" s="109"/>
      <c r="P251" s="109"/>
      <c r="Q251" s="109"/>
      <c r="R251" s="109"/>
      <c r="S251" s="109"/>
      <c r="T251" s="109"/>
      <c r="U251" s="109"/>
      <c r="V251" s="109"/>
      <c r="W251" s="109"/>
      <c r="X251" s="109"/>
      <c r="Y251" s="109"/>
      <c r="Z251" s="109"/>
    </row>
    <row r="252" ht="12.75" customHeight="1">
      <c r="A252" s="109"/>
      <c r="B252" s="109"/>
      <c r="C252" s="109"/>
      <c r="D252" s="109"/>
      <c r="E252" s="109"/>
      <c r="F252" s="154"/>
      <c r="G252" s="154"/>
      <c r="H252" s="109"/>
      <c r="I252" s="109"/>
      <c r="J252" s="109"/>
      <c r="K252" s="109"/>
      <c r="L252" s="109"/>
      <c r="M252" s="109"/>
      <c r="N252" s="109"/>
      <c r="O252" s="109"/>
      <c r="P252" s="109"/>
      <c r="Q252" s="109"/>
      <c r="R252" s="109"/>
      <c r="S252" s="109"/>
      <c r="T252" s="109"/>
      <c r="U252" s="109"/>
      <c r="V252" s="109"/>
      <c r="W252" s="109"/>
      <c r="X252" s="109"/>
      <c r="Y252" s="109"/>
      <c r="Z252" s="109"/>
    </row>
    <row r="253" ht="12.75" customHeight="1">
      <c r="A253" s="109"/>
      <c r="B253" s="109"/>
      <c r="C253" s="109"/>
      <c r="D253" s="109"/>
      <c r="E253" s="109"/>
      <c r="F253" s="154"/>
      <c r="G253" s="154"/>
      <c r="H253" s="109"/>
      <c r="I253" s="109"/>
      <c r="J253" s="109"/>
      <c r="K253" s="109"/>
      <c r="L253" s="109"/>
      <c r="M253" s="109"/>
      <c r="N253" s="109"/>
      <c r="O253" s="109"/>
      <c r="P253" s="109"/>
      <c r="Q253" s="109"/>
      <c r="R253" s="109"/>
      <c r="S253" s="109"/>
      <c r="T253" s="109"/>
      <c r="U253" s="109"/>
      <c r="V253" s="109"/>
      <c r="W253" s="109"/>
      <c r="X253" s="109"/>
      <c r="Y253" s="109"/>
      <c r="Z253" s="109"/>
    </row>
    <row r="254" ht="12.75" customHeight="1">
      <c r="A254" s="109"/>
      <c r="B254" s="109"/>
      <c r="C254" s="109"/>
      <c r="D254" s="109"/>
      <c r="E254" s="109"/>
      <c r="F254" s="154"/>
      <c r="G254" s="154"/>
      <c r="H254" s="109"/>
      <c r="I254" s="109"/>
      <c r="J254" s="109"/>
      <c r="K254" s="109"/>
      <c r="L254" s="109"/>
      <c r="M254" s="109"/>
      <c r="N254" s="109"/>
      <c r="O254" s="109"/>
      <c r="P254" s="109"/>
      <c r="Q254" s="109"/>
      <c r="R254" s="109"/>
      <c r="S254" s="109"/>
      <c r="T254" s="109"/>
      <c r="U254" s="109"/>
      <c r="V254" s="109"/>
      <c r="W254" s="109"/>
      <c r="X254" s="109"/>
      <c r="Y254" s="109"/>
      <c r="Z254" s="109"/>
    </row>
    <row r="255" ht="12.75" customHeight="1">
      <c r="A255" s="109"/>
      <c r="B255" s="109"/>
      <c r="C255" s="109"/>
      <c r="D255" s="109"/>
      <c r="E255" s="109"/>
      <c r="F255" s="154"/>
      <c r="G255" s="154"/>
      <c r="H255" s="109"/>
      <c r="I255" s="109"/>
      <c r="J255" s="109"/>
      <c r="K255" s="109"/>
      <c r="L255" s="109"/>
      <c r="M255" s="109"/>
      <c r="N255" s="109"/>
      <c r="O255" s="109"/>
      <c r="P255" s="109"/>
      <c r="Q255" s="109"/>
      <c r="R255" s="109"/>
      <c r="S255" s="109"/>
      <c r="T255" s="109"/>
      <c r="U255" s="109"/>
      <c r="V255" s="109"/>
      <c r="W255" s="109"/>
      <c r="X255" s="109"/>
      <c r="Y255" s="109"/>
      <c r="Z255" s="109"/>
    </row>
    <row r="256" ht="12.75" customHeight="1">
      <c r="A256" s="109"/>
      <c r="B256" s="109"/>
      <c r="C256" s="109"/>
      <c r="D256" s="109"/>
      <c r="E256" s="109"/>
      <c r="F256" s="154"/>
      <c r="G256" s="154"/>
      <c r="H256" s="109"/>
      <c r="I256" s="109"/>
      <c r="J256" s="109"/>
      <c r="K256" s="109"/>
      <c r="L256" s="109"/>
      <c r="M256" s="109"/>
      <c r="N256" s="109"/>
      <c r="O256" s="109"/>
      <c r="P256" s="109"/>
      <c r="Q256" s="109"/>
      <c r="R256" s="109"/>
      <c r="S256" s="109"/>
      <c r="T256" s="109"/>
      <c r="U256" s="109"/>
      <c r="V256" s="109"/>
      <c r="W256" s="109"/>
      <c r="X256" s="109"/>
      <c r="Y256" s="109"/>
      <c r="Z256" s="109"/>
    </row>
    <row r="257" ht="12.75" customHeight="1">
      <c r="A257" s="109"/>
      <c r="B257" s="109"/>
      <c r="C257" s="109"/>
      <c r="D257" s="109"/>
      <c r="E257" s="109"/>
      <c r="F257" s="154"/>
      <c r="G257" s="154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</row>
    <row r="258" ht="12.75" customHeight="1">
      <c r="A258" s="109"/>
      <c r="B258" s="109"/>
      <c r="C258" s="109"/>
      <c r="D258" s="109"/>
      <c r="E258" s="109"/>
      <c r="F258" s="154"/>
      <c r="G258" s="154"/>
      <c r="H258" s="109"/>
      <c r="I258" s="109"/>
      <c r="J258" s="109"/>
      <c r="K258" s="109"/>
      <c r="L258" s="109"/>
      <c r="M258" s="109"/>
      <c r="N258" s="109"/>
      <c r="O258" s="109"/>
      <c r="P258" s="109"/>
      <c r="Q258" s="109"/>
      <c r="R258" s="109"/>
      <c r="S258" s="109"/>
      <c r="T258" s="109"/>
      <c r="U258" s="109"/>
      <c r="V258" s="109"/>
      <c r="W258" s="109"/>
      <c r="X258" s="109"/>
      <c r="Y258" s="109"/>
      <c r="Z258" s="109"/>
    </row>
    <row r="259" ht="12.75" customHeight="1">
      <c r="A259" s="109"/>
      <c r="B259" s="109"/>
      <c r="C259" s="109"/>
      <c r="D259" s="109"/>
      <c r="E259" s="109"/>
      <c r="F259" s="154"/>
      <c r="G259" s="154"/>
      <c r="H259" s="109"/>
      <c r="I259" s="109"/>
      <c r="J259" s="109"/>
      <c r="K259" s="109"/>
      <c r="L259" s="109"/>
      <c r="M259" s="109"/>
      <c r="N259" s="109"/>
      <c r="O259" s="109"/>
      <c r="P259" s="109"/>
      <c r="Q259" s="109"/>
      <c r="R259" s="109"/>
      <c r="S259" s="109"/>
      <c r="T259" s="109"/>
      <c r="U259" s="109"/>
      <c r="V259" s="109"/>
      <c r="W259" s="109"/>
      <c r="X259" s="109"/>
      <c r="Y259" s="109"/>
      <c r="Z259" s="109"/>
    </row>
    <row r="260" ht="12.75" customHeight="1">
      <c r="A260" s="109"/>
      <c r="B260" s="109"/>
      <c r="C260" s="109"/>
      <c r="D260" s="109"/>
      <c r="E260" s="109"/>
      <c r="F260" s="154"/>
      <c r="G260" s="154"/>
      <c r="H260" s="109"/>
      <c r="I260" s="109"/>
      <c r="J260" s="109"/>
      <c r="K260" s="109"/>
      <c r="L260" s="109"/>
      <c r="M260" s="109"/>
      <c r="N260" s="109"/>
      <c r="O260" s="109"/>
      <c r="P260" s="109"/>
      <c r="Q260" s="109"/>
      <c r="R260" s="109"/>
      <c r="S260" s="109"/>
      <c r="T260" s="109"/>
      <c r="U260" s="109"/>
      <c r="V260" s="109"/>
      <c r="W260" s="109"/>
      <c r="X260" s="109"/>
      <c r="Y260" s="109"/>
      <c r="Z260" s="109"/>
    </row>
    <row r="261" ht="12.75" customHeight="1">
      <c r="A261" s="109"/>
      <c r="B261" s="109"/>
      <c r="C261" s="109"/>
      <c r="D261" s="109"/>
      <c r="E261" s="109"/>
      <c r="F261" s="154"/>
      <c r="G261" s="154"/>
      <c r="H261" s="109"/>
      <c r="I261" s="109"/>
      <c r="J261" s="109"/>
      <c r="K261" s="109"/>
      <c r="L261" s="109"/>
      <c r="M261" s="109"/>
      <c r="N261" s="109"/>
      <c r="O261" s="109"/>
      <c r="P261" s="109"/>
      <c r="Q261" s="109"/>
      <c r="R261" s="109"/>
      <c r="S261" s="109"/>
      <c r="T261" s="109"/>
      <c r="U261" s="109"/>
      <c r="V261" s="109"/>
      <c r="W261" s="109"/>
      <c r="X261" s="109"/>
      <c r="Y261" s="109"/>
      <c r="Z261" s="109"/>
    </row>
    <row r="262" ht="12.75" customHeight="1">
      <c r="A262" s="109"/>
      <c r="B262" s="109"/>
      <c r="C262" s="109"/>
      <c r="D262" s="109"/>
      <c r="E262" s="109"/>
      <c r="F262" s="154"/>
      <c r="G262" s="154"/>
      <c r="H262" s="109"/>
      <c r="I262" s="109"/>
      <c r="J262" s="109"/>
      <c r="K262" s="109"/>
      <c r="L262" s="109"/>
      <c r="M262" s="109"/>
      <c r="N262" s="109"/>
      <c r="O262" s="109"/>
      <c r="P262" s="109"/>
      <c r="Q262" s="109"/>
      <c r="R262" s="109"/>
      <c r="S262" s="109"/>
      <c r="T262" s="109"/>
      <c r="U262" s="109"/>
      <c r="V262" s="109"/>
      <c r="W262" s="109"/>
      <c r="X262" s="109"/>
      <c r="Y262" s="109"/>
      <c r="Z262" s="109"/>
    </row>
    <row r="263" ht="12.75" customHeight="1">
      <c r="A263" s="109"/>
      <c r="B263" s="109"/>
      <c r="C263" s="109"/>
      <c r="D263" s="109"/>
      <c r="E263" s="109"/>
      <c r="F263" s="154"/>
      <c r="G263" s="154"/>
      <c r="H263" s="109"/>
      <c r="I263" s="109"/>
      <c r="J263" s="109"/>
      <c r="K263" s="109"/>
      <c r="L263" s="109"/>
      <c r="M263" s="109"/>
      <c r="N263" s="109"/>
      <c r="O263" s="109"/>
      <c r="P263" s="109"/>
      <c r="Q263" s="109"/>
      <c r="R263" s="109"/>
      <c r="S263" s="109"/>
      <c r="T263" s="109"/>
      <c r="U263" s="109"/>
      <c r="V263" s="109"/>
      <c r="W263" s="109"/>
      <c r="X263" s="109"/>
      <c r="Y263" s="109"/>
      <c r="Z263" s="109"/>
    </row>
    <row r="264" ht="12.75" customHeight="1">
      <c r="A264" s="109"/>
      <c r="B264" s="109"/>
      <c r="C264" s="109"/>
      <c r="D264" s="109"/>
      <c r="E264" s="109"/>
      <c r="F264" s="154"/>
      <c r="G264" s="154"/>
      <c r="H264" s="109"/>
      <c r="I264" s="109"/>
      <c r="J264" s="109"/>
      <c r="K264" s="109"/>
      <c r="L264" s="109"/>
      <c r="M264" s="109"/>
      <c r="N264" s="109"/>
      <c r="O264" s="109"/>
      <c r="P264" s="109"/>
      <c r="Q264" s="109"/>
      <c r="R264" s="109"/>
      <c r="S264" s="109"/>
      <c r="T264" s="109"/>
      <c r="U264" s="109"/>
      <c r="V264" s="109"/>
      <c r="W264" s="109"/>
      <c r="X264" s="109"/>
      <c r="Y264" s="109"/>
      <c r="Z264" s="109"/>
    </row>
    <row r="265" ht="12.75" customHeight="1">
      <c r="A265" s="109"/>
      <c r="B265" s="109"/>
      <c r="C265" s="109"/>
      <c r="D265" s="109"/>
      <c r="E265" s="109"/>
      <c r="F265" s="154"/>
      <c r="G265" s="154"/>
      <c r="H265" s="109"/>
      <c r="I265" s="109"/>
      <c r="J265" s="109"/>
      <c r="K265" s="109"/>
      <c r="L265" s="109"/>
      <c r="M265" s="109"/>
      <c r="N265" s="109"/>
      <c r="O265" s="109"/>
      <c r="P265" s="109"/>
      <c r="Q265" s="109"/>
      <c r="R265" s="109"/>
      <c r="S265" s="109"/>
      <c r="T265" s="109"/>
      <c r="U265" s="109"/>
      <c r="V265" s="109"/>
      <c r="W265" s="109"/>
      <c r="X265" s="109"/>
      <c r="Y265" s="109"/>
      <c r="Z265" s="109"/>
    </row>
    <row r="266" ht="12.75" customHeight="1">
      <c r="A266" s="109"/>
      <c r="B266" s="109"/>
      <c r="C266" s="109"/>
      <c r="D266" s="109"/>
      <c r="E266" s="109"/>
      <c r="F266" s="154"/>
      <c r="G266" s="154"/>
      <c r="H266" s="109"/>
      <c r="I266" s="109"/>
      <c r="J266" s="109"/>
      <c r="K266" s="109"/>
      <c r="L266" s="109"/>
      <c r="M266" s="109"/>
      <c r="N266" s="109"/>
      <c r="O266" s="109"/>
      <c r="P266" s="109"/>
      <c r="Q266" s="109"/>
      <c r="R266" s="109"/>
      <c r="S266" s="109"/>
      <c r="T266" s="109"/>
      <c r="U266" s="109"/>
      <c r="V266" s="109"/>
      <c r="W266" s="109"/>
      <c r="X266" s="109"/>
      <c r="Y266" s="109"/>
      <c r="Z266" s="109"/>
    </row>
    <row r="267" ht="12.75" customHeight="1">
      <c r="A267" s="109"/>
      <c r="B267" s="109"/>
      <c r="C267" s="109"/>
      <c r="D267" s="109"/>
      <c r="E267" s="109"/>
      <c r="F267" s="154"/>
      <c r="G267" s="154"/>
      <c r="H267" s="109"/>
      <c r="I267" s="109"/>
      <c r="J267" s="109"/>
      <c r="K267" s="109"/>
      <c r="L267" s="109"/>
      <c r="M267" s="109"/>
      <c r="N267" s="109"/>
      <c r="O267" s="109"/>
      <c r="P267" s="109"/>
      <c r="Q267" s="109"/>
      <c r="R267" s="109"/>
      <c r="S267" s="109"/>
      <c r="T267" s="109"/>
      <c r="U267" s="109"/>
      <c r="V267" s="109"/>
      <c r="W267" s="109"/>
      <c r="X267" s="109"/>
      <c r="Y267" s="109"/>
      <c r="Z267" s="109"/>
    </row>
    <row r="268" ht="12.75" customHeight="1">
      <c r="A268" s="109"/>
      <c r="B268" s="109"/>
      <c r="C268" s="109"/>
      <c r="D268" s="109"/>
      <c r="E268" s="109"/>
      <c r="F268" s="154"/>
      <c r="G268" s="154"/>
      <c r="H268" s="109"/>
      <c r="I268" s="109"/>
      <c r="J268" s="109"/>
      <c r="K268" s="109"/>
      <c r="L268" s="109"/>
      <c r="M268" s="109"/>
      <c r="N268" s="109"/>
      <c r="O268" s="109"/>
      <c r="P268" s="109"/>
      <c r="Q268" s="109"/>
      <c r="R268" s="109"/>
      <c r="S268" s="109"/>
      <c r="T268" s="109"/>
      <c r="U268" s="109"/>
      <c r="V268" s="109"/>
      <c r="W268" s="109"/>
      <c r="X268" s="109"/>
      <c r="Y268" s="109"/>
      <c r="Z268" s="109"/>
    </row>
    <row r="269" ht="12.75" customHeight="1">
      <c r="A269" s="109"/>
      <c r="B269" s="109"/>
      <c r="C269" s="109"/>
      <c r="D269" s="109"/>
      <c r="E269" s="109"/>
      <c r="F269" s="154"/>
      <c r="G269" s="154"/>
      <c r="H269" s="109"/>
      <c r="I269" s="109"/>
      <c r="J269" s="109"/>
      <c r="K269" s="109"/>
      <c r="L269" s="109"/>
      <c r="M269" s="109"/>
      <c r="N269" s="109"/>
      <c r="O269" s="109"/>
      <c r="P269" s="109"/>
      <c r="Q269" s="109"/>
      <c r="R269" s="109"/>
      <c r="S269" s="109"/>
      <c r="T269" s="109"/>
      <c r="U269" s="109"/>
      <c r="V269" s="109"/>
      <c r="W269" s="109"/>
      <c r="X269" s="109"/>
      <c r="Y269" s="109"/>
      <c r="Z269" s="109"/>
    </row>
    <row r="270" ht="12.75" customHeight="1">
      <c r="A270" s="109"/>
      <c r="B270" s="109"/>
      <c r="C270" s="109"/>
      <c r="D270" s="109"/>
      <c r="E270" s="109"/>
      <c r="F270" s="154"/>
      <c r="G270" s="154"/>
      <c r="H270" s="109"/>
      <c r="I270" s="109"/>
      <c r="J270" s="109"/>
      <c r="K270" s="109"/>
      <c r="L270" s="109"/>
      <c r="M270" s="109"/>
      <c r="N270" s="109"/>
      <c r="O270" s="109"/>
      <c r="P270" s="109"/>
      <c r="Q270" s="109"/>
      <c r="R270" s="109"/>
      <c r="S270" s="109"/>
      <c r="T270" s="109"/>
      <c r="U270" s="109"/>
      <c r="V270" s="109"/>
      <c r="W270" s="109"/>
      <c r="X270" s="109"/>
      <c r="Y270" s="109"/>
      <c r="Z270" s="109"/>
    </row>
    <row r="271" ht="12.75" customHeight="1">
      <c r="A271" s="109"/>
      <c r="B271" s="109"/>
      <c r="C271" s="109"/>
      <c r="D271" s="109"/>
      <c r="E271" s="109"/>
      <c r="F271" s="154"/>
      <c r="G271" s="154"/>
      <c r="H271" s="109"/>
      <c r="I271" s="109"/>
      <c r="J271" s="109"/>
      <c r="K271" s="109"/>
      <c r="L271" s="109"/>
      <c r="M271" s="109"/>
      <c r="N271" s="109"/>
      <c r="O271" s="109"/>
      <c r="P271" s="109"/>
      <c r="Q271" s="109"/>
      <c r="R271" s="109"/>
      <c r="S271" s="109"/>
      <c r="T271" s="109"/>
      <c r="U271" s="109"/>
      <c r="V271" s="109"/>
      <c r="W271" s="109"/>
      <c r="X271" s="109"/>
      <c r="Y271" s="109"/>
      <c r="Z271" s="109"/>
    </row>
    <row r="272" ht="12.75" customHeight="1">
      <c r="A272" s="109"/>
      <c r="B272" s="109"/>
      <c r="C272" s="109"/>
      <c r="D272" s="109"/>
      <c r="E272" s="109"/>
      <c r="F272" s="154"/>
      <c r="G272" s="154"/>
      <c r="H272" s="109"/>
      <c r="I272" s="109"/>
      <c r="J272" s="109"/>
      <c r="K272" s="109"/>
      <c r="L272" s="109"/>
      <c r="M272" s="109"/>
      <c r="N272" s="109"/>
      <c r="O272" s="109"/>
      <c r="P272" s="109"/>
      <c r="Q272" s="109"/>
      <c r="R272" s="109"/>
      <c r="S272" s="109"/>
      <c r="T272" s="109"/>
      <c r="U272" s="109"/>
      <c r="V272" s="109"/>
      <c r="W272" s="109"/>
      <c r="X272" s="109"/>
      <c r="Y272" s="109"/>
      <c r="Z272" s="109"/>
    </row>
    <row r="273" ht="12.75" customHeight="1">
      <c r="A273" s="109"/>
      <c r="B273" s="109"/>
      <c r="C273" s="109"/>
      <c r="D273" s="109"/>
      <c r="E273" s="109"/>
      <c r="F273" s="154"/>
      <c r="G273" s="154"/>
      <c r="H273" s="109"/>
      <c r="I273" s="109"/>
      <c r="J273" s="109"/>
      <c r="K273" s="109"/>
      <c r="L273" s="109"/>
      <c r="M273" s="109"/>
      <c r="N273" s="109"/>
      <c r="O273" s="109"/>
      <c r="P273" s="109"/>
      <c r="Q273" s="109"/>
      <c r="R273" s="109"/>
      <c r="S273" s="109"/>
      <c r="T273" s="109"/>
      <c r="U273" s="109"/>
      <c r="V273" s="109"/>
      <c r="W273" s="109"/>
      <c r="X273" s="109"/>
      <c r="Y273" s="109"/>
      <c r="Z273" s="109"/>
    </row>
    <row r="274" ht="12.75" customHeight="1">
      <c r="A274" s="109"/>
      <c r="B274" s="109"/>
      <c r="C274" s="109"/>
      <c r="D274" s="109"/>
      <c r="E274" s="109"/>
      <c r="F274" s="154"/>
      <c r="G274" s="154"/>
      <c r="H274" s="109"/>
      <c r="I274" s="109"/>
      <c r="J274" s="109"/>
      <c r="K274" s="109"/>
      <c r="L274" s="109"/>
      <c r="M274" s="109"/>
      <c r="N274" s="109"/>
      <c r="O274" s="109"/>
      <c r="P274" s="109"/>
      <c r="Q274" s="109"/>
      <c r="R274" s="109"/>
      <c r="S274" s="109"/>
      <c r="T274" s="109"/>
      <c r="U274" s="109"/>
      <c r="V274" s="109"/>
      <c r="W274" s="109"/>
      <c r="X274" s="109"/>
      <c r="Y274" s="109"/>
      <c r="Z274" s="109"/>
    </row>
    <row r="275" ht="12.75" customHeight="1">
      <c r="A275" s="109"/>
      <c r="B275" s="109"/>
      <c r="C275" s="109"/>
      <c r="D275" s="109"/>
      <c r="E275" s="109"/>
      <c r="F275" s="154"/>
      <c r="G275" s="154"/>
      <c r="H275" s="109"/>
      <c r="I275" s="109"/>
      <c r="J275" s="109"/>
      <c r="K275" s="109"/>
      <c r="L275" s="109"/>
      <c r="M275" s="109"/>
      <c r="N275" s="109"/>
      <c r="O275" s="109"/>
      <c r="P275" s="109"/>
      <c r="Q275" s="109"/>
      <c r="R275" s="109"/>
      <c r="S275" s="109"/>
      <c r="T275" s="109"/>
      <c r="U275" s="109"/>
      <c r="V275" s="109"/>
      <c r="W275" s="109"/>
      <c r="X275" s="109"/>
      <c r="Y275" s="109"/>
      <c r="Z275" s="109"/>
    </row>
    <row r="276" ht="12.75" customHeight="1">
      <c r="A276" s="109"/>
      <c r="B276" s="109"/>
      <c r="C276" s="109"/>
      <c r="D276" s="109"/>
      <c r="E276" s="109"/>
      <c r="F276" s="154"/>
      <c r="G276" s="154"/>
      <c r="H276" s="109"/>
      <c r="I276" s="109"/>
      <c r="J276" s="109"/>
      <c r="K276" s="109"/>
      <c r="L276" s="109"/>
      <c r="M276" s="109"/>
      <c r="N276" s="109"/>
      <c r="O276" s="109"/>
      <c r="P276" s="109"/>
      <c r="Q276" s="109"/>
      <c r="R276" s="109"/>
      <c r="S276" s="109"/>
      <c r="T276" s="109"/>
      <c r="U276" s="109"/>
      <c r="V276" s="109"/>
      <c r="W276" s="109"/>
      <c r="X276" s="109"/>
      <c r="Y276" s="109"/>
      <c r="Z276" s="109"/>
    </row>
    <row r="277" ht="12.75" customHeight="1">
      <c r="A277" s="109"/>
      <c r="B277" s="109"/>
      <c r="C277" s="109"/>
      <c r="D277" s="109"/>
      <c r="E277" s="109"/>
      <c r="F277" s="154"/>
      <c r="G277" s="154"/>
      <c r="H277" s="109"/>
      <c r="I277" s="109"/>
      <c r="J277" s="109"/>
      <c r="K277" s="109"/>
      <c r="L277" s="109"/>
      <c r="M277" s="109"/>
      <c r="N277" s="109"/>
      <c r="O277" s="109"/>
      <c r="P277" s="109"/>
      <c r="Q277" s="109"/>
      <c r="R277" s="109"/>
      <c r="S277" s="109"/>
      <c r="T277" s="109"/>
      <c r="U277" s="109"/>
      <c r="V277" s="109"/>
      <c r="W277" s="109"/>
      <c r="X277" s="109"/>
      <c r="Y277" s="109"/>
      <c r="Z277" s="109"/>
    </row>
    <row r="278" ht="12.75" customHeight="1">
      <c r="A278" s="109"/>
      <c r="B278" s="109"/>
      <c r="C278" s="109"/>
      <c r="D278" s="109"/>
      <c r="E278" s="109"/>
      <c r="F278" s="154"/>
      <c r="G278" s="154"/>
      <c r="H278" s="109"/>
      <c r="I278" s="109"/>
      <c r="J278" s="109"/>
      <c r="K278" s="109"/>
      <c r="L278" s="109"/>
      <c r="M278" s="109"/>
      <c r="N278" s="109"/>
      <c r="O278" s="109"/>
      <c r="P278" s="109"/>
      <c r="Q278" s="109"/>
      <c r="R278" s="109"/>
      <c r="S278" s="109"/>
      <c r="T278" s="109"/>
      <c r="U278" s="109"/>
      <c r="V278" s="109"/>
      <c r="W278" s="109"/>
      <c r="X278" s="109"/>
      <c r="Y278" s="109"/>
      <c r="Z278" s="109"/>
    </row>
    <row r="279" ht="12.75" customHeight="1">
      <c r="A279" s="109"/>
      <c r="B279" s="109"/>
      <c r="C279" s="109"/>
      <c r="D279" s="109"/>
      <c r="E279" s="109"/>
      <c r="F279" s="154"/>
      <c r="G279" s="154"/>
      <c r="H279" s="109"/>
      <c r="I279" s="109"/>
      <c r="J279" s="109"/>
      <c r="K279" s="109"/>
      <c r="L279" s="109"/>
      <c r="M279" s="109"/>
      <c r="N279" s="109"/>
      <c r="O279" s="109"/>
      <c r="P279" s="109"/>
      <c r="Q279" s="109"/>
      <c r="R279" s="109"/>
      <c r="S279" s="109"/>
      <c r="T279" s="109"/>
      <c r="U279" s="109"/>
      <c r="V279" s="109"/>
      <c r="W279" s="109"/>
      <c r="X279" s="109"/>
      <c r="Y279" s="109"/>
      <c r="Z279" s="109"/>
    </row>
    <row r="280" ht="12.75" customHeight="1">
      <c r="A280" s="109"/>
      <c r="B280" s="109"/>
      <c r="C280" s="109"/>
      <c r="D280" s="109"/>
      <c r="E280" s="109"/>
      <c r="F280" s="154"/>
      <c r="G280" s="154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</row>
    <row r="281" ht="12.75" customHeight="1">
      <c r="A281" s="109"/>
      <c r="B281" s="109"/>
      <c r="C281" s="109"/>
      <c r="D281" s="109"/>
      <c r="E281" s="109"/>
      <c r="F281" s="154"/>
      <c r="G281" s="154"/>
      <c r="H281" s="109"/>
      <c r="I281" s="109"/>
      <c r="J281" s="109"/>
      <c r="K281" s="109"/>
      <c r="L281" s="109"/>
      <c r="M281" s="109"/>
      <c r="N281" s="109"/>
      <c r="O281" s="109"/>
      <c r="P281" s="109"/>
      <c r="Q281" s="109"/>
      <c r="R281" s="109"/>
      <c r="S281" s="109"/>
      <c r="T281" s="109"/>
      <c r="U281" s="109"/>
      <c r="V281" s="109"/>
      <c r="W281" s="109"/>
      <c r="X281" s="109"/>
      <c r="Y281" s="109"/>
      <c r="Z281" s="109"/>
    </row>
    <row r="282" ht="12.75" customHeight="1">
      <c r="A282" s="109"/>
      <c r="B282" s="109"/>
      <c r="C282" s="109"/>
      <c r="D282" s="109"/>
      <c r="E282" s="109"/>
      <c r="F282" s="154"/>
      <c r="G282" s="154"/>
      <c r="H282" s="109"/>
      <c r="I282" s="109"/>
      <c r="J282" s="109"/>
      <c r="K282" s="109"/>
      <c r="L282" s="109"/>
      <c r="M282" s="109"/>
      <c r="N282" s="109"/>
      <c r="O282" s="109"/>
      <c r="P282" s="109"/>
      <c r="Q282" s="109"/>
      <c r="R282" s="109"/>
      <c r="S282" s="109"/>
      <c r="T282" s="109"/>
      <c r="U282" s="109"/>
      <c r="V282" s="109"/>
      <c r="W282" s="109"/>
      <c r="X282" s="109"/>
      <c r="Y282" s="109"/>
      <c r="Z282" s="109"/>
    </row>
    <row r="283" ht="12.75" customHeight="1">
      <c r="A283" s="109"/>
      <c r="B283" s="109"/>
      <c r="C283" s="109"/>
      <c r="D283" s="109"/>
      <c r="E283" s="109"/>
      <c r="F283" s="154"/>
      <c r="G283" s="154"/>
      <c r="H283" s="109"/>
      <c r="I283" s="109"/>
      <c r="J283" s="109"/>
      <c r="K283" s="109"/>
      <c r="L283" s="109"/>
      <c r="M283" s="109"/>
      <c r="N283" s="109"/>
      <c r="O283" s="109"/>
      <c r="P283" s="109"/>
      <c r="Q283" s="109"/>
      <c r="R283" s="109"/>
      <c r="S283" s="109"/>
      <c r="T283" s="109"/>
      <c r="U283" s="109"/>
      <c r="V283" s="109"/>
      <c r="W283" s="109"/>
      <c r="X283" s="109"/>
      <c r="Y283" s="109"/>
      <c r="Z283" s="109"/>
    </row>
    <row r="284" ht="12.75" customHeight="1">
      <c r="A284" s="109"/>
      <c r="B284" s="109"/>
      <c r="C284" s="109"/>
      <c r="D284" s="109"/>
      <c r="E284" s="109"/>
      <c r="F284" s="154"/>
      <c r="G284" s="154"/>
      <c r="H284" s="109"/>
      <c r="I284" s="109"/>
      <c r="J284" s="109"/>
      <c r="K284" s="109"/>
      <c r="L284" s="109"/>
      <c r="M284" s="109"/>
      <c r="N284" s="109"/>
      <c r="O284" s="109"/>
      <c r="P284" s="109"/>
      <c r="Q284" s="109"/>
      <c r="R284" s="109"/>
      <c r="S284" s="109"/>
      <c r="T284" s="109"/>
      <c r="U284" s="109"/>
      <c r="V284" s="109"/>
      <c r="W284" s="109"/>
      <c r="X284" s="109"/>
      <c r="Y284" s="109"/>
      <c r="Z284" s="109"/>
    </row>
    <row r="285" ht="12.75" customHeight="1">
      <c r="A285" s="109"/>
      <c r="B285" s="109"/>
      <c r="C285" s="109"/>
      <c r="D285" s="109"/>
      <c r="E285" s="109"/>
      <c r="F285" s="154"/>
      <c r="G285" s="154"/>
      <c r="H285" s="109"/>
      <c r="I285" s="109"/>
      <c r="J285" s="109"/>
      <c r="K285" s="109"/>
      <c r="L285" s="109"/>
      <c r="M285" s="109"/>
      <c r="N285" s="109"/>
      <c r="O285" s="109"/>
      <c r="P285" s="109"/>
      <c r="Q285" s="109"/>
      <c r="R285" s="109"/>
      <c r="S285" s="109"/>
      <c r="T285" s="109"/>
      <c r="U285" s="109"/>
      <c r="V285" s="109"/>
      <c r="W285" s="109"/>
      <c r="X285" s="109"/>
      <c r="Y285" s="109"/>
      <c r="Z285" s="109"/>
    </row>
    <row r="286" ht="12.75" customHeight="1">
      <c r="A286" s="109"/>
      <c r="B286" s="109"/>
      <c r="C286" s="109"/>
      <c r="D286" s="109"/>
      <c r="E286" s="109"/>
      <c r="F286" s="154"/>
      <c r="G286" s="154"/>
      <c r="H286" s="109"/>
      <c r="I286" s="109"/>
      <c r="J286" s="109"/>
      <c r="K286" s="109"/>
      <c r="L286" s="109"/>
      <c r="M286" s="109"/>
      <c r="N286" s="109"/>
      <c r="O286" s="109"/>
      <c r="P286" s="109"/>
      <c r="Q286" s="109"/>
      <c r="R286" s="109"/>
      <c r="S286" s="109"/>
      <c r="T286" s="109"/>
      <c r="U286" s="109"/>
      <c r="V286" s="109"/>
      <c r="W286" s="109"/>
      <c r="X286" s="109"/>
      <c r="Y286" s="109"/>
      <c r="Z286" s="109"/>
    </row>
    <row r="287" ht="12.75" customHeight="1">
      <c r="A287" s="109"/>
      <c r="B287" s="109"/>
      <c r="C287" s="109"/>
      <c r="D287" s="109"/>
      <c r="E287" s="109"/>
      <c r="F287" s="154"/>
      <c r="G287" s="154"/>
      <c r="H287" s="109"/>
      <c r="I287" s="109"/>
      <c r="J287" s="109"/>
      <c r="K287" s="109"/>
      <c r="L287" s="109"/>
      <c r="M287" s="109"/>
      <c r="N287" s="109"/>
      <c r="O287" s="109"/>
      <c r="P287" s="109"/>
      <c r="Q287" s="109"/>
      <c r="R287" s="109"/>
      <c r="S287" s="109"/>
      <c r="T287" s="109"/>
      <c r="U287" s="109"/>
      <c r="V287" s="109"/>
      <c r="W287" s="109"/>
      <c r="X287" s="109"/>
      <c r="Y287" s="109"/>
      <c r="Z287" s="109"/>
    </row>
    <row r="288" ht="12.75" customHeight="1">
      <c r="A288" s="109"/>
      <c r="B288" s="109"/>
      <c r="C288" s="109"/>
      <c r="D288" s="109"/>
      <c r="E288" s="109"/>
      <c r="F288" s="154"/>
      <c r="G288" s="154"/>
      <c r="H288" s="109"/>
      <c r="I288" s="109"/>
      <c r="J288" s="109"/>
      <c r="K288" s="109"/>
      <c r="L288" s="109"/>
      <c r="M288" s="109"/>
      <c r="N288" s="109"/>
      <c r="O288" s="109"/>
      <c r="P288" s="109"/>
      <c r="Q288" s="109"/>
      <c r="R288" s="109"/>
      <c r="S288" s="109"/>
      <c r="T288" s="109"/>
      <c r="U288" s="109"/>
      <c r="V288" s="109"/>
      <c r="W288" s="109"/>
      <c r="X288" s="109"/>
      <c r="Y288" s="109"/>
      <c r="Z288" s="109"/>
    </row>
    <row r="289" ht="12.75" customHeight="1">
      <c r="A289" s="109"/>
      <c r="B289" s="109"/>
      <c r="C289" s="109"/>
      <c r="D289" s="109"/>
      <c r="E289" s="109"/>
      <c r="F289" s="154"/>
      <c r="G289" s="154"/>
      <c r="H289" s="109"/>
      <c r="I289" s="109"/>
      <c r="J289" s="109"/>
      <c r="K289" s="109"/>
      <c r="L289" s="109"/>
      <c r="M289" s="109"/>
      <c r="N289" s="109"/>
      <c r="O289" s="109"/>
      <c r="P289" s="109"/>
      <c r="Q289" s="109"/>
      <c r="R289" s="109"/>
      <c r="S289" s="109"/>
      <c r="T289" s="109"/>
      <c r="U289" s="109"/>
      <c r="V289" s="109"/>
      <c r="W289" s="109"/>
      <c r="X289" s="109"/>
      <c r="Y289" s="109"/>
      <c r="Z289" s="109"/>
    </row>
    <row r="290" ht="12.75" customHeight="1">
      <c r="A290" s="109"/>
      <c r="B290" s="109"/>
      <c r="C290" s="109"/>
      <c r="D290" s="109"/>
      <c r="E290" s="109"/>
      <c r="F290" s="154"/>
      <c r="G290" s="154"/>
      <c r="H290" s="109"/>
      <c r="I290" s="109"/>
      <c r="J290" s="109"/>
      <c r="K290" s="109"/>
      <c r="L290" s="109"/>
      <c r="M290" s="109"/>
      <c r="N290" s="109"/>
      <c r="O290" s="109"/>
      <c r="P290" s="109"/>
      <c r="Q290" s="109"/>
      <c r="R290" s="109"/>
      <c r="S290" s="109"/>
      <c r="T290" s="109"/>
      <c r="U290" s="109"/>
      <c r="V290" s="109"/>
      <c r="W290" s="109"/>
      <c r="X290" s="109"/>
      <c r="Y290" s="109"/>
      <c r="Z290" s="109"/>
    </row>
    <row r="291" ht="12.75" customHeight="1">
      <c r="A291" s="109"/>
      <c r="B291" s="109"/>
      <c r="C291" s="109"/>
      <c r="D291" s="109"/>
      <c r="E291" s="109"/>
      <c r="F291" s="154"/>
      <c r="G291" s="154"/>
      <c r="H291" s="109"/>
      <c r="I291" s="109"/>
      <c r="J291" s="109"/>
      <c r="K291" s="109"/>
      <c r="L291" s="109"/>
      <c r="M291" s="109"/>
      <c r="N291" s="109"/>
      <c r="O291" s="109"/>
      <c r="P291" s="109"/>
      <c r="Q291" s="109"/>
      <c r="R291" s="109"/>
      <c r="S291" s="109"/>
      <c r="T291" s="109"/>
      <c r="U291" s="109"/>
      <c r="V291" s="109"/>
      <c r="W291" s="109"/>
      <c r="X291" s="109"/>
      <c r="Y291" s="109"/>
      <c r="Z291" s="109"/>
    </row>
    <row r="292" ht="12.75" customHeight="1">
      <c r="A292" s="109"/>
      <c r="B292" s="109"/>
      <c r="C292" s="109"/>
      <c r="D292" s="109"/>
      <c r="E292" s="109"/>
      <c r="F292" s="154"/>
      <c r="G292" s="154"/>
      <c r="H292" s="109"/>
      <c r="I292" s="109"/>
      <c r="J292" s="109"/>
      <c r="K292" s="109"/>
      <c r="L292" s="109"/>
      <c r="M292" s="109"/>
      <c r="N292" s="109"/>
      <c r="O292" s="109"/>
      <c r="P292" s="109"/>
      <c r="Q292" s="109"/>
      <c r="R292" s="109"/>
      <c r="S292" s="109"/>
      <c r="T292" s="109"/>
      <c r="U292" s="109"/>
      <c r="V292" s="109"/>
      <c r="W292" s="109"/>
      <c r="X292" s="109"/>
      <c r="Y292" s="109"/>
      <c r="Z292" s="109"/>
    </row>
    <row r="293" ht="12.75" customHeight="1">
      <c r="A293" s="109"/>
      <c r="B293" s="109"/>
      <c r="C293" s="109"/>
      <c r="D293" s="109"/>
      <c r="E293" s="109"/>
      <c r="F293" s="154"/>
      <c r="G293" s="154"/>
      <c r="H293" s="109"/>
      <c r="I293" s="109"/>
      <c r="J293" s="109"/>
      <c r="K293" s="109"/>
      <c r="L293" s="109"/>
      <c r="M293" s="109"/>
      <c r="N293" s="109"/>
      <c r="O293" s="109"/>
      <c r="P293" s="109"/>
      <c r="Q293" s="109"/>
      <c r="R293" s="109"/>
      <c r="S293" s="109"/>
      <c r="T293" s="109"/>
      <c r="U293" s="109"/>
      <c r="V293" s="109"/>
      <c r="W293" s="109"/>
      <c r="X293" s="109"/>
      <c r="Y293" s="109"/>
      <c r="Z293" s="109"/>
    </row>
    <row r="294" ht="12.75" customHeight="1">
      <c r="A294" s="109"/>
      <c r="B294" s="109"/>
      <c r="C294" s="109"/>
      <c r="D294" s="109"/>
      <c r="E294" s="109"/>
      <c r="F294" s="154"/>
      <c r="G294" s="154"/>
      <c r="H294" s="109"/>
      <c r="I294" s="109"/>
      <c r="J294" s="109"/>
      <c r="K294" s="109"/>
      <c r="L294" s="109"/>
      <c r="M294" s="109"/>
      <c r="N294" s="109"/>
      <c r="O294" s="109"/>
      <c r="P294" s="109"/>
      <c r="Q294" s="109"/>
      <c r="R294" s="109"/>
      <c r="S294" s="109"/>
      <c r="T294" s="109"/>
      <c r="U294" s="109"/>
      <c r="V294" s="109"/>
      <c r="W294" s="109"/>
      <c r="X294" s="109"/>
      <c r="Y294" s="109"/>
      <c r="Z294" s="109"/>
    </row>
    <row r="295" ht="12.75" customHeight="1">
      <c r="A295" s="109"/>
      <c r="B295" s="109"/>
      <c r="C295" s="109"/>
      <c r="D295" s="109"/>
      <c r="E295" s="109"/>
      <c r="F295" s="154"/>
      <c r="G295" s="154"/>
      <c r="H295" s="109"/>
      <c r="I295" s="109"/>
      <c r="J295" s="109"/>
      <c r="K295" s="109"/>
      <c r="L295" s="109"/>
      <c r="M295" s="109"/>
      <c r="N295" s="109"/>
      <c r="O295" s="109"/>
      <c r="P295" s="109"/>
      <c r="Q295" s="109"/>
      <c r="R295" s="109"/>
      <c r="S295" s="109"/>
      <c r="T295" s="109"/>
      <c r="U295" s="109"/>
      <c r="V295" s="109"/>
      <c r="W295" s="109"/>
      <c r="X295" s="109"/>
      <c r="Y295" s="109"/>
      <c r="Z295" s="109"/>
    </row>
    <row r="296" ht="12.75" customHeight="1">
      <c r="A296" s="109"/>
      <c r="B296" s="109"/>
      <c r="C296" s="109"/>
      <c r="D296" s="109"/>
      <c r="E296" s="109"/>
      <c r="F296" s="154"/>
      <c r="G296" s="154"/>
      <c r="H296" s="109"/>
      <c r="I296" s="109"/>
      <c r="J296" s="109"/>
      <c r="K296" s="109"/>
      <c r="L296" s="109"/>
      <c r="M296" s="109"/>
      <c r="N296" s="109"/>
      <c r="O296" s="109"/>
      <c r="P296" s="109"/>
      <c r="Q296" s="109"/>
      <c r="R296" s="109"/>
      <c r="S296" s="109"/>
      <c r="T296" s="109"/>
      <c r="U296" s="109"/>
      <c r="V296" s="109"/>
      <c r="W296" s="109"/>
      <c r="X296" s="109"/>
      <c r="Y296" s="109"/>
      <c r="Z296" s="109"/>
    </row>
    <row r="297" ht="12.75" customHeight="1">
      <c r="A297" s="109"/>
      <c r="B297" s="109"/>
      <c r="C297" s="109"/>
      <c r="D297" s="109"/>
      <c r="E297" s="109"/>
      <c r="F297" s="154"/>
      <c r="G297" s="154"/>
      <c r="H297" s="109"/>
      <c r="I297" s="109"/>
      <c r="J297" s="109"/>
      <c r="K297" s="109"/>
      <c r="L297" s="109"/>
      <c r="M297" s="109"/>
      <c r="N297" s="109"/>
      <c r="O297" s="109"/>
      <c r="P297" s="109"/>
      <c r="Q297" s="109"/>
      <c r="R297" s="109"/>
      <c r="S297" s="109"/>
      <c r="T297" s="109"/>
      <c r="U297" s="109"/>
      <c r="V297" s="109"/>
      <c r="W297" s="109"/>
      <c r="X297" s="109"/>
      <c r="Y297" s="109"/>
      <c r="Z297" s="109"/>
    </row>
    <row r="298" ht="12.75" customHeight="1">
      <c r="A298" s="109"/>
      <c r="B298" s="109"/>
      <c r="C298" s="109"/>
      <c r="D298" s="109"/>
      <c r="E298" s="109"/>
      <c r="F298" s="154"/>
      <c r="G298" s="154"/>
      <c r="H298" s="109"/>
      <c r="I298" s="109"/>
      <c r="J298" s="109"/>
      <c r="K298" s="109"/>
      <c r="L298" s="109"/>
      <c r="M298" s="109"/>
      <c r="N298" s="109"/>
      <c r="O298" s="109"/>
      <c r="P298" s="109"/>
      <c r="Q298" s="109"/>
      <c r="R298" s="109"/>
      <c r="S298" s="109"/>
      <c r="T298" s="109"/>
      <c r="U298" s="109"/>
      <c r="V298" s="109"/>
      <c r="W298" s="109"/>
      <c r="X298" s="109"/>
      <c r="Y298" s="109"/>
      <c r="Z298" s="109"/>
    </row>
    <row r="299" ht="12.75" customHeight="1">
      <c r="A299" s="109"/>
      <c r="B299" s="109"/>
      <c r="C299" s="109"/>
      <c r="D299" s="109"/>
      <c r="E299" s="109"/>
      <c r="F299" s="154"/>
      <c r="G299" s="154"/>
      <c r="H299" s="109"/>
      <c r="I299" s="109"/>
      <c r="J299" s="109"/>
      <c r="K299" s="109"/>
      <c r="L299" s="109"/>
      <c r="M299" s="109"/>
      <c r="N299" s="109"/>
      <c r="O299" s="109"/>
      <c r="P299" s="109"/>
      <c r="Q299" s="109"/>
      <c r="R299" s="109"/>
      <c r="S299" s="109"/>
      <c r="T299" s="109"/>
      <c r="U299" s="109"/>
      <c r="V299" s="109"/>
      <c r="W299" s="109"/>
      <c r="X299" s="109"/>
      <c r="Y299" s="109"/>
      <c r="Z299" s="109"/>
    </row>
    <row r="300" ht="12.75" customHeight="1">
      <c r="A300" s="109"/>
      <c r="B300" s="109"/>
      <c r="C300" s="109"/>
      <c r="D300" s="109"/>
      <c r="E300" s="109"/>
      <c r="F300" s="154"/>
      <c r="G300" s="154"/>
      <c r="H300" s="109"/>
      <c r="I300" s="109"/>
      <c r="J300" s="109"/>
      <c r="K300" s="109"/>
      <c r="L300" s="109"/>
      <c r="M300" s="109"/>
      <c r="N300" s="109"/>
      <c r="O300" s="109"/>
      <c r="P300" s="109"/>
      <c r="Q300" s="109"/>
      <c r="R300" s="109"/>
      <c r="S300" s="109"/>
      <c r="T300" s="109"/>
      <c r="U300" s="109"/>
      <c r="V300" s="109"/>
      <c r="W300" s="109"/>
      <c r="X300" s="109"/>
      <c r="Y300" s="109"/>
      <c r="Z300" s="109"/>
    </row>
    <row r="301" ht="12.75" customHeight="1">
      <c r="A301" s="109"/>
      <c r="B301" s="109"/>
      <c r="C301" s="109"/>
      <c r="D301" s="109"/>
      <c r="E301" s="109"/>
      <c r="F301" s="154"/>
      <c r="G301" s="154"/>
      <c r="H301" s="109"/>
      <c r="I301" s="109"/>
      <c r="J301" s="109"/>
      <c r="K301" s="109"/>
      <c r="L301" s="109"/>
      <c r="M301" s="109"/>
      <c r="N301" s="109"/>
      <c r="O301" s="109"/>
      <c r="P301" s="109"/>
      <c r="Q301" s="109"/>
      <c r="R301" s="109"/>
      <c r="S301" s="109"/>
      <c r="T301" s="109"/>
      <c r="U301" s="109"/>
      <c r="V301" s="109"/>
      <c r="W301" s="109"/>
      <c r="X301" s="109"/>
      <c r="Y301" s="109"/>
      <c r="Z301" s="109"/>
    </row>
    <row r="302" ht="12.75" customHeight="1">
      <c r="A302" s="109"/>
      <c r="B302" s="109"/>
      <c r="C302" s="109"/>
      <c r="D302" s="109"/>
      <c r="E302" s="109"/>
      <c r="F302" s="154"/>
      <c r="G302" s="154"/>
      <c r="H302" s="109"/>
      <c r="I302" s="109"/>
      <c r="J302" s="109"/>
      <c r="K302" s="109"/>
      <c r="L302" s="109"/>
      <c r="M302" s="109"/>
      <c r="N302" s="109"/>
      <c r="O302" s="109"/>
      <c r="P302" s="109"/>
      <c r="Q302" s="109"/>
      <c r="R302" s="109"/>
      <c r="S302" s="109"/>
      <c r="T302" s="109"/>
      <c r="U302" s="109"/>
      <c r="V302" s="109"/>
      <c r="W302" s="109"/>
      <c r="X302" s="109"/>
      <c r="Y302" s="109"/>
      <c r="Z302" s="109"/>
    </row>
    <row r="303" ht="12.75" customHeight="1">
      <c r="A303" s="109"/>
      <c r="B303" s="109"/>
      <c r="C303" s="109"/>
      <c r="D303" s="109"/>
      <c r="E303" s="109"/>
      <c r="F303" s="154"/>
      <c r="G303" s="154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</row>
    <row r="304" ht="12.75" customHeight="1">
      <c r="A304" s="109"/>
      <c r="B304" s="109"/>
      <c r="C304" s="109"/>
      <c r="D304" s="109"/>
      <c r="E304" s="109"/>
      <c r="F304" s="154"/>
      <c r="G304" s="154"/>
      <c r="H304" s="109"/>
      <c r="I304" s="109"/>
      <c r="J304" s="109"/>
      <c r="K304" s="109"/>
      <c r="L304" s="109"/>
      <c r="M304" s="109"/>
      <c r="N304" s="109"/>
      <c r="O304" s="109"/>
      <c r="P304" s="109"/>
      <c r="Q304" s="109"/>
      <c r="R304" s="109"/>
      <c r="S304" s="109"/>
      <c r="T304" s="109"/>
      <c r="U304" s="109"/>
      <c r="V304" s="109"/>
      <c r="W304" s="109"/>
      <c r="X304" s="109"/>
      <c r="Y304" s="109"/>
      <c r="Z304" s="109"/>
    </row>
    <row r="305" ht="12.75" customHeight="1">
      <c r="A305" s="109"/>
      <c r="B305" s="109"/>
      <c r="C305" s="109"/>
      <c r="D305" s="109"/>
      <c r="E305" s="109"/>
      <c r="F305" s="154"/>
      <c r="G305" s="154"/>
      <c r="H305" s="109"/>
      <c r="I305" s="109"/>
      <c r="J305" s="109"/>
      <c r="K305" s="109"/>
      <c r="L305" s="109"/>
      <c r="M305" s="109"/>
      <c r="N305" s="109"/>
      <c r="O305" s="109"/>
      <c r="P305" s="109"/>
      <c r="Q305" s="109"/>
      <c r="R305" s="109"/>
      <c r="S305" s="109"/>
      <c r="T305" s="109"/>
      <c r="U305" s="109"/>
      <c r="V305" s="109"/>
      <c r="W305" s="109"/>
      <c r="X305" s="109"/>
      <c r="Y305" s="109"/>
      <c r="Z305" s="109"/>
    </row>
    <row r="306" ht="12.75" customHeight="1">
      <c r="A306" s="109"/>
      <c r="B306" s="109"/>
      <c r="C306" s="109"/>
      <c r="D306" s="109"/>
      <c r="E306" s="109"/>
      <c r="F306" s="154"/>
      <c r="G306" s="154"/>
      <c r="H306" s="109"/>
      <c r="I306" s="109"/>
      <c r="J306" s="109"/>
      <c r="K306" s="109"/>
      <c r="L306" s="109"/>
      <c r="M306" s="109"/>
      <c r="N306" s="109"/>
      <c r="O306" s="109"/>
      <c r="P306" s="109"/>
      <c r="Q306" s="109"/>
      <c r="R306" s="109"/>
      <c r="S306" s="109"/>
      <c r="T306" s="109"/>
      <c r="U306" s="109"/>
      <c r="V306" s="109"/>
      <c r="W306" s="109"/>
      <c r="X306" s="109"/>
      <c r="Y306" s="109"/>
      <c r="Z306" s="109"/>
    </row>
    <row r="307" ht="12.75" customHeight="1">
      <c r="A307" s="109"/>
      <c r="B307" s="109"/>
      <c r="C307" s="109"/>
      <c r="D307" s="109"/>
      <c r="E307" s="109"/>
      <c r="F307" s="154"/>
      <c r="G307" s="154"/>
      <c r="H307" s="109"/>
      <c r="I307" s="109"/>
      <c r="J307" s="109"/>
      <c r="K307" s="109"/>
      <c r="L307" s="109"/>
      <c r="M307" s="109"/>
      <c r="N307" s="109"/>
      <c r="O307" s="109"/>
      <c r="P307" s="109"/>
      <c r="Q307" s="109"/>
      <c r="R307" s="109"/>
      <c r="S307" s="109"/>
      <c r="T307" s="109"/>
      <c r="U307" s="109"/>
      <c r="V307" s="109"/>
      <c r="W307" s="109"/>
      <c r="X307" s="109"/>
      <c r="Y307" s="109"/>
      <c r="Z307" s="109"/>
    </row>
    <row r="308" ht="12.75" customHeight="1">
      <c r="A308" s="109"/>
      <c r="B308" s="109"/>
      <c r="C308" s="109"/>
      <c r="D308" s="109"/>
      <c r="E308" s="109"/>
      <c r="F308" s="154"/>
      <c r="G308" s="154"/>
      <c r="H308" s="109"/>
      <c r="I308" s="109"/>
      <c r="J308" s="109"/>
      <c r="K308" s="109"/>
      <c r="L308" s="109"/>
      <c r="M308" s="109"/>
      <c r="N308" s="109"/>
      <c r="O308" s="109"/>
      <c r="P308" s="109"/>
      <c r="Q308" s="109"/>
      <c r="R308" s="109"/>
      <c r="S308" s="109"/>
      <c r="T308" s="109"/>
      <c r="U308" s="109"/>
      <c r="V308" s="109"/>
      <c r="W308" s="109"/>
      <c r="X308" s="109"/>
      <c r="Y308" s="109"/>
      <c r="Z308" s="109"/>
    </row>
    <row r="309" ht="12.75" customHeight="1">
      <c r="A309" s="109"/>
      <c r="B309" s="109"/>
      <c r="C309" s="109"/>
      <c r="D309" s="109"/>
      <c r="E309" s="109"/>
      <c r="F309" s="154"/>
      <c r="G309" s="154"/>
      <c r="H309" s="109"/>
      <c r="I309" s="109"/>
      <c r="J309" s="109"/>
      <c r="K309" s="109"/>
      <c r="L309" s="109"/>
      <c r="M309" s="109"/>
      <c r="N309" s="109"/>
      <c r="O309" s="109"/>
      <c r="P309" s="109"/>
      <c r="Q309" s="109"/>
      <c r="R309" s="109"/>
      <c r="S309" s="109"/>
      <c r="T309" s="109"/>
      <c r="U309" s="109"/>
      <c r="V309" s="109"/>
      <c r="W309" s="109"/>
      <c r="X309" s="109"/>
      <c r="Y309" s="109"/>
      <c r="Z309" s="109"/>
    </row>
    <row r="310" ht="12.75" customHeight="1">
      <c r="A310" s="109"/>
      <c r="B310" s="109"/>
      <c r="C310" s="109"/>
      <c r="D310" s="109"/>
      <c r="E310" s="109"/>
      <c r="F310" s="154"/>
      <c r="G310" s="154"/>
      <c r="H310" s="109"/>
      <c r="I310" s="109"/>
      <c r="J310" s="109"/>
      <c r="K310" s="109"/>
      <c r="L310" s="109"/>
      <c r="M310" s="109"/>
      <c r="N310" s="109"/>
      <c r="O310" s="109"/>
      <c r="P310" s="109"/>
      <c r="Q310" s="109"/>
      <c r="R310" s="109"/>
      <c r="S310" s="109"/>
      <c r="T310" s="109"/>
      <c r="U310" s="109"/>
      <c r="V310" s="109"/>
      <c r="W310" s="109"/>
      <c r="X310" s="109"/>
      <c r="Y310" s="109"/>
      <c r="Z310" s="109"/>
    </row>
    <row r="311" ht="12.75" customHeight="1">
      <c r="A311" s="109"/>
      <c r="B311" s="109"/>
      <c r="C311" s="109"/>
      <c r="D311" s="109"/>
      <c r="E311" s="109"/>
      <c r="F311" s="154"/>
      <c r="G311" s="154"/>
      <c r="H311" s="109"/>
      <c r="I311" s="109"/>
      <c r="J311" s="109"/>
      <c r="K311" s="109"/>
      <c r="L311" s="109"/>
      <c r="M311" s="109"/>
      <c r="N311" s="109"/>
      <c r="O311" s="109"/>
      <c r="P311" s="109"/>
      <c r="Q311" s="109"/>
      <c r="R311" s="109"/>
      <c r="S311" s="109"/>
      <c r="T311" s="109"/>
      <c r="U311" s="109"/>
      <c r="V311" s="109"/>
      <c r="W311" s="109"/>
      <c r="X311" s="109"/>
      <c r="Y311" s="109"/>
      <c r="Z311" s="109"/>
    </row>
    <row r="312" ht="12.75" customHeight="1">
      <c r="A312" s="109"/>
      <c r="B312" s="109"/>
      <c r="C312" s="109"/>
      <c r="D312" s="109"/>
      <c r="E312" s="109"/>
      <c r="F312" s="154"/>
      <c r="G312" s="154"/>
      <c r="H312" s="109"/>
      <c r="I312" s="109"/>
      <c r="J312" s="109"/>
      <c r="K312" s="109"/>
      <c r="L312" s="109"/>
      <c r="M312" s="109"/>
      <c r="N312" s="109"/>
      <c r="O312" s="109"/>
      <c r="P312" s="109"/>
      <c r="Q312" s="109"/>
      <c r="R312" s="109"/>
      <c r="S312" s="109"/>
      <c r="T312" s="109"/>
      <c r="U312" s="109"/>
      <c r="V312" s="109"/>
      <c r="W312" s="109"/>
      <c r="X312" s="109"/>
      <c r="Y312" s="109"/>
      <c r="Z312" s="109"/>
    </row>
    <row r="313" ht="12.75" customHeight="1">
      <c r="A313" s="109"/>
      <c r="B313" s="109"/>
      <c r="C313" s="109"/>
      <c r="D313" s="109"/>
      <c r="E313" s="109"/>
      <c r="F313" s="154"/>
      <c r="G313" s="154"/>
      <c r="H313" s="109"/>
      <c r="I313" s="109"/>
      <c r="J313" s="109"/>
      <c r="K313" s="109"/>
      <c r="L313" s="109"/>
      <c r="M313" s="109"/>
      <c r="N313" s="109"/>
      <c r="O313" s="109"/>
      <c r="P313" s="109"/>
      <c r="Q313" s="109"/>
      <c r="R313" s="109"/>
      <c r="S313" s="109"/>
      <c r="T313" s="109"/>
      <c r="U313" s="109"/>
      <c r="V313" s="109"/>
      <c r="W313" s="109"/>
      <c r="X313" s="109"/>
      <c r="Y313" s="109"/>
      <c r="Z313" s="109"/>
    </row>
    <row r="314" ht="12.75" customHeight="1">
      <c r="A314" s="109"/>
      <c r="B314" s="109"/>
      <c r="C314" s="109"/>
      <c r="D314" s="109"/>
      <c r="E314" s="109"/>
      <c r="F314" s="154"/>
      <c r="G314" s="154"/>
      <c r="H314" s="109"/>
      <c r="I314" s="109"/>
      <c r="J314" s="109"/>
      <c r="K314" s="109"/>
      <c r="L314" s="109"/>
      <c r="M314" s="109"/>
      <c r="N314" s="109"/>
      <c r="O314" s="109"/>
      <c r="P314" s="109"/>
      <c r="Q314" s="109"/>
      <c r="R314" s="109"/>
      <c r="S314" s="109"/>
      <c r="T314" s="109"/>
      <c r="U314" s="109"/>
      <c r="V314" s="109"/>
      <c r="W314" s="109"/>
      <c r="X314" s="109"/>
      <c r="Y314" s="109"/>
      <c r="Z314" s="109"/>
    </row>
    <row r="315" ht="12.75" customHeight="1">
      <c r="A315" s="109"/>
      <c r="B315" s="109"/>
      <c r="C315" s="109"/>
      <c r="D315" s="109"/>
      <c r="E315" s="109"/>
      <c r="F315" s="154"/>
      <c r="G315" s="154"/>
      <c r="H315" s="109"/>
      <c r="I315" s="109"/>
      <c r="J315" s="109"/>
      <c r="K315" s="109"/>
      <c r="L315" s="109"/>
      <c r="M315" s="109"/>
      <c r="N315" s="109"/>
      <c r="O315" s="109"/>
      <c r="P315" s="109"/>
      <c r="Q315" s="109"/>
      <c r="R315" s="109"/>
      <c r="S315" s="109"/>
      <c r="T315" s="109"/>
      <c r="U315" s="109"/>
      <c r="V315" s="109"/>
      <c r="W315" s="109"/>
      <c r="X315" s="109"/>
      <c r="Y315" s="109"/>
      <c r="Z315" s="109"/>
    </row>
    <row r="316" ht="12.75" customHeight="1">
      <c r="A316" s="109"/>
      <c r="B316" s="109"/>
      <c r="C316" s="109"/>
      <c r="D316" s="109"/>
      <c r="E316" s="109"/>
      <c r="F316" s="154"/>
      <c r="G316" s="154"/>
      <c r="H316" s="109"/>
      <c r="I316" s="109"/>
      <c r="J316" s="109"/>
      <c r="K316" s="109"/>
      <c r="L316" s="109"/>
      <c r="M316" s="109"/>
      <c r="N316" s="109"/>
      <c r="O316" s="109"/>
      <c r="P316" s="109"/>
      <c r="Q316" s="109"/>
      <c r="R316" s="109"/>
      <c r="S316" s="109"/>
      <c r="T316" s="109"/>
      <c r="U316" s="109"/>
      <c r="V316" s="109"/>
      <c r="W316" s="109"/>
      <c r="X316" s="109"/>
      <c r="Y316" s="109"/>
      <c r="Z316" s="109"/>
    </row>
    <row r="317" ht="12.75" customHeight="1">
      <c r="A317" s="109"/>
      <c r="B317" s="109"/>
      <c r="C317" s="109"/>
      <c r="D317" s="109"/>
      <c r="E317" s="109"/>
      <c r="F317" s="154"/>
      <c r="G317" s="154"/>
      <c r="H317" s="109"/>
      <c r="I317" s="109"/>
      <c r="J317" s="109"/>
      <c r="K317" s="109"/>
      <c r="L317" s="109"/>
      <c r="M317" s="109"/>
      <c r="N317" s="109"/>
      <c r="O317" s="109"/>
      <c r="P317" s="109"/>
      <c r="Q317" s="109"/>
      <c r="R317" s="109"/>
      <c r="S317" s="109"/>
      <c r="T317" s="109"/>
      <c r="U317" s="109"/>
      <c r="V317" s="109"/>
      <c r="W317" s="109"/>
      <c r="X317" s="109"/>
      <c r="Y317" s="109"/>
      <c r="Z317" s="109"/>
    </row>
    <row r="318" ht="12.75" customHeight="1">
      <c r="A318" s="109"/>
      <c r="B318" s="109"/>
      <c r="C318" s="109"/>
      <c r="D318" s="109"/>
      <c r="E318" s="109"/>
      <c r="F318" s="154"/>
      <c r="G318" s="154"/>
      <c r="H318" s="109"/>
      <c r="I318" s="109"/>
      <c r="J318" s="109"/>
      <c r="K318" s="109"/>
      <c r="L318" s="109"/>
      <c r="M318" s="109"/>
      <c r="N318" s="109"/>
      <c r="O318" s="109"/>
      <c r="P318" s="109"/>
      <c r="Q318" s="109"/>
      <c r="R318" s="109"/>
      <c r="S318" s="109"/>
      <c r="T318" s="109"/>
      <c r="U318" s="109"/>
      <c r="V318" s="109"/>
      <c r="W318" s="109"/>
      <c r="X318" s="109"/>
      <c r="Y318" s="109"/>
      <c r="Z318" s="109"/>
    </row>
    <row r="319" ht="12.75" customHeight="1">
      <c r="A319" s="109"/>
      <c r="B319" s="109"/>
      <c r="C319" s="109"/>
      <c r="D319" s="109"/>
      <c r="E319" s="109"/>
      <c r="F319" s="154"/>
      <c r="G319" s="154"/>
      <c r="H319" s="109"/>
      <c r="I319" s="109"/>
      <c r="J319" s="109"/>
      <c r="K319" s="109"/>
      <c r="L319" s="109"/>
      <c r="M319" s="109"/>
      <c r="N319" s="109"/>
      <c r="O319" s="109"/>
      <c r="P319" s="109"/>
      <c r="Q319" s="109"/>
      <c r="R319" s="109"/>
      <c r="S319" s="109"/>
      <c r="T319" s="109"/>
      <c r="U319" s="109"/>
      <c r="V319" s="109"/>
      <c r="W319" s="109"/>
      <c r="X319" s="109"/>
      <c r="Y319" s="109"/>
      <c r="Z319" s="109"/>
    </row>
    <row r="320" ht="12.75" customHeight="1">
      <c r="A320" s="109"/>
      <c r="B320" s="109"/>
      <c r="C320" s="109"/>
      <c r="D320" s="109"/>
      <c r="E320" s="109"/>
      <c r="F320" s="154"/>
      <c r="G320" s="154"/>
      <c r="H320" s="109"/>
      <c r="I320" s="109"/>
      <c r="J320" s="109"/>
      <c r="K320" s="109"/>
      <c r="L320" s="109"/>
      <c r="M320" s="109"/>
      <c r="N320" s="109"/>
      <c r="O320" s="109"/>
      <c r="P320" s="109"/>
      <c r="Q320" s="109"/>
      <c r="R320" s="109"/>
      <c r="S320" s="109"/>
      <c r="T320" s="109"/>
      <c r="U320" s="109"/>
      <c r="V320" s="109"/>
      <c r="W320" s="109"/>
      <c r="X320" s="109"/>
      <c r="Y320" s="109"/>
      <c r="Z320" s="109"/>
    </row>
    <row r="321" ht="12.75" customHeight="1">
      <c r="A321" s="109"/>
      <c r="B321" s="109"/>
      <c r="C321" s="109"/>
      <c r="D321" s="109"/>
      <c r="E321" s="109"/>
      <c r="F321" s="154"/>
      <c r="G321" s="154"/>
      <c r="H321" s="109"/>
      <c r="I321" s="109"/>
      <c r="J321" s="109"/>
      <c r="K321" s="109"/>
      <c r="L321" s="109"/>
      <c r="M321" s="109"/>
      <c r="N321" s="109"/>
      <c r="O321" s="109"/>
      <c r="P321" s="109"/>
      <c r="Q321" s="109"/>
      <c r="R321" s="109"/>
      <c r="S321" s="109"/>
      <c r="T321" s="109"/>
      <c r="U321" s="109"/>
      <c r="V321" s="109"/>
      <c r="W321" s="109"/>
      <c r="X321" s="109"/>
      <c r="Y321" s="109"/>
      <c r="Z321" s="109"/>
    </row>
    <row r="322" ht="12.75" customHeight="1">
      <c r="A322" s="109"/>
      <c r="B322" s="109"/>
      <c r="C322" s="109"/>
      <c r="D322" s="109"/>
      <c r="E322" s="109"/>
      <c r="F322" s="154"/>
      <c r="G322" s="154"/>
      <c r="H322" s="109"/>
      <c r="I322" s="109"/>
      <c r="J322" s="109"/>
      <c r="K322" s="109"/>
      <c r="L322" s="109"/>
      <c r="M322" s="109"/>
      <c r="N322" s="109"/>
      <c r="O322" s="109"/>
      <c r="P322" s="109"/>
      <c r="Q322" s="109"/>
      <c r="R322" s="109"/>
      <c r="S322" s="109"/>
      <c r="T322" s="109"/>
      <c r="U322" s="109"/>
      <c r="V322" s="109"/>
      <c r="W322" s="109"/>
      <c r="X322" s="109"/>
      <c r="Y322" s="109"/>
      <c r="Z322" s="109"/>
    </row>
    <row r="323" ht="12.75" customHeight="1">
      <c r="A323" s="109"/>
      <c r="B323" s="109"/>
      <c r="C323" s="109"/>
      <c r="D323" s="109"/>
      <c r="E323" s="109"/>
      <c r="F323" s="154"/>
      <c r="G323" s="154"/>
      <c r="H323" s="109"/>
      <c r="I323" s="109"/>
      <c r="J323" s="109"/>
      <c r="K323" s="109"/>
      <c r="L323" s="109"/>
      <c r="M323" s="109"/>
      <c r="N323" s="109"/>
      <c r="O323" s="109"/>
      <c r="P323" s="109"/>
      <c r="Q323" s="109"/>
      <c r="R323" s="109"/>
      <c r="S323" s="109"/>
      <c r="T323" s="109"/>
      <c r="U323" s="109"/>
      <c r="V323" s="109"/>
      <c r="W323" s="109"/>
      <c r="X323" s="109"/>
      <c r="Y323" s="109"/>
      <c r="Z323" s="109"/>
    </row>
    <row r="324" ht="12.75" customHeight="1">
      <c r="A324" s="109"/>
      <c r="B324" s="109"/>
      <c r="C324" s="109"/>
      <c r="D324" s="109"/>
      <c r="E324" s="109"/>
      <c r="F324" s="154"/>
      <c r="G324" s="154"/>
      <c r="H324" s="109"/>
      <c r="I324" s="109"/>
      <c r="J324" s="109"/>
      <c r="K324" s="109"/>
      <c r="L324" s="109"/>
      <c r="M324" s="109"/>
      <c r="N324" s="109"/>
      <c r="O324" s="109"/>
      <c r="P324" s="109"/>
      <c r="Q324" s="109"/>
      <c r="R324" s="109"/>
      <c r="S324" s="109"/>
      <c r="T324" s="109"/>
      <c r="U324" s="109"/>
      <c r="V324" s="109"/>
      <c r="W324" s="109"/>
      <c r="X324" s="109"/>
      <c r="Y324" s="109"/>
      <c r="Z324" s="109"/>
    </row>
    <row r="325" ht="12.75" customHeight="1">
      <c r="A325" s="109"/>
      <c r="B325" s="109"/>
      <c r="C325" s="109"/>
      <c r="D325" s="109"/>
      <c r="E325" s="109"/>
      <c r="F325" s="154"/>
      <c r="G325" s="154"/>
      <c r="H325" s="109"/>
      <c r="I325" s="109"/>
      <c r="J325" s="109"/>
      <c r="K325" s="109"/>
      <c r="L325" s="109"/>
      <c r="M325" s="109"/>
      <c r="N325" s="109"/>
      <c r="O325" s="109"/>
      <c r="P325" s="109"/>
      <c r="Q325" s="109"/>
      <c r="R325" s="109"/>
      <c r="S325" s="109"/>
      <c r="T325" s="109"/>
      <c r="U325" s="109"/>
      <c r="V325" s="109"/>
      <c r="W325" s="109"/>
      <c r="X325" s="109"/>
      <c r="Y325" s="109"/>
      <c r="Z325" s="109"/>
    </row>
    <row r="326" ht="12.75" customHeight="1">
      <c r="A326" s="109"/>
      <c r="B326" s="109"/>
      <c r="C326" s="109"/>
      <c r="D326" s="109"/>
      <c r="E326" s="109"/>
      <c r="F326" s="154"/>
      <c r="G326" s="154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</row>
    <row r="327" ht="12.75" customHeight="1">
      <c r="A327" s="109"/>
      <c r="B327" s="109"/>
      <c r="C327" s="109"/>
      <c r="D327" s="109"/>
      <c r="E327" s="109"/>
      <c r="F327" s="154"/>
      <c r="G327" s="154"/>
      <c r="H327" s="109"/>
      <c r="I327" s="109"/>
      <c r="J327" s="109"/>
      <c r="K327" s="109"/>
      <c r="L327" s="109"/>
      <c r="M327" s="109"/>
      <c r="N327" s="109"/>
      <c r="O327" s="109"/>
      <c r="P327" s="109"/>
      <c r="Q327" s="109"/>
      <c r="R327" s="109"/>
      <c r="S327" s="109"/>
      <c r="T327" s="109"/>
      <c r="U327" s="109"/>
      <c r="V327" s="109"/>
      <c r="W327" s="109"/>
      <c r="X327" s="109"/>
      <c r="Y327" s="109"/>
      <c r="Z327" s="109"/>
    </row>
    <row r="328" ht="12.75" customHeight="1">
      <c r="A328" s="109"/>
      <c r="B328" s="109"/>
      <c r="C328" s="109"/>
      <c r="D328" s="109"/>
      <c r="E328" s="109"/>
      <c r="F328" s="154"/>
      <c r="G328" s="154"/>
      <c r="H328" s="109"/>
      <c r="I328" s="109"/>
      <c r="J328" s="109"/>
      <c r="K328" s="109"/>
      <c r="L328" s="109"/>
      <c r="M328" s="109"/>
      <c r="N328" s="109"/>
      <c r="O328" s="109"/>
      <c r="P328" s="109"/>
      <c r="Q328" s="109"/>
      <c r="R328" s="109"/>
      <c r="S328" s="109"/>
      <c r="T328" s="109"/>
      <c r="U328" s="109"/>
      <c r="V328" s="109"/>
      <c r="W328" s="109"/>
      <c r="X328" s="109"/>
      <c r="Y328" s="109"/>
      <c r="Z328" s="109"/>
    </row>
    <row r="329" ht="12.75" customHeight="1">
      <c r="A329" s="109"/>
      <c r="B329" s="109"/>
      <c r="C329" s="109"/>
      <c r="D329" s="109"/>
      <c r="E329" s="109"/>
      <c r="F329" s="154"/>
      <c r="G329" s="154"/>
      <c r="H329" s="109"/>
      <c r="I329" s="109"/>
      <c r="J329" s="109"/>
      <c r="K329" s="109"/>
      <c r="L329" s="109"/>
      <c r="M329" s="109"/>
      <c r="N329" s="109"/>
      <c r="O329" s="109"/>
      <c r="P329" s="109"/>
      <c r="Q329" s="109"/>
      <c r="R329" s="109"/>
      <c r="S329" s="109"/>
      <c r="T329" s="109"/>
      <c r="U329" s="109"/>
      <c r="V329" s="109"/>
      <c r="W329" s="109"/>
      <c r="X329" s="109"/>
      <c r="Y329" s="109"/>
      <c r="Z329" s="109"/>
    </row>
    <row r="330" ht="12.75" customHeight="1">
      <c r="A330" s="109"/>
      <c r="B330" s="109"/>
      <c r="C330" s="109"/>
      <c r="D330" s="109"/>
      <c r="E330" s="109"/>
      <c r="F330" s="154"/>
      <c r="G330" s="154"/>
      <c r="H330" s="109"/>
      <c r="I330" s="109"/>
      <c r="J330" s="109"/>
      <c r="K330" s="109"/>
      <c r="L330" s="109"/>
      <c r="M330" s="109"/>
      <c r="N330" s="109"/>
      <c r="O330" s="109"/>
      <c r="P330" s="109"/>
      <c r="Q330" s="109"/>
      <c r="R330" s="109"/>
      <c r="S330" s="109"/>
      <c r="T330" s="109"/>
      <c r="U330" s="109"/>
      <c r="V330" s="109"/>
      <c r="W330" s="109"/>
      <c r="X330" s="109"/>
      <c r="Y330" s="109"/>
      <c r="Z330" s="109"/>
    </row>
    <row r="331" ht="12.75" customHeight="1">
      <c r="A331" s="109"/>
      <c r="B331" s="109"/>
      <c r="C331" s="109"/>
      <c r="D331" s="109"/>
      <c r="E331" s="109"/>
      <c r="F331" s="154"/>
      <c r="G331" s="154"/>
      <c r="H331" s="109"/>
      <c r="I331" s="109"/>
      <c r="J331" s="109"/>
      <c r="K331" s="109"/>
      <c r="L331" s="109"/>
      <c r="M331" s="109"/>
      <c r="N331" s="109"/>
      <c r="O331" s="109"/>
      <c r="P331" s="109"/>
      <c r="Q331" s="109"/>
      <c r="R331" s="109"/>
      <c r="S331" s="109"/>
      <c r="T331" s="109"/>
      <c r="U331" s="109"/>
      <c r="V331" s="109"/>
      <c r="W331" s="109"/>
      <c r="X331" s="109"/>
      <c r="Y331" s="109"/>
      <c r="Z331" s="109"/>
    </row>
    <row r="332" ht="12.75" customHeight="1">
      <c r="A332" s="109"/>
      <c r="B332" s="109"/>
      <c r="C332" s="109"/>
      <c r="D332" s="109"/>
      <c r="E332" s="109"/>
      <c r="F332" s="154"/>
      <c r="G332" s="154"/>
      <c r="H332" s="109"/>
      <c r="I332" s="109"/>
      <c r="J332" s="109"/>
      <c r="K332" s="109"/>
      <c r="L332" s="109"/>
      <c r="M332" s="109"/>
      <c r="N332" s="109"/>
      <c r="O332" s="109"/>
      <c r="P332" s="109"/>
      <c r="Q332" s="109"/>
      <c r="R332" s="109"/>
      <c r="S332" s="109"/>
      <c r="T332" s="109"/>
      <c r="U332" s="109"/>
      <c r="V332" s="109"/>
      <c r="W332" s="109"/>
      <c r="X332" s="109"/>
      <c r="Y332" s="109"/>
      <c r="Z332" s="109"/>
    </row>
    <row r="333" ht="12.75" customHeight="1">
      <c r="A333" s="109"/>
      <c r="B333" s="109"/>
      <c r="C333" s="109"/>
      <c r="D333" s="109"/>
      <c r="E333" s="109"/>
      <c r="F333" s="154"/>
      <c r="G333" s="154"/>
      <c r="H333" s="109"/>
      <c r="I333" s="109"/>
      <c r="J333" s="109"/>
      <c r="K333" s="109"/>
      <c r="L333" s="109"/>
      <c r="M333" s="109"/>
      <c r="N333" s="109"/>
      <c r="O333" s="109"/>
      <c r="P333" s="109"/>
      <c r="Q333" s="109"/>
      <c r="R333" s="109"/>
      <c r="S333" s="109"/>
      <c r="T333" s="109"/>
      <c r="U333" s="109"/>
      <c r="V333" s="109"/>
      <c r="W333" s="109"/>
      <c r="X333" s="109"/>
      <c r="Y333" s="109"/>
      <c r="Z333" s="109"/>
    </row>
    <row r="334" ht="12.75" customHeight="1">
      <c r="A334" s="109"/>
      <c r="B334" s="109"/>
      <c r="C334" s="109"/>
      <c r="D334" s="109"/>
      <c r="E334" s="109"/>
      <c r="F334" s="154"/>
      <c r="G334" s="154"/>
      <c r="H334" s="109"/>
      <c r="I334" s="109"/>
      <c r="J334" s="109"/>
      <c r="K334" s="109"/>
      <c r="L334" s="109"/>
      <c r="M334" s="109"/>
      <c r="N334" s="109"/>
      <c r="O334" s="109"/>
      <c r="P334" s="109"/>
      <c r="Q334" s="109"/>
      <c r="R334" s="109"/>
      <c r="S334" s="109"/>
      <c r="T334" s="109"/>
      <c r="U334" s="109"/>
      <c r="V334" s="109"/>
      <c r="W334" s="109"/>
      <c r="X334" s="109"/>
      <c r="Y334" s="109"/>
      <c r="Z334" s="109"/>
    </row>
    <row r="335" ht="12.75" customHeight="1">
      <c r="A335" s="109"/>
      <c r="B335" s="109"/>
      <c r="C335" s="109"/>
      <c r="D335" s="109"/>
      <c r="E335" s="109"/>
      <c r="F335" s="154"/>
      <c r="G335" s="154"/>
      <c r="H335" s="109"/>
      <c r="I335" s="109"/>
      <c r="J335" s="109"/>
      <c r="K335" s="109"/>
      <c r="L335" s="109"/>
      <c r="M335" s="109"/>
      <c r="N335" s="109"/>
      <c r="O335" s="109"/>
      <c r="P335" s="109"/>
      <c r="Q335" s="109"/>
      <c r="R335" s="109"/>
      <c r="S335" s="109"/>
      <c r="T335" s="109"/>
      <c r="U335" s="109"/>
      <c r="V335" s="109"/>
      <c r="W335" s="109"/>
      <c r="X335" s="109"/>
      <c r="Y335" s="109"/>
      <c r="Z335" s="109"/>
    </row>
    <row r="336" ht="12.75" customHeight="1">
      <c r="A336" s="109"/>
      <c r="B336" s="109"/>
      <c r="C336" s="109"/>
      <c r="D336" s="109"/>
      <c r="E336" s="109"/>
      <c r="F336" s="154"/>
      <c r="G336" s="154"/>
      <c r="H336" s="109"/>
      <c r="I336" s="109"/>
      <c r="J336" s="109"/>
      <c r="K336" s="109"/>
      <c r="L336" s="109"/>
      <c r="M336" s="109"/>
      <c r="N336" s="109"/>
      <c r="O336" s="109"/>
      <c r="P336" s="109"/>
      <c r="Q336" s="109"/>
      <c r="R336" s="109"/>
      <c r="S336" s="109"/>
      <c r="T336" s="109"/>
      <c r="U336" s="109"/>
      <c r="V336" s="109"/>
      <c r="W336" s="109"/>
      <c r="X336" s="109"/>
      <c r="Y336" s="109"/>
      <c r="Z336" s="109"/>
    </row>
    <row r="337" ht="12.75" customHeight="1">
      <c r="A337" s="109"/>
      <c r="B337" s="109"/>
      <c r="C337" s="109"/>
      <c r="D337" s="109"/>
      <c r="E337" s="109"/>
      <c r="F337" s="154"/>
      <c r="G337" s="154"/>
      <c r="H337" s="109"/>
      <c r="I337" s="109"/>
      <c r="J337" s="109"/>
      <c r="K337" s="109"/>
      <c r="L337" s="109"/>
      <c r="M337" s="109"/>
      <c r="N337" s="109"/>
      <c r="O337" s="109"/>
      <c r="P337" s="109"/>
      <c r="Q337" s="109"/>
      <c r="R337" s="109"/>
      <c r="S337" s="109"/>
      <c r="T337" s="109"/>
      <c r="U337" s="109"/>
      <c r="V337" s="109"/>
      <c r="W337" s="109"/>
      <c r="X337" s="109"/>
      <c r="Y337" s="109"/>
      <c r="Z337" s="109"/>
    </row>
    <row r="338" ht="12.75" customHeight="1">
      <c r="A338" s="109"/>
      <c r="B338" s="109"/>
      <c r="C338" s="109"/>
      <c r="D338" s="109"/>
      <c r="E338" s="109"/>
      <c r="F338" s="154"/>
      <c r="G338" s="154"/>
      <c r="H338" s="109"/>
      <c r="I338" s="109"/>
      <c r="J338" s="109"/>
      <c r="K338" s="109"/>
      <c r="L338" s="109"/>
      <c r="M338" s="109"/>
      <c r="N338" s="109"/>
      <c r="O338" s="109"/>
      <c r="P338" s="109"/>
      <c r="Q338" s="109"/>
      <c r="R338" s="109"/>
      <c r="S338" s="109"/>
      <c r="T338" s="109"/>
      <c r="U338" s="109"/>
      <c r="V338" s="109"/>
      <c r="W338" s="109"/>
      <c r="X338" s="109"/>
      <c r="Y338" s="109"/>
      <c r="Z338" s="109"/>
    </row>
    <row r="339" ht="12.75" customHeight="1">
      <c r="A339" s="109"/>
      <c r="B339" s="109"/>
      <c r="C339" s="109"/>
      <c r="D339" s="109"/>
      <c r="E339" s="109"/>
      <c r="F339" s="154"/>
      <c r="G339" s="154"/>
      <c r="H339" s="109"/>
      <c r="I339" s="109"/>
      <c r="J339" s="109"/>
      <c r="K339" s="109"/>
      <c r="L339" s="109"/>
      <c r="M339" s="109"/>
      <c r="N339" s="109"/>
      <c r="O339" s="109"/>
      <c r="P339" s="109"/>
      <c r="Q339" s="109"/>
      <c r="R339" s="109"/>
      <c r="S339" s="109"/>
      <c r="T339" s="109"/>
      <c r="U339" s="109"/>
      <c r="V339" s="109"/>
      <c r="W339" s="109"/>
      <c r="X339" s="109"/>
      <c r="Y339" s="109"/>
      <c r="Z339" s="109"/>
    </row>
    <row r="340" ht="12.75" customHeight="1">
      <c r="A340" s="109"/>
      <c r="B340" s="109"/>
      <c r="C340" s="109"/>
      <c r="D340" s="109"/>
      <c r="E340" s="109"/>
      <c r="F340" s="154"/>
      <c r="G340" s="154"/>
      <c r="H340" s="109"/>
      <c r="I340" s="109"/>
      <c r="J340" s="109"/>
      <c r="K340" s="109"/>
      <c r="L340" s="109"/>
      <c r="M340" s="109"/>
      <c r="N340" s="109"/>
      <c r="O340" s="109"/>
      <c r="P340" s="109"/>
      <c r="Q340" s="109"/>
      <c r="R340" s="109"/>
      <c r="S340" s="109"/>
      <c r="T340" s="109"/>
      <c r="U340" s="109"/>
      <c r="V340" s="109"/>
      <c r="W340" s="109"/>
      <c r="X340" s="109"/>
      <c r="Y340" s="109"/>
      <c r="Z340" s="109"/>
    </row>
    <row r="341" ht="12.75" customHeight="1">
      <c r="A341" s="109"/>
      <c r="B341" s="109"/>
      <c r="C341" s="109"/>
      <c r="D341" s="109"/>
      <c r="E341" s="109"/>
      <c r="F341" s="154"/>
      <c r="G341" s="154"/>
      <c r="H341" s="109"/>
      <c r="I341" s="109"/>
      <c r="J341" s="109"/>
      <c r="K341" s="109"/>
      <c r="L341" s="109"/>
      <c r="M341" s="109"/>
      <c r="N341" s="109"/>
      <c r="O341" s="109"/>
      <c r="P341" s="109"/>
      <c r="Q341" s="109"/>
      <c r="R341" s="109"/>
      <c r="S341" s="109"/>
      <c r="T341" s="109"/>
      <c r="U341" s="109"/>
      <c r="V341" s="109"/>
      <c r="W341" s="109"/>
      <c r="X341" s="109"/>
      <c r="Y341" s="109"/>
      <c r="Z341" s="109"/>
    </row>
    <row r="342" ht="12.75" customHeight="1">
      <c r="A342" s="109"/>
      <c r="B342" s="109"/>
      <c r="C342" s="109"/>
      <c r="D342" s="109"/>
      <c r="E342" s="109"/>
      <c r="F342" s="154"/>
      <c r="G342" s="154"/>
      <c r="H342" s="109"/>
      <c r="I342" s="109"/>
      <c r="J342" s="109"/>
      <c r="K342" s="109"/>
      <c r="L342" s="109"/>
      <c r="M342" s="109"/>
      <c r="N342" s="109"/>
      <c r="O342" s="109"/>
      <c r="P342" s="109"/>
      <c r="Q342" s="109"/>
      <c r="R342" s="109"/>
      <c r="S342" s="109"/>
      <c r="T342" s="109"/>
      <c r="U342" s="109"/>
      <c r="V342" s="109"/>
      <c r="W342" s="109"/>
      <c r="X342" s="109"/>
      <c r="Y342" s="109"/>
      <c r="Z342" s="109"/>
    </row>
    <row r="343" ht="12.75" customHeight="1">
      <c r="A343" s="109"/>
      <c r="B343" s="109"/>
      <c r="C343" s="109"/>
      <c r="D343" s="109"/>
      <c r="E343" s="109"/>
      <c r="F343" s="154"/>
      <c r="G343" s="154"/>
      <c r="H343" s="109"/>
      <c r="I343" s="109"/>
      <c r="J343" s="109"/>
      <c r="K343" s="109"/>
      <c r="L343" s="109"/>
      <c r="M343" s="109"/>
      <c r="N343" s="109"/>
      <c r="O343" s="109"/>
      <c r="P343" s="109"/>
      <c r="Q343" s="109"/>
      <c r="R343" s="109"/>
      <c r="S343" s="109"/>
      <c r="T343" s="109"/>
      <c r="U343" s="109"/>
      <c r="V343" s="109"/>
      <c r="W343" s="109"/>
      <c r="X343" s="109"/>
      <c r="Y343" s="109"/>
      <c r="Z343" s="109"/>
    </row>
    <row r="344" ht="12.75" customHeight="1">
      <c r="A344" s="109"/>
      <c r="B344" s="109"/>
      <c r="C344" s="109"/>
      <c r="D344" s="109"/>
      <c r="E344" s="109"/>
      <c r="F344" s="154"/>
      <c r="G344" s="154"/>
      <c r="H344" s="109"/>
      <c r="I344" s="109"/>
      <c r="J344" s="109"/>
      <c r="K344" s="109"/>
      <c r="L344" s="109"/>
      <c r="M344" s="109"/>
      <c r="N344" s="109"/>
      <c r="O344" s="109"/>
      <c r="P344" s="109"/>
      <c r="Q344" s="109"/>
      <c r="R344" s="109"/>
      <c r="S344" s="109"/>
      <c r="T344" s="109"/>
      <c r="U344" s="109"/>
      <c r="V344" s="109"/>
      <c r="W344" s="109"/>
      <c r="X344" s="109"/>
      <c r="Y344" s="109"/>
      <c r="Z344" s="109"/>
    </row>
    <row r="345" ht="12.75" customHeight="1">
      <c r="A345" s="109"/>
      <c r="B345" s="109"/>
      <c r="C345" s="109"/>
      <c r="D345" s="109"/>
      <c r="E345" s="109"/>
      <c r="F345" s="154"/>
      <c r="G345" s="154"/>
      <c r="H345" s="109"/>
      <c r="I345" s="109"/>
      <c r="J345" s="109"/>
      <c r="K345" s="109"/>
      <c r="L345" s="109"/>
      <c r="M345" s="109"/>
      <c r="N345" s="109"/>
      <c r="O345" s="109"/>
      <c r="P345" s="109"/>
      <c r="Q345" s="109"/>
      <c r="R345" s="109"/>
      <c r="S345" s="109"/>
      <c r="T345" s="109"/>
      <c r="U345" s="109"/>
      <c r="V345" s="109"/>
      <c r="W345" s="109"/>
      <c r="X345" s="109"/>
      <c r="Y345" s="109"/>
      <c r="Z345" s="109"/>
    </row>
    <row r="346" ht="12.75" customHeight="1">
      <c r="A346" s="109"/>
      <c r="B346" s="109"/>
      <c r="C346" s="109"/>
      <c r="D346" s="109"/>
      <c r="E346" s="109"/>
      <c r="F346" s="154"/>
      <c r="G346" s="154"/>
      <c r="H346" s="109"/>
      <c r="I346" s="109"/>
      <c r="J346" s="109"/>
      <c r="K346" s="109"/>
      <c r="L346" s="109"/>
      <c r="M346" s="109"/>
      <c r="N346" s="109"/>
      <c r="O346" s="109"/>
      <c r="P346" s="109"/>
      <c r="Q346" s="109"/>
      <c r="R346" s="109"/>
      <c r="S346" s="109"/>
      <c r="T346" s="109"/>
      <c r="U346" s="109"/>
      <c r="V346" s="109"/>
      <c r="W346" s="109"/>
      <c r="X346" s="109"/>
      <c r="Y346" s="109"/>
      <c r="Z346" s="109"/>
    </row>
    <row r="347" ht="12.75" customHeight="1">
      <c r="A347" s="109"/>
      <c r="B347" s="109"/>
      <c r="C347" s="109"/>
      <c r="D347" s="109"/>
      <c r="E347" s="109"/>
      <c r="F347" s="154"/>
      <c r="G347" s="154"/>
      <c r="H347" s="109"/>
      <c r="I347" s="109"/>
      <c r="J347" s="109"/>
      <c r="K347" s="109"/>
      <c r="L347" s="109"/>
      <c r="M347" s="109"/>
      <c r="N347" s="109"/>
      <c r="O347" s="109"/>
      <c r="P347" s="109"/>
      <c r="Q347" s="109"/>
      <c r="R347" s="109"/>
      <c r="S347" s="109"/>
      <c r="T347" s="109"/>
      <c r="U347" s="109"/>
      <c r="V347" s="109"/>
      <c r="W347" s="109"/>
      <c r="X347" s="109"/>
      <c r="Y347" s="109"/>
      <c r="Z347" s="109"/>
    </row>
    <row r="348" ht="12.75" customHeight="1">
      <c r="A348" s="109"/>
      <c r="B348" s="109"/>
      <c r="C348" s="109"/>
      <c r="D348" s="109"/>
      <c r="E348" s="109"/>
      <c r="F348" s="154"/>
      <c r="G348" s="154"/>
      <c r="H348" s="109"/>
      <c r="I348" s="109"/>
      <c r="J348" s="109"/>
      <c r="K348" s="109"/>
      <c r="L348" s="109"/>
      <c r="M348" s="109"/>
      <c r="N348" s="109"/>
      <c r="O348" s="109"/>
      <c r="P348" s="109"/>
      <c r="Q348" s="109"/>
      <c r="R348" s="109"/>
      <c r="S348" s="109"/>
      <c r="T348" s="109"/>
      <c r="U348" s="109"/>
      <c r="V348" s="109"/>
      <c r="W348" s="109"/>
      <c r="X348" s="109"/>
      <c r="Y348" s="109"/>
      <c r="Z348" s="109"/>
    </row>
    <row r="349" ht="12.75" customHeight="1">
      <c r="A349" s="109"/>
      <c r="B349" s="109"/>
      <c r="C349" s="109"/>
      <c r="D349" s="109"/>
      <c r="E349" s="109"/>
      <c r="F349" s="154"/>
      <c r="G349" s="154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</row>
    <row r="350" ht="12.75" customHeight="1">
      <c r="A350" s="109"/>
      <c r="B350" s="109"/>
      <c r="C350" s="109"/>
      <c r="D350" s="109"/>
      <c r="E350" s="109"/>
      <c r="F350" s="154"/>
      <c r="G350" s="154"/>
      <c r="H350" s="109"/>
      <c r="I350" s="109"/>
      <c r="J350" s="109"/>
      <c r="K350" s="109"/>
      <c r="L350" s="109"/>
      <c r="M350" s="109"/>
      <c r="N350" s="109"/>
      <c r="O350" s="109"/>
      <c r="P350" s="109"/>
      <c r="Q350" s="109"/>
      <c r="R350" s="109"/>
      <c r="S350" s="109"/>
      <c r="T350" s="109"/>
      <c r="U350" s="109"/>
      <c r="V350" s="109"/>
      <c r="W350" s="109"/>
      <c r="X350" s="109"/>
      <c r="Y350" s="109"/>
      <c r="Z350" s="109"/>
    </row>
    <row r="351" ht="12.75" customHeight="1">
      <c r="A351" s="109"/>
      <c r="B351" s="109"/>
      <c r="C351" s="109"/>
      <c r="D351" s="109"/>
      <c r="E351" s="109"/>
      <c r="F351" s="154"/>
      <c r="G351" s="154"/>
      <c r="H351" s="109"/>
      <c r="I351" s="109"/>
      <c r="J351" s="109"/>
      <c r="K351" s="109"/>
      <c r="L351" s="109"/>
      <c r="M351" s="109"/>
      <c r="N351" s="109"/>
      <c r="O351" s="109"/>
      <c r="P351" s="109"/>
      <c r="Q351" s="109"/>
      <c r="R351" s="109"/>
      <c r="S351" s="109"/>
      <c r="T351" s="109"/>
      <c r="U351" s="109"/>
      <c r="V351" s="109"/>
      <c r="W351" s="109"/>
      <c r="X351" s="109"/>
      <c r="Y351" s="109"/>
      <c r="Z351" s="109"/>
    </row>
    <row r="352" ht="12.75" customHeight="1">
      <c r="A352" s="109"/>
      <c r="B352" s="109"/>
      <c r="C352" s="109"/>
      <c r="D352" s="109"/>
      <c r="E352" s="109"/>
      <c r="F352" s="154"/>
      <c r="G352" s="154"/>
      <c r="H352" s="109"/>
      <c r="I352" s="109"/>
      <c r="J352" s="109"/>
      <c r="K352" s="109"/>
      <c r="L352" s="109"/>
      <c r="M352" s="109"/>
      <c r="N352" s="109"/>
      <c r="O352" s="109"/>
      <c r="P352" s="109"/>
      <c r="Q352" s="109"/>
      <c r="R352" s="109"/>
      <c r="S352" s="109"/>
      <c r="T352" s="109"/>
      <c r="U352" s="109"/>
      <c r="V352" s="109"/>
      <c r="W352" s="109"/>
      <c r="X352" s="109"/>
      <c r="Y352" s="109"/>
      <c r="Z352" s="109"/>
    </row>
    <row r="353" ht="12.75" customHeight="1">
      <c r="A353" s="109"/>
      <c r="B353" s="109"/>
      <c r="C353" s="109"/>
      <c r="D353" s="109"/>
      <c r="E353" s="109"/>
      <c r="F353" s="154"/>
      <c r="G353" s="154"/>
      <c r="H353" s="109"/>
      <c r="I353" s="109"/>
      <c r="J353" s="109"/>
      <c r="K353" s="109"/>
      <c r="L353" s="109"/>
      <c r="M353" s="109"/>
      <c r="N353" s="109"/>
      <c r="O353" s="109"/>
      <c r="P353" s="109"/>
      <c r="Q353" s="109"/>
      <c r="R353" s="109"/>
      <c r="S353" s="109"/>
      <c r="T353" s="109"/>
      <c r="U353" s="109"/>
      <c r="V353" s="109"/>
      <c r="W353" s="109"/>
      <c r="X353" s="109"/>
      <c r="Y353" s="109"/>
      <c r="Z353" s="109"/>
    </row>
    <row r="354" ht="12.75" customHeight="1">
      <c r="A354" s="109"/>
      <c r="B354" s="109"/>
      <c r="C354" s="109"/>
      <c r="D354" s="109"/>
      <c r="E354" s="109"/>
      <c r="F354" s="154"/>
      <c r="G354" s="154"/>
      <c r="H354" s="109"/>
      <c r="I354" s="109"/>
      <c r="J354" s="109"/>
      <c r="K354" s="109"/>
      <c r="L354" s="109"/>
      <c r="M354" s="109"/>
      <c r="N354" s="109"/>
      <c r="O354" s="109"/>
      <c r="P354" s="109"/>
      <c r="Q354" s="109"/>
      <c r="R354" s="109"/>
      <c r="S354" s="109"/>
      <c r="T354" s="109"/>
      <c r="U354" s="109"/>
      <c r="V354" s="109"/>
      <c r="W354" s="109"/>
      <c r="X354" s="109"/>
      <c r="Y354" s="109"/>
      <c r="Z354" s="109"/>
    </row>
    <row r="355" ht="12.75" customHeight="1">
      <c r="A355" s="109"/>
      <c r="B355" s="109"/>
      <c r="C355" s="109"/>
      <c r="D355" s="109"/>
      <c r="E355" s="109"/>
      <c r="F355" s="154"/>
      <c r="G355" s="154"/>
      <c r="H355" s="109"/>
      <c r="I355" s="109"/>
      <c r="J355" s="109"/>
      <c r="K355" s="109"/>
      <c r="L355" s="109"/>
      <c r="M355" s="109"/>
      <c r="N355" s="109"/>
      <c r="O355" s="109"/>
      <c r="P355" s="109"/>
      <c r="Q355" s="109"/>
      <c r="R355" s="109"/>
      <c r="S355" s="109"/>
      <c r="T355" s="109"/>
      <c r="U355" s="109"/>
      <c r="V355" s="109"/>
      <c r="W355" s="109"/>
      <c r="X355" s="109"/>
      <c r="Y355" s="109"/>
      <c r="Z355" s="109"/>
    </row>
    <row r="356" ht="12.75" customHeight="1">
      <c r="A356" s="109"/>
      <c r="B356" s="109"/>
      <c r="C356" s="109"/>
      <c r="D356" s="109"/>
      <c r="E356" s="109"/>
      <c r="F356" s="154"/>
      <c r="G356" s="154"/>
      <c r="H356" s="109"/>
      <c r="I356" s="109"/>
      <c r="J356" s="109"/>
      <c r="K356" s="109"/>
      <c r="L356" s="109"/>
      <c r="M356" s="109"/>
      <c r="N356" s="109"/>
      <c r="O356" s="109"/>
      <c r="P356" s="109"/>
      <c r="Q356" s="109"/>
      <c r="R356" s="109"/>
      <c r="S356" s="109"/>
      <c r="T356" s="109"/>
      <c r="U356" s="109"/>
      <c r="V356" s="109"/>
      <c r="W356" s="109"/>
      <c r="X356" s="109"/>
      <c r="Y356" s="109"/>
      <c r="Z356" s="109"/>
    </row>
    <row r="357" ht="12.75" customHeight="1">
      <c r="A357" s="109"/>
      <c r="B357" s="109"/>
      <c r="C357" s="109"/>
      <c r="D357" s="109"/>
      <c r="E357" s="109"/>
      <c r="F357" s="154"/>
      <c r="G357" s="154"/>
      <c r="H357" s="109"/>
      <c r="I357" s="109"/>
      <c r="J357" s="109"/>
      <c r="K357" s="109"/>
      <c r="L357" s="109"/>
      <c r="M357" s="109"/>
      <c r="N357" s="109"/>
      <c r="O357" s="109"/>
      <c r="P357" s="109"/>
      <c r="Q357" s="109"/>
      <c r="R357" s="109"/>
      <c r="S357" s="109"/>
      <c r="T357" s="109"/>
      <c r="U357" s="109"/>
      <c r="V357" s="109"/>
      <c r="W357" s="109"/>
      <c r="X357" s="109"/>
      <c r="Y357" s="109"/>
      <c r="Z357" s="109"/>
    </row>
    <row r="358" ht="12.75" customHeight="1">
      <c r="A358" s="109"/>
      <c r="B358" s="109"/>
      <c r="C358" s="109"/>
      <c r="D358" s="109"/>
      <c r="E358" s="109"/>
      <c r="F358" s="154"/>
      <c r="G358" s="154"/>
      <c r="H358" s="109"/>
      <c r="I358" s="109"/>
      <c r="J358" s="109"/>
      <c r="K358" s="109"/>
      <c r="L358" s="109"/>
      <c r="M358" s="109"/>
      <c r="N358" s="109"/>
      <c r="O358" s="109"/>
      <c r="P358" s="109"/>
      <c r="Q358" s="109"/>
      <c r="R358" s="109"/>
      <c r="S358" s="109"/>
      <c r="T358" s="109"/>
      <c r="U358" s="109"/>
      <c r="V358" s="109"/>
      <c r="W358" s="109"/>
      <c r="X358" s="109"/>
      <c r="Y358" s="109"/>
      <c r="Z358" s="109"/>
    </row>
    <row r="359" ht="12.75" customHeight="1">
      <c r="A359" s="109"/>
      <c r="B359" s="109"/>
      <c r="C359" s="109"/>
      <c r="D359" s="109"/>
      <c r="E359" s="109"/>
      <c r="F359" s="154"/>
      <c r="G359" s="154"/>
      <c r="H359" s="109"/>
      <c r="I359" s="109"/>
      <c r="J359" s="109"/>
      <c r="K359" s="109"/>
      <c r="L359" s="109"/>
      <c r="M359" s="109"/>
      <c r="N359" s="109"/>
      <c r="O359" s="109"/>
      <c r="P359" s="109"/>
      <c r="Q359" s="109"/>
      <c r="R359" s="109"/>
      <c r="S359" s="109"/>
      <c r="T359" s="109"/>
      <c r="U359" s="109"/>
      <c r="V359" s="109"/>
      <c r="W359" s="109"/>
      <c r="X359" s="109"/>
      <c r="Y359" s="109"/>
      <c r="Z359" s="109"/>
    </row>
    <row r="360" ht="12.75" customHeight="1">
      <c r="A360" s="109"/>
      <c r="B360" s="109"/>
      <c r="C360" s="109"/>
      <c r="D360" s="109"/>
      <c r="E360" s="109"/>
      <c r="F360" s="154"/>
      <c r="G360" s="154"/>
      <c r="H360" s="109"/>
      <c r="I360" s="109"/>
      <c r="J360" s="109"/>
      <c r="K360" s="109"/>
      <c r="L360" s="109"/>
      <c r="M360" s="109"/>
      <c r="N360" s="109"/>
      <c r="O360" s="109"/>
      <c r="P360" s="109"/>
      <c r="Q360" s="109"/>
      <c r="R360" s="109"/>
      <c r="S360" s="109"/>
      <c r="T360" s="109"/>
      <c r="U360" s="109"/>
      <c r="V360" s="109"/>
      <c r="W360" s="109"/>
      <c r="X360" s="109"/>
      <c r="Y360" s="109"/>
      <c r="Z360" s="109"/>
    </row>
    <row r="361" ht="12.75" customHeight="1">
      <c r="A361" s="109"/>
      <c r="B361" s="109"/>
      <c r="C361" s="109"/>
      <c r="D361" s="109"/>
      <c r="E361" s="109"/>
      <c r="F361" s="154"/>
      <c r="G361" s="154"/>
      <c r="H361" s="109"/>
      <c r="I361" s="109"/>
      <c r="J361" s="109"/>
      <c r="K361" s="109"/>
      <c r="L361" s="109"/>
      <c r="M361" s="109"/>
      <c r="N361" s="109"/>
      <c r="O361" s="109"/>
      <c r="P361" s="109"/>
      <c r="Q361" s="109"/>
      <c r="R361" s="109"/>
      <c r="S361" s="109"/>
      <c r="T361" s="109"/>
      <c r="U361" s="109"/>
      <c r="V361" s="109"/>
      <c r="W361" s="109"/>
      <c r="X361" s="109"/>
      <c r="Y361" s="109"/>
      <c r="Z361" s="109"/>
    </row>
    <row r="362" ht="12.75" customHeight="1">
      <c r="A362" s="109"/>
      <c r="B362" s="109"/>
      <c r="C362" s="109"/>
      <c r="D362" s="109"/>
      <c r="E362" s="109"/>
      <c r="F362" s="154"/>
      <c r="G362" s="154"/>
      <c r="H362" s="109"/>
      <c r="I362" s="109"/>
      <c r="J362" s="109"/>
      <c r="K362" s="109"/>
      <c r="L362" s="109"/>
      <c r="M362" s="109"/>
      <c r="N362" s="109"/>
      <c r="O362" s="109"/>
      <c r="P362" s="109"/>
      <c r="Q362" s="109"/>
      <c r="R362" s="109"/>
      <c r="S362" s="109"/>
      <c r="T362" s="109"/>
      <c r="U362" s="109"/>
      <c r="V362" s="109"/>
      <c r="W362" s="109"/>
      <c r="X362" s="109"/>
      <c r="Y362" s="109"/>
      <c r="Z362" s="109"/>
    </row>
    <row r="363" ht="12.75" customHeight="1">
      <c r="A363" s="109"/>
      <c r="B363" s="109"/>
      <c r="C363" s="109"/>
      <c r="D363" s="109"/>
      <c r="E363" s="109"/>
      <c r="F363" s="154"/>
      <c r="G363" s="154"/>
      <c r="H363" s="109"/>
      <c r="I363" s="109"/>
      <c r="J363" s="109"/>
      <c r="K363" s="109"/>
      <c r="L363" s="109"/>
      <c r="M363" s="109"/>
      <c r="N363" s="109"/>
      <c r="O363" s="109"/>
      <c r="P363" s="109"/>
      <c r="Q363" s="109"/>
      <c r="R363" s="109"/>
      <c r="S363" s="109"/>
      <c r="T363" s="109"/>
      <c r="U363" s="109"/>
      <c r="V363" s="109"/>
      <c r="W363" s="109"/>
      <c r="X363" s="109"/>
      <c r="Y363" s="109"/>
      <c r="Z363" s="109"/>
    </row>
    <row r="364" ht="12.75" customHeight="1">
      <c r="A364" s="109"/>
      <c r="B364" s="109"/>
      <c r="C364" s="109"/>
      <c r="D364" s="109"/>
      <c r="E364" s="109"/>
      <c r="F364" s="154"/>
      <c r="G364" s="154"/>
      <c r="H364" s="109"/>
      <c r="I364" s="109"/>
      <c r="J364" s="109"/>
      <c r="K364" s="109"/>
      <c r="L364" s="109"/>
      <c r="M364" s="109"/>
      <c r="N364" s="109"/>
      <c r="O364" s="109"/>
      <c r="P364" s="109"/>
      <c r="Q364" s="109"/>
      <c r="R364" s="109"/>
      <c r="S364" s="109"/>
      <c r="T364" s="109"/>
      <c r="U364" s="109"/>
      <c r="V364" s="109"/>
      <c r="W364" s="109"/>
      <c r="X364" s="109"/>
      <c r="Y364" s="109"/>
      <c r="Z364" s="109"/>
    </row>
    <row r="365" ht="12.75" customHeight="1">
      <c r="A365" s="109"/>
      <c r="B365" s="109"/>
      <c r="C365" s="109"/>
      <c r="D365" s="109"/>
      <c r="E365" s="109"/>
      <c r="F365" s="154"/>
      <c r="G365" s="154"/>
      <c r="H365" s="109"/>
      <c r="I365" s="109"/>
      <c r="J365" s="109"/>
      <c r="K365" s="109"/>
      <c r="L365" s="109"/>
      <c r="M365" s="109"/>
      <c r="N365" s="109"/>
      <c r="O365" s="109"/>
      <c r="P365" s="109"/>
      <c r="Q365" s="109"/>
      <c r="R365" s="109"/>
      <c r="S365" s="109"/>
      <c r="T365" s="109"/>
      <c r="U365" s="109"/>
      <c r="V365" s="109"/>
      <c r="W365" s="109"/>
      <c r="X365" s="109"/>
      <c r="Y365" s="109"/>
      <c r="Z365" s="109"/>
    </row>
    <row r="366" ht="12.75" customHeight="1">
      <c r="A366" s="109"/>
      <c r="B366" s="109"/>
      <c r="C366" s="109"/>
      <c r="D366" s="109"/>
      <c r="E366" s="109"/>
      <c r="F366" s="154"/>
      <c r="G366" s="154"/>
      <c r="H366" s="109"/>
      <c r="I366" s="109"/>
      <c r="J366" s="109"/>
      <c r="K366" s="109"/>
      <c r="L366" s="109"/>
      <c r="M366" s="109"/>
      <c r="N366" s="109"/>
      <c r="O366" s="109"/>
      <c r="P366" s="109"/>
      <c r="Q366" s="109"/>
      <c r="R366" s="109"/>
      <c r="S366" s="109"/>
      <c r="T366" s="109"/>
      <c r="U366" s="109"/>
      <c r="V366" s="109"/>
      <c r="W366" s="109"/>
      <c r="X366" s="109"/>
      <c r="Y366" s="109"/>
      <c r="Z366" s="109"/>
    </row>
    <row r="367" ht="12.75" customHeight="1">
      <c r="A367" s="109"/>
      <c r="B367" s="109"/>
      <c r="C367" s="109"/>
      <c r="D367" s="109"/>
      <c r="E367" s="109"/>
      <c r="F367" s="154"/>
      <c r="G367" s="154"/>
      <c r="H367" s="109"/>
      <c r="I367" s="109"/>
      <c r="J367" s="109"/>
      <c r="K367" s="109"/>
      <c r="L367" s="109"/>
      <c r="M367" s="109"/>
      <c r="N367" s="109"/>
      <c r="O367" s="109"/>
      <c r="P367" s="109"/>
      <c r="Q367" s="109"/>
      <c r="R367" s="109"/>
      <c r="S367" s="109"/>
      <c r="T367" s="109"/>
      <c r="U367" s="109"/>
      <c r="V367" s="109"/>
      <c r="W367" s="109"/>
      <c r="X367" s="109"/>
      <c r="Y367" s="109"/>
      <c r="Z367" s="109"/>
    </row>
    <row r="368" ht="12.75" customHeight="1">
      <c r="A368" s="109"/>
      <c r="B368" s="109"/>
      <c r="C368" s="109"/>
      <c r="D368" s="109"/>
      <c r="E368" s="109"/>
      <c r="F368" s="154"/>
      <c r="G368" s="154"/>
      <c r="H368" s="109"/>
      <c r="I368" s="109"/>
      <c r="J368" s="109"/>
      <c r="K368" s="109"/>
      <c r="L368" s="109"/>
      <c r="M368" s="109"/>
      <c r="N368" s="109"/>
      <c r="O368" s="109"/>
      <c r="P368" s="109"/>
      <c r="Q368" s="109"/>
      <c r="R368" s="109"/>
      <c r="S368" s="109"/>
      <c r="T368" s="109"/>
      <c r="U368" s="109"/>
      <c r="V368" s="109"/>
      <c r="W368" s="109"/>
      <c r="X368" s="109"/>
      <c r="Y368" s="109"/>
      <c r="Z368" s="109"/>
    </row>
    <row r="369" ht="12.75" customHeight="1">
      <c r="A369" s="109"/>
      <c r="B369" s="109"/>
      <c r="C369" s="109"/>
      <c r="D369" s="109"/>
      <c r="E369" s="109"/>
      <c r="F369" s="154"/>
      <c r="G369" s="154"/>
      <c r="H369" s="109"/>
      <c r="I369" s="109"/>
      <c r="J369" s="109"/>
      <c r="K369" s="109"/>
      <c r="L369" s="109"/>
      <c r="M369" s="109"/>
      <c r="N369" s="109"/>
      <c r="O369" s="109"/>
      <c r="P369" s="109"/>
      <c r="Q369" s="109"/>
      <c r="R369" s="109"/>
      <c r="S369" s="109"/>
      <c r="T369" s="109"/>
      <c r="U369" s="109"/>
      <c r="V369" s="109"/>
      <c r="W369" s="109"/>
      <c r="X369" s="109"/>
      <c r="Y369" s="109"/>
      <c r="Z369" s="109"/>
    </row>
    <row r="370" ht="12.75" customHeight="1">
      <c r="A370" s="109"/>
      <c r="B370" s="109"/>
      <c r="C370" s="109"/>
      <c r="D370" s="109"/>
      <c r="E370" s="109"/>
      <c r="F370" s="154"/>
      <c r="G370" s="154"/>
      <c r="H370" s="109"/>
      <c r="I370" s="109"/>
      <c r="J370" s="109"/>
      <c r="K370" s="109"/>
      <c r="L370" s="109"/>
      <c r="M370" s="109"/>
      <c r="N370" s="109"/>
      <c r="O370" s="109"/>
      <c r="P370" s="109"/>
      <c r="Q370" s="109"/>
      <c r="R370" s="109"/>
      <c r="S370" s="109"/>
      <c r="T370" s="109"/>
      <c r="U370" s="109"/>
      <c r="V370" s="109"/>
      <c r="W370" s="109"/>
      <c r="X370" s="109"/>
      <c r="Y370" s="109"/>
      <c r="Z370" s="109"/>
    </row>
    <row r="371" ht="12.75" customHeight="1">
      <c r="A371" s="109"/>
      <c r="B371" s="109"/>
      <c r="C371" s="109"/>
      <c r="D371" s="109"/>
      <c r="E371" s="109"/>
      <c r="F371" s="154"/>
      <c r="G371" s="154"/>
      <c r="H371" s="109"/>
      <c r="I371" s="109"/>
      <c r="J371" s="109"/>
      <c r="K371" s="109"/>
      <c r="L371" s="109"/>
      <c r="M371" s="109"/>
      <c r="N371" s="109"/>
      <c r="O371" s="109"/>
      <c r="P371" s="109"/>
      <c r="Q371" s="109"/>
      <c r="R371" s="109"/>
      <c r="S371" s="109"/>
      <c r="T371" s="109"/>
      <c r="U371" s="109"/>
      <c r="V371" s="109"/>
      <c r="W371" s="109"/>
      <c r="X371" s="109"/>
      <c r="Y371" s="109"/>
      <c r="Z371" s="109"/>
    </row>
    <row r="372" ht="12.75" customHeight="1">
      <c r="A372" s="109"/>
      <c r="B372" s="109"/>
      <c r="C372" s="109"/>
      <c r="D372" s="109"/>
      <c r="E372" s="109"/>
      <c r="F372" s="154"/>
      <c r="G372" s="154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</row>
    <row r="373" ht="12.75" customHeight="1">
      <c r="A373" s="109"/>
      <c r="B373" s="109"/>
      <c r="C373" s="109"/>
      <c r="D373" s="109"/>
      <c r="E373" s="109"/>
      <c r="F373" s="154"/>
      <c r="G373" s="154"/>
      <c r="H373" s="109"/>
      <c r="I373" s="109"/>
      <c r="J373" s="109"/>
      <c r="K373" s="109"/>
      <c r="L373" s="109"/>
      <c r="M373" s="109"/>
      <c r="N373" s="109"/>
      <c r="O373" s="109"/>
      <c r="P373" s="109"/>
      <c r="Q373" s="109"/>
      <c r="R373" s="109"/>
      <c r="S373" s="109"/>
      <c r="T373" s="109"/>
      <c r="U373" s="109"/>
      <c r="V373" s="109"/>
      <c r="W373" s="109"/>
      <c r="X373" s="109"/>
      <c r="Y373" s="109"/>
      <c r="Z373" s="109"/>
    </row>
    <row r="374" ht="12.75" customHeight="1">
      <c r="A374" s="109"/>
      <c r="B374" s="109"/>
      <c r="C374" s="109"/>
      <c r="D374" s="109"/>
      <c r="E374" s="109"/>
      <c r="F374" s="154"/>
      <c r="G374" s="154"/>
      <c r="H374" s="109"/>
      <c r="I374" s="109"/>
      <c r="J374" s="109"/>
      <c r="K374" s="109"/>
      <c r="L374" s="109"/>
      <c r="M374" s="109"/>
      <c r="N374" s="109"/>
      <c r="O374" s="109"/>
      <c r="P374" s="109"/>
      <c r="Q374" s="109"/>
      <c r="R374" s="109"/>
      <c r="S374" s="109"/>
      <c r="T374" s="109"/>
      <c r="U374" s="109"/>
      <c r="V374" s="109"/>
      <c r="W374" s="109"/>
      <c r="X374" s="109"/>
      <c r="Y374" s="109"/>
      <c r="Z374" s="109"/>
    </row>
    <row r="375" ht="12.75" customHeight="1">
      <c r="A375" s="109"/>
      <c r="B375" s="109"/>
      <c r="C375" s="109"/>
      <c r="D375" s="109"/>
      <c r="E375" s="109"/>
      <c r="F375" s="154"/>
      <c r="G375" s="154"/>
      <c r="H375" s="109"/>
      <c r="I375" s="109"/>
      <c r="J375" s="109"/>
      <c r="K375" s="109"/>
      <c r="L375" s="109"/>
      <c r="M375" s="109"/>
      <c r="N375" s="109"/>
      <c r="O375" s="109"/>
      <c r="P375" s="109"/>
      <c r="Q375" s="109"/>
      <c r="R375" s="109"/>
      <c r="S375" s="109"/>
      <c r="T375" s="109"/>
      <c r="U375" s="109"/>
      <c r="V375" s="109"/>
      <c r="W375" s="109"/>
      <c r="X375" s="109"/>
      <c r="Y375" s="109"/>
      <c r="Z375" s="109"/>
    </row>
    <row r="376" ht="12.75" customHeight="1">
      <c r="A376" s="109"/>
      <c r="B376" s="109"/>
      <c r="C376" s="109"/>
      <c r="D376" s="109"/>
      <c r="E376" s="109"/>
      <c r="F376" s="154"/>
      <c r="G376" s="154"/>
      <c r="H376" s="109"/>
      <c r="I376" s="109"/>
      <c r="J376" s="109"/>
      <c r="K376" s="109"/>
      <c r="L376" s="109"/>
      <c r="M376" s="109"/>
      <c r="N376" s="109"/>
      <c r="O376" s="109"/>
      <c r="P376" s="109"/>
      <c r="Q376" s="109"/>
      <c r="R376" s="109"/>
      <c r="S376" s="109"/>
      <c r="T376" s="109"/>
      <c r="U376" s="109"/>
      <c r="V376" s="109"/>
      <c r="W376" s="109"/>
      <c r="X376" s="109"/>
      <c r="Y376" s="109"/>
      <c r="Z376" s="109"/>
    </row>
    <row r="377" ht="12.75" customHeight="1">
      <c r="A377" s="109"/>
      <c r="B377" s="109"/>
      <c r="C377" s="109"/>
      <c r="D377" s="109"/>
      <c r="E377" s="109"/>
      <c r="F377" s="154"/>
      <c r="G377" s="154"/>
      <c r="H377" s="109"/>
      <c r="I377" s="109"/>
      <c r="J377" s="109"/>
      <c r="K377" s="109"/>
      <c r="L377" s="109"/>
      <c r="M377" s="109"/>
      <c r="N377" s="109"/>
      <c r="O377" s="109"/>
      <c r="P377" s="109"/>
      <c r="Q377" s="109"/>
      <c r="R377" s="109"/>
      <c r="S377" s="109"/>
      <c r="T377" s="109"/>
      <c r="U377" s="109"/>
      <c r="V377" s="109"/>
      <c r="W377" s="109"/>
      <c r="X377" s="109"/>
      <c r="Y377" s="109"/>
      <c r="Z377" s="109"/>
    </row>
    <row r="378" ht="12.75" customHeight="1">
      <c r="A378" s="109"/>
      <c r="B378" s="109"/>
      <c r="C378" s="109"/>
      <c r="D378" s="109"/>
      <c r="E378" s="109"/>
      <c r="F378" s="154"/>
      <c r="G378" s="154"/>
      <c r="H378" s="109"/>
      <c r="I378" s="109"/>
      <c r="J378" s="109"/>
      <c r="K378" s="109"/>
      <c r="L378" s="109"/>
      <c r="M378" s="109"/>
      <c r="N378" s="109"/>
      <c r="O378" s="109"/>
      <c r="P378" s="109"/>
      <c r="Q378" s="109"/>
      <c r="R378" s="109"/>
      <c r="S378" s="109"/>
      <c r="T378" s="109"/>
      <c r="U378" s="109"/>
      <c r="V378" s="109"/>
      <c r="W378" s="109"/>
      <c r="X378" s="109"/>
      <c r="Y378" s="109"/>
      <c r="Z378" s="109"/>
    </row>
    <row r="379" ht="12.75" customHeight="1">
      <c r="A379" s="109"/>
      <c r="B379" s="109"/>
      <c r="C379" s="109"/>
      <c r="D379" s="109"/>
      <c r="E379" s="109"/>
      <c r="F379" s="154"/>
      <c r="G379" s="154"/>
      <c r="H379" s="109"/>
      <c r="I379" s="109"/>
      <c r="J379" s="109"/>
      <c r="K379" s="109"/>
      <c r="L379" s="109"/>
      <c r="M379" s="109"/>
      <c r="N379" s="109"/>
      <c r="O379" s="109"/>
      <c r="P379" s="109"/>
      <c r="Q379" s="109"/>
      <c r="R379" s="109"/>
      <c r="S379" s="109"/>
      <c r="T379" s="109"/>
      <c r="U379" s="109"/>
      <c r="V379" s="109"/>
      <c r="W379" s="109"/>
      <c r="X379" s="109"/>
      <c r="Y379" s="109"/>
      <c r="Z379" s="109"/>
    </row>
    <row r="380" ht="12.75" customHeight="1">
      <c r="A380" s="109"/>
      <c r="B380" s="109"/>
      <c r="C380" s="109"/>
      <c r="D380" s="109"/>
      <c r="E380" s="109"/>
      <c r="F380" s="154"/>
      <c r="G380" s="154"/>
      <c r="H380" s="109"/>
      <c r="I380" s="109"/>
      <c r="J380" s="109"/>
      <c r="K380" s="109"/>
      <c r="L380" s="109"/>
      <c r="M380" s="109"/>
      <c r="N380" s="109"/>
      <c r="O380" s="109"/>
      <c r="P380" s="109"/>
      <c r="Q380" s="109"/>
      <c r="R380" s="109"/>
      <c r="S380" s="109"/>
      <c r="T380" s="109"/>
      <c r="U380" s="109"/>
      <c r="V380" s="109"/>
      <c r="W380" s="109"/>
      <c r="X380" s="109"/>
      <c r="Y380" s="109"/>
      <c r="Z380" s="109"/>
    </row>
    <row r="381" ht="12.75" customHeight="1">
      <c r="A381" s="109"/>
      <c r="B381" s="109"/>
      <c r="C381" s="109"/>
      <c r="D381" s="109"/>
      <c r="E381" s="109"/>
      <c r="F381" s="154"/>
      <c r="G381" s="154"/>
      <c r="H381" s="109"/>
      <c r="I381" s="109"/>
      <c r="J381" s="109"/>
      <c r="K381" s="109"/>
      <c r="L381" s="109"/>
      <c r="M381" s="109"/>
      <c r="N381" s="109"/>
      <c r="O381" s="109"/>
      <c r="P381" s="109"/>
      <c r="Q381" s="109"/>
      <c r="R381" s="109"/>
      <c r="S381" s="109"/>
      <c r="T381" s="109"/>
      <c r="U381" s="109"/>
      <c r="V381" s="109"/>
      <c r="W381" s="109"/>
      <c r="X381" s="109"/>
      <c r="Y381" s="109"/>
      <c r="Z381" s="109"/>
    </row>
    <row r="382" ht="12.75" customHeight="1">
      <c r="A382" s="109"/>
      <c r="B382" s="109"/>
      <c r="C382" s="109"/>
      <c r="D382" s="109"/>
      <c r="E382" s="109"/>
      <c r="F382" s="154"/>
      <c r="G382" s="154"/>
      <c r="H382" s="109"/>
      <c r="I382" s="109"/>
      <c r="J382" s="109"/>
      <c r="K382" s="109"/>
      <c r="L382" s="109"/>
      <c r="M382" s="109"/>
      <c r="N382" s="109"/>
      <c r="O382" s="109"/>
      <c r="P382" s="109"/>
      <c r="Q382" s="109"/>
      <c r="R382" s="109"/>
      <c r="S382" s="109"/>
      <c r="T382" s="109"/>
      <c r="U382" s="109"/>
      <c r="V382" s="109"/>
      <c r="W382" s="109"/>
      <c r="X382" s="109"/>
      <c r="Y382" s="109"/>
      <c r="Z382" s="109"/>
    </row>
    <row r="383" ht="12.75" customHeight="1">
      <c r="A383" s="109"/>
      <c r="B383" s="109"/>
      <c r="C383" s="109"/>
      <c r="D383" s="109"/>
      <c r="E383" s="109"/>
      <c r="F383" s="154"/>
      <c r="G383" s="154"/>
      <c r="H383" s="109"/>
      <c r="I383" s="109"/>
      <c r="J383" s="109"/>
      <c r="K383" s="109"/>
      <c r="L383" s="109"/>
      <c r="M383" s="109"/>
      <c r="N383" s="109"/>
      <c r="O383" s="109"/>
      <c r="P383" s="109"/>
      <c r="Q383" s="109"/>
      <c r="R383" s="109"/>
      <c r="S383" s="109"/>
      <c r="T383" s="109"/>
      <c r="U383" s="109"/>
      <c r="V383" s="109"/>
      <c r="W383" s="109"/>
      <c r="X383" s="109"/>
      <c r="Y383" s="109"/>
      <c r="Z383" s="109"/>
    </row>
    <row r="384" ht="12.75" customHeight="1">
      <c r="A384" s="109"/>
      <c r="B384" s="109"/>
      <c r="C384" s="109"/>
      <c r="D384" s="109"/>
      <c r="E384" s="109"/>
      <c r="F384" s="154"/>
      <c r="G384" s="154"/>
      <c r="H384" s="109"/>
      <c r="I384" s="109"/>
      <c r="J384" s="109"/>
      <c r="K384" s="109"/>
      <c r="L384" s="109"/>
      <c r="M384" s="109"/>
      <c r="N384" s="109"/>
      <c r="O384" s="109"/>
      <c r="P384" s="109"/>
      <c r="Q384" s="109"/>
      <c r="R384" s="109"/>
      <c r="S384" s="109"/>
      <c r="T384" s="109"/>
      <c r="U384" s="109"/>
      <c r="V384" s="109"/>
      <c r="W384" s="109"/>
      <c r="X384" s="109"/>
      <c r="Y384" s="109"/>
      <c r="Z384" s="109"/>
    </row>
    <row r="385" ht="12.75" customHeight="1">
      <c r="A385" s="109"/>
      <c r="B385" s="109"/>
      <c r="C385" s="109"/>
      <c r="D385" s="109"/>
      <c r="E385" s="109"/>
      <c r="F385" s="154"/>
      <c r="G385" s="154"/>
      <c r="H385" s="109"/>
      <c r="I385" s="109"/>
      <c r="J385" s="109"/>
      <c r="K385" s="109"/>
      <c r="L385" s="109"/>
      <c r="M385" s="109"/>
      <c r="N385" s="109"/>
      <c r="O385" s="109"/>
      <c r="P385" s="109"/>
      <c r="Q385" s="109"/>
      <c r="R385" s="109"/>
      <c r="S385" s="109"/>
      <c r="T385" s="109"/>
      <c r="U385" s="109"/>
      <c r="V385" s="109"/>
      <c r="W385" s="109"/>
      <c r="X385" s="109"/>
      <c r="Y385" s="109"/>
      <c r="Z385" s="109"/>
    </row>
    <row r="386" ht="12.75" customHeight="1">
      <c r="A386" s="109"/>
      <c r="B386" s="109"/>
      <c r="C386" s="109"/>
      <c r="D386" s="109"/>
      <c r="E386" s="109"/>
      <c r="F386" s="154"/>
      <c r="G386" s="154"/>
      <c r="H386" s="109"/>
      <c r="I386" s="109"/>
      <c r="J386" s="109"/>
      <c r="K386" s="109"/>
      <c r="L386" s="109"/>
      <c r="M386" s="109"/>
      <c r="N386" s="109"/>
      <c r="O386" s="109"/>
      <c r="P386" s="109"/>
      <c r="Q386" s="109"/>
      <c r="R386" s="109"/>
      <c r="S386" s="109"/>
      <c r="T386" s="109"/>
      <c r="U386" s="109"/>
      <c r="V386" s="109"/>
      <c r="W386" s="109"/>
      <c r="X386" s="109"/>
      <c r="Y386" s="109"/>
      <c r="Z386" s="109"/>
    </row>
    <row r="387" ht="12.75" customHeight="1">
      <c r="A387" s="109"/>
      <c r="B387" s="109"/>
      <c r="C387" s="109"/>
      <c r="D387" s="109"/>
      <c r="E387" s="109"/>
      <c r="F387" s="154"/>
      <c r="G387" s="154"/>
      <c r="H387" s="109"/>
      <c r="I387" s="109"/>
      <c r="J387" s="109"/>
      <c r="K387" s="109"/>
      <c r="L387" s="109"/>
      <c r="M387" s="109"/>
      <c r="N387" s="109"/>
      <c r="O387" s="109"/>
      <c r="P387" s="109"/>
      <c r="Q387" s="109"/>
      <c r="R387" s="109"/>
      <c r="S387" s="109"/>
      <c r="T387" s="109"/>
      <c r="U387" s="109"/>
      <c r="V387" s="109"/>
      <c r="W387" s="109"/>
      <c r="X387" s="109"/>
      <c r="Y387" s="109"/>
      <c r="Z387" s="109"/>
    </row>
    <row r="388" ht="12.75" customHeight="1">
      <c r="A388" s="109"/>
      <c r="B388" s="109"/>
      <c r="C388" s="109"/>
      <c r="D388" s="109"/>
      <c r="E388" s="109"/>
      <c r="F388" s="154"/>
      <c r="G388" s="154"/>
      <c r="H388" s="109"/>
      <c r="I388" s="109"/>
      <c r="J388" s="109"/>
      <c r="K388" s="109"/>
      <c r="L388" s="109"/>
      <c r="M388" s="109"/>
      <c r="N388" s="109"/>
      <c r="O388" s="109"/>
      <c r="P388" s="109"/>
      <c r="Q388" s="109"/>
      <c r="R388" s="109"/>
      <c r="S388" s="109"/>
      <c r="T388" s="109"/>
      <c r="U388" s="109"/>
      <c r="V388" s="109"/>
      <c r="W388" s="109"/>
      <c r="X388" s="109"/>
      <c r="Y388" s="109"/>
      <c r="Z388" s="109"/>
    </row>
    <row r="389" ht="12.75" customHeight="1">
      <c r="A389" s="109"/>
      <c r="B389" s="109"/>
      <c r="C389" s="109"/>
      <c r="D389" s="109"/>
      <c r="E389" s="109"/>
      <c r="F389" s="154"/>
      <c r="G389" s="154"/>
      <c r="H389" s="109"/>
      <c r="I389" s="109"/>
      <c r="J389" s="109"/>
      <c r="K389" s="109"/>
      <c r="L389" s="109"/>
      <c r="M389" s="109"/>
      <c r="N389" s="109"/>
      <c r="O389" s="109"/>
      <c r="P389" s="109"/>
      <c r="Q389" s="109"/>
      <c r="R389" s="109"/>
      <c r="S389" s="109"/>
      <c r="T389" s="109"/>
      <c r="U389" s="109"/>
      <c r="V389" s="109"/>
      <c r="W389" s="109"/>
      <c r="X389" s="109"/>
      <c r="Y389" s="109"/>
      <c r="Z389" s="109"/>
    </row>
    <row r="390" ht="12.75" customHeight="1">
      <c r="A390" s="109"/>
      <c r="B390" s="109"/>
      <c r="C390" s="109"/>
      <c r="D390" s="109"/>
      <c r="E390" s="109"/>
      <c r="F390" s="154"/>
      <c r="G390" s="154"/>
      <c r="H390" s="109"/>
      <c r="I390" s="109"/>
      <c r="J390" s="109"/>
      <c r="K390" s="109"/>
      <c r="L390" s="109"/>
      <c r="M390" s="109"/>
      <c r="N390" s="109"/>
      <c r="O390" s="109"/>
      <c r="P390" s="109"/>
      <c r="Q390" s="109"/>
      <c r="R390" s="109"/>
      <c r="S390" s="109"/>
      <c r="T390" s="109"/>
      <c r="U390" s="109"/>
      <c r="V390" s="109"/>
      <c r="W390" s="109"/>
      <c r="X390" s="109"/>
      <c r="Y390" s="109"/>
      <c r="Z390" s="109"/>
    </row>
    <row r="391" ht="12.75" customHeight="1">
      <c r="A391" s="109"/>
      <c r="B391" s="109"/>
      <c r="C391" s="109"/>
      <c r="D391" s="109"/>
      <c r="E391" s="109"/>
      <c r="F391" s="154"/>
      <c r="G391" s="154"/>
      <c r="H391" s="109"/>
      <c r="I391" s="109"/>
      <c r="J391" s="109"/>
      <c r="K391" s="109"/>
      <c r="L391" s="109"/>
      <c r="M391" s="109"/>
      <c r="N391" s="109"/>
      <c r="O391" s="109"/>
      <c r="P391" s="109"/>
      <c r="Q391" s="109"/>
      <c r="R391" s="109"/>
      <c r="S391" s="109"/>
      <c r="T391" s="109"/>
      <c r="U391" s="109"/>
      <c r="V391" s="109"/>
      <c r="W391" s="109"/>
      <c r="X391" s="109"/>
      <c r="Y391" s="109"/>
      <c r="Z391" s="109"/>
    </row>
    <row r="392" ht="12.75" customHeight="1">
      <c r="A392" s="109"/>
      <c r="B392" s="109"/>
      <c r="C392" s="109"/>
      <c r="D392" s="109"/>
      <c r="E392" s="109"/>
      <c r="F392" s="154"/>
      <c r="G392" s="154"/>
      <c r="H392" s="109"/>
      <c r="I392" s="109"/>
      <c r="J392" s="109"/>
      <c r="K392" s="109"/>
      <c r="L392" s="109"/>
      <c r="M392" s="109"/>
      <c r="N392" s="109"/>
      <c r="O392" s="109"/>
      <c r="P392" s="109"/>
      <c r="Q392" s="109"/>
      <c r="R392" s="109"/>
      <c r="S392" s="109"/>
      <c r="T392" s="109"/>
      <c r="U392" s="109"/>
      <c r="V392" s="109"/>
      <c r="W392" s="109"/>
      <c r="X392" s="109"/>
      <c r="Y392" s="109"/>
      <c r="Z392" s="109"/>
    </row>
    <row r="393" ht="12.75" customHeight="1">
      <c r="A393" s="109"/>
      <c r="B393" s="109"/>
      <c r="C393" s="109"/>
      <c r="D393" s="109"/>
      <c r="E393" s="109"/>
      <c r="F393" s="154"/>
      <c r="G393" s="154"/>
      <c r="H393" s="109"/>
      <c r="I393" s="109"/>
      <c r="J393" s="109"/>
      <c r="K393" s="109"/>
      <c r="L393" s="109"/>
      <c r="M393" s="109"/>
      <c r="N393" s="109"/>
      <c r="O393" s="109"/>
      <c r="P393" s="109"/>
      <c r="Q393" s="109"/>
      <c r="R393" s="109"/>
      <c r="S393" s="109"/>
      <c r="T393" s="109"/>
      <c r="U393" s="109"/>
      <c r="V393" s="109"/>
      <c r="W393" s="109"/>
      <c r="X393" s="109"/>
      <c r="Y393" s="109"/>
      <c r="Z393" s="109"/>
    </row>
    <row r="394" ht="12.75" customHeight="1">
      <c r="A394" s="109"/>
      <c r="B394" s="109"/>
      <c r="C394" s="109"/>
      <c r="D394" s="109"/>
      <c r="E394" s="109"/>
      <c r="F394" s="154"/>
      <c r="G394" s="154"/>
      <c r="H394" s="109"/>
      <c r="I394" s="109"/>
      <c r="J394" s="109"/>
      <c r="K394" s="109"/>
      <c r="L394" s="109"/>
      <c r="M394" s="109"/>
      <c r="N394" s="109"/>
      <c r="O394" s="109"/>
      <c r="P394" s="109"/>
      <c r="Q394" s="109"/>
      <c r="R394" s="109"/>
      <c r="S394" s="109"/>
      <c r="T394" s="109"/>
      <c r="U394" s="109"/>
      <c r="V394" s="109"/>
      <c r="W394" s="109"/>
      <c r="X394" s="109"/>
      <c r="Y394" s="109"/>
      <c r="Z394" s="109"/>
    </row>
    <row r="395" ht="12.75" customHeight="1">
      <c r="A395" s="109"/>
      <c r="B395" s="109"/>
      <c r="C395" s="109"/>
      <c r="D395" s="109"/>
      <c r="E395" s="109"/>
      <c r="F395" s="154"/>
      <c r="G395" s="154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</row>
    <row r="396" ht="12.75" customHeight="1">
      <c r="A396" s="109"/>
      <c r="B396" s="109"/>
      <c r="C396" s="109"/>
      <c r="D396" s="109"/>
      <c r="E396" s="109"/>
      <c r="F396" s="154"/>
      <c r="G396" s="154"/>
      <c r="H396" s="109"/>
      <c r="I396" s="109"/>
      <c r="J396" s="109"/>
      <c r="K396" s="109"/>
      <c r="L396" s="109"/>
      <c r="M396" s="109"/>
      <c r="N396" s="109"/>
      <c r="O396" s="109"/>
      <c r="P396" s="109"/>
      <c r="Q396" s="109"/>
      <c r="R396" s="109"/>
      <c r="S396" s="109"/>
      <c r="T396" s="109"/>
      <c r="U396" s="109"/>
      <c r="V396" s="109"/>
      <c r="W396" s="109"/>
      <c r="X396" s="109"/>
      <c r="Y396" s="109"/>
      <c r="Z396" s="109"/>
    </row>
    <row r="397" ht="12.75" customHeight="1">
      <c r="A397" s="109"/>
      <c r="B397" s="109"/>
      <c r="C397" s="109"/>
      <c r="D397" s="109"/>
      <c r="E397" s="109"/>
      <c r="F397" s="154"/>
      <c r="G397" s="154"/>
      <c r="H397" s="109"/>
      <c r="I397" s="109"/>
      <c r="J397" s="109"/>
      <c r="K397" s="109"/>
      <c r="L397" s="109"/>
      <c r="M397" s="109"/>
      <c r="N397" s="109"/>
      <c r="O397" s="109"/>
      <c r="P397" s="109"/>
      <c r="Q397" s="109"/>
      <c r="R397" s="109"/>
      <c r="S397" s="109"/>
      <c r="T397" s="109"/>
      <c r="U397" s="109"/>
      <c r="V397" s="109"/>
      <c r="W397" s="109"/>
      <c r="X397" s="109"/>
      <c r="Y397" s="109"/>
      <c r="Z397" s="109"/>
    </row>
    <row r="398" ht="12.75" customHeight="1">
      <c r="A398" s="109"/>
      <c r="B398" s="109"/>
      <c r="C398" s="109"/>
      <c r="D398" s="109"/>
      <c r="E398" s="109"/>
      <c r="F398" s="154"/>
      <c r="G398" s="154"/>
      <c r="H398" s="109"/>
      <c r="I398" s="109"/>
      <c r="J398" s="109"/>
      <c r="K398" s="109"/>
      <c r="L398" s="109"/>
      <c r="M398" s="109"/>
      <c r="N398" s="109"/>
      <c r="O398" s="109"/>
      <c r="P398" s="109"/>
      <c r="Q398" s="109"/>
      <c r="R398" s="109"/>
      <c r="S398" s="109"/>
      <c r="T398" s="109"/>
      <c r="U398" s="109"/>
      <c r="V398" s="109"/>
      <c r="W398" s="109"/>
      <c r="X398" s="109"/>
      <c r="Y398" s="109"/>
      <c r="Z398" s="109"/>
    </row>
    <row r="399" ht="12.75" customHeight="1">
      <c r="A399" s="109"/>
      <c r="B399" s="109"/>
      <c r="C399" s="109"/>
      <c r="D399" s="109"/>
      <c r="E399" s="109"/>
      <c r="F399" s="154"/>
      <c r="G399" s="154"/>
      <c r="H399" s="109"/>
      <c r="I399" s="109"/>
      <c r="J399" s="109"/>
      <c r="K399" s="109"/>
      <c r="L399" s="109"/>
      <c r="M399" s="109"/>
      <c r="N399" s="109"/>
      <c r="O399" s="109"/>
      <c r="P399" s="109"/>
      <c r="Q399" s="109"/>
      <c r="R399" s="109"/>
      <c r="S399" s="109"/>
      <c r="T399" s="109"/>
      <c r="U399" s="109"/>
      <c r="V399" s="109"/>
      <c r="W399" s="109"/>
      <c r="X399" s="109"/>
      <c r="Y399" s="109"/>
      <c r="Z399" s="109"/>
    </row>
    <row r="400" ht="12.75" customHeight="1">
      <c r="A400" s="109"/>
      <c r="B400" s="109"/>
      <c r="C400" s="109"/>
      <c r="D400" s="109"/>
      <c r="E400" s="109"/>
      <c r="F400" s="154"/>
      <c r="G400" s="154"/>
      <c r="H400" s="109"/>
      <c r="I400" s="109"/>
      <c r="J400" s="109"/>
      <c r="K400" s="109"/>
      <c r="L400" s="109"/>
      <c r="M400" s="109"/>
      <c r="N400" s="109"/>
      <c r="O400" s="109"/>
      <c r="P400" s="109"/>
      <c r="Q400" s="109"/>
      <c r="R400" s="109"/>
      <c r="S400" s="109"/>
      <c r="T400" s="109"/>
      <c r="U400" s="109"/>
      <c r="V400" s="109"/>
      <c r="W400" s="109"/>
      <c r="X400" s="109"/>
      <c r="Y400" s="109"/>
      <c r="Z400" s="109"/>
    </row>
    <row r="401" ht="12.75" customHeight="1">
      <c r="A401" s="109"/>
      <c r="B401" s="109"/>
      <c r="C401" s="109"/>
      <c r="D401" s="109"/>
      <c r="E401" s="109"/>
      <c r="F401" s="154"/>
      <c r="G401" s="154"/>
      <c r="H401" s="109"/>
      <c r="I401" s="109"/>
      <c r="J401" s="109"/>
      <c r="K401" s="109"/>
      <c r="L401" s="109"/>
      <c r="M401" s="109"/>
      <c r="N401" s="109"/>
      <c r="O401" s="109"/>
      <c r="P401" s="109"/>
      <c r="Q401" s="109"/>
      <c r="R401" s="109"/>
      <c r="S401" s="109"/>
      <c r="T401" s="109"/>
      <c r="U401" s="109"/>
      <c r="V401" s="109"/>
      <c r="W401" s="109"/>
      <c r="X401" s="109"/>
      <c r="Y401" s="109"/>
      <c r="Z401" s="109"/>
    </row>
    <row r="402" ht="12.75" customHeight="1">
      <c r="A402" s="109"/>
      <c r="B402" s="109"/>
      <c r="C402" s="109"/>
      <c r="D402" s="109"/>
      <c r="E402" s="109"/>
      <c r="F402" s="154"/>
      <c r="G402" s="154"/>
      <c r="H402" s="109"/>
      <c r="I402" s="109"/>
      <c r="J402" s="109"/>
      <c r="K402" s="109"/>
      <c r="L402" s="109"/>
      <c r="M402" s="109"/>
      <c r="N402" s="109"/>
      <c r="O402" s="109"/>
      <c r="P402" s="109"/>
      <c r="Q402" s="109"/>
      <c r="R402" s="109"/>
      <c r="S402" s="109"/>
      <c r="T402" s="109"/>
      <c r="U402" s="109"/>
      <c r="V402" s="109"/>
      <c r="W402" s="109"/>
      <c r="X402" s="109"/>
      <c r="Y402" s="109"/>
      <c r="Z402" s="109"/>
    </row>
    <row r="403" ht="12.75" customHeight="1">
      <c r="A403" s="109"/>
      <c r="B403" s="109"/>
      <c r="C403" s="109"/>
      <c r="D403" s="109"/>
      <c r="E403" s="109"/>
      <c r="F403" s="154"/>
      <c r="G403" s="154"/>
      <c r="H403" s="109"/>
      <c r="I403" s="109"/>
      <c r="J403" s="109"/>
      <c r="K403" s="109"/>
      <c r="L403" s="109"/>
      <c r="M403" s="109"/>
      <c r="N403" s="109"/>
      <c r="O403" s="109"/>
      <c r="P403" s="109"/>
      <c r="Q403" s="109"/>
      <c r="R403" s="109"/>
      <c r="S403" s="109"/>
      <c r="T403" s="109"/>
      <c r="U403" s="109"/>
      <c r="V403" s="109"/>
      <c r="W403" s="109"/>
      <c r="X403" s="109"/>
      <c r="Y403" s="109"/>
      <c r="Z403" s="109"/>
    </row>
    <row r="404" ht="12.75" customHeight="1">
      <c r="A404" s="109"/>
      <c r="B404" s="109"/>
      <c r="C404" s="109"/>
      <c r="D404" s="109"/>
      <c r="E404" s="109"/>
      <c r="F404" s="154"/>
      <c r="G404" s="154"/>
      <c r="H404" s="109"/>
      <c r="I404" s="109"/>
      <c r="J404" s="109"/>
      <c r="K404" s="109"/>
      <c r="L404" s="109"/>
      <c r="M404" s="109"/>
      <c r="N404" s="109"/>
      <c r="O404" s="109"/>
      <c r="P404" s="109"/>
      <c r="Q404" s="109"/>
      <c r="R404" s="109"/>
      <c r="S404" s="109"/>
      <c r="T404" s="109"/>
      <c r="U404" s="109"/>
      <c r="V404" s="109"/>
      <c r="W404" s="109"/>
      <c r="X404" s="109"/>
      <c r="Y404" s="109"/>
      <c r="Z404" s="109"/>
    </row>
    <row r="405" ht="12.75" customHeight="1">
      <c r="A405" s="109"/>
      <c r="B405" s="109"/>
      <c r="C405" s="109"/>
      <c r="D405" s="109"/>
      <c r="E405" s="109"/>
      <c r="F405" s="154"/>
      <c r="G405" s="154"/>
      <c r="H405" s="109"/>
      <c r="I405" s="109"/>
      <c r="J405" s="109"/>
      <c r="K405" s="109"/>
      <c r="L405" s="109"/>
      <c r="M405" s="109"/>
      <c r="N405" s="109"/>
      <c r="O405" s="109"/>
      <c r="P405" s="109"/>
      <c r="Q405" s="109"/>
      <c r="R405" s="109"/>
      <c r="S405" s="109"/>
      <c r="T405" s="109"/>
      <c r="U405" s="109"/>
      <c r="V405" s="109"/>
      <c r="W405" s="109"/>
      <c r="X405" s="109"/>
      <c r="Y405" s="109"/>
      <c r="Z405" s="109"/>
    </row>
    <row r="406" ht="12.75" customHeight="1">
      <c r="A406" s="109"/>
      <c r="B406" s="109"/>
      <c r="C406" s="109"/>
      <c r="D406" s="109"/>
      <c r="E406" s="109"/>
      <c r="F406" s="154"/>
      <c r="G406" s="154"/>
      <c r="H406" s="109"/>
      <c r="I406" s="109"/>
      <c r="J406" s="109"/>
      <c r="K406" s="109"/>
      <c r="L406" s="109"/>
      <c r="M406" s="109"/>
      <c r="N406" s="109"/>
      <c r="O406" s="109"/>
      <c r="P406" s="109"/>
      <c r="Q406" s="109"/>
      <c r="R406" s="109"/>
      <c r="S406" s="109"/>
      <c r="T406" s="109"/>
      <c r="U406" s="109"/>
      <c r="V406" s="109"/>
      <c r="W406" s="109"/>
      <c r="X406" s="109"/>
      <c r="Y406" s="109"/>
      <c r="Z406" s="109"/>
    </row>
    <row r="407" ht="12.75" customHeight="1">
      <c r="A407" s="109"/>
      <c r="B407" s="109"/>
      <c r="C407" s="109"/>
      <c r="D407" s="109"/>
      <c r="E407" s="109"/>
      <c r="F407" s="154"/>
      <c r="G407" s="154"/>
      <c r="H407" s="109"/>
      <c r="I407" s="109"/>
      <c r="J407" s="109"/>
      <c r="K407" s="109"/>
      <c r="L407" s="109"/>
      <c r="M407" s="109"/>
      <c r="N407" s="109"/>
      <c r="O407" s="109"/>
      <c r="P407" s="109"/>
      <c r="Q407" s="109"/>
      <c r="R407" s="109"/>
      <c r="S407" s="109"/>
      <c r="T407" s="109"/>
      <c r="U407" s="109"/>
      <c r="V407" s="109"/>
      <c r="W407" s="109"/>
      <c r="X407" s="109"/>
      <c r="Y407" s="109"/>
      <c r="Z407" s="109"/>
    </row>
    <row r="408" ht="12.75" customHeight="1">
      <c r="A408" s="109"/>
      <c r="B408" s="109"/>
      <c r="C408" s="109"/>
      <c r="D408" s="109"/>
      <c r="E408" s="109"/>
      <c r="F408" s="154"/>
      <c r="G408" s="154"/>
      <c r="H408" s="109"/>
      <c r="I408" s="109"/>
      <c r="J408" s="109"/>
      <c r="K408" s="109"/>
      <c r="L408" s="109"/>
      <c r="M408" s="109"/>
      <c r="N408" s="109"/>
      <c r="O408" s="109"/>
      <c r="P408" s="109"/>
      <c r="Q408" s="109"/>
      <c r="R408" s="109"/>
      <c r="S408" s="109"/>
      <c r="T408" s="109"/>
      <c r="U408" s="109"/>
      <c r="V408" s="109"/>
      <c r="W408" s="109"/>
      <c r="X408" s="109"/>
      <c r="Y408" s="109"/>
      <c r="Z408" s="109"/>
    </row>
    <row r="409" ht="12.75" customHeight="1">
      <c r="A409" s="109"/>
      <c r="B409" s="109"/>
      <c r="C409" s="109"/>
      <c r="D409" s="109"/>
      <c r="E409" s="109"/>
      <c r="F409" s="154"/>
      <c r="G409" s="154"/>
      <c r="H409" s="109"/>
      <c r="I409" s="109"/>
      <c r="J409" s="109"/>
      <c r="K409" s="109"/>
      <c r="L409" s="109"/>
      <c r="M409" s="109"/>
      <c r="N409" s="109"/>
      <c r="O409" s="109"/>
      <c r="P409" s="109"/>
      <c r="Q409" s="109"/>
      <c r="R409" s="109"/>
      <c r="S409" s="109"/>
      <c r="T409" s="109"/>
      <c r="U409" s="109"/>
      <c r="V409" s="109"/>
      <c r="W409" s="109"/>
      <c r="X409" s="109"/>
      <c r="Y409" s="109"/>
      <c r="Z409" s="109"/>
    </row>
    <row r="410" ht="12.75" customHeight="1">
      <c r="A410" s="109"/>
      <c r="B410" s="109"/>
      <c r="C410" s="109"/>
      <c r="D410" s="109"/>
      <c r="E410" s="109"/>
      <c r="F410" s="154"/>
      <c r="G410" s="154"/>
      <c r="H410" s="109"/>
      <c r="I410" s="109"/>
      <c r="J410" s="109"/>
      <c r="K410" s="109"/>
      <c r="L410" s="109"/>
      <c r="M410" s="109"/>
      <c r="N410" s="109"/>
      <c r="O410" s="109"/>
      <c r="P410" s="109"/>
      <c r="Q410" s="109"/>
      <c r="R410" s="109"/>
      <c r="S410" s="109"/>
      <c r="T410" s="109"/>
      <c r="U410" s="109"/>
      <c r="V410" s="109"/>
      <c r="W410" s="109"/>
      <c r="X410" s="109"/>
      <c r="Y410" s="109"/>
      <c r="Z410" s="109"/>
    </row>
    <row r="411" ht="12.75" customHeight="1">
      <c r="A411" s="109"/>
      <c r="B411" s="109"/>
      <c r="C411" s="109"/>
      <c r="D411" s="109"/>
      <c r="E411" s="109"/>
      <c r="F411" s="154"/>
      <c r="G411" s="154"/>
      <c r="H411" s="109"/>
      <c r="I411" s="109"/>
      <c r="J411" s="109"/>
      <c r="K411" s="109"/>
      <c r="L411" s="109"/>
      <c r="M411" s="109"/>
      <c r="N411" s="109"/>
      <c r="O411" s="109"/>
      <c r="P411" s="109"/>
      <c r="Q411" s="109"/>
      <c r="R411" s="109"/>
      <c r="S411" s="109"/>
      <c r="T411" s="109"/>
      <c r="U411" s="109"/>
      <c r="V411" s="109"/>
      <c r="W411" s="109"/>
      <c r="X411" s="109"/>
      <c r="Y411" s="109"/>
      <c r="Z411" s="109"/>
    </row>
    <row r="412" ht="12.75" customHeight="1">
      <c r="A412" s="109"/>
      <c r="B412" s="109"/>
      <c r="C412" s="109"/>
      <c r="D412" s="109"/>
      <c r="E412" s="109"/>
      <c r="F412" s="154"/>
      <c r="G412" s="154"/>
      <c r="H412" s="109"/>
      <c r="I412" s="109"/>
      <c r="J412" s="109"/>
      <c r="K412" s="109"/>
      <c r="L412" s="109"/>
      <c r="M412" s="109"/>
      <c r="N412" s="109"/>
      <c r="O412" s="109"/>
      <c r="P412" s="109"/>
      <c r="Q412" s="109"/>
      <c r="R412" s="109"/>
      <c r="S412" s="109"/>
      <c r="T412" s="109"/>
      <c r="U412" s="109"/>
      <c r="V412" s="109"/>
      <c r="W412" s="109"/>
      <c r="X412" s="109"/>
      <c r="Y412" s="109"/>
      <c r="Z412" s="109"/>
    </row>
    <row r="413" ht="12.75" customHeight="1">
      <c r="A413" s="109"/>
      <c r="B413" s="109"/>
      <c r="C413" s="109"/>
      <c r="D413" s="109"/>
      <c r="E413" s="109"/>
      <c r="F413" s="154"/>
      <c r="G413" s="154"/>
      <c r="H413" s="109"/>
      <c r="I413" s="109"/>
      <c r="J413" s="109"/>
      <c r="K413" s="109"/>
      <c r="L413" s="109"/>
      <c r="M413" s="109"/>
      <c r="N413" s="109"/>
      <c r="O413" s="109"/>
      <c r="P413" s="109"/>
      <c r="Q413" s="109"/>
      <c r="R413" s="109"/>
      <c r="S413" s="109"/>
      <c r="T413" s="109"/>
      <c r="U413" s="109"/>
      <c r="V413" s="109"/>
      <c r="W413" s="109"/>
      <c r="X413" s="109"/>
      <c r="Y413" s="109"/>
      <c r="Z413" s="109"/>
    </row>
    <row r="414" ht="12.75" customHeight="1">
      <c r="A414" s="109"/>
      <c r="B414" s="109"/>
      <c r="C414" s="109"/>
      <c r="D414" s="109"/>
      <c r="E414" s="109"/>
      <c r="F414" s="154"/>
      <c r="G414" s="154"/>
      <c r="H414" s="109"/>
      <c r="I414" s="109"/>
      <c r="J414" s="109"/>
      <c r="K414" s="109"/>
      <c r="L414" s="109"/>
      <c r="M414" s="109"/>
      <c r="N414" s="109"/>
      <c r="O414" s="109"/>
      <c r="P414" s="109"/>
      <c r="Q414" s="109"/>
      <c r="R414" s="109"/>
      <c r="S414" s="109"/>
      <c r="T414" s="109"/>
      <c r="U414" s="109"/>
      <c r="V414" s="109"/>
      <c r="W414" s="109"/>
      <c r="X414" s="109"/>
      <c r="Y414" s="109"/>
      <c r="Z414" s="109"/>
    </row>
    <row r="415" ht="12.75" customHeight="1">
      <c r="A415" s="109"/>
      <c r="B415" s="109"/>
      <c r="C415" s="109"/>
      <c r="D415" s="109"/>
      <c r="E415" s="109"/>
      <c r="F415" s="154"/>
      <c r="G415" s="154"/>
      <c r="H415" s="109"/>
      <c r="I415" s="109"/>
      <c r="J415" s="109"/>
      <c r="K415" s="109"/>
      <c r="L415" s="109"/>
      <c r="M415" s="109"/>
      <c r="N415" s="109"/>
      <c r="O415" s="109"/>
      <c r="P415" s="109"/>
      <c r="Q415" s="109"/>
      <c r="R415" s="109"/>
      <c r="S415" s="109"/>
      <c r="T415" s="109"/>
      <c r="U415" s="109"/>
      <c r="V415" s="109"/>
      <c r="W415" s="109"/>
      <c r="X415" s="109"/>
      <c r="Y415" s="109"/>
      <c r="Z415" s="109"/>
    </row>
    <row r="416" ht="12.75" customHeight="1">
      <c r="A416" s="109"/>
      <c r="B416" s="109"/>
      <c r="C416" s="109"/>
      <c r="D416" s="109"/>
      <c r="E416" s="109"/>
      <c r="F416" s="154"/>
      <c r="G416" s="154"/>
      <c r="H416" s="109"/>
      <c r="I416" s="109"/>
      <c r="J416" s="109"/>
      <c r="K416" s="109"/>
      <c r="L416" s="109"/>
      <c r="M416" s="109"/>
      <c r="N416" s="109"/>
      <c r="O416" s="109"/>
      <c r="P416" s="109"/>
      <c r="Q416" s="109"/>
      <c r="R416" s="109"/>
      <c r="S416" s="109"/>
      <c r="T416" s="109"/>
      <c r="U416" s="109"/>
      <c r="V416" s="109"/>
      <c r="W416" s="109"/>
      <c r="X416" s="109"/>
      <c r="Y416" s="109"/>
      <c r="Z416" s="109"/>
    </row>
    <row r="417" ht="12.75" customHeight="1">
      <c r="A417" s="109"/>
      <c r="B417" s="109"/>
      <c r="C417" s="109"/>
      <c r="D417" s="109"/>
      <c r="E417" s="109"/>
      <c r="F417" s="154"/>
      <c r="G417" s="154"/>
      <c r="H417" s="109"/>
      <c r="I417" s="109"/>
      <c r="J417" s="109"/>
      <c r="K417" s="109"/>
      <c r="L417" s="109"/>
      <c r="M417" s="109"/>
      <c r="N417" s="109"/>
      <c r="O417" s="109"/>
      <c r="P417" s="109"/>
      <c r="Q417" s="109"/>
      <c r="R417" s="109"/>
      <c r="S417" s="109"/>
      <c r="T417" s="109"/>
      <c r="U417" s="109"/>
      <c r="V417" s="109"/>
      <c r="W417" s="109"/>
      <c r="X417" s="109"/>
      <c r="Y417" s="109"/>
      <c r="Z417" s="109"/>
    </row>
    <row r="418" ht="12.75" customHeight="1">
      <c r="A418" s="109"/>
      <c r="B418" s="109"/>
      <c r="C418" s="109"/>
      <c r="D418" s="109"/>
      <c r="E418" s="109"/>
      <c r="F418" s="154"/>
      <c r="G418" s="154"/>
      <c r="H418" s="109"/>
      <c r="I418" s="109"/>
      <c r="J418" s="109"/>
      <c r="K418" s="109"/>
      <c r="L418" s="109"/>
      <c r="M418" s="109"/>
      <c r="N418" s="109"/>
      <c r="O418" s="109"/>
      <c r="P418" s="109"/>
      <c r="Q418" s="109"/>
      <c r="R418" s="109"/>
      <c r="S418" s="109"/>
      <c r="T418" s="109"/>
      <c r="U418" s="109"/>
      <c r="V418" s="109"/>
      <c r="W418" s="109"/>
      <c r="X418" s="109"/>
      <c r="Y418" s="109"/>
      <c r="Z418" s="109"/>
    </row>
    <row r="419" ht="12.75" customHeight="1">
      <c r="A419" s="109"/>
      <c r="B419" s="109"/>
      <c r="C419" s="109"/>
      <c r="D419" s="109"/>
      <c r="E419" s="109"/>
      <c r="F419" s="154"/>
      <c r="G419" s="154"/>
      <c r="H419" s="109"/>
      <c r="I419" s="109"/>
      <c r="J419" s="109"/>
      <c r="K419" s="109"/>
      <c r="L419" s="109"/>
      <c r="M419" s="109"/>
      <c r="N419" s="109"/>
      <c r="O419" s="109"/>
      <c r="P419" s="109"/>
      <c r="Q419" s="109"/>
      <c r="R419" s="109"/>
      <c r="S419" s="109"/>
      <c r="T419" s="109"/>
      <c r="U419" s="109"/>
      <c r="V419" s="109"/>
      <c r="W419" s="109"/>
      <c r="X419" s="109"/>
      <c r="Y419" s="109"/>
      <c r="Z419" s="109"/>
    </row>
    <row r="420" ht="12.75" customHeight="1">
      <c r="A420" s="109"/>
      <c r="B420" s="109"/>
      <c r="C420" s="109"/>
      <c r="D420" s="109"/>
      <c r="E420" s="109"/>
      <c r="F420" s="154"/>
      <c r="G420" s="154"/>
      <c r="H420" s="109"/>
      <c r="I420" s="109"/>
      <c r="J420" s="109"/>
      <c r="K420" s="109"/>
      <c r="L420" s="109"/>
      <c r="M420" s="109"/>
      <c r="N420" s="109"/>
      <c r="O420" s="109"/>
      <c r="P420" s="109"/>
      <c r="Q420" s="109"/>
      <c r="R420" s="109"/>
      <c r="S420" s="109"/>
      <c r="T420" s="109"/>
      <c r="U420" s="109"/>
      <c r="V420" s="109"/>
      <c r="W420" s="109"/>
      <c r="X420" s="109"/>
      <c r="Y420" s="109"/>
      <c r="Z420" s="109"/>
    </row>
    <row r="421" ht="12.75" customHeight="1">
      <c r="A421" s="109"/>
      <c r="B421" s="109"/>
      <c r="C421" s="109"/>
      <c r="D421" s="109"/>
      <c r="E421" s="109"/>
      <c r="F421" s="154"/>
      <c r="G421" s="154"/>
      <c r="H421" s="109"/>
      <c r="I421" s="109"/>
      <c r="J421" s="109"/>
      <c r="K421" s="109"/>
      <c r="L421" s="109"/>
      <c r="M421" s="109"/>
      <c r="N421" s="109"/>
      <c r="O421" s="109"/>
      <c r="P421" s="109"/>
      <c r="Q421" s="109"/>
      <c r="R421" s="109"/>
      <c r="S421" s="109"/>
      <c r="T421" s="109"/>
      <c r="U421" s="109"/>
      <c r="V421" s="109"/>
      <c r="W421" s="109"/>
      <c r="X421" s="109"/>
      <c r="Y421" s="109"/>
      <c r="Z421" s="109"/>
    </row>
    <row r="422" ht="12.75" customHeight="1">
      <c r="A422" s="109"/>
      <c r="B422" s="109"/>
      <c r="C422" s="109"/>
      <c r="D422" s="109"/>
      <c r="E422" s="109"/>
      <c r="F422" s="154"/>
      <c r="G422" s="154"/>
      <c r="H422" s="109"/>
      <c r="I422" s="109"/>
      <c r="J422" s="109"/>
      <c r="K422" s="109"/>
      <c r="L422" s="109"/>
      <c r="M422" s="109"/>
      <c r="N422" s="109"/>
      <c r="O422" s="109"/>
      <c r="P422" s="109"/>
      <c r="Q422" s="109"/>
      <c r="R422" s="109"/>
      <c r="S422" s="109"/>
      <c r="T422" s="109"/>
      <c r="U422" s="109"/>
      <c r="V422" s="109"/>
      <c r="W422" s="109"/>
      <c r="X422" s="109"/>
      <c r="Y422" s="109"/>
      <c r="Z422" s="109"/>
    </row>
    <row r="423" ht="12.75" customHeight="1">
      <c r="A423" s="109"/>
      <c r="B423" s="109"/>
      <c r="C423" s="109"/>
      <c r="D423" s="109"/>
      <c r="E423" s="109"/>
      <c r="F423" s="154"/>
      <c r="G423" s="154"/>
      <c r="H423" s="109"/>
      <c r="I423" s="109"/>
      <c r="J423" s="109"/>
      <c r="K423" s="109"/>
      <c r="L423" s="109"/>
      <c r="M423" s="109"/>
      <c r="N423" s="109"/>
      <c r="O423" s="109"/>
      <c r="P423" s="109"/>
      <c r="Q423" s="109"/>
      <c r="R423" s="109"/>
      <c r="S423" s="109"/>
      <c r="T423" s="109"/>
      <c r="U423" s="109"/>
      <c r="V423" s="109"/>
      <c r="W423" s="109"/>
      <c r="X423" s="109"/>
      <c r="Y423" s="109"/>
      <c r="Z423" s="109"/>
    </row>
    <row r="424" ht="12.75" customHeight="1">
      <c r="A424" s="109"/>
      <c r="B424" s="109"/>
      <c r="C424" s="109"/>
      <c r="D424" s="109"/>
      <c r="E424" s="109"/>
      <c r="F424" s="154"/>
      <c r="G424" s="154"/>
      <c r="H424" s="109"/>
      <c r="I424" s="109"/>
      <c r="J424" s="109"/>
      <c r="K424" s="109"/>
      <c r="L424" s="109"/>
      <c r="M424" s="109"/>
      <c r="N424" s="109"/>
      <c r="O424" s="109"/>
      <c r="P424" s="109"/>
      <c r="Q424" s="109"/>
      <c r="R424" s="109"/>
      <c r="S424" s="109"/>
      <c r="T424" s="109"/>
      <c r="U424" s="109"/>
      <c r="V424" s="109"/>
      <c r="W424" s="109"/>
      <c r="X424" s="109"/>
      <c r="Y424" s="109"/>
      <c r="Z424" s="109"/>
    </row>
    <row r="425" ht="12.75" customHeight="1">
      <c r="A425" s="109"/>
      <c r="B425" s="109"/>
      <c r="C425" s="109"/>
      <c r="D425" s="109"/>
      <c r="E425" s="109"/>
      <c r="F425" s="154"/>
      <c r="G425" s="154"/>
      <c r="H425" s="109"/>
      <c r="I425" s="109"/>
      <c r="J425" s="109"/>
      <c r="K425" s="109"/>
      <c r="L425" s="109"/>
      <c r="M425" s="109"/>
      <c r="N425" s="109"/>
      <c r="O425" s="109"/>
      <c r="P425" s="109"/>
      <c r="Q425" s="109"/>
      <c r="R425" s="109"/>
      <c r="S425" s="109"/>
      <c r="T425" s="109"/>
      <c r="U425" s="109"/>
      <c r="V425" s="109"/>
      <c r="W425" s="109"/>
      <c r="X425" s="109"/>
      <c r="Y425" s="109"/>
      <c r="Z425" s="109"/>
    </row>
    <row r="426" ht="12.75" customHeight="1">
      <c r="A426" s="109"/>
      <c r="B426" s="109"/>
      <c r="C426" s="109"/>
      <c r="D426" s="109"/>
      <c r="E426" s="109"/>
      <c r="F426" s="154"/>
      <c r="G426" s="154"/>
      <c r="H426" s="109"/>
      <c r="I426" s="109"/>
      <c r="J426" s="109"/>
      <c r="K426" s="109"/>
      <c r="L426" s="109"/>
      <c r="M426" s="109"/>
      <c r="N426" s="109"/>
      <c r="O426" s="109"/>
      <c r="P426" s="109"/>
      <c r="Q426" s="109"/>
      <c r="R426" s="109"/>
      <c r="S426" s="109"/>
      <c r="T426" s="109"/>
      <c r="U426" s="109"/>
      <c r="V426" s="109"/>
      <c r="W426" s="109"/>
      <c r="X426" s="109"/>
      <c r="Y426" s="109"/>
      <c r="Z426" s="109"/>
    </row>
    <row r="427" ht="12.75" customHeight="1">
      <c r="A427" s="109"/>
      <c r="B427" s="109"/>
      <c r="C427" s="109"/>
      <c r="D427" s="109"/>
      <c r="E427" s="109"/>
      <c r="F427" s="154"/>
      <c r="G427" s="154"/>
      <c r="H427" s="109"/>
      <c r="I427" s="109"/>
      <c r="J427" s="109"/>
      <c r="K427" s="109"/>
      <c r="L427" s="109"/>
      <c r="M427" s="109"/>
      <c r="N427" s="109"/>
      <c r="O427" s="109"/>
      <c r="P427" s="109"/>
      <c r="Q427" s="109"/>
      <c r="R427" s="109"/>
      <c r="S427" s="109"/>
      <c r="T427" s="109"/>
      <c r="U427" s="109"/>
      <c r="V427" s="109"/>
      <c r="W427" s="109"/>
      <c r="X427" s="109"/>
      <c r="Y427" s="109"/>
      <c r="Z427" s="109"/>
    </row>
    <row r="428" ht="12.75" customHeight="1">
      <c r="A428" s="109"/>
      <c r="B428" s="109"/>
      <c r="C428" s="109"/>
      <c r="D428" s="109"/>
      <c r="E428" s="109"/>
      <c r="F428" s="154"/>
      <c r="G428" s="154"/>
      <c r="H428" s="109"/>
      <c r="I428" s="109"/>
      <c r="J428" s="109"/>
      <c r="K428" s="109"/>
      <c r="L428" s="109"/>
      <c r="M428" s="109"/>
      <c r="N428" s="109"/>
      <c r="O428" s="109"/>
      <c r="P428" s="109"/>
      <c r="Q428" s="109"/>
      <c r="R428" s="109"/>
      <c r="S428" s="109"/>
      <c r="T428" s="109"/>
      <c r="U428" s="109"/>
      <c r="V428" s="109"/>
      <c r="W428" s="109"/>
      <c r="X428" s="109"/>
      <c r="Y428" s="109"/>
      <c r="Z428" s="109"/>
    </row>
    <row r="429" ht="12.75" customHeight="1">
      <c r="A429" s="109"/>
      <c r="B429" s="109"/>
      <c r="C429" s="109"/>
      <c r="D429" s="109"/>
      <c r="E429" s="109"/>
      <c r="F429" s="154"/>
      <c r="G429" s="154"/>
      <c r="H429" s="109"/>
      <c r="I429" s="109"/>
      <c r="J429" s="109"/>
      <c r="K429" s="109"/>
      <c r="L429" s="109"/>
      <c r="M429" s="109"/>
      <c r="N429" s="109"/>
      <c r="O429" s="109"/>
      <c r="P429" s="109"/>
      <c r="Q429" s="109"/>
      <c r="R429" s="109"/>
      <c r="S429" s="109"/>
      <c r="T429" s="109"/>
      <c r="U429" s="109"/>
      <c r="V429" s="109"/>
      <c r="W429" s="109"/>
      <c r="X429" s="109"/>
      <c r="Y429" s="109"/>
      <c r="Z429" s="109"/>
    </row>
    <row r="430" ht="12.75" customHeight="1">
      <c r="A430" s="109"/>
      <c r="B430" s="109"/>
      <c r="C430" s="109"/>
      <c r="D430" s="109"/>
      <c r="E430" s="109"/>
      <c r="F430" s="154"/>
      <c r="G430" s="154"/>
      <c r="H430" s="109"/>
      <c r="I430" s="109"/>
      <c r="J430" s="109"/>
      <c r="K430" s="109"/>
      <c r="L430" s="109"/>
      <c r="M430" s="109"/>
      <c r="N430" s="109"/>
      <c r="O430" s="109"/>
      <c r="P430" s="109"/>
      <c r="Q430" s="109"/>
      <c r="R430" s="109"/>
      <c r="S430" s="109"/>
      <c r="T430" s="109"/>
      <c r="U430" s="109"/>
      <c r="V430" s="109"/>
      <c r="W430" s="109"/>
      <c r="X430" s="109"/>
      <c r="Y430" s="109"/>
      <c r="Z430" s="109"/>
    </row>
    <row r="431" ht="12.75" customHeight="1">
      <c r="A431" s="109"/>
      <c r="B431" s="109"/>
      <c r="C431" s="109"/>
      <c r="D431" s="109"/>
      <c r="E431" s="109"/>
      <c r="F431" s="154"/>
      <c r="G431" s="154"/>
      <c r="H431" s="109"/>
      <c r="I431" s="109"/>
      <c r="J431" s="109"/>
      <c r="K431" s="109"/>
      <c r="L431" s="109"/>
      <c r="M431" s="109"/>
      <c r="N431" s="109"/>
      <c r="O431" s="109"/>
      <c r="P431" s="109"/>
      <c r="Q431" s="109"/>
      <c r="R431" s="109"/>
      <c r="S431" s="109"/>
      <c r="T431" s="109"/>
      <c r="U431" s="109"/>
      <c r="V431" s="109"/>
      <c r="W431" s="109"/>
      <c r="X431" s="109"/>
      <c r="Y431" s="109"/>
      <c r="Z431" s="109"/>
    </row>
    <row r="432" ht="12.75" customHeight="1">
      <c r="A432" s="109"/>
      <c r="B432" s="109"/>
      <c r="C432" s="109"/>
      <c r="D432" s="109"/>
      <c r="E432" s="109"/>
      <c r="F432" s="154"/>
      <c r="G432" s="154"/>
      <c r="H432" s="109"/>
      <c r="I432" s="109"/>
      <c r="J432" s="109"/>
      <c r="K432" s="109"/>
      <c r="L432" s="109"/>
      <c r="M432" s="109"/>
      <c r="N432" s="109"/>
      <c r="O432" s="109"/>
      <c r="P432" s="109"/>
      <c r="Q432" s="109"/>
      <c r="R432" s="109"/>
      <c r="S432" s="109"/>
      <c r="T432" s="109"/>
      <c r="U432" s="109"/>
      <c r="V432" s="109"/>
      <c r="W432" s="109"/>
      <c r="X432" s="109"/>
      <c r="Y432" s="109"/>
      <c r="Z432" s="109"/>
    </row>
    <row r="433" ht="12.75" customHeight="1">
      <c r="A433" s="109"/>
      <c r="B433" s="109"/>
      <c r="C433" s="109"/>
      <c r="D433" s="109"/>
      <c r="E433" s="109"/>
      <c r="F433" s="154"/>
      <c r="G433" s="154"/>
      <c r="H433" s="109"/>
      <c r="I433" s="109"/>
      <c r="J433" s="109"/>
      <c r="K433" s="109"/>
      <c r="L433" s="109"/>
      <c r="M433" s="109"/>
      <c r="N433" s="109"/>
      <c r="O433" s="109"/>
      <c r="P433" s="109"/>
      <c r="Q433" s="109"/>
      <c r="R433" s="109"/>
      <c r="S433" s="109"/>
      <c r="T433" s="109"/>
      <c r="U433" s="109"/>
      <c r="V433" s="109"/>
      <c r="W433" s="109"/>
      <c r="X433" s="109"/>
      <c r="Y433" s="109"/>
      <c r="Z433" s="109"/>
    </row>
    <row r="434" ht="12.75" customHeight="1">
      <c r="A434" s="109"/>
      <c r="B434" s="109"/>
      <c r="C434" s="109"/>
      <c r="D434" s="109"/>
      <c r="E434" s="109"/>
      <c r="F434" s="154"/>
      <c r="G434" s="154"/>
      <c r="H434" s="109"/>
      <c r="I434" s="109"/>
      <c r="J434" s="109"/>
      <c r="K434" s="109"/>
      <c r="L434" s="109"/>
      <c r="M434" s="109"/>
      <c r="N434" s="109"/>
      <c r="O434" s="109"/>
      <c r="P434" s="109"/>
      <c r="Q434" s="109"/>
      <c r="R434" s="109"/>
      <c r="S434" s="109"/>
      <c r="T434" s="109"/>
      <c r="U434" s="109"/>
      <c r="V434" s="109"/>
      <c r="W434" s="109"/>
      <c r="X434" s="109"/>
      <c r="Y434" s="109"/>
      <c r="Z434" s="109"/>
    </row>
    <row r="435" ht="12.75" customHeight="1">
      <c r="A435" s="109"/>
      <c r="B435" s="109"/>
      <c r="C435" s="109"/>
      <c r="D435" s="109"/>
      <c r="E435" s="109"/>
      <c r="F435" s="154"/>
      <c r="G435" s="154"/>
      <c r="H435" s="109"/>
      <c r="I435" s="109"/>
      <c r="J435" s="109"/>
      <c r="K435" s="109"/>
      <c r="L435" s="109"/>
      <c r="M435" s="109"/>
      <c r="N435" s="109"/>
      <c r="O435" s="109"/>
      <c r="P435" s="109"/>
      <c r="Q435" s="109"/>
      <c r="R435" s="109"/>
      <c r="S435" s="109"/>
      <c r="T435" s="109"/>
      <c r="U435" s="109"/>
      <c r="V435" s="109"/>
      <c r="W435" s="109"/>
      <c r="X435" s="109"/>
      <c r="Y435" s="109"/>
      <c r="Z435" s="109"/>
    </row>
    <row r="436" ht="12.75" customHeight="1">
      <c r="A436" s="109"/>
      <c r="B436" s="109"/>
      <c r="C436" s="109"/>
      <c r="D436" s="109"/>
      <c r="E436" s="109"/>
      <c r="F436" s="154"/>
      <c r="G436" s="154"/>
      <c r="H436" s="109"/>
      <c r="I436" s="109"/>
      <c r="J436" s="109"/>
      <c r="K436" s="109"/>
      <c r="L436" s="109"/>
      <c r="M436" s="109"/>
      <c r="N436" s="109"/>
      <c r="O436" s="109"/>
      <c r="P436" s="109"/>
      <c r="Q436" s="109"/>
      <c r="R436" s="109"/>
      <c r="S436" s="109"/>
      <c r="T436" s="109"/>
      <c r="U436" s="109"/>
      <c r="V436" s="109"/>
      <c r="W436" s="109"/>
      <c r="X436" s="109"/>
      <c r="Y436" s="109"/>
      <c r="Z436" s="109"/>
    </row>
    <row r="437" ht="12.75" customHeight="1">
      <c r="A437" s="109"/>
      <c r="B437" s="109"/>
      <c r="C437" s="109"/>
      <c r="D437" s="109"/>
      <c r="E437" s="109"/>
      <c r="F437" s="154"/>
      <c r="G437" s="154"/>
      <c r="H437" s="109"/>
      <c r="I437" s="109"/>
      <c r="J437" s="109"/>
      <c r="K437" s="109"/>
      <c r="L437" s="109"/>
      <c r="M437" s="109"/>
      <c r="N437" s="109"/>
      <c r="O437" s="109"/>
      <c r="P437" s="109"/>
      <c r="Q437" s="109"/>
      <c r="R437" s="109"/>
      <c r="S437" s="109"/>
      <c r="T437" s="109"/>
      <c r="U437" s="109"/>
      <c r="V437" s="109"/>
      <c r="W437" s="109"/>
      <c r="X437" s="109"/>
      <c r="Y437" s="109"/>
      <c r="Z437" s="109"/>
    </row>
    <row r="438" ht="12.75" customHeight="1">
      <c r="A438" s="109"/>
      <c r="B438" s="109"/>
      <c r="C438" s="109"/>
      <c r="D438" s="109"/>
      <c r="E438" s="109"/>
      <c r="F438" s="154"/>
      <c r="G438" s="154"/>
      <c r="H438" s="109"/>
      <c r="I438" s="109"/>
      <c r="J438" s="109"/>
      <c r="K438" s="109"/>
      <c r="L438" s="109"/>
      <c r="M438" s="109"/>
      <c r="N438" s="109"/>
      <c r="O438" s="109"/>
      <c r="P438" s="109"/>
      <c r="Q438" s="109"/>
      <c r="R438" s="109"/>
      <c r="S438" s="109"/>
      <c r="T438" s="109"/>
      <c r="U438" s="109"/>
      <c r="V438" s="109"/>
      <c r="W438" s="109"/>
      <c r="X438" s="109"/>
      <c r="Y438" s="109"/>
      <c r="Z438" s="109"/>
    </row>
    <row r="439" ht="12.75" customHeight="1">
      <c r="A439" s="109"/>
      <c r="B439" s="109"/>
      <c r="C439" s="109"/>
      <c r="D439" s="109"/>
      <c r="E439" s="109"/>
      <c r="F439" s="154"/>
      <c r="G439" s="154"/>
      <c r="H439" s="109"/>
      <c r="I439" s="109"/>
      <c r="J439" s="109"/>
      <c r="K439" s="109"/>
      <c r="L439" s="109"/>
      <c r="M439" s="109"/>
      <c r="N439" s="109"/>
      <c r="O439" s="109"/>
      <c r="P439" s="109"/>
      <c r="Q439" s="109"/>
      <c r="R439" s="109"/>
      <c r="S439" s="109"/>
      <c r="T439" s="109"/>
      <c r="U439" s="109"/>
      <c r="V439" s="109"/>
      <c r="W439" s="109"/>
      <c r="X439" s="109"/>
      <c r="Y439" s="109"/>
      <c r="Z439" s="109"/>
    </row>
    <row r="440" ht="12.75" customHeight="1">
      <c r="A440" s="109"/>
      <c r="B440" s="109"/>
      <c r="C440" s="109"/>
      <c r="D440" s="109"/>
      <c r="E440" s="109"/>
      <c r="F440" s="154"/>
      <c r="G440" s="154"/>
      <c r="H440" s="109"/>
      <c r="I440" s="109"/>
      <c r="J440" s="109"/>
      <c r="K440" s="109"/>
      <c r="L440" s="109"/>
      <c r="M440" s="109"/>
      <c r="N440" s="109"/>
      <c r="O440" s="109"/>
      <c r="P440" s="109"/>
      <c r="Q440" s="109"/>
      <c r="R440" s="109"/>
      <c r="S440" s="109"/>
      <c r="T440" s="109"/>
      <c r="U440" s="109"/>
      <c r="V440" s="109"/>
      <c r="W440" s="109"/>
      <c r="X440" s="109"/>
      <c r="Y440" s="109"/>
      <c r="Z440" s="109"/>
    </row>
    <row r="441" ht="12.75" customHeight="1">
      <c r="A441" s="109"/>
      <c r="B441" s="109"/>
      <c r="C441" s="109"/>
      <c r="D441" s="109"/>
      <c r="E441" s="109"/>
      <c r="F441" s="154"/>
      <c r="G441" s="154"/>
      <c r="H441" s="109"/>
      <c r="I441" s="109"/>
      <c r="J441" s="109"/>
      <c r="K441" s="109"/>
      <c r="L441" s="109"/>
      <c r="M441" s="109"/>
      <c r="N441" s="109"/>
      <c r="O441" s="109"/>
      <c r="P441" s="109"/>
      <c r="Q441" s="109"/>
      <c r="R441" s="109"/>
      <c r="S441" s="109"/>
      <c r="T441" s="109"/>
      <c r="U441" s="109"/>
      <c r="V441" s="109"/>
      <c r="W441" s="109"/>
      <c r="X441" s="109"/>
      <c r="Y441" s="109"/>
      <c r="Z441" s="109"/>
    </row>
    <row r="442" ht="12.75" customHeight="1">
      <c r="A442" s="109"/>
      <c r="B442" s="109"/>
      <c r="C442" s="109"/>
      <c r="D442" s="109"/>
      <c r="E442" s="109"/>
      <c r="F442" s="154"/>
      <c r="G442" s="154"/>
      <c r="H442" s="109"/>
      <c r="I442" s="109"/>
      <c r="J442" s="109"/>
      <c r="K442" s="109"/>
      <c r="L442" s="109"/>
      <c r="M442" s="109"/>
      <c r="N442" s="109"/>
      <c r="O442" s="109"/>
      <c r="P442" s="109"/>
      <c r="Q442" s="109"/>
      <c r="R442" s="109"/>
      <c r="S442" s="109"/>
      <c r="T442" s="109"/>
      <c r="U442" s="109"/>
      <c r="V442" s="109"/>
      <c r="W442" s="109"/>
      <c r="X442" s="109"/>
      <c r="Y442" s="109"/>
      <c r="Z442" s="109"/>
    </row>
    <row r="443" ht="12.75" customHeight="1">
      <c r="A443" s="109"/>
      <c r="B443" s="109"/>
      <c r="C443" s="109"/>
      <c r="D443" s="109"/>
      <c r="E443" s="109"/>
      <c r="F443" s="154"/>
      <c r="G443" s="154"/>
      <c r="H443" s="109"/>
      <c r="I443" s="109"/>
      <c r="J443" s="109"/>
      <c r="K443" s="109"/>
      <c r="L443" s="109"/>
      <c r="M443" s="109"/>
      <c r="N443" s="109"/>
      <c r="O443" s="109"/>
      <c r="P443" s="109"/>
      <c r="Q443" s="109"/>
      <c r="R443" s="109"/>
      <c r="S443" s="109"/>
      <c r="T443" s="109"/>
      <c r="U443" s="109"/>
      <c r="V443" s="109"/>
      <c r="W443" s="109"/>
      <c r="X443" s="109"/>
      <c r="Y443" s="109"/>
      <c r="Z443" s="109"/>
    </row>
    <row r="444" ht="12.75" customHeight="1">
      <c r="A444" s="109"/>
      <c r="B444" s="109"/>
      <c r="C444" s="109"/>
      <c r="D444" s="109"/>
      <c r="E444" s="109"/>
      <c r="F444" s="154"/>
      <c r="G444" s="154"/>
      <c r="H444" s="109"/>
      <c r="I444" s="109"/>
      <c r="J444" s="109"/>
      <c r="K444" s="109"/>
      <c r="L444" s="109"/>
      <c r="M444" s="109"/>
      <c r="N444" s="109"/>
      <c r="O444" s="109"/>
      <c r="P444" s="109"/>
      <c r="Q444" s="109"/>
      <c r="R444" s="109"/>
      <c r="S444" s="109"/>
      <c r="T444" s="109"/>
      <c r="U444" s="109"/>
      <c r="V444" s="109"/>
      <c r="W444" s="109"/>
      <c r="X444" s="109"/>
      <c r="Y444" s="109"/>
      <c r="Z444" s="109"/>
    </row>
    <row r="445" ht="12.75" customHeight="1">
      <c r="A445" s="109"/>
      <c r="B445" s="109"/>
      <c r="C445" s="109"/>
      <c r="D445" s="109"/>
      <c r="E445" s="109"/>
      <c r="F445" s="154"/>
      <c r="G445" s="154"/>
      <c r="H445" s="109"/>
      <c r="I445" s="109"/>
      <c r="J445" s="109"/>
      <c r="K445" s="109"/>
      <c r="L445" s="109"/>
      <c r="M445" s="109"/>
      <c r="N445" s="109"/>
      <c r="O445" s="109"/>
      <c r="P445" s="109"/>
      <c r="Q445" s="109"/>
      <c r="R445" s="109"/>
      <c r="S445" s="109"/>
      <c r="T445" s="109"/>
      <c r="U445" s="109"/>
      <c r="V445" s="109"/>
      <c r="W445" s="109"/>
      <c r="X445" s="109"/>
      <c r="Y445" s="109"/>
      <c r="Z445" s="109"/>
    </row>
    <row r="446" ht="12.75" customHeight="1">
      <c r="A446" s="109"/>
      <c r="B446" s="109"/>
      <c r="C446" s="109"/>
      <c r="D446" s="109"/>
      <c r="E446" s="109"/>
      <c r="F446" s="154"/>
      <c r="G446" s="154"/>
      <c r="H446" s="109"/>
      <c r="I446" s="109"/>
      <c r="J446" s="109"/>
      <c r="K446" s="109"/>
      <c r="L446" s="109"/>
      <c r="M446" s="109"/>
      <c r="N446" s="109"/>
      <c r="O446" s="109"/>
      <c r="P446" s="109"/>
      <c r="Q446" s="109"/>
      <c r="R446" s="109"/>
      <c r="S446" s="109"/>
      <c r="T446" s="109"/>
      <c r="U446" s="109"/>
      <c r="V446" s="109"/>
      <c r="W446" s="109"/>
      <c r="X446" s="109"/>
      <c r="Y446" s="109"/>
      <c r="Z446" s="109"/>
    </row>
    <row r="447" ht="12.75" customHeight="1">
      <c r="A447" s="109"/>
      <c r="B447" s="109"/>
      <c r="C447" s="109"/>
      <c r="D447" s="109"/>
      <c r="E447" s="109"/>
      <c r="F447" s="154"/>
      <c r="G447" s="154"/>
      <c r="H447" s="109"/>
      <c r="I447" s="109"/>
      <c r="J447" s="109"/>
      <c r="K447" s="109"/>
      <c r="L447" s="109"/>
      <c r="M447" s="109"/>
      <c r="N447" s="109"/>
      <c r="O447" s="109"/>
      <c r="P447" s="109"/>
      <c r="Q447" s="109"/>
      <c r="R447" s="109"/>
      <c r="S447" s="109"/>
      <c r="T447" s="109"/>
      <c r="U447" s="109"/>
      <c r="V447" s="109"/>
      <c r="W447" s="109"/>
      <c r="X447" s="109"/>
      <c r="Y447" s="109"/>
      <c r="Z447" s="109"/>
    </row>
    <row r="448" ht="12.75" customHeight="1">
      <c r="A448" s="109"/>
      <c r="B448" s="109"/>
      <c r="C448" s="109"/>
      <c r="D448" s="109"/>
      <c r="E448" s="109"/>
      <c r="F448" s="154"/>
      <c r="G448" s="154"/>
      <c r="H448" s="109"/>
      <c r="I448" s="109"/>
      <c r="J448" s="109"/>
      <c r="K448" s="109"/>
      <c r="L448" s="109"/>
      <c r="M448" s="109"/>
      <c r="N448" s="109"/>
      <c r="O448" s="109"/>
      <c r="P448" s="109"/>
      <c r="Q448" s="109"/>
      <c r="R448" s="109"/>
      <c r="S448" s="109"/>
      <c r="T448" s="109"/>
      <c r="U448" s="109"/>
      <c r="V448" s="109"/>
      <c r="W448" s="109"/>
      <c r="X448" s="109"/>
      <c r="Y448" s="109"/>
      <c r="Z448" s="109"/>
    </row>
    <row r="449" ht="12.75" customHeight="1">
      <c r="A449" s="109"/>
      <c r="B449" s="109"/>
      <c r="C449" s="109"/>
      <c r="D449" s="109"/>
      <c r="E449" s="109"/>
      <c r="F449" s="154"/>
      <c r="G449" s="154"/>
      <c r="H449" s="109"/>
      <c r="I449" s="109"/>
      <c r="J449" s="109"/>
      <c r="K449" s="109"/>
      <c r="L449" s="109"/>
      <c r="M449" s="109"/>
      <c r="N449" s="109"/>
      <c r="O449" s="109"/>
      <c r="P449" s="109"/>
      <c r="Q449" s="109"/>
      <c r="R449" s="109"/>
      <c r="S449" s="109"/>
      <c r="T449" s="109"/>
      <c r="U449" s="109"/>
      <c r="V449" s="109"/>
      <c r="W449" s="109"/>
      <c r="X449" s="109"/>
      <c r="Y449" s="109"/>
      <c r="Z449" s="109"/>
    </row>
    <row r="450" ht="12.75" customHeight="1">
      <c r="A450" s="109"/>
      <c r="B450" s="109"/>
      <c r="C450" s="109"/>
      <c r="D450" s="109"/>
      <c r="E450" s="109"/>
      <c r="F450" s="154"/>
      <c r="G450" s="154"/>
      <c r="H450" s="109"/>
      <c r="I450" s="109"/>
      <c r="J450" s="109"/>
      <c r="K450" s="109"/>
      <c r="L450" s="109"/>
      <c r="M450" s="109"/>
      <c r="N450" s="109"/>
      <c r="O450" s="109"/>
      <c r="P450" s="109"/>
      <c r="Q450" s="109"/>
      <c r="R450" s="109"/>
      <c r="S450" s="109"/>
      <c r="T450" s="109"/>
      <c r="U450" s="109"/>
      <c r="V450" s="109"/>
      <c r="W450" s="109"/>
      <c r="X450" s="109"/>
      <c r="Y450" s="109"/>
      <c r="Z450" s="109"/>
    </row>
    <row r="451" ht="12.75" customHeight="1">
      <c r="A451" s="109"/>
      <c r="B451" s="109"/>
      <c r="C451" s="109"/>
      <c r="D451" s="109"/>
      <c r="E451" s="109"/>
      <c r="F451" s="154"/>
      <c r="G451" s="154"/>
      <c r="H451" s="109"/>
      <c r="I451" s="109"/>
      <c r="J451" s="109"/>
      <c r="K451" s="109"/>
      <c r="L451" s="109"/>
      <c r="M451" s="109"/>
      <c r="N451" s="109"/>
      <c r="O451" s="109"/>
      <c r="P451" s="109"/>
      <c r="Q451" s="109"/>
      <c r="R451" s="109"/>
      <c r="S451" s="109"/>
      <c r="T451" s="109"/>
      <c r="U451" s="109"/>
      <c r="V451" s="109"/>
      <c r="W451" s="109"/>
      <c r="X451" s="109"/>
      <c r="Y451" s="109"/>
      <c r="Z451" s="109"/>
    </row>
    <row r="452" ht="12.75" customHeight="1">
      <c r="A452" s="109"/>
      <c r="B452" s="109"/>
      <c r="C452" s="109"/>
      <c r="D452" s="109"/>
      <c r="E452" s="109"/>
      <c r="F452" s="154"/>
      <c r="G452" s="154"/>
      <c r="H452" s="109"/>
      <c r="I452" s="109"/>
      <c r="J452" s="109"/>
      <c r="K452" s="109"/>
      <c r="L452" s="109"/>
      <c r="M452" s="109"/>
      <c r="N452" s="109"/>
      <c r="O452" s="109"/>
      <c r="P452" s="109"/>
      <c r="Q452" s="109"/>
      <c r="R452" s="109"/>
      <c r="S452" s="109"/>
      <c r="T452" s="109"/>
      <c r="U452" s="109"/>
      <c r="V452" s="109"/>
      <c r="W452" s="109"/>
      <c r="X452" s="109"/>
      <c r="Y452" s="109"/>
      <c r="Z452" s="109"/>
    </row>
    <row r="453" ht="12.75" customHeight="1">
      <c r="A453" s="109"/>
      <c r="B453" s="109"/>
      <c r="C453" s="109"/>
      <c r="D453" s="109"/>
      <c r="E453" s="109"/>
      <c r="F453" s="154"/>
      <c r="G453" s="154"/>
      <c r="H453" s="109"/>
      <c r="I453" s="109"/>
      <c r="J453" s="109"/>
      <c r="K453" s="109"/>
      <c r="L453" s="109"/>
      <c r="M453" s="109"/>
      <c r="N453" s="109"/>
      <c r="O453" s="109"/>
      <c r="P453" s="109"/>
      <c r="Q453" s="109"/>
      <c r="R453" s="109"/>
      <c r="S453" s="109"/>
      <c r="T453" s="109"/>
      <c r="U453" s="109"/>
      <c r="V453" s="109"/>
      <c r="W453" s="109"/>
      <c r="X453" s="109"/>
      <c r="Y453" s="109"/>
      <c r="Z453" s="109"/>
    </row>
    <row r="454" ht="12.75" customHeight="1">
      <c r="A454" s="109"/>
      <c r="B454" s="109"/>
      <c r="C454" s="109"/>
      <c r="D454" s="109"/>
      <c r="E454" s="109"/>
      <c r="F454" s="154"/>
      <c r="G454" s="154"/>
      <c r="H454" s="109"/>
      <c r="I454" s="109"/>
      <c r="J454" s="109"/>
      <c r="K454" s="109"/>
      <c r="L454" s="109"/>
      <c r="M454" s="109"/>
      <c r="N454" s="109"/>
      <c r="O454" s="109"/>
      <c r="P454" s="109"/>
      <c r="Q454" s="109"/>
      <c r="R454" s="109"/>
      <c r="S454" s="109"/>
      <c r="T454" s="109"/>
      <c r="U454" s="109"/>
      <c r="V454" s="109"/>
      <c r="W454" s="109"/>
      <c r="X454" s="109"/>
      <c r="Y454" s="109"/>
      <c r="Z454" s="109"/>
    </row>
    <row r="455" ht="12.75" customHeight="1">
      <c r="A455" s="109"/>
      <c r="B455" s="109"/>
      <c r="C455" s="109"/>
      <c r="D455" s="109"/>
      <c r="E455" s="109"/>
      <c r="F455" s="154"/>
      <c r="G455" s="154"/>
      <c r="H455" s="109"/>
      <c r="I455" s="109"/>
      <c r="J455" s="109"/>
      <c r="K455" s="109"/>
      <c r="L455" s="109"/>
      <c r="M455" s="109"/>
      <c r="N455" s="109"/>
      <c r="O455" s="109"/>
      <c r="P455" s="109"/>
      <c r="Q455" s="109"/>
      <c r="R455" s="109"/>
      <c r="S455" s="109"/>
      <c r="T455" s="109"/>
      <c r="U455" s="109"/>
      <c r="V455" s="109"/>
      <c r="W455" s="109"/>
      <c r="X455" s="109"/>
      <c r="Y455" s="109"/>
      <c r="Z455" s="109"/>
    </row>
    <row r="456" ht="12.75" customHeight="1">
      <c r="A456" s="109"/>
      <c r="B456" s="109"/>
      <c r="C456" s="109"/>
      <c r="D456" s="109"/>
      <c r="E456" s="109"/>
      <c r="F456" s="154"/>
      <c r="G456" s="154"/>
      <c r="H456" s="109"/>
      <c r="I456" s="109"/>
      <c r="J456" s="109"/>
      <c r="K456" s="109"/>
      <c r="L456" s="109"/>
      <c r="M456" s="109"/>
      <c r="N456" s="109"/>
      <c r="O456" s="109"/>
      <c r="P456" s="109"/>
      <c r="Q456" s="109"/>
      <c r="R456" s="109"/>
      <c r="S456" s="109"/>
      <c r="T456" s="109"/>
      <c r="U456" s="109"/>
      <c r="V456" s="109"/>
      <c r="W456" s="109"/>
      <c r="X456" s="109"/>
      <c r="Y456" s="109"/>
      <c r="Z456" s="109"/>
    </row>
    <row r="457" ht="12.75" customHeight="1">
      <c r="A457" s="109"/>
      <c r="B457" s="109"/>
      <c r="C457" s="109"/>
      <c r="D457" s="109"/>
      <c r="E457" s="109"/>
      <c r="F457" s="154"/>
      <c r="G457" s="154"/>
      <c r="H457" s="109"/>
      <c r="I457" s="109"/>
      <c r="J457" s="109"/>
      <c r="K457" s="109"/>
      <c r="L457" s="109"/>
      <c r="M457" s="109"/>
      <c r="N457" s="109"/>
      <c r="O457" s="109"/>
      <c r="P457" s="109"/>
      <c r="Q457" s="109"/>
      <c r="R457" s="109"/>
      <c r="S457" s="109"/>
      <c r="T457" s="109"/>
      <c r="U457" s="109"/>
      <c r="V457" s="109"/>
      <c r="W457" s="109"/>
      <c r="X457" s="109"/>
      <c r="Y457" s="109"/>
      <c r="Z457" s="109"/>
    </row>
    <row r="458" ht="12.75" customHeight="1">
      <c r="A458" s="109"/>
      <c r="B458" s="109"/>
      <c r="C458" s="109"/>
      <c r="D458" s="109"/>
      <c r="E458" s="109"/>
      <c r="F458" s="154"/>
      <c r="G458" s="154"/>
      <c r="H458" s="109"/>
      <c r="I458" s="109"/>
      <c r="J458" s="109"/>
      <c r="K458" s="109"/>
      <c r="L458" s="109"/>
      <c r="M458" s="109"/>
      <c r="N458" s="109"/>
      <c r="O458" s="109"/>
      <c r="P458" s="109"/>
      <c r="Q458" s="109"/>
      <c r="R458" s="109"/>
      <c r="S458" s="109"/>
      <c r="T458" s="109"/>
      <c r="U458" s="109"/>
      <c r="V458" s="109"/>
      <c r="W458" s="109"/>
      <c r="X458" s="109"/>
      <c r="Y458" s="109"/>
      <c r="Z458" s="109"/>
    </row>
    <row r="459" ht="12.75" customHeight="1">
      <c r="A459" s="109"/>
      <c r="B459" s="109"/>
      <c r="C459" s="109"/>
      <c r="D459" s="109"/>
      <c r="E459" s="109"/>
      <c r="F459" s="154"/>
      <c r="G459" s="154"/>
      <c r="H459" s="109"/>
      <c r="I459" s="109"/>
      <c r="J459" s="109"/>
      <c r="K459" s="109"/>
      <c r="L459" s="109"/>
      <c r="M459" s="109"/>
      <c r="N459" s="109"/>
      <c r="O459" s="109"/>
      <c r="P459" s="109"/>
      <c r="Q459" s="109"/>
      <c r="R459" s="109"/>
      <c r="S459" s="109"/>
      <c r="T459" s="109"/>
      <c r="U459" s="109"/>
      <c r="V459" s="109"/>
      <c r="W459" s="109"/>
      <c r="X459" s="109"/>
      <c r="Y459" s="109"/>
      <c r="Z459" s="109"/>
    </row>
    <row r="460" ht="12.75" customHeight="1">
      <c r="A460" s="109"/>
      <c r="B460" s="109"/>
      <c r="C460" s="109"/>
      <c r="D460" s="109"/>
      <c r="E460" s="109"/>
      <c r="F460" s="154"/>
      <c r="G460" s="154"/>
      <c r="H460" s="109"/>
      <c r="I460" s="109"/>
      <c r="J460" s="109"/>
      <c r="K460" s="109"/>
      <c r="L460" s="109"/>
      <c r="M460" s="109"/>
      <c r="N460" s="109"/>
      <c r="O460" s="109"/>
      <c r="P460" s="109"/>
      <c r="Q460" s="109"/>
      <c r="R460" s="109"/>
      <c r="S460" s="109"/>
      <c r="T460" s="109"/>
      <c r="U460" s="109"/>
      <c r="V460" s="109"/>
      <c r="W460" s="109"/>
      <c r="X460" s="109"/>
      <c r="Y460" s="109"/>
      <c r="Z460" s="109"/>
    </row>
    <row r="461" ht="12.75" customHeight="1">
      <c r="A461" s="109"/>
      <c r="B461" s="109"/>
      <c r="C461" s="109"/>
      <c r="D461" s="109"/>
      <c r="E461" s="109"/>
      <c r="F461" s="154"/>
      <c r="G461" s="154"/>
      <c r="H461" s="109"/>
      <c r="I461" s="109"/>
      <c r="J461" s="109"/>
      <c r="K461" s="109"/>
      <c r="L461" s="109"/>
      <c r="M461" s="109"/>
      <c r="N461" s="109"/>
      <c r="O461" s="109"/>
      <c r="P461" s="109"/>
      <c r="Q461" s="109"/>
      <c r="R461" s="109"/>
      <c r="S461" s="109"/>
      <c r="T461" s="109"/>
      <c r="U461" s="109"/>
      <c r="V461" s="109"/>
      <c r="W461" s="109"/>
      <c r="X461" s="109"/>
      <c r="Y461" s="109"/>
      <c r="Z461" s="109"/>
    </row>
    <row r="462" ht="12.75" customHeight="1">
      <c r="A462" s="109"/>
      <c r="B462" s="109"/>
      <c r="C462" s="109"/>
      <c r="D462" s="109"/>
      <c r="E462" s="109"/>
      <c r="F462" s="154"/>
      <c r="G462" s="154"/>
      <c r="H462" s="109"/>
      <c r="I462" s="109"/>
      <c r="J462" s="109"/>
      <c r="K462" s="109"/>
      <c r="L462" s="109"/>
      <c r="M462" s="109"/>
      <c r="N462" s="109"/>
      <c r="O462" s="109"/>
      <c r="P462" s="109"/>
      <c r="Q462" s="109"/>
      <c r="R462" s="109"/>
      <c r="S462" s="109"/>
      <c r="T462" s="109"/>
      <c r="U462" s="109"/>
      <c r="V462" s="109"/>
      <c r="W462" s="109"/>
      <c r="X462" s="109"/>
      <c r="Y462" s="109"/>
      <c r="Z462" s="109"/>
    </row>
    <row r="463" ht="12.75" customHeight="1">
      <c r="A463" s="109"/>
      <c r="B463" s="109"/>
      <c r="C463" s="109"/>
      <c r="D463" s="109"/>
      <c r="E463" s="109"/>
      <c r="F463" s="154"/>
      <c r="G463" s="154"/>
      <c r="H463" s="109"/>
      <c r="I463" s="109"/>
      <c r="J463" s="109"/>
      <c r="K463" s="109"/>
      <c r="L463" s="109"/>
      <c r="M463" s="109"/>
      <c r="N463" s="109"/>
      <c r="O463" s="109"/>
      <c r="P463" s="109"/>
      <c r="Q463" s="109"/>
      <c r="R463" s="109"/>
      <c r="S463" s="109"/>
      <c r="T463" s="109"/>
      <c r="U463" s="109"/>
      <c r="V463" s="109"/>
      <c r="W463" s="109"/>
      <c r="X463" s="109"/>
      <c r="Y463" s="109"/>
      <c r="Z463" s="109"/>
    </row>
    <row r="464" ht="12.75" customHeight="1">
      <c r="A464" s="109"/>
      <c r="B464" s="109"/>
      <c r="C464" s="109"/>
      <c r="D464" s="109"/>
      <c r="E464" s="109"/>
      <c r="F464" s="154"/>
      <c r="G464" s="154"/>
      <c r="H464" s="109"/>
      <c r="I464" s="109"/>
      <c r="J464" s="109"/>
      <c r="K464" s="109"/>
      <c r="L464" s="109"/>
      <c r="M464" s="109"/>
      <c r="N464" s="109"/>
      <c r="O464" s="109"/>
      <c r="P464" s="109"/>
      <c r="Q464" s="109"/>
      <c r="R464" s="109"/>
      <c r="S464" s="109"/>
      <c r="T464" s="109"/>
      <c r="U464" s="109"/>
      <c r="V464" s="109"/>
      <c r="W464" s="109"/>
      <c r="X464" s="109"/>
      <c r="Y464" s="109"/>
      <c r="Z464" s="109"/>
    </row>
    <row r="465" ht="12.75" customHeight="1">
      <c r="A465" s="109"/>
      <c r="B465" s="109"/>
      <c r="C465" s="109"/>
      <c r="D465" s="109"/>
      <c r="E465" s="109"/>
      <c r="F465" s="154"/>
      <c r="G465" s="154"/>
      <c r="H465" s="109"/>
      <c r="I465" s="109"/>
      <c r="J465" s="109"/>
      <c r="K465" s="109"/>
      <c r="L465" s="109"/>
      <c r="M465" s="109"/>
      <c r="N465" s="109"/>
      <c r="O465" s="109"/>
      <c r="P465" s="109"/>
      <c r="Q465" s="109"/>
      <c r="R465" s="109"/>
      <c r="S465" s="109"/>
      <c r="T465" s="109"/>
      <c r="U465" s="109"/>
      <c r="V465" s="109"/>
      <c r="W465" s="109"/>
      <c r="X465" s="109"/>
      <c r="Y465" s="109"/>
      <c r="Z465" s="109"/>
    </row>
    <row r="466" ht="12.75" customHeight="1">
      <c r="A466" s="109"/>
      <c r="B466" s="109"/>
      <c r="C466" s="109"/>
      <c r="D466" s="109"/>
      <c r="E466" s="109"/>
      <c r="F466" s="154"/>
      <c r="G466" s="154"/>
      <c r="H466" s="109"/>
      <c r="I466" s="109"/>
      <c r="J466" s="109"/>
      <c r="K466" s="109"/>
      <c r="L466" s="109"/>
      <c r="M466" s="109"/>
      <c r="N466" s="109"/>
      <c r="O466" s="109"/>
      <c r="P466" s="109"/>
      <c r="Q466" s="109"/>
      <c r="R466" s="109"/>
      <c r="S466" s="109"/>
      <c r="T466" s="109"/>
      <c r="U466" s="109"/>
      <c r="V466" s="109"/>
      <c r="W466" s="109"/>
      <c r="X466" s="109"/>
      <c r="Y466" s="109"/>
      <c r="Z466" s="109"/>
    </row>
    <row r="467" ht="12.75" customHeight="1">
      <c r="A467" s="109"/>
      <c r="B467" s="109"/>
      <c r="C467" s="109"/>
      <c r="D467" s="109"/>
      <c r="E467" s="109"/>
      <c r="F467" s="154"/>
      <c r="G467" s="154"/>
      <c r="H467" s="109"/>
      <c r="I467" s="109"/>
      <c r="J467" s="109"/>
      <c r="K467" s="109"/>
      <c r="L467" s="109"/>
      <c r="M467" s="109"/>
      <c r="N467" s="109"/>
      <c r="O467" s="109"/>
      <c r="P467" s="109"/>
      <c r="Q467" s="109"/>
      <c r="R467" s="109"/>
      <c r="S467" s="109"/>
      <c r="T467" s="109"/>
      <c r="U467" s="109"/>
      <c r="V467" s="109"/>
      <c r="W467" s="109"/>
      <c r="X467" s="109"/>
      <c r="Y467" s="109"/>
      <c r="Z467" s="109"/>
    </row>
    <row r="468" ht="12.75" customHeight="1">
      <c r="A468" s="109"/>
      <c r="B468" s="109"/>
      <c r="C468" s="109"/>
      <c r="D468" s="109"/>
      <c r="E468" s="109"/>
      <c r="F468" s="154"/>
      <c r="G468" s="154"/>
      <c r="H468" s="109"/>
      <c r="I468" s="109"/>
      <c r="J468" s="109"/>
      <c r="K468" s="109"/>
      <c r="L468" s="109"/>
      <c r="M468" s="109"/>
      <c r="N468" s="109"/>
      <c r="O468" s="109"/>
      <c r="P468" s="109"/>
      <c r="Q468" s="109"/>
      <c r="R468" s="109"/>
      <c r="S468" s="109"/>
      <c r="T468" s="109"/>
      <c r="U468" s="109"/>
      <c r="V468" s="109"/>
      <c r="W468" s="109"/>
      <c r="X468" s="109"/>
      <c r="Y468" s="109"/>
      <c r="Z468" s="109"/>
    </row>
    <row r="469" ht="12.75" customHeight="1">
      <c r="A469" s="109"/>
      <c r="B469" s="109"/>
      <c r="C469" s="109"/>
      <c r="D469" s="109"/>
      <c r="E469" s="109"/>
      <c r="F469" s="154"/>
      <c r="G469" s="154"/>
      <c r="H469" s="109"/>
      <c r="I469" s="109"/>
      <c r="J469" s="109"/>
      <c r="K469" s="109"/>
      <c r="L469" s="109"/>
      <c r="M469" s="109"/>
      <c r="N469" s="109"/>
      <c r="O469" s="109"/>
      <c r="P469" s="109"/>
      <c r="Q469" s="109"/>
      <c r="R469" s="109"/>
      <c r="S469" s="109"/>
      <c r="T469" s="109"/>
      <c r="U469" s="109"/>
      <c r="V469" s="109"/>
      <c r="W469" s="109"/>
      <c r="X469" s="109"/>
      <c r="Y469" s="109"/>
      <c r="Z469" s="109"/>
    </row>
    <row r="470" ht="12.75" customHeight="1">
      <c r="A470" s="109"/>
      <c r="B470" s="109"/>
      <c r="C470" s="109"/>
      <c r="D470" s="109"/>
      <c r="E470" s="109"/>
      <c r="F470" s="154"/>
      <c r="G470" s="154"/>
      <c r="H470" s="109"/>
      <c r="I470" s="109"/>
      <c r="J470" s="109"/>
      <c r="K470" s="109"/>
      <c r="L470" s="109"/>
      <c r="M470" s="109"/>
      <c r="N470" s="109"/>
      <c r="O470" s="109"/>
      <c r="P470" s="109"/>
      <c r="Q470" s="109"/>
      <c r="R470" s="109"/>
      <c r="S470" s="109"/>
      <c r="T470" s="109"/>
      <c r="U470" s="109"/>
      <c r="V470" s="109"/>
      <c r="W470" s="109"/>
      <c r="X470" s="109"/>
      <c r="Y470" s="109"/>
      <c r="Z470" s="109"/>
    </row>
    <row r="471" ht="12.75" customHeight="1">
      <c r="A471" s="109"/>
      <c r="B471" s="109"/>
      <c r="C471" s="109"/>
      <c r="D471" s="109"/>
      <c r="E471" s="109"/>
      <c r="F471" s="154"/>
      <c r="G471" s="154"/>
      <c r="H471" s="109"/>
      <c r="I471" s="109"/>
      <c r="J471" s="109"/>
      <c r="K471" s="109"/>
      <c r="L471" s="109"/>
      <c r="M471" s="109"/>
      <c r="N471" s="109"/>
      <c r="O471" s="109"/>
      <c r="P471" s="109"/>
      <c r="Q471" s="109"/>
      <c r="R471" s="109"/>
      <c r="S471" s="109"/>
      <c r="T471" s="109"/>
      <c r="U471" s="109"/>
      <c r="V471" s="109"/>
      <c r="W471" s="109"/>
      <c r="X471" s="109"/>
      <c r="Y471" s="109"/>
      <c r="Z471" s="109"/>
    </row>
    <row r="472" ht="12.75" customHeight="1">
      <c r="A472" s="109"/>
      <c r="B472" s="109"/>
      <c r="C472" s="109"/>
      <c r="D472" s="109"/>
      <c r="E472" s="109"/>
      <c r="F472" s="154"/>
      <c r="G472" s="154"/>
      <c r="H472" s="109"/>
      <c r="I472" s="109"/>
      <c r="J472" s="109"/>
      <c r="K472" s="109"/>
      <c r="L472" s="109"/>
      <c r="M472" s="109"/>
      <c r="N472" s="109"/>
      <c r="O472" s="109"/>
      <c r="P472" s="109"/>
      <c r="Q472" s="109"/>
      <c r="R472" s="109"/>
      <c r="S472" s="109"/>
      <c r="T472" s="109"/>
      <c r="U472" s="109"/>
      <c r="V472" s="109"/>
      <c r="W472" s="109"/>
      <c r="X472" s="109"/>
      <c r="Y472" s="109"/>
      <c r="Z472" s="109"/>
    </row>
    <row r="473" ht="12.75" customHeight="1">
      <c r="A473" s="109"/>
      <c r="B473" s="109"/>
      <c r="C473" s="109"/>
      <c r="D473" s="109"/>
      <c r="E473" s="109"/>
      <c r="F473" s="154"/>
      <c r="G473" s="154"/>
      <c r="H473" s="109"/>
      <c r="I473" s="109"/>
      <c r="J473" s="109"/>
      <c r="K473" s="109"/>
      <c r="L473" s="109"/>
      <c r="M473" s="109"/>
      <c r="N473" s="109"/>
      <c r="O473" s="109"/>
      <c r="P473" s="109"/>
      <c r="Q473" s="109"/>
      <c r="R473" s="109"/>
      <c r="S473" s="109"/>
      <c r="T473" s="109"/>
      <c r="U473" s="109"/>
      <c r="V473" s="109"/>
      <c r="W473" s="109"/>
      <c r="X473" s="109"/>
      <c r="Y473" s="109"/>
      <c r="Z473" s="109"/>
    </row>
    <row r="474" ht="12.75" customHeight="1">
      <c r="A474" s="109"/>
      <c r="B474" s="109"/>
      <c r="C474" s="109"/>
      <c r="D474" s="109"/>
      <c r="E474" s="109"/>
      <c r="F474" s="154"/>
      <c r="G474" s="154"/>
      <c r="H474" s="109"/>
      <c r="I474" s="109"/>
      <c r="J474" s="109"/>
      <c r="K474" s="109"/>
      <c r="L474" s="109"/>
      <c r="M474" s="109"/>
      <c r="N474" s="109"/>
      <c r="O474" s="109"/>
      <c r="P474" s="109"/>
      <c r="Q474" s="109"/>
      <c r="R474" s="109"/>
      <c r="S474" s="109"/>
      <c r="T474" s="109"/>
      <c r="U474" s="109"/>
      <c r="V474" s="109"/>
      <c r="W474" s="109"/>
      <c r="X474" s="109"/>
      <c r="Y474" s="109"/>
      <c r="Z474" s="109"/>
    </row>
    <row r="475" ht="12.75" customHeight="1">
      <c r="A475" s="109"/>
      <c r="B475" s="109"/>
      <c r="C475" s="109"/>
      <c r="D475" s="109"/>
      <c r="E475" s="109"/>
      <c r="F475" s="154"/>
      <c r="G475" s="154"/>
      <c r="H475" s="109"/>
      <c r="I475" s="109"/>
      <c r="J475" s="109"/>
      <c r="K475" s="109"/>
      <c r="L475" s="109"/>
      <c r="M475" s="109"/>
      <c r="N475" s="109"/>
      <c r="O475" s="109"/>
      <c r="P475" s="109"/>
      <c r="Q475" s="109"/>
      <c r="R475" s="109"/>
      <c r="S475" s="109"/>
      <c r="T475" s="109"/>
      <c r="U475" s="109"/>
      <c r="V475" s="109"/>
      <c r="W475" s="109"/>
      <c r="X475" s="109"/>
      <c r="Y475" s="109"/>
      <c r="Z475" s="109"/>
    </row>
    <row r="476" ht="12.75" customHeight="1">
      <c r="A476" s="109"/>
      <c r="B476" s="109"/>
      <c r="C476" s="109"/>
      <c r="D476" s="109"/>
      <c r="E476" s="109"/>
      <c r="F476" s="154"/>
      <c r="G476" s="154"/>
      <c r="H476" s="109"/>
      <c r="I476" s="109"/>
      <c r="J476" s="109"/>
      <c r="K476" s="109"/>
      <c r="L476" s="109"/>
      <c r="M476" s="109"/>
      <c r="N476" s="109"/>
      <c r="O476" s="109"/>
      <c r="P476" s="109"/>
      <c r="Q476" s="109"/>
      <c r="R476" s="109"/>
      <c r="S476" s="109"/>
      <c r="T476" s="109"/>
      <c r="U476" s="109"/>
      <c r="V476" s="109"/>
      <c r="W476" s="109"/>
      <c r="X476" s="109"/>
      <c r="Y476" s="109"/>
      <c r="Z476" s="109"/>
    </row>
    <row r="477" ht="12.75" customHeight="1">
      <c r="A477" s="109"/>
      <c r="B477" s="109"/>
      <c r="C477" s="109"/>
      <c r="D477" s="109"/>
      <c r="E477" s="109"/>
      <c r="F477" s="154"/>
      <c r="G477" s="154"/>
      <c r="H477" s="109"/>
      <c r="I477" s="109"/>
      <c r="J477" s="109"/>
      <c r="K477" s="109"/>
      <c r="L477" s="109"/>
      <c r="M477" s="109"/>
      <c r="N477" s="109"/>
      <c r="O477" s="109"/>
      <c r="P477" s="109"/>
      <c r="Q477" s="109"/>
      <c r="R477" s="109"/>
      <c r="S477" s="109"/>
      <c r="T477" s="109"/>
      <c r="U477" s="109"/>
      <c r="V477" s="109"/>
      <c r="W477" s="109"/>
      <c r="X477" s="109"/>
      <c r="Y477" s="109"/>
      <c r="Z477" s="109"/>
    </row>
    <row r="478" ht="12.75" customHeight="1">
      <c r="A478" s="109"/>
      <c r="B478" s="109"/>
      <c r="C478" s="109"/>
      <c r="D478" s="109"/>
      <c r="E478" s="109"/>
      <c r="F478" s="154"/>
      <c r="G478" s="154"/>
      <c r="H478" s="109"/>
      <c r="I478" s="109"/>
      <c r="J478" s="109"/>
      <c r="K478" s="109"/>
      <c r="L478" s="109"/>
      <c r="M478" s="109"/>
      <c r="N478" s="109"/>
      <c r="O478" s="109"/>
      <c r="P478" s="109"/>
      <c r="Q478" s="109"/>
      <c r="R478" s="109"/>
      <c r="S478" s="109"/>
      <c r="T478" s="109"/>
      <c r="U478" s="109"/>
      <c r="V478" s="109"/>
      <c r="W478" s="109"/>
      <c r="X478" s="109"/>
      <c r="Y478" s="109"/>
      <c r="Z478" s="109"/>
    </row>
    <row r="479" ht="12.75" customHeight="1">
      <c r="A479" s="109"/>
      <c r="B479" s="109"/>
      <c r="C479" s="109"/>
      <c r="D479" s="109"/>
      <c r="E479" s="109"/>
      <c r="F479" s="154"/>
      <c r="G479" s="154"/>
      <c r="H479" s="109"/>
      <c r="I479" s="109"/>
      <c r="J479" s="109"/>
      <c r="K479" s="109"/>
      <c r="L479" s="109"/>
      <c r="M479" s="109"/>
      <c r="N479" s="109"/>
      <c r="O479" s="109"/>
      <c r="P479" s="109"/>
      <c r="Q479" s="109"/>
      <c r="R479" s="109"/>
      <c r="S479" s="109"/>
      <c r="T479" s="109"/>
      <c r="U479" s="109"/>
      <c r="V479" s="109"/>
      <c r="W479" s="109"/>
      <c r="X479" s="109"/>
      <c r="Y479" s="109"/>
      <c r="Z479" s="109"/>
    </row>
    <row r="480" ht="12.75" customHeight="1">
      <c r="A480" s="109"/>
      <c r="B480" s="109"/>
      <c r="C480" s="109"/>
      <c r="D480" s="109"/>
      <c r="E480" s="109"/>
      <c r="F480" s="154"/>
      <c r="G480" s="154"/>
      <c r="H480" s="109"/>
      <c r="I480" s="109"/>
      <c r="J480" s="109"/>
      <c r="K480" s="109"/>
      <c r="L480" s="109"/>
      <c r="M480" s="109"/>
      <c r="N480" s="109"/>
      <c r="O480" s="109"/>
      <c r="P480" s="109"/>
      <c r="Q480" s="109"/>
      <c r="R480" s="109"/>
      <c r="S480" s="109"/>
      <c r="T480" s="109"/>
      <c r="U480" s="109"/>
      <c r="V480" s="109"/>
      <c r="W480" s="109"/>
      <c r="X480" s="109"/>
      <c r="Y480" s="109"/>
      <c r="Z480" s="109"/>
    </row>
    <row r="481" ht="12.75" customHeight="1">
      <c r="A481" s="109"/>
      <c r="B481" s="109"/>
      <c r="C481" s="109"/>
      <c r="D481" s="109"/>
      <c r="E481" s="109"/>
      <c r="F481" s="154"/>
      <c r="G481" s="154"/>
      <c r="H481" s="109"/>
      <c r="I481" s="109"/>
      <c r="J481" s="109"/>
      <c r="K481" s="109"/>
      <c r="L481" s="109"/>
      <c r="M481" s="109"/>
      <c r="N481" s="109"/>
      <c r="O481" s="109"/>
      <c r="P481" s="109"/>
      <c r="Q481" s="109"/>
      <c r="R481" s="109"/>
      <c r="S481" s="109"/>
      <c r="T481" s="109"/>
      <c r="U481" s="109"/>
      <c r="V481" s="109"/>
      <c r="W481" s="109"/>
      <c r="X481" s="109"/>
      <c r="Y481" s="109"/>
      <c r="Z481" s="109"/>
    </row>
    <row r="482" ht="12.75" customHeight="1">
      <c r="A482" s="109"/>
      <c r="B482" s="109"/>
      <c r="C482" s="109"/>
      <c r="D482" s="109"/>
      <c r="E482" s="109"/>
      <c r="F482" s="154"/>
      <c r="G482" s="154"/>
      <c r="H482" s="109"/>
      <c r="I482" s="109"/>
      <c r="J482" s="109"/>
      <c r="K482" s="109"/>
      <c r="L482" s="109"/>
      <c r="M482" s="109"/>
      <c r="N482" s="109"/>
      <c r="O482" s="109"/>
      <c r="P482" s="109"/>
      <c r="Q482" s="109"/>
      <c r="R482" s="109"/>
      <c r="S482" s="109"/>
      <c r="T482" s="109"/>
      <c r="U482" s="109"/>
      <c r="V482" s="109"/>
      <c r="W482" s="109"/>
      <c r="X482" s="109"/>
      <c r="Y482" s="109"/>
      <c r="Z482" s="109"/>
    </row>
    <row r="483" ht="12.75" customHeight="1">
      <c r="A483" s="109"/>
      <c r="B483" s="109"/>
      <c r="C483" s="109"/>
      <c r="D483" s="109"/>
      <c r="E483" s="109"/>
      <c r="F483" s="154"/>
      <c r="G483" s="154"/>
      <c r="H483" s="109"/>
      <c r="I483" s="109"/>
      <c r="J483" s="109"/>
      <c r="K483" s="109"/>
      <c r="L483" s="109"/>
      <c r="M483" s="109"/>
      <c r="N483" s="109"/>
      <c r="O483" s="109"/>
      <c r="P483" s="109"/>
      <c r="Q483" s="109"/>
      <c r="R483" s="109"/>
      <c r="S483" s="109"/>
      <c r="T483" s="109"/>
      <c r="U483" s="109"/>
      <c r="V483" s="109"/>
      <c r="W483" s="109"/>
      <c r="X483" s="109"/>
      <c r="Y483" s="109"/>
      <c r="Z483" s="109"/>
    </row>
    <row r="484" ht="12.75" customHeight="1">
      <c r="A484" s="109"/>
      <c r="B484" s="109"/>
      <c r="C484" s="109"/>
      <c r="D484" s="109"/>
      <c r="E484" s="109"/>
      <c r="F484" s="154"/>
      <c r="G484" s="154"/>
      <c r="H484" s="109"/>
      <c r="I484" s="109"/>
      <c r="J484" s="109"/>
      <c r="K484" s="109"/>
      <c r="L484" s="109"/>
      <c r="M484" s="109"/>
      <c r="N484" s="109"/>
      <c r="O484" s="109"/>
      <c r="P484" s="109"/>
      <c r="Q484" s="109"/>
      <c r="R484" s="109"/>
      <c r="S484" s="109"/>
      <c r="T484" s="109"/>
      <c r="U484" s="109"/>
      <c r="V484" s="109"/>
      <c r="W484" s="109"/>
      <c r="X484" s="109"/>
      <c r="Y484" s="109"/>
      <c r="Z484" s="109"/>
    </row>
    <row r="485" ht="12.75" customHeight="1">
      <c r="A485" s="109"/>
      <c r="B485" s="109"/>
      <c r="C485" s="109"/>
      <c r="D485" s="109"/>
      <c r="E485" s="109"/>
      <c r="F485" s="154"/>
      <c r="G485" s="154"/>
      <c r="H485" s="109"/>
      <c r="I485" s="109"/>
      <c r="J485" s="109"/>
      <c r="K485" s="109"/>
      <c r="L485" s="109"/>
      <c r="M485" s="109"/>
      <c r="N485" s="109"/>
      <c r="O485" s="109"/>
      <c r="P485" s="109"/>
      <c r="Q485" s="109"/>
      <c r="R485" s="109"/>
      <c r="S485" s="109"/>
      <c r="T485" s="109"/>
      <c r="U485" s="109"/>
      <c r="V485" s="109"/>
      <c r="W485" s="109"/>
      <c r="X485" s="109"/>
      <c r="Y485" s="109"/>
      <c r="Z485" s="109"/>
    </row>
    <row r="486" ht="12.75" customHeight="1">
      <c r="A486" s="109"/>
      <c r="B486" s="109"/>
      <c r="C486" s="109"/>
      <c r="D486" s="109"/>
      <c r="E486" s="109"/>
      <c r="F486" s="154"/>
      <c r="G486" s="154"/>
      <c r="H486" s="109"/>
      <c r="I486" s="109"/>
      <c r="J486" s="109"/>
      <c r="K486" s="109"/>
      <c r="L486" s="109"/>
      <c r="M486" s="109"/>
      <c r="N486" s="109"/>
      <c r="O486" s="109"/>
      <c r="P486" s="109"/>
      <c r="Q486" s="109"/>
      <c r="R486" s="109"/>
      <c r="S486" s="109"/>
      <c r="T486" s="109"/>
      <c r="U486" s="109"/>
      <c r="V486" s="109"/>
      <c r="W486" s="109"/>
      <c r="X486" s="109"/>
      <c r="Y486" s="109"/>
      <c r="Z486" s="109"/>
    </row>
    <row r="487" ht="12.75" customHeight="1">
      <c r="A487" s="109"/>
      <c r="B487" s="109"/>
      <c r="C487" s="109"/>
      <c r="D487" s="109"/>
      <c r="E487" s="109"/>
      <c r="F487" s="154"/>
      <c r="G487" s="154"/>
      <c r="H487" s="109"/>
      <c r="I487" s="109"/>
      <c r="J487" s="109"/>
      <c r="K487" s="109"/>
      <c r="L487" s="109"/>
      <c r="M487" s="109"/>
      <c r="N487" s="109"/>
      <c r="O487" s="109"/>
      <c r="P487" s="109"/>
      <c r="Q487" s="109"/>
      <c r="R487" s="109"/>
      <c r="S487" s="109"/>
      <c r="T487" s="109"/>
      <c r="U487" s="109"/>
      <c r="V487" s="109"/>
      <c r="W487" s="109"/>
      <c r="X487" s="109"/>
      <c r="Y487" s="109"/>
      <c r="Z487" s="109"/>
    </row>
    <row r="488" ht="12.75" customHeight="1">
      <c r="A488" s="109"/>
      <c r="B488" s="109"/>
      <c r="C488" s="109"/>
      <c r="D488" s="109"/>
      <c r="E488" s="109"/>
      <c r="F488" s="154"/>
      <c r="G488" s="154"/>
      <c r="H488" s="109"/>
      <c r="I488" s="109"/>
      <c r="J488" s="109"/>
      <c r="K488" s="109"/>
      <c r="L488" s="109"/>
      <c r="M488" s="109"/>
      <c r="N488" s="109"/>
      <c r="O488" s="109"/>
      <c r="P488" s="109"/>
      <c r="Q488" s="109"/>
      <c r="R488" s="109"/>
      <c r="S488" s="109"/>
      <c r="T488" s="109"/>
      <c r="U488" s="109"/>
      <c r="V488" s="109"/>
      <c r="W488" s="109"/>
      <c r="X488" s="109"/>
      <c r="Y488" s="109"/>
      <c r="Z488" s="109"/>
    </row>
    <row r="489" ht="12.75" customHeight="1">
      <c r="A489" s="109"/>
      <c r="B489" s="109"/>
      <c r="C489" s="109"/>
      <c r="D489" s="109"/>
      <c r="E489" s="109"/>
      <c r="F489" s="154"/>
      <c r="G489" s="154"/>
      <c r="H489" s="109"/>
      <c r="I489" s="109"/>
      <c r="J489" s="109"/>
      <c r="K489" s="109"/>
      <c r="L489" s="109"/>
      <c r="M489" s="109"/>
      <c r="N489" s="109"/>
      <c r="O489" s="109"/>
      <c r="P489" s="109"/>
      <c r="Q489" s="109"/>
      <c r="R489" s="109"/>
      <c r="S489" s="109"/>
      <c r="T489" s="109"/>
      <c r="U489" s="109"/>
      <c r="V489" s="109"/>
      <c r="W489" s="109"/>
      <c r="X489" s="109"/>
      <c r="Y489" s="109"/>
      <c r="Z489" s="109"/>
    </row>
    <row r="490" ht="12.75" customHeight="1">
      <c r="A490" s="109"/>
      <c r="B490" s="109"/>
      <c r="C490" s="109"/>
      <c r="D490" s="109"/>
      <c r="E490" s="109"/>
      <c r="F490" s="154"/>
      <c r="G490" s="154"/>
      <c r="H490" s="109"/>
      <c r="I490" s="109"/>
      <c r="J490" s="109"/>
      <c r="K490" s="109"/>
      <c r="L490" s="109"/>
      <c r="M490" s="109"/>
      <c r="N490" s="109"/>
      <c r="O490" s="109"/>
      <c r="P490" s="109"/>
      <c r="Q490" s="109"/>
      <c r="R490" s="109"/>
      <c r="S490" s="109"/>
      <c r="T490" s="109"/>
      <c r="U490" s="109"/>
      <c r="V490" s="109"/>
      <c r="W490" s="109"/>
      <c r="X490" s="109"/>
      <c r="Y490" s="109"/>
      <c r="Z490" s="109"/>
    </row>
    <row r="491" ht="12.75" customHeight="1">
      <c r="A491" s="109"/>
      <c r="B491" s="109"/>
      <c r="C491" s="109"/>
      <c r="D491" s="109"/>
      <c r="E491" s="109"/>
      <c r="F491" s="154"/>
      <c r="G491" s="154"/>
      <c r="H491" s="109"/>
      <c r="I491" s="109"/>
      <c r="J491" s="109"/>
      <c r="K491" s="109"/>
      <c r="L491" s="109"/>
      <c r="M491" s="109"/>
      <c r="N491" s="109"/>
      <c r="O491" s="109"/>
      <c r="P491" s="109"/>
      <c r="Q491" s="109"/>
      <c r="R491" s="109"/>
      <c r="S491" s="109"/>
      <c r="T491" s="109"/>
      <c r="U491" s="109"/>
      <c r="V491" s="109"/>
      <c r="W491" s="109"/>
      <c r="X491" s="109"/>
      <c r="Y491" s="109"/>
      <c r="Z491" s="109"/>
    </row>
    <row r="492" ht="12.75" customHeight="1">
      <c r="A492" s="109"/>
      <c r="B492" s="109"/>
      <c r="C492" s="109"/>
      <c r="D492" s="109"/>
      <c r="E492" s="109"/>
      <c r="F492" s="154"/>
      <c r="G492" s="154"/>
      <c r="H492" s="109"/>
      <c r="I492" s="109"/>
      <c r="J492" s="109"/>
      <c r="K492" s="109"/>
      <c r="L492" s="109"/>
      <c r="M492" s="109"/>
      <c r="N492" s="109"/>
      <c r="O492" s="109"/>
      <c r="P492" s="109"/>
      <c r="Q492" s="109"/>
      <c r="R492" s="109"/>
      <c r="S492" s="109"/>
      <c r="T492" s="109"/>
      <c r="U492" s="109"/>
      <c r="V492" s="109"/>
      <c r="W492" s="109"/>
      <c r="X492" s="109"/>
      <c r="Y492" s="109"/>
      <c r="Z492" s="109"/>
    </row>
    <row r="493" ht="12.75" customHeight="1">
      <c r="A493" s="109"/>
      <c r="B493" s="109"/>
      <c r="C493" s="109"/>
      <c r="D493" s="109"/>
      <c r="E493" s="109"/>
      <c r="F493" s="154"/>
      <c r="G493" s="154"/>
      <c r="H493" s="109"/>
      <c r="I493" s="109"/>
      <c r="J493" s="109"/>
      <c r="K493" s="109"/>
      <c r="L493" s="109"/>
      <c r="M493" s="109"/>
      <c r="N493" s="109"/>
      <c r="O493" s="109"/>
      <c r="P493" s="109"/>
      <c r="Q493" s="109"/>
      <c r="R493" s="109"/>
      <c r="S493" s="109"/>
      <c r="T493" s="109"/>
      <c r="U493" s="109"/>
      <c r="V493" s="109"/>
      <c r="W493" s="109"/>
      <c r="X493" s="109"/>
      <c r="Y493" s="109"/>
      <c r="Z493" s="109"/>
    </row>
    <row r="494" ht="12.75" customHeight="1">
      <c r="A494" s="109"/>
      <c r="B494" s="109"/>
      <c r="C494" s="109"/>
      <c r="D494" s="109"/>
      <c r="E494" s="109"/>
      <c r="F494" s="154"/>
      <c r="G494" s="154"/>
      <c r="H494" s="109"/>
      <c r="I494" s="109"/>
      <c r="J494" s="109"/>
      <c r="K494" s="109"/>
      <c r="L494" s="109"/>
      <c r="M494" s="109"/>
      <c r="N494" s="109"/>
      <c r="O494" s="109"/>
      <c r="P494" s="109"/>
      <c r="Q494" s="109"/>
      <c r="R494" s="109"/>
      <c r="S494" s="109"/>
      <c r="T494" s="109"/>
      <c r="U494" s="109"/>
      <c r="V494" s="109"/>
      <c r="W494" s="109"/>
      <c r="X494" s="109"/>
      <c r="Y494" s="109"/>
      <c r="Z494" s="109"/>
    </row>
    <row r="495" ht="12.75" customHeight="1">
      <c r="A495" s="109"/>
      <c r="B495" s="109"/>
      <c r="C495" s="109"/>
      <c r="D495" s="109"/>
      <c r="E495" s="109"/>
      <c r="F495" s="154"/>
      <c r="G495" s="154"/>
      <c r="H495" s="109"/>
      <c r="I495" s="109"/>
      <c r="J495" s="109"/>
      <c r="K495" s="109"/>
      <c r="L495" s="109"/>
      <c r="M495" s="109"/>
      <c r="N495" s="109"/>
      <c r="O495" s="109"/>
      <c r="P495" s="109"/>
      <c r="Q495" s="109"/>
      <c r="R495" s="109"/>
      <c r="S495" s="109"/>
      <c r="T495" s="109"/>
      <c r="U495" s="109"/>
      <c r="V495" s="109"/>
      <c r="W495" s="109"/>
      <c r="X495" s="109"/>
      <c r="Y495" s="109"/>
      <c r="Z495" s="109"/>
    </row>
    <row r="496" ht="12.75" customHeight="1">
      <c r="A496" s="109"/>
      <c r="B496" s="109"/>
      <c r="C496" s="109"/>
      <c r="D496" s="109"/>
      <c r="E496" s="109"/>
      <c r="F496" s="154"/>
      <c r="G496" s="154"/>
      <c r="H496" s="109"/>
      <c r="I496" s="109"/>
      <c r="J496" s="109"/>
      <c r="K496" s="109"/>
      <c r="L496" s="109"/>
      <c r="M496" s="109"/>
      <c r="N496" s="109"/>
      <c r="O496" s="109"/>
      <c r="P496" s="109"/>
      <c r="Q496" s="109"/>
      <c r="R496" s="109"/>
      <c r="S496" s="109"/>
      <c r="T496" s="109"/>
      <c r="U496" s="109"/>
      <c r="V496" s="109"/>
      <c r="W496" s="109"/>
      <c r="X496" s="109"/>
      <c r="Y496" s="109"/>
      <c r="Z496" s="109"/>
    </row>
    <row r="497" ht="12.75" customHeight="1">
      <c r="A497" s="109"/>
      <c r="B497" s="109"/>
      <c r="C497" s="109"/>
      <c r="D497" s="109"/>
      <c r="E497" s="109"/>
      <c r="F497" s="154"/>
      <c r="G497" s="154"/>
      <c r="H497" s="109"/>
      <c r="I497" s="109"/>
      <c r="J497" s="109"/>
      <c r="K497" s="109"/>
      <c r="L497" s="109"/>
      <c r="M497" s="109"/>
      <c r="N497" s="109"/>
      <c r="O497" s="109"/>
      <c r="P497" s="109"/>
      <c r="Q497" s="109"/>
      <c r="R497" s="109"/>
      <c r="S497" s="109"/>
      <c r="T497" s="109"/>
      <c r="U497" s="109"/>
      <c r="V497" s="109"/>
      <c r="W497" s="109"/>
      <c r="X497" s="109"/>
      <c r="Y497" s="109"/>
      <c r="Z497" s="109"/>
    </row>
    <row r="498" ht="12.75" customHeight="1">
      <c r="A498" s="109"/>
      <c r="B498" s="109"/>
      <c r="C498" s="109"/>
      <c r="D498" s="109"/>
      <c r="E498" s="109"/>
      <c r="F498" s="154"/>
      <c r="G498" s="154"/>
      <c r="H498" s="109"/>
      <c r="I498" s="109"/>
      <c r="J498" s="109"/>
      <c r="K498" s="109"/>
      <c r="L498" s="109"/>
      <c r="M498" s="109"/>
      <c r="N498" s="109"/>
      <c r="O498" s="109"/>
      <c r="P498" s="109"/>
      <c r="Q498" s="109"/>
      <c r="R498" s="109"/>
      <c r="S498" s="109"/>
      <c r="T498" s="109"/>
      <c r="U498" s="109"/>
      <c r="V498" s="109"/>
      <c r="W498" s="109"/>
      <c r="X498" s="109"/>
      <c r="Y498" s="109"/>
      <c r="Z498" s="109"/>
    </row>
    <row r="499" ht="12.75" customHeight="1">
      <c r="A499" s="109"/>
      <c r="B499" s="109"/>
      <c r="C499" s="109"/>
      <c r="D499" s="109"/>
      <c r="E499" s="109"/>
      <c r="F499" s="154"/>
      <c r="G499" s="154"/>
      <c r="H499" s="109"/>
      <c r="I499" s="109"/>
      <c r="J499" s="109"/>
      <c r="K499" s="109"/>
      <c r="L499" s="109"/>
      <c r="M499" s="109"/>
      <c r="N499" s="109"/>
      <c r="O499" s="109"/>
      <c r="P499" s="109"/>
      <c r="Q499" s="109"/>
      <c r="R499" s="109"/>
      <c r="S499" s="109"/>
      <c r="T499" s="109"/>
      <c r="U499" s="109"/>
      <c r="V499" s="109"/>
      <c r="W499" s="109"/>
      <c r="X499" s="109"/>
      <c r="Y499" s="109"/>
      <c r="Z499" s="109"/>
    </row>
    <row r="500" ht="12.75" customHeight="1">
      <c r="A500" s="109"/>
      <c r="B500" s="109"/>
      <c r="C500" s="109"/>
      <c r="D500" s="109"/>
      <c r="E500" s="109"/>
      <c r="F500" s="154"/>
      <c r="G500" s="154"/>
      <c r="H500" s="109"/>
      <c r="I500" s="109"/>
      <c r="J500" s="109"/>
      <c r="K500" s="109"/>
      <c r="L500" s="109"/>
      <c r="M500" s="109"/>
      <c r="N500" s="109"/>
      <c r="O500" s="109"/>
      <c r="P500" s="109"/>
      <c r="Q500" s="109"/>
      <c r="R500" s="109"/>
      <c r="S500" s="109"/>
      <c r="T500" s="109"/>
      <c r="U500" s="109"/>
      <c r="V500" s="109"/>
      <c r="W500" s="109"/>
      <c r="X500" s="109"/>
      <c r="Y500" s="109"/>
      <c r="Z500" s="109"/>
    </row>
    <row r="501" ht="12.75" customHeight="1">
      <c r="A501" s="109"/>
      <c r="B501" s="109"/>
      <c r="C501" s="109"/>
      <c r="D501" s="109"/>
      <c r="E501" s="109"/>
      <c r="F501" s="154"/>
      <c r="G501" s="154"/>
      <c r="H501" s="109"/>
      <c r="I501" s="109"/>
      <c r="J501" s="109"/>
      <c r="K501" s="109"/>
      <c r="L501" s="109"/>
      <c r="M501" s="109"/>
      <c r="N501" s="109"/>
      <c r="O501" s="109"/>
      <c r="P501" s="109"/>
      <c r="Q501" s="109"/>
      <c r="R501" s="109"/>
      <c r="S501" s="109"/>
      <c r="T501" s="109"/>
      <c r="U501" s="109"/>
      <c r="V501" s="109"/>
      <c r="W501" s="109"/>
      <c r="X501" s="109"/>
      <c r="Y501" s="109"/>
      <c r="Z501" s="109"/>
    </row>
    <row r="502" ht="12.75" customHeight="1">
      <c r="A502" s="109"/>
      <c r="B502" s="109"/>
      <c r="C502" s="109"/>
      <c r="D502" s="109"/>
      <c r="E502" s="109"/>
      <c r="F502" s="154"/>
      <c r="G502" s="154"/>
      <c r="H502" s="109"/>
      <c r="I502" s="109"/>
      <c r="J502" s="109"/>
      <c r="K502" s="109"/>
      <c r="L502" s="109"/>
      <c r="M502" s="109"/>
      <c r="N502" s="109"/>
      <c r="O502" s="109"/>
      <c r="P502" s="109"/>
      <c r="Q502" s="109"/>
      <c r="R502" s="109"/>
      <c r="S502" s="109"/>
      <c r="T502" s="109"/>
      <c r="U502" s="109"/>
      <c r="V502" s="109"/>
      <c r="W502" s="109"/>
      <c r="X502" s="109"/>
      <c r="Y502" s="109"/>
      <c r="Z502" s="109"/>
    </row>
    <row r="503" ht="12.75" customHeight="1">
      <c r="A503" s="109"/>
      <c r="B503" s="109"/>
      <c r="C503" s="109"/>
      <c r="D503" s="109"/>
      <c r="E503" s="109"/>
      <c r="F503" s="154"/>
      <c r="G503" s="154"/>
      <c r="H503" s="109"/>
      <c r="I503" s="109"/>
      <c r="J503" s="109"/>
      <c r="K503" s="109"/>
      <c r="L503" s="109"/>
      <c r="M503" s="109"/>
      <c r="N503" s="109"/>
      <c r="O503" s="109"/>
      <c r="P503" s="109"/>
      <c r="Q503" s="109"/>
      <c r="R503" s="109"/>
      <c r="S503" s="109"/>
      <c r="T503" s="109"/>
      <c r="U503" s="109"/>
      <c r="V503" s="109"/>
      <c r="W503" s="109"/>
      <c r="X503" s="109"/>
      <c r="Y503" s="109"/>
      <c r="Z503" s="109"/>
    </row>
    <row r="504" ht="12.75" customHeight="1">
      <c r="A504" s="109"/>
      <c r="B504" s="109"/>
      <c r="C504" s="109"/>
      <c r="D504" s="109"/>
      <c r="E504" s="109"/>
      <c r="F504" s="154"/>
      <c r="G504" s="154"/>
      <c r="H504" s="109"/>
      <c r="I504" s="109"/>
      <c r="J504" s="109"/>
      <c r="K504" s="109"/>
      <c r="L504" s="109"/>
      <c r="M504" s="109"/>
      <c r="N504" s="109"/>
      <c r="O504" s="109"/>
      <c r="P504" s="109"/>
      <c r="Q504" s="109"/>
      <c r="R504" s="109"/>
      <c r="S504" s="109"/>
      <c r="T504" s="109"/>
      <c r="U504" s="109"/>
      <c r="V504" s="109"/>
      <c r="W504" s="109"/>
      <c r="X504" s="109"/>
      <c r="Y504" s="109"/>
      <c r="Z504" s="109"/>
    </row>
    <row r="505" ht="12.75" customHeight="1">
      <c r="A505" s="109"/>
      <c r="B505" s="109"/>
      <c r="C505" s="109"/>
      <c r="D505" s="109"/>
      <c r="E505" s="109"/>
      <c r="F505" s="154"/>
      <c r="G505" s="154"/>
      <c r="H505" s="109"/>
      <c r="I505" s="109"/>
      <c r="J505" s="109"/>
      <c r="K505" s="109"/>
      <c r="L505" s="109"/>
      <c r="M505" s="109"/>
      <c r="N505" s="109"/>
      <c r="O505" s="109"/>
      <c r="P505" s="109"/>
      <c r="Q505" s="109"/>
      <c r="R505" s="109"/>
      <c r="S505" s="109"/>
      <c r="T505" s="109"/>
      <c r="U505" s="109"/>
      <c r="V505" s="109"/>
      <c r="W505" s="109"/>
      <c r="X505" s="109"/>
      <c r="Y505" s="109"/>
      <c r="Z505" s="109"/>
    </row>
    <row r="506" ht="12.75" customHeight="1">
      <c r="A506" s="109"/>
      <c r="B506" s="109"/>
      <c r="C506" s="109"/>
      <c r="D506" s="109"/>
      <c r="E506" s="109"/>
      <c r="F506" s="154"/>
      <c r="G506" s="154"/>
      <c r="H506" s="109"/>
      <c r="I506" s="109"/>
      <c r="J506" s="109"/>
      <c r="K506" s="109"/>
      <c r="L506" s="109"/>
      <c r="M506" s="109"/>
      <c r="N506" s="109"/>
      <c r="O506" s="109"/>
      <c r="P506" s="109"/>
      <c r="Q506" s="109"/>
      <c r="R506" s="109"/>
      <c r="S506" s="109"/>
      <c r="T506" s="109"/>
      <c r="U506" s="109"/>
      <c r="V506" s="109"/>
      <c r="W506" s="109"/>
      <c r="X506" s="109"/>
      <c r="Y506" s="109"/>
      <c r="Z506" s="109"/>
    </row>
    <row r="507" ht="12.75" customHeight="1">
      <c r="A507" s="109"/>
      <c r="B507" s="109"/>
      <c r="C507" s="109"/>
      <c r="D507" s="109"/>
      <c r="E507" s="109"/>
      <c r="F507" s="154"/>
      <c r="G507" s="154"/>
      <c r="H507" s="109"/>
      <c r="I507" s="109"/>
      <c r="J507" s="109"/>
      <c r="K507" s="109"/>
      <c r="L507" s="109"/>
      <c r="M507" s="109"/>
      <c r="N507" s="109"/>
      <c r="O507" s="109"/>
      <c r="P507" s="109"/>
      <c r="Q507" s="109"/>
      <c r="R507" s="109"/>
      <c r="S507" s="109"/>
      <c r="T507" s="109"/>
      <c r="U507" s="109"/>
      <c r="V507" s="109"/>
      <c r="W507" s="109"/>
      <c r="X507" s="109"/>
      <c r="Y507" s="109"/>
      <c r="Z507" s="109"/>
    </row>
    <row r="508" ht="12.75" customHeight="1">
      <c r="A508" s="109"/>
      <c r="B508" s="109"/>
      <c r="C508" s="109"/>
      <c r="D508" s="109"/>
      <c r="E508" s="109"/>
      <c r="F508" s="154"/>
      <c r="G508" s="154"/>
      <c r="H508" s="109"/>
      <c r="I508" s="109"/>
      <c r="J508" s="109"/>
      <c r="K508" s="109"/>
      <c r="L508" s="109"/>
      <c r="M508" s="109"/>
      <c r="N508" s="109"/>
      <c r="O508" s="109"/>
      <c r="P508" s="109"/>
      <c r="Q508" s="109"/>
      <c r="R508" s="109"/>
      <c r="S508" s="109"/>
      <c r="T508" s="109"/>
      <c r="U508" s="109"/>
      <c r="V508" s="109"/>
      <c r="W508" s="109"/>
      <c r="X508" s="109"/>
      <c r="Y508" s="109"/>
      <c r="Z508" s="109"/>
    </row>
    <row r="509" ht="12.75" customHeight="1">
      <c r="A509" s="109"/>
      <c r="B509" s="109"/>
      <c r="C509" s="109"/>
      <c r="D509" s="109"/>
      <c r="E509" s="109"/>
      <c r="F509" s="154"/>
      <c r="G509" s="154"/>
      <c r="H509" s="109"/>
      <c r="I509" s="109"/>
      <c r="J509" s="109"/>
      <c r="K509" s="109"/>
      <c r="L509" s="109"/>
      <c r="M509" s="109"/>
      <c r="N509" s="109"/>
      <c r="O509" s="109"/>
      <c r="P509" s="109"/>
      <c r="Q509" s="109"/>
      <c r="R509" s="109"/>
      <c r="S509" s="109"/>
      <c r="T509" s="109"/>
      <c r="U509" s="109"/>
      <c r="V509" s="109"/>
      <c r="W509" s="109"/>
      <c r="X509" s="109"/>
      <c r="Y509" s="109"/>
      <c r="Z509" s="109"/>
    </row>
    <row r="510" ht="12.75" customHeight="1">
      <c r="A510" s="109"/>
      <c r="B510" s="109"/>
      <c r="C510" s="109"/>
      <c r="D510" s="109"/>
      <c r="E510" s="109"/>
      <c r="F510" s="154"/>
      <c r="G510" s="154"/>
      <c r="H510" s="109"/>
      <c r="I510" s="109"/>
      <c r="J510" s="109"/>
      <c r="K510" s="109"/>
      <c r="L510" s="109"/>
      <c r="M510" s="109"/>
      <c r="N510" s="109"/>
      <c r="O510" s="109"/>
      <c r="P510" s="109"/>
      <c r="Q510" s="109"/>
      <c r="R510" s="109"/>
      <c r="S510" s="109"/>
      <c r="T510" s="109"/>
      <c r="U510" s="109"/>
      <c r="V510" s="109"/>
      <c r="W510" s="109"/>
      <c r="X510" s="109"/>
      <c r="Y510" s="109"/>
      <c r="Z510" s="109"/>
    </row>
    <row r="511" ht="12.75" customHeight="1">
      <c r="A511" s="109"/>
      <c r="B511" s="109"/>
      <c r="C511" s="109"/>
      <c r="D511" s="109"/>
      <c r="E511" s="109"/>
      <c r="F511" s="154"/>
      <c r="G511" s="154"/>
      <c r="H511" s="109"/>
      <c r="I511" s="109"/>
      <c r="J511" s="109"/>
      <c r="K511" s="109"/>
      <c r="L511" s="109"/>
      <c r="M511" s="109"/>
      <c r="N511" s="109"/>
      <c r="O511" s="109"/>
      <c r="P511" s="109"/>
      <c r="Q511" s="109"/>
      <c r="R511" s="109"/>
      <c r="S511" s="109"/>
      <c r="T511" s="109"/>
      <c r="U511" s="109"/>
      <c r="V511" s="109"/>
      <c r="W511" s="109"/>
      <c r="X511" s="109"/>
      <c r="Y511" s="109"/>
      <c r="Z511" s="109"/>
    </row>
    <row r="512" ht="12.75" customHeight="1">
      <c r="A512" s="109"/>
      <c r="B512" s="109"/>
      <c r="C512" s="109"/>
      <c r="D512" s="109"/>
      <c r="E512" s="109"/>
      <c r="F512" s="154"/>
      <c r="G512" s="154"/>
      <c r="H512" s="109"/>
      <c r="I512" s="109"/>
      <c r="J512" s="109"/>
      <c r="K512" s="109"/>
      <c r="L512" s="109"/>
      <c r="M512" s="109"/>
      <c r="N512" s="109"/>
      <c r="O512" s="109"/>
      <c r="P512" s="109"/>
      <c r="Q512" s="109"/>
      <c r="R512" s="109"/>
      <c r="S512" s="109"/>
      <c r="T512" s="109"/>
      <c r="U512" s="109"/>
      <c r="V512" s="109"/>
      <c r="W512" s="109"/>
      <c r="X512" s="109"/>
      <c r="Y512" s="109"/>
      <c r="Z512" s="109"/>
    </row>
    <row r="513" ht="12.75" customHeight="1">
      <c r="A513" s="109"/>
      <c r="B513" s="109"/>
      <c r="C513" s="109"/>
      <c r="D513" s="109"/>
      <c r="E513" s="109"/>
      <c r="F513" s="154"/>
      <c r="G513" s="154"/>
      <c r="H513" s="109"/>
      <c r="I513" s="109"/>
      <c r="J513" s="109"/>
      <c r="K513" s="109"/>
      <c r="L513" s="109"/>
      <c r="M513" s="109"/>
      <c r="N513" s="109"/>
      <c r="O513" s="109"/>
      <c r="P513" s="109"/>
      <c r="Q513" s="109"/>
      <c r="R513" s="109"/>
      <c r="S513" s="109"/>
      <c r="T513" s="109"/>
      <c r="U513" s="109"/>
      <c r="V513" s="109"/>
      <c r="W513" s="109"/>
      <c r="X513" s="109"/>
      <c r="Y513" s="109"/>
      <c r="Z513" s="109"/>
    </row>
    <row r="514" ht="12.75" customHeight="1">
      <c r="A514" s="109"/>
      <c r="B514" s="109"/>
      <c r="C514" s="109"/>
      <c r="D514" s="109"/>
      <c r="E514" s="109"/>
      <c r="F514" s="154"/>
      <c r="G514" s="154"/>
      <c r="H514" s="109"/>
      <c r="I514" s="109"/>
      <c r="J514" s="109"/>
      <c r="K514" s="109"/>
      <c r="L514" s="109"/>
      <c r="M514" s="109"/>
      <c r="N514" s="109"/>
      <c r="O514" s="109"/>
      <c r="P514" s="109"/>
      <c r="Q514" s="109"/>
      <c r="R514" s="109"/>
      <c r="S514" s="109"/>
      <c r="T514" s="109"/>
      <c r="U514" s="109"/>
      <c r="V514" s="109"/>
      <c r="W514" s="109"/>
      <c r="X514" s="109"/>
      <c r="Y514" s="109"/>
      <c r="Z514" s="109"/>
    </row>
    <row r="515" ht="12.75" customHeight="1">
      <c r="A515" s="109"/>
      <c r="B515" s="109"/>
      <c r="C515" s="109"/>
      <c r="D515" s="109"/>
      <c r="E515" s="109"/>
      <c r="F515" s="154"/>
      <c r="G515" s="154"/>
      <c r="H515" s="109"/>
      <c r="I515" s="109"/>
      <c r="J515" s="109"/>
      <c r="K515" s="109"/>
      <c r="L515" s="109"/>
      <c r="M515" s="109"/>
      <c r="N515" s="109"/>
      <c r="O515" s="109"/>
      <c r="P515" s="109"/>
      <c r="Q515" s="109"/>
      <c r="R515" s="109"/>
      <c r="S515" s="109"/>
      <c r="T515" s="109"/>
      <c r="U515" s="109"/>
      <c r="V515" s="109"/>
      <c r="W515" s="109"/>
      <c r="X515" s="109"/>
      <c r="Y515" s="109"/>
      <c r="Z515" s="109"/>
    </row>
    <row r="516" ht="12.75" customHeight="1">
      <c r="A516" s="109"/>
      <c r="B516" s="109"/>
      <c r="C516" s="109"/>
      <c r="D516" s="109"/>
      <c r="E516" s="109"/>
      <c r="F516" s="154"/>
      <c r="G516" s="154"/>
      <c r="H516" s="109"/>
      <c r="I516" s="109"/>
      <c r="J516" s="109"/>
      <c r="K516" s="109"/>
      <c r="L516" s="109"/>
      <c r="M516" s="109"/>
      <c r="N516" s="109"/>
      <c r="O516" s="109"/>
      <c r="P516" s="109"/>
      <c r="Q516" s="109"/>
      <c r="R516" s="109"/>
      <c r="S516" s="109"/>
      <c r="T516" s="109"/>
      <c r="U516" s="109"/>
      <c r="V516" s="109"/>
      <c r="W516" s="109"/>
      <c r="X516" s="109"/>
      <c r="Y516" s="109"/>
      <c r="Z516" s="109"/>
    </row>
    <row r="517" ht="12.75" customHeight="1">
      <c r="A517" s="109"/>
      <c r="B517" s="109"/>
      <c r="C517" s="109"/>
      <c r="D517" s="109"/>
      <c r="E517" s="109"/>
      <c r="F517" s="154"/>
      <c r="G517" s="154"/>
      <c r="H517" s="109"/>
      <c r="I517" s="109"/>
      <c r="J517" s="109"/>
      <c r="K517" s="109"/>
      <c r="L517" s="109"/>
      <c r="M517" s="109"/>
      <c r="N517" s="109"/>
      <c r="O517" s="109"/>
      <c r="P517" s="109"/>
      <c r="Q517" s="109"/>
      <c r="R517" s="109"/>
      <c r="S517" s="109"/>
      <c r="T517" s="109"/>
      <c r="U517" s="109"/>
      <c r="V517" s="109"/>
      <c r="W517" s="109"/>
      <c r="X517" s="109"/>
      <c r="Y517" s="109"/>
      <c r="Z517" s="109"/>
    </row>
    <row r="518" ht="12.75" customHeight="1">
      <c r="A518" s="109"/>
      <c r="B518" s="109"/>
      <c r="C518" s="109"/>
      <c r="D518" s="109"/>
      <c r="E518" s="109"/>
      <c r="F518" s="154"/>
      <c r="G518" s="154"/>
      <c r="H518" s="109"/>
      <c r="I518" s="109"/>
      <c r="J518" s="109"/>
      <c r="K518" s="109"/>
      <c r="L518" s="109"/>
      <c r="M518" s="109"/>
      <c r="N518" s="109"/>
      <c r="O518" s="109"/>
      <c r="P518" s="109"/>
      <c r="Q518" s="109"/>
      <c r="R518" s="109"/>
      <c r="S518" s="109"/>
      <c r="T518" s="109"/>
      <c r="U518" s="109"/>
      <c r="V518" s="109"/>
      <c r="W518" s="109"/>
      <c r="X518" s="109"/>
      <c r="Y518" s="109"/>
      <c r="Z518" s="109"/>
    </row>
    <row r="519" ht="12.75" customHeight="1">
      <c r="A519" s="109"/>
      <c r="B519" s="109"/>
      <c r="C519" s="109"/>
      <c r="D519" s="109"/>
      <c r="E519" s="109"/>
      <c r="F519" s="154"/>
      <c r="G519" s="154"/>
      <c r="H519" s="109"/>
      <c r="I519" s="109"/>
      <c r="J519" s="109"/>
      <c r="K519" s="109"/>
      <c r="L519" s="109"/>
      <c r="M519" s="109"/>
      <c r="N519" s="109"/>
      <c r="O519" s="109"/>
      <c r="P519" s="109"/>
      <c r="Q519" s="109"/>
      <c r="R519" s="109"/>
      <c r="S519" s="109"/>
      <c r="T519" s="109"/>
      <c r="U519" s="109"/>
      <c r="V519" s="109"/>
      <c r="W519" s="109"/>
      <c r="X519" s="109"/>
      <c r="Y519" s="109"/>
      <c r="Z519" s="109"/>
    </row>
    <row r="520" ht="12.75" customHeight="1">
      <c r="A520" s="109"/>
      <c r="B520" s="109"/>
      <c r="C520" s="109"/>
      <c r="D520" s="109"/>
      <c r="E520" s="109"/>
      <c r="F520" s="154"/>
      <c r="G520" s="154"/>
      <c r="H520" s="109"/>
      <c r="I520" s="109"/>
      <c r="J520" s="109"/>
      <c r="K520" s="109"/>
      <c r="L520" s="109"/>
      <c r="M520" s="109"/>
      <c r="N520" s="109"/>
      <c r="O520" s="109"/>
      <c r="P520" s="109"/>
      <c r="Q520" s="109"/>
      <c r="R520" s="109"/>
      <c r="S520" s="109"/>
      <c r="T520" s="109"/>
      <c r="U520" s="109"/>
      <c r="V520" s="109"/>
      <c r="W520" s="109"/>
      <c r="X520" s="109"/>
      <c r="Y520" s="109"/>
      <c r="Z520" s="109"/>
    </row>
    <row r="521" ht="12.75" customHeight="1">
      <c r="A521" s="109"/>
      <c r="B521" s="109"/>
      <c r="C521" s="109"/>
      <c r="D521" s="109"/>
      <c r="E521" s="109"/>
      <c r="F521" s="154"/>
      <c r="G521" s="154"/>
      <c r="H521" s="109"/>
      <c r="I521" s="109"/>
      <c r="J521" s="109"/>
      <c r="K521" s="109"/>
      <c r="L521" s="109"/>
      <c r="M521" s="109"/>
      <c r="N521" s="109"/>
      <c r="O521" s="109"/>
      <c r="P521" s="109"/>
      <c r="Q521" s="109"/>
      <c r="R521" s="109"/>
      <c r="S521" s="109"/>
      <c r="T521" s="109"/>
      <c r="U521" s="109"/>
      <c r="V521" s="109"/>
      <c r="W521" s="109"/>
      <c r="X521" s="109"/>
      <c r="Y521" s="109"/>
      <c r="Z521" s="109"/>
    </row>
    <row r="522" ht="12.75" customHeight="1">
      <c r="A522" s="109"/>
      <c r="B522" s="109"/>
      <c r="C522" s="109"/>
      <c r="D522" s="109"/>
      <c r="E522" s="109"/>
      <c r="F522" s="154"/>
      <c r="G522" s="154"/>
      <c r="H522" s="109"/>
      <c r="I522" s="109"/>
      <c r="J522" s="109"/>
      <c r="K522" s="109"/>
      <c r="L522" s="109"/>
      <c r="M522" s="109"/>
      <c r="N522" s="109"/>
      <c r="O522" s="109"/>
      <c r="P522" s="109"/>
      <c r="Q522" s="109"/>
      <c r="R522" s="109"/>
      <c r="S522" s="109"/>
      <c r="T522" s="109"/>
      <c r="U522" s="109"/>
      <c r="V522" s="109"/>
      <c r="W522" s="109"/>
      <c r="X522" s="109"/>
      <c r="Y522" s="109"/>
      <c r="Z522" s="109"/>
    </row>
    <row r="523" ht="12.75" customHeight="1">
      <c r="A523" s="109"/>
      <c r="B523" s="109"/>
      <c r="C523" s="109"/>
      <c r="D523" s="109"/>
      <c r="E523" s="109"/>
      <c r="F523" s="154"/>
      <c r="G523" s="154"/>
      <c r="H523" s="109"/>
      <c r="I523" s="109"/>
      <c r="J523" s="109"/>
      <c r="K523" s="109"/>
      <c r="L523" s="109"/>
      <c r="M523" s="109"/>
      <c r="N523" s="109"/>
      <c r="O523" s="109"/>
      <c r="P523" s="109"/>
      <c r="Q523" s="109"/>
      <c r="R523" s="109"/>
      <c r="S523" s="109"/>
      <c r="T523" s="109"/>
      <c r="U523" s="109"/>
      <c r="V523" s="109"/>
      <c r="W523" s="109"/>
      <c r="X523" s="109"/>
      <c r="Y523" s="109"/>
      <c r="Z523" s="109"/>
    </row>
    <row r="524" ht="12.75" customHeight="1">
      <c r="A524" s="109"/>
      <c r="B524" s="109"/>
      <c r="C524" s="109"/>
      <c r="D524" s="109"/>
      <c r="E524" s="109"/>
      <c r="F524" s="154"/>
      <c r="G524" s="154"/>
      <c r="H524" s="109"/>
      <c r="I524" s="109"/>
      <c r="J524" s="109"/>
      <c r="K524" s="109"/>
      <c r="L524" s="109"/>
      <c r="M524" s="109"/>
      <c r="N524" s="109"/>
      <c r="O524" s="109"/>
      <c r="P524" s="109"/>
      <c r="Q524" s="109"/>
      <c r="R524" s="109"/>
      <c r="S524" s="109"/>
      <c r="T524" s="109"/>
      <c r="U524" s="109"/>
      <c r="V524" s="109"/>
      <c r="W524" s="109"/>
      <c r="X524" s="109"/>
      <c r="Y524" s="109"/>
      <c r="Z524" s="109"/>
    </row>
    <row r="525" ht="12.75" customHeight="1">
      <c r="A525" s="109"/>
      <c r="B525" s="109"/>
      <c r="C525" s="109"/>
      <c r="D525" s="109"/>
      <c r="E525" s="109"/>
      <c r="F525" s="154"/>
      <c r="G525" s="154"/>
      <c r="H525" s="109"/>
      <c r="I525" s="109"/>
      <c r="J525" s="109"/>
      <c r="K525" s="109"/>
      <c r="L525" s="109"/>
      <c r="M525" s="109"/>
      <c r="N525" s="109"/>
      <c r="O525" s="109"/>
      <c r="P525" s="109"/>
      <c r="Q525" s="109"/>
      <c r="R525" s="109"/>
      <c r="S525" s="109"/>
      <c r="T525" s="109"/>
      <c r="U525" s="109"/>
      <c r="V525" s="109"/>
      <c r="W525" s="109"/>
      <c r="X525" s="109"/>
      <c r="Y525" s="109"/>
      <c r="Z525" s="109"/>
    </row>
    <row r="526" ht="12.75" customHeight="1">
      <c r="A526" s="109"/>
      <c r="B526" s="109"/>
      <c r="C526" s="109"/>
      <c r="D526" s="109"/>
      <c r="E526" s="109"/>
      <c r="F526" s="154"/>
      <c r="G526" s="154"/>
      <c r="H526" s="109"/>
      <c r="I526" s="109"/>
      <c r="J526" s="109"/>
      <c r="K526" s="109"/>
      <c r="L526" s="109"/>
      <c r="M526" s="109"/>
      <c r="N526" s="109"/>
      <c r="O526" s="109"/>
      <c r="P526" s="109"/>
      <c r="Q526" s="109"/>
      <c r="R526" s="109"/>
      <c r="S526" s="109"/>
      <c r="T526" s="109"/>
      <c r="U526" s="109"/>
      <c r="V526" s="109"/>
      <c r="W526" s="109"/>
      <c r="X526" s="109"/>
      <c r="Y526" s="109"/>
      <c r="Z526" s="109"/>
    </row>
    <row r="527" ht="12.75" customHeight="1">
      <c r="A527" s="109"/>
      <c r="B527" s="109"/>
      <c r="C527" s="109"/>
      <c r="D527" s="109"/>
      <c r="E527" s="109"/>
      <c r="F527" s="154"/>
      <c r="G527" s="154"/>
      <c r="H527" s="109"/>
      <c r="I527" s="109"/>
      <c r="J527" s="109"/>
      <c r="K527" s="109"/>
      <c r="L527" s="109"/>
      <c r="M527" s="109"/>
      <c r="N527" s="109"/>
      <c r="O527" s="109"/>
      <c r="P527" s="109"/>
      <c r="Q527" s="109"/>
      <c r="R527" s="109"/>
      <c r="S527" s="109"/>
      <c r="T527" s="109"/>
      <c r="U527" s="109"/>
      <c r="V527" s="109"/>
      <c r="W527" s="109"/>
      <c r="X527" s="109"/>
      <c r="Y527" s="109"/>
      <c r="Z527" s="109"/>
    </row>
    <row r="528" ht="12.75" customHeight="1">
      <c r="A528" s="109"/>
      <c r="B528" s="109"/>
      <c r="C528" s="109"/>
      <c r="D528" s="109"/>
      <c r="E528" s="109"/>
      <c r="F528" s="154"/>
      <c r="G528" s="154"/>
      <c r="H528" s="109"/>
      <c r="I528" s="109"/>
      <c r="J528" s="109"/>
      <c r="K528" s="109"/>
      <c r="L528" s="109"/>
      <c r="M528" s="109"/>
      <c r="N528" s="109"/>
      <c r="O528" s="109"/>
      <c r="P528" s="109"/>
      <c r="Q528" s="109"/>
      <c r="R528" s="109"/>
      <c r="S528" s="109"/>
      <c r="T528" s="109"/>
      <c r="U528" s="109"/>
      <c r="V528" s="109"/>
      <c r="W528" s="109"/>
      <c r="X528" s="109"/>
      <c r="Y528" s="109"/>
      <c r="Z528" s="109"/>
    </row>
    <row r="529" ht="12.75" customHeight="1">
      <c r="A529" s="109"/>
      <c r="B529" s="109"/>
      <c r="C529" s="109"/>
      <c r="D529" s="109"/>
      <c r="E529" s="109"/>
      <c r="F529" s="154"/>
      <c r="G529" s="154"/>
      <c r="H529" s="109"/>
      <c r="I529" s="109"/>
      <c r="J529" s="109"/>
      <c r="K529" s="109"/>
      <c r="L529" s="109"/>
      <c r="M529" s="109"/>
      <c r="N529" s="109"/>
      <c r="O529" s="109"/>
      <c r="P529" s="109"/>
      <c r="Q529" s="109"/>
      <c r="R529" s="109"/>
      <c r="S529" s="109"/>
      <c r="T529" s="109"/>
      <c r="U529" s="109"/>
      <c r="V529" s="109"/>
      <c r="W529" s="109"/>
      <c r="X529" s="109"/>
      <c r="Y529" s="109"/>
      <c r="Z529" s="109"/>
    </row>
    <row r="530" ht="12.75" customHeight="1">
      <c r="A530" s="109"/>
      <c r="B530" s="109"/>
      <c r="C530" s="109"/>
      <c r="D530" s="109"/>
      <c r="E530" s="109"/>
      <c r="F530" s="154"/>
      <c r="G530" s="154"/>
      <c r="H530" s="109"/>
      <c r="I530" s="109"/>
      <c r="J530" s="109"/>
      <c r="K530" s="109"/>
      <c r="L530" s="109"/>
      <c r="M530" s="109"/>
      <c r="N530" s="109"/>
      <c r="O530" s="109"/>
      <c r="P530" s="109"/>
      <c r="Q530" s="109"/>
      <c r="R530" s="109"/>
      <c r="S530" s="109"/>
      <c r="T530" s="109"/>
      <c r="U530" s="109"/>
      <c r="V530" s="109"/>
      <c r="W530" s="109"/>
      <c r="X530" s="109"/>
      <c r="Y530" s="109"/>
      <c r="Z530" s="109"/>
    </row>
    <row r="531" ht="12.75" customHeight="1">
      <c r="A531" s="109"/>
      <c r="B531" s="109"/>
      <c r="C531" s="109"/>
      <c r="D531" s="109"/>
      <c r="E531" s="109"/>
      <c r="F531" s="154"/>
      <c r="G531" s="154"/>
      <c r="H531" s="109"/>
      <c r="I531" s="109"/>
      <c r="J531" s="109"/>
      <c r="K531" s="109"/>
      <c r="L531" s="109"/>
      <c r="M531" s="109"/>
      <c r="N531" s="109"/>
      <c r="O531" s="109"/>
      <c r="P531" s="109"/>
      <c r="Q531" s="109"/>
      <c r="R531" s="109"/>
      <c r="S531" s="109"/>
      <c r="T531" s="109"/>
      <c r="U531" s="109"/>
      <c r="V531" s="109"/>
      <c r="W531" s="109"/>
      <c r="X531" s="109"/>
      <c r="Y531" s="109"/>
      <c r="Z531" s="109"/>
    </row>
    <row r="532" ht="12.75" customHeight="1">
      <c r="A532" s="109"/>
      <c r="B532" s="109"/>
      <c r="C532" s="109"/>
      <c r="D532" s="109"/>
      <c r="E532" s="109"/>
      <c r="F532" s="154"/>
      <c r="G532" s="154"/>
      <c r="H532" s="109"/>
      <c r="I532" s="109"/>
      <c r="J532" s="109"/>
      <c r="K532" s="109"/>
      <c r="L532" s="109"/>
      <c r="M532" s="109"/>
      <c r="N532" s="109"/>
      <c r="O532" s="109"/>
      <c r="P532" s="109"/>
      <c r="Q532" s="109"/>
      <c r="R532" s="109"/>
      <c r="S532" s="109"/>
      <c r="T532" s="109"/>
      <c r="U532" s="109"/>
      <c r="V532" s="109"/>
      <c r="W532" s="109"/>
      <c r="X532" s="109"/>
      <c r="Y532" s="109"/>
      <c r="Z532" s="109"/>
    </row>
    <row r="533" ht="12.75" customHeight="1">
      <c r="A533" s="109"/>
      <c r="B533" s="109"/>
      <c r="C533" s="109"/>
      <c r="D533" s="109"/>
      <c r="E533" s="109"/>
      <c r="F533" s="154"/>
      <c r="G533" s="154"/>
      <c r="H533" s="109"/>
      <c r="I533" s="109"/>
      <c r="J533" s="109"/>
      <c r="K533" s="109"/>
      <c r="L533" s="109"/>
      <c r="M533" s="109"/>
      <c r="N533" s="109"/>
      <c r="O533" s="109"/>
      <c r="P533" s="109"/>
      <c r="Q533" s="109"/>
      <c r="R533" s="109"/>
      <c r="S533" s="109"/>
      <c r="T533" s="109"/>
      <c r="U533" s="109"/>
      <c r="V533" s="109"/>
      <c r="W533" s="109"/>
      <c r="X533" s="109"/>
      <c r="Y533" s="109"/>
      <c r="Z533" s="109"/>
    </row>
    <row r="534" ht="12.75" customHeight="1">
      <c r="A534" s="109"/>
      <c r="B534" s="109"/>
      <c r="C534" s="109"/>
      <c r="D534" s="109"/>
      <c r="E534" s="109"/>
      <c r="F534" s="154"/>
      <c r="G534" s="154"/>
      <c r="H534" s="109"/>
      <c r="I534" s="109"/>
      <c r="J534" s="109"/>
      <c r="K534" s="109"/>
      <c r="L534" s="109"/>
      <c r="M534" s="109"/>
      <c r="N534" s="109"/>
      <c r="O534" s="109"/>
      <c r="P534" s="109"/>
      <c r="Q534" s="109"/>
      <c r="R534" s="109"/>
      <c r="S534" s="109"/>
      <c r="T534" s="109"/>
      <c r="U534" s="109"/>
      <c r="V534" s="109"/>
      <c r="W534" s="109"/>
      <c r="X534" s="109"/>
      <c r="Y534" s="109"/>
      <c r="Z534" s="109"/>
    </row>
    <row r="535" ht="12.75" customHeight="1">
      <c r="A535" s="109"/>
      <c r="B535" s="109"/>
      <c r="C535" s="109"/>
      <c r="D535" s="109"/>
      <c r="E535" s="109"/>
      <c r="F535" s="154"/>
      <c r="G535" s="154"/>
      <c r="H535" s="109"/>
      <c r="I535" s="109"/>
      <c r="J535" s="109"/>
      <c r="K535" s="109"/>
      <c r="L535" s="109"/>
      <c r="M535" s="109"/>
      <c r="N535" s="109"/>
      <c r="O535" s="109"/>
      <c r="P535" s="109"/>
      <c r="Q535" s="109"/>
      <c r="R535" s="109"/>
      <c r="S535" s="109"/>
      <c r="T535" s="109"/>
      <c r="U535" s="109"/>
      <c r="V535" s="109"/>
      <c r="W535" s="109"/>
      <c r="X535" s="109"/>
      <c r="Y535" s="109"/>
      <c r="Z535" s="109"/>
    </row>
    <row r="536" ht="12.75" customHeight="1">
      <c r="A536" s="109"/>
      <c r="B536" s="109"/>
      <c r="C536" s="109"/>
      <c r="D536" s="109"/>
      <c r="E536" s="109"/>
      <c r="F536" s="154"/>
      <c r="G536" s="154"/>
      <c r="H536" s="109"/>
      <c r="I536" s="109"/>
      <c r="J536" s="109"/>
      <c r="K536" s="109"/>
      <c r="L536" s="109"/>
      <c r="M536" s="109"/>
      <c r="N536" s="109"/>
      <c r="O536" s="109"/>
      <c r="P536" s="109"/>
      <c r="Q536" s="109"/>
      <c r="R536" s="109"/>
      <c r="S536" s="109"/>
      <c r="T536" s="109"/>
      <c r="U536" s="109"/>
      <c r="V536" s="109"/>
      <c r="W536" s="109"/>
      <c r="X536" s="109"/>
      <c r="Y536" s="109"/>
      <c r="Z536" s="109"/>
    </row>
    <row r="537" ht="12.75" customHeight="1">
      <c r="A537" s="109"/>
      <c r="B537" s="109"/>
      <c r="C537" s="109"/>
      <c r="D537" s="109"/>
      <c r="E537" s="109"/>
      <c r="F537" s="154"/>
      <c r="G537" s="154"/>
      <c r="H537" s="109"/>
      <c r="I537" s="109"/>
      <c r="J537" s="109"/>
      <c r="K537" s="109"/>
      <c r="L537" s="109"/>
      <c r="M537" s="109"/>
      <c r="N537" s="109"/>
      <c r="O537" s="109"/>
      <c r="P537" s="109"/>
      <c r="Q537" s="109"/>
      <c r="R537" s="109"/>
      <c r="S537" s="109"/>
      <c r="T537" s="109"/>
      <c r="U537" s="109"/>
      <c r="V537" s="109"/>
      <c r="W537" s="109"/>
      <c r="X537" s="109"/>
      <c r="Y537" s="109"/>
      <c r="Z537" s="109"/>
    </row>
    <row r="538" ht="12.75" customHeight="1">
      <c r="A538" s="109"/>
      <c r="B538" s="109"/>
      <c r="C538" s="109"/>
      <c r="D538" s="109"/>
      <c r="E538" s="109"/>
      <c r="F538" s="154"/>
      <c r="G538" s="154"/>
      <c r="H538" s="109"/>
      <c r="I538" s="109"/>
      <c r="J538" s="109"/>
      <c r="K538" s="109"/>
      <c r="L538" s="109"/>
      <c r="M538" s="109"/>
      <c r="N538" s="109"/>
      <c r="O538" s="109"/>
      <c r="P538" s="109"/>
      <c r="Q538" s="109"/>
      <c r="R538" s="109"/>
      <c r="S538" s="109"/>
      <c r="T538" s="109"/>
      <c r="U538" s="109"/>
      <c r="V538" s="109"/>
      <c r="W538" s="109"/>
      <c r="X538" s="109"/>
      <c r="Y538" s="109"/>
      <c r="Z538" s="109"/>
    </row>
    <row r="539" ht="12.75" customHeight="1">
      <c r="A539" s="109"/>
      <c r="B539" s="109"/>
      <c r="C539" s="109"/>
      <c r="D539" s="109"/>
      <c r="E539" s="109"/>
      <c r="F539" s="154"/>
      <c r="G539" s="154"/>
      <c r="H539" s="109"/>
      <c r="I539" s="109"/>
      <c r="J539" s="109"/>
      <c r="K539" s="109"/>
      <c r="L539" s="109"/>
      <c r="M539" s="109"/>
      <c r="N539" s="109"/>
      <c r="O539" s="109"/>
      <c r="P539" s="109"/>
      <c r="Q539" s="109"/>
      <c r="R539" s="109"/>
      <c r="S539" s="109"/>
      <c r="T539" s="109"/>
      <c r="U539" s="109"/>
      <c r="V539" s="109"/>
      <c r="W539" s="109"/>
      <c r="X539" s="109"/>
      <c r="Y539" s="109"/>
      <c r="Z539" s="109"/>
    </row>
    <row r="540" ht="12.75" customHeight="1">
      <c r="A540" s="109"/>
      <c r="B540" s="109"/>
      <c r="C540" s="109"/>
      <c r="D540" s="109"/>
      <c r="E540" s="109"/>
      <c r="F540" s="154"/>
      <c r="G540" s="154"/>
      <c r="H540" s="109"/>
      <c r="I540" s="109"/>
      <c r="J540" s="109"/>
      <c r="K540" s="109"/>
      <c r="L540" s="109"/>
      <c r="M540" s="109"/>
      <c r="N540" s="109"/>
      <c r="O540" s="109"/>
      <c r="P540" s="109"/>
      <c r="Q540" s="109"/>
      <c r="R540" s="109"/>
      <c r="S540" s="109"/>
      <c r="T540" s="109"/>
      <c r="U540" s="109"/>
      <c r="V540" s="109"/>
      <c r="W540" s="109"/>
      <c r="X540" s="109"/>
      <c r="Y540" s="109"/>
      <c r="Z540" s="109"/>
    </row>
    <row r="541" ht="12.75" customHeight="1">
      <c r="A541" s="109"/>
      <c r="B541" s="109"/>
      <c r="C541" s="109"/>
      <c r="D541" s="109"/>
      <c r="E541" s="109"/>
      <c r="F541" s="154"/>
      <c r="G541" s="154"/>
      <c r="H541" s="109"/>
      <c r="I541" s="109"/>
      <c r="J541" s="109"/>
      <c r="K541" s="109"/>
      <c r="L541" s="109"/>
      <c r="M541" s="109"/>
      <c r="N541" s="109"/>
      <c r="O541" s="109"/>
      <c r="P541" s="109"/>
      <c r="Q541" s="109"/>
      <c r="R541" s="109"/>
      <c r="S541" s="109"/>
      <c r="T541" s="109"/>
      <c r="U541" s="109"/>
      <c r="V541" s="109"/>
      <c r="W541" s="109"/>
      <c r="X541" s="109"/>
      <c r="Y541" s="109"/>
      <c r="Z541" s="109"/>
    </row>
    <row r="542" ht="12.75" customHeight="1">
      <c r="A542" s="109"/>
      <c r="B542" s="109"/>
      <c r="C542" s="109"/>
      <c r="D542" s="109"/>
      <c r="E542" s="109"/>
      <c r="F542" s="154"/>
      <c r="G542" s="154"/>
      <c r="H542" s="109"/>
      <c r="I542" s="109"/>
      <c r="J542" s="109"/>
      <c r="K542" s="109"/>
      <c r="L542" s="109"/>
      <c r="M542" s="109"/>
      <c r="N542" s="109"/>
      <c r="O542" s="109"/>
      <c r="P542" s="109"/>
      <c r="Q542" s="109"/>
      <c r="R542" s="109"/>
      <c r="S542" s="109"/>
      <c r="T542" s="109"/>
      <c r="U542" s="109"/>
      <c r="V542" s="109"/>
      <c r="W542" s="109"/>
      <c r="X542" s="109"/>
      <c r="Y542" s="109"/>
      <c r="Z542" s="109"/>
    </row>
    <row r="543" ht="12.75" customHeight="1">
      <c r="A543" s="109"/>
      <c r="B543" s="109"/>
      <c r="C543" s="109"/>
      <c r="D543" s="109"/>
      <c r="E543" s="109"/>
      <c r="F543" s="154"/>
      <c r="G543" s="154"/>
      <c r="H543" s="109"/>
      <c r="I543" s="109"/>
      <c r="J543" s="109"/>
      <c r="K543" s="109"/>
      <c r="L543" s="109"/>
      <c r="M543" s="109"/>
      <c r="N543" s="109"/>
      <c r="O543" s="109"/>
      <c r="P543" s="109"/>
      <c r="Q543" s="109"/>
      <c r="R543" s="109"/>
      <c r="S543" s="109"/>
      <c r="T543" s="109"/>
      <c r="U543" s="109"/>
      <c r="V543" s="109"/>
      <c r="W543" s="109"/>
      <c r="X543" s="109"/>
      <c r="Y543" s="109"/>
      <c r="Z543" s="109"/>
    </row>
    <row r="544" ht="12.75" customHeight="1">
      <c r="A544" s="109"/>
      <c r="B544" s="109"/>
      <c r="C544" s="109"/>
      <c r="D544" s="109"/>
      <c r="E544" s="109"/>
      <c r="F544" s="154"/>
      <c r="G544" s="154"/>
      <c r="H544" s="109"/>
      <c r="I544" s="109"/>
      <c r="J544" s="109"/>
      <c r="K544" s="109"/>
      <c r="L544" s="109"/>
      <c r="M544" s="109"/>
      <c r="N544" s="109"/>
      <c r="O544" s="109"/>
      <c r="P544" s="109"/>
      <c r="Q544" s="109"/>
      <c r="R544" s="109"/>
      <c r="S544" s="109"/>
      <c r="T544" s="109"/>
      <c r="U544" s="109"/>
      <c r="V544" s="109"/>
      <c r="W544" s="109"/>
      <c r="X544" s="109"/>
      <c r="Y544" s="109"/>
      <c r="Z544" s="109"/>
    </row>
    <row r="545" ht="12.75" customHeight="1">
      <c r="A545" s="109"/>
      <c r="B545" s="109"/>
      <c r="C545" s="109"/>
      <c r="D545" s="109"/>
      <c r="E545" s="109"/>
      <c r="F545" s="154"/>
      <c r="G545" s="154"/>
      <c r="H545" s="109"/>
      <c r="I545" s="109"/>
      <c r="J545" s="109"/>
      <c r="K545" s="109"/>
      <c r="L545" s="109"/>
      <c r="M545" s="109"/>
      <c r="N545" s="109"/>
      <c r="O545" s="109"/>
      <c r="P545" s="109"/>
      <c r="Q545" s="109"/>
      <c r="R545" s="109"/>
      <c r="S545" s="109"/>
      <c r="T545" s="109"/>
      <c r="U545" s="109"/>
      <c r="V545" s="109"/>
      <c r="W545" s="109"/>
      <c r="X545" s="109"/>
      <c r="Y545" s="109"/>
      <c r="Z545" s="109"/>
    </row>
    <row r="546" ht="12.75" customHeight="1">
      <c r="A546" s="109"/>
      <c r="B546" s="109"/>
      <c r="C546" s="109"/>
      <c r="D546" s="109"/>
      <c r="E546" s="109"/>
      <c r="F546" s="154"/>
      <c r="G546" s="154"/>
      <c r="H546" s="109"/>
      <c r="I546" s="109"/>
      <c r="J546" s="109"/>
      <c r="K546" s="109"/>
      <c r="L546" s="109"/>
      <c r="M546" s="109"/>
      <c r="N546" s="109"/>
      <c r="O546" s="109"/>
      <c r="P546" s="109"/>
      <c r="Q546" s="109"/>
      <c r="R546" s="109"/>
      <c r="S546" s="109"/>
      <c r="T546" s="109"/>
      <c r="U546" s="109"/>
      <c r="V546" s="109"/>
      <c r="W546" s="109"/>
      <c r="X546" s="109"/>
      <c r="Y546" s="109"/>
      <c r="Z546" s="109"/>
    </row>
    <row r="547" ht="12.75" customHeight="1">
      <c r="A547" s="109"/>
      <c r="B547" s="109"/>
      <c r="C547" s="109"/>
      <c r="D547" s="109"/>
      <c r="E547" s="109"/>
      <c r="F547" s="154"/>
      <c r="G547" s="154"/>
      <c r="H547" s="109"/>
      <c r="I547" s="109"/>
      <c r="J547" s="109"/>
      <c r="K547" s="109"/>
      <c r="L547" s="109"/>
      <c r="M547" s="109"/>
      <c r="N547" s="109"/>
      <c r="O547" s="109"/>
      <c r="P547" s="109"/>
      <c r="Q547" s="109"/>
      <c r="R547" s="109"/>
      <c r="S547" s="109"/>
      <c r="T547" s="109"/>
      <c r="U547" s="109"/>
      <c r="V547" s="109"/>
      <c r="W547" s="109"/>
      <c r="X547" s="109"/>
      <c r="Y547" s="109"/>
      <c r="Z547" s="109"/>
    </row>
    <row r="548" ht="12.75" customHeight="1">
      <c r="A548" s="109"/>
      <c r="B548" s="109"/>
      <c r="C548" s="109"/>
      <c r="D548" s="109"/>
      <c r="E548" s="109"/>
      <c r="F548" s="154"/>
      <c r="G548" s="154"/>
      <c r="H548" s="109"/>
      <c r="I548" s="109"/>
      <c r="J548" s="109"/>
      <c r="K548" s="109"/>
      <c r="L548" s="109"/>
      <c r="M548" s="109"/>
      <c r="N548" s="109"/>
      <c r="O548" s="109"/>
      <c r="P548" s="109"/>
      <c r="Q548" s="109"/>
      <c r="R548" s="109"/>
      <c r="S548" s="109"/>
      <c r="T548" s="109"/>
      <c r="U548" s="109"/>
      <c r="V548" s="109"/>
      <c r="W548" s="109"/>
      <c r="X548" s="109"/>
      <c r="Y548" s="109"/>
      <c r="Z548" s="109"/>
    </row>
    <row r="549" ht="12.75" customHeight="1">
      <c r="A549" s="109"/>
      <c r="B549" s="109"/>
      <c r="C549" s="109"/>
      <c r="D549" s="109"/>
      <c r="E549" s="109"/>
      <c r="F549" s="154"/>
      <c r="G549" s="154"/>
      <c r="H549" s="109"/>
      <c r="I549" s="109"/>
      <c r="J549" s="109"/>
      <c r="K549" s="109"/>
      <c r="L549" s="109"/>
      <c r="M549" s="109"/>
      <c r="N549" s="109"/>
      <c r="O549" s="109"/>
      <c r="P549" s="109"/>
      <c r="Q549" s="109"/>
      <c r="R549" s="109"/>
      <c r="S549" s="109"/>
      <c r="T549" s="109"/>
      <c r="U549" s="109"/>
      <c r="V549" s="109"/>
      <c r="W549" s="109"/>
      <c r="X549" s="109"/>
      <c r="Y549" s="109"/>
      <c r="Z549" s="109"/>
    </row>
    <row r="550" ht="12.75" customHeight="1">
      <c r="A550" s="109"/>
      <c r="B550" s="109"/>
      <c r="C550" s="109"/>
      <c r="D550" s="109"/>
      <c r="E550" s="109"/>
      <c r="F550" s="154"/>
      <c r="G550" s="154"/>
      <c r="H550" s="109"/>
      <c r="I550" s="109"/>
      <c r="J550" s="109"/>
      <c r="K550" s="109"/>
      <c r="L550" s="109"/>
      <c r="M550" s="109"/>
      <c r="N550" s="109"/>
      <c r="O550" s="109"/>
      <c r="P550" s="109"/>
      <c r="Q550" s="109"/>
      <c r="R550" s="109"/>
      <c r="S550" s="109"/>
      <c r="T550" s="109"/>
      <c r="U550" s="109"/>
      <c r="V550" s="109"/>
      <c r="W550" s="109"/>
      <c r="X550" s="109"/>
      <c r="Y550" s="109"/>
      <c r="Z550" s="109"/>
    </row>
    <row r="551" ht="12.75" customHeight="1">
      <c r="A551" s="109"/>
      <c r="B551" s="109"/>
      <c r="C551" s="109"/>
      <c r="D551" s="109"/>
      <c r="E551" s="109"/>
      <c r="F551" s="154"/>
      <c r="G551" s="154"/>
      <c r="H551" s="109"/>
      <c r="I551" s="109"/>
      <c r="J551" s="109"/>
      <c r="K551" s="109"/>
      <c r="L551" s="109"/>
      <c r="M551" s="109"/>
      <c r="N551" s="109"/>
      <c r="O551" s="109"/>
      <c r="P551" s="109"/>
      <c r="Q551" s="109"/>
      <c r="R551" s="109"/>
      <c r="S551" s="109"/>
      <c r="T551" s="109"/>
      <c r="U551" s="109"/>
      <c r="V551" s="109"/>
      <c r="W551" s="109"/>
      <c r="X551" s="109"/>
      <c r="Y551" s="109"/>
      <c r="Z551" s="109"/>
    </row>
    <row r="552" ht="12.75" customHeight="1">
      <c r="A552" s="109"/>
      <c r="B552" s="109"/>
      <c r="C552" s="109"/>
      <c r="D552" s="109"/>
      <c r="E552" s="109"/>
      <c r="F552" s="154"/>
      <c r="G552" s="154"/>
      <c r="H552" s="109"/>
      <c r="I552" s="109"/>
      <c r="J552" s="109"/>
      <c r="K552" s="109"/>
      <c r="L552" s="109"/>
      <c r="M552" s="109"/>
      <c r="N552" s="109"/>
      <c r="O552" s="109"/>
      <c r="P552" s="109"/>
      <c r="Q552" s="109"/>
      <c r="R552" s="109"/>
      <c r="S552" s="109"/>
      <c r="T552" s="109"/>
      <c r="U552" s="109"/>
      <c r="V552" s="109"/>
      <c r="W552" s="109"/>
      <c r="X552" s="109"/>
      <c r="Y552" s="109"/>
      <c r="Z552" s="109"/>
    </row>
    <row r="553" ht="12.75" customHeight="1">
      <c r="A553" s="109"/>
      <c r="B553" s="109"/>
      <c r="C553" s="109"/>
      <c r="D553" s="109"/>
      <c r="E553" s="109"/>
      <c r="F553" s="154"/>
      <c r="G553" s="154"/>
      <c r="H553" s="109"/>
      <c r="I553" s="109"/>
      <c r="J553" s="109"/>
      <c r="K553" s="109"/>
      <c r="L553" s="109"/>
      <c r="M553" s="109"/>
      <c r="N553" s="109"/>
      <c r="O553" s="109"/>
      <c r="P553" s="109"/>
      <c r="Q553" s="109"/>
      <c r="R553" s="109"/>
      <c r="S553" s="109"/>
      <c r="T553" s="109"/>
      <c r="U553" s="109"/>
      <c r="V553" s="109"/>
      <c r="W553" s="109"/>
      <c r="X553" s="109"/>
      <c r="Y553" s="109"/>
      <c r="Z553" s="109"/>
    </row>
    <row r="554" ht="12.75" customHeight="1">
      <c r="A554" s="109"/>
      <c r="B554" s="109"/>
      <c r="C554" s="109"/>
      <c r="D554" s="109"/>
      <c r="E554" s="109"/>
      <c r="F554" s="154"/>
      <c r="G554" s="154"/>
      <c r="H554" s="109"/>
      <c r="I554" s="109"/>
      <c r="J554" s="109"/>
      <c r="K554" s="109"/>
      <c r="L554" s="109"/>
      <c r="M554" s="109"/>
      <c r="N554" s="109"/>
      <c r="O554" s="109"/>
      <c r="P554" s="109"/>
      <c r="Q554" s="109"/>
      <c r="R554" s="109"/>
      <c r="S554" s="109"/>
      <c r="T554" s="109"/>
      <c r="U554" s="109"/>
      <c r="V554" s="109"/>
      <c r="W554" s="109"/>
      <c r="X554" s="109"/>
      <c r="Y554" s="109"/>
      <c r="Z554" s="109"/>
    </row>
    <row r="555" ht="12.75" customHeight="1">
      <c r="A555" s="109"/>
      <c r="B555" s="109"/>
      <c r="C555" s="109"/>
      <c r="D555" s="109"/>
      <c r="E555" s="109"/>
      <c r="F555" s="154"/>
      <c r="G555" s="154"/>
      <c r="H555" s="109"/>
      <c r="I555" s="109"/>
      <c r="J555" s="109"/>
      <c r="K555" s="109"/>
      <c r="L555" s="109"/>
      <c r="M555" s="109"/>
      <c r="N555" s="109"/>
      <c r="O555" s="109"/>
      <c r="P555" s="109"/>
      <c r="Q555" s="109"/>
      <c r="R555" s="109"/>
      <c r="S555" s="109"/>
      <c r="T555" s="109"/>
      <c r="U555" s="109"/>
      <c r="V555" s="109"/>
      <c r="W555" s="109"/>
      <c r="X555" s="109"/>
      <c r="Y555" s="109"/>
      <c r="Z555" s="109"/>
    </row>
    <row r="556" ht="12.75" customHeight="1">
      <c r="A556" s="109"/>
      <c r="B556" s="109"/>
      <c r="C556" s="109"/>
      <c r="D556" s="109"/>
      <c r="E556" s="109"/>
      <c r="F556" s="154"/>
      <c r="G556" s="154"/>
      <c r="H556" s="109"/>
      <c r="I556" s="109"/>
      <c r="J556" s="109"/>
      <c r="K556" s="109"/>
      <c r="L556" s="109"/>
      <c r="M556" s="109"/>
      <c r="N556" s="109"/>
      <c r="O556" s="109"/>
      <c r="P556" s="109"/>
      <c r="Q556" s="109"/>
      <c r="R556" s="109"/>
      <c r="S556" s="109"/>
      <c r="T556" s="109"/>
      <c r="U556" s="109"/>
      <c r="V556" s="109"/>
      <c r="W556" s="109"/>
      <c r="X556" s="109"/>
      <c r="Y556" s="109"/>
      <c r="Z556" s="109"/>
    </row>
    <row r="557" ht="12.75" customHeight="1">
      <c r="A557" s="109"/>
      <c r="B557" s="109"/>
      <c r="C557" s="109"/>
      <c r="D557" s="109"/>
      <c r="E557" s="109"/>
      <c r="F557" s="154"/>
      <c r="G557" s="154"/>
      <c r="H557" s="109"/>
      <c r="I557" s="109"/>
      <c r="J557" s="109"/>
      <c r="K557" s="109"/>
      <c r="L557" s="109"/>
      <c r="M557" s="109"/>
      <c r="N557" s="109"/>
      <c r="O557" s="109"/>
      <c r="P557" s="109"/>
      <c r="Q557" s="109"/>
      <c r="R557" s="109"/>
      <c r="S557" s="109"/>
      <c r="T557" s="109"/>
      <c r="U557" s="109"/>
      <c r="V557" s="109"/>
      <c r="W557" s="109"/>
      <c r="X557" s="109"/>
      <c r="Y557" s="109"/>
      <c r="Z557" s="109"/>
    </row>
    <row r="558" ht="12.75" customHeight="1">
      <c r="A558" s="109"/>
      <c r="B558" s="109"/>
      <c r="C558" s="109"/>
      <c r="D558" s="109"/>
      <c r="E558" s="109"/>
      <c r="F558" s="154"/>
      <c r="G558" s="154"/>
      <c r="H558" s="109"/>
      <c r="I558" s="109"/>
      <c r="J558" s="109"/>
      <c r="K558" s="109"/>
      <c r="L558" s="109"/>
      <c r="M558" s="109"/>
      <c r="N558" s="109"/>
      <c r="O558" s="109"/>
      <c r="P558" s="109"/>
      <c r="Q558" s="109"/>
      <c r="R558" s="109"/>
      <c r="S558" s="109"/>
      <c r="T558" s="109"/>
      <c r="U558" s="109"/>
      <c r="V558" s="109"/>
      <c r="W558" s="109"/>
      <c r="X558" s="109"/>
      <c r="Y558" s="109"/>
      <c r="Z558" s="109"/>
    </row>
    <row r="559" ht="12.75" customHeight="1">
      <c r="A559" s="109"/>
      <c r="B559" s="109"/>
      <c r="C559" s="109"/>
      <c r="D559" s="109"/>
      <c r="E559" s="109"/>
      <c r="F559" s="154"/>
      <c r="G559" s="154"/>
      <c r="H559" s="109"/>
      <c r="I559" s="109"/>
      <c r="J559" s="109"/>
      <c r="K559" s="109"/>
      <c r="L559" s="109"/>
      <c r="M559" s="109"/>
      <c r="N559" s="109"/>
      <c r="O559" s="109"/>
      <c r="P559" s="109"/>
      <c r="Q559" s="109"/>
      <c r="R559" s="109"/>
      <c r="S559" s="109"/>
      <c r="T559" s="109"/>
      <c r="U559" s="109"/>
      <c r="V559" s="109"/>
      <c r="W559" s="109"/>
      <c r="X559" s="109"/>
      <c r="Y559" s="109"/>
      <c r="Z559" s="109"/>
    </row>
    <row r="560" ht="12.75" customHeight="1">
      <c r="A560" s="109"/>
      <c r="B560" s="109"/>
      <c r="C560" s="109"/>
      <c r="D560" s="109"/>
      <c r="E560" s="109"/>
      <c r="F560" s="154"/>
      <c r="G560" s="154"/>
      <c r="H560" s="109"/>
      <c r="I560" s="109"/>
      <c r="J560" s="109"/>
      <c r="K560" s="109"/>
      <c r="L560" s="109"/>
      <c r="M560" s="109"/>
      <c r="N560" s="109"/>
      <c r="O560" s="109"/>
      <c r="P560" s="109"/>
      <c r="Q560" s="109"/>
      <c r="R560" s="109"/>
      <c r="S560" s="109"/>
      <c r="T560" s="109"/>
      <c r="U560" s="109"/>
      <c r="V560" s="109"/>
      <c r="W560" s="109"/>
      <c r="X560" s="109"/>
      <c r="Y560" s="109"/>
      <c r="Z560" s="109"/>
    </row>
    <row r="561" ht="12.75" customHeight="1">
      <c r="A561" s="109"/>
      <c r="B561" s="109"/>
      <c r="C561" s="109"/>
      <c r="D561" s="109"/>
      <c r="E561" s="109"/>
      <c r="F561" s="154"/>
      <c r="G561" s="154"/>
      <c r="H561" s="109"/>
      <c r="I561" s="109"/>
      <c r="J561" s="109"/>
      <c r="K561" s="109"/>
      <c r="L561" s="109"/>
      <c r="M561" s="109"/>
      <c r="N561" s="109"/>
      <c r="O561" s="109"/>
      <c r="P561" s="109"/>
      <c r="Q561" s="109"/>
      <c r="R561" s="109"/>
      <c r="S561" s="109"/>
      <c r="T561" s="109"/>
      <c r="U561" s="109"/>
      <c r="V561" s="109"/>
      <c r="W561" s="109"/>
      <c r="X561" s="109"/>
      <c r="Y561" s="109"/>
      <c r="Z561" s="109"/>
    </row>
    <row r="562" ht="12.75" customHeight="1">
      <c r="A562" s="109"/>
      <c r="B562" s="109"/>
      <c r="C562" s="109"/>
      <c r="D562" s="109"/>
      <c r="E562" s="109"/>
      <c r="F562" s="154"/>
      <c r="G562" s="154"/>
      <c r="H562" s="109"/>
      <c r="I562" s="109"/>
      <c r="J562" s="109"/>
      <c r="K562" s="109"/>
      <c r="L562" s="109"/>
      <c r="M562" s="109"/>
      <c r="N562" s="109"/>
      <c r="O562" s="109"/>
      <c r="P562" s="109"/>
      <c r="Q562" s="109"/>
      <c r="R562" s="109"/>
      <c r="S562" s="109"/>
      <c r="T562" s="109"/>
      <c r="U562" s="109"/>
      <c r="V562" s="109"/>
      <c r="W562" s="109"/>
      <c r="X562" s="109"/>
      <c r="Y562" s="109"/>
      <c r="Z562" s="109"/>
    </row>
    <row r="563" ht="12.75" customHeight="1">
      <c r="A563" s="109"/>
      <c r="B563" s="109"/>
      <c r="C563" s="109"/>
      <c r="D563" s="109"/>
      <c r="E563" s="109"/>
      <c r="F563" s="154"/>
      <c r="G563" s="154"/>
      <c r="H563" s="109"/>
      <c r="I563" s="109"/>
      <c r="J563" s="109"/>
      <c r="K563" s="109"/>
      <c r="L563" s="109"/>
      <c r="M563" s="109"/>
      <c r="N563" s="109"/>
      <c r="O563" s="109"/>
      <c r="P563" s="109"/>
      <c r="Q563" s="109"/>
      <c r="R563" s="109"/>
      <c r="S563" s="109"/>
      <c r="T563" s="109"/>
      <c r="U563" s="109"/>
      <c r="V563" s="109"/>
      <c r="W563" s="109"/>
      <c r="X563" s="109"/>
      <c r="Y563" s="109"/>
      <c r="Z563" s="109"/>
    </row>
    <row r="564" ht="12.75" customHeight="1">
      <c r="A564" s="109"/>
      <c r="B564" s="109"/>
      <c r="C564" s="109"/>
      <c r="D564" s="109"/>
      <c r="E564" s="109"/>
      <c r="F564" s="154"/>
      <c r="G564" s="154"/>
      <c r="H564" s="109"/>
      <c r="I564" s="109"/>
      <c r="J564" s="109"/>
      <c r="K564" s="109"/>
      <c r="L564" s="109"/>
      <c r="M564" s="109"/>
      <c r="N564" s="109"/>
      <c r="O564" s="109"/>
      <c r="P564" s="109"/>
      <c r="Q564" s="109"/>
      <c r="R564" s="109"/>
      <c r="S564" s="109"/>
      <c r="T564" s="109"/>
      <c r="U564" s="109"/>
      <c r="V564" s="109"/>
      <c r="W564" s="109"/>
      <c r="X564" s="109"/>
      <c r="Y564" s="109"/>
      <c r="Z564" s="109"/>
    </row>
    <row r="565" ht="12.75" customHeight="1">
      <c r="A565" s="109"/>
      <c r="B565" s="109"/>
      <c r="C565" s="109"/>
      <c r="D565" s="109"/>
      <c r="E565" s="109"/>
      <c r="F565" s="154"/>
      <c r="G565" s="154"/>
      <c r="H565" s="109"/>
      <c r="I565" s="109"/>
      <c r="J565" s="109"/>
      <c r="K565" s="109"/>
      <c r="L565" s="109"/>
      <c r="M565" s="109"/>
      <c r="N565" s="109"/>
      <c r="O565" s="109"/>
      <c r="P565" s="109"/>
      <c r="Q565" s="109"/>
      <c r="R565" s="109"/>
      <c r="S565" s="109"/>
      <c r="T565" s="109"/>
      <c r="U565" s="109"/>
      <c r="V565" s="109"/>
      <c r="W565" s="109"/>
      <c r="X565" s="109"/>
      <c r="Y565" s="109"/>
      <c r="Z565" s="109"/>
    </row>
    <row r="566" ht="12.75" customHeight="1">
      <c r="A566" s="109"/>
      <c r="B566" s="109"/>
      <c r="C566" s="109"/>
      <c r="D566" s="109"/>
      <c r="E566" s="109"/>
      <c r="F566" s="154"/>
      <c r="G566" s="154"/>
      <c r="H566" s="109"/>
      <c r="I566" s="109"/>
      <c r="J566" s="109"/>
      <c r="K566" s="109"/>
      <c r="L566" s="109"/>
      <c r="M566" s="109"/>
      <c r="N566" s="109"/>
      <c r="O566" s="109"/>
      <c r="P566" s="109"/>
      <c r="Q566" s="109"/>
      <c r="R566" s="109"/>
      <c r="S566" s="109"/>
      <c r="T566" s="109"/>
      <c r="U566" s="109"/>
      <c r="V566" s="109"/>
      <c r="W566" s="109"/>
      <c r="X566" s="109"/>
      <c r="Y566" s="109"/>
      <c r="Z566" s="109"/>
    </row>
    <row r="567" ht="12.75" customHeight="1">
      <c r="A567" s="109"/>
      <c r="B567" s="109"/>
      <c r="C567" s="109"/>
      <c r="D567" s="109"/>
      <c r="E567" s="109"/>
      <c r="F567" s="154"/>
      <c r="G567" s="154"/>
      <c r="H567" s="109"/>
      <c r="I567" s="109"/>
      <c r="J567" s="109"/>
      <c r="K567" s="109"/>
      <c r="L567" s="109"/>
      <c r="M567" s="109"/>
      <c r="N567" s="109"/>
      <c r="O567" s="109"/>
      <c r="P567" s="109"/>
      <c r="Q567" s="109"/>
      <c r="R567" s="109"/>
      <c r="S567" s="109"/>
      <c r="T567" s="109"/>
      <c r="U567" s="109"/>
      <c r="V567" s="109"/>
      <c r="W567" s="109"/>
      <c r="X567" s="109"/>
      <c r="Y567" s="109"/>
      <c r="Z567" s="109"/>
    </row>
    <row r="568" ht="12.75" customHeight="1">
      <c r="A568" s="109"/>
      <c r="B568" s="109"/>
      <c r="C568" s="109"/>
      <c r="D568" s="109"/>
      <c r="E568" s="109"/>
      <c r="F568" s="154"/>
      <c r="G568" s="154"/>
      <c r="H568" s="109"/>
      <c r="I568" s="109"/>
      <c r="J568" s="109"/>
      <c r="K568" s="109"/>
      <c r="L568" s="109"/>
      <c r="M568" s="109"/>
      <c r="N568" s="109"/>
      <c r="O568" s="109"/>
      <c r="P568" s="109"/>
      <c r="Q568" s="109"/>
      <c r="R568" s="109"/>
      <c r="S568" s="109"/>
      <c r="T568" s="109"/>
      <c r="U568" s="109"/>
      <c r="V568" s="109"/>
      <c r="W568" s="109"/>
      <c r="X568" s="109"/>
      <c r="Y568" s="109"/>
      <c r="Z568" s="109"/>
    </row>
    <row r="569" ht="12.75" customHeight="1">
      <c r="A569" s="109"/>
      <c r="B569" s="109"/>
      <c r="C569" s="109"/>
      <c r="D569" s="109"/>
      <c r="E569" s="109"/>
      <c r="F569" s="154"/>
      <c r="G569" s="154"/>
      <c r="H569" s="109"/>
      <c r="I569" s="109"/>
      <c r="J569" s="109"/>
      <c r="K569" s="109"/>
      <c r="L569" s="109"/>
      <c r="M569" s="109"/>
      <c r="N569" s="109"/>
      <c r="O569" s="109"/>
      <c r="P569" s="109"/>
      <c r="Q569" s="109"/>
      <c r="R569" s="109"/>
      <c r="S569" s="109"/>
      <c r="T569" s="109"/>
      <c r="U569" s="109"/>
      <c r="V569" s="109"/>
      <c r="W569" s="109"/>
      <c r="X569" s="109"/>
      <c r="Y569" s="109"/>
      <c r="Z569" s="109"/>
    </row>
    <row r="570" ht="12.75" customHeight="1">
      <c r="A570" s="109"/>
      <c r="B570" s="109"/>
      <c r="C570" s="109"/>
      <c r="D570" s="109"/>
      <c r="E570" s="109"/>
      <c r="F570" s="154"/>
      <c r="G570" s="154"/>
      <c r="H570" s="109"/>
      <c r="I570" s="109"/>
      <c r="J570" s="109"/>
      <c r="K570" s="109"/>
      <c r="L570" s="109"/>
      <c r="M570" s="109"/>
      <c r="N570" s="109"/>
      <c r="O570" s="109"/>
      <c r="P570" s="109"/>
      <c r="Q570" s="109"/>
      <c r="R570" s="109"/>
      <c r="S570" s="109"/>
      <c r="T570" s="109"/>
      <c r="U570" s="109"/>
      <c r="V570" s="109"/>
      <c r="W570" s="109"/>
      <c r="X570" s="109"/>
      <c r="Y570" s="109"/>
      <c r="Z570" s="109"/>
    </row>
    <row r="571" ht="12.75" customHeight="1">
      <c r="A571" s="109"/>
      <c r="B571" s="109"/>
      <c r="C571" s="109"/>
      <c r="D571" s="109"/>
      <c r="E571" s="109"/>
      <c r="F571" s="154"/>
      <c r="G571" s="154"/>
      <c r="H571" s="109"/>
      <c r="I571" s="109"/>
      <c r="J571" s="109"/>
      <c r="K571" s="109"/>
      <c r="L571" s="109"/>
      <c r="M571" s="109"/>
      <c r="N571" s="109"/>
      <c r="O571" s="109"/>
      <c r="P571" s="109"/>
      <c r="Q571" s="109"/>
      <c r="R571" s="109"/>
      <c r="S571" s="109"/>
      <c r="T571" s="109"/>
      <c r="U571" s="109"/>
      <c r="V571" s="109"/>
      <c r="W571" s="109"/>
      <c r="X571" s="109"/>
      <c r="Y571" s="109"/>
      <c r="Z571" s="109"/>
    </row>
    <row r="572" ht="12.75" customHeight="1">
      <c r="A572" s="109"/>
      <c r="B572" s="109"/>
      <c r="C572" s="109"/>
      <c r="D572" s="109"/>
      <c r="E572" s="109"/>
      <c r="F572" s="154"/>
      <c r="G572" s="154"/>
      <c r="H572" s="109"/>
      <c r="I572" s="109"/>
      <c r="J572" s="109"/>
      <c r="K572" s="109"/>
      <c r="L572" s="109"/>
      <c r="M572" s="109"/>
      <c r="N572" s="109"/>
      <c r="O572" s="109"/>
      <c r="P572" s="109"/>
      <c r="Q572" s="109"/>
      <c r="R572" s="109"/>
      <c r="S572" s="109"/>
      <c r="T572" s="109"/>
      <c r="U572" s="109"/>
      <c r="V572" s="109"/>
      <c r="W572" s="109"/>
      <c r="X572" s="109"/>
      <c r="Y572" s="109"/>
      <c r="Z572" s="109"/>
    </row>
    <row r="573" ht="12.75" customHeight="1">
      <c r="A573" s="109"/>
      <c r="B573" s="109"/>
      <c r="C573" s="109"/>
      <c r="D573" s="109"/>
      <c r="E573" s="109"/>
      <c r="F573" s="154"/>
      <c r="G573" s="154"/>
      <c r="H573" s="109"/>
      <c r="I573" s="109"/>
      <c r="J573" s="109"/>
      <c r="K573" s="109"/>
      <c r="L573" s="109"/>
      <c r="M573" s="109"/>
      <c r="N573" s="109"/>
      <c r="O573" s="109"/>
      <c r="P573" s="109"/>
      <c r="Q573" s="109"/>
      <c r="R573" s="109"/>
      <c r="S573" s="109"/>
      <c r="T573" s="109"/>
      <c r="U573" s="109"/>
      <c r="V573" s="109"/>
      <c r="W573" s="109"/>
      <c r="X573" s="109"/>
      <c r="Y573" s="109"/>
      <c r="Z573" s="109"/>
    </row>
    <row r="574" ht="12.75" customHeight="1">
      <c r="A574" s="109"/>
      <c r="B574" s="109"/>
      <c r="C574" s="109"/>
      <c r="D574" s="109"/>
      <c r="E574" s="109"/>
      <c r="F574" s="154"/>
      <c r="G574" s="154"/>
      <c r="H574" s="109"/>
      <c r="I574" s="109"/>
      <c r="J574" s="109"/>
      <c r="K574" s="109"/>
      <c r="L574" s="109"/>
      <c r="M574" s="109"/>
      <c r="N574" s="109"/>
      <c r="O574" s="109"/>
      <c r="P574" s="109"/>
      <c r="Q574" s="109"/>
      <c r="R574" s="109"/>
      <c r="S574" s="109"/>
      <c r="T574" s="109"/>
      <c r="U574" s="109"/>
      <c r="V574" s="109"/>
      <c r="W574" s="109"/>
      <c r="X574" s="109"/>
      <c r="Y574" s="109"/>
      <c r="Z574" s="109"/>
    </row>
    <row r="575" ht="12.75" customHeight="1">
      <c r="A575" s="109"/>
      <c r="B575" s="109"/>
      <c r="C575" s="109"/>
      <c r="D575" s="109"/>
      <c r="E575" s="109"/>
      <c r="F575" s="154"/>
      <c r="G575" s="154"/>
      <c r="H575" s="109"/>
      <c r="I575" s="109"/>
      <c r="J575" s="109"/>
      <c r="K575" s="109"/>
      <c r="L575" s="109"/>
      <c r="M575" s="109"/>
      <c r="N575" s="109"/>
      <c r="O575" s="109"/>
      <c r="P575" s="109"/>
      <c r="Q575" s="109"/>
      <c r="R575" s="109"/>
      <c r="S575" s="109"/>
      <c r="T575" s="109"/>
      <c r="U575" s="109"/>
      <c r="V575" s="109"/>
      <c r="W575" s="109"/>
      <c r="X575" s="109"/>
      <c r="Y575" s="109"/>
      <c r="Z575" s="109"/>
    </row>
    <row r="576" ht="12.75" customHeight="1">
      <c r="A576" s="109"/>
      <c r="B576" s="109"/>
      <c r="C576" s="109"/>
      <c r="D576" s="109"/>
      <c r="E576" s="109"/>
      <c r="F576" s="154"/>
      <c r="G576" s="154"/>
      <c r="H576" s="109"/>
      <c r="I576" s="109"/>
      <c r="J576" s="109"/>
      <c r="K576" s="109"/>
      <c r="L576" s="109"/>
      <c r="M576" s="109"/>
      <c r="N576" s="109"/>
      <c r="O576" s="109"/>
      <c r="P576" s="109"/>
      <c r="Q576" s="109"/>
      <c r="R576" s="109"/>
      <c r="S576" s="109"/>
      <c r="T576" s="109"/>
      <c r="U576" s="109"/>
      <c r="V576" s="109"/>
      <c r="W576" s="109"/>
      <c r="X576" s="109"/>
      <c r="Y576" s="109"/>
      <c r="Z576" s="109"/>
    </row>
    <row r="577" ht="12.75" customHeight="1">
      <c r="A577" s="109"/>
      <c r="B577" s="109"/>
      <c r="C577" s="109"/>
      <c r="D577" s="109"/>
      <c r="E577" s="109"/>
      <c r="F577" s="154"/>
      <c r="G577" s="154"/>
      <c r="H577" s="109"/>
      <c r="I577" s="109"/>
      <c r="J577" s="109"/>
      <c r="K577" s="109"/>
      <c r="L577" s="109"/>
      <c r="M577" s="109"/>
      <c r="N577" s="109"/>
      <c r="O577" s="109"/>
      <c r="P577" s="109"/>
      <c r="Q577" s="109"/>
      <c r="R577" s="109"/>
      <c r="S577" s="109"/>
      <c r="T577" s="109"/>
      <c r="U577" s="109"/>
      <c r="V577" s="109"/>
      <c r="W577" s="109"/>
      <c r="X577" s="109"/>
      <c r="Y577" s="109"/>
      <c r="Z577" s="109"/>
    </row>
    <row r="578" ht="12.75" customHeight="1">
      <c r="A578" s="109"/>
      <c r="B578" s="109"/>
      <c r="C578" s="109"/>
      <c r="D578" s="109"/>
      <c r="E578" s="109"/>
      <c r="F578" s="154"/>
      <c r="G578" s="154"/>
      <c r="H578" s="109"/>
      <c r="I578" s="109"/>
      <c r="J578" s="109"/>
      <c r="K578" s="109"/>
      <c r="L578" s="109"/>
      <c r="M578" s="109"/>
      <c r="N578" s="109"/>
      <c r="O578" s="109"/>
      <c r="P578" s="109"/>
      <c r="Q578" s="109"/>
      <c r="R578" s="109"/>
      <c r="S578" s="109"/>
      <c r="T578" s="109"/>
      <c r="U578" s="109"/>
      <c r="V578" s="109"/>
      <c r="W578" s="109"/>
      <c r="X578" s="109"/>
      <c r="Y578" s="109"/>
      <c r="Z578" s="109"/>
    </row>
    <row r="579" ht="12.75" customHeight="1">
      <c r="A579" s="109"/>
      <c r="B579" s="109"/>
      <c r="C579" s="109"/>
      <c r="D579" s="109"/>
      <c r="E579" s="109"/>
      <c r="F579" s="154"/>
      <c r="G579" s="154"/>
      <c r="H579" s="109"/>
      <c r="I579" s="109"/>
      <c r="J579" s="109"/>
      <c r="K579" s="109"/>
      <c r="L579" s="109"/>
      <c r="M579" s="109"/>
      <c r="N579" s="109"/>
      <c r="O579" s="109"/>
      <c r="P579" s="109"/>
      <c r="Q579" s="109"/>
      <c r="R579" s="109"/>
      <c r="S579" s="109"/>
      <c r="T579" s="109"/>
      <c r="U579" s="109"/>
      <c r="V579" s="109"/>
      <c r="W579" s="109"/>
      <c r="X579" s="109"/>
      <c r="Y579" s="109"/>
      <c r="Z579" s="109"/>
    </row>
    <row r="580" ht="12.75" customHeight="1">
      <c r="A580" s="109"/>
      <c r="B580" s="109"/>
      <c r="C580" s="109"/>
      <c r="D580" s="109"/>
      <c r="E580" s="109"/>
      <c r="F580" s="154"/>
      <c r="G580" s="154"/>
      <c r="H580" s="109"/>
      <c r="I580" s="109"/>
      <c r="J580" s="109"/>
      <c r="K580" s="109"/>
      <c r="L580" s="109"/>
      <c r="M580" s="109"/>
      <c r="N580" s="109"/>
      <c r="O580" s="109"/>
      <c r="P580" s="109"/>
      <c r="Q580" s="109"/>
      <c r="R580" s="109"/>
      <c r="S580" s="109"/>
      <c r="T580" s="109"/>
      <c r="U580" s="109"/>
      <c r="V580" s="109"/>
      <c r="W580" s="109"/>
      <c r="X580" s="109"/>
      <c r="Y580" s="109"/>
      <c r="Z580" s="109"/>
    </row>
    <row r="581" ht="12.75" customHeight="1">
      <c r="A581" s="109"/>
      <c r="B581" s="109"/>
      <c r="C581" s="109"/>
      <c r="D581" s="109"/>
      <c r="E581" s="109"/>
      <c r="F581" s="154"/>
      <c r="G581" s="154"/>
      <c r="H581" s="109"/>
      <c r="I581" s="109"/>
      <c r="J581" s="109"/>
      <c r="K581" s="109"/>
      <c r="L581" s="109"/>
      <c r="M581" s="109"/>
      <c r="N581" s="109"/>
      <c r="O581" s="109"/>
      <c r="P581" s="109"/>
      <c r="Q581" s="109"/>
      <c r="R581" s="109"/>
      <c r="S581" s="109"/>
      <c r="T581" s="109"/>
      <c r="U581" s="109"/>
      <c r="V581" s="109"/>
      <c r="W581" s="109"/>
      <c r="X581" s="109"/>
      <c r="Y581" s="109"/>
      <c r="Z581" s="109"/>
    </row>
    <row r="582" ht="12.75" customHeight="1">
      <c r="A582" s="109"/>
      <c r="B582" s="109"/>
      <c r="C582" s="109"/>
      <c r="D582" s="109"/>
      <c r="E582" s="109"/>
      <c r="F582" s="154"/>
      <c r="G582" s="154"/>
      <c r="H582" s="109"/>
      <c r="I582" s="109"/>
      <c r="J582" s="109"/>
      <c r="K582" s="109"/>
      <c r="L582" s="109"/>
      <c r="M582" s="109"/>
      <c r="N582" s="109"/>
      <c r="O582" s="109"/>
      <c r="P582" s="109"/>
      <c r="Q582" s="109"/>
      <c r="R582" s="109"/>
      <c r="S582" s="109"/>
      <c r="T582" s="109"/>
      <c r="U582" s="109"/>
      <c r="V582" s="109"/>
      <c r="W582" s="109"/>
      <c r="X582" s="109"/>
      <c r="Y582" s="109"/>
      <c r="Z582" s="109"/>
    </row>
    <row r="583" ht="12.75" customHeight="1">
      <c r="A583" s="109"/>
      <c r="B583" s="109"/>
      <c r="C583" s="109"/>
      <c r="D583" s="109"/>
      <c r="E583" s="109"/>
      <c r="F583" s="154"/>
      <c r="G583" s="154"/>
      <c r="H583" s="109"/>
      <c r="I583" s="109"/>
      <c r="J583" s="109"/>
      <c r="K583" s="109"/>
      <c r="L583" s="109"/>
      <c r="M583" s="109"/>
      <c r="N583" s="109"/>
      <c r="O583" s="109"/>
      <c r="P583" s="109"/>
      <c r="Q583" s="109"/>
      <c r="R583" s="109"/>
      <c r="S583" s="109"/>
      <c r="T583" s="109"/>
      <c r="U583" s="109"/>
      <c r="V583" s="109"/>
      <c r="W583" s="109"/>
      <c r="X583" s="109"/>
      <c r="Y583" s="109"/>
      <c r="Z583" s="109"/>
    </row>
    <row r="584" ht="12.75" customHeight="1">
      <c r="A584" s="109"/>
      <c r="B584" s="109"/>
      <c r="C584" s="109"/>
      <c r="D584" s="109"/>
      <c r="E584" s="109"/>
      <c r="F584" s="154"/>
      <c r="G584" s="154"/>
      <c r="H584" s="109"/>
      <c r="I584" s="109"/>
      <c r="J584" s="109"/>
      <c r="K584" s="109"/>
      <c r="L584" s="109"/>
      <c r="M584" s="109"/>
      <c r="N584" s="109"/>
      <c r="O584" s="109"/>
      <c r="P584" s="109"/>
      <c r="Q584" s="109"/>
      <c r="R584" s="109"/>
      <c r="S584" s="109"/>
      <c r="T584" s="109"/>
      <c r="U584" s="109"/>
      <c r="V584" s="109"/>
      <c r="W584" s="109"/>
      <c r="X584" s="109"/>
      <c r="Y584" s="109"/>
      <c r="Z584" s="109"/>
    </row>
    <row r="585" ht="12.75" customHeight="1">
      <c r="A585" s="109"/>
      <c r="B585" s="109"/>
      <c r="C585" s="109"/>
      <c r="D585" s="109"/>
      <c r="E585" s="109"/>
      <c r="F585" s="154"/>
      <c r="G585" s="154"/>
      <c r="H585" s="109"/>
      <c r="I585" s="109"/>
      <c r="J585" s="109"/>
      <c r="K585" s="109"/>
      <c r="L585" s="109"/>
      <c r="M585" s="109"/>
      <c r="N585" s="109"/>
      <c r="O585" s="109"/>
      <c r="P585" s="109"/>
      <c r="Q585" s="109"/>
      <c r="R585" s="109"/>
      <c r="S585" s="109"/>
      <c r="T585" s="109"/>
      <c r="U585" s="109"/>
      <c r="V585" s="109"/>
      <c r="W585" s="109"/>
      <c r="X585" s="109"/>
      <c r="Y585" s="109"/>
      <c r="Z585" s="109"/>
    </row>
    <row r="586" ht="12.75" customHeight="1">
      <c r="A586" s="109"/>
      <c r="B586" s="109"/>
      <c r="C586" s="109"/>
      <c r="D586" s="109"/>
      <c r="E586" s="109"/>
      <c r="F586" s="154"/>
      <c r="G586" s="154"/>
      <c r="H586" s="109"/>
      <c r="I586" s="109"/>
      <c r="J586" s="109"/>
      <c r="K586" s="109"/>
      <c r="L586" s="109"/>
      <c r="M586" s="109"/>
      <c r="N586" s="109"/>
      <c r="O586" s="109"/>
      <c r="P586" s="109"/>
      <c r="Q586" s="109"/>
      <c r="R586" s="109"/>
      <c r="S586" s="109"/>
      <c r="T586" s="109"/>
      <c r="U586" s="109"/>
      <c r="V586" s="109"/>
      <c r="W586" s="109"/>
      <c r="X586" s="109"/>
      <c r="Y586" s="109"/>
      <c r="Z586" s="109"/>
    </row>
    <row r="587" ht="12.75" customHeight="1">
      <c r="A587" s="109"/>
      <c r="B587" s="109"/>
      <c r="C587" s="109"/>
      <c r="D587" s="109"/>
      <c r="E587" s="109"/>
      <c r="F587" s="154"/>
      <c r="G587" s="154"/>
      <c r="H587" s="109"/>
      <c r="I587" s="109"/>
      <c r="J587" s="109"/>
      <c r="K587" s="109"/>
      <c r="L587" s="109"/>
      <c r="M587" s="109"/>
      <c r="N587" s="109"/>
      <c r="O587" s="109"/>
      <c r="P587" s="109"/>
      <c r="Q587" s="109"/>
      <c r="R587" s="109"/>
      <c r="S587" s="109"/>
      <c r="T587" s="109"/>
      <c r="U587" s="109"/>
      <c r="V587" s="109"/>
      <c r="W587" s="109"/>
      <c r="X587" s="109"/>
      <c r="Y587" s="109"/>
      <c r="Z587" s="109"/>
    </row>
    <row r="588" ht="12.75" customHeight="1">
      <c r="A588" s="109"/>
      <c r="B588" s="109"/>
      <c r="C588" s="109"/>
      <c r="D588" s="109"/>
      <c r="E588" s="109"/>
      <c r="F588" s="154"/>
      <c r="G588" s="154"/>
      <c r="H588" s="109"/>
      <c r="I588" s="109"/>
      <c r="J588" s="109"/>
      <c r="K588" s="109"/>
      <c r="L588" s="109"/>
      <c r="M588" s="109"/>
      <c r="N588" s="109"/>
      <c r="O588" s="109"/>
      <c r="P588" s="109"/>
      <c r="Q588" s="109"/>
      <c r="R588" s="109"/>
      <c r="S588" s="109"/>
      <c r="T588" s="109"/>
      <c r="U588" s="109"/>
      <c r="V588" s="109"/>
      <c r="W588" s="109"/>
      <c r="X588" s="109"/>
      <c r="Y588" s="109"/>
      <c r="Z588" s="109"/>
    </row>
    <row r="589" ht="12.75" customHeight="1">
      <c r="A589" s="109"/>
      <c r="B589" s="109"/>
      <c r="C589" s="109"/>
      <c r="D589" s="109"/>
      <c r="E589" s="109"/>
      <c r="F589" s="154"/>
      <c r="G589" s="154"/>
      <c r="H589" s="109"/>
      <c r="I589" s="109"/>
      <c r="J589" s="109"/>
      <c r="K589" s="109"/>
      <c r="L589" s="109"/>
      <c r="M589" s="109"/>
      <c r="N589" s="109"/>
      <c r="O589" s="109"/>
      <c r="P589" s="109"/>
      <c r="Q589" s="109"/>
      <c r="R589" s="109"/>
      <c r="S589" s="109"/>
      <c r="T589" s="109"/>
      <c r="U589" s="109"/>
      <c r="V589" s="109"/>
      <c r="W589" s="109"/>
      <c r="X589" s="109"/>
      <c r="Y589" s="109"/>
      <c r="Z589" s="109"/>
    </row>
    <row r="590" ht="12.75" customHeight="1">
      <c r="A590" s="109"/>
      <c r="B590" s="109"/>
      <c r="C590" s="109"/>
      <c r="D590" s="109"/>
      <c r="E590" s="109"/>
      <c r="F590" s="154"/>
      <c r="G590" s="154"/>
      <c r="H590" s="109"/>
      <c r="I590" s="109"/>
      <c r="J590" s="109"/>
      <c r="K590" s="109"/>
      <c r="L590" s="109"/>
      <c r="M590" s="109"/>
      <c r="N590" s="109"/>
      <c r="O590" s="109"/>
      <c r="P590" s="109"/>
      <c r="Q590" s="109"/>
      <c r="R590" s="109"/>
      <c r="S590" s="109"/>
      <c r="T590" s="109"/>
      <c r="U590" s="109"/>
      <c r="V590" s="109"/>
      <c r="W590" s="109"/>
      <c r="X590" s="109"/>
      <c r="Y590" s="109"/>
      <c r="Z590" s="109"/>
    </row>
    <row r="591" ht="12.75" customHeight="1">
      <c r="A591" s="109"/>
      <c r="B591" s="109"/>
      <c r="C591" s="109"/>
      <c r="D591" s="109"/>
      <c r="E591" s="109"/>
      <c r="F591" s="154"/>
      <c r="G591" s="154"/>
      <c r="H591" s="109"/>
      <c r="I591" s="109"/>
      <c r="J591" s="109"/>
      <c r="K591" s="109"/>
      <c r="L591" s="109"/>
      <c r="M591" s="109"/>
      <c r="N591" s="109"/>
      <c r="O591" s="109"/>
      <c r="P591" s="109"/>
      <c r="Q591" s="109"/>
      <c r="R591" s="109"/>
      <c r="S591" s="109"/>
      <c r="T591" s="109"/>
      <c r="U591" s="109"/>
      <c r="V591" s="109"/>
      <c r="W591" s="109"/>
      <c r="X591" s="109"/>
      <c r="Y591" s="109"/>
      <c r="Z591" s="109"/>
    </row>
    <row r="592" ht="12.75" customHeight="1">
      <c r="A592" s="109"/>
      <c r="B592" s="109"/>
      <c r="C592" s="109"/>
      <c r="D592" s="109"/>
      <c r="E592" s="109"/>
      <c r="F592" s="154"/>
      <c r="G592" s="154"/>
      <c r="H592" s="109"/>
      <c r="I592" s="109"/>
      <c r="J592" s="109"/>
      <c r="K592" s="109"/>
      <c r="L592" s="109"/>
      <c r="M592" s="109"/>
      <c r="N592" s="109"/>
      <c r="O592" s="109"/>
      <c r="P592" s="109"/>
      <c r="Q592" s="109"/>
      <c r="R592" s="109"/>
      <c r="S592" s="109"/>
      <c r="T592" s="109"/>
      <c r="U592" s="109"/>
      <c r="V592" s="109"/>
      <c r="W592" s="109"/>
      <c r="X592" s="109"/>
      <c r="Y592" s="109"/>
      <c r="Z592" s="109"/>
    </row>
    <row r="593" ht="12.75" customHeight="1">
      <c r="A593" s="109"/>
      <c r="B593" s="109"/>
      <c r="C593" s="109"/>
      <c r="D593" s="109"/>
      <c r="E593" s="109"/>
      <c r="F593" s="154"/>
      <c r="G593" s="154"/>
      <c r="H593" s="109"/>
      <c r="I593" s="109"/>
      <c r="J593" s="109"/>
      <c r="K593" s="109"/>
      <c r="L593" s="109"/>
      <c r="M593" s="109"/>
      <c r="N593" s="109"/>
      <c r="O593" s="109"/>
      <c r="P593" s="109"/>
      <c r="Q593" s="109"/>
      <c r="R593" s="109"/>
      <c r="S593" s="109"/>
      <c r="T593" s="109"/>
      <c r="U593" s="109"/>
      <c r="V593" s="109"/>
      <c r="W593" s="109"/>
      <c r="X593" s="109"/>
      <c r="Y593" s="109"/>
      <c r="Z593" s="109"/>
    </row>
    <row r="594" ht="12.75" customHeight="1">
      <c r="A594" s="109"/>
      <c r="B594" s="109"/>
      <c r="C594" s="109"/>
      <c r="D594" s="109"/>
      <c r="E594" s="109"/>
      <c r="F594" s="154"/>
      <c r="G594" s="154"/>
      <c r="H594" s="109"/>
      <c r="I594" s="109"/>
      <c r="J594" s="109"/>
      <c r="K594" s="109"/>
      <c r="L594" s="109"/>
      <c r="M594" s="109"/>
      <c r="N594" s="109"/>
      <c r="O594" s="109"/>
      <c r="P594" s="109"/>
      <c r="Q594" s="109"/>
      <c r="R594" s="109"/>
      <c r="S594" s="109"/>
      <c r="T594" s="109"/>
      <c r="U594" s="109"/>
      <c r="V594" s="109"/>
      <c r="W594" s="109"/>
      <c r="X594" s="109"/>
      <c r="Y594" s="109"/>
      <c r="Z594" s="109"/>
    </row>
    <row r="595" ht="12.75" customHeight="1">
      <c r="A595" s="109"/>
      <c r="B595" s="109"/>
      <c r="C595" s="109"/>
      <c r="D595" s="109"/>
      <c r="E595" s="109"/>
      <c r="F595" s="154"/>
      <c r="G595" s="154"/>
      <c r="H595" s="109"/>
      <c r="I595" s="109"/>
      <c r="J595" s="109"/>
      <c r="K595" s="109"/>
      <c r="L595" s="109"/>
      <c r="M595" s="109"/>
      <c r="N595" s="109"/>
      <c r="O595" s="109"/>
      <c r="P595" s="109"/>
      <c r="Q595" s="109"/>
      <c r="R595" s="109"/>
      <c r="S595" s="109"/>
      <c r="T595" s="109"/>
      <c r="U595" s="109"/>
      <c r="V595" s="109"/>
      <c r="W595" s="109"/>
      <c r="X595" s="109"/>
      <c r="Y595" s="109"/>
      <c r="Z595" s="109"/>
    </row>
    <row r="596" ht="12.75" customHeight="1">
      <c r="A596" s="109"/>
      <c r="B596" s="109"/>
      <c r="C596" s="109"/>
      <c r="D596" s="109"/>
      <c r="E596" s="109"/>
      <c r="F596" s="154"/>
      <c r="G596" s="154"/>
      <c r="H596" s="109"/>
      <c r="I596" s="109"/>
      <c r="J596" s="109"/>
      <c r="K596" s="109"/>
      <c r="L596" s="109"/>
      <c r="M596" s="109"/>
      <c r="N596" s="109"/>
      <c r="O596" s="109"/>
      <c r="P596" s="109"/>
      <c r="Q596" s="109"/>
      <c r="R596" s="109"/>
      <c r="S596" s="109"/>
      <c r="T596" s="109"/>
      <c r="U596" s="109"/>
      <c r="V596" s="109"/>
      <c r="W596" s="109"/>
      <c r="X596" s="109"/>
      <c r="Y596" s="109"/>
      <c r="Z596" s="109"/>
    </row>
    <row r="597" ht="12.75" customHeight="1">
      <c r="A597" s="109"/>
      <c r="B597" s="109"/>
      <c r="C597" s="109"/>
      <c r="D597" s="109"/>
      <c r="E597" s="109"/>
      <c r="F597" s="154"/>
      <c r="G597" s="154"/>
      <c r="H597" s="109"/>
      <c r="I597" s="109"/>
      <c r="J597" s="109"/>
      <c r="K597" s="109"/>
      <c r="L597" s="109"/>
      <c r="M597" s="109"/>
      <c r="N597" s="109"/>
      <c r="O597" s="109"/>
      <c r="P597" s="109"/>
      <c r="Q597" s="109"/>
      <c r="R597" s="109"/>
      <c r="S597" s="109"/>
      <c r="T597" s="109"/>
      <c r="U597" s="109"/>
      <c r="V597" s="109"/>
      <c r="W597" s="109"/>
      <c r="X597" s="109"/>
      <c r="Y597" s="109"/>
      <c r="Z597" s="109"/>
    </row>
    <row r="598" ht="12.75" customHeight="1">
      <c r="A598" s="109"/>
      <c r="B598" s="109"/>
      <c r="C598" s="109"/>
      <c r="D598" s="109"/>
      <c r="E598" s="109"/>
      <c r="F598" s="154"/>
      <c r="G598" s="154"/>
      <c r="H598" s="109"/>
      <c r="I598" s="109"/>
      <c r="J598" s="109"/>
      <c r="K598" s="109"/>
      <c r="L598" s="109"/>
      <c r="M598" s="109"/>
      <c r="N598" s="109"/>
      <c r="O598" s="109"/>
      <c r="P598" s="109"/>
      <c r="Q598" s="109"/>
      <c r="R598" s="109"/>
      <c r="S598" s="109"/>
      <c r="T598" s="109"/>
      <c r="U598" s="109"/>
      <c r="V598" s="109"/>
      <c r="W598" s="109"/>
      <c r="X598" s="109"/>
      <c r="Y598" s="109"/>
      <c r="Z598" s="109"/>
    </row>
    <row r="599" ht="12.75" customHeight="1">
      <c r="A599" s="109"/>
      <c r="B599" s="109"/>
      <c r="C599" s="109"/>
      <c r="D599" s="109"/>
      <c r="E599" s="109"/>
      <c r="F599" s="154"/>
      <c r="G599" s="154"/>
      <c r="H599" s="109"/>
      <c r="I599" s="109"/>
      <c r="J599" s="109"/>
      <c r="K599" s="109"/>
      <c r="L599" s="109"/>
      <c r="M599" s="109"/>
      <c r="N599" s="109"/>
      <c r="O599" s="109"/>
      <c r="P599" s="109"/>
      <c r="Q599" s="109"/>
      <c r="R599" s="109"/>
      <c r="S599" s="109"/>
      <c r="T599" s="109"/>
      <c r="U599" s="109"/>
      <c r="V599" s="109"/>
      <c r="W599" s="109"/>
      <c r="X599" s="109"/>
      <c r="Y599" s="109"/>
      <c r="Z599" s="109"/>
    </row>
    <row r="600" ht="12.75" customHeight="1">
      <c r="A600" s="109"/>
      <c r="B600" s="109"/>
      <c r="C600" s="109"/>
      <c r="D600" s="109"/>
      <c r="E600" s="109"/>
      <c r="F600" s="154"/>
      <c r="G600" s="154"/>
      <c r="H600" s="109"/>
      <c r="I600" s="109"/>
      <c r="J600" s="109"/>
      <c r="K600" s="109"/>
      <c r="L600" s="109"/>
      <c r="M600" s="109"/>
      <c r="N600" s="109"/>
      <c r="O600" s="109"/>
      <c r="P600" s="109"/>
      <c r="Q600" s="109"/>
      <c r="R600" s="109"/>
      <c r="S600" s="109"/>
      <c r="T600" s="109"/>
      <c r="U600" s="109"/>
      <c r="V600" s="109"/>
      <c r="W600" s="109"/>
      <c r="X600" s="109"/>
      <c r="Y600" s="109"/>
      <c r="Z600" s="109"/>
    </row>
    <row r="601" ht="12.75" customHeight="1">
      <c r="A601" s="109"/>
      <c r="B601" s="109"/>
      <c r="C601" s="109"/>
      <c r="D601" s="109"/>
      <c r="E601" s="109"/>
      <c r="F601" s="154"/>
      <c r="G601" s="154"/>
      <c r="H601" s="109"/>
      <c r="I601" s="109"/>
      <c r="J601" s="109"/>
      <c r="K601" s="109"/>
      <c r="L601" s="109"/>
      <c r="M601" s="109"/>
      <c r="N601" s="109"/>
      <c r="O601" s="109"/>
      <c r="P601" s="109"/>
      <c r="Q601" s="109"/>
      <c r="R601" s="109"/>
      <c r="S601" s="109"/>
      <c r="T601" s="109"/>
      <c r="U601" s="109"/>
      <c r="V601" s="109"/>
      <c r="W601" s="109"/>
      <c r="X601" s="109"/>
      <c r="Y601" s="109"/>
      <c r="Z601" s="109"/>
    </row>
    <row r="602" ht="12.75" customHeight="1">
      <c r="A602" s="109"/>
      <c r="B602" s="109"/>
      <c r="C602" s="109"/>
      <c r="D602" s="109"/>
      <c r="E602" s="109"/>
      <c r="F602" s="154"/>
      <c r="G602" s="154"/>
      <c r="H602" s="109"/>
      <c r="I602" s="109"/>
      <c r="J602" s="109"/>
      <c r="K602" s="109"/>
      <c r="L602" s="109"/>
      <c r="M602" s="109"/>
      <c r="N602" s="109"/>
      <c r="O602" s="109"/>
      <c r="P602" s="109"/>
      <c r="Q602" s="109"/>
      <c r="R602" s="109"/>
      <c r="S602" s="109"/>
      <c r="T602" s="109"/>
      <c r="U602" s="109"/>
      <c r="V602" s="109"/>
      <c r="W602" s="109"/>
      <c r="X602" s="109"/>
      <c r="Y602" s="109"/>
      <c r="Z602" s="109"/>
    </row>
    <row r="603" ht="12.75" customHeight="1">
      <c r="A603" s="109"/>
      <c r="B603" s="109"/>
      <c r="C603" s="109"/>
      <c r="D603" s="109"/>
      <c r="E603" s="109"/>
      <c r="F603" s="154"/>
      <c r="G603" s="154"/>
      <c r="H603" s="109"/>
      <c r="I603" s="109"/>
      <c r="J603" s="109"/>
      <c r="K603" s="109"/>
      <c r="L603" s="109"/>
      <c r="M603" s="109"/>
      <c r="N603" s="109"/>
      <c r="O603" s="109"/>
      <c r="P603" s="109"/>
      <c r="Q603" s="109"/>
      <c r="R603" s="109"/>
      <c r="S603" s="109"/>
      <c r="T603" s="109"/>
      <c r="U603" s="109"/>
      <c r="V603" s="109"/>
      <c r="W603" s="109"/>
      <c r="X603" s="109"/>
      <c r="Y603" s="109"/>
      <c r="Z603" s="109"/>
    </row>
    <row r="604" ht="12.75" customHeight="1">
      <c r="A604" s="109"/>
      <c r="B604" s="109"/>
      <c r="C604" s="109"/>
      <c r="D604" s="109"/>
      <c r="E604" s="109"/>
      <c r="F604" s="154"/>
      <c r="G604" s="154"/>
      <c r="H604" s="109"/>
      <c r="I604" s="109"/>
      <c r="J604" s="109"/>
      <c r="K604" s="109"/>
      <c r="L604" s="109"/>
      <c r="M604" s="109"/>
      <c r="N604" s="109"/>
      <c r="O604" s="109"/>
      <c r="P604" s="109"/>
      <c r="Q604" s="109"/>
      <c r="R604" s="109"/>
      <c r="S604" s="109"/>
      <c r="T604" s="109"/>
      <c r="U604" s="109"/>
      <c r="V604" s="109"/>
      <c r="W604" s="109"/>
      <c r="X604" s="109"/>
      <c r="Y604" s="109"/>
      <c r="Z604" s="109"/>
    </row>
    <row r="605" ht="12.75" customHeight="1">
      <c r="A605" s="109"/>
      <c r="B605" s="109"/>
      <c r="C605" s="109"/>
      <c r="D605" s="109"/>
      <c r="E605" s="109"/>
      <c r="F605" s="154"/>
      <c r="G605" s="154"/>
      <c r="H605" s="109"/>
      <c r="I605" s="109"/>
      <c r="J605" s="109"/>
      <c r="K605" s="109"/>
      <c r="L605" s="109"/>
      <c r="M605" s="109"/>
      <c r="N605" s="109"/>
      <c r="O605" s="109"/>
      <c r="P605" s="109"/>
      <c r="Q605" s="109"/>
      <c r="R605" s="109"/>
      <c r="S605" s="109"/>
      <c r="T605" s="109"/>
      <c r="U605" s="109"/>
      <c r="V605" s="109"/>
      <c r="W605" s="109"/>
      <c r="X605" s="109"/>
      <c r="Y605" s="109"/>
      <c r="Z605" s="109"/>
    </row>
    <row r="606" ht="12.75" customHeight="1">
      <c r="A606" s="109"/>
      <c r="B606" s="109"/>
      <c r="C606" s="109"/>
      <c r="D606" s="109"/>
      <c r="E606" s="109"/>
      <c r="F606" s="154"/>
      <c r="G606" s="154"/>
      <c r="H606" s="109"/>
      <c r="I606" s="109"/>
      <c r="J606" s="109"/>
      <c r="K606" s="109"/>
      <c r="L606" s="109"/>
      <c r="M606" s="109"/>
      <c r="N606" s="109"/>
      <c r="O606" s="109"/>
      <c r="P606" s="109"/>
      <c r="Q606" s="109"/>
      <c r="R606" s="109"/>
      <c r="S606" s="109"/>
      <c r="T606" s="109"/>
      <c r="U606" s="109"/>
      <c r="V606" s="109"/>
      <c r="W606" s="109"/>
      <c r="X606" s="109"/>
      <c r="Y606" s="109"/>
      <c r="Z606" s="109"/>
    </row>
    <row r="607" ht="12.75" customHeight="1">
      <c r="A607" s="109"/>
      <c r="B607" s="109"/>
      <c r="C607" s="109"/>
      <c r="D607" s="109"/>
      <c r="E607" s="109"/>
      <c r="F607" s="154"/>
      <c r="G607" s="154"/>
      <c r="H607" s="109"/>
      <c r="I607" s="109"/>
      <c r="J607" s="109"/>
      <c r="K607" s="109"/>
      <c r="L607" s="109"/>
      <c r="M607" s="109"/>
      <c r="N607" s="109"/>
      <c r="O607" s="109"/>
      <c r="P607" s="109"/>
      <c r="Q607" s="109"/>
      <c r="R607" s="109"/>
      <c r="S607" s="109"/>
      <c r="T607" s="109"/>
      <c r="U607" s="109"/>
      <c r="V607" s="109"/>
      <c r="W607" s="109"/>
      <c r="X607" s="109"/>
      <c r="Y607" s="109"/>
      <c r="Z607" s="109"/>
    </row>
    <row r="608" ht="12.75" customHeight="1">
      <c r="A608" s="109"/>
      <c r="B608" s="109"/>
      <c r="C608" s="109"/>
      <c r="D608" s="109"/>
      <c r="E608" s="109"/>
      <c r="F608" s="154"/>
      <c r="G608" s="154"/>
      <c r="H608" s="109"/>
      <c r="I608" s="109"/>
      <c r="J608" s="109"/>
      <c r="K608" s="109"/>
      <c r="L608" s="109"/>
      <c r="M608" s="109"/>
      <c r="N608" s="109"/>
      <c r="O608" s="109"/>
      <c r="P608" s="109"/>
      <c r="Q608" s="109"/>
      <c r="R608" s="109"/>
      <c r="S608" s="109"/>
      <c r="T608" s="109"/>
      <c r="U608" s="109"/>
      <c r="V608" s="109"/>
      <c r="W608" s="109"/>
      <c r="X608" s="109"/>
      <c r="Y608" s="109"/>
      <c r="Z608" s="109"/>
    </row>
    <row r="609" ht="12.75" customHeight="1">
      <c r="A609" s="109"/>
      <c r="B609" s="109"/>
      <c r="C609" s="109"/>
      <c r="D609" s="109"/>
      <c r="E609" s="109"/>
      <c r="F609" s="154"/>
      <c r="G609" s="154"/>
      <c r="H609" s="109"/>
      <c r="I609" s="109"/>
      <c r="J609" s="109"/>
      <c r="K609" s="109"/>
      <c r="L609" s="109"/>
      <c r="M609" s="109"/>
      <c r="N609" s="109"/>
      <c r="O609" s="109"/>
      <c r="P609" s="109"/>
      <c r="Q609" s="109"/>
      <c r="R609" s="109"/>
      <c r="S609" s="109"/>
      <c r="T609" s="109"/>
      <c r="U609" s="109"/>
      <c r="V609" s="109"/>
      <c r="W609" s="109"/>
      <c r="X609" s="109"/>
      <c r="Y609" s="109"/>
      <c r="Z609" s="109"/>
    </row>
    <row r="610" ht="12.75" customHeight="1">
      <c r="A610" s="109"/>
      <c r="B610" s="109"/>
      <c r="C610" s="109"/>
      <c r="D610" s="109"/>
      <c r="E610" s="109"/>
      <c r="F610" s="154"/>
      <c r="G610" s="154"/>
      <c r="H610" s="109"/>
      <c r="I610" s="109"/>
      <c r="J610" s="109"/>
      <c r="K610" s="109"/>
      <c r="L610" s="109"/>
      <c r="M610" s="109"/>
      <c r="N610" s="109"/>
      <c r="O610" s="109"/>
      <c r="P610" s="109"/>
      <c r="Q610" s="109"/>
      <c r="R610" s="109"/>
      <c r="S610" s="109"/>
      <c r="T610" s="109"/>
      <c r="U610" s="109"/>
      <c r="V610" s="109"/>
      <c r="W610" s="109"/>
      <c r="X610" s="109"/>
      <c r="Y610" s="109"/>
      <c r="Z610" s="109"/>
    </row>
    <row r="611" ht="12.75" customHeight="1">
      <c r="A611" s="109"/>
      <c r="B611" s="109"/>
      <c r="C611" s="109"/>
      <c r="D611" s="109"/>
      <c r="E611" s="109"/>
      <c r="F611" s="154"/>
      <c r="G611" s="154"/>
      <c r="H611" s="109"/>
      <c r="I611" s="109"/>
      <c r="J611" s="109"/>
      <c r="K611" s="109"/>
      <c r="L611" s="109"/>
      <c r="M611" s="109"/>
      <c r="N611" s="109"/>
      <c r="O611" s="109"/>
      <c r="P611" s="109"/>
      <c r="Q611" s="109"/>
      <c r="R611" s="109"/>
      <c r="S611" s="109"/>
      <c r="T611" s="109"/>
      <c r="U611" s="109"/>
      <c r="V611" s="109"/>
      <c r="W611" s="109"/>
      <c r="X611" s="109"/>
      <c r="Y611" s="109"/>
      <c r="Z611" s="109"/>
    </row>
    <row r="612" ht="12.75" customHeight="1">
      <c r="A612" s="109"/>
      <c r="B612" s="109"/>
      <c r="C612" s="109"/>
      <c r="D612" s="109"/>
      <c r="E612" s="109"/>
      <c r="F612" s="154"/>
      <c r="G612" s="154"/>
      <c r="H612" s="109"/>
      <c r="I612" s="109"/>
      <c r="J612" s="109"/>
      <c r="K612" s="109"/>
      <c r="L612" s="109"/>
      <c r="M612" s="109"/>
      <c r="N612" s="109"/>
      <c r="O612" s="109"/>
      <c r="P612" s="109"/>
      <c r="Q612" s="109"/>
      <c r="R612" s="109"/>
      <c r="S612" s="109"/>
      <c r="T612" s="109"/>
      <c r="U612" s="109"/>
      <c r="V612" s="109"/>
      <c r="W612" s="109"/>
      <c r="X612" s="109"/>
      <c r="Y612" s="109"/>
      <c r="Z612" s="109"/>
    </row>
    <row r="613" ht="12.75" customHeight="1">
      <c r="A613" s="109"/>
      <c r="B613" s="109"/>
      <c r="C613" s="109"/>
      <c r="D613" s="109"/>
      <c r="E613" s="109"/>
      <c r="F613" s="154"/>
      <c r="G613" s="154"/>
      <c r="H613" s="109"/>
      <c r="I613" s="109"/>
      <c r="J613" s="109"/>
      <c r="K613" s="109"/>
      <c r="L613" s="109"/>
      <c r="M613" s="109"/>
      <c r="N613" s="109"/>
      <c r="O613" s="109"/>
      <c r="P613" s="109"/>
      <c r="Q613" s="109"/>
      <c r="R613" s="109"/>
      <c r="S613" s="109"/>
      <c r="T613" s="109"/>
      <c r="U613" s="109"/>
      <c r="V613" s="109"/>
      <c r="W613" s="109"/>
      <c r="X613" s="109"/>
      <c r="Y613" s="109"/>
      <c r="Z613" s="109"/>
    </row>
    <row r="614" ht="12.75" customHeight="1">
      <c r="A614" s="109"/>
      <c r="B614" s="109"/>
      <c r="C614" s="109"/>
      <c r="D614" s="109"/>
      <c r="E614" s="109"/>
      <c r="F614" s="154"/>
      <c r="G614" s="154"/>
      <c r="H614" s="109"/>
      <c r="I614" s="109"/>
      <c r="J614" s="109"/>
      <c r="K614" s="109"/>
      <c r="L614" s="109"/>
      <c r="M614" s="109"/>
      <c r="N614" s="109"/>
      <c r="O614" s="109"/>
      <c r="P614" s="109"/>
      <c r="Q614" s="109"/>
      <c r="R614" s="109"/>
      <c r="S614" s="109"/>
      <c r="T614" s="109"/>
      <c r="U614" s="109"/>
      <c r="V614" s="109"/>
      <c r="W614" s="109"/>
      <c r="X614" s="109"/>
      <c r="Y614" s="109"/>
      <c r="Z614" s="109"/>
    </row>
    <row r="615" ht="12.75" customHeight="1">
      <c r="A615" s="109"/>
      <c r="B615" s="109"/>
      <c r="C615" s="109"/>
      <c r="D615" s="109"/>
      <c r="E615" s="109"/>
      <c r="F615" s="154"/>
      <c r="G615" s="154"/>
      <c r="H615" s="109"/>
      <c r="I615" s="109"/>
      <c r="J615" s="109"/>
      <c r="K615" s="109"/>
      <c r="L615" s="109"/>
      <c r="M615" s="109"/>
      <c r="N615" s="109"/>
      <c r="O615" s="109"/>
      <c r="P615" s="109"/>
      <c r="Q615" s="109"/>
      <c r="R615" s="109"/>
      <c r="S615" s="109"/>
      <c r="T615" s="109"/>
      <c r="U615" s="109"/>
      <c r="V615" s="109"/>
      <c r="W615" s="109"/>
      <c r="X615" s="109"/>
      <c r="Y615" s="109"/>
      <c r="Z615" s="109"/>
    </row>
    <row r="616" ht="12.75" customHeight="1">
      <c r="A616" s="109"/>
      <c r="B616" s="109"/>
      <c r="C616" s="109"/>
      <c r="D616" s="109"/>
      <c r="E616" s="109"/>
      <c r="F616" s="154"/>
      <c r="G616" s="154"/>
      <c r="H616" s="109"/>
      <c r="I616" s="109"/>
      <c r="J616" s="109"/>
      <c r="K616" s="109"/>
      <c r="L616" s="109"/>
      <c r="M616" s="109"/>
      <c r="N616" s="109"/>
      <c r="O616" s="109"/>
      <c r="P616" s="109"/>
      <c r="Q616" s="109"/>
      <c r="R616" s="109"/>
      <c r="S616" s="109"/>
      <c r="T616" s="109"/>
      <c r="U616" s="109"/>
      <c r="V616" s="109"/>
      <c r="W616" s="109"/>
      <c r="X616" s="109"/>
      <c r="Y616" s="109"/>
      <c r="Z616" s="109"/>
    </row>
    <row r="617" ht="12.75" customHeight="1">
      <c r="A617" s="109"/>
      <c r="B617" s="109"/>
      <c r="C617" s="109"/>
      <c r="D617" s="109"/>
      <c r="E617" s="109"/>
      <c r="F617" s="154"/>
      <c r="G617" s="154"/>
      <c r="H617" s="109"/>
      <c r="I617" s="109"/>
      <c r="J617" s="109"/>
      <c r="K617" s="109"/>
      <c r="L617" s="109"/>
      <c r="M617" s="109"/>
      <c r="N617" s="109"/>
      <c r="O617" s="109"/>
      <c r="P617" s="109"/>
      <c r="Q617" s="109"/>
      <c r="R617" s="109"/>
      <c r="S617" s="109"/>
      <c r="T617" s="109"/>
      <c r="U617" s="109"/>
      <c r="V617" s="109"/>
      <c r="W617" s="109"/>
      <c r="X617" s="109"/>
      <c r="Y617" s="109"/>
      <c r="Z617" s="109"/>
    </row>
    <row r="618" ht="12.75" customHeight="1">
      <c r="A618" s="109"/>
      <c r="B618" s="109"/>
      <c r="C618" s="109"/>
      <c r="D618" s="109"/>
      <c r="E618" s="109"/>
      <c r="F618" s="154"/>
      <c r="G618" s="154"/>
      <c r="H618" s="109"/>
      <c r="I618" s="109"/>
      <c r="J618" s="109"/>
      <c r="K618" s="109"/>
      <c r="L618" s="109"/>
      <c r="M618" s="109"/>
      <c r="N618" s="109"/>
      <c r="O618" s="109"/>
      <c r="P618" s="109"/>
      <c r="Q618" s="109"/>
      <c r="R618" s="109"/>
      <c r="S618" s="109"/>
      <c r="T618" s="109"/>
      <c r="U618" s="109"/>
      <c r="V618" s="109"/>
      <c r="W618" s="109"/>
      <c r="X618" s="109"/>
      <c r="Y618" s="109"/>
      <c r="Z618" s="109"/>
    </row>
    <row r="619" ht="12.75" customHeight="1">
      <c r="A619" s="109"/>
      <c r="B619" s="109"/>
      <c r="C619" s="109"/>
      <c r="D619" s="109"/>
      <c r="E619" s="109"/>
      <c r="F619" s="154"/>
      <c r="G619" s="154"/>
      <c r="H619" s="109"/>
      <c r="I619" s="109"/>
      <c r="J619" s="109"/>
      <c r="K619" s="109"/>
      <c r="L619" s="109"/>
      <c r="M619" s="109"/>
      <c r="N619" s="109"/>
      <c r="O619" s="109"/>
      <c r="P619" s="109"/>
      <c r="Q619" s="109"/>
      <c r="R619" s="109"/>
      <c r="S619" s="109"/>
      <c r="T619" s="109"/>
      <c r="U619" s="109"/>
      <c r="V619" s="109"/>
      <c r="W619" s="109"/>
      <c r="X619" s="109"/>
      <c r="Y619" s="109"/>
      <c r="Z619" s="109"/>
    </row>
    <row r="620" ht="12.75" customHeight="1">
      <c r="A620" s="109"/>
      <c r="B620" s="109"/>
      <c r="C620" s="109"/>
      <c r="D620" s="109"/>
      <c r="E620" s="109"/>
      <c r="F620" s="154"/>
      <c r="G620" s="154"/>
      <c r="H620" s="109"/>
      <c r="I620" s="109"/>
      <c r="J620" s="109"/>
      <c r="K620" s="109"/>
      <c r="L620" s="109"/>
      <c r="M620" s="109"/>
      <c r="N620" s="109"/>
      <c r="O620" s="109"/>
      <c r="P620" s="109"/>
      <c r="Q620" s="109"/>
      <c r="R620" s="109"/>
      <c r="S620" s="109"/>
      <c r="T620" s="109"/>
      <c r="U620" s="109"/>
      <c r="V620" s="109"/>
      <c r="W620" s="109"/>
      <c r="X620" s="109"/>
      <c r="Y620" s="109"/>
      <c r="Z620" s="109"/>
    </row>
    <row r="621" ht="12.75" customHeight="1">
      <c r="A621" s="109"/>
      <c r="B621" s="109"/>
      <c r="C621" s="109"/>
      <c r="D621" s="109"/>
      <c r="E621" s="109"/>
      <c r="F621" s="154"/>
      <c r="G621" s="154"/>
      <c r="H621" s="109"/>
      <c r="I621" s="109"/>
      <c r="J621" s="109"/>
      <c r="K621" s="109"/>
      <c r="L621" s="109"/>
      <c r="M621" s="109"/>
      <c r="N621" s="109"/>
      <c r="O621" s="109"/>
      <c r="P621" s="109"/>
      <c r="Q621" s="109"/>
      <c r="R621" s="109"/>
      <c r="S621" s="109"/>
      <c r="T621" s="109"/>
      <c r="U621" s="109"/>
      <c r="V621" s="109"/>
      <c r="W621" s="109"/>
      <c r="X621" s="109"/>
      <c r="Y621" s="109"/>
      <c r="Z621" s="109"/>
    </row>
    <row r="622" ht="12.75" customHeight="1">
      <c r="A622" s="109"/>
      <c r="B622" s="109"/>
      <c r="C622" s="109"/>
      <c r="D622" s="109"/>
      <c r="E622" s="109"/>
      <c r="F622" s="154"/>
      <c r="G622" s="154"/>
      <c r="H622" s="109"/>
      <c r="I622" s="109"/>
      <c r="J622" s="109"/>
      <c r="K622" s="109"/>
      <c r="L622" s="109"/>
      <c r="M622" s="109"/>
      <c r="N622" s="109"/>
      <c r="O622" s="109"/>
      <c r="P622" s="109"/>
      <c r="Q622" s="109"/>
      <c r="R622" s="109"/>
      <c r="S622" s="109"/>
      <c r="T622" s="109"/>
      <c r="U622" s="109"/>
      <c r="V622" s="109"/>
      <c r="W622" s="109"/>
      <c r="X622" s="109"/>
      <c r="Y622" s="109"/>
      <c r="Z622" s="109"/>
    </row>
    <row r="623" ht="12.75" customHeight="1">
      <c r="A623" s="109"/>
      <c r="B623" s="109"/>
      <c r="C623" s="109"/>
      <c r="D623" s="109"/>
      <c r="E623" s="109"/>
      <c r="F623" s="154"/>
      <c r="G623" s="154"/>
      <c r="H623" s="109"/>
      <c r="I623" s="109"/>
      <c r="J623" s="109"/>
      <c r="K623" s="109"/>
      <c r="L623" s="109"/>
      <c r="M623" s="109"/>
      <c r="N623" s="109"/>
      <c r="O623" s="109"/>
      <c r="P623" s="109"/>
      <c r="Q623" s="109"/>
      <c r="R623" s="109"/>
      <c r="S623" s="109"/>
      <c r="T623" s="109"/>
      <c r="U623" s="109"/>
      <c r="V623" s="109"/>
      <c r="W623" s="109"/>
      <c r="X623" s="109"/>
      <c r="Y623" s="109"/>
      <c r="Z623" s="109"/>
    </row>
    <row r="624" ht="12.75" customHeight="1">
      <c r="A624" s="109"/>
      <c r="B624" s="109"/>
      <c r="C624" s="109"/>
      <c r="D624" s="109"/>
      <c r="E624" s="109"/>
      <c r="F624" s="154"/>
      <c r="G624" s="154"/>
      <c r="H624" s="109"/>
      <c r="I624" s="109"/>
      <c r="J624" s="109"/>
      <c r="K624" s="109"/>
      <c r="L624" s="109"/>
      <c r="M624" s="109"/>
      <c r="N624" s="109"/>
      <c r="O624" s="109"/>
      <c r="P624" s="109"/>
      <c r="Q624" s="109"/>
      <c r="R624" s="109"/>
      <c r="S624" s="109"/>
      <c r="T624" s="109"/>
      <c r="U624" s="109"/>
      <c r="V624" s="109"/>
      <c r="W624" s="109"/>
      <c r="X624" s="109"/>
      <c r="Y624" s="109"/>
      <c r="Z624" s="109"/>
    </row>
    <row r="625" ht="12.75" customHeight="1">
      <c r="A625" s="109"/>
      <c r="B625" s="109"/>
      <c r="C625" s="109"/>
      <c r="D625" s="109"/>
      <c r="E625" s="109"/>
      <c r="F625" s="154"/>
      <c r="G625" s="154"/>
      <c r="H625" s="109"/>
      <c r="I625" s="109"/>
      <c r="J625" s="109"/>
      <c r="K625" s="109"/>
      <c r="L625" s="109"/>
      <c r="M625" s="109"/>
      <c r="N625" s="109"/>
      <c r="O625" s="109"/>
      <c r="P625" s="109"/>
      <c r="Q625" s="109"/>
      <c r="R625" s="109"/>
      <c r="S625" s="109"/>
      <c r="T625" s="109"/>
      <c r="U625" s="109"/>
      <c r="V625" s="109"/>
      <c r="W625" s="109"/>
      <c r="X625" s="109"/>
      <c r="Y625" s="109"/>
      <c r="Z625" s="109"/>
    </row>
    <row r="626" ht="12.75" customHeight="1">
      <c r="A626" s="109"/>
      <c r="B626" s="109"/>
      <c r="C626" s="109"/>
      <c r="D626" s="109"/>
      <c r="E626" s="109"/>
      <c r="F626" s="154"/>
      <c r="G626" s="154"/>
      <c r="H626" s="109"/>
      <c r="I626" s="109"/>
      <c r="J626" s="109"/>
      <c r="K626" s="109"/>
      <c r="L626" s="109"/>
      <c r="M626" s="109"/>
      <c r="N626" s="109"/>
      <c r="O626" s="109"/>
      <c r="P626" s="109"/>
      <c r="Q626" s="109"/>
      <c r="R626" s="109"/>
      <c r="S626" s="109"/>
      <c r="T626" s="109"/>
      <c r="U626" s="109"/>
      <c r="V626" s="109"/>
      <c r="W626" s="109"/>
      <c r="X626" s="109"/>
      <c r="Y626" s="109"/>
      <c r="Z626" s="109"/>
    </row>
    <row r="627" ht="12.75" customHeight="1">
      <c r="A627" s="109"/>
      <c r="B627" s="109"/>
      <c r="C627" s="109"/>
      <c r="D627" s="109"/>
      <c r="E627" s="109"/>
      <c r="F627" s="154"/>
      <c r="G627" s="154"/>
      <c r="H627" s="109"/>
      <c r="I627" s="109"/>
      <c r="J627" s="109"/>
      <c r="K627" s="109"/>
      <c r="L627" s="109"/>
      <c r="M627" s="109"/>
      <c r="N627" s="109"/>
      <c r="O627" s="109"/>
      <c r="P627" s="109"/>
      <c r="Q627" s="109"/>
      <c r="R627" s="109"/>
      <c r="S627" s="109"/>
      <c r="T627" s="109"/>
      <c r="U627" s="109"/>
      <c r="V627" s="109"/>
      <c r="W627" s="109"/>
      <c r="X627" s="109"/>
      <c r="Y627" s="109"/>
      <c r="Z627" s="109"/>
    </row>
    <row r="628" ht="12.75" customHeight="1">
      <c r="A628" s="109"/>
      <c r="B628" s="109"/>
      <c r="C628" s="109"/>
      <c r="D628" s="109"/>
      <c r="E628" s="109"/>
      <c r="F628" s="154"/>
      <c r="G628" s="154"/>
      <c r="H628" s="109"/>
      <c r="I628" s="109"/>
      <c r="J628" s="109"/>
      <c r="K628" s="109"/>
      <c r="L628" s="109"/>
      <c r="M628" s="109"/>
      <c r="N628" s="109"/>
      <c r="O628" s="109"/>
      <c r="P628" s="109"/>
      <c r="Q628" s="109"/>
      <c r="R628" s="109"/>
      <c r="S628" s="109"/>
      <c r="T628" s="109"/>
      <c r="U628" s="109"/>
      <c r="V628" s="109"/>
      <c r="W628" s="109"/>
      <c r="X628" s="109"/>
      <c r="Y628" s="109"/>
      <c r="Z628" s="109"/>
    </row>
    <row r="629" ht="12.75" customHeight="1">
      <c r="A629" s="109"/>
      <c r="B629" s="109"/>
      <c r="C629" s="109"/>
      <c r="D629" s="109"/>
      <c r="E629" s="109"/>
      <c r="F629" s="154"/>
      <c r="G629" s="154"/>
      <c r="H629" s="109"/>
      <c r="I629" s="109"/>
      <c r="J629" s="109"/>
      <c r="K629" s="109"/>
      <c r="L629" s="109"/>
      <c r="M629" s="109"/>
      <c r="N629" s="109"/>
      <c r="O629" s="109"/>
      <c r="P629" s="109"/>
      <c r="Q629" s="109"/>
      <c r="R629" s="109"/>
      <c r="S629" s="109"/>
      <c r="T629" s="109"/>
      <c r="U629" s="109"/>
      <c r="V629" s="109"/>
      <c r="W629" s="109"/>
      <c r="X629" s="109"/>
      <c r="Y629" s="109"/>
      <c r="Z629" s="109"/>
    </row>
    <row r="630" ht="12.75" customHeight="1">
      <c r="A630" s="109"/>
      <c r="B630" s="109"/>
      <c r="C630" s="109"/>
      <c r="D630" s="109"/>
      <c r="E630" s="109"/>
      <c r="F630" s="154"/>
      <c r="G630" s="154"/>
      <c r="H630" s="109"/>
      <c r="I630" s="109"/>
      <c r="J630" s="109"/>
      <c r="K630" s="109"/>
      <c r="L630" s="109"/>
      <c r="M630" s="109"/>
      <c r="N630" s="109"/>
      <c r="O630" s="109"/>
      <c r="P630" s="109"/>
      <c r="Q630" s="109"/>
      <c r="R630" s="109"/>
      <c r="S630" s="109"/>
      <c r="T630" s="109"/>
      <c r="U630" s="109"/>
      <c r="V630" s="109"/>
      <c r="W630" s="109"/>
      <c r="X630" s="109"/>
      <c r="Y630" s="109"/>
      <c r="Z630" s="109"/>
    </row>
    <row r="631" ht="12.75" customHeight="1">
      <c r="A631" s="109"/>
      <c r="B631" s="109"/>
      <c r="C631" s="109"/>
      <c r="D631" s="109"/>
      <c r="E631" s="109"/>
      <c r="F631" s="154"/>
      <c r="G631" s="154"/>
      <c r="H631" s="109"/>
      <c r="I631" s="109"/>
      <c r="J631" s="109"/>
      <c r="K631" s="109"/>
      <c r="L631" s="109"/>
      <c r="M631" s="109"/>
      <c r="N631" s="109"/>
      <c r="O631" s="109"/>
      <c r="P631" s="109"/>
      <c r="Q631" s="109"/>
      <c r="R631" s="109"/>
      <c r="S631" s="109"/>
      <c r="T631" s="109"/>
      <c r="U631" s="109"/>
      <c r="V631" s="109"/>
      <c r="W631" s="109"/>
      <c r="X631" s="109"/>
      <c r="Y631" s="109"/>
      <c r="Z631" s="109"/>
    </row>
    <row r="632" ht="12.75" customHeight="1">
      <c r="A632" s="109"/>
      <c r="B632" s="109"/>
      <c r="C632" s="109"/>
      <c r="D632" s="109"/>
      <c r="E632" s="109"/>
      <c r="F632" s="154"/>
      <c r="G632" s="154"/>
      <c r="H632" s="109"/>
      <c r="I632" s="109"/>
      <c r="J632" s="109"/>
      <c r="K632" s="109"/>
      <c r="L632" s="109"/>
      <c r="M632" s="109"/>
      <c r="N632" s="109"/>
      <c r="O632" s="109"/>
      <c r="P632" s="109"/>
      <c r="Q632" s="109"/>
      <c r="R632" s="109"/>
      <c r="S632" s="109"/>
      <c r="T632" s="109"/>
      <c r="U632" s="109"/>
      <c r="V632" s="109"/>
      <c r="W632" s="109"/>
      <c r="X632" s="109"/>
      <c r="Y632" s="109"/>
      <c r="Z632" s="109"/>
    </row>
    <row r="633" ht="12.75" customHeight="1">
      <c r="A633" s="109"/>
      <c r="B633" s="109"/>
      <c r="C633" s="109"/>
      <c r="D633" s="109"/>
      <c r="E633" s="109"/>
      <c r="F633" s="154"/>
      <c r="G633" s="154"/>
      <c r="H633" s="109"/>
      <c r="I633" s="109"/>
      <c r="J633" s="109"/>
      <c r="K633" s="109"/>
      <c r="L633" s="109"/>
      <c r="M633" s="109"/>
      <c r="N633" s="109"/>
      <c r="O633" s="109"/>
      <c r="P633" s="109"/>
      <c r="Q633" s="109"/>
      <c r="R633" s="109"/>
      <c r="S633" s="109"/>
      <c r="T633" s="109"/>
      <c r="U633" s="109"/>
      <c r="V633" s="109"/>
      <c r="W633" s="109"/>
      <c r="X633" s="109"/>
      <c r="Y633" s="109"/>
      <c r="Z633" s="109"/>
    </row>
    <row r="634" ht="12.75" customHeight="1">
      <c r="A634" s="109"/>
      <c r="B634" s="109"/>
      <c r="C634" s="109"/>
      <c r="D634" s="109"/>
      <c r="E634" s="109"/>
      <c r="F634" s="154"/>
      <c r="G634" s="154"/>
      <c r="H634" s="109"/>
      <c r="I634" s="109"/>
      <c r="J634" s="109"/>
      <c r="K634" s="109"/>
      <c r="L634" s="109"/>
      <c r="M634" s="109"/>
      <c r="N634" s="109"/>
      <c r="O634" s="109"/>
      <c r="P634" s="109"/>
      <c r="Q634" s="109"/>
      <c r="R634" s="109"/>
      <c r="S634" s="109"/>
      <c r="T634" s="109"/>
      <c r="U634" s="109"/>
      <c r="V634" s="109"/>
      <c r="W634" s="109"/>
      <c r="X634" s="109"/>
      <c r="Y634" s="109"/>
      <c r="Z634" s="109"/>
    </row>
    <row r="635" ht="12.75" customHeight="1">
      <c r="A635" s="109"/>
      <c r="B635" s="109"/>
      <c r="C635" s="109"/>
      <c r="D635" s="109"/>
      <c r="E635" s="109"/>
      <c r="F635" s="154"/>
      <c r="G635" s="154"/>
      <c r="H635" s="109"/>
      <c r="I635" s="109"/>
      <c r="J635" s="109"/>
      <c r="K635" s="109"/>
      <c r="L635" s="109"/>
      <c r="M635" s="109"/>
      <c r="N635" s="109"/>
      <c r="O635" s="109"/>
      <c r="P635" s="109"/>
      <c r="Q635" s="109"/>
      <c r="R635" s="109"/>
      <c r="S635" s="109"/>
      <c r="T635" s="109"/>
      <c r="U635" s="109"/>
      <c r="V635" s="109"/>
      <c r="W635" s="109"/>
      <c r="X635" s="109"/>
      <c r="Y635" s="109"/>
      <c r="Z635" s="109"/>
    </row>
    <row r="636" ht="12.75" customHeight="1">
      <c r="A636" s="109"/>
      <c r="B636" s="109"/>
      <c r="C636" s="109"/>
      <c r="D636" s="109"/>
      <c r="E636" s="109"/>
      <c r="F636" s="154"/>
      <c r="G636" s="154"/>
      <c r="H636" s="109"/>
      <c r="I636" s="109"/>
      <c r="J636" s="109"/>
      <c r="K636" s="109"/>
      <c r="L636" s="109"/>
      <c r="M636" s="109"/>
      <c r="N636" s="109"/>
      <c r="O636" s="109"/>
      <c r="P636" s="109"/>
      <c r="Q636" s="109"/>
      <c r="R636" s="109"/>
      <c r="S636" s="109"/>
      <c r="T636" s="109"/>
      <c r="U636" s="109"/>
      <c r="V636" s="109"/>
      <c r="W636" s="109"/>
      <c r="X636" s="109"/>
      <c r="Y636" s="109"/>
      <c r="Z636" s="109"/>
    </row>
    <row r="637" ht="12.75" customHeight="1">
      <c r="A637" s="109"/>
      <c r="B637" s="109"/>
      <c r="C637" s="109"/>
      <c r="D637" s="109"/>
      <c r="E637" s="109"/>
      <c r="F637" s="154"/>
      <c r="G637" s="154"/>
      <c r="H637" s="109"/>
      <c r="I637" s="109"/>
      <c r="J637" s="109"/>
      <c r="K637" s="109"/>
      <c r="L637" s="109"/>
      <c r="M637" s="109"/>
      <c r="N637" s="109"/>
      <c r="O637" s="109"/>
      <c r="P637" s="109"/>
      <c r="Q637" s="109"/>
      <c r="R637" s="109"/>
      <c r="S637" s="109"/>
      <c r="T637" s="109"/>
      <c r="U637" s="109"/>
      <c r="V637" s="109"/>
      <c r="W637" s="109"/>
      <c r="X637" s="109"/>
      <c r="Y637" s="109"/>
      <c r="Z637" s="109"/>
    </row>
    <row r="638" ht="12.75" customHeight="1">
      <c r="A638" s="109"/>
      <c r="B638" s="109"/>
      <c r="C638" s="109"/>
      <c r="D638" s="109"/>
      <c r="E638" s="109"/>
      <c r="F638" s="154"/>
      <c r="G638" s="154"/>
      <c r="H638" s="109"/>
      <c r="I638" s="109"/>
      <c r="J638" s="109"/>
      <c r="K638" s="109"/>
      <c r="L638" s="109"/>
      <c r="M638" s="109"/>
      <c r="N638" s="109"/>
      <c r="O638" s="109"/>
      <c r="P638" s="109"/>
      <c r="Q638" s="109"/>
      <c r="R638" s="109"/>
      <c r="S638" s="109"/>
      <c r="T638" s="109"/>
      <c r="U638" s="109"/>
      <c r="V638" s="109"/>
      <c r="W638" s="109"/>
      <c r="X638" s="109"/>
      <c r="Y638" s="109"/>
      <c r="Z638" s="109"/>
    </row>
    <row r="639" ht="12.75" customHeight="1">
      <c r="A639" s="109"/>
      <c r="B639" s="109"/>
      <c r="C639" s="109"/>
      <c r="D639" s="109"/>
      <c r="E639" s="109"/>
      <c r="F639" s="154"/>
      <c r="G639" s="154"/>
      <c r="H639" s="109"/>
      <c r="I639" s="109"/>
      <c r="J639" s="109"/>
      <c r="K639" s="109"/>
      <c r="L639" s="109"/>
      <c r="M639" s="109"/>
      <c r="N639" s="109"/>
      <c r="O639" s="109"/>
      <c r="P639" s="109"/>
      <c r="Q639" s="109"/>
      <c r="R639" s="109"/>
      <c r="S639" s="109"/>
      <c r="T639" s="109"/>
      <c r="U639" s="109"/>
      <c r="V639" s="109"/>
      <c r="W639" s="109"/>
      <c r="X639" s="109"/>
      <c r="Y639" s="109"/>
      <c r="Z639" s="109"/>
    </row>
    <row r="640" ht="12.75" customHeight="1">
      <c r="A640" s="109"/>
      <c r="B640" s="109"/>
      <c r="C640" s="109"/>
      <c r="D640" s="109"/>
      <c r="E640" s="109"/>
      <c r="F640" s="154"/>
      <c r="G640" s="154"/>
      <c r="H640" s="109"/>
      <c r="I640" s="109"/>
      <c r="J640" s="109"/>
      <c r="K640" s="109"/>
      <c r="L640" s="109"/>
      <c r="M640" s="109"/>
      <c r="N640" s="109"/>
      <c r="O640" s="109"/>
      <c r="P640" s="109"/>
      <c r="Q640" s="109"/>
      <c r="R640" s="109"/>
      <c r="S640" s="109"/>
      <c r="T640" s="109"/>
      <c r="U640" s="109"/>
      <c r="V640" s="109"/>
      <c r="W640" s="109"/>
      <c r="X640" s="109"/>
      <c r="Y640" s="109"/>
      <c r="Z640" s="109"/>
    </row>
    <row r="641" ht="12.75" customHeight="1">
      <c r="A641" s="109"/>
      <c r="B641" s="109"/>
      <c r="C641" s="109"/>
      <c r="D641" s="109"/>
      <c r="E641" s="109"/>
      <c r="F641" s="154"/>
      <c r="G641" s="154"/>
      <c r="H641" s="109"/>
      <c r="I641" s="109"/>
      <c r="J641" s="109"/>
      <c r="K641" s="109"/>
      <c r="L641" s="109"/>
      <c r="M641" s="109"/>
      <c r="N641" s="109"/>
      <c r="O641" s="109"/>
      <c r="P641" s="109"/>
      <c r="Q641" s="109"/>
      <c r="R641" s="109"/>
      <c r="S641" s="109"/>
      <c r="T641" s="109"/>
      <c r="U641" s="109"/>
      <c r="V641" s="109"/>
      <c r="W641" s="109"/>
      <c r="X641" s="109"/>
      <c r="Y641" s="109"/>
      <c r="Z641" s="109"/>
    </row>
    <row r="642" ht="12.75" customHeight="1">
      <c r="A642" s="109"/>
      <c r="B642" s="109"/>
      <c r="C642" s="109"/>
      <c r="D642" s="109"/>
      <c r="E642" s="109"/>
      <c r="F642" s="154"/>
      <c r="G642" s="154"/>
      <c r="H642" s="109"/>
      <c r="I642" s="109"/>
      <c r="J642" s="109"/>
      <c r="K642" s="109"/>
      <c r="L642" s="109"/>
      <c r="M642" s="109"/>
      <c r="N642" s="109"/>
      <c r="O642" s="109"/>
      <c r="P642" s="109"/>
      <c r="Q642" s="109"/>
      <c r="R642" s="109"/>
      <c r="S642" s="109"/>
      <c r="T642" s="109"/>
      <c r="U642" s="109"/>
      <c r="V642" s="109"/>
      <c r="W642" s="109"/>
      <c r="X642" s="109"/>
      <c r="Y642" s="109"/>
      <c r="Z642" s="109"/>
    </row>
    <row r="643" ht="12.75" customHeight="1">
      <c r="A643" s="109"/>
      <c r="B643" s="109"/>
      <c r="C643" s="109"/>
      <c r="D643" s="109"/>
      <c r="E643" s="109"/>
      <c r="F643" s="154"/>
      <c r="G643" s="154"/>
      <c r="H643" s="109"/>
      <c r="I643" s="109"/>
      <c r="J643" s="109"/>
      <c r="K643" s="109"/>
      <c r="L643" s="109"/>
      <c r="M643" s="109"/>
      <c r="N643" s="109"/>
      <c r="O643" s="109"/>
      <c r="P643" s="109"/>
      <c r="Q643" s="109"/>
      <c r="R643" s="109"/>
      <c r="S643" s="109"/>
      <c r="T643" s="109"/>
      <c r="U643" s="109"/>
      <c r="V643" s="109"/>
      <c r="W643" s="109"/>
      <c r="X643" s="109"/>
      <c r="Y643" s="109"/>
      <c r="Z643" s="109"/>
    </row>
    <row r="644" ht="12.75" customHeight="1">
      <c r="A644" s="109"/>
      <c r="B644" s="109"/>
      <c r="C644" s="109"/>
      <c r="D644" s="109"/>
      <c r="E644" s="109"/>
      <c r="F644" s="154"/>
      <c r="G644" s="154"/>
      <c r="H644" s="109"/>
      <c r="I644" s="109"/>
      <c r="J644" s="109"/>
      <c r="K644" s="109"/>
      <c r="L644" s="109"/>
      <c r="M644" s="109"/>
      <c r="N644" s="109"/>
      <c r="O644" s="109"/>
      <c r="P644" s="109"/>
      <c r="Q644" s="109"/>
      <c r="R644" s="109"/>
      <c r="S644" s="109"/>
      <c r="T644" s="109"/>
      <c r="U644" s="109"/>
      <c r="V644" s="109"/>
      <c r="W644" s="109"/>
      <c r="X644" s="109"/>
      <c r="Y644" s="109"/>
      <c r="Z644" s="109"/>
    </row>
    <row r="645" ht="12.75" customHeight="1">
      <c r="A645" s="109"/>
      <c r="B645" s="109"/>
      <c r="C645" s="109"/>
      <c r="D645" s="109"/>
      <c r="E645" s="109"/>
      <c r="F645" s="154"/>
      <c r="G645" s="154"/>
      <c r="H645" s="109"/>
      <c r="I645" s="109"/>
      <c r="J645" s="109"/>
      <c r="K645" s="109"/>
      <c r="L645" s="109"/>
      <c r="M645" s="109"/>
      <c r="N645" s="109"/>
      <c r="O645" s="109"/>
      <c r="P645" s="109"/>
      <c r="Q645" s="109"/>
      <c r="R645" s="109"/>
      <c r="S645" s="109"/>
      <c r="T645" s="109"/>
      <c r="U645" s="109"/>
      <c r="V645" s="109"/>
      <c r="W645" s="109"/>
      <c r="X645" s="109"/>
      <c r="Y645" s="109"/>
      <c r="Z645" s="109"/>
    </row>
    <row r="646" ht="12.75" customHeight="1">
      <c r="A646" s="109"/>
      <c r="B646" s="109"/>
      <c r="C646" s="109"/>
      <c r="D646" s="109"/>
      <c r="E646" s="109"/>
      <c r="F646" s="154"/>
      <c r="G646" s="154"/>
      <c r="H646" s="109"/>
      <c r="I646" s="109"/>
      <c r="J646" s="109"/>
      <c r="K646" s="109"/>
      <c r="L646" s="109"/>
      <c r="M646" s="109"/>
      <c r="N646" s="109"/>
      <c r="O646" s="109"/>
      <c r="P646" s="109"/>
      <c r="Q646" s="109"/>
      <c r="R646" s="109"/>
      <c r="S646" s="109"/>
      <c r="T646" s="109"/>
      <c r="U646" s="109"/>
      <c r="V646" s="109"/>
      <c r="W646" s="109"/>
      <c r="X646" s="109"/>
      <c r="Y646" s="109"/>
      <c r="Z646" s="109"/>
    </row>
    <row r="647" ht="12.75" customHeight="1">
      <c r="A647" s="109"/>
      <c r="B647" s="109"/>
      <c r="C647" s="109"/>
      <c r="D647" s="109"/>
      <c r="E647" s="109"/>
      <c r="F647" s="154"/>
      <c r="G647" s="154"/>
      <c r="H647" s="109"/>
      <c r="I647" s="109"/>
      <c r="J647" s="109"/>
      <c r="K647" s="109"/>
      <c r="L647" s="109"/>
      <c r="M647" s="109"/>
      <c r="N647" s="109"/>
      <c r="O647" s="109"/>
      <c r="P647" s="109"/>
      <c r="Q647" s="109"/>
      <c r="R647" s="109"/>
      <c r="S647" s="109"/>
      <c r="T647" s="109"/>
      <c r="U647" s="109"/>
      <c r="V647" s="109"/>
      <c r="W647" s="109"/>
      <c r="X647" s="109"/>
      <c r="Y647" s="109"/>
      <c r="Z647" s="109"/>
    </row>
    <row r="648" ht="12.75" customHeight="1">
      <c r="A648" s="109"/>
      <c r="B648" s="109"/>
      <c r="C648" s="109"/>
      <c r="D648" s="109"/>
      <c r="E648" s="109"/>
      <c r="F648" s="154"/>
      <c r="G648" s="154"/>
      <c r="H648" s="109"/>
      <c r="I648" s="109"/>
      <c r="J648" s="109"/>
      <c r="K648" s="109"/>
      <c r="L648" s="109"/>
      <c r="M648" s="109"/>
      <c r="N648" s="109"/>
      <c r="O648" s="109"/>
      <c r="P648" s="109"/>
      <c r="Q648" s="109"/>
      <c r="R648" s="109"/>
      <c r="S648" s="109"/>
      <c r="T648" s="109"/>
      <c r="U648" s="109"/>
      <c r="V648" s="109"/>
      <c r="W648" s="109"/>
      <c r="X648" s="109"/>
      <c r="Y648" s="109"/>
      <c r="Z648" s="109"/>
    </row>
    <row r="649" ht="12.75" customHeight="1">
      <c r="A649" s="109"/>
      <c r="B649" s="109"/>
      <c r="C649" s="109"/>
      <c r="D649" s="109"/>
      <c r="E649" s="109"/>
      <c r="F649" s="154"/>
      <c r="G649" s="154"/>
      <c r="H649" s="109"/>
      <c r="I649" s="109"/>
      <c r="J649" s="109"/>
      <c r="K649" s="109"/>
      <c r="L649" s="109"/>
      <c r="M649" s="109"/>
      <c r="N649" s="109"/>
      <c r="O649" s="109"/>
      <c r="P649" s="109"/>
      <c r="Q649" s="109"/>
      <c r="R649" s="109"/>
      <c r="S649" s="109"/>
      <c r="T649" s="109"/>
      <c r="U649" s="109"/>
      <c r="V649" s="109"/>
      <c r="W649" s="109"/>
      <c r="X649" s="109"/>
      <c r="Y649" s="109"/>
      <c r="Z649" s="109"/>
    </row>
    <row r="650" ht="12.75" customHeight="1">
      <c r="A650" s="109"/>
      <c r="B650" s="109"/>
      <c r="C650" s="109"/>
      <c r="D650" s="109"/>
      <c r="E650" s="109"/>
      <c r="F650" s="154"/>
      <c r="G650" s="154"/>
      <c r="H650" s="109"/>
      <c r="I650" s="109"/>
      <c r="J650" s="109"/>
      <c r="K650" s="109"/>
      <c r="L650" s="109"/>
      <c r="M650" s="109"/>
      <c r="N650" s="109"/>
      <c r="O650" s="109"/>
      <c r="P650" s="109"/>
      <c r="Q650" s="109"/>
      <c r="R650" s="109"/>
      <c r="S650" s="109"/>
      <c r="T650" s="109"/>
      <c r="U650" s="109"/>
      <c r="V650" s="109"/>
      <c r="W650" s="109"/>
      <c r="X650" s="109"/>
      <c r="Y650" s="109"/>
      <c r="Z650" s="109"/>
    </row>
    <row r="651" ht="12.75" customHeight="1">
      <c r="A651" s="109"/>
      <c r="B651" s="109"/>
      <c r="C651" s="109"/>
      <c r="D651" s="109"/>
      <c r="E651" s="109"/>
      <c r="F651" s="154"/>
      <c r="G651" s="154"/>
      <c r="H651" s="109"/>
      <c r="I651" s="109"/>
      <c r="J651" s="109"/>
      <c r="K651" s="109"/>
      <c r="L651" s="109"/>
      <c r="M651" s="109"/>
      <c r="N651" s="109"/>
      <c r="O651" s="109"/>
      <c r="P651" s="109"/>
      <c r="Q651" s="109"/>
      <c r="R651" s="109"/>
      <c r="S651" s="109"/>
      <c r="T651" s="109"/>
      <c r="U651" s="109"/>
      <c r="V651" s="109"/>
      <c r="W651" s="109"/>
      <c r="X651" s="109"/>
      <c r="Y651" s="109"/>
      <c r="Z651" s="109"/>
    </row>
    <row r="652" ht="12.75" customHeight="1">
      <c r="A652" s="109"/>
      <c r="B652" s="109"/>
      <c r="C652" s="109"/>
      <c r="D652" s="109"/>
      <c r="E652" s="109"/>
      <c r="F652" s="154"/>
      <c r="G652" s="154"/>
      <c r="H652" s="109"/>
      <c r="I652" s="109"/>
      <c r="J652" s="109"/>
      <c r="K652" s="109"/>
      <c r="L652" s="109"/>
      <c r="M652" s="109"/>
      <c r="N652" s="109"/>
      <c r="O652" s="109"/>
      <c r="P652" s="109"/>
      <c r="Q652" s="109"/>
      <c r="R652" s="109"/>
      <c r="S652" s="109"/>
      <c r="T652" s="109"/>
      <c r="U652" s="109"/>
      <c r="V652" s="109"/>
      <c r="W652" s="109"/>
      <c r="X652" s="109"/>
      <c r="Y652" s="109"/>
      <c r="Z652" s="109"/>
    </row>
    <row r="653" ht="12.75" customHeight="1">
      <c r="A653" s="109"/>
      <c r="B653" s="109"/>
      <c r="C653" s="109"/>
      <c r="D653" s="109"/>
      <c r="E653" s="109"/>
      <c r="F653" s="154"/>
      <c r="G653" s="154"/>
      <c r="H653" s="109"/>
      <c r="I653" s="109"/>
      <c r="J653" s="109"/>
      <c r="K653" s="109"/>
      <c r="L653" s="109"/>
      <c r="M653" s="109"/>
      <c r="N653" s="109"/>
      <c r="O653" s="109"/>
      <c r="P653" s="109"/>
      <c r="Q653" s="109"/>
      <c r="R653" s="109"/>
      <c r="S653" s="109"/>
      <c r="T653" s="109"/>
      <c r="U653" s="109"/>
      <c r="V653" s="109"/>
      <c r="W653" s="109"/>
      <c r="X653" s="109"/>
      <c r="Y653" s="109"/>
      <c r="Z653" s="109"/>
    </row>
    <row r="654" ht="12.75" customHeight="1">
      <c r="A654" s="109"/>
      <c r="B654" s="109"/>
      <c r="C654" s="109"/>
      <c r="D654" s="109"/>
      <c r="E654" s="109"/>
      <c r="F654" s="154"/>
      <c r="G654" s="154"/>
      <c r="H654" s="109"/>
      <c r="I654" s="109"/>
      <c r="J654" s="109"/>
      <c r="K654" s="109"/>
      <c r="L654" s="109"/>
      <c r="M654" s="109"/>
      <c r="N654" s="109"/>
      <c r="O654" s="109"/>
      <c r="P654" s="109"/>
      <c r="Q654" s="109"/>
      <c r="R654" s="109"/>
      <c r="S654" s="109"/>
      <c r="T654" s="109"/>
      <c r="U654" s="109"/>
      <c r="V654" s="109"/>
      <c r="W654" s="109"/>
      <c r="X654" s="109"/>
      <c r="Y654" s="109"/>
      <c r="Z654" s="109"/>
    </row>
    <row r="655" ht="12.75" customHeight="1">
      <c r="A655" s="109"/>
      <c r="B655" s="109"/>
      <c r="C655" s="109"/>
      <c r="D655" s="109"/>
      <c r="E655" s="109"/>
      <c r="F655" s="154"/>
      <c r="G655" s="154"/>
      <c r="H655" s="109"/>
      <c r="I655" s="109"/>
      <c r="J655" s="109"/>
      <c r="K655" s="109"/>
      <c r="L655" s="109"/>
      <c r="M655" s="109"/>
      <c r="N655" s="109"/>
      <c r="O655" s="109"/>
      <c r="P655" s="109"/>
      <c r="Q655" s="109"/>
      <c r="R655" s="109"/>
      <c r="S655" s="109"/>
      <c r="T655" s="109"/>
      <c r="U655" s="109"/>
      <c r="V655" s="109"/>
      <c r="W655" s="109"/>
      <c r="X655" s="109"/>
      <c r="Y655" s="109"/>
      <c r="Z655" s="109"/>
    </row>
    <row r="656" ht="12.75" customHeight="1">
      <c r="A656" s="109"/>
      <c r="B656" s="109"/>
      <c r="C656" s="109"/>
      <c r="D656" s="109"/>
      <c r="E656" s="109"/>
      <c r="F656" s="154"/>
      <c r="G656" s="154"/>
      <c r="H656" s="109"/>
      <c r="I656" s="109"/>
      <c r="J656" s="109"/>
      <c r="K656" s="109"/>
      <c r="L656" s="109"/>
      <c r="M656" s="109"/>
      <c r="N656" s="109"/>
      <c r="O656" s="109"/>
      <c r="P656" s="109"/>
      <c r="Q656" s="109"/>
      <c r="R656" s="109"/>
      <c r="S656" s="109"/>
      <c r="T656" s="109"/>
      <c r="U656" s="109"/>
      <c r="V656" s="109"/>
      <c r="W656" s="109"/>
      <c r="X656" s="109"/>
      <c r="Y656" s="109"/>
      <c r="Z656" s="109"/>
    </row>
    <row r="657" ht="12.75" customHeight="1">
      <c r="A657" s="109"/>
      <c r="B657" s="109"/>
      <c r="C657" s="109"/>
      <c r="D657" s="109"/>
      <c r="E657" s="109"/>
      <c r="F657" s="154"/>
      <c r="G657" s="154"/>
      <c r="H657" s="109"/>
      <c r="I657" s="109"/>
      <c r="J657" s="109"/>
      <c r="K657" s="109"/>
      <c r="L657" s="109"/>
      <c r="M657" s="109"/>
      <c r="N657" s="109"/>
      <c r="O657" s="109"/>
      <c r="P657" s="109"/>
      <c r="Q657" s="109"/>
      <c r="R657" s="109"/>
      <c r="S657" s="109"/>
      <c r="T657" s="109"/>
      <c r="U657" s="109"/>
      <c r="V657" s="109"/>
      <c r="W657" s="109"/>
      <c r="X657" s="109"/>
      <c r="Y657" s="109"/>
      <c r="Z657" s="109"/>
    </row>
    <row r="658" ht="12.75" customHeight="1">
      <c r="A658" s="109"/>
      <c r="B658" s="109"/>
      <c r="C658" s="109"/>
      <c r="D658" s="109"/>
      <c r="E658" s="109"/>
      <c r="F658" s="154"/>
      <c r="G658" s="154"/>
      <c r="H658" s="109"/>
      <c r="I658" s="109"/>
      <c r="J658" s="109"/>
      <c r="K658" s="109"/>
      <c r="L658" s="109"/>
      <c r="M658" s="109"/>
      <c r="N658" s="109"/>
      <c r="O658" s="109"/>
      <c r="P658" s="109"/>
      <c r="Q658" s="109"/>
      <c r="R658" s="109"/>
      <c r="S658" s="109"/>
      <c r="T658" s="109"/>
      <c r="U658" s="109"/>
      <c r="V658" s="109"/>
      <c r="W658" s="109"/>
      <c r="X658" s="109"/>
      <c r="Y658" s="109"/>
      <c r="Z658" s="109"/>
    </row>
    <row r="659" ht="12.75" customHeight="1">
      <c r="A659" s="109"/>
      <c r="B659" s="109"/>
      <c r="C659" s="109"/>
      <c r="D659" s="109"/>
      <c r="E659" s="109"/>
      <c r="F659" s="154"/>
      <c r="G659" s="154"/>
      <c r="H659" s="109"/>
      <c r="I659" s="109"/>
      <c r="J659" s="109"/>
      <c r="K659" s="109"/>
      <c r="L659" s="109"/>
      <c r="M659" s="109"/>
      <c r="N659" s="109"/>
      <c r="O659" s="109"/>
      <c r="P659" s="109"/>
      <c r="Q659" s="109"/>
      <c r="R659" s="109"/>
      <c r="S659" s="109"/>
      <c r="T659" s="109"/>
      <c r="U659" s="109"/>
      <c r="V659" s="109"/>
      <c r="W659" s="109"/>
      <c r="X659" s="109"/>
      <c r="Y659" s="109"/>
      <c r="Z659" s="109"/>
    </row>
    <row r="660" ht="12.75" customHeight="1">
      <c r="A660" s="109"/>
      <c r="B660" s="109"/>
      <c r="C660" s="109"/>
      <c r="D660" s="109"/>
      <c r="E660" s="109"/>
      <c r="F660" s="154"/>
      <c r="G660" s="154"/>
      <c r="H660" s="109"/>
      <c r="I660" s="109"/>
      <c r="J660" s="109"/>
      <c r="K660" s="109"/>
      <c r="L660" s="109"/>
      <c r="M660" s="109"/>
      <c r="N660" s="109"/>
      <c r="O660" s="109"/>
      <c r="P660" s="109"/>
      <c r="Q660" s="109"/>
      <c r="R660" s="109"/>
      <c r="S660" s="109"/>
      <c r="T660" s="109"/>
      <c r="U660" s="109"/>
      <c r="V660" s="109"/>
      <c r="W660" s="109"/>
      <c r="X660" s="109"/>
      <c r="Y660" s="109"/>
      <c r="Z660" s="109"/>
    </row>
    <row r="661" ht="12.75" customHeight="1">
      <c r="A661" s="109"/>
      <c r="B661" s="109"/>
      <c r="C661" s="109"/>
      <c r="D661" s="109"/>
      <c r="E661" s="109"/>
      <c r="F661" s="154"/>
      <c r="G661" s="154"/>
      <c r="H661" s="109"/>
      <c r="I661" s="109"/>
      <c r="J661" s="109"/>
      <c r="K661" s="109"/>
      <c r="L661" s="109"/>
      <c r="M661" s="109"/>
      <c r="N661" s="109"/>
      <c r="O661" s="109"/>
      <c r="P661" s="109"/>
      <c r="Q661" s="109"/>
      <c r="R661" s="109"/>
      <c r="S661" s="109"/>
      <c r="T661" s="109"/>
      <c r="U661" s="109"/>
      <c r="V661" s="109"/>
      <c r="W661" s="109"/>
      <c r="X661" s="109"/>
      <c r="Y661" s="109"/>
      <c r="Z661" s="109"/>
    </row>
    <row r="662" ht="12.75" customHeight="1">
      <c r="A662" s="109"/>
      <c r="B662" s="109"/>
      <c r="C662" s="109"/>
      <c r="D662" s="109"/>
      <c r="E662" s="109"/>
      <c r="F662" s="154"/>
      <c r="G662" s="154"/>
      <c r="H662" s="109"/>
      <c r="I662" s="109"/>
      <c r="J662" s="109"/>
      <c r="K662" s="109"/>
      <c r="L662" s="109"/>
      <c r="M662" s="109"/>
      <c r="N662" s="109"/>
      <c r="O662" s="109"/>
      <c r="P662" s="109"/>
      <c r="Q662" s="109"/>
      <c r="R662" s="109"/>
      <c r="S662" s="109"/>
      <c r="T662" s="109"/>
      <c r="U662" s="109"/>
      <c r="V662" s="109"/>
      <c r="W662" s="109"/>
      <c r="X662" s="109"/>
      <c r="Y662" s="109"/>
      <c r="Z662" s="109"/>
    </row>
    <row r="663" ht="12.75" customHeight="1">
      <c r="A663" s="109"/>
      <c r="B663" s="109"/>
      <c r="C663" s="109"/>
      <c r="D663" s="109"/>
      <c r="E663" s="109"/>
      <c r="F663" s="154"/>
      <c r="G663" s="154"/>
      <c r="H663" s="109"/>
      <c r="I663" s="109"/>
      <c r="J663" s="109"/>
      <c r="K663" s="109"/>
      <c r="L663" s="109"/>
      <c r="M663" s="109"/>
      <c r="N663" s="109"/>
      <c r="O663" s="109"/>
      <c r="P663" s="109"/>
      <c r="Q663" s="109"/>
      <c r="R663" s="109"/>
      <c r="S663" s="109"/>
      <c r="T663" s="109"/>
      <c r="U663" s="109"/>
      <c r="V663" s="109"/>
      <c r="W663" s="109"/>
      <c r="X663" s="109"/>
      <c r="Y663" s="109"/>
      <c r="Z663" s="109"/>
    </row>
    <row r="664" ht="12.75" customHeight="1">
      <c r="A664" s="109"/>
      <c r="B664" s="109"/>
      <c r="C664" s="109"/>
      <c r="D664" s="109"/>
      <c r="E664" s="109"/>
      <c r="F664" s="154"/>
      <c r="G664" s="154"/>
      <c r="H664" s="109"/>
      <c r="I664" s="109"/>
      <c r="J664" s="109"/>
      <c r="K664" s="109"/>
      <c r="L664" s="109"/>
      <c r="M664" s="109"/>
      <c r="N664" s="109"/>
      <c r="O664" s="109"/>
      <c r="P664" s="109"/>
      <c r="Q664" s="109"/>
      <c r="R664" s="109"/>
      <c r="S664" s="109"/>
      <c r="T664" s="109"/>
      <c r="U664" s="109"/>
      <c r="V664" s="109"/>
      <c r="W664" s="109"/>
      <c r="X664" s="109"/>
      <c r="Y664" s="109"/>
      <c r="Z664" s="109"/>
    </row>
    <row r="665" ht="12.75" customHeight="1">
      <c r="A665" s="109"/>
      <c r="B665" s="109"/>
      <c r="C665" s="109"/>
      <c r="D665" s="109"/>
      <c r="E665" s="109"/>
      <c r="F665" s="154"/>
      <c r="G665" s="154"/>
      <c r="H665" s="109"/>
      <c r="I665" s="109"/>
      <c r="J665" s="109"/>
      <c r="K665" s="109"/>
      <c r="L665" s="109"/>
      <c r="M665" s="109"/>
      <c r="N665" s="109"/>
      <c r="O665" s="109"/>
      <c r="P665" s="109"/>
      <c r="Q665" s="109"/>
      <c r="R665" s="109"/>
      <c r="S665" s="109"/>
      <c r="T665" s="109"/>
      <c r="U665" s="109"/>
      <c r="V665" s="109"/>
      <c r="W665" s="109"/>
      <c r="X665" s="109"/>
      <c r="Y665" s="109"/>
      <c r="Z665" s="109"/>
    </row>
    <row r="666" ht="12.75" customHeight="1">
      <c r="A666" s="109"/>
      <c r="B666" s="109"/>
      <c r="C666" s="109"/>
      <c r="D666" s="109"/>
      <c r="E666" s="109"/>
      <c r="F666" s="154"/>
      <c r="G666" s="154"/>
      <c r="H666" s="109"/>
      <c r="I666" s="109"/>
      <c r="J666" s="109"/>
      <c r="K666" s="109"/>
      <c r="L666" s="109"/>
      <c r="M666" s="109"/>
      <c r="N666" s="109"/>
      <c r="O666" s="109"/>
      <c r="P666" s="109"/>
      <c r="Q666" s="109"/>
      <c r="R666" s="109"/>
      <c r="S666" s="109"/>
      <c r="T666" s="109"/>
      <c r="U666" s="109"/>
      <c r="V666" s="109"/>
      <c r="W666" s="109"/>
      <c r="X666" s="109"/>
      <c r="Y666" s="109"/>
      <c r="Z666" s="109"/>
    </row>
    <row r="667" ht="12.75" customHeight="1">
      <c r="A667" s="109"/>
      <c r="B667" s="109"/>
      <c r="C667" s="109"/>
      <c r="D667" s="109"/>
      <c r="E667" s="109"/>
      <c r="F667" s="154"/>
      <c r="G667" s="154"/>
      <c r="H667" s="109"/>
      <c r="I667" s="109"/>
      <c r="J667" s="109"/>
      <c r="K667" s="109"/>
      <c r="L667" s="109"/>
      <c r="M667" s="109"/>
      <c r="N667" s="109"/>
      <c r="O667" s="109"/>
      <c r="P667" s="109"/>
      <c r="Q667" s="109"/>
      <c r="R667" s="109"/>
      <c r="S667" s="109"/>
      <c r="T667" s="109"/>
      <c r="U667" s="109"/>
      <c r="V667" s="109"/>
      <c r="W667" s="109"/>
      <c r="X667" s="109"/>
      <c r="Y667" s="109"/>
      <c r="Z667" s="109"/>
    </row>
    <row r="668" ht="12.75" customHeight="1">
      <c r="A668" s="109"/>
      <c r="B668" s="109"/>
      <c r="C668" s="109"/>
      <c r="D668" s="109"/>
      <c r="E668" s="109"/>
      <c r="F668" s="154"/>
      <c r="G668" s="154"/>
      <c r="H668" s="109"/>
      <c r="I668" s="109"/>
      <c r="J668" s="109"/>
      <c r="K668" s="109"/>
      <c r="L668" s="109"/>
      <c r="M668" s="109"/>
      <c r="N668" s="109"/>
      <c r="O668" s="109"/>
      <c r="P668" s="109"/>
      <c r="Q668" s="109"/>
      <c r="R668" s="109"/>
      <c r="S668" s="109"/>
      <c r="T668" s="109"/>
      <c r="U668" s="109"/>
      <c r="V668" s="109"/>
      <c r="W668" s="109"/>
      <c r="X668" s="109"/>
      <c r="Y668" s="109"/>
      <c r="Z668" s="109"/>
    </row>
    <row r="669" ht="12.75" customHeight="1">
      <c r="A669" s="109"/>
      <c r="B669" s="109"/>
      <c r="C669" s="109"/>
      <c r="D669" s="109"/>
      <c r="E669" s="109"/>
      <c r="F669" s="154"/>
      <c r="G669" s="154"/>
      <c r="H669" s="109"/>
      <c r="I669" s="109"/>
      <c r="J669" s="109"/>
      <c r="K669" s="109"/>
      <c r="L669" s="109"/>
      <c r="M669" s="109"/>
      <c r="N669" s="109"/>
      <c r="O669" s="109"/>
      <c r="P669" s="109"/>
      <c r="Q669" s="109"/>
      <c r="R669" s="109"/>
      <c r="S669" s="109"/>
      <c r="T669" s="109"/>
      <c r="U669" s="109"/>
      <c r="V669" s="109"/>
      <c r="W669" s="109"/>
      <c r="X669" s="109"/>
      <c r="Y669" s="109"/>
      <c r="Z669" s="109"/>
    </row>
    <row r="670" ht="12.75" customHeight="1">
      <c r="A670" s="109"/>
      <c r="B670" s="109"/>
      <c r="C670" s="109"/>
      <c r="D670" s="109"/>
      <c r="E670" s="109"/>
      <c r="F670" s="154"/>
      <c r="G670" s="154"/>
      <c r="H670" s="109"/>
      <c r="I670" s="109"/>
      <c r="J670" s="109"/>
      <c r="K670" s="109"/>
      <c r="L670" s="109"/>
      <c r="M670" s="109"/>
      <c r="N670" s="109"/>
      <c r="O670" s="109"/>
      <c r="P670" s="109"/>
      <c r="Q670" s="109"/>
      <c r="R670" s="109"/>
      <c r="S670" s="109"/>
      <c r="T670" s="109"/>
      <c r="U670" s="109"/>
      <c r="V670" s="109"/>
      <c r="W670" s="109"/>
      <c r="X670" s="109"/>
      <c r="Y670" s="109"/>
      <c r="Z670" s="109"/>
    </row>
    <row r="671" ht="12.75" customHeight="1">
      <c r="A671" s="109"/>
      <c r="B671" s="109"/>
      <c r="C671" s="109"/>
      <c r="D671" s="109"/>
      <c r="E671" s="109"/>
      <c r="F671" s="154"/>
      <c r="G671" s="154"/>
      <c r="H671" s="109"/>
      <c r="I671" s="109"/>
      <c r="J671" s="109"/>
      <c r="K671" s="109"/>
      <c r="L671" s="109"/>
      <c r="M671" s="109"/>
      <c r="N671" s="109"/>
      <c r="O671" s="109"/>
      <c r="P671" s="109"/>
      <c r="Q671" s="109"/>
      <c r="R671" s="109"/>
      <c r="S671" s="109"/>
      <c r="T671" s="109"/>
      <c r="U671" s="109"/>
      <c r="V671" s="109"/>
      <c r="W671" s="109"/>
      <c r="X671" s="109"/>
      <c r="Y671" s="109"/>
      <c r="Z671" s="109"/>
    </row>
    <row r="672" ht="12.75" customHeight="1">
      <c r="A672" s="109"/>
      <c r="B672" s="109"/>
      <c r="C672" s="109"/>
      <c r="D672" s="109"/>
      <c r="E672" s="109"/>
      <c r="F672" s="154"/>
      <c r="G672" s="154"/>
      <c r="H672" s="109"/>
      <c r="I672" s="109"/>
      <c r="J672" s="109"/>
      <c r="K672" s="109"/>
      <c r="L672" s="109"/>
      <c r="M672" s="109"/>
      <c r="N672" s="109"/>
      <c r="O672" s="109"/>
      <c r="P672" s="109"/>
      <c r="Q672" s="109"/>
      <c r="R672" s="109"/>
      <c r="S672" s="109"/>
      <c r="T672" s="109"/>
      <c r="U672" s="109"/>
      <c r="V672" s="109"/>
      <c r="W672" s="109"/>
      <c r="X672" s="109"/>
      <c r="Y672" s="109"/>
      <c r="Z672" s="109"/>
    </row>
    <row r="673" ht="12.75" customHeight="1">
      <c r="A673" s="109"/>
      <c r="B673" s="109"/>
      <c r="C673" s="109"/>
      <c r="D673" s="109"/>
      <c r="E673" s="109"/>
      <c r="F673" s="154"/>
      <c r="G673" s="154"/>
      <c r="H673" s="109"/>
      <c r="I673" s="109"/>
      <c r="J673" s="109"/>
      <c r="K673" s="109"/>
      <c r="L673" s="109"/>
      <c r="M673" s="109"/>
      <c r="N673" s="109"/>
      <c r="O673" s="109"/>
      <c r="P673" s="109"/>
      <c r="Q673" s="109"/>
      <c r="R673" s="109"/>
      <c r="S673" s="109"/>
      <c r="T673" s="109"/>
      <c r="U673" s="109"/>
      <c r="V673" s="109"/>
      <c r="W673" s="109"/>
      <c r="X673" s="109"/>
      <c r="Y673" s="109"/>
      <c r="Z673" s="109"/>
    </row>
    <row r="674" ht="12.75" customHeight="1">
      <c r="A674" s="109"/>
      <c r="B674" s="109"/>
      <c r="C674" s="109"/>
      <c r="D674" s="109"/>
      <c r="E674" s="109"/>
      <c r="F674" s="154"/>
      <c r="G674" s="154"/>
      <c r="H674" s="109"/>
      <c r="I674" s="109"/>
      <c r="J674" s="109"/>
      <c r="K674" s="109"/>
      <c r="L674" s="109"/>
      <c r="M674" s="109"/>
      <c r="N674" s="109"/>
      <c r="O674" s="109"/>
      <c r="P674" s="109"/>
      <c r="Q674" s="109"/>
      <c r="R674" s="109"/>
      <c r="S674" s="109"/>
      <c r="T674" s="109"/>
      <c r="U674" s="109"/>
      <c r="V674" s="109"/>
      <c r="W674" s="109"/>
      <c r="X674" s="109"/>
      <c r="Y674" s="109"/>
      <c r="Z674" s="109"/>
    </row>
    <row r="675" ht="12.75" customHeight="1">
      <c r="A675" s="109"/>
      <c r="B675" s="109"/>
      <c r="C675" s="109"/>
      <c r="D675" s="109"/>
      <c r="E675" s="109"/>
      <c r="F675" s="154"/>
      <c r="G675" s="154"/>
      <c r="H675" s="109"/>
      <c r="I675" s="109"/>
      <c r="J675" s="109"/>
      <c r="K675" s="109"/>
      <c r="L675" s="109"/>
      <c r="M675" s="109"/>
      <c r="N675" s="109"/>
      <c r="O675" s="109"/>
      <c r="P675" s="109"/>
      <c r="Q675" s="109"/>
      <c r="R675" s="109"/>
      <c r="S675" s="109"/>
      <c r="T675" s="109"/>
      <c r="U675" s="109"/>
      <c r="V675" s="109"/>
      <c r="W675" s="109"/>
      <c r="X675" s="109"/>
      <c r="Y675" s="109"/>
      <c r="Z675" s="109"/>
    </row>
    <row r="676" ht="12.75" customHeight="1">
      <c r="A676" s="109"/>
      <c r="B676" s="109"/>
      <c r="C676" s="109"/>
      <c r="D676" s="109"/>
      <c r="E676" s="109"/>
      <c r="F676" s="154"/>
      <c r="G676" s="154"/>
      <c r="H676" s="109"/>
      <c r="I676" s="109"/>
      <c r="J676" s="109"/>
      <c r="K676" s="109"/>
      <c r="L676" s="109"/>
      <c r="M676" s="109"/>
      <c r="N676" s="109"/>
      <c r="O676" s="109"/>
      <c r="P676" s="109"/>
      <c r="Q676" s="109"/>
      <c r="R676" s="109"/>
      <c r="S676" s="109"/>
      <c r="T676" s="109"/>
      <c r="U676" s="109"/>
      <c r="V676" s="109"/>
      <c r="W676" s="109"/>
      <c r="X676" s="109"/>
      <c r="Y676" s="109"/>
      <c r="Z676" s="109"/>
    </row>
    <row r="677" ht="12.75" customHeight="1">
      <c r="A677" s="109"/>
      <c r="B677" s="109"/>
      <c r="C677" s="109"/>
      <c r="D677" s="109"/>
      <c r="E677" s="109"/>
      <c r="F677" s="154"/>
      <c r="G677" s="154"/>
      <c r="H677" s="109"/>
      <c r="I677" s="109"/>
      <c r="J677" s="109"/>
      <c r="K677" s="109"/>
      <c r="L677" s="109"/>
      <c r="M677" s="109"/>
      <c r="N677" s="109"/>
      <c r="O677" s="109"/>
      <c r="P677" s="109"/>
      <c r="Q677" s="109"/>
      <c r="R677" s="109"/>
      <c r="S677" s="109"/>
      <c r="T677" s="109"/>
      <c r="U677" s="109"/>
      <c r="V677" s="109"/>
      <c r="W677" s="109"/>
      <c r="X677" s="109"/>
      <c r="Y677" s="109"/>
      <c r="Z677" s="109"/>
    </row>
    <row r="678" ht="12.75" customHeight="1">
      <c r="A678" s="109"/>
      <c r="B678" s="109"/>
      <c r="C678" s="109"/>
      <c r="D678" s="109"/>
      <c r="E678" s="109"/>
      <c r="F678" s="154"/>
      <c r="G678" s="154"/>
      <c r="H678" s="109"/>
      <c r="I678" s="109"/>
      <c r="J678" s="109"/>
      <c r="K678" s="109"/>
      <c r="L678" s="109"/>
      <c r="M678" s="109"/>
      <c r="N678" s="109"/>
      <c r="O678" s="109"/>
      <c r="P678" s="109"/>
      <c r="Q678" s="109"/>
      <c r="R678" s="109"/>
      <c r="S678" s="109"/>
      <c r="T678" s="109"/>
      <c r="U678" s="109"/>
      <c r="V678" s="109"/>
      <c r="W678" s="109"/>
      <c r="X678" s="109"/>
      <c r="Y678" s="109"/>
      <c r="Z678" s="109"/>
    </row>
    <row r="679" ht="12.75" customHeight="1">
      <c r="A679" s="109"/>
      <c r="B679" s="109"/>
      <c r="C679" s="109"/>
      <c r="D679" s="109"/>
      <c r="E679" s="109"/>
      <c r="F679" s="154"/>
      <c r="G679" s="154"/>
      <c r="H679" s="109"/>
      <c r="I679" s="109"/>
      <c r="J679" s="109"/>
      <c r="K679" s="109"/>
      <c r="L679" s="109"/>
      <c r="M679" s="109"/>
      <c r="N679" s="109"/>
      <c r="O679" s="109"/>
      <c r="P679" s="109"/>
      <c r="Q679" s="109"/>
      <c r="R679" s="109"/>
      <c r="S679" s="109"/>
      <c r="T679" s="109"/>
      <c r="U679" s="109"/>
      <c r="V679" s="109"/>
      <c r="W679" s="109"/>
      <c r="X679" s="109"/>
      <c r="Y679" s="109"/>
      <c r="Z679" s="109"/>
    </row>
    <row r="680" ht="12.75" customHeight="1">
      <c r="A680" s="109"/>
      <c r="B680" s="109"/>
      <c r="C680" s="109"/>
      <c r="D680" s="109"/>
      <c r="E680" s="109"/>
      <c r="F680" s="154"/>
      <c r="G680" s="154"/>
      <c r="H680" s="109"/>
      <c r="I680" s="109"/>
      <c r="J680" s="109"/>
      <c r="K680" s="109"/>
      <c r="L680" s="109"/>
      <c r="M680" s="109"/>
      <c r="N680" s="109"/>
      <c r="O680" s="109"/>
      <c r="P680" s="109"/>
      <c r="Q680" s="109"/>
      <c r="R680" s="109"/>
      <c r="S680" s="109"/>
      <c r="T680" s="109"/>
      <c r="U680" s="109"/>
      <c r="V680" s="109"/>
      <c r="W680" s="109"/>
      <c r="X680" s="109"/>
      <c r="Y680" s="109"/>
      <c r="Z680" s="109"/>
    </row>
    <row r="681" ht="12.75" customHeight="1">
      <c r="A681" s="109"/>
      <c r="B681" s="109"/>
      <c r="C681" s="109"/>
      <c r="D681" s="109"/>
      <c r="E681" s="109"/>
      <c r="F681" s="154"/>
      <c r="G681" s="154"/>
      <c r="H681" s="109"/>
      <c r="I681" s="109"/>
      <c r="J681" s="109"/>
      <c r="K681" s="109"/>
      <c r="L681" s="109"/>
      <c r="M681" s="109"/>
      <c r="N681" s="109"/>
      <c r="O681" s="109"/>
      <c r="P681" s="109"/>
      <c r="Q681" s="109"/>
      <c r="R681" s="109"/>
      <c r="S681" s="109"/>
      <c r="T681" s="109"/>
      <c r="U681" s="109"/>
      <c r="V681" s="109"/>
      <c r="W681" s="109"/>
      <c r="X681" s="109"/>
      <c r="Y681" s="109"/>
      <c r="Z681" s="109"/>
    </row>
    <row r="682" ht="12.75" customHeight="1">
      <c r="A682" s="109"/>
      <c r="B682" s="109"/>
      <c r="C682" s="109"/>
      <c r="D682" s="109"/>
      <c r="E682" s="109"/>
      <c r="F682" s="154"/>
      <c r="G682" s="154"/>
      <c r="H682" s="109"/>
      <c r="I682" s="109"/>
      <c r="J682" s="109"/>
      <c r="K682" s="109"/>
      <c r="L682" s="109"/>
      <c r="M682" s="109"/>
      <c r="N682" s="109"/>
      <c r="O682" s="109"/>
      <c r="P682" s="109"/>
      <c r="Q682" s="109"/>
      <c r="R682" s="109"/>
      <c r="S682" s="109"/>
      <c r="T682" s="109"/>
      <c r="U682" s="109"/>
      <c r="V682" s="109"/>
      <c r="W682" s="109"/>
      <c r="X682" s="109"/>
      <c r="Y682" s="109"/>
      <c r="Z682" s="109"/>
    </row>
    <row r="683" ht="12.75" customHeight="1">
      <c r="A683" s="109"/>
      <c r="B683" s="109"/>
      <c r="C683" s="109"/>
      <c r="D683" s="109"/>
      <c r="E683" s="109"/>
      <c r="F683" s="154"/>
      <c r="G683" s="154"/>
      <c r="H683" s="109"/>
      <c r="I683" s="109"/>
      <c r="J683" s="109"/>
      <c r="K683" s="109"/>
      <c r="L683" s="109"/>
      <c r="M683" s="109"/>
      <c r="N683" s="109"/>
      <c r="O683" s="109"/>
      <c r="P683" s="109"/>
      <c r="Q683" s="109"/>
      <c r="R683" s="109"/>
      <c r="S683" s="109"/>
      <c r="T683" s="109"/>
      <c r="U683" s="109"/>
      <c r="V683" s="109"/>
      <c r="W683" s="109"/>
      <c r="X683" s="109"/>
      <c r="Y683" s="109"/>
      <c r="Z683" s="109"/>
    </row>
    <row r="684" ht="12.75" customHeight="1">
      <c r="A684" s="109"/>
      <c r="B684" s="109"/>
      <c r="C684" s="109"/>
      <c r="D684" s="109"/>
      <c r="E684" s="109"/>
      <c r="F684" s="154"/>
      <c r="G684" s="154"/>
      <c r="H684" s="109"/>
      <c r="I684" s="109"/>
      <c r="J684" s="109"/>
      <c r="K684" s="109"/>
      <c r="L684" s="109"/>
      <c r="M684" s="109"/>
      <c r="N684" s="109"/>
      <c r="O684" s="109"/>
      <c r="P684" s="109"/>
      <c r="Q684" s="109"/>
      <c r="R684" s="109"/>
      <c r="S684" s="109"/>
      <c r="T684" s="109"/>
      <c r="U684" s="109"/>
      <c r="V684" s="109"/>
      <c r="W684" s="109"/>
      <c r="X684" s="109"/>
      <c r="Y684" s="109"/>
      <c r="Z684" s="109"/>
    </row>
    <row r="685" ht="12.75" customHeight="1">
      <c r="A685" s="109"/>
      <c r="B685" s="109"/>
      <c r="C685" s="109"/>
      <c r="D685" s="109"/>
      <c r="E685" s="109"/>
      <c r="F685" s="154"/>
      <c r="G685" s="154"/>
      <c r="H685" s="109"/>
      <c r="I685" s="109"/>
      <c r="J685" s="109"/>
      <c r="K685" s="109"/>
      <c r="L685" s="109"/>
      <c r="M685" s="109"/>
      <c r="N685" s="109"/>
      <c r="O685" s="109"/>
      <c r="P685" s="109"/>
      <c r="Q685" s="109"/>
      <c r="R685" s="109"/>
      <c r="S685" s="109"/>
      <c r="T685" s="109"/>
      <c r="U685" s="109"/>
      <c r="V685" s="109"/>
      <c r="W685" s="109"/>
      <c r="X685" s="109"/>
      <c r="Y685" s="109"/>
      <c r="Z685" s="109"/>
    </row>
    <row r="686" ht="12.75" customHeight="1">
      <c r="A686" s="109"/>
      <c r="B686" s="109"/>
      <c r="C686" s="109"/>
      <c r="D686" s="109"/>
      <c r="E686" s="109"/>
      <c r="F686" s="154"/>
      <c r="G686" s="154"/>
      <c r="H686" s="109"/>
      <c r="I686" s="109"/>
      <c r="J686" s="109"/>
      <c r="K686" s="109"/>
      <c r="L686" s="109"/>
      <c r="M686" s="109"/>
      <c r="N686" s="109"/>
      <c r="O686" s="109"/>
      <c r="P686" s="109"/>
      <c r="Q686" s="109"/>
      <c r="R686" s="109"/>
      <c r="S686" s="109"/>
      <c r="T686" s="109"/>
      <c r="U686" s="109"/>
      <c r="V686" s="109"/>
      <c r="W686" s="109"/>
      <c r="X686" s="109"/>
      <c r="Y686" s="109"/>
      <c r="Z686" s="109"/>
    </row>
    <row r="687" ht="12.75" customHeight="1">
      <c r="A687" s="109"/>
      <c r="B687" s="109"/>
      <c r="C687" s="109"/>
      <c r="D687" s="109"/>
      <c r="E687" s="109"/>
      <c r="F687" s="154"/>
      <c r="G687" s="154"/>
      <c r="H687" s="109"/>
      <c r="I687" s="109"/>
      <c r="J687" s="109"/>
      <c r="K687" s="109"/>
      <c r="L687" s="109"/>
      <c r="M687" s="109"/>
      <c r="N687" s="109"/>
      <c r="O687" s="109"/>
      <c r="P687" s="109"/>
      <c r="Q687" s="109"/>
      <c r="R687" s="109"/>
      <c r="S687" s="109"/>
      <c r="T687" s="109"/>
      <c r="U687" s="109"/>
      <c r="V687" s="109"/>
      <c r="W687" s="109"/>
      <c r="X687" s="109"/>
      <c r="Y687" s="109"/>
      <c r="Z687" s="109"/>
    </row>
    <row r="688" ht="12.75" customHeight="1">
      <c r="A688" s="109"/>
      <c r="B688" s="109"/>
      <c r="C688" s="109"/>
      <c r="D688" s="109"/>
      <c r="E688" s="109"/>
      <c r="F688" s="154"/>
      <c r="G688" s="154"/>
      <c r="H688" s="109"/>
      <c r="I688" s="109"/>
      <c r="J688" s="109"/>
      <c r="K688" s="109"/>
      <c r="L688" s="109"/>
      <c r="M688" s="109"/>
      <c r="N688" s="109"/>
      <c r="O688" s="109"/>
      <c r="P688" s="109"/>
      <c r="Q688" s="109"/>
      <c r="R688" s="109"/>
      <c r="S688" s="109"/>
      <c r="T688" s="109"/>
      <c r="U688" s="109"/>
      <c r="V688" s="109"/>
      <c r="W688" s="109"/>
      <c r="X688" s="109"/>
      <c r="Y688" s="109"/>
      <c r="Z688" s="109"/>
    </row>
    <row r="689" ht="12.75" customHeight="1">
      <c r="A689" s="109"/>
      <c r="B689" s="109"/>
      <c r="C689" s="109"/>
      <c r="D689" s="109"/>
      <c r="E689" s="109"/>
      <c r="F689" s="154"/>
      <c r="G689" s="154"/>
      <c r="H689" s="109"/>
      <c r="I689" s="109"/>
      <c r="J689" s="109"/>
      <c r="K689" s="109"/>
      <c r="L689" s="109"/>
      <c r="M689" s="109"/>
      <c r="N689" s="109"/>
      <c r="O689" s="109"/>
      <c r="P689" s="109"/>
      <c r="Q689" s="109"/>
      <c r="R689" s="109"/>
      <c r="S689" s="109"/>
      <c r="T689" s="109"/>
      <c r="U689" s="109"/>
      <c r="V689" s="109"/>
      <c r="W689" s="109"/>
      <c r="X689" s="109"/>
      <c r="Y689" s="109"/>
      <c r="Z689" s="109"/>
    </row>
    <row r="690" ht="12.75" customHeight="1">
      <c r="A690" s="109"/>
      <c r="B690" s="109"/>
      <c r="C690" s="109"/>
      <c r="D690" s="109"/>
      <c r="E690" s="109"/>
      <c r="F690" s="154"/>
      <c r="G690" s="154"/>
      <c r="H690" s="109"/>
      <c r="I690" s="109"/>
      <c r="J690" s="109"/>
      <c r="K690" s="109"/>
      <c r="L690" s="109"/>
      <c r="M690" s="109"/>
      <c r="N690" s="109"/>
      <c r="O690" s="109"/>
      <c r="P690" s="109"/>
      <c r="Q690" s="109"/>
      <c r="R690" s="109"/>
      <c r="S690" s="109"/>
      <c r="T690" s="109"/>
      <c r="U690" s="109"/>
      <c r="V690" s="109"/>
      <c r="W690" s="109"/>
      <c r="X690" s="109"/>
      <c r="Y690" s="109"/>
      <c r="Z690" s="109"/>
    </row>
    <row r="691" ht="12.75" customHeight="1">
      <c r="A691" s="109"/>
      <c r="B691" s="109"/>
      <c r="C691" s="109"/>
      <c r="D691" s="109"/>
      <c r="E691" s="109"/>
      <c r="F691" s="154"/>
      <c r="G691" s="154"/>
      <c r="H691" s="109"/>
      <c r="I691" s="109"/>
      <c r="J691" s="109"/>
      <c r="K691" s="109"/>
      <c r="L691" s="109"/>
      <c r="M691" s="109"/>
      <c r="N691" s="109"/>
      <c r="O691" s="109"/>
      <c r="P691" s="109"/>
      <c r="Q691" s="109"/>
      <c r="R691" s="109"/>
      <c r="S691" s="109"/>
      <c r="T691" s="109"/>
      <c r="U691" s="109"/>
      <c r="V691" s="109"/>
      <c r="W691" s="109"/>
      <c r="X691" s="109"/>
      <c r="Y691" s="109"/>
      <c r="Z691" s="109"/>
    </row>
    <row r="692" ht="12.75" customHeight="1">
      <c r="A692" s="109"/>
      <c r="B692" s="109"/>
      <c r="C692" s="109"/>
      <c r="D692" s="109"/>
      <c r="E692" s="109"/>
      <c r="F692" s="154"/>
      <c r="G692" s="154"/>
      <c r="H692" s="109"/>
      <c r="I692" s="109"/>
      <c r="J692" s="109"/>
      <c r="K692" s="109"/>
      <c r="L692" s="109"/>
      <c r="M692" s="109"/>
      <c r="N692" s="109"/>
      <c r="O692" s="109"/>
      <c r="P692" s="109"/>
      <c r="Q692" s="109"/>
      <c r="R692" s="109"/>
      <c r="S692" s="109"/>
      <c r="T692" s="109"/>
      <c r="U692" s="109"/>
      <c r="V692" s="109"/>
      <c r="W692" s="109"/>
      <c r="X692" s="109"/>
      <c r="Y692" s="109"/>
      <c r="Z692" s="109"/>
    </row>
    <row r="693" ht="12.75" customHeight="1">
      <c r="A693" s="109"/>
      <c r="B693" s="109"/>
      <c r="C693" s="109"/>
      <c r="D693" s="109"/>
      <c r="E693" s="109"/>
      <c r="F693" s="154"/>
      <c r="G693" s="154"/>
      <c r="H693" s="109"/>
      <c r="I693" s="109"/>
      <c r="J693" s="109"/>
      <c r="K693" s="109"/>
      <c r="L693" s="109"/>
      <c r="M693" s="109"/>
      <c r="N693" s="109"/>
      <c r="O693" s="109"/>
      <c r="P693" s="109"/>
      <c r="Q693" s="109"/>
      <c r="R693" s="109"/>
      <c r="S693" s="109"/>
      <c r="T693" s="109"/>
      <c r="U693" s="109"/>
      <c r="V693" s="109"/>
      <c r="W693" s="109"/>
      <c r="X693" s="109"/>
      <c r="Y693" s="109"/>
      <c r="Z693" s="109"/>
    </row>
    <row r="694" ht="12.75" customHeight="1">
      <c r="A694" s="109"/>
      <c r="B694" s="109"/>
      <c r="C694" s="109"/>
      <c r="D694" s="109"/>
      <c r="E694" s="109"/>
      <c r="F694" s="154"/>
      <c r="G694" s="154"/>
      <c r="H694" s="109"/>
      <c r="I694" s="109"/>
      <c r="J694" s="109"/>
      <c r="K694" s="109"/>
      <c r="L694" s="109"/>
      <c r="M694" s="109"/>
      <c r="N694" s="109"/>
      <c r="O694" s="109"/>
      <c r="P694" s="109"/>
      <c r="Q694" s="109"/>
      <c r="R694" s="109"/>
      <c r="S694" s="109"/>
      <c r="T694" s="109"/>
      <c r="U694" s="109"/>
      <c r="V694" s="109"/>
      <c r="W694" s="109"/>
      <c r="X694" s="109"/>
      <c r="Y694" s="109"/>
      <c r="Z694" s="109"/>
    </row>
    <row r="695" ht="12.75" customHeight="1">
      <c r="A695" s="109"/>
      <c r="B695" s="109"/>
      <c r="C695" s="109"/>
      <c r="D695" s="109"/>
      <c r="E695" s="109"/>
      <c r="F695" s="154"/>
      <c r="G695" s="154"/>
      <c r="H695" s="109"/>
      <c r="I695" s="109"/>
      <c r="J695" s="109"/>
      <c r="K695" s="109"/>
      <c r="L695" s="109"/>
      <c r="M695" s="109"/>
      <c r="N695" s="109"/>
      <c r="O695" s="109"/>
      <c r="P695" s="109"/>
      <c r="Q695" s="109"/>
      <c r="R695" s="109"/>
      <c r="S695" s="109"/>
      <c r="T695" s="109"/>
      <c r="U695" s="109"/>
      <c r="V695" s="109"/>
      <c r="W695" s="109"/>
      <c r="X695" s="109"/>
      <c r="Y695" s="109"/>
      <c r="Z695" s="109"/>
    </row>
    <row r="696" ht="12.75" customHeight="1">
      <c r="A696" s="109"/>
      <c r="B696" s="109"/>
      <c r="C696" s="109"/>
      <c r="D696" s="109"/>
      <c r="E696" s="109"/>
      <c r="F696" s="154"/>
      <c r="G696" s="154"/>
      <c r="H696" s="109"/>
      <c r="I696" s="109"/>
      <c r="J696" s="109"/>
      <c r="K696" s="109"/>
      <c r="L696" s="109"/>
      <c r="M696" s="109"/>
      <c r="N696" s="109"/>
      <c r="O696" s="109"/>
      <c r="P696" s="109"/>
      <c r="Q696" s="109"/>
      <c r="R696" s="109"/>
      <c r="S696" s="109"/>
      <c r="T696" s="109"/>
      <c r="U696" s="109"/>
      <c r="V696" s="109"/>
      <c r="W696" s="109"/>
      <c r="X696" s="109"/>
      <c r="Y696" s="109"/>
      <c r="Z696" s="109"/>
    </row>
    <row r="697" ht="12.75" customHeight="1">
      <c r="A697" s="109"/>
      <c r="B697" s="109"/>
      <c r="C697" s="109"/>
      <c r="D697" s="109"/>
      <c r="E697" s="109"/>
      <c r="F697" s="154"/>
      <c r="G697" s="154"/>
      <c r="H697" s="109"/>
      <c r="I697" s="109"/>
      <c r="J697" s="109"/>
      <c r="K697" s="109"/>
      <c r="L697" s="109"/>
      <c r="M697" s="109"/>
      <c r="N697" s="109"/>
      <c r="O697" s="109"/>
      <c r="P697" s="109"/>
      <c r="Q697" s="109"/>
      <c r="R697" s="109"/>
      <c r="S697" s="109"/>
      <c r="T697" s="109"/>
      <c r="U697" s="109"/>
      <c r="V697" s="109"/>
      <c r="W697" s="109"/>
      <c r="X697" s="109"/>
      <c r="Y697" s="109"/>
      <c r="Z697" s="109"/>
    </row>
    <row r="698" ht="12.75" customHeight="1">
      <c r="A698" s="109"/>
      <c r="B698" s="109"/>
      <c r="C698" s="109"/>
      <c r="D698" s="109"/>
      <c r="E698" s="109"/>
      <c r="F698" s="154"/>
      <c r="G698" s="154"/>
      <c r="H698" s="109"/>
      <c r="I698" s="109"/>
      <c r="J698" s="109"/>
      <c r="K698" s="109"/>
      <c r="L698" s="109"/>
      <c r="M698" s="109"/>
      <c r="N698" s="109"/>
      <c r="O698" s="109"/>
      <c r="P698" s="109"/>
      <c r="Q698" s="109"/>
      <c r="R698" s="109"/>
      <c r="S698" s="109"/>
      <c r="T698" s="109"/>
      <c r="U698" s="109"/>
      <c r="V698" s="109"/>
      <c r="W698" s="109"/>
      <c r="X698" s="109"/>
      <c r="Y698" s="109"/>
      <c r="Z698" s="109"/>
    </row>
    <row r="699" ht="12.75" customHeight="1">
      <c r="A699" s="109"/>
      <c r="B699" s="109"/>
      <c r="C699" s="109"/>
      <c r="D699" s="109"/>
      <c r="E699" s="109"/>
      <c r="F699" s="154"/>
      <c r="G699" s="154"/>
      <c r="H699" s="109"/>
      <c r="I699" s="109"/>
      <c r="J699" s="109"/>
      <c r="K699" s="109"/>
      <c r="L699" s="109"/>
      <c r="M699" s="109"/>
      <c r="N699" s="109"/>
      <c r="O699" s="109"/>
      <c r="P699" s="109"/>
      <c r="Q699" s="109"/>
      <c r="R699" s="109"/>
      <c r="S699" s="109"/>
      <c r="T699" s="109"/>
      <c r="U699" s="109"/>
      <c r="V699" s="109"/>
      <c r="W699" s="109"/>
      <c r="X699" s="109"/>
      <c r="Y699" s="109"/>
      <c r="Z699" s="109"/>
    </row>
    <row r="700" ht="12.75" customHeight="1">
      <c r="A700" s="109"/>
      <c r="B700" s="109"/>
      <c r="C700" s="109"/>
      <c r="D700" s="109"/>
      <c r="E700" s="109"/>
      <c r="F700" s="154"/>
      <c r="G700" s="154"/>
      <c r="H700" s="109"/>
      <c r="I700" s="109"/>
      <c r="J700" s="109"/>
      <c r="K700" s="109"/>
      <c r="L700" s="109"/>
      <c r="M700" s="109"/>
      <c r="N700" s="109"/>
      <c r="O700" s="109"/>
      <c r="P700" s="109"/>
      <c r="Q700" s="109"/>
      <c r="R700" s="109"/>
      <c r="S700" s="109"/>
      <c r="T700" s="109"/>
      <c r="U700" s="109"/>
      <c r="V700" s="109"/>
      <c r="W700" s="109"/>
      <c r="X700" s="109"/>
      <c r="Y700" s="109"/>
      <c r="Z700" s="109"/>
    </row>
    <row r="701" ht="12.75" customHeight="1">
      <c r="A701" s="109"/>
      <c r="B701" s="109"/>
      <c r="C701" s="109"/>
      <c r="D701" s="109"/>
      <c r="E701" s="109"/>
      <c r="F701" s="154"/>
      <c r="G701" s="154"/>
      <c r="H701" s="109"/>
      <c r="I701" s="109"/>
      <c r="J701" s="109"/>
      <c r="K701" s="109"/>
      <c r="L701" s="109"/>
      <c r="M701" s="109"/>
      <c r="N701" s="109"/>
      <c r="O701" s="109"/>
      <c r="P701" s="109"/>
      <c r="Q701" s="109"/>
      <c r="R701" s="109"/>
      <c r="S701" s="109"/>
      <c r="T701" s="109"/>
      <c r="U701" s="109"/>
      <c r="V701" s="109"/>
      <c r="W701" s="109"/>
      <c r="X701" s="109"/>
      <c r="Y701" s="109"/>
      <c r="Z701" s="109"/>
    </row>
    <row r="702" ht="12.75" customHeight="1">
      <c r="A702" s="109"/>
      <c r="B702" s="109"/>
      <c r="C702" s="109"/>
      <c r="D702" s="109"/>
      <c r="E702" s="109"/>
      <c r="F702" s="154"/>
      <c r="G702" s="154"/>
      <c r="H702" s="109"/>
      <c r="I702" s="109"/>
      <c r="J702" s="109"/>
      <c r="K702" s="109"/>
      <c r="L702" s="109"/>
      <c r="M702" s="109"/>
      <c r="N702" s="109"/>
      <c r="O702" s="109"/>
      <c r="P702" s="109"/>
      <c r="Q702" s="109"/>
      <c r="R702" s="109"/>
      <c r="S702" s="109"/>
      <c r="T702" s="109"/>
      <c r="U702" s="109"/>
      <c r="V702" s="109"/>
      <c r="W702" s="109"/>
      <c r="X702" s="109"/>
      <c r="Y702" s="109"/>
      <c r="Z702" s="109"/>
    </row>
    <row r="703" ht="12.75" customHeight="1">
      <c r="A703" s="109"/>
      <c r="B703" s="109"/>
      <c r="C703" s="109"/>
      <c r="D703" s="109"/>
      <c r="E703" s="109"/>
      <c r="F703" s="154"/>
      <c r="G703" s="154"/>
      <c r="H703" s="109"/>
      <c r="I703" s="109"/>
      <c r="J703" s="109"/>
      <c r="K703" s="109"/>
      <c r="L703" s="109"/>
      <c r="M703" s="109"/>
      <c r="N703" s="109"/>
      <c r="O703" s="109"/>
      <c r="P703" s="109"/>
      <c r="Q703" s="109"/>
      <c r="R703" s="109"/>
      <c r="S703" s="109"/>
      <c r="T703" s="109"/>
      <c r="U703" s="109"/>
      <c r="V703" s="109"/>
      <c r="W703" s="109"/>
      <c r="X703" s="109"/>
      <c r="Y703" s="109"/>
      <c r="Z703" s="109"/>
    </row>
    <row r="704" ht="12.75" customHeight="1">
      <c r="A704" s="109"/>
      <c r="B704" s="109"/>
      <c r="C704" s="109"/>
      <c r="D704" s="109"/>
      <c r="E704" s="109"/>
      <c r="F704" s="154"/>
      <c r="G704" s="154"/>
      <c r="H704" s="109"/>
      <c r="I704" s="109"/>
      <c r="J704" s="109"/>
      <c r="K704" s="109"/>
      <c r="L704" s="109"/>
      <c r="M704" s="109"/>
      <c r="N704" s="109"/>
      <c r="O704" s="109"/>
      <c r="P704" s="109"/>
      <c r="Q704" s="109"/>
      <c r="R704" s="109"/>
      <c r="S704" s="109"/>
      <c r="T704" s="109"/>
      <c r="U704" s="109"/>
      <c r="V704" s="109"/>
      <c r="W704" s="109"/>
      <c r="X704" s="109"/>
      <c r="Y704" s="109"/>
      <c r="Z704" s="109"/>
    </row>
    <row r="705" ht="12.75" customHeight="1">
      <c r="A705" s="109"/>
      <c r="B705" s="109"/>
      <c r="C705" s="109"/>
      <c r="D705" s="109"/>
      <c r="E705" s="109"/>
      <c r="F705" s="154"/>
      <c r="G705" s="154"/>
      <c r="H705" s="109"/>
      <c r="I705" s="109"/>
      <c r="J705" s="109"/>
      <c r="K705" s="109"/>
      <c r="L705" s="109"/>
      <c r="M705" s="109"/>
      <c r="N705" s="109"/>
      <c r="O705" s="109"/>
      <c r="P705" s="109"/>
      <c r="Q705" s="109"/>
      <c r="R705" s="109"/>
      <c r="S705" s="109"/>
      <c r="T705" s="109"/>
      <c r="U705" s="109"/>
      <c r="V705" s="109"/>
      <c r="W705" s="109"/>
      <c r="X705" s="109"/>
      <c r="Y705" s="109"/>
      <c r="Z705" s="109"/>
    </row>
    <row r="706" ht="12.75" customHeight="1">
      <c r="A706" s="109"/>
      <c r="B706" s="109"/>
      <c r="C706" s="109"/>
      <c r="D706" s="109"/>
      <c r="E706" s="109"/>
      <c r="F706" s="154"/>
      <c r="G706" s="154"/>
      <c r="H706" s="109"/>
      <c r="I706" s="109"/>
      <c r="J706" s="109"/>
      <c r="K706" s="109"/>
      <c r="L706" s="109"/>
      <c r="M706" s="109"/>
      <c r="N706" s="109"/>
      <c r="O706" s="109"/>
      <c r="P706" s="109"/>
      <c r="Q706" s="109"/>
      <c r="R706" s="109"/>
      <c r="S706" s="109"/>
      <c r="T706" s="109"/>
      <c r="U706" s="109"/>
      <c r="V706" s="109"/>
      <c r="W706" s="109"/>
      <c r="X706" s="109"/>
      <c r="Y706" s="109"/>
      <c r="Z706" s="109"/>
    </row>
    <row r="707" ht="12.75" customHeight="1">
      <c r="A707" s="109"/>
      <c r="B707" s="109"/>
      <c r="C707" s="109"/>
      <c r="D707" s="109"/>
      <c r="E707" s="109"/>
      <c r="F707" s="154"/>
      <c r="G707" s="154"/>
      <c r="H707" s="109"/>
      <c r="I707" s="109"/>
      <c r="J707" s="109"/>
      <c r="K707" s="109"/>
      <c r="L707" s="109"/>
      <c r="M707" s="109"/>
      <c r="N707" s="109"/>
      <c r="O707" s="109"/>
      <c r="P707" s="109"/>
      <c r="Q707" s="109"/>
      <c r="R707" s="109"/>
      <c r="S707" s="109"/>
      <c r="T707" s="109"/>
      <c r="U707" s="109"/>
      <c r="V707" s="109"/>
      <c r="W707" s="109"/>
      <c r="X707" s="109"/>
      <c r="Y707" s="109"/>
      <c r="Z707" s="109"/>
    </row>
    <row r="708" ht="12.75" customHeight="1">
      <c r="A708" s="109"/>
      <c r="B708" s="109"/>
      <c r="C708" s="109"/>
      <c r="D708" s="109"/>
      <c r="E708" s="109"/>
      <c r="F708" s="154"/>
      <c r="G708" s="154"/>
      <c r="H708" s="109"/>
      <c r="I708" s="109"/>
      <c r="J708" s="109"/>
      <c r="K708" s="109"/>
      <c r="L708" s="109"/>
      <c r="M708" s="109"/>
      <c r="N708" s="109"/>
      <c r="O708" s="109"/>
      <c r="P708" s="109"/>
      <c r="Q708" s="109"/>
      <c r="R708" s="109"/>
      <c r="S708" s="109"/>
      <c r="T708" s="109"/>
      <c r="U708" s="109"/>
      <c r="V708" s="109"/>
      <c r="W708" s="109"/>
      <c r="X708" s="109"/>
      <c r="Y708" s="109"/>
      <c r="Z708" s="109"/>
    </row>
    <row r="709" ht="12.75" customHeight="1">
      <c r="A709" s="109"/>
      <c r="B709" s="109"/>
      <c r="C709" s="109"/>
      <c r="D709" s="109"/>
      <c r="E709" s="109"/>
      <c r="F709" s="154"/>
      <c r="G709" s="154"/>
      <c r="H709" s="109"/>
      <c r="I709" s="109"/>
      <c r="J709" s="109"/>
      <c r="K709" s="109"/>
      <c r="L709" s="109"/>
      <c r="M709" s="109"/>
      <c r="N709" s="109"/>
      <c r="O709" s="109"/>
      <c r="P709" s="109"/>
      <c r="Q709" s="109"/>
      <c r="R709" s="109"/>
      <c r="S709" s="109"/>
      <c r="T709" s="109"/>
      <c r="U709" s="109"/>
      <c r="V709" s="109"/>
      <c r="W709" s="109"/>
      <c r="X709" s="109"/>
      <c r="Y709" s="109"/>
      <c r="Z709" s="109"/>
    </row>
    <row r="710" ht="12.75" customHeight="1">
      <c r="A710" s="109"/>
      <c r="B710" s="109"/>
      <c r="C710" s="109"/>
      <c r="D710" s="109"/>
      <c r="E710" s="109"/>
      <c r="F710" s="154"/>
      <c r="G710" s="154"/>
      <c r="H710" s="109"/>
      <c r="I710" s="109"/>
      <c r="J710" s="109"/>
      <c r="K710" s="109"/>
      <c r="L710" s="109"/>
      <c r="M710" s="109"/>
      <c r="N710" s="109"/>
      <c r="O710" s="109"/>
      <c r="P710" s="109"/>
      <c r="Q710" s="109"/>
      <c r="R710" s="109"/>
      <c r="S710" s="109"/>
      <c r="T710" s="109"/>
      <c r="U710" s="109"/>
      <c r="V710" s="109"/>
      <c r="W710" s="109"/>
      <c r="X710" s="109"/>
      <c r="Y710" s="109"/>
      <c r="Z710" s="109"/>
    </row>
    <row r="711" ht="12.75" customHeight="1">
      <c r="A711" s="109"/>
      <c r="B711" s="109"/>
      <c r="C711" s="109"/>
      <c r="D711" s="109"/>
      <c r="E711" s="109"/>
      <c r="F711" s="154"/>
      <c r="G711" s="154"/>
      <c r="H711" s="109"/>
      <c r="I711" s="109"/>
      <c r="J711" s="109"/>
      <c r="K711" s="109"/>
      <c r="L711" s="109"/>
      <c r="M711" s="109"/>
      <c r="N711" s="109"/>
      <c r="O711" s="109"/>
      <c r="P711" s="109"/>
      <c r="Q711" s="109"/>
      <c r="R711" s="109"/>
      <c r="S711" s="109"/>
      <c r="T711" s="109"/>
      <c r="U711" s="109"/>
      <c r="V711" s="109"/>
      <c r="W711" s="109"/>
      <c r="X711" s="109"/>
      <c r="Y711" s="109"/>
      <c r="Z711" s="109"/>
    </row>
    <row r="712" ht="12.75" customHeight="1">
      <c r="A712" s="109"/>
      <c r="B712" s="109"/>
      <c r="C712" s="109"/>
      <c r="D712" s="109"/>
      <c r="E712" s="109"/>
      <c r="F712" s="154"/>
      <c r="G712" s="154"/>
      <c r="H712" s="109"/>
      <c r="I712" s="109"/>
      <c r="J712" s="109"/>
      <c r="K712" s="109"/>
      <c r="L712" s="109"/>
      <c r="M712" s="109"/>
      <c r="N712" s="109"/>
      <c r="O712" s="109"/>
      <c r="P712" s="109"/>
      <c r="Q712" s="109"/>
      <c r="R712" s="109"/>
      <c r="S712" s="109"/>
      <c r="T712" s="109"/>
      <c r="U712" s="109"/>
      <c r="V712" s="109"/>
      <c r="W712" s="109"/>
      <c r="X712" s="109"/>
      <c r="Y712" s="109"/>
      <c r="Z712" s="109"/>
    </row>
    <row r="713" ht="12.75" customHeight="1">
      <c r="A713" s="109"/>
      <c r="B713" s="109"/>
      <c r="C713" s="109"/>
      <c r="D713" s="109"/>
      <c r="E713" s="109"/>
      <c r="F713" s="154"/>
      <c r="G713" s="154"/>
      <c r="H713" s="109"/>
      <c r="I713" s="109"/>
      <c r="J713" s="109"/>
      <c r="K713" s="109"/>
      <c r="L713" s="109"/>
      <c r="M713" s="109"/>
      <c r="N713" s="109"/>
      <c r="O713" s="109"/>
      <c r="P713" s="109"/>
      <c r="Q713" s="109"/>
      <c r="R713" s="109"/>
      <c r="S713" s="109"/>
      <c r="T713" s="109"/>
      <c r="U713" s="109"/>
      <c r="V713" s="109"/>
      <c r="W713" s="109"/>
      <c r="X713" s="109"/>
      <c r="Y713" s="109"/>
      <c r="Z713" s="109"/>
    </row>
    <row r="714" ht="12.75" customHeight="1">
      <c r="A714" s="109"/>
      <c r="B714" s="109"/>
      <c r="C714" s="109"/>
      <c r="D714" s="109"/>
      <c r="E714" s="109"/>
      <c r="F714" s="154"/>
      <c r="G714" s="154"/>
      <c r="H714" s="109"/>
      <c r="I714" s="109"/>
      <c r="J714" s="109"/>
      <c r="K714" s="109"/>
      <c r="L714" s="109"/>
      <c r="M714" s="109"/>
      <c r="N714" s="109"/>
      <c r="O714" s="109"/>
      <c r="P714" s="109"/>
      <c r="Q714" s="109"/>
      <c r="R714" s="109"/>
      <c r="S714" s="109"/>
      <c r="T714" s="109"/>
      <c r="U714" s="109"/>
      <c r="V714" s="109"/>
      <c r="W714" s="109"/>
      <c r="X714" s="109"/>
      <c r="Y714" s="109"/>
      <c r="Z714" s="109"/>
    </row>
    <row r="715" ht="12.75" customHeight="1">
      <c r="A715" s="109"/>
      <c r="B715" s="109"/>
      <c r="C715" s="109"/>
      <c r="D715" s="109"/>
      <c r="E715" s="109"/>
      <c r="F715" s="154"/>
      <c r="G715" s="154"/>
      <c r="H715" s="109"/>
      <c r="I715" s="109"/>
      <c r="J715" s="109"/>
      <c r="K715" s="109"/>
      <c r="L715" s="109"/>
      <c r="M715" s="109"/>
      <c r="N715" s="109"/>
      <c r="O715" s="109"/>
      <c r="P715" s="109"/>
      <c r="Q715" s="109"/>
      <c r="R715" s="109"/>
      <c r="S715" s="109"/>
      <c r="T715" s="109"/>
      <c r="U715" s="109"/>
      <c r="V715" s="109"/>
      <c r="W715" s="109"/>
      <c r="X715" s="109"/>
      <c r="Y715" s="109"/>
      <c r="Z715" s="109"/>
    </row>
    <row r="716" ht="12.75" customHeight="1">
      <c r="A716" s="109"/>
      <c r="B716" s="109"/>
      <c r="C716" s="109"/>
      <c r="D716" s="109"/>
      <c r="E716" s="109"/>
      <c r="F716" s="154"/>
      <c r="G716" s="154"/>
      <c r="H716" s="109"/>
      <c r="I716" s="109"/>
      <c r="J716" s="109"/>
      <c r="K716" s="109"/>
      <c r="L716" s="109"/>
      <c r="M716" s="109"/>
      <c r="N716" s="109"/>
      <c r="O716" s="109"/>
      <c r="P716" s="109"/>
      <c r="Q716" s="109"/>
      <c r="R716" s="109"/>
      <c r="S716" s="109"/>
      <c r="T716" s="109"/>
      <c r="U716" s="109"/>
      <c r="V716" s="109"/>
      <c r="W716" s="109"/>
      <c r="X716" s="109"/>
      <c r="Y716" s="109"/>
      <c r="Z716" s="109"/>
    </row>
    <row r="717" ht="12.75" customHeight="1">
      <c r="A717" s="109"/>
      <c r="B717" s="109"/>
      <c r="C717" s="109"/>
      <c r="D717" s="109"/>
      <c r="E717" s="109"/>
      <c r="F717" s="154"/>
      <c r="G717" s="154"/>
      <c r="H717" s="109"/>
      <c r="I717" s="109"/>
      <c r="J717" s="109"/>
      <c r="K717" s="109"/>
      <c r="L717" s="109"/>
      <c r="M717" s="109"/>
      <c r="N717" s="109"/>
      <c r="O717" s="109"/>
      <c r="P717" s="109"/>
      <c r="Q717" s="109"/>
      <c r="R717" s="109"/>
      <c r="S717" s="109"/>
      <c r="T717" s="109"/>
      <c r="U717" s="109"/>
      <c r="V717" s="109"/>
      <c r="W717" s="109"/>
      <c r="X717" s="109"/>
      <c r="Y717" s="109"/>
      <c r="Z717" s="109"/>
    </row>
    <row r="718" ht="12.75" customHeight="1">
      <c r="A718" s="109"/>
      <c r="B718" s="109"/>
      <c r="C718" s="109"/>
      <c r="D718" s="109"/>
      <c r="E718" s="109"/>
      <c r="F718" s="154"/>
      <c r="G718" s="154"/>
      <c r="H718" s="109"/>
      <c r="I718" s="109"/>
      <c r="J718" s="109"/>
      <c r="K718" s="109"/>
      <c r="L718" s="109"/>
      <c r="M718" s="109"/>
      <c r="N718" s="109"/>
      <c r="O718" s="109"/>
      <c r="P718" s="109"/>
      <c r="Q718" s="109"/>
      <c r="R718" s="109"/>
      <c r="S718" s="109"/>
      <c r="T718" s="109"/>
      <c r="U718" s="109"/>
      <c r="V718" s="109"/>
      <c r="W718" s="109"/>
      <c r="X718" s="109"/>
      <c r="Y718" s="109"/>
      <c r="Z718" s="109"/>
    </row>
    <row r="719" ht="12.75" customHeight="1">
      <c r="A719" s="109"/>
      <c r="B719" s="109"/>
      <c r="C719" s="109"/>
      <c r="D719" s="109"/>
      <c r="E719" s="109"/>
      <c r="F719" s="154"/>
      <c r="G719" s="154"/>
      <c r="H719" s="109"/>
      <c r="I719" s="109"/>
      <c r="J719" s="109"/>
      <c r="K719" s="109"/>
      <c r="L719" s="109"/>
      <c r="M719" s="109"/>
      <c r="N719" s="109"/>
      <c r="O719" s="109"/>
      <c r="P719" s="109"/>
      <c r="Q719" s="109"/>
      <c r="R719" s="109"/>
      <c r="S719" s="109"/>
      <c r="T719" s="109"/>
      <c r="U719" s="109"/>
      <c r="V719" s="109"/>
      <c r="W719" s="109"/>
      <c r="X719" s="109"/>
      <c r="Y719" s="109"/>
      <c r="Z719" s="109"/>
    </row>
    <row r="720" ht="12.75" customHeight="1">
      <c r="A720" s="109"/>
      <c r="B720" s="109"/>
      <c r="C720" s="109"/>
      <c r="D720" s="109"/>
      <c r="E720" s="109"/>
      <c r="F720" s="154"/>
      <c r="G720" s="154"/>
      <c r="H720" s="109"/>
      <c r="I720" s="109"/>
      <c r="J720" s="109"/>
      <c r="K720" s="109"/>
      <c r="L720" s="109"/>
      <c r="M720" s="109"/>
      <c r="N720" s="109"/>
      <c r="O720" s="109"/>
      <c r="P720" s="109"/>
      <c r="Q720" s="109"/>
      <c r="R720" s="109"/>
      <c r="S720" s="109"/>
      <c r="T720" s="109"/>
      <c r="U720" s="109"/>
      <c r="V720" s="109"/>
      <c r="W720" s="109"/>
      <c r="X720" s="109"/>
      <c r="Y720" s="109"/>
      <c r="Z720" s="109"/>
    </row>
    <row r="721" ht="12.75" customHeight="1">
      <c r="A721" s="109"/>
      <c r="B721" s="109"/>
      <c r="C721" s="109"/>
      <c r="D721" s="109"/>
      <c r="E721" s="109"/>
      <c r="F721" s="154"/>
      <c r="G721" s="154"/>
      <c r="H721" s="109"/>
      <c r="I721" s="109"/>
      <c r="J721" s="109"/>
      <c r="K721" s="109"/>
      <c r="L721" s="109"/>
      <c r="M721" s="109"/>
      <c r="N721" s="109"/>
      <c r="O721" s="109"/>
      <c r="P721" s="109"/>
      <c r="Q721" s="109"/>
      <c r="R721" s="109"/>
      <c r="S721" s="109"/>
      <c r="T721" s="109"/>
      <c r="U721" s="109"/>
      <c r="V721" s="109"/>
      <c r="W721" s="109"/>
      <c r="X721" s="109"/>
      <c r="Y721" s="109"/>
      <c r="Z721" s="109"/>
    </row>
    <row r="722" ht="12.75" customHeight="1">
      <c r="A722" s="109"/>
      <c r="B722" s="109"/>
      <c r="C722" s="109"/>
      <c r="D722" s="109"/>
      <c r="E722" s="109"/>
      <c r="F722" s="154"/>
      <c r="G722" s="154"/>
      <c r="H722" s="109"/>
      <c r="I722" s="109"/>
      <c r="J722" s="109"/>
      <c r="K722" s="109"/>
      <c r="L722" s="109"/>
      <c r="M722" s="109"/>
      <c r="N722" s="109"/>
      <c r="O722" s="109"/>
      <c r="P722" s="109"/>
      <c r="Q722" s="109"/>
      <c r="R722" s="109"/>
      <c r="S722" s="109"/>
      <c r="T722" s="109"/>
      <c r="U722" s="109"/>
      <c r="V722" s="109"/>
      <c r="W722" s="109"/>
      <c r="X722" s="109"/>
      <c r="Y722" s="109"/>
      <c r="Z722" s="109"/>
    </row>
    <row r="723" ht="12.75" customHeight="1">
      <c r="A723" s="109"/>
      <c r="B723" s="109"/>
      <c r="C723" s="109"/>
      <c r="D723" s="109"/>
      <c r="E723" s="109"/>
      <c r="F723" s="154"/>
      <c r="G723" s="154"/>
      <c r="H723" s="109"/>
      <c r="I723" s="109"/>
      <c r="J723" s="109"/>
      <c r="K723" s="109"/>
      <c r="L723" s="109"/>
      <c r="M723" s="109"/>
      <c r="N723" s="109"/>
      <c r="O723" s="109"/>
      <c r="P723" s="109"/>
      <c r="Q723" s="109"/>
      <c r="R723" s="109"/>
      <c r="S723" s="109"/>
      <c r="T723" s="109"/>
      <c r="U723" s="109"/>
      <c r="V723" s="109"/>
      <c r="W723" s="109"/>
      <c r="X723" s="109"/>
      <c r="Y723" s="109"/>
      <c r="Z723" s="109"/>
    </row>
    <row r="724" ht="12.75" customHeight="1">
      <c r="A724" s="109"/>
      <c r="B724" s="109"/>
      <c r="C724" s="109"/>
      <c r="D724" s="109"/>
      <c r="E724" s="109"/>
      <c r="F724" s="154"/>
      <c r="G724" s="154"/>
      <c r="H724" s="109"/>
      <c r="I724" s="109"/>
      <c r="J724" s="109"/>
      <c r="K724" s="109"/>
      <c r="L724" s="109"/>
      <c r="M724" s="109"/>
      <c r="N724" s="109"/>
      <c r="O724" s="109"/>
      <c r="P724" s="109"/>
      <c r="Q724" s="109"/>
      <c r="R724" s="109"/>
      <c r="S724" s="109"/>
      <c r="T724" s="109"/>
      <c r="U724" s="109"/>
      <c r="V724" s="109"/>
      <c r="W724" s="109"/>
      <c r="X724" s="109"/>
      <c r="Y724" s="109"/>
      <c r="Z724" s="109"/>
    </row>
    <row r="725" ht="12.75" customHeight="1">
      <c r="A725" s="109"/>
      <c r="B725" s="109"/>
      <c r="C725" s="109"/>
      <c r="D725" s="109"/>
      <c r="E725" s="109"/>
      <c r="F725" s="154"/>
      <c r="G725" s="154"/>
      <c r="H725" s="109"/>
      <c r="I725" s="109"/>
      <c r="J725" s="109"/>
      <c r="K725" s="109"/>
      <c r="L725" s="109"/>
      <c r="M725" s="109"/>
      <c r="N725" s="109"/>
      <c r="O725" s="109"/>
      <c r="P725" s="109"/>
      <c r="Q725" s="109"/>
      <c r="R725" s="109"/>
      <c r="S725" s="109"/>
      <c r="T725" s="109"/>
      <c r="U725" s="109"/>
      <c r="V725" s="109"/>
      <c r="W725" s="109"/>
      <c r="X725" s="109"/>
      <c r="Y725" s="109"/>
      <c r="Z725" s="109"/>
    </row>
    <row r="726" ht="12.75" customHeight="1">
      <c r="A726" s="109"/>
      <c r="B726" s="109"/>
      <c r="C726" s="109"/>
      <c r="D726" s="109"/>
      <c r="E726" s="109"/>
      <c r="F726" s="154"/>
      <c r="G726" s="154"/>
      <c r="H726" s="109"/>
      <c r="I726" s="109"/>
      <c r="J726" s="109"/>
      <c r="K726" s="109"/>
      <c r="L726" s="109"/>
      <c r="M726" s="109"/>
      <c r="N726" s="109"/>
      <c r="O726" s="109"/>
      <c r="P726" s="109"/>
      <c r="Q726" s="109"/>
      <c r="R726" s="109"/>
      <c r="S726" s="109"/>
      <c r="T726" s="109"/>
      <c r="U726" s="109"/>
      <c r="V726" s="109"/>
      <c r="W726" s="109"/>
      <c r="X726" s="109"/>
      <c r="Y726" s="109"/>
      <c r="Z726" s="109"/>
    </row>
    <row r="727" ht="12.75" customHeight="1">
      <c r="A727" s="109"/>
      <c r="B727" s="109"/>
      <c r="C727" s="109"/>
      <c r="D727" s="109"/>
      <c r="E727" s="109"/>
      <c r="F727" s="154"/>
      <c r="G727" s="154"/>
      <c r="H727" s="109"/>
      <c r="I727" s="109"/>
      <c r="J727" s="109"/>
      <c r="K727" s="109"/>
      <c r="L727" s="109"/>
      <c r="M727" s="109"/>
      <c r="N727" s="109"/>
      <c r="O727" s="109"/>
      <c r="P727" s="109"/>
      <c r="Q727" s="109"/>
      <c r="R727" s="109"/>
      <c r="S727" s="109"/>
      <c r="T727" s="109"/>
      <c r="U727" s="109"/>
      <c r="V727" s="109"/>
      <c r="W727" s="109"/>
      <c r="X727" s="109"/>
      <c r="Y727" s="109"/>
      <c r="Z727" s="109"/>
    </row>
    <row r="728" ht="12.75" customHeight="1">
      <c r="A728" s="109"/>
      <c r="B728" s="109"/>
      <c r="C728" s="109"/>
      <c r="D728" s="109"/>
      <c r="E728" s="109"/>
      <c r="F728" s="154"/>
      <c r="G728" s="154"/>
      <c r="H728" s="109"/>
      <c r="I728" s="109"/>
      <c r="J728" s="109"/>
      <c r="K728" s="109"/>
      <c r="L728" s="109"/>
      <c r="M728" s="109"/>
      <c r="N728" s="109"/>
      <c r="O728" s="109"/>
      <c r="P728" s="109"/>
      <c r="Q728" s="109"/>
      <c r="R728" s="109"/>
      <c r="S728" s="109"/>
      <c r="T728" s="109"/>
      <c r="U728" s="109"/>
      <c r="V728" s="109"/>
      <c r="W728" s="109"/>
      <c r="X728" s="109"/>
      <c r="Y728" s="109"/>
      <c r="Z728" s="109"/>
    </row>
    <row r="729" ht="12.75" customHeight="1">
      <c r="A729" s="109"/>
      <c r="B729" s="109"/>
      <c r="C729" s="109"/>
      <c r="D729" s="109"/>
      <c r="E729" s="109"/>
      <c r="F729" s="154"/>
      <c r="G729" s="154"/>
      <c r="H729" s="109"/>
      <c r="I729" s="109"/>
      <c r="J729" s="109"/>
      <c r="K729" s="109"/>
      <c r="L729" s="109"/>
      <c r="M729" s="109"/>
      <c r="N729" s="109"/>
      <c r="O729" s="109"/>
      <c r="P729" s="109"/>
      <c r="Q729" s="109"/>
      <c r="R729" s="109"/>
      <c r="S729" s="109"/>
      <c r="T729" s="109"/>
      <c r="U729" s="109"/>
      <c r="V729" s="109"/>
      <c r="W729" s="109"/>
      <c r="X729" s="109"/>
      <c r="Y729" s="109"/>
      <c r="Z729" s="109"/>
    </row>
    <row r="730" ht="12.75" customHeight="1">
      <c r="A730" s="109"/>
      <c r="B730" s="109"/>
      <c r="C730" s="109"/>
      <c r="D730" s="109"/>
      <c r="E730" s="109"/>
      <c r="F730" s="154"/>
      <c r="G730" s="154"/>
      <c r="H730" s="109"/>
      <c r="I730" s="109"/>
      <c r="J730" s="109"/>
      <c r="K730" s="109"/>
      <c r="L730" s="109"/>
      <c r="M730" s="109"/>
      <c r="N730" s="109"/>
      <c r="O730" s="109"/>
      <c r="P730" s="109"/>
      <c r="Q730" s="109"/>
      <c r="R730" s="109"/>
      <c r="S730" s="109"/>
      <c r="T730" s="109"/>
      <c r="U730" s="109"/>
      <c r="V730" s="109"/>
      <c r="W730" s="109"/>
      <c r="X730" s="109"/>
      <c r="Y730" s="109"/>
      <c r="Z730" s="109"/>
    </row>
    <row r="731" ht="12.75" customHeight="1">
      <c r="A731" s="109"/>
      <c r="B731" s="109"/>
      <c r="C731" s="109"/>
      <c r="D731" s="109"/>
      <c r="E731" s="109"/>
      <c r="F731" s="154"/>
      <c r="G731" s="154"/>
      <c r="H731" s="109"/>
      <c r="I731" s="109"/>
      <c r="J731" s="109"/>
      <c r="K731" s="109"/>
      <c r="L731" s="109"/>
      <c r="M731" s="109"/>
      <c r="N731" s="109"/>
      <c r="O731" s="109"/>
      <c r="P731" s="109"/>
      <c r="Q731" s="109"/>
      <c r="R731" s="109"/>
      <c r="S731" s="109"/>
      <c r="T731" s="109"/>
      <c r="U731" s="109"/>
      <c r="V731" s="109"/>
      <c r="W731" s="109"/>
      <c r="X731" s="109"/>
      <c r="Y731" s="109"/>
      <c r="Z731" s="109"/>
    </row>
    <row r="732" ht="12.75" customHeight="1">
      <c r="A732" s="109"/>
      <c r="B732" s="109"/>
      <c r="C732" s="109"/>
      <c r="D732" s="109"/>
      <c r="E732" s="109"/>
      <c r="F732" s="154"/>
      <c r="G732" s="154"/>
      <c r="H732" s="109"/>
      <c r="I732" s="109"/>
      <c r="J732" s="109"/>
      <c r="K732" s="109"/>
      <c r="L732" s="109"/>
      <c r="M732" s="109"/>
      <c r="N732" s="109"/>
      <c r="O732" s="109"/>
      <c r="P732" s="109"/>
      <c r="Q732" s="109"/>
      <c r="R732" s="109"/>
      <c r="S732" s="109"/>
      <c r="T732" s="109"/>
      <c r="U732" s="109"/>
      <c r="V732" s="109"/>
      <c r="W732" s="109"/>
      <c r="X732" s="109"/>
      <c r="Y732" s="109"/>
      <c r="Z732" s="109"/>
    </row>
    <row r="733" ht="12.75" customHeight="1">
      <c r="A733" s="109"/>
      <c r="B733" s="109"/>
      <c r="C733" s="109"/>
      <c r="D733" s="109"/>
      <c r="E733" s="109"/>
      <c r="F733" s="154"/>
      <c r="G733" s="154"/>
      <c r="H733" s="109"/>
      <c r="I733" s="109"/>
      <c r="J733" s="109"/>
      <c r="K733" s="109"/>
      <c r="L733" s="109"/>
      <c r="M733" s="109"/>
      <c r="N733" s="109"/>
      <c r="O733" s="109"/>
      <c r="P733" s="109"/>
      <c r="Q733" s="109"/>
      <c r="R733" s="109"/>
      <c r="S733" s="109"/>
      <c r="T733" s="109"/>
      <c r="U733" s="109"/>
      <c r="V733" s="109"/>
      <c r="W733" s="109"/>
      <c r="X733" s="109"/>
      <c r="Y733" s="109"/>
      <c r="Z733" s="109"/>
    </row>
    <row r="734" ht="12.75" customHeight="1">
      <c r="A734" s="109"/>
      <c r="B734" s="109"/>
      <c r="C734" s="109"/>
      <c r="D734" s="109"/>
      <c r="E734" s="109"/>
      <c r="F734" s="154"/>
      <c r="G734" s="154"/>
      <c r="H734" s="109"/>
      <c r="I734" s="109"/>
      <c r="J734" s="109"/>
      <c r="K734" s="109"/>
      <c r="L734" s="109"/>
      <c r="M734" s="109"/>
      <c r="N734" s="109"/>
      <c r="O734" s="109"/>
      <c r="P734" s="109"/>
      <c r="Q734" s="109"/>
      <c r="R734" s="109"/>
      <c r="S734" s="109"/>
      <c r="T734" s="109"/>
      <c r="U734" s="109"/>
      <c r="V734" s="109"/>
      <c r="W734" s="109"/>
      <c r="X734" s="109"/>
      <c r="Y734" s="109"/>
      <c r="Z734" s="109"/>
    </row>
    <row r="735" ht="12.75" customHeight="1">
      <c r="A735" s="109"/>
      <c r="B735" s="109"/>
      <c r="C735" s="109"/>
      <c r="D735" s="109"/>
      <c r="E735" s="109"/>
      <c r="F735" s="154"/>
      <c r="G735" s="154"/>
      <c r="H735" s="109"/>
      <c r="I735" s="109"/>
      <c r="J735" s="109"/>
      <c r="K735" s="109"/>
      <c r="L735" s="109"/>
      <c r="M735" s="109"/>
      <c r="N735" s="109"/>
      <c r="O735" s="109"/>
      <c r="P735" s="109"/>
      <c r="Q735" s="109"/>
      <c r="R735" s="109"/>
      <c r="S735" s="109"/>
      <c r="T735" s="109"/>
      <c r="U735" s="109"/>
      <c r="V735" s="109"/>
      <c r="W735" s="109"/>
      <c r="X735" s="109"/>
      <c r="Y735" s="109"/>
      <c r="Z735" s="109"/>
    </row>
    <row r="736" ht="12.75" customHeight="1">
      <c r="A736" s="109"/>
      <c r="B736" s="109"/>
      <c r="C736" s="109"/>
      <c r="D736" s="109"/>
      <c r="E736" s="109"/>
      <c r="F736" s="154"/>
      <c r="G736" s="154"/>
      <c r="H736" s="109"/>
      <c r="I736" s="109"/>
      <c r="J736" s="109"/>
      <c r="K736" s="109"/>
      <c r="L736" s="109"/>
      <c r="M736" s="109"/>
      <c r="N736" s="109"/>
      <c r="O736" s="109"/>
      <c r="P736" s="109"/>
      <c r="Q736" s="109"/>
      <c r="R736" s="109"/>
      <c r="S736" s="109"/>
      <c r="T736" s="109"/>
      <c r="U736" s="109"/>
      <c r="V736" s="109"/>
      <c r="W736" s="109"/>
      <c r="X736" s="109"/>
      <c r="Y736" s="109"/>
      <c r="Z736" s="109"/>
    </row>
    <row r="737" ht="12.75" customHeight="1">
      <c r="A737" s="109"/>
      <c r="B737" s="109"/>
      <c r="C737" s="109"/>
      <c r="D737" s="109"/>
      <c r="E737" s="109"/>
      <c r="F737" s="154"/>
      <c r="G737" s="154"/>
      <c r="H737" s="109"/>
      <c r="I737" s="109"/>
      <c r="J737" s="109"/>
      <c r="K737" s="109"/>
      <c r="L737" s="109"/>
      <c r="M737" s="109"/>
      <c r="N737" s="109"/>
      <c r="O737" s="109"/>
      <c r="P737" s="109"/>
      <c r="Q737" s="109"/>
      <c r="R737" s="109"/>
      <c r="S737" s="109"/>
      <c r="T737" s="109"/>
      <c r="U737" s="109"/>
      <c r="V737" s="109"/>
      <c r="W737" s="109"/>
      <c r="X737" s="109"/>
      <c r="Y737" s="109"/>
      <c r="Z737" s="109"/>
    </row>
    <row r="738" ht="12.75" customHeight="1">
      <c r="A738" s="109"/>
      <c r="B738" s="109"/>
      <c r="C738" s="109"/>
      <c r="D738" s="109"/>
      <c r="E738" s="109"/>
      <c r="F738" s="154"/>
      <c r="G738" s="154"/>
      <c r="H738" s="109"/>
      <c r="I738" s="109"/>
      <c r="J738" s="109"/>
      <c r="K738" s="109"/>
      <c r="L738" s="109"/>
      <c r="M738" s="109"/>
      <c r="N738" s="109"/>
      <c r="O738" s="109"/>
      <c r="P738" s="109"/>
      <c r="Q738" s="109"/>
      <c r="R738" s="109"/>
      <c r="S738" s="109"/>
      <c r="T738" s="109"/>
      <c r="U738" s="109"/>
      <c r="V738" s="109"/>
      <c r="W738" s="109"/>
      <c r="X738" s="109"/>
      <c r="Y738" s="109"/>
      <c r="Z738" s="109"/>
    </row>
    <row r="739" ht="12.75" customHeight="1">
      <c r="A739" s="109"/>
      <c r="B739" s="109"/>
      <c r="C739" s="109"/>
      <c r="D739" s="109"/>
      <c r="E739" s="109"/>
      <c r="F739" s="154"/>
      <c r="G739" s="154"/>
      <c r="H739" s="109"/>
      <c r="I739" s="109"/>
      <c r="J739" s="109"/>
      <c r="K739" s="109"/>
      <c r="L739" s="109"/>
      <c r="M739" s="109"/>
      <c r="N739" s="109"/>
      <c r="O739" s="109"/>
      <c r="P739" s="109"/>
      <c r="Q739" s="109"/>
      <c r="R739" s="109"/>
      <c r="S739" s="109"/>
      <c r="T739" s="109"/>
      <c r="U739" s="109"/>
      <c r="V739" s="109"/>
      <c r="W739" s="109"/>
      <c r="X739" s="109"/>
      <c r="Y739" s="109"/>
      <c r="Z739" s="109"/>
    </row>
    <row r="740" ht="12.75" customHeight="1">
      <c r="A740" s="109"/>
      <c r="B740" s="109"/>
      <c r="C740" s="109"/>
      <c r="D740" s="109"/>
      <c r="E740" s="109"/>
      <c r="F740" s="154"/>
      <c r="G740" s="154"/>
      <c r="H740" s="109"/>
      <c r="I740" s="109"/>
      <c r="J740" s="109"/>
      <c r="K740" s="109"/>
      <c r="L740" s="109"/>
      <c r="M740" s="109"/>
      <c r="N740" s="109"/>
      <c r="O740" s="109"/>
      <c r="P740" s="109"/>
      <c r="Q740" s="109"/>
      <c r="R740" s="109"/>
      <c r="S740" s="109"/>
      <c r="T740" s="109"/>
      <c r="U740" s="109"/>
      <c r="V740" s="109"/>
      <c r="W740" s="109"/>
      <c r="X740" s="109"/>
      <c r="Y740" s="109"/>
      <c r="Z740" s="109"/>
    </row>
    <row r="741" ht="12.75" customHeight="1">
      <c r="A741" s="109"/>
      <c r="B741" s="109"/>
      <c r="C741" s="109"/>
      <c r="D741" s="109"/>
      <c r="E741" s="109"/>
      <c r="F741" s="154"/>
      <c r="G741" s="154"/>
      <c r="H741" s="109"/>
      <c r="I741" s="109"/>
      <c r="J741" s="109"/>
      <c r="K741" s="109"/>
      <c r="L741" s="109"/>
      <c r="M741" s="109"/>
      <c r="N741" s="109"/>
      <c r="O741" s="109"/>
      <c r="P741" s="109"/>
      <c r="Q741" s="109"/>
      <c r="R741" s="109"/>
      <c r="S741" s="109"/>
      <c r="T741" s="109"/>
      <c r="U741" s="109"/>
      <c r="V741" s="109"/>
      <c r="W741" s="109"/>
      <c r="X741" s="109"/>
      <c r="Y741" s="109"/>
      <c r="Z741" s="109"/>
    </row>
    <row r="742" ht="12.75" customHeight="1">
      <c r="A742" s="109"/>
      <c r="B742" s="109"/>
      <c r="C742" s="109"/>
      <c r="D742" s="109"/>
      <c r="E742" s="109"/>
      <c r="F742" s="154"/>
      <c r="G742" s="154"/>
      <c r="H742" s="109"/>
      <c r="I742" s="109"/>
      <c r="J742" s="109"/>
      <c r="K742" s="109"/>
      <c r="L742" s="109"/>
      <c r="M742" s="109"/>
      <c r="N742" s="109"/>
      <c r="O742" s="109"/>
      <c r="P742" s="109"/>
      <c r="Q742" s="109"/>
      <c r="R742" s="109"/>
      <c r="S742" s="109"/>
      <c r="T742" s="109"/>
      <c r="U742" s="109"/>
      <c r="V742" s="109"/>
      <c r="W742" s="109"/>
      <c r="X742" s="109"/>
      <c r="Y742" s="109"/>
      <c r="Z742" s="109"/>
    </row>
    <row r="743" ht="12.75" customHeight="1">
      <c r="A743" s="109"/>
      <c r="B743" s="109"/>
      <c r="C743" s="109"/>
      <c r="D743" s="109"/>
      <c r="E743" s="109"/>
      <c r="F743" s="154"/>
      <c r="G743" s="154"/>
      <c r="H743" s="109"/>
      <c r="I743" s="109"/>
      <c r="J743" s="109"/>
      <c r="K743" s="109"/>
      <c r="L743" s="109"/>
      <c r="M743" s="109"/>
      <c r="N743" s="109"/>
      <c r="O743" s="109"/>
      <c r="P743" s="109"/>
      <c r="Q743" s="109"/>
      <c r="R743" s="109"/>
      <c r="S743" s="109"/>
      <c r="T743" s="109"/>
      <c r="U743" s="109"/>
      <c r="V743" s="109"/>
      <c r="W743" s="109"/>
      <c r="X743" s="109"/>
      <c r="Y743" s="109"/>
      <c r="Z743" s="109"/>
    </row>
    <row r="744" ht="12.75" customHeight="1">
      <c r="A744" s="109"/>
      <c r="B744" s="109"/>
      <c r="C744" s="109"/>
      <c r="D744" s="109"/>
      <c r="E744" s="109"/>
      <c r="F744" s="154"/>
      <c r="G744" s="154"/>
      <c r="H744" s="109"/>
      <c r="I744" s="109"/>
      <c r="J744" s="109"/>
      <c r="K744" s="109"/>
      <c r="L744" s="109"/>
      <c r="M744" s="109"/>
      <c r="N744" s="109"/>
      <c r="O744" s="109"/>
      <c r="P744" s="109"/>
      <c r="Q744" s="109"/>
      <c r="R744" s="109"/>
      <c r="S744" s="109"/>
      <c r="T744" s="109"/>
      <c r="U744" s="109"/>
      <c r="V744" s="109"/>
      <c r="W744" s="109"/>
      <c r="X744" s="109"/>
      <c r="Y744" s="109"/>
      <c r="Z744" s="109"/>
    </row>
    <row r="745" ht="12.75" customHeight="1">
      <c r="A745" s="109"/>
      <c r="B745" s="109"/>
      <c r="C745" s="109"/>
      <c r="D745" s="109"/>
      <c r="E745" s="109"/>
      <c r="F745" s="154"/>
      <c r="G745" s="154"/>
      <c r="H745" s="109"/>
      <c r="I745" s="109"/>
      <c r="J745" s="109"/>
      <c r="K745" s="109"/>
      <c r="L745" s="109"/>
      <c r="M745" s="109"/>
      <c r="N745" s="109"/>
      <c r="O745" s="109"/>
      <c r="P745" s="109"/>
      <c r="Q745" s="109"/>
      <c r="R745" s="109"/>
      <c r="S745" s="109"/>
      <c r="T745" s="109"/>
      <c r="U745" s="109"/>
      <c r="V745" s="109"/>
      <c r="W745" s="109"/>
      <c r="X745" s="109"/>
      <c r="Y745" s="109"/>
      <c r="Z745" s="109"/>
    </row>
    <row r="746" ht="12.75" customHeight="1">
      <c r="A746" s="109"/>
      <c r="B746" s="109"/>
      <c r="C746" s="109"/>
      <c r="D746" s="109"/>
      <c r="E746" s="109"/>
      <c r="F746" s="154"/>
      <c r="G746" s="154"/>
      <c r="H746" s="109"/>
      <c r="I746" s="109"/>
      <c r="J746" s="109"/>
      <c r="K746" s="109"/>
      <c r="L746" s="109"/>
      <c r="M746" s="109"/>
      <c r="N746" s="109"/>
      <c r="O746" s="109"/>
      <c r="P746" s="109"/>
      <c r="Q746" s="109"/>
      <c r="R746" s="109"/>
      <c r="S746" s="109"/>
      <c r="T746" s="109"/>
      <c r="U746" s="109"/>
      <c r="V746" s="109"/>
      <c r="W746" s="109"/>
      <c r="X746" s="109"/>
      <c r="Y746" s="109"/>
      <c r="Z746" s="109"/>
    </row>
    <row r="747" ht="12.75" customHeight="1">
      <c r="A747" s="109"/>
      <c r="B747" s="109"/>
      <c r="C747" s="109"/>
      <c r="D747" s="109"/>
      <c r="E747" s="109"/>
      <c r="F747" s="154"/>
      <c r="G747" s="154"/>
      <c r="H747" s="109"/>
      <c r="I747" s="109"/>
      <c r="J747" s="109"/>
      <c r="K747" s="109"/>
      <c r="L747" s="109"/>
      <c r="M747" s="109"/>
      <c r="N747" s="109"/>
      <c r="O747" s="109"/>
      <c r="P747" s="109"/>
      <c r="Q747" s="109"/>
      <c r="R747" s="109"/>
      <c r="S747" s="109"/>
      <c r="T747" s="109"/>
      <c r="U747" s="109"/>
      <c r="V747" s="109"/>
      <c r="W747" s="109"/>
      <c r="X747" s="109"/>
      <c r="Y747" s="109"/>
      <c r="Z747" s="109"/>
    </row>
    <row r="748" ht="12.75" customHeight="1">
      <c r="A748" s="109"/>
      <c r="B748" s="109"/>
      <c r="C748" s="109"/>
      <c r="D748" s="109"/>
      <c r="E748" s="109"/>
      <c r="F748" s="154"/>
      <c r="G748" s="154"/>
      <c r="H748" s="109"/>
      <c r="I748" s="109"/>
      <c r="J748" s="109"/>
      <c r="K748" s="109"/>
      <c r="L748" s="109"/>
      <c r="M748" s="109"/>
      <c r="N748" s="109"/>
      <c r="O748" s="109"/>
      <c r="P748" s="109"/>
      <c r="Q748" s="109"/>
      <c r="R748" s="109"/>
      <c r="S748" s="109"/>
      <c r="T748" s="109"/>
      <c r="U748" s="109"/>
      <c r="V748" s="109"/>
      <c r="W748" s="109"/>
      <c r="X748" s="109"/>
      <c r="Y748" s="109"/>
      <c r="Z748" s="109"/>
    </row>
    <row r="749" ht="12.75" customHeight="1">
      <c r="A749" s="109"/>
      <c r="B749" s="109"/>
      <c r="C749" s="109"/>
      <c r="D749" s="109"/>
      <c r="E749" s="109"/>
      <c r="F749" s="154"/>
      <c r="G749" s="154"/>
      <c r="H749" s="109"/>
      <c r="I749" s="109"/>
      <c r="J749" s="109"/>
      <c r="K749" s="109"/>
      <c r="L749" s="109"/>
      <c r="M749" s="109"/>
      <c r="N749" s="109"/>
      <c r="O749" s="109"/>
      <c r="P749" s="109"/>
      <c r="Q749" s="109"/>
      <c r="R749" s="109"/>
      <c r="S749" s="109"/>
      <c r="T749" s="109"/>
      <c r="U749" s="109"/>
      <c r="V749" s="109"/>
      <c r="W749" s="109"/>
      <c r="X749" s="109"/>
      <c r="Y749" s="109"/>
      <c r="Z749" s="109"/>
    </row>
    <row r="750" ht="12.75" customHeight="1">
      <c r="A750" s="109"/>
      <c r="B750" s="109"/>
      <c r="C750" s="109"/>
      <c r="D750" s="109"/>
      <c r="E750" s="109"/>
      <c r="F750" s="154"/>
      <c r="G750" s="154"/>
      <c r="H750" s="109"/>
      <c r="I750" s="109"/>
      <c r="J750" s="109"/>
      <c r="K750" s="109"/>
      <c r="L750" s="109"/>
      <c r="M750" s="109"/>
      <c r="N750" s="109"/>
      <c r="O750" s="109"/>
      <c r="P750" s="109"/>
      <c r="Q750" s="109"/>
      <c r="R750" s="109"/>
      <c r="S750" s="109"/>
      <c r="T750" s="109"/>
      <c r="U750" s="109"/>
      <c r="V750" s="109"/>
      <c r="W750" s="109"/>
      <c r="X750" s="109"/>
      <c r="Y750" s="109"/>
      <c r="Z750" s="109"/>
    </row>
    <row r="751" ht="12.75" customHeight="1">
      <c r="A751" s="109"/>
      <c r="B751" s="109"/>
      <c r="C751" s="109"/>
      <c r="D751" s="109"/>
      <c r="E751" s="109"/>
      <c r="F751" s="154"/>
      <c r="G751" s="154"/>
      <c r="H751" s="109"/>
      <c r="I751" s="109"/>
      <c r="J751" s="109"/>
      <c r="K751" s="109"/>
      <c r="L751" s="109"/>
      <c r="M751" s="109"/>
      <c r="N751" s="109"/>
      <c r="O751" s="109"/>
      <c r="P751" s="109"/>
      <c r="Q751" s="109"/>
      <c r="R751" s="109"/>
      <c r="S751" s="109"/>
      <c r="T751" s="109"/>
      <c r="U751" s="109"/>
      <c r="V751" s="109"/>
      <c r="W751" s="109"/>
      <c r="X751" s="109"/>
      <c r="Y751" s="109"/>
      <c r="Z751" s="109"/>
    </row>
    <row r="752" ht="12.75" customHeight="1">
      <c r="A752" s="109"/>
      <c r="B752" s="109"/>
      <c r="C752" s="109"/>
      <c r="D752" s="109"/>
      <c r="E752" s="109"/>
      <c r="F752" s="154"/>
      <c r="G752" s="154"/>
      <c r="H752" s="109"/>
      <c r="I752" s="109"/>
      <c r="J752" s="109"/>
      <c r="K752" s="109"/>
      <c r="L752" s="109"/>
      <c r="M752" s="109"/>
      <c r="N752" s="109"/>
      <c r="O752" s="109"/>
      <c r="P752" s="109"/>
      <c r="Q752" s="109"/>
      <c r="R752" s="109"/>
      <c r="S752" s="109"/>
      <c r="T752" s="109"/>
      <c r="U752" s="109"/>
      <c r="V752" s="109"/>
      <c r="W752" s="109"/>
      <c r="X752" s="109"/>
      <c r="Y752" s="109"/>
      <c r="Z752" s="109"/>
    </row>
    <row r="753" ht="12.75" customHeight="1">
      <c r="A753" s="109"/>
      <c r="B753" s="109"/>
      <c r="C753" s="109"/>
      <c r="D753" s="109"/>
      <c r="E753" s="109"/>
      <c r="F753" s="154"/>
      <c r="G753" s="154"/>
      <c r="H753" s="109"/>
      <c r="I753" s="109"/>
      <c r="J753" s="109"/>
      <c r="K753" s="109"/>
      <c r="L753" s="109"/>
      <c r="M753" s="109"/>
      <c r="N753" s="109"/>
      <c r="O753" s="109"/>
      <c r="P753" s="109"/>
      <c r="Q753" s="109"/>
      <c r="R753" s="109"/>
      <c r="S753" s="109"/>
      <c r="T753" s="109"/>
      <c r="U753" s="109"/>
      <c r="V753" s="109"/>
      <c r="W753" s="109"/>
      <c r="X753" s="109"/>
      <c r="Y753" s="109"/>
      <c r="Z753" s="109"/>
    </row>
    <row r="754" ht="12.75" customHeight="1">
      <c r="A754" s="109"/>
      <c r="B754" s="109"/>
      <c r="C754" s="109"/>
      <c r="D754" s="109"/>
      <c r="E754" s="109"/>
      <c r="F754" s="154"/>
      <c r="G754" s="154"/>
      <c r="H754" s="109"/>
      <c r="I754" s="109"/>
      <c r="J754" s="109"/>
      <c r="K754" s="109"/>
      <c r="L754" s="109"/>
      <c r="M754" s="109"/>
      <c r="N754" s="109"/>
      <c r="O754" s="109"/>
      <c r="P754" s="109"/>
      <c r="Q754" s="109"/>
      <c r="R754" s="109"/>
      <c r="S754" s="109"/>
      <c r="T754" s="109"/>
      <c r="U754" s="109"/>
      <c r="V754" s="109"/>
      <c r="W754" s="109"/>
      <c r="X754" s="109"/>
      <c r="Y754" s="109"/>
      <c r="Z754" s="109"/>
    </row>
    <row r="755" ht="12.75" customHeight="1">
      <c r="A755" s="109"/>
      <c r="B755" s="109"/>
      <c r="C755" s="109"/>
      <c r="D755" s="109"/>
      <c r="E755" s="109"/>
      <c r="F755" s="154"/>
      <c r="G755" s="154"/>
      <c r="H755" s="109"/>
      <c r="I755" s="109"/>
      <c r="J755" s="109"/>
      <c r="K755" s="109"/>
      <c r="L755" s="109"/>
      <c r="M755" s="109"/>
      <c r="N755" s="109"/>
      <c r="O755" s="109"/>
      <c r="P755" s="109"/>
      <c r="Q755" s="109"/>
      <c r="R755" s="109"/>
      <c r="S755" s="109"/>
      <c r="T755" s="109"/>
      <c r="U755" s="109"/>
      <c r="V755" s="109"/>
      <c r="W755" s="109"/>
      <c r="X755" s="109"/>
      <c r="Y755" s="109"/>
      <c r="Z755" s="109"/>
    </row>
    <row r="756" ht="12.75" customHeight="1">
      <c r="A756" s="109"/>
      <c r="B756" s="109"/>
      <c r="C756" s="109"/>
      <c r="D756" s="109"/>
      <c r="E756" s="109"/>
      <c r="F756" s="154"/>
      <c r="G756" s="154"/>
      <c r="H756" s="109"/>
      <c r="I756" s="109"/>
      <c r="J756" s="109"/>
      <c r="K756" s="109"/>
      <c r="L756" s="109"/>
      <c r="M756" s="109"/>
      <c r="N756" s="109"/>
      <c r="O756" s="109"/>
      <c r="P756" s="109"/>
      <c r="Q756" s="109"/>
      <c r="R756" s="109"/>
      <c r="S756" s="109"/>
      <c r="T756" s="109"/>
      <c r="U756" s="109"/>
      <c r="V756" s="109"/>
      <c r="W756" s="109"/>
      <c r="X756" s="109"/>
      <c r="Y756" s="109"/>
      <c r="Z756" s="109"/>
    </row>
    <row r="757" ht="12.75" customHeight="1">
      <c r="A757" s="109"/>
      <c r="B757" s="109"/>
      <c r="C757" s="109"/>
      <c r="D757" s="109"/>
      <c r="E757" s="109"/>
      <c r="F757" s="154"/>
      <c r="G757" s="154"/>
      <c r="H757" s="109"/>
      <c r="I757" s="109"/>
      <c r="J757" s="109"/>
      <c r="K757" s="109"/>
      <c r="L757" s="109"/>
      <c r="M757" s="109"/>
      <c r="N757" s="109"/>
      <c r="O757" s="109"/>
      <c r="P757" s="109"/>
      <c r="Q757" s="109"/>
      <c r="R757" s="109"/>
      <c r="S757" s="109"/>
      <c r="T757" s="109"/>
      <c r="U757" s="109"/>
      <c r="V757" s="109"/>
      <c r="W757" s="109"/>
      <c r="X757" s="109"/>
      <c r="Y757" s="109"/>
      <c r="Z757" s="109"/>
    </row>
    <row r="758" ht="12.75" customHeight="1">
      <c r="A758" s="109"/>
      <c r="B758" s="109"/>
      <c r="C758" s="109"/>
      <c r="D758" s="109"/>
      <c r="E758" s="109"/>
      <c r="F758" s="154"/>
      <c r="G758" s="154"/>
      <c r="H758" s="109"/>
      <c r="I758" s="109"/>
      <c r="J758" s="109"/>
      <c r="K758" s="109"/>
      <c r="L758" s="109"/>
      <c r="M758" s="109"/>
      <c r="N758" s="109"/>
      <c r="O758" s="109"/>
      <c r="P758" s="109"/>
      <c r="Q758" s="109"/>
      <c r="R758" s="109"/>
      <c r="S758" s="109"/>
      <c r="T758" s="109"/>
      <c r="U758" s="109"/>
      <c r="V758" s="109"/>
      <c r="W758" s="109"/>
      <c r="X758" s="109"/>
      <c r="Y758" s="109"/>
      <c r="Z758" s="109"/>
    </row>
    <row r="759" ht="12.75" customHeight="1">
      <c r="A759" s="109"/>
      <c r="B759" s="109"/>
      <c r="C759" s="109"/>
      <c r="D759" s="109"/>
      <c r="E759" s="109"/>
      <c r="F759" s="154"/>
      <c r="G759" s="154"/>
      <c r="H759" s="109"/>
      <c r="I759" s="109"/>
      <c r="J759" s="109"/>
      <c r="K759" s="109"/>
      <c r="L759" s="109"/>
      <c r="M759" s="109"/>
      <c r="N759" s="109"/>
      <c r="O759" s="109"/>
      <c r="P759" s="109"/>
      <c r="Q759" s="109"/>
      <c r="R759" s="109"/>
      <c r="S759" s="109"/>
      <c r="T759" s="109"/>
      <c r="U759" s="109"/>
      <c r="V759" s="109"/>
      <c r="W759" s="109"/>
      <c r="X759" s="109"/>
      <c r="Y759" s="109"/>
      <c r="Z759" s="109"/>
    </row>
    <row r="760" ht="12.75" customHeight="1">
      <c r="A760" s="109"/>
      <c r="B760" s="109"/>
      <c r="C760" s="109"/>
      <c r="D760" s="109"/>
      <c r="E760" s="109"/>
      <c r="F760" s="154"/>
      <c r="G760" s="154"/>
      <c r="H760" s="109"/>
      <c r="I760" s="109"/>
      <c r="J760" s="109"/>
      <c r="K760" s="109"/>
      <c r="L760" s="109"/>
      <c r="M760" s="109"/>
      <c r="N760" s="109"/>
      <c r="O760" s="109"/>
      <c r="P760" s="109"/>
      <c r="Q760" s="109"/>
      <c r="R760" s="109"/>
      <c r="S760" s="109"/>
      <c r="T760" s="109"/>
      <c r="U760" s="109"/>
      <c r="V760" s="109"/>
      <c r="W760" s="109"/>
      <c r="X760" s="109"/>
      <c r="Y760" s="109"/>
      <c r="Z760" s="109"/>
    </row>
    <row r="761" ht="12.75" customHeight="1">
      <c r="A761" s="109"/>
      <c r="B761" s="109"/>
      <c r="C761" s="109"/>
      <c r="D761" s="109"/>
      <c r="E761" s="109"/>
      <c r="F761" s="154"/>
      <c r="G761" s="154"/>
      <c r="H761" s="109"/>
      <c r="I761" s="109"/>
      <c r="J761" s="109"/>
      <c r="K761" s="109"/>
      <c r="L761" s="109"/>
      <c r="M761" s="109"/>
      <c r="N761" s="109"/>
      <c r="O761" s="109"/>
      <c r="P761" s="109"/>
      <c r="Q761" s="109"/>
      <c r="R761" s="109"/>
      <c r="S761" s="109"/>
      <c r="T761" s="109"/>
      <c r="U761" s="109"/>
      <c r="V761" s="109"/>
      <c r="W761" s="109"/>
      <c r="X761" s="109"/>
      <c r="Y761" s="109"/>
      <c r="Z761" s="109"/>
    </row>
    <row r="762" ht="12.75" customHeight="1">
      <c r="A762" s="109"/>
      <c r="B762" s="109"/>
      <c r="C762" s="109"/>
      <c r="D762" s="109"/>
      <c r="E762" s="109"/>
      <c r="F762" s="154"/>
      <c r="G762" s="154"/>
      <c r="H762" s="109"/>
      <c r="I762" s="109"/>
      <c r="J762" s="109"/>
      <c r="K762" s="109"/>
      <c r="L762" s="109"/>
      <c r="M762" s="109"/>
      <c r="N762" s="109"/>
      <c r="O762" s="109"/>
      <c r="P762" s="109"/>
      <c r="Q762" s="109"/>
      <c r="R762" s="109"/>
      <c r="S762" s="109"/>
      <c r="T762" s="109"/>
      <c r="U762" s="109"/>
      <c r="V762" s="109"/>
      <c r="W762" s="109"/>
      <c r="X762" s="109"/>
      <c r="Y762" s="109"/>
      <c r="Z762" s="109"/>
    </row>
    <row r="763" ht="12.75" customHeight="1">
      <c r="A763" s="109"/>
      <c r="B763" s="109"/>
      <c r="C763" s="109"/>
      <c r="D763" s="109"/>
      <c r="E763" s="109"/>
      <c r="F763" s="154"/>
      <c r="G763" s="154"/>
      <c r="H763" s="109"/>
      <c r="I763" s="109"/>
      <c r="J763" s="109"/>
      <c r="K763" s="109"/>
      <c r="L763" s="109"/>
      <c r="M763" s="109"/>
      <c r="N763" s="109"/>
      <c r="O763" s="109"/>
      <c r="P763" s="109"/>
      <c r="Q763" s="109"/>
      <c r="R763" s="109"/>
      <c r="S763" s="109"/>
      <c r="T763" s="109"/>
      <c r="U763" s="109"/>
      <c r="V763" s="109"/>
      <c r="W763" s="109"/>
      <c r="X763" s="109"/>
      <c r="Y763" s="109"/>
      <c r="Z763" s="109"/>
    </row>
    <row r="764" ht="12.75" customHeight="1">
      <c r="A764" s="109"/>
      <c r="B764" s="109"/>
      <c r="C764" s="109"/>
      <c r="D764" s="109"/>
      <c r="E764" s="109"/>
      <c r="F764" s="154"/>
      <c r="G764" s="154"/>
      <c r="H764" s="109"/>
      <c r="I764" s="109"/>
      <c r="J764" s="109"/>
      <c r="K764" s="109"/>
      <c r="L764" s="109"/>
      <c r="M764" s="109"/>
      <c r="N764" s="109"/>
      <c r="O764" s="109"/>
      <c r="P764" s="109"/>
      <c r="Q764" s="109"/>
      <c r="R764" s="109"/>
      <c r="S764" s="109"/>
      <c r="T764" s="109"/>
      <c r="U764" s="109"/>
      <c r="V764" s="109"/>
      <c r="W764" s="109"/>
      <c r="X764" s="109"/>
      <c r="Y764" s="109"/>
      <c r="Z764" s="109"/>
    </row>
    <row r="765" ht="12.75" customHeight="1">
      <c r="A765" s="109"/>
      <c r="B765" s="109"/>
      <c r="C765" s="109"/>
      <c r="D765" s="109"/>
      <c r="E765" s="109"/>
      <c r="F765" s="154"/>
      <c r="G765" s="154"/>
      <c r="H765" s="109"/>
      <c r="I765" s="109"/>
      <c r="J765" s="109"/>
      <c r="K765" s="109"/>
      <c r="L765" s="109"/>
      <c r="M765" s="109"/>
      <c r="N765" s="109"/>
      <c r="O765" s="109"/>
      <c r="P765" s="109"/>
      <c r="Q765" s="109"/>
      <c r="R765" s="109"/>
      <c r="S765" s="109"/>
      <c r="T765" s="109"/>
      <c r="U765" s="109"/>
      <c r="V765" s="109"/>
      <c r="W765" s="109"/>
      <c r="X765" s="109"/>
      <c r="Y765" s="109"/>
      <c r="Z765" s="109"/>
    </row>
    <row r="766" ht="12.75" customHeight="1">
      <c r="A766" s="109"/>
      <c r="B766" s="109"/>
      <c r="C766" s="109"/>
      <c r="D766" s="109"/>
      <c r="E766" s="109"/>
      <c r="F766" s="154"/>
      <c r="G766" s="154"/>
      <c r="H766" s="109"/>
      <c r="I766" s="109"/>
      <c r="J766" s="109"/>
      <c r="K766" s="109"/>
      <c r="L766" s="109"/>
      <c r="M766" s="109"/>
      <c r="N766" s="109"/>
      <c r="O766" s="109"/>
      <c r="P766" s="109"/>
      <c r="Q766" s="109"/>
      <c r="R766" s="109"/>
      <c r="S766" s="109"/>
      <c r="T766" s="109"/>
      <c r="U766" s="109"/>
      <c r="V766" s="109"/>
      <c r="W766" s="109"/>
      <c r="X766" s="109"/>
      <c r="Y766" s="109"/>
      <c r="Z766" s="109"/>
    </row>
    <row r="767" ht="12.75" customHeight="1">
      <c r="A767" s="109"/>
      <c r="B767" s="109"/>
      <c r="C767" s="109"/>
      <c r="D767" s="109"/>
      <c r="E767" s="109"/>
      <c r="F767" s="154"/>
      <c r="G767" s="154"/>
      <c r="H767" s="109"/>
      <c r="I767" s="109"/>
      <c r="J767" s="109"/>
      <c r="K767" s="109"/>
      <c r="L767" s="109"/>
      <c r="M767" s="109"/>
      <c r="N767" s="109"/>
      <c r="O767" s="109"/>
      <c r="P767" s="109"/>
      <c r="Q767" s="109"/>
      <c r="R767" s="109"/>
      <c r="S767" s="109"/>
      <c r="T767" s="109"/>
      <c r="U767" s="109"/>
      <c r="V767" s="109"/>
      <c r="W767" s="109"/>
      <c r="X767" s="109"/>
      <c r="Y767" s="109"/>
      <c r="Z767" s="109"/>
    </row>
    <row r="768" ht="12.75" customHeight="1">
      <c r="A768" s="109"/>
      <c r="B768" s="109"/>
      <c r="C768" s="109"/>
      <c r="D768" s="109"/>
      <c r="E768" s="109"/>
      <c r="F768" s="154"/>
      <c r="G768" s="154"/>
      <c r="H768" s="109"/>
      <c r="I768" s="109"/>
      <c r="J768" s="109"/>
      <c r="K768" s="109"/>
      <c r="L768" s="109"/>
      <c r="M768" s="109"/>
      <c r="N768" s="109"/>
      <c r="O768" s="109"/>
      <c r="P768" s="109"/>
      <c r="Q768" s="109"/>
      <c r="R768" s="109"/>
      <c r="S768" s="109"/>
      <c r="T768" s="109"/>
      <c r="U768" s="109"/>
      <c r="V768" s="109"/>
      <c r="W768" s="109"/>
      <c r="X768" s="109"/>
      <c r="Y768" s="109"/>
      <c r="Z768" s="109"/>
    </row>
    <row r="769" ht="12.75" customHeight="1">
      <c r="A769" s="109"/>
      <c r="B769" s="109"/>
      <c r="C769" s="109"/>
      <c r="D769" s="109"/>
      <c r="E769" s="109"/>
      <c r="F769" s="154"/>
      <c r="G769" s="154"/>
      <c r="H769" s="109"/>
      <c r="I769" s="109"/>
      <c r="J769" s="109"/>
      <c r="K769" s="109"/>
      <c r="L769" s="109"/>
      <c r="M769" s="109"/>
      <c r="N769" s="109"/>
      <c r="O769" s="109"/>
      <c r="P769" s="109"/>
      <c r="Q769" s="109"/>
      <c r="R769" s="109"/>
      <c r="S769" s="109"/>
      <c r="T769" s="109"/>
      <c r="U769" s="109"/>
      <c r="V769" s="109"/>
      <c r="W769" s="109"/>
      <c r="X769" s="109"/>
      <c r="Y769" s="109"/>
      <c r="Z769" s="109"/>
    </row>
    <row r="770" ht="12.75" customHeight="1">
      <c r="A770" s="109"/>
      <c r="B770" s="109"/>
      <c r="C770" s="109"/>
      <c r="D770" s="109"/>
      <c r="E770" s="109"/>
      <c r="F770" s="154"/>
      <c r="G770" s="154"/>
      <c r="H770" s="109"/>
      <c r="I770" s="109"/>
      <c r="J770" s="109"/>
      <c r="K770" s="109"/>
      <c r="L770" s="109"/>
      <c r="M770" s="109"/>
      <c r="N770" s="109"/>
      <c r="O770" s="109"/>
      <c r="P770" s="109"/>
      <c r="Q770" s="109"/>
      <c r="R770" s="109"/>
      <c r="S770" s="109"/>
      <c r="T770" s="109"/>
      <c r="U770" s="109"/>
      <c r="V770" s="109"/>
      <c r="W770" s="109"/>
      <c r="X770" s="109"/>
      <c r="Y770" s="109"/>
      <c r="Z770" s="109"/>
    </row>
    <row r="771" ht="12.75" customHeight="1">
      <c r="A771" s="109"/>
      <c r="B771" s="109"/>
      <c r="C771" s="109"/>
      <c r="D771" s="109"/>
      <c r="E771" s="109"/>
      <c r="F771" s="154"/>
      <c r="G771" s="154"/>
      <c r="H771" s="109"/>
      <c r="I771" s="109"/>
      <c r="J771" s="109"/>
      <c r="K771" s="109"/>
      <c r="L771" s="109"/>
      <c r="M771" s="109"/>
      <c r="N771" s="109"/>
      <c r="O771" s="109"/>
      <c r="P771" s="109"/>
      <c r="Q771" s="109"/>
      <c r="R771" s="109"/>
      <c r="S771" s="109"/>
      <c r="T771" s="109"/>
      <c r="U771" s="109"/>
      <c r="V771" s="109"/>
      <c r="W771" s="109"/>
      <c r="X771" s="109"/>
      <c r="Y771" s="109"/>
      <c r="Z771" s="109"/>
    </row>
    <row r="772" ht="12.75" customHeight="1">
      <c r="A772" s="109"/>
      <c r="B772" s="109"/>
      <c r="C772" s="109"/>
      <c r="D772" s="109"/>
      <c r="E772" s="109"/>
      <c r="F772" s="154"/>
      <c r="G772" s="154"/>
      <c r="H772" s="109"/>
      <c r="I772" s="109"/>
      <c r="J772" s="109"/>
      <c r="K772" s="109"/>
      <c r="L772" s="109"/>
      <c r="M772" s="109"/>
      <c r="N772" s="109"/>
      <c r="O772" s="109"/>
      <c r="P772" s="109"/>
      <c r="Q772" s="109"/>
      <c r="R772" s="109"/>
      <c r="S772" s="109"/>
      <c r="T772" s="109"/>
      <c r="U772" s="109"/>
      <c r="V772" s="109"/>
      <c r="W772" s="109"/>
      <c r="X772" s="109"/>
      <c r="Y772" s="109"/>
      <c r="Z772" s="109"/>
    </row>
    <row r="773" ht="12.75" customHeight="1">
      <c r="A773" s="109"/>
      <c r="B773" s="109"/>
      <c r="C773" s="109"/>
      <c r="D773" s="109"/>
      <c r="E773" s="109"/>
      <c r="F773" s="154"/>
      <c r="G773" s="154"/>
      <c r="H773" s="109"/>
      <c r="I773" s="109"/>
      <c r="J773" s="109"/>
      <c r="K773" s="109"/>
      <c r="L773" s="109"/>
      <c r="M773" s="109"/>
      <c r="N773" s="109"/>
      <c r="O773" s="109"/>
      <c r="P773" s="109"/>
      <c r="Q773" s="109"/>
      <c r="R773" s="109"/>
      <c r="S773" s="109"/>
      <c r="T773" s="109"/>
      <c r="U773" s="109"/>
      <c r="V773" s="109"/>
      <c r="W773" s="109"/>
      <c r="X773" s="109"/>
      <c r="Y773" s="109"/>
      <c r="Z773" s="109"/>
    </row>
    <row r="774" ht="12.75" customHeight="1">
      <c r="A774" s="109"/>
      <c r="B774" s="109"/>
      <c r="C774" s="109"/>
      <c r="D774" s="109"/>
      <c r="E774" s="109"/>
      <c r="F774" s="154"/>
      <c r="G774" s="154"/>
      <c r="H774" s="109"/>
      <c r="I774" s="109"/>
      <c r="J774" s="109"/>
      <c r="K774" s="109"/>
      <c r="L774" s="109"/>
      <c r="M774" s="109"/>
      <c r="N774" s="109"/>
      <c r="O774" s="109"/>
      <c r="P774" s="109"/>
      <c r="Q774" s="109"/>
      <c r="R774" s="109"/>
      <c r="S774" s="109"/>
      <c r="T774" s="109"/>
      <c r="U774" s="109"/>
      <c r="V774" s="109"/>
      <c r="W774" s="109"/>
      <c r="X774" s="109"/>
      <c r="Y774" s="109"/>
      <c r="Z774" s="109"/>
    </row>
    <row r="775" ht="12.75" customHeight="1">
      <c r="A775" s="109"/>
      <c r="B775" s="109"/>
      <c r="C775" s="109"/>
      <c r="D775" s="109"/>
      <c r="E775" s="109"/>
      <c r="F775" s="154"/>
      <c r="G775" s="154"/>
      <c r="H775" s="109"/>
      <c r="I775" s="109"/>
      <c r="J775" s="109"/>
      <c r="K775" s="109"/>
      <c r="L775" s="109"/>
      <c r="M775" s="109"/>
      <c r="N775" s="109"/>
      <c r="O775" s="109"/>
      <c r="P775" s="109"/>
      <c r="Q775" s="109"/>
      <c r="R775" s="109"/>
      <c r="S775" s="109"/>
      <c r="T775" s="109"/>
      <c r="U775" s="109"/>
      <c r="V775" s="109"/>
      <c r="W775" s="109"/>
      <c r="X775" s="109"/>
      <c r="Y775" s="109"/>
      <c r="Z775" s="109"/>
    </row>
    <row r="776" ht="12.75" customHeight="1">
      <c r="A776" s="109"/>
      <c r="B776" s="109"/>
      <c r="C776" s="109"/>
      <c r="D776" s="109"/>
      <c r="E776" s="109"/>
      <c r="F776" s="154"/>
      <c r="G776" s="154"/>
      <c r="H776" s="109"/>
      <c r="I776" s="109"/>
      <c r="J776" s="109"/>
      <c r="K776" s="109"/>
      <c r="L776" s="109"/>
      <c r="M776" s="109"/>
      <c r="N776" s="109"/>
      <c r="O776" s="109"/>
      <c r="P776" s="109"/>
      <c r="Q776" s="109"/>
      <c r="R776" s="109"/>
      <c r="S776" s="109"/>
      <c r="T776" s="109"/>
      <c r="U776" s="109"/>
      <c r="V776" s="109"/>
      <c r="W776" s="109"/>
      <c r="X776" s="109"/>
      <c r="Y776" s="109"/>
      <c r="Z776" s="109"/>
    </row>
    <row r="777" ht="12.75" customHeight="1">
      <c r="A777" s="109"/>
      <c r="B777" s="109"/>
      <c r="C777" s="109"/>
      <c r="D777" s="109"/>
      <c r="E777" s="109"/>
      <c r="F777" s="154"/>
      <c r="G777" s="154"/>
      <c r="H777" s="109"/>
      <c r="I777" s="109"/>
      <c r="J777" s="109"/>
      <c r="K777" s="109"/>
      <c r="L777" s="109"/>
      <c r="M777" s="109"/>
      <c r="N777" s="109"/>
      <c r="O777" s="109"/>
      <c r="P777" s="109"/>
      <c r="Q777" s="109"/>
      <c r="R777" s="109"/>
      <c r="S777" s="109"/>
      <c r="T777" s="109"/>
      <c r="U777" s="109"/>
      <c r="V777" s="109"/>
      <c r="W777" s="109"/>
      <c r="X777" s="109"/>
      <c r="Y777" s="109"/>
      <c r="Z777" s="109"/>
    </row>
    <row r="778" ht="12.75" customHeight="1">
      <c r="A778" s="109"/>
      <c r="B778" s="109"/>
      <c r="C778" s="109"/>
      <c r="D778" s="109"/>
      <c r="E778" s="109"/>
      <c r="F778" s="154"/>
      <c r="G778" s="154"/>
      <c r="H778" s="109"/>
      <c r="I778" s="109"/>
      <c r="J778" s="109"/>
      <c r="K778" s="109"/>
      <c r="L778" s="109"/>
      <c r="M778" s="109"/>
      <c r="N778" s="109"/>
      <c r="O778" s="109"/>
      <c r="P778" s="109"/>
      <c r="Q778" s="109"/>
      <c r="R778" s="109"/>
      <c r="S778" s="109"/>
      <c r="T778" s="109"/>
      <c r="U778" s="109"/>
      <c r="V778" s="109"/>
      <c r="W778" s="109"/>
      <c r="X778" s="109"/>
      <c r="Y778" s="109"/>
      <c r="Z778" s="109"/>
    </row>
    <row r="779" ht="12.75" customHeight="1">
      <c r="A779" s="109"/>
      <c r="B779" s="109"/>
      <c r="C779" s="109"/>
      <c r="D779" s="109"/>
      <c r="E779" s="109"/>
      <c r="F779" s="154"/>
      <c r="G779" s="154"/>
      <c r="H779" s="109"/>
      <c r="I779" s="109"/>
      <c r="J779" s="109"/>
      <c r="K779" s="109"/>
      <c r="L779" s="109"/>
      <c r="M779" s="109"/>
      <c r="N779" s="109"/>
      <c r="O779" s="109"/>
      <c r="P779" s="109"/>
      <c r="Q779" s="109"/>
      <c r="R779" s="109"/>
      <c r="S779" s="109"/>
      <c r="T779" s="109"/>
      <c r="U779" s="109"/>
      <c r="V779" s="109"/>
      <c r="W779" s="109"/>
      <c r="X779" s="109"/>
      <c r="Y779" s="109"/>
      <c r="Z779" s="109"/>
    </row>
    <row r="780" ht="12.75" customHeight="1">
      <c r="A780" s="109"/>
      <c r="B780" s="109"/>
      <c r="C780" s="109"/>
      <c r="D780" s="109"/>
      <c r="E780" s="109"/>
      <c r="F780" s="154"/>
      <c r="G780" s="154"/>
      <c r="H780" s="109"/>
      <c r="I780" s="109"/>
      <c r="J780" s="109"/>
      <c r="K780" s="109"/>
      <c r="L780" s="109"/>
      <c r="M780" s="109"/>
      <c r="N780" s="109"/>
      <c r="O780" s="109"/>
      <c r="P780" s="109"/>
      <c r="Q780" s="109"/>
      <c r="R780" s="109"/>
      <c r="S780" s="109"/>
      <c r="T780" s="109"/>
      <c r="U780" s="109"/>
      <c r="V780" s="109"/>
      <c r="W780" s="109"/>
      <c r="X780" s="109"/>
      <c r="Y780" s="109"/>
      <c r="Z780" s="109"/>
    </row>
    <row r="781" ht="12.75" customHeight="1">
      <c r="A781" s="109"/>
      <c r="B781" s="109"/>
      <c r="C781" s="109"/>
      <c r="D781" s="109"/>
      <c r="E781" s="109"/>
      <c r="F781" s="154"/>
      <c r="G781" s="154"/>
      <c r="H781" s="109"/>
      <c r="I781" s="109"/>
      <c r="J781" s="109"/>
      <c r="K781" s="109"/>
      <c r="L781" s="109"/>
      <c r="M781" s="109"/>
      <c r="N781" s="109"/>
      <c r="O781" s="109"/>
      <c r="P781" s="109"/>
      <c r="Q781" s="109"/>
      <c r="R781" s="109"/>
      <c r="S781" s="109"/>
      <c r="T781" s="109"/>
      <c r="U781" s="109"/>
      <c r="V781" s="109"/>
      <c r="W781" s="109"/>
      <c r="X781" s="109"/>
      <c r="Y781" s="109"/>
      <c r="Z781" s="109"/>
    </row>
    <row r="782" ht="12.75" customHeight="1">
      <c r="A782" s="109"/>
      <c r="B782" s="109"/>
      <c r="C782" s="109"/>
      <c r="D782" s="109"/>
      <c r="E782" s="109"/>
      <c r="F782" s="154"/>
      <c r="G782" s="154"/>
      <c r="H782" s="109"/>
      <c r="I782" s="109"/>
      <c r="J782" s="109"/>
      <c r="K782" s="109"/>
      <c r="L782" s="109"/>
      <c r="M782" s="109"/>
      <c r="N782" s="109"/>
      <c r="O782" s="109"/>
      <c r="P782" s="109"/>
      <c r="Q782" s="109"/>
      <c r="R782" s="109"/>
      <c r="S782" s="109"/>
      <c r="T782" s="109"/>
      <c r="U782" s="109"/>
      <c r="V782" s="109"/>
      <c r="W782" s="109"/>
      <c r="X782" s="109"/>
      <c r="Y782" s="109"/>
      <c r="Z782" s="109"/>
    </row>
    <row r="783" ht="12.75" customHeight="1">
      <c r="A783" s="109"/>
      <c r="B783" s="109"/>
      <c r="C783" s="109"/>
      <c r="D783" s="109"/>
      <c r="E783" s="109"/>
      <c r="F783" s="154"/>
      <c r="G783" s="154"/>
      <c r="H783" s="109"/>
      <c r="I783" s="109"/>
      <c r="J783" s="109"/>
      <c r="K783" s="109"/>
      <c r="L783" s="109"/>
      <c r="M783" s="109"/>
      <c r="N783" s="109"/>
      <c r="O783" s="109"/>
      <c r="P783" s="109"/>
      <c r="Q783" s="109"/>
      <c r="R783" s="109"/>
      <c r="S783" s="109"/>
      <c r="T783" s="109"/>
      <c r="U783" s="109"/>
      <c r="V783" s="109"/>
      <c r="W783" s="109"/>
      <c r="X783" s="109"/>
      <c r="Y783" s="109"/>
      <c r="Z783" s="109"/>
    </row>
    <row r="784" ht="12.75" customHeight="1">
      <c r="A784" s="109"/>
      <c r="B784" s="109"/>
      <c r="C784" s="109"/>
      <c r="D784" s="109"/>
      <c r="E784" s="109"/>
      <c r="F784" s="154"/>
      <c r="G784" s="154"/>
      <c r="H784" s="109"/>
      <c r="I784" s="109"/>
      <c r="J784" s="109"/>
      <c r="K784" s="109"/>
      <c r="L784" s="109"/>
      <c r="M784" s="109"/>
      <c r="N784" s="109"/>
      <c r="O784" s="109"/>
      <c r="P784" s="109"/>
      <c r="Q784" s="109"/>
      <c r="R784" s="109"/>
      <c r="S784" s="109"/>
      <c r="T784" s="109"/>
      <c r="U784" s="109"/>
      <c r="V784" s="109"/>
      <c r="W784" s="109"/>
      <c r="X784" s="109"/>
      <c r="Y784" s="109"/>
      <c r="Z784" s="109"/>
    </row>
    <row r="785" ht="12.75" customHeight="1">
      <c r="A785" s="109"/>
      <c r="B785" s="109"/>
      <c r="C785" s="109"/>
      <c r="D785" s="109"/>
      <c r="E785" s="109"/>
      <c r="F785" s="154"/>
      <c r="G785" s="154"/>
      <c r="H785" s="109"/>
      <c r="I785" s="109"/>
      <c r="J785" s="109"/>
      <c r="K785" s="109"/>
      <c r="L785" s="109"/>
      <c r="M785" s="109"/>
      <c r="N785" s="109"/>
      <c r="O785" s="109"/>
      <c r="P785" s="109"/>
      <c r="Q785" s="109"/>
      <c r="R785" s="109"/>
      <c r="S785" s="109"/>
      <c r="T785" s="109"/>
      <c r="U785" s="109"/>
      <c r="V785" s="109"/>
      <c r="W785" s="109"/>
      <c r="X785" s="109"/>
      <c r="Y785" s="109"/>
      <c r="Z785" s="109"/>
    </row>
    <row r="786" ht="12.75" customHeight="1">
      <c r="A786" s="109"/>
      <c r="B786" s="109"/>
      <c r="C786" s="109"/>
      <c r="D786" s="109"/>
      <c r="E786" s="109"/>
      <c r="F786" s="154"/>
      <c r="G786" s="154"/>
      <c r="H786" s="109"/>
      <c r="I786" s="109"/>
      <c r="J786" s="109"/>
      <c r="K786" s="109"/>
      <c r="L786" s="109"/>
      <c r="M786" s="109"/>
      <c r="N786" s="109"/>
      <c r="O786" s="109"/>
      <c r="P786" s="109"/>
      <c r="Q786" s="109"/>
      <c r="R786" s="109"/>
      <c r="S786" s="109"/>
      <c r="T786" s="109"/>
      <c r="U786" s="109"/>
      <c r="V786" s="109"/>
      <c r="W786" s="109"/>
      <c r="X786" s="109"/>
      <c r="Y786" s="109"/>
      <c r="Z786" s="109"/>
    </row>
    <row r="787" ht="12.75" customHeight="1">
      <c r="A787" s="109"/>
      <c r="B787" s="109"/>
      <c r="C787" s="109"/>
      <c r="D787" s="109"/>
      <c r="E787" s="109"/>
      <c r="F787" s="154"/>
      <c r="G787" s="154"/>
      <c r="H787" s="109"/>
      <c r="I787" s="109"/>
      <c r="J787" s="109"/>
      <c r="K787" s="109"/>
      <c r="L787" s="109"/>
      <c r="M787" s="109"/>
      <c r="N787" s="109"/>
      <c r="O787" s="109"/>
      <c r="P787" s="109"/>
      <c r="Q787" s="109"/>
      <c r="R787" s="109"/>
      <c r="S787" s="109"/>
      <c r="T787" s="109"/>
      <c r="U787" s="109"/>
      <c r="V787" s="109"/>
      <c r="W787" s="109"/>
      <c r="X787" s="109"/>
      <c r="Y787" s="109"/>
      <c r="Z787" s="109"/>
    </row>
    <row r="788" ht="12.75" customHeight="1">
      <c r="A788" s="109"/>
      <c r="B788" s="109"/>
      <c r="C788" s="109"/>
      <c r="D788" s="109"/>
      <c r="E788" s="109"/>
      <c r="F788" s="154"/>
      <c r="G788" s="154"/>
      <c r="H788" s="109"/>
      <c r="I788" s="109"/>
      <c r="J788" s="109"/>
      <c r="K788" s="109"/>
      <c r="L788" s="109"/>
      <c r="M788" s="109"/>
      <c r="N788" s="109"/>
      <c r="O788" s="109"/>
      <c r="P788" s="109"/>
      <c r="Q788" s="109"/>
      <c r="R788" s="109"/>
      <c r="S788" s="109"/>
      <c r="T788" s="109"/>
      <c r="U788" s="109"/>
      <c r="V788" s="109"/>
      <c r="W788" s="109"/>
      <c r="X788" s="109"/>
      <c r="Y788" s="109"/>
      <c r="Z788" s="109"/>
    </row>
    <row r="789" ht="12.75" customHeight="1">
      <c r="A789" s="109"/>
      <c r="B789" s="109"/>
      <c r="C789" s="109"/>
      <c r="D789" s="109"/>
      <c r="E789" s="109"/>
      <c r="F789" s="154"/>
      <c r="G789" s="154"/>
      <c r="H789" s="109"/>
      <c r="I789" s="109"/>
      <c r="J789" s="109"/>
      <c r="K789" s="109"/>
      <c r="L789" s="109"/>
      <c r="M789" s="109"/>
      <c r="N789" s="109"/>
      <c r="O789" s="109"/>
      <c r="P789" s="109"/>
      <c r="Q789" s="109"/>
      <c r="R789" s="109"/>
      <c r="S789" s="109"/>
      <c r="T789" s="109"/>
      <c r="U789" s="109"/>
      <c r="V789" s="109"/>
      <c r="W789" s="109"/>
      <c r="X789" s="109"/>
      <c r="Y789" s="109"/>
      <c r="Z789" s="109"/>
    </row>
    <row r="790" ht="12.75" customHeight="1">
      <c r="A790" s="109"/>
      <c r="B790" s="109"/>
      <c r="C790" s="109"/>
      <c r="D790" s="109"/>
      <c r="E790" s="109"/>
      <c r="F790" s="154"/>
      <c r="G790" s="154"/>
      <c r="H790" s="109"/>
      <c r="I790" s="109"/>
      <c r="J790" s="109"/>
      <c r="K790" s="109"/>
      <c r="L790" s="109"/>
      <c r="M790" s="109"/>
      <c r="N790" s="109"/>
      <c r="O790" s="109"/>
      <c r="P790" s="109"/>
      <c r="Q790" s="109"/>
      <c r="R790" s="109"/>
      <c r="S790" s="109"/>
      <c r="T790" s="109"/>
      <c r="U790" s="109"/>
      <c r="V790" s="109"/>
      <c r="W790" s="109"/>
      <c r="X790" s="109"/>
      <c r="Y790" s="109"/>
      <c r="Z790" s="109"/>
    </row>
    <row r="791" ht="12.75" customHeight="1">
      <c r="A791" s="109"/>
      <c r="B791" s="109"/>
      <c r="C791" s="109"/>
      <c r="D791" s="109"/>
      <c r="E791" s="109"/>
      <c r="F791" s="154"/>
      <c r="G791" s="154"/>
      <c r="H791" s="109"/>
      <c r="I791" s="109"/>
      <c r="J791" s="109"/>
      <c r="K791" s="109"/>
      <c r="L791" s="109"/>
      <c r="M791" s="109"/>
      <c r="N791" s="109"/>
      <c r="O791" s="109"/>
      <c r="P791" s="109"/>
      <c r="Q791" s="109"/>
      <c r="R791" s="109"/>
      <c r="S791" s="109"/>
      <c r="T791" s="109"/>
      <c r="U791" s="109"/>
      <c r="V791" s="109"/>
      <c r="W791" s="109"/>
      <c r="X791" s="109"/>
      <c r="Y791" s="109"/>
      <c r="Z791" s="109"/>
    </row>
    <row r="792" ht="12.75" customHeight="1">
      <c r="A792" s="109"/>
      <c r="B792" s="109"/>
      <c r="C792" s="109"/>
      <c r="D792" s="109"/>
      <c r="E792" s="109"/>
      <c r="F792" s="154"/>
      <c r="G792" s="154"/>
      <c r="H792" s="109"/>
      <c r="I792" s="109"/>
      <c r="J792" s="109"/>
      <c r="K792" s="109"/>
      <c r="L792" s="109"/>
      <c r="M792" s="109"/>
      <c r="N792" s="109"/>
      <c r="O792" s="109"/>
      <c r="P792" s="109"/>
      <c r="Q792" s="109"/>
      <c r="R792" s="109"/>
      <c r="S792" s="109"/>
      <c r="T792" s="109"/>
      <c r="U792" s="109"/>
      <c r="V792" s="109"/>
      <c r="W792" s="109"/>
      <c r="X792" s="109"/>
      <c r="Y792" s="109"/>
      <c r="Z792" s="109"/>
    </row>
    <row r="793" ht="12.75" customHeight="1">
      <c r="A793" s="109"/>
      <c r="B793" s="109"/>
      <c r="C793" s="109"/>
      <c r="D793" s="109"/>
      <c r="E793" s="109"/>
      <c r="F793" s="154"/>
      <c r="G793" s="154"/>
      <c r="H793" s="109"/>
      <c r="I793" s="109"/>
      <c r="J793" s="109"/>
      <c r="K793" s="109"/>
      <c r="L793" s="109"/>
      <c r="M793" s="109"/>
      <c r="N793" s="109"/>
      <c r="O793" s="109"/>
      <c r="P793" s="109"/>
      <c r="Q793" s="109"/>
      <c r="R793" s="109"/>
      <c r="S793" s="109"/>
      <c r="T793" s="109"/>
      <c r="U793" s="109"/>
      <c r="V793" s="109"/>
      <c r="W793" s="109"/>
      <c r="X793" s="109"/>
      <c r="Y793" s="109"/>
      <c r="Z793" s="109"/>
    </row>
    <row r="794" ht="12.75" customHeight="1">
      <c r="A794" s="109"/>
      <c r="B794" s="109"/>
      <c r="C794" s="109"/>
      <c r="D794" s="109"/>
      <c r="E794" s="109"/>
      <c r="F794" s="154"/>
      <c r="G794" s="154"/>
      <c r="H794" s="109"/>
      <c r="I794" s="109"/>
      <c r="J794" s="109"/>
      <c r="K794" s="109"/>
      <c r="L794" s="109"/>
      <c r="M794" s="109"/>
      <c r="N794" s="109"/>
      <c r="O794" s="109"/>
      <c r="P794" s="109"/>
      <c r="Q794" s="109"/>
      <c r="R794" s="109"/>
      <c r="S794" s="109"/>
      <c r="T794" s="109"/>
      <c r="U794" s="109"/>
      <c r="V794" s="109"/>
      <c r="W794" s="109"/>
      <c r="X794" s="109"/>
      <c r="Y794" s="109"/>
      <c r="Z794" s="109"/>
    </row>
    <row r="795" ht="12.75" customHeight="1">
      <c r="A795" s="109"/>
      <c r="B795" s="109"/>
      <c r="C795" s="109"/>
      <c r="D795" s="109"/>
      <c r="E795" s="109"/>
      <c r="F795" s="154"/>
      <c r="G795" s="154"/>
      <c r="H795" s="109"/>
      <c r="I795" s="109"/>
      <c r="J795" s="109"/>
      <c r="K795" s="109"/>
      <c r="L795" s="109"/>
      <c r="M795" s="109"/>
      <c r="N795" s="109"/>
      <c r="O795" s="109"/>
      <c r="P795" s="109"/>
      <c r="Q795" s="109"/>
      <c r="R795" s="109"/>
      <c r="S795" s="109"/>
      <c r="T795" s="109"/>
      <c r="U795" s="109"/>
      <c r="V795" s="109"/>
      <c r="W795" s="109"/>
      <c r="X795" s="109"/>
      <c r="Y795" s="109"/>
      <c r="Z795" s="109"/>
    </row>
    <row r="796" ht="12.75" customHeight="1">
      <c r="A796" s="109"/>
      <c r="B796" s="109"/>
      <c r="C796" s="109"/>
      <c r="D796" s="109"/>
      <c r="E796" s="109"/>
      <c r="F796" s="154"/>
      <c r="G796" s="154"/>
      <c r="H796" s="109"/>
      <c r="I796" s="109"/>
      <c r="J796" s="109"/>
      <c r="K796" s="109"/>
      <c r="L796" s="109"/>
      <c r="M796" s="109"/>
      <c r="N796" s="109"/>
      <c r="O796" s="109"/>
      <c r="P796" s="109"/>
      <c r="Q796" s="109"/>
      <c r="R796" s="109"/>
      <c r="S796" s="109"/>
      <c r="T796" s="109"/>
      <c r="U796" s="109"/>
      <c r="V796" s="109"/>
      <c r="W796" s="109"/>
      <c r="X796" s="109"/>
      <c r="Y796" s="109"/>
      <c r="Z796" s="109"/>
    </row>
    <row r="797" ht="12.75" customHeight="1">
      <c r="A797" s="109"/>
      <c r="B797" s="109"/>
      <c r="C797" s="109"/>
      <c r="D797" s="109"/>
      <c r="E797" s="109"/>
      <c r="F797" s="154"/>
      <c r="G797" s="154"/>
      <c r="H797" s="109"/>
      <c r="I797" s="109"/>
      <c r="J797" s="109"/>
      <c r="K797" s="109"/>
      <c r="L797" s="109"/>
      <c r="M797" s="109"/>
      <c r="N797" s="109"/>
      <c r="O797" s="109"/>
      <c r="P797" s="109"/>
      <c r="Q797" s="109"/>
      <c r="R797" s="109"/>
      <c r="S797" s="109"/>
      <c r="T797" s="109"/>
      <c r="U797" s="109"/>
      <c r="V797" s="109"/>
      <c r="W797" s="109"/>
      <c r="X797" s="109"/>
      <c r="Y797" s="109"/>
      <c r="Z797" s="109"/>
    </row>
    <row r="798" ht="12.75" customHeight="1">
      <c r="A798" s="109"/>
      <c r="B798" s="109"/>
      <c r="C798" s="109"/>
      <c r="D798" s="109"/>
      <c r="E798" s="109"/>
      <c r="F798" s="154"/>
      <c r="G798" s="154"/>
      <c r="H798" s="109"/>
      <c r="I798" s="109"/>
      <c r="J798" s="109"/>
      <c r="K798" s="109"/>
      <c r="L798" s="109"/>
      <c r="M798" s="109"/>
      <c r="N798" s="109"/>
      <c r="O798" s="109"/>
      <c r="P798" s="109"/>
      <c r="Q798" s="109"/>
      <c r="R798" s="109"/>
      <c r="S798" s="109"/>
      <c r="T798" s="109"/>
      <c r="U798" s="109"/>
      <c r="V798" s="109"/>
      <c r="W798" s="109"/>
      <c r="X798" s="109"/>
      <c r="Y798" s="109"/>
      <c r="Z798" s="109"/>
    </row>
    <row r="799" ht="12.75" customHeight="1">
      <c r="A799" s="109"/>
      <c r="B799" s="109"/>
      <c r="C799" s="109"/>
      <c r="D799" s="109"/>
      <c r="E799" s="109"/>
      <c r="F799" s="154"/>
      <c r="G799" s="154"/>
      <c r="H799" s="109"/>
      <c r="I799" s="109"/>
      <c r="J799" s="109"/>
      <c r="K799" s="109"/>
      <c r="L799" s="109"/>
      <c r="M799" s="109"/>
      <c r="N799" s="109"/>
      <c r="O799" s="109"/>
      <c r="P799" s="109"/>
      <c r="Q799" s="109"/>
      <c r="R799" s="109"/>
      <c r="S799" s="109"/>
      <c r="T799" s="109"/>
      <c r="U799" s="109"/>
      <c r="V799" s="109"/>
      <c r="W799" s="109"/>
      <c r="X799" s="109"/>
      <c r="Y799" s="109"/>
      <c r="Z799" s="109"/>
    </row>
    <row r="800" ht="12.75" customHeight="1">
      <c r="A800" s="109"/>
      <c r="B800" s="109"/>
      <c r="C800" s="109"/>
      <c r="D800" s="109"/>
      <c r="E800" s="109"/>
      <c r="F800" s="154"/>
      <c r="G800" s="154"/>
      <c r="H800" s="109"/>
      <c r="I800" s="109"/>
      <c r="J800" s="109"/>
      <c r="K800" s="109"/>
      <c r="L800" s="109"/>
      <c r="M800" s="109"/>
      <c r="N800" s="109"/>
      <c r="O800" s="109"/>
      <c r="P800" s="109"/>
      <c r="Q800" s="109"/>
      <c r="R800" s="109"/>
      <c r="S800" s="109"/>
      <c r="T800" s="109"/>
      <c r="U800" s="109"/>
      <c r="V800" s="109"/>
      <c r="W800" s="109"/>
      <c r="X800" s="109"/>
      <c r="Y800" s="109"/>
      <c r="Z800" s="109"/>
    </row>
    <row r="801" ht="12.75" customHeight="1">
      <c r="A801" s="109"/>
      <c r="B801" s="109"/>
      <c r="C801" s="109"/>
      <c r="D801" s="109"/>
      <c r="E801" s="109"/>
      <c r="F801" s="154"/>
      <c r="G801" s="154"/>
      <c r="H801" s="109"/>
      <c r="I801" s="109"/>
      <c r="J801" s="109"/>
      <c r="K801" s="109"/>
      <c r="L801" s="109"/>
      <c r="M801" s="109"/>
      <c r="N801" s="109"/>
      <c r="O801" s="109"/>
      <c r="P801" s="109"/>
      <c r="Q801" s="109"/>
      <c r="R801" s="109"/>
      <c r="S801" s="109"/>
      <c r="T801" s="109"/>
      <c r="U801" s="109"/>
      <c r="V801" s="109"/>
      <c r="W801" s="109"/>
      <c r="X801" s="109"/>
      <c r="Y801" s="109"/>
      <c r="Z801" s="109"/>
    </row>
    <row r="802" ht="12.75" customHeight="1">
      <c r="A802" s="109"/>
      <c r="B802" s="109"/>
      <c r="C802" s="109"/>
      <c r="D802" s="109"/>
      <c r="E802" s="109"/>
      <c r="F802" s="154"/>
      <c r="G802" s="154"/>
      <c r="H802" s="109"/>
      <c r="I802" s="109"/>
      <c r="J802" s="109"/>
      <c r="K802" s="109"/>
      <c r="L802" s="109"/>
      <c r="M802" s="109"/>
      <c r="N802" s="109"/>
      <c r="O802" s="109"/>
      <c r="P802" s="109"/>
      <c r="Q802" s="109"/>
      <c r="R802" s="109"/>
      <c r="S802" s="109"/>
      <c r="T802" s="109"/>
      <c r="U802" s="109"/>
      <c r="V802" s="109"/>
      <c r="W802" s="109"/>
      <c r="X802" s="109"/>
      <c r="Y802" s="109"/>
      <c r="Z802" s="109"/>
    </row>
    <row r="803" ht="12.75" customHeight="1">
      <c r="A803" s="109"/>
      <c r="B803" s="109"/>
      <c r="C803" s="109"/>
      <c r="D803" s="109"/>
      <c r="E803" s="109"/>
      <c r="F803" s="154"/>
      <c r="G803" s="154"/>
      <c r="H803" s="109"/>
      <c r="I803" s="109"/>
      <c r="J803" s="109"/>
      <c r="K803" s="109"/>
      <c r="L803" s="109"/>
      <c r="M803" s="109"/>
      <c r="N803" s="109"/>
      <c r="O803" s="109"/>
      <c r="P803" s="109"/>
      <c r="Q803" s="109"/>
      <c r="R803" s="109"/>
      <c r="S803" s="109"/>
      <c r="T803" s="109"/>
      <c r="U803" s="109"/>
      <c r="V803" s="109"/>
      <c r="W803" s="109"/>
      <c r="X803" s="109"/>
      <c r="Y803" s="109"/>
      <c r="Z803" s="109"/>
    </row>
    <row r="804" ht="12.75" customHeight="1">
      <c r="A804" s="109"/>
      <c r="B804" s="109"/>
      <c r="C804" s="109"/>
      <c r="D804" s="109"/>
      <c r="E804" s="109"/>
      <c r="F804" s="154"/>
      <c r="G804" s="154"/>
      <c r="H804" s="109"/>
      <c r="I804" s="109"/>
      <c r="J804" s="109"/>
      <c r="K804" s="109"/>
      <c r="L804" s="109"/>
      <c r="M804" s="109"/>
      <c r="N804" s="109"/>
      <c r="O804" s="109"/>
      <c r="P804" s="109"/>
      <c r="Q804" s="109"/>
      <c r="R804" s="109"/>
      <c r="S804" s="109"/>
      <c r="T804" s="109"/>
      <c r="U804" s="109"/>
      <c r="V804" s="109"/>
      <c r="W804" s="109"/>
      <c r="X804" s="109"/>
      <c r="Y804" s="109"/>
      <c r="Z804" s="109"/>
    </row>
    <row r="805" ht="12.75" customHeight="1">
      <c r="A805" s="109"/>
      <c r="B805" s="109"/>
      <c r="C805" s="109"/>
      <c r="D805" s="109"/>
      <c r="E805" s="109"/>
      <c r="F805" s="154"/>
      <c r="G805" s="154"/>
      <c r="H805" s="109"/>
      <c r="I805" s="109"/>
      <c r="J805" s="109"/>
      <c r="K805" s="109"/>
      <c r="L805" s="109"/>
      <c r="M805" s="109"/>
      <c r="N805" s="109"/>
      <c r="O805" s="109"/>
      <c r="P805" s="109"/>
      <c r="Q805" s="109"/>
      <c r="R805" s="109"/>
      <c r="S805" s="109"/>
      <c r="T805" s="109"/>
      <c r="U805" s="109"/>
      <c r="V805" s="109"/>
      <c r="W805" s="109"/>
      <c r="X805" s="109"/>
      <c r="Y805" s="109"/>
      <c r="Z805" s="109"/>
    </row>
    <row r="806" ht="12.75" customHeight="1">
      <c r="A806" s="109"/>
      <c r="B806" s="109"/>
      <c r="C806" s="109"/>
      <c r="D806" s="109"/>
      <c r="E806" s="109"/>
      <c r="F806" s="154"/>
      <c r="G806" s="154"/>
      <c r="H806" s="109"/>
      <c r="I806" s="109"/>
      <c r="J806" s="109"/>
      <c r="K806" s="109"/>
      <c r="L806" s="109"/>
      <c r="M806" s="109"/>
      <c r="N806" s="109"/>
      <c r="O806" s="109"/>
      <c r="P806" s="109"/>
      <c r="Q806" s="109"/>
      <c r="R806" s="109"/>
      <c r="S806" s="109"/>
      <c r="T806" s="109"/>
      <c r="U806" s="109"/>
      <c r="V806" s="109"/>
      <c r="W806" s="109"/>
      <c r="X806" s="109"/>
      <c r="Y806" s="109"/>
      <c r="Z806" s="109"/>
    </row>
    <row r="807" ht="12.75" customHeight="1">
      <c r="A807" s="109"/>
      <c r="B807" s="109"/>
      <c r="C807" s="109"/>
      <c r="D807" s="109"/>
      <c r="E807" s="109"/>
      <c r="F807" s="154"/>
      <c r="G807" s="154"/>
      <c r="H807" s="109"/>
      <c r="I807" s="109"/>
      <c r="J807" s="109"/>
      <c r="K807" s="109"/>
      <c r="L807" s="109"/>
      <c r="M807" s="109"/>
      <c r="N807" s="109"/>
      <c r="O807" s="109"/>
      <c r="P807" s="109"/>
      <c r="Q807" s="109"/>
      <c r="R807" s="109"/>
      <c r="S807" s="109"/>
      <c r="T807" s="109"/>
      <c r="U807" s="109"/>
      <c r="V807" s="109"/>
      <c r="W807" s="109"/>
      <c r="X807" s="109"/>
      <c r="Y807" s="109"/>
      <c r="Z807" s="109"/>
    </row>
    <row r="808" ht="12.75" customHeight="1">
      <c r="A808" s="109"/>
      <c r="B808" s="109"/>
      <c r="C808" s="109"/>
      <c r="D808" s="109"/>
      <c r="E808" s="109"/>
      <c r="F808" s="154"/>
      <c r="G808" s="154"/>
      <c r="H808" s="109"/>
      <c r="I808" s="109"/>
      <c r="J808" s="109"/>
      <c r="K808" s="109"/>
      <c r="L808" s="109"/>
      <c r="M808" s="109"/>
      <c r="N808" s="109"/>
      <c r="O808" s="109"/>
      <c r="P808" s="109"/>
      <c r="Q808" s="109"/>
      <c r="R808" s="109"/>
      <c r="S808" s="109"/>
      <c r="T808" s="109"/>
      <c r="U808" s="109"/>
      <c r="V808" s="109"/>
      <c r="W808" s="109"/>
      <c r="X808" s="109"/>
      <c r="Y808" s="109"/>
      <c r="Z808" s="109"/>
    </row>
    <row r="809" ht="12.75" customHeight="1">
      <c r="A809" s="109"/>
      <c r="B809" s="109"/>
      <c r="C809" s="109"/>
      <c r="D809" s="109"/>
      <c r="E809" s="109"/>
      <c r="F809" s="154"/>
      <c r="G809" s="154"/>
      <c r="H809" s="109"/>
      <c r="I809" s="109"/>
      <c r="J809" s="109"/>
      <c r="K809" s="109"/>
      <c r="L809" s="109"/>
      <c r="M809" s="109"/>
      <c r="N809" s="109"/>
      <c r="O809" s="109"/>
      <c r="P809" s="109"/>
      <c r="Q809" s="109"/>
      <c r="R809" s="109"/>
      <c r="S809" s="109"/>
      <c r="T809" s="109"/>
      <c r="U809" s="109"/>
      <c r="V809" s="109"/>
      <c r="W809" s="109"/>
      <c r="X809" s="109"/>
      <c r="Y809" s="109"/>
      <c r="Z809" s="109"/>
    </row>
    <row r="810" ht="12.75" customHeight="1">
      <c r="A810" s="109"/>
      <c r="B810" s="109"/>
      <c r="C810" s="109"/>
      <c r="D810" s="109"/>
      <c r="E810" s="109"/>
      <c r="F810" s="154"/>
      <c r="G810" s="154"/>
      <c r="H810" s="109"/>
      <c r="I810" s="109"/>
      <c r="J810" s="109"/>
      <c r="K810" s="109"/>
      <c r="L810" s="109"/>
      <c r="M810" s="109"/>
      <c r="N810" s="109"/>
      <c r="O810" s="109"/>
      <c r="P810" s="109"/>
      <c r="Q810" s="109"/>
      <c r="R810" s="109"/>
      <c r="S810" s="109"/>
      <c r="T810" s="109"/>
      <c r="U810" s="109"/>
      <c r="V810" s="109"/>
      <c r="W810" s="109"/>
      <c r="X810" s="109"/>
      <c r="Y810" s="109"/>
      <c r="Z810" s="109"/>
    </row>
    <row r="811" ht="12.75" customHeight="1">
      <c r="A811" s="109"/>
      <c r="B811" s="109"/>
      <c r="C811" s="109"/>
      <c r="D811" s="109"/>
      <c r="E811" s="109"/>
      <c r="F811" s="154"/>
      <c r="G811" s="154"/>
      <c r="H811" s="109"/>
      <c r="I811" s="109"/>
      <c r="J811" s="109"/>
      <c r="K811" s="109"/>
      <c r="L811" s="109"/>
      <c r="M811" s="109"/>
      <c r="N811" s="109"/>
      <c r="O811" s="109"/>
      <c r="P811" s="109"/>
      <c r="Q811" s="109"/>
      <c r="R811" s="109"/>
      <c r="S811" s="109"/>
      <c r="T811" s="109"/>
      <c r="U811" s="109"/>
      <c r="V811" s="109"/>
      <c r="W811" s="109"/>
      <c r="X811" s="109"/>
      <c r="Y811" s="109"/>
      <c r="Z811" s="109"/>
    </row>
    <row r="812" ht="12.75" customHeight="1">
      <c r="A812" s="109"/>
      <c r="B812" s="109"/>
      <c r="C812" s="109"/>
      <c r="D812" s="109"/>
      <c r="E812" s="109"/>
      <c r="F812" s="154"/>
      <c r="G812" s="154"/>
      <c r="H812" s="109"/>
      <c r="I812" s="109"/>
      <c r="J812" s="109"/>
      <c r="K812" s="109"/>
      <c r="L812" s="109"/>
      <c r="M812" s="109"/>
      <c r="N812" s="109"/>
      <c r="O812" s="109"/>
      <c r="P812" s="109"/>
      <c r="Q812" s="109"/>
      <c r="R812" s="109"/>
      <c r="S812" s="109"/>
      <c r="T812" s="109"/>
      <c r="U812" s="109"/>
      <c r="V812" s="109"/>
      <c r="W812" s="109"/>
      <c r="X812" s="109"/>
      <c r="Y812" s="109"/>
      <c r="Z812" s="109"/>
    </row>
    <row r="813" ht="12.75" customHeight="1">
      <c r="A813" s="109"/>
      <c r="B813" s="109"/>
      <c r="C813" s="109"/>
      <c r="D813" s="109"/>
      <c r="E813" s="109"/>
      <c r="F813" s="154"/>
      <c r="G813" s="154"/>
      <c r="H813" s="109"/>
      <c r="I813" s="109"/>
      <c r="J813" s="109"/>
      <c r="K813" s="109"/>
      <c r="L813" s="109"/>
      <c r="M813" s="109"/>
      <c r="N813" s="109"/>
      <c r="O813" s="109"/>
      <c r="P813" s="109"/>
      <c r="Q813" s="109"/>
      <c r="R813" s="109"/>
      <c r="S813" s="109"/>
      <c r="T813" s="109"/>
      <c r="U813" s="109"/>
      <c r="V813" s="109"/>
      <c r="W813" s="109"/>
      <c r="X813" s="109"/>
      <c r="Y813" s="109"/>
      <c r="Z813" s="109"/>
    </row>
    <row r="814" ht="12.75" customHeight="1">
      <c r="A814" s="109"/>
      <c r="B814" s="109"/>
      <c r="C814" s="109"/>
      <c r="D814" s="109"/>
      <c r="E814" s="109"/>
      <c r="F814" s="154"/>
      <c r="G814" s="154"/>
      <c r="H814" s="109"/>
      <c r="I814" s="109"/>
      <c r="J814" s="109"/>
      <c r="K814" s="109"/>
      <c r="L814" s="109"/>
      <c r="M814" s="109"/>
      <c r="N814" s="109"/>
      <c r="O814" s="109"/>
      <c r="P814" s="109"/>
      <c r="Q814" s="109"/>
      <c r="R814" s="109"/>
      <c r="S814" s="109"/>
      <c r="T814" s="109"/>
      <c r="U814" s="109"/>
      <c r="V814" s="109"/>
      <c r="W814" s="109"/>
      <c r="X814" s="109"/>
      <c r="Y814" s="109"/>
      <c r="Z814" s="109"/>
    </row>
    <row r="815" ht="12.75" customHeight="1">
      <c r="A815" s="109"/>
      <c r="B815" s="109"/>
      <c r="C815" s="109"/>
      <c r="D815" s="109"/>
      <c r="E815" s="109"/>
      <c r="F815" s="154"/>
      <c r="G815" s="154"/>
      <c r="H815" s="109"/>
      <c r="I815" s="109"/>
      <c r="J815" s="109"/>
      <c r="K815" s="109"/>
      <c r="L815" s="109"/>
      <c r="M815" s="109"/>
      <c r="N815" s="109"/>
      <c r="O815" s="109"/>
      <c r="P815" s="109"/>
      <c r="Q815" s="109"/>
      <c r="R815" s="109"/>
      <c r="S815" s="109"/>
      <c r="T815" s="109"/>
      <c r="U815" s="109"/>
      <c r="V815" s="109"/>
      <c r="W815" s="109"/>
      <c r="X815" s="109"/>
      <c r="Y815" s="109"/>
      <c r="Z815" s="109"/>
    </row>
    <row r="816" ht="12.75" customHeight="1">
      <c r="A816" s="109"/>
      <c r="B816" s="109"/>
      <c r="C816" s="109"/>
      <c r="D816" s="109"/>
      <c r="E816" s="109"/>
      <c r="F816" s="154"/>
      <c r="G816" s="154"/>
      <c r="H816" s="109"/>
      <c r="I816" s="109"/>
      <c r="J816" s="109"/>
      <c r="K816" s="109"/>
      <c r="L816" s="109"/>
      <c r="M816" s="109"/>
      <c r="N816" s="109"/>
      <c r="O816" s="109"/>
      <c r="P816" s="109"/>
      <c r="Q816" s="109"/>
      <c r="R816" s="109"/>
      <c r="S816" s="109"/>
      <c r="T816" s="109"/>
      <c r="U816" s="109"/>
      <c r="V816" s="109"/>
      <c r="W816" s="109"/>
      <c r="X816" s="109"/>
      <c r="Y816" s="109"/>
      <c r="Z816" s="109"/>
    </row>
    <row r="817" ht="12.75" customHeight="1">
      <c r="A817" s="109"/>
      <c r="B817" s="109"/>
      <c r="C817" s="109"/>
      <c r="D817" s="109"/>
      <c r="E817" s="109"/>
      <c r="F817" s="154"/>
      <c r="G817" s="154"/>
      <c r="H817" s="109"/>
      <c r="I817" s="109"/>
      <c r="J817" s="109"/>
      <c r="K817" s="109"/>
      <c r="L817" s="109"/>
      <c r="M817" s="109"/>
      <c r="N817" s="109"/>
      <c r="O817" s="109"/>
      <c r="P817" s="109"/>
      <c r="Q817" s="109"/>
      <c r="R817" s="109"/>
      <c r="S817" s="109"/>
      <c r="T817" s="109"/>
      <c r="U817" s="109"/>
      <c r="V817" s="109"/>
      <c r="W817" s="109"/>
      <c r="X817" s="109"/>
      <c r="Y817" s="109"/>
      <c r="Z817" s="109"/>
    </row>
    <row r="818" ht="12.75" customHeight="1">
      <c r="A818" s="109"/>
      <c r="B818" s="109"/>
      <c r="C818" s="109"/>
      <c r="D818" s="109"/>
      <c r="E818" s="109"/>
      <c r="F818" s="154"/>
      <c r="G818" s="154"/>
      <c r="H818" s="109"/>
      <c r="I818" s="109"/>
      <c r="J818" s="109"/>
      <c r="K818" s="109"/>
      <c r="L818" s="109"/>
      <c r="M818" s="109"/>
      <c r="N818" s="109"/>
      <c r="O818" s="109"/>
      <c r="P818" s="109"/>
      <c r="Q818" s="109"/>
      <c r="R818" s="109"/>
      <c r="S818" s="109"/>
      <c r="T818" s="109"/>
      <c r="U818" s="109"/>
      <c r="V818" s="109"/>
      <c r="W818" s="109"/>
      <c r="X818" s="109"/>
      <c r="Y818" s="109"/>
      <c r="Z818" s="109"/>
    </row>
    <row r="819" ht="12.75" customHeight="1">
      <c r="A819" s="109"/>
      <c r="B819" s="109"/>
      <c r="C819" s="109"/>
      <c r="D819" s="109"/>
      <c r="E819" s="109"/>
      <c r="F819" s="154"/>
      <c r="G819" s="154"/>
      <c r="H819" s="109"/>
      <c r="I819" s="109"/>
      <c r="J819" s="109"/>
      <c r="K819" s="109"/>
      <c r="L819" s="109"/>
      <c r="M819" s="109"/>
      <c r="N819" s="109"/>
      <c r="O819" s="109"/>
      <c r="P819" s="109"/>
      <c r="Q819" s="109"/>
      <c r="R819" s="109"/>
      <c r="S819" s="109"/>
      <c r="T819" s="109"/>
      <c r="U819" s="109"/>
      <c r="V819" s="109"/>
      <c r="W819" s="109"/>
      <c r="X819" s="109"/>
      <c r="Y819" s="109"/>
      <c r="Z819" s="109"/>
    </row>
    <row r="820" ht="12.75" customHeight="1">
      <c r="A820" s="109"/>
      <c r="B820" s="109"/>
      <c r="C820" s="109"/>
      <c r="D820" s="109"/>
      <c r="E820" s="109"/>
      <c r="F820" s="154"/>
      <c r="G820" s="154"/>
      <c r="H820" s="109"/>
      <c r="I820" s="109"/>
      <c r="J820" s="109"/>
      <c r="K820" s="109"/>
      <c r="L820" s="109"/>
      <c r="M820" s="109"/>
      <c r="N820" s="109"/>
      <c r="O820" s="109"/>
      <c r="P820" s="109"/>
      <c r="Q820" s="109"/>
      <c r="R820" s="109"/>
      <c r="S820" s="109"/>
      <c r="T820" s="109"/>
      <c r="U820" s="109"/>
      <c r="V820" s="109"/>
      <c r="W820" s="109"/>
      <c r="X820" s="109"/>
      <c r="Y820" s="109"/>
      <c r="Z820" s="109"/>
    </row>
    <row r="821" ht="12.75" customHeight="1">
      <c r="A821" s="109"/>
      <c r="B821" s="109"/>
      <c r="C821" s="109"/>
      <c r="D821" s="109"/>
      <c r="E821" s="109"/>
      <c r="F821" s="154"/>
      <c r="G821" s="154"/>
      <c r="H821" s="109"/>
      <c r="I821" s="109"/>
      <c r="J821" s="109"/>
      <c r="K821" s="109"/>
      <c r="L821" s="109"/>
      <c r="M821" s="109"/>
      <c r="N821" s="109"/>
      <c r="O821" s="109"/>
      <c r="P821" s="109"/>
      <c r="Q821" s="109"/>
      <c r="R821" s="109"/>
      <c r="S821" s="109"/>
      <c r="T821" s="109"/>
      <c r="U821" s="109"/>
      <c r="V821" s="109"/>
      <c r="W821" s="109"/>
      <c r="X821" s="109"/>
      <c r="Y821" s="109"/>
      <c r="Z821" s="109"/>
    </row>
    <row r="822" ht="12.75" customHeight="1">
      <c r="A822" s="109"/>
      <c r="B822" s="109"/>
      <c r="C822" s="109"/>
      <c r="D822" s="109"/>
      <c r="E822" s="109"/>
      <c r="F822" s="154"/>
      <c r="G822" s="154"/>
      <c r="H822" s="109"/>
      <c r="I822" s="109"/>
      <c r="J822" s="109"/>
      <c r="K822" s="109"/>
      <c r="L822" s="109"/>
      <c r="M822" s="109"/>
      <c r="N822" s="109"/>
      <c r="O822" s="109"/>
      <c r="P822" s="109"/>
      <c r="Q822" s="109"/>
      <c r="R822" s="109"/>
      <c r="S822" s="109"/>
      <c r="T822" s="109"/>
      <c r="U822" s="109"/>
      <c r="V822" s="109"/>
      <c r="W822" s="109"/>
      <c r="X822" s="109"/>
      <c r="Y822" s="109"/>
      <c r="Z822" s="109"/>
    </row>
    <row r="823" ht="12.75" customHeight="1">
      <c r="A823" s="109"/>
      <c r="B823" s="109"/>
      <c r="C823" s="109"/>
      <c r="D823" s="109"/>
      <c r="E823" s="109"/>
      <c r="F823" s="154"/>
      <c r="G823" s="154"/>
      <c r="H823" s="109"/>
      <c r="I823" s="109"/>
      <c r="J823" s="109"/>
      <c r="K823" s="109"/>
      <c r="L823" s="109"/>
      <c r="M823" s="109"/>
      <c r="N823" s="109"/>
      <c r="O823" s="109"/>
      <c r="P823" s="109"/>
      <c r="Q823" s="109"/>
      <c r="R823" s="109"/>
      <c r="S823" s="109"/>
      <c r="T823" s="109"/>
      <c r="U823" s="109"/>
      <c r="V823" s="109"/>
      <c r="W823" s="109"/>
      <c r="X823" s="109"/>
      <c r="Y823" s="109"/>
      <c r="Z823" s="109"/>
    </row>
    <row r="824" ht="12.75" customHeight="1">
      <c r="A824" s="109"/>
      <c r="B824" s="109"/>
      <c r="C824" s="109"/>
      <c r="D824" s="109"/>
      <c r="E824" s="109"/>
      <c r="F824" s="154"/>
      <c r="G824" s="154"/>
      <c r="H824" s="109"/>
      <c r="I824" s="109"/>
      <c r="J824" s="109"/>
      <c r="K824" s="109"/>
      <c r="L824" s="109"/>
      <c r="M824" s="109"/>
      <c r="N824" s="109"/>
      <c r="O824" s="109"/>
      <c r="P824" s="109"/>
      <c r="Q824" s="109"/>
      <c r="R824" s="109"/>
      <c r="S824" s="109"/>
      <c r="T824" s="109"/>
      <c r="U824" s="109"/>
      <c r="V824" s="109"/>
      <c r="W824" s="109"/>
      <c r="X824" s="109"/>
      <c r="Y824" s="109"/>
      <c r="Z824" s="109"/>
    </row>
    <row r="825" ht="12.75" customHeight="1">
      <c r="A825" s="109"/>
      <c r="B825" s="109"/>
      <c r="C825" s="109"/>
      <c r="D825" s="109"/>
      <c r="E825" s="109"/>
      <c r="F825" s="154"/>
      <c r="G825" s="154"/>
      <c r="H825" s="109"/>
      <c r="I825" s="109"/>
      <c r="J825" s="109"/>
      <c r="K825" s="109"/>
      <c r="L825" s="109"/>
      <c r="M825" s="109"/>
      <c r="N825" s="109"/>
      <c r="O825" s="109"/>
      <c r="P825" s="109"/>
      <c r="Q825" s="109"/>
      <c r="R825" s="109"/>
      <c r="S825" s="109"/>
      <c r="T825" s="109"/>
      <c r="U825" s="109"/>
      <c r="V825" s="109"/>
      <c r="W825" s="109"/>
      <c r="X825" s="109"/>
      <c r="Y825" s="109"/>
      <c r="Z825" s="109"/>
    </row>
    <row r="826" ht="12.75" customHeight="1">
      <c r="A826" s="109"/>
      <c r="B826" s="109"/>
      <c r="C826" s="109"/>
      <c r="D826" s="109"/>
      <c r="E826" s="109"/>
      <c r="F826" s="154"/>
      <c r="G826" s="154"/>
      <c r="H826" s="109"/>
      <c r="I826" s="109"/>
      <c r="J826" s="109"/>
      <c r="K826" s="109"/>
      <c r="L826" s="109"/>
      <c r="M826" s="109"/>
      <c r="N826" s="109"/>
      <c r="O826" s="109"/>
      <c r="P826" s="109"/>
      <c r="Q826" s="109"/>
      <c r="R826" s="109"/>
      <c r="S826" s="109"/>
      <c r="T826" s="109"/>
      <c r="U826" s="109"/>
      <c r="V826" s="109"/>
      <c r="W826" s="109"/>
      <c r="X826" s="109"/>
      <c r="Y826" s="109"/>
      <c r="Z826" s="109"/>
    </row>
    <row r="827" ht="12.75" customHeight="1">
      <c r="A827" s="109"/>
      <c r="B827" s="109"/>
      <c r="C827" s="109"/>
      <c r="D827" s="109"/>
      <c r="E827" s="109"/>
      <c r="F827" s="154"/>
      <c r="G827" s="154"/>
      <c r="H827" s="109"/>
      <c r="I827" s="109"/>
      <c r="J827" s="109"/>
      <c r="K827" s="109"/>
      <c r="L827" s="109"/>
      <c r="M827" s="109"/>
      <c r="N827" s="109"/>
      <c r="O827" s="109"/>
      <c r="P827" s="109"/>
      <c r="Q827" s="109"/>
      <c r="R827" s="109"/>
      <c r="S827" s="109"/>
      <c r="T827" s="109"/>
      <c r="U827" s="109"/>
      <c r="V827" s="109"/>
      <c r="W827" s="109"/>
      <c r="X827" s="109"/>
      <c r="Y827" s="109"/>
      <c r="Z827" s="109"/>
    </row>
    <row r="828" ht="12.75" customHeight="1">
      <c r="A828" s="109"/>
      <c r="B828" s="109"/>
      <c r="C828" s="109"/>
      <c r="D828" s="109"/>
      <c r="E828" s="109"/>
      <c r="F828" s="154"/>
      <c r="G828" s="154"/>
      <c r="H828" s="109"/>
      <c r="I828" s="109"/>
      <c r="J828" s="109"/>
      <c r="K828" s="109"/>
      <c r="L828" s="109"/>
      <c r="M828" s="109"/>
      <c r="N828" s="109"/>
      <c r="O828" s="109"/>
      <c r="P828" s="109"/>
      <c r="Q828" s="109"/>
      <c r="R828" s="109"/>
      <c r="S828" s="109"/>
      <c r="T828" s="109"/>
      <c r="U828" s="109"/>
      <c r="V828" s="109"/>
      <c r="W828" s="109"/>
      <c r="X828" s="109"/>
      <c r="Y828" s="109"/>
      <c r="Z828" s="109"/>
    </row>
    <row r="829" ht="12.75" customHeight="1">
      <c r="A829" s="109"/>
      <c r="B829" s="109"/>
      <c r="C829" s="109"/>
      <c r="D829" s="109"/>
      <c r="E829" s="109"/>
      <c r="F829" s="154"/>
      <c r="G829" s="154"/>
      <c r="H829" s="109"/>
      <c r="I829" s="109"/>
      <c r="J829" s="109"/>
      <c r="K829" s="109"/>
      <c r="L829" s="109"/>
      <c r="M829" s="109"/>
      <c r="N829" s="109"/>
      <c r="O829" s="109"/>
      <c r="P829" s="109"/>
      <c r="Q829" s="109"/>
      <c r="R829" s="109"/>
      <c r="S829" s="109"/>
      <c r="T829" s="109"/>
      <c r="U829" s="109"/>
      <c r="V829" s="109"/>
      <c r="W829" s="109"/>
      <c r="X829" s="109"/>
      <c r="Y829" s="109"/>
      <c r="Z829" s="109"/>
    </row>
    <row r="830" ht="12.75" customHeight="1">
      <c r="A830" s="109"/>
      <c r="B830" s="109"/>
      <c r="C830" s="109"/>
      <c r="D830" s="109"/>
      <c r="E830" s="109"/>
      <c r="F830" s="154"/>
      <c r="G830" s="154"/>
      <c r="H830" s="109"/>
      <c r="I830" s="109"/>
      <c r="J830" s="109"/>
      <c r="K830" s="109"/>
      <c r="L830" s="109"/>
      <c r="M830" s="109"/>
      <c r="N830" s="109"/>
      <c r="O830" s="109"/>
      <c r="P830" s="109"/>
      <c r="Q830" s="109"/>
      <c r="R830" s="109"/>
      <c r="S830" s="109"/>
      <c r="T830" s="109"/>
      <c r="U830" s="109"/>
      <c r="V830" s="109"/>
      <c r="W830" s="109"/>
      <c r="X830" s="109"/>
      <c r="Y830" s="109"/>
      <c r="Z830" s="109"/>
    </row>
    <row r="831" ht="12.75" customHeight="1">
      <c r="A831" s="109"/>
      <c r="B831" s="109"/>
      <c r="C831" s="109"/>
      <c r="D831" s="109"/>
      <c r="E831" s="109"/>
      <c r="F831" s="154"/>
      <c r="G831" s="154"/>
      <c r="H831" s="109"/>
      <c r="I831" s="109"/>
      <c r="J831" s="109"/>
      <c r="K831" s="109"/>
      <c r="L831" s="109"/>
      <c r="M831" s="109"/>
      <c r="N831" s="109"/>
      <c r="O831" s="109"/>
      <c r="P831" s="109"/>
      <c r="Q831" s="109"/>
      <c r="R831" s="109"/>
      <c r="S831" s="109"/>
      <c r="T831" s="109"/>
      <c r="U831" s="109"/>
      <c r="V831" s="109"/>
      <c r="W831" s="109"/>
      <c r="X831" s="109"/>
      <c r="Y831" s="109"/>
      <c r="Z831" s="109"/>
    </row>
    <row r="832" ht="12.75" customHeight="1">
      <c r="A832" s="109"/>
      <c r="B832" s="109"/>
      <c r="C832" s="109"/>
      <c r="D832" s="109"/>
      <c r="E832" s="109"/>
      <c r="F832" s="154"/>
      <c r="G832" s="154"/>
      <c r="H832" s="109"/>
      <c r="I832" s="109"/>
      <c r="J832" s="109"/>
      <c r="K832" s="109"/>
      <c r="L832" s="109"/>
      <c r="M832" s="109"/>
      <c r="N832" s="109"/>
      <c r="O832" s="109"/>
      <c r="P832" s="109"/>
      <c r="Q832" s="109"/>
      <c r="R832" s="109"/>
      <c r="S832" s="109"/>
      <c r="T832" s="109"/>
      <c r="U832" s="109"/>
      <c r="V832" s="109"/>
      <c r="W832" s="109"/>
      <c r="X832" s="109"/>
      <c r="Y832" s="109"/>
      <c r="Z832" s="109"/>
    </row>
    <row r="833" ht="12.75" customHeight="1">
      <c r="A833" s="109"/>
      <c r="B833" s="109"/>
      <c r="C833" s="109"/>
      <c r="D833" s="109"/>
      <c r="E833" s="109"/>
      <c r="F833" s="154"/>
      <c r="G833" s="154"/>
      <c r="H833" s="109"/>
      <c r="I833" s="109"/>
      <c r="J833" s="109"/>
      <c r="K833" s="109"/>
      <c r="L833" s="109"/>
      <c r="M833" s="109"/>
      <c r="N833" s="109"/>
      <c r="O833" s="109"/>
      <c r="P833" s="109"/>
      <c r="Q833" s="109"/>
      <c r="R833" s="109"/>
      <c r="S833" s="109"/>
      <c r="T833" s="109"/>
      <c r="U833" s="109"/>
      <c r="V833" s="109"/>
      <c r="W833" s="109"/>
      <c r="X833" s="109"/>
      <c r="Y833" s="109"/>
      <c r="Z833" s="109"/>
    </row>
    <row r="834" ht="12.75" customHeight="1">
      <c r="A834" s="109"/>
      <c r="B834" s="109"/>
      <c r="C834" s="109"/>
      <c r="D834" s="109"/>
      <c r="E834" s="109"/>
      <c r="F834" s="154"/>
      <c r="G834" s="154"/>
      <c r="H834" s="109"/>
      <c r="I834" s="109"/>
      <c r="J834" s="109"/>
      <c r="K834" s="109"/>
      <c r="L834" s="109"/>
      <c r="M834" s="109"/>
      <c r="N834" s="109"/>
      <c r="O834" s="109"/>
      <c r="P834" s="109"/>
      <c r="Q834" s="109"/>
      <c r="R834" s="109"/>
      <c r="S834" s="109"/>
      <c r="T834" s="109"/>
      <c r="U834" s="109"/>
      <c r="V834" s="109"/>
      <c r="W834" s="109"/>
      <c r="X834" s="109"/>
      <c r="Y834" s="109"/>
      <c r="Z834" s="109"/>
    </row>
    <row r="835" ht="12.75" customHeight="1">
      <c r="A835" s="109"/>
      <c r="B835" s="109"/>
      <c r="C835" s="109"/>
      <c r="D835" s="109"/>
      <c r="E835" s="109"/>
      <c r="F835" s="154"/>
      <c r="G835" s="154"/>
      <c r="H835" s="109"/>
      <c r="I835" s="109"/>
      <c r="J835" s="109"/>
      <c r="K835" s="109"/>
      <c r="L835" s="109"/>
      <c r="M835" s="109"/>
      <c r="N835" s="109"/>
      <c r="O835" s="109"/>
      <c r="P835" s="109"/>
      <c r="Q835" s="109"/>
      <c r="R835" s="109"/>
      <c r="S835" s="109"/>
      <c r="T835" s="109"/>
      <c r="U835" s="109"/>
      <c r="V835" s="109"/>
      <c r="W835" s="109"/>
      <c r="X835" s="109"/>
      <c r="Y835" s="109"/>
      <c r="Z835" s="109"/>
    </row>
    <row r="836" ht="12.75" customHeight="1">
      <c r="A836" s="109"/>
      <c r="B836" s="109"/>
      <c r="C836" s="109"/>
      <c r="D836" s="109"/>
      <c r="E836" s="109"/>
      <c r="F836" s="154"/>
      <c r="G836" s="154"/>
      <c r="H836" s="109"/>
      <c r="I836" s="109"/>
      <c r="J836" s="109"/>
      <c r="K836" s="109"/>
      <c r="L836" s="109"/>
      <c r="M836" s="109"/>
      <c r="N836" s="109"/>
      <c r="O836" s="109"/>
      <c r="P836" s="109"/>
      <c r="Q836" s="109"/>
      <c r="R836" s="109"/>
      <c r="S836" s="109"/>
      <c r="T836" s="109"/>
      <c r="U836" s="109"/>
      <c r="V836" s="109"/>
      <c r="W836" s="109"/>
      <c r="X836" s="109"/>
      <c r="Y836" s="109"/>
      <c r="Z836" s="109"/>
    </row>
    <row r="837" ht="12.75" customHeight="1">
      <c r="A837" s="109"/>
      <c r="B837" s="109"/>
      <c r="C837" s="109"/>
      <c r="D837" s="109"/>
      <c r="E837" s="109"/>
      <c r="F837" s="154"/>
      <c r="G837" s="154"/>
      <c r="H837" s="109"/>
      <c r="I837" s="109"/>
      <c r="J837" s="109"/>
      <c r="K837" s="109"/>
      <c r="L837" s="109"/>
      <c r="M837" s="109"/>
      <c r="N837" s="109"/>
      <c r="O837" s="109"/>
      <c r="P837" s="109"/>
      <c r="Q837" s="109"/>
      <c r="R837" s="109"/>
      <c r="S837" s="109"/>
      <c r="T837" s="109"/>
      <c r="U837" s="109"/>
      <c r="V837" s="109"/>
      <c r="W837" s="109"/>
      <c r="X837" s="109"/>
      <c r="Y837" s="109"/>
      <c r="Z837" s="109"/>
    </row>
    <row r="838" ht="12.75" customHeight="1">
      <c r="A838" s="109"/>
      <c r="B838" s="109"/>
      <c r="C838" s="109"/>
      <c r="D838" s="109"/>
      <c r="E838" s="109"/>
      <c r="F838" s="154"/>
      <c r="G838" s="154"/>
      <c r="H838" s="109"/>
      <c r="I838" s="109"/>
      <c r="J838" s="109"/>
      <c r="K838" s="109"/>
      <c r="L838" s="109"/>
      <c r="M838" s="109"/>
      <c r="N838" s="109"/>
      <c r="O838" s="109"/>
      <c r="P838" s="109"/>
      <c r="Q838" s="109"/>
      <c r="R838" s="109"/>
      <c r="S838" s="109"/>
      <c r="T838" s="109"/>
      <c r="U838" s="109"/>
      <c r="V838" s="109"/>
      <c r="W838" s="109"/>
      <c r="X838" s="109"/>
      <c r="Y838" s="109"/>
      <c r="Z838" s="109"/>
    </row>
    <row r="839" ht="12.75" customHeight="1">
      <c r="A839" s="109"/>
      <c r="B839" s="109"/>
      <c r="C839" s="109"/>
      <c r="D839" s="109"/>
      <c r="E839" s="109"/>
      <c r="F839" s="154"/>
      <c r="G839" s="154"/>
      <c r="H839" s="109"/>
      <c r="I839" s="109"/>
      <c r="J839" s="109"/>
      <c r="K839" s="109"/>
      <c r="L839" s="109"/>
      <c r="M839" s="109"/>
      <c r="N839" s="109"/>
      <c r="O839" s="109"/>
      <c r="P839" s="109"/>
      <c r="Q839" s="109"/>
      <c r="R839" s="109"/>
      <c r="S839" s="109"/>
      <c r="T839" s="109"/>
      <c r="U839" s="109"/>
      <c r="V839" s="109"/>
      <c r="W839" s="109"/>
      <c r="X839" s="109"/>
      <c r="Y839" s="109"/>
      <c r="Z839" s="109"/>
    </row>
    <row r="840" ht="12.75" customHeight="1">
      <c r="A840" s="109"/>
      <c r="B840" s="109"/>
      <c r="C840" s="109"/>
      <c r="D840" s="109"/>
      <c r="E840" s="109"/>
      <c r="F840" s="154"/>
      <c r="G840" s="154"/>
      <c r="H840" s="109"/>
      <c r="I840" s="109"/>
      <c r="J840" s="109"/>
      <c r="K840" s="109"/>
      <c r="L840" s="109"/>
      <c r="M840" s="109"/>
      <c r="N840" s="109"/>
      <c r="O840" s="109"/>
      <c r="P840" s="109"/>
      <c r="Q840" s="109"/>
      <c r="R840" s="109"/>
      <c r="S840" s="109"/>
      <c r="T840" s="109"/>
      <c r="U840" s="109"/>
      <c r="V840" s="109"/>
      <c r="W840" s="109"/>
      <c r="X840" s="109"/>
      <c r="Y840" s="109"/>
      <c r="Z840" s="109"/>
    </row>
    <row r="841" ht="12.75" customHeight="1">
      <c r="A841" s="109"/>
      <c r="B841" s="109"/>
      <c r="C841" s="109"/>
      <c r="D841" s="109"/>
      <c r="E841" s="109"/>
      <c r="F841" s="154"/>
      <c r="G841" s="154"/>
      <c r="H841" s="109"/>
      <c r="I841" s="109"/>
      <c r="J841" s="109"/>
      <c r="K841" s="109"/>
      <c r="L841" s="109"/>
      <c r="M841" s="109"/>
      <c r="N841" s="109"/>
      <c r="O841" s="109"/>
      <c r="P841" s="109"/>
      <c r="Q841" s="109"/>
      <c r="R841" s="109"/>
      <c r="S841" s="109"/>
      <c r="T841" s="109"/>
      <c r="U841" s="109"/>
      <c r="V841" s="109"/>
      <c r="W841" s="109"/>
      <c r="X841" s="109"/>
      <c r="Y841" s="109"/>
      <c r="Z841" s="109"/>
    </row>
    <row r="842" ht="12.75" customHeight="1">
      <c r="A842" s="109"/>
      <c r="B842" s="109"/>
      <c r="C842" s="109"/>
      <c r="D842" s="109"/>
      <c r="E842" s="109"/>
      <c r="F842" s="154"/>
      <c r="G842" s="154"/>
      <c r="H842" s="109"/>
      <c r="I842" s="109"/>
      <c r="J842" s="109"/>
      <c r="K842" s="109"/>
      <c r="L842" s="109"/>
      <c r="M842" s="109"/>
      <c r="N842" s="109"/>
      <c r="O842" s="109"/>
      <c r="P842" s="109"/>
      <c r="Q842" s="109"/>
      <c r="R842" s="109"/>
      <c r="S842" s="109"/>
      <c r="T842" s="109"/>
      <c r="U842" s="109"/>
      <c r="V842" s="109"/>
      <c r="W842" s="109"/>
      <c r="X842" s="109"/>
      <c r="Y842" s="109"/>
      <c r="Z842" s="109"/>
    </row>
    <row r="843" ht="12.75" customHeight="1">
      <c r="A843" s="109"/>
      <c r="B843" s="109"/>
      <c r="C843" s="109"/>
      <c r="D843" s="109"/>
      <c r="E843" s="109"/>
      <c r="F843" s="154"/>
      <c r="G843" s="154"/>
      <c r="H843" s="109"/>
      <c r="I843" s="109"/>
      <c r="J843" s="109"/>
      <c r="K843" s="109"/>
      <c r="L843" s="109"/>
      <c r="M843" s="109"/>
      <c r="N843" s="109"/>
      <c r="O843" s="109"/>
      <c r="P843" s="109"/>
      <c r="Q843" s="109"/>
      <c r="R843" s="109"/>
      <c r="S843" s="109"/>
      <c r="T843" s="109"/>
      <c r="U843" s="109"/>
      <c r="V843" s="109"/>
      <c r="W843" s="109"/>
      <c r="X843" s="109"/>
      <c r="Y843" s="109"/>
      <c r="Z843" s="109"/>
    </row>
    <row r="844" ht="12.75" customHeight="1">
      <c r="A844" s="109"/>
      <c r="B844" s="109"/>
      <c r="C844" s="109"/>
      <c r="D844" s="109"/>
      <c r="E844" s="109"/>
      <c r="F844" s="154"/>
      <c r="G844" s="154"/>
      <c r="H844" s="109"/>
      <c r="I844" s="109"/>
      <c r="J844" s="109"/>
      <c r="K844" s="109"/>
      <c r="L844" s="109"/>
      <c r="M844" s="109"/>
      <c r="N844" s="109"/>
      <c r="O844" s="109"/>
      <c r="P844" s="109"/>
      <c r="Q844" s="109"/>
      <c r="R844" s="109"/>
      <c r="S844" s="109"/>
      <c r="T844" s="109"/>
      <c r="U844" s="109"/>
      <c r="V844" s="109"/>
      <c r="W844" s="109"/>
      <c r="X844" s="109"/>
      <c r="Y844" s="109"/>
      <c r="Z844" s="109"/>
    </row>
    <row r="845" ht="12.75" customHeight="1">
      <c r="A845" s="109"/>
      <c r="B845" s="109"/>
      <c r="C845" s="109"/>
      <c r="D845" s="109"/>
      <c r="E845" s="109"/>
      <c r="F845" s="154"/>
      <c r="G845" s="154"/>
      <c r="H845" s="109"/>
      <c r="I845" s="109"/>
      <c r="J845" s="109"/>
      <c r="K845" s="109"/>
      <c r="L845" s="109"/>
      <c r="M845" s="109"/>
      <c r="N845" s="109"/>
      <c r="O845" s="109"/>
      <c r="P845" s="109"/>
      <c r="Q845" s="109"/>
      <c r="R845" s="109"/>
      <c r="S845" s="109"/>
      <c r="T845" s="109"/>
      <c r="U845" s="109"/>
      <c r="V845" s="109"/>
      <c r="W845" s="109"/>
      <c r="X845" s="109"/>
      <c r="Y845" s="109"/>
      <c r="Z845" s="109"/>
    </row>
    <row r="846" ht="12.75" customHeight="1">
      <c r="A846" s="109"/>
      <c r="B846" s="109"/>
      <c r="C846" s="109"/>
      <c r="D846" s="109"/>
      <c r="E846" s="109"/>
      <c r="F846" s="154"/>
      <c r="G846" s="154"/>
      <c r="H846" s="109"/>
      <c r="I846" s="109"/>
      <c r="J846" s="109"/>
      <c r="K846" s="109"/>
      <c r="L846" s="109"/>
      <c r="M846" s="109"/>
      <c r="N846" s="109"/>
      <c r="O846" s="109"/>
      <c r="P846" s="109"/>
      <c r="Q846" s="109"/>
      <c r="R846" s="109"/>
      <c r="S846" s="109"/>
      <c r="T846" s="109"/>
      <c r="U846" s="109"/>
      <c r="V846" s="109"/>
      <c r="W846" s="109"/>
      <c r="X846" s="109"/>
      <c r="Y846" s="109"/>
      <c r="Z846" s="109"/>
    </row>
    <row r="847" ht="12.75" customHeight="1">
      <c r="A847" s="109"/>
      <c r="B847" s="109"/>
      <c r="C847" s="109"/>
      <c r="D847" s="109"/>
      <c r="E847" s="109"/>
      <c r="F847" s="154"/>
      <c r="G847" s="154"/>
      <c r="H847" s="109"/>
      <c r="I847" s="109"/>
      <c r="J847" s="109"/>
      <c r="K847" s="109"/>
      <c r="L847" s="109"/>
      <c r="M847" s="109"/>
      <c r="N847" s="109"/>
      <c r="O847" s="109"/>
      <c r="P847" s="109"/>
      <c r="Q847" s="109"/>
      <c r="R847" s="109"/>
      <c r="S847" s="109"/>
      <c r="T847" s="109"/>
      <c r="U847" s="109"/>
      <c r="V847" s="109"/>
      <c r="W847" s="109"/>
      <c r="X847" s="109"/>
      <c r="Y847" s="109"/>
      <c r="Z847" s="109"/>
    </row>
    <row r="848" ht="12.75" customHeight="1">
      <c r="A848" s="109"/>
      <c r="B848" s="109"/>
      <c r="C848" s="109"/>
      <c r="D848" s="109"/>
      <c r="E848" s="109"/>
      <c r="F848" s="154"/>
      <c r="G848" s="154"/>
      <c r="H848" s="109"/>
      <c r="I848" s="109"/>
      <c r="J848" s="109"/>
      <c r="K848" s="109"/>
      <c r="L848" s="109"/>
      <c r="M848" s="109"/>
      <c r="N848" s="109"/>
      <c r="O848" s="109"/>
      <c r="P848" s="109"/>
      <c r="Q848" s="109"/>
      <c r="R848" s="109"/>
      <c r="S848" s="109"/>
      <c r="T848" s="109"/>
      <c r="U848" s="109"/>
      <c r="V848" s="109"/>
      <c r="W848" s="109"/>
      <c r="X848" s="109"/>
      <c r="Y848" s="109"/>
      <c r="Z848" s="109"/>
    </row>
    <row r="849" ht="12.75" customHeight="1">
      <c r="A849" s="109"/>
      <c r="B849" s="109"/>
      <c r="C849" s="109"/>
      <c r="D849" s="109"/>
      <c r="E849" s="109"/>
      <c r="F849" s="154"/>
      <c r="G849" s="154"/>
      <c r="H849" s="109"/>
      <c r="I849" s="109"/>
      <c r="J849" s="109"/>
      <c r="K849" s="109"/>
      <c r="L849" s="109"/>
      <c r="M849" s="109"/>
      <c r="N849" s="109"/>
      <c r="O849" s="109"/>
      <c r="P849" s="109"/>
      <c r="Q849" s="109"/>
      <c r="R849" s="109"/>
      <c r="S849" s="109"/>
      <c r="T849" s="109"/>
      <c r="U849" s="109"/>
      <c r="V849" s="109"/>
      <c r="W849" s="109"/>
      <c r="X849" s="109"/>
      <c r="Y849" s="109"/>
      <c r="Z849" s="109"/>
    </row>
    <row r="850" ht="12.75" customHeight="1">
      <c r="A850" s="109"/>
      <c r="B850" s="109"/>
      <c r="C850" s="109"/>
      <c r="D850" s="109"/>
      <c r="E850" s="109"/>
      <c r="F850" s="154"/>
      <c r="G850" s="154"/>
      <c r="H850" s="109"/>
      <c r="I850" s="109"/>
      <c r="J850" s="109"/>
      <c r="K850" s="109"/>
      <c r="L850" s="109"/>
      <c r="M850" s="109"/>
      <c r="N850" s="109"/>
      <c r="O850" s="109"/>
      <c r="P850" s="109"/>
      <c r="Q850" s="109"/>
      <c r="R850" s="109"/>
      <c r="S850" s="109"/>
      <c r="T850" s="109"/>
      <c r="U850" s="109"/>
      <c r="V850" s="109"/>
      <c r="W850" s="109"/>
      <c r="X850" s="109"/>
      <c r="Y850" s="109"/>
      <c r="Z850" s="109"/>
    </row>
    <row r="851" ht="12.75" customHeight="1">
      <c r="A851" s="109"/>
      <c r="B851" s="109"/>
      <c r="C851" s="109"/>
      <c r="D851" s="109"/>
      <c r="E851" s="109"/>
      <c r="F851" s="154"/>
      <c r="G851" s="154"/>
      <c r="H851" s="109"/>
      <c r="I851" s="109"/>
      <c r="J851" s="109"/>
      <c r="K851" s="109"/>
      <c r="L851" s="109"/>
      <c r="M851" s="109"/>
      <c r="N851" s="109"/>
      <c r="O851" s="109"/>
      <c r="P851" s="109"/>
      <c r="Q851" s="109"/>
      <c r="R851" s="109"/>
      <c r="S851" s="109"/>
      <c r="T851" s="109"/>
      <c r="U851" s="109"/>
      <c r="V851" s="109"/>
      <c r="W851" s="109"/>
      <c r="X851" s="109"/>
      <c r="Y851" s="109"/>
      <c r="Z851" s="109"/>
    </row>
    <row r="852" ht="12.75" customHeight="1">
      <c r="A852" s="109"/>
      <c r="B852" s="109"/>
      <c r="C852" s="109"/>
      <c r="D852" s="109"/>
      <c r="E852" s="109"/>
      <c r="F852" s="154"/>
      <c r="G852" s="154"/>
      <c r="H852" s="109"/>
      <c r="I852" s="109"/>
      <c r="J852" s="109"/>
      <c r="K852" s="109"/>
      <c r="L852" s="109"/>
      <c r="M852" s="109"/>
      <c r="N852" s="109"/>
      <c r="O852" s="109"/>
      <c r="P852" s="109"/>
      <c r="Q852" s="109"/>
      <c r="R852" s="109"/>
      <c r="S852" s="109"/>
      <c r="T852" s="109"/>
      <c r="U852" s="109"/>
      <c r="V852" s="109"/>
      <c r="W852" s="109"/>
      <c r="X852" s="109"/>
      <c r="Y852" s="109"/>
      <c r="Z852" s="109"/>
    </row>
    <row r="853" ht="12.75" customHeight="1">
      <c r="A853" s="109"/>
      <c r="B853" s="109"/>
      <c r="C853" s="109"/>
      <c r="D853" s="109"/>
      <c r="E853" s="109"/>
      <c r="F853" s="154"/>
      <c r="G853" s="154"/>
      <c r="H853" s="109"/>
      <c r="I853" s="109"/>
      <c r="J853" s="109"/>
      <c r="K853" s="109"/>
      <c r="L853" s="109"/>
      <c r="M853" s="109"/>
      <c r="N853" s="109"/>
      <c r="O853" s="109"/>
      <c r="P853" s="109"/>
      <c r="Q853" s="109"/>
      <c r="R853" s="109"/>
      <c r="S853" s="109"/>
      <c r="T853" s="109"/>
      <c r="U853" s="109"/>
      <c r="V853" s="109"/>
      <c r="W853" s="109"/>
      <c r="X853" s="109"/>
      <c r="Y853" s="109"/>
      <c r="Z853" s="109"/>
    </row>
    <row r="854" ht="12.75" customHeight="1">
      <c r="A854" s="109"/>
      <c r="B854" s="109"/>
      <c r="C854" s="109"/>
      <c r="D854" s="109"/>
      <c r="E854" s="109"/>
      <c r="F854" s="154"/>
      <c r="G854" s="154"/>
      <c r="H854" s="109"/>
      <c r="I854" s="109"/>
      <c r="J854" s="109"/>
      <c r="K854" s="109"/>
      <c r="L854" s="109"/>
      <c r="M854" s="109"/>
      <c r="N854" s="109"/>
      <c r="O854" s="109"/>
      <c r="P854" s="109"/>
      <c r="Q854" s="109"/>
      <c r="R854" s="109"/>
      <c r="S854" s="109"/>
      <c r="T854" s="109"/>
      <c r="U854" s="109"/>
      <c r="V854" s="109"/>
      <c r="W854" s="109"/>
      <c r="X854" s="109"/>
      <c r="Y854" s="109"/>
      <c r="Z854" s="109"/>
    </row>
    <row r="855" ht="12.75" customHeight="1">
      <c r="A855" s="109"/>
      <c r="B855" s="109"/>
      <c r="C855" s="109"/>
      <c r="D855" s="109"/>
      <c r="E855" s="109"/>
      <c r="F855" s="154"/>
      <c r="G855" s="154"/>
      <c r="H855" s="109"/>
      <c r="I855" s="109"/>
      <c r="J855" s="109"/>
      <c r="K855" s="109"/>
      <c r="L855" s="109"/>
      <c r="M855" s="109"/>
      <c r="N855" s="109"/>
      <c r="O855" s="109"/>
      <c r="P855" s="109"/>
      <c r="Q855" s="109"/>
      <c r="R855" s="109"/>
      <c r="S855" s="109"/>
      <c r="T855" s="109"/>
      <c r="U855" s="109"/>
      <c r="V855" s="109"/>
      <c r="W855" s="109"/>
      <c r="X855" s="109"/>
      <c r="Y855" s="109"/>
      <c r="Z855" s="109"/>
    </row>
    <row r="856" ht="12.75" customHeight="1">
      <c r="A856" s="109"/>
      <c r="B856" s="109"/>
      <c r="C856" s="109"/>
      <c r="D856" s="109"/>
      <c r="E856" s="109"/>
      <c r="F856" s="154"/>
      <c r="G856" s="154"/>
      <c r="H856" s="109"/>
      <c r="I856" s="109"/>
      <c r="J856" s="109"/>
      <c r="K856" s="109"/>
      <c r="L856" s="109"/>
      <c r="M856" s="109"/>
      <c r="N856" s="109"/>
      <c r="O856" s="109"/>
      <c r="P856" s="109"/>
      <c r="Q856" s="109"/>
      <c r="R856" s="109"/>
      <c r="S856" s="109"/>
      <c r="T856" s="109"/>
      <c r="U856" s="109"/>
      <c r="V856" s="109"/>
      <c r="W856" s="109"/>
      <c r="X856" s="109"/>
      <c r="Y856" s="109"/>
      <c r="Z856" s="109"/>
    </row>
    <row r="857" ht="12.75" customHeight="1">
      <c r="A857" s="109"/>
      <c r="B857" s="109"/>
      <c r="C857" s="109"/>
      <c r="D857" s="109"/>
      <c r="E857" s="109"/>
      <c r="F857" s="154"/>
      <c r="G857" s="154"/>
      <c r="H857" s="109"/>
      <c r="I857" s="109"/>
      <c r="J857" s="109"/>
      <c r="K857" s="109"/>
      <c r="L857" s="109"/>
      <c r="M857" s="109"/>
      <c r="N857" s="109"/>
      <c r="O857" s="109"/>
      <c r="P857" s="109"/>
      <c r="Q857" s="109"/>
      <c r="R857" s="109"/>
      <c r="S857" s="109"/>
      <c r="T857" s="109"/>
      <c r="U857" s="109"/>
      <c r="V857" s="109"/>
      <c r="W857" s="109"/>
      <c r="X857" s="109"/>
      <c r="Y857" s="109"/>
      <c r="Z857" s="109"/>
    </row>
    <row r="858" ht="12.75" customHeight="1">
      <c r="A858" s="109"/>
      <c r="B858" s="109"/>
      <c r="C858" s="109"/>
      <c r="D858" s="109"/>
      <c r="E858" s="109"/>
      <c r="F858" s="154"/>
      <c r="G858" s="154"/>
      <c r="H858" s="109"/>
      <c r="I858" s="109"/>
      <c r="J858" s="109"/>
      <c r="K858" s="109"/>
      <c r="L858" s="109"/>
      <c r="M858" s="109"/>
      <c r="N858" s="109"/>
      <c r="O858" s="109"/>
      <c r="P858" s="109"/>
      <c r="Q858" s="109"/>
      <c r="R858" s="109"/>
      <c r="S858" s="109"/>
      <c r="T858" s="109"/>
      <c r="U858" s="109"/>
      <c r="V858" s="109"/>
      <c r="W858" s="109"/>
      <c r="X858" s="109"/>
      <c r="Y858" s="109"/>
      <c r="Z858" s="109"/>
    </row>
    <row r="859" ht="12.75" customHeight="1">
      <c r="A859" s="109"/>
      <c r="B859" s="109"/>
      <c r="C859" s="109"/>
      <c r="D859" s="109"/>
      <c r="E859" s="109"/>
      <c r="F859" s="154"/>
      <c r="G859" s="154"/>
      <c r="H859" s="109"/>
      <c r="I859" s="109"/>
      <c r="J859" s="109"/>
      <c r="K859" s="109"/>
      <c r="L859" s="109"/>
      <c r="M859" s="109"/>
      <c r="N859" s="109"/>
      <c r="O859" s="109"/>
      <c r="P859" s="109"/>
      <c r="Q859" s="109"/>
      <c r="R859" s="109"/>
      <c r="S859" s="109"/>
      <c r="T859" s="109"/>
      <c r="U859" s="109"/>
      <c r="V859" s="109"/>
      <c r="W859" s="109"/>
      <c r="X859" s="109"/>
      <c r="Y859" s="109"/>
      <c r="Z859" s="109"/>
    </row>
    <row r="860" ht="12.75" customHeight="1">
      <c r="A860" s="109"/>
      <c r="B860" s="109"/>
      <c r="C860" s="109"/>
      <c r="D860" s="109"/>
      <c r="E860" s="109"/>
      <c r="F860" s="154"/>
      <c r="G860" s="154"/>
      <c r="H860" s="109"/>
      <c r="I860" s="109"/>
      <c r="J860" s="109"/>
      <c r="K860" s="109"/>
      <c r="L860" s="109"/>
      <c r="M860" s="109"/>
      <c r="N860" s="109"/>
      <c r="O860" s="109"/>
      <c r="P860" s="109"/>
      <c r="Q860" s="109"/>
      <c r="R860" s="109"/>
      <c r="S860" s="109"/>
      <c r="T860" s="109"/>
      <c r="U860" s="109"/>
      <c r="V860" s="109"/>
      <c r="W860" s="109"/>
      <c r="X860" s="109"/>
      <c r="Y860" s="109"/>
      <c r="Z860" s="109"/>
    </row>
    <row r="861" ht="12.75" customHeight="1">
      <c r="A861" s="109"/>
      <c r="B861" s="109"/>
      <c r="C861" s="109"/>
      <c r="D861" s="109"/>
      <c r="E861" s="109"/>
      <c r="F861" s="154"/>
      <c r="G861" s="154"/>
      <c r="H861" s="109"/>
      <c r="I861" s="109"/>
      <c r="J861" s="109"/>
      <c r="K861" s="109"/>
      <c r="L861" s="109"/>
      <c r="M861" s="109"/>
      <c r="N861" s="109"/>
      <c r="O861" s="109"/>
      <c r="P861" s="109"/>
      <c r="Q861" s="109"/>
      <c r="R861" s="109"/>
      <c r="S861" s="109"/>
      <c r="T861" s="109"/>
      <c r="U861" s="109"/>
      <c r="V861" s="109"/>
      <c r="W861" s="109"/>
      <c r="X861" s="109"/>
      <c r="Y861" s="109"/>
      <c r="Z861" s="109"/>
    </row>
    <row r="862" ht="12.75" customHeight="1">
      <c r="A862" s="109"/>
      <c r="B862" s="109"/>
      <c r="C862" s="109"/>
      <c r="D862" s="109"/>
      <c r="E862" s="109"/>
      <c r="F862" s="154"/>
      <c r="G862" s="154"/>
      <c r="H862" s="109"/>
      <c r="I862" s="109"/>
      <c r="J862" s="109"/>
      <c r="K862" s="109"/>
      <c r="L862" s="109"/>
      <c r="M862" s="109"/>
      <c r="N862" s="109"/>
      <c r="O862" s="109"/>
      <c r="P862" s="109"/>
      <c r="Q862" s="109"/>
      <c r="R862" s="109"/>
      <c r="S862" s="109"/>
      <c r="T862" s="109"/>
      <c r="U862" s="109"/>
      <c r="V862" s="109"/>
      <c r="W862" s="109"/>
      <c r="X862" s="109"/>
      <c r="Y862" s="109"/>
      <c r="Z862" s="109"/>
    </row>
    <row r="863" ht="12.75" customHeight="1">
      <c r="A863" s="109"/>
      <c r="B863" s="109"/>
      <c r="C863" s="109"/>
      <c r="D863" s="109"/>
      <c r="E863" s="109"/>
      <c r="F863" s="154"/>
      <c r="G863" s="154"/>
      <c r="H863" s="109"/>
      <c r="I863" s="109"/>
      <c r="J863" s="109"/>
      <c r="K863" s="109"/>
      <c r="L863" s="109"/>
      <c r="M863" s="109"/>
      <c r="N863" s="109"/>
      <c r="O863" s="109"/>
      <c r="P863" s="109"/>
      <c r="Q863" s="109"/>
      <c r="R863" s="109"/>
      <c r="S863" s="109"/>
      <c r="T863" s="109"/>
      <c r="U863" s="109"/>
      <c r="V863" s="109"/>
      <c r="W863" s="109"/>
      <c r="X863" s="109"/>
      <c r="Y863" s="109"/>
      <c r="Z863" s="109"/>
    </row>
    <row r="864" ht="12.75" customHeight="1">
      <c r="A864" s="109"/>
      <c r="B864" s="109"/>
      <c r="C864" s="109"/>
      <c r="D864" s="109"/>
      <c r="E864" s="109"/>
      <c r="F864" s="154"/>
      <c r="G864" s="154"/>
      <c r="H864" s="109"/>
      <c r="I864" s="109"/>
      <c r="J864" s="109"/>
      <c r="K864" s="109"/>
      <c r="L864" s="109"/>
      <c r="M864" s="109"/>
      <c r="N864" s="109"/>
      <c r="O864" s="109"/>
      <c r="P864" s="109"/>
      <c r="Q864" s="109"/>
      <c r="R864" s="109"/>
      <c r="S864" s="109"/>
      <c r="T864" s="109"/>
      <c r="U864" s="109"/>
      <c r="V864" s="109"/>
      <c r="W864" s="109"/>
      <c r="X864" s="109"/>
      <c r="Y864" s="109"/>
      <c r="Z864" s="109"/>
    </row>
    <row r="865" ht="12.75" customHeight="1">
      <c r="A865" s="109"/>
      <c r="B865" s="109"/>
      <c r="C865" s="109"/>
      <c r="D865" s="109"/>
      <c r="E865" s="109"/>
      <c r="F865" s="154"/>
      <c r="G865" s="154"/>
      <c r="H865" s="109"/>
      <c r="I865" s="109"/>
      <c r="J865" s="109"/>
      <c r="K865" s="109"/>
      <c r="L865" s="109"/>
      <c r="M865" s="109"/>
      <c r="N865" s="109"/>
      <c r="O865" s="109"/>
      <c r="P865" s="109"/>
      <c r="Q865" s="109"/>
      <c r="R865" s="109"/>
      <c r="S865" s="109"/>
      <c r="T865" s="109"/>
      <c r="U865" s="109"/>
      <c r="V865" s="109"/>
      <c r="W865" s="109"/>
      <c r="X865" s="109"/>
      <c r="Y865" s="109"/>
      <c r="Z865" s="109"/>
    </row>
    <row r="866" ht="12.75" customHeight="1">
      <c r="A866" s="109"/>
      <c r="B866" s="109"/>
      <c r="C866" s="109"/>
      <c r="D866" s="109"/>
      <c r="E866" s="109"/>
      <c r="F866" s="154"/>
      <c r="G866" s="154"/>
      <c r="H866" s="109"/>
      <c r="I866" s="109"/>
      <c r="J866" s="109"/>
      <c r="K866" s="109"/>
      <c r="L866" s="109"/>
      <c r="M866" s="109"/>
      <c r="N866" s="109"/>
      <c r="O866" s="109"/>
      <c r="P866" s="109"/>
      <c r="Q866" s="109"/>
      <c r="R866" s="109"/>
      <c r="S866" s="109"/>
      <c r="T866" s="109"/>
      <c r="U866" s="109"/>
      <c r="V866" s="109"/>
      <c r="W866" s="109"/>
      <c r="X866" s="109"/>
      <c r="Y866" s="109"/>
      <c r="Z866" s="109"/>
    </row>
    <row r="867" ht="12.75" customHeight="1">
      <c r="A867" s="109"/>
      <c r="B867" s="109"/>
      <c r="C867" s="109"/>
      <c r="D867" s="109"/>
      <c r="E867" s="109"/>
      <c r="F867" s="154"/>
      <c r="G867" s="154"/>
      <c r="H867" s="109"/>
      <c r="I867" s="109"/>
      <c r="J867" s="109"/>
      <c r="K867" s="109"/>
      <c r="L867" s="109"/>
      <c r="M867" s="109"/>
      <c r="N867" s="109"/>
      <c r="O867" s="109"/>
      <c r="P867" s="109"/>
      <c r="Q867" s="109"/>
      <c r="R867" s="109"/>
      <c r="S867" s="109"/>
      <c r="T867" s="109"/>
      <c r="U867" s="109"/>
      <c r="V867" s="109"/>
      <c r="W867" s="109"/>
      <c r="X867" s="109"/>
      <c r="Y867" s="109"/>
      <c r="Z867" s="109"/>
    </row>
    <row r="868" ht="12.75" customHeight="1">
      <c r="A868" s="109"/>
      <c r="B868" s="109"/>
      <c r="C868" s="109"/>
      <c r="D868" s="109"/>
      <c r="E868" s="109"/>
      <c r="F868" s="154"/>
      <c r="G868" s="154"/>
      <c r="H868" s="109"/>
      <c r="I868" s="109"/>
      <c r="J868" s="109"/>
      <c r="K868" s="109"/>
      <c r="L868" s="109"/>
      <c r="M868" s="109"/>
      <c r="N868" s="109"/>
      <c r="O868" s="109"/>
      <c r="P868" s="109"/>
      <c r="Q868" s="109"/>
      <c r="R868" s="109"/>
      <c r="S868" s="109"/>
      <c r="T868" s="109"/>
      <c r="U868" s="109"/>
      <c r="V868" s="109"/>
      <c r="W868" s="109"/>
      <c r="X868" s="109"/>
      <c r="Y868" s="109"/>
      <c r="Z868" s="109"/>
    </row>
    <row r="869" ht="12.75" customHeight="1">
      <c r="A869" s="109"/>
      <c r="B869" s="109"/>
      <c r="C869" s="109"/>
      <c r="D869" s="109"/>
      <c r="E869" s="109"/>
      <c r="F869" s="154"/>
      <c r="G869" s="154"/>
      <c r="H869" s="109"/>
      <c r="I869" s="109"/>
      <c r="J869" s="109"/>
      <c r="K869" s="109"/>
      <c r="L869" s="109"/>
      <c r="M869" s="109"/>
      <c r="N869" s="109"/>
      <c r="O869" s="109"/>
      <c r="P869" s="109"/>
      <c r="Q869" s="109"/>
      <c r="R869" s="109"/>
      <c r="S869" s="109"/>
      <c r="T869" s="109"/>
      <c r="U869" s="109"/>
      <c r="V869" s="109"/>
      <c r="W869" s="109"/>
      <c r="X869" s="109"/>
      <c r="Y869" s="109"/>
      <c r="Z869" s="109"/>
    </row>
    <row r="870" ht="12.75" customHeight="1">
      <c r="A870" s="109"/>
      <c r="B870" s="109"/>
      <c r="C870" s="109"/>
      <c r="D870" s="109"/>
      <c r="E870" s="109"/>
      <c r="F870" s="154"/>
      <c r="G870" s="154"/>
      <c r="H870" s="109"/>
      <c r="I870" s="109"/>
      <c r="J870" s="109"/>
      <c r="K870" s="109"/>
      <c r="L870" s="109"/>
      <c r="M870" s="109"/>
      <c r="N870" s="109"/>
      <c r="O870" s="109"/>
      <c r="P870" s="109"/>
      <c r="Q870" s="109"/>
      <c r="R870" s="109"/>
      <c r="S870" s="109"/>
      <c r="T870" s="109"/>
      <c r="U870" s="109"/>
      <c r="V870" s="109"/>
      <c r="W870" s="109"/>
      <c r="X870" s="109"/>
      <c r="Y870" s="109"/>
      <c r="Z870" s="109"/>
    </row>
    <row r="871" ht="12.75" customHeight="1">
      <c r="A871" s="109"/>
      <c r="B871" s="109"/>
      <c r="C871" s="109"/>
      <c r="D871" s="109"/>
      <c r="E871" s="109"/>
      <c r="F871" s="154"/>
      <c r="G871" s="154"/>
      <c r="H871" s="109"/>
      <c r="I871" s="109"/>
      <c r="J871" s="109"/>
      <c r="K871" s="109"/>
      <c r="L871" s="109"/>
      <c r="M871" s="109"/>
      <c r="N871" s="109"/>
      <c r="O871" s="109"/>
      <c r="P871" s="109"/>
      <c r="Q871" s="109"/>
      <c r="R871" s="109"/>
      <c r="S871" s="109"/>
      <c r="T871" s="109"/>
      <c r="U871" s="109"/>
      <c r="V871" s="109"/>
      <c r="W871" s="109"/>
      <c r="X871" s="109"/>
      <c r="Y871" s="109"/>
      <c r="Z871" s="109"/>
    </row>
    <row r="872" ht="12.75" customHeight="1">
      <c r="A872" s="109"/>
      <c r="B872" s="109"/>
      <c r="C872" s="109"/>
      <c r="D872" s="109"/>
      <c r="E872" s="109"/>
      <c r="F872" s="154"/>
      <c r="G872" s="154"/>
      <c r="H872" s="109"/>
      <c r="I872" s="109"/>
      <c r="J872" s="109"/>
      <c r="K872" s="109"/>
      <c r="L872" s="109"/>
      <c r="M872" s="109"/>
      <c r="N872" s="109"/>
      <c r="O872" s="109"/>
      <c r="P872" s="109"/>
      <c r="Q872" s="109"/>
      <c r="R872" s="109"/>
      <c r="S872" s="109"/>
      <c r="T872" s="109"/>
      <c r="U872" s="109"/>
      <c r="V872" s="109"/>
      <c r="W872" s="109"/>
      <c r="X872" s="109"/>
      <c r="Y872" s="109"/>
      <c r="Z872" s="109"/>
    </row>
    <row r="873" ht="12.75" customHeight="1">
      <c r="A873" s="109"/>
      <c r="B873" s="109"/>
      <c r="C873" s="109"/>
      <c r="D873" s="109"/>
      <c r="E873" s="109"/>
      <c r="F873" s="154"/>
      <c r="G873" s="154"/>
      <c r="H873" s="109"/>
      <c r="I873" s="109"/>
      <c r="J873" s="109"/>
      <c r="K873" s="109"/>
      <c r="L873" s="109"/>
      <c r="M873" s="109"/>
      <c r="N873" s="109"/>
      <c r="O873" s="109"/>
      <c r="P873" s="109"/>
      <c r="Q873" s="109"/>
      <c r="R873" s="109"/>
      <c r="S873" s="109"/>
      <c r="T873" s="109"/>
      <c r="U873" s="109"/>
      <c r="V873" s="109"/>
      <c r="W873" s="109"/>
      <c r="X873" s="109"/>
      <c r="Y873" s="109"/>
      <c r="Z873" s="109"/>
    </row>
    <row r="874" ht="12.75" customHeight="1">
      <c r="A874" s="109"/>
      <c r="B874" s="109"/>
      <c r="C874" s="109"/>
      <c r="D874" s="109"/>
      <c r="E874" s="109"/>
      <c r="F874" s="154"/>
      <c r="G874" s="154"/>
      <c r="H874" s="109"/>
      <c r="I874" s="109"/>
      <c r="J874" s="109"/>
      <c r="K874" s="109"/>
      <c r="L874" s="109"/>
      <c r="M874" s="109"/>
      <c r="N874" s="109"/>
      <c r="O874" s="109"/>
      <c r="P874" s="109"/>
      <c r="Q874" s="109"/>
      <c r="R874" s="109"/>
      <c r="S874" s="109"/>
      <c r="T874" s="109"/>
      <c r="U874" s="109"/>
      <c r="V874" s="109"/>
      <c r="W874" s="109"/>
      <c r="X874" s="109"/>
      <c r="Y874" s="109"/>
      <c r="Z874" s="109"/>
    </row>
    <row r="875" ht="12.75" customHeight="1">
      <c r="A875" s="109"/>
      <c r="B875" s="109"/>
      <c r="C875" s="109"/>
      <c r="D875" s="109"/>
      <c r="E875" s="109"/>
      <c r="F875" s="154"/>
      <c r="G875" s="154"/>
      <c r="H875" s="109"/>
      <c r="I875" s="109"/>
      <c r="J875" s="109"/>
      <c r="K875" s="109"/>
      <c r="L875" s="109"/>
      <c r="M875" s="109"/>
      <c r="N875" s="109"/>
      <c r="O875" s="109"/>
      <c r="P875" s="109"/>
      <c r="Q875" s="109"/>
      <c r="R875" s="109"/>
      <c r="S875" s="109"/>
      <c r="T875" s="109"/>
      <c r="U875" s="109"/>
      <c r="V875" s="109"/>
      <c r="W875" s="109"/>
      <c r="X875" s="109"/>
      <c r="Y875" s="109"/>
      <c r="Z875" s="109"/>
    </row>
    <row r="876" ht="12.75" customHeight="1">
      <c r="A876" s="109"/>
      <c r="B876" s="109"/>
      <c r="C876" s="109"/>
      <c r="D876" s="109"/>
      <c r="E876" s="109"/>
      <c r="F876" s="154"/>
      <c r="G876" s="154"/>
      <c r="H876" s="109"/>
      <c r="I876" s="109"/>
      <c r="J876" s="109"/>
      <c r="K876" s="109"/>
      <c r="L876" s="109"/>
      <c r="M876" s="109"/>
      <c r="N876" s="109"/>
      <c r="O876" s="109"/>
      <c r="P876" s="109"/>
      <c r="Q876" s="109"/>
      <c r="R876" s="109"/>
      <c r="S876" s="109"/>
      <c r="T876" s="109"/>
      <c r="U876" s="109"/>
      <c r="V876" s="109"/>
      <c r="W876" s="109"/>
      <c r="X876" s="109"/>
      <c r="Y876" s="109"/>
      <c r="Z876" s="109"/>
    </row>
    <row r="877" ht="12.75" customHeight="1">
      <c r="A877" s="109"/>
      <c r="B877" s="109"/>
      <c r="C877" s="109"/>
      <c r="D877" s="109"/>
      <c r="E877" s="109"/>
      <c r="F877" s="154"/>
      <c r="G877" s="154"/>
      <c r="H877" s="109"/>
      <c r="I877" s="109"/>
      <c r="J877" s="109"/>
      <c r="K877" s="109"/>
      <c r="L877" s="109"/>
      <c r="M877" s="109"/>
      <c r="N877" s="109"/>
      <c r="O877" s="109"/>
      <c r="P877" s="109"/>
      <c r="Q877" s="109"/>
      <c r="R877" s="109"/>
      <c r="S877" s="109"/>
      <c r="T877" s="109"/>
      <c r="U877" s="109"/>
      <c r="V877" s="109"/>
      <c r="W877" s="109"/>
      <c r="X877" s="109"/>
      <c r="Y877" s="109"/>
      <c r="Z877" s="109"/>
    </row>
    <row r="878" ht="12.75" customHeight="1">
      <c r="A878" s="109"/>
      <c r="B878" s="109"/>
      <c r="C878" s="109"/>
      <c r="D878" s="109"/>
      <c r="E878" s="109"/>
      <c r="F878" s="154"/>
      <c r="G878" s="154"/>
      <c r="H878" s="109"/>
      <c r="I878" s="109"/>
      <c r="J878" s="109"/>
      <c r="K878" s="109"/>
      <c r="L878" s="109"/>
      <c r="M878" s="109"/>
      <c r="N878" s="109"/>
      <c r="O878" s="109"/>
      <c r="P878" s="109"/>
      <c r="Q878" s="109"/>
      <c r="R878" s="109"/>
      <c r="S878" s="109"/>
      <c r="T878" s="109"/>
      <c r="U878" s="109"/>
      <c r="V878" s="109"/>
      <c r="W878" s="109"/>
      <c r="X878" s="109"/>
      <c r="Y878" s="109"/>
      <c r="Z878" s="109"/>
    </row>
    <row r="879" ht="12.75" customHeight="1">
      <c r="A879" s="109"/>
      <c r="B879" s="109"/>
      <c r="C879" s="109"/>
      <c r="D879" s="109"/>
      <c r="E879" s="109"/>
      <c r="F879" s="154"/>
      <c r="G879" s="154"/>
      <c r="H879" s="109"/>
      <c r="I879" s="109"/>
      <c r="J879" s="109"/>
      <c r="K879" s="109"/>
      <c r="L879" s="109"/>
      <c r="M879" s="109"/>
      <c r="N879" s="109"/>
      <c r="O879" s="109"/>
      <c r="P879" s="109"/>
      <c r="Q879" s="109"/>
      <c r="R879" s="109"/>
      <c r="S879" s="109"/>
      <c r="T879" s="109"/>
      <c r="U879" s="109"/>
      <c r="V879" s="109"/>
      <c r="W879" s="109"/>
      <c r="X879" s="109"/>
      <c r="Y879" s="109"/>
      <c r="Z879" s="109"/>
    </row>
    <row r="880" ht="12.75" customHeight="1">
      <c r="A880" s="109"/>
      <c r="B880" s="109"/>
      <c r="C880" s="109"/>
      <c r="D880" s="109"/>
      <c r="E880" s="109"/>
      <c r="F880" s="154"/>
      <c r="G880" s="154"/>
      <c r="H880" s="109"/>
      <c r="I880" s="109"/>
      <c r="J880" s="109"/>
      <c r="K880" s="109"/>
      <c r="L880" s="109"/>
      <c r="M880" s="109"/>
      <c r="N880" s="109"/>
      <c r="O880" s="109"/>
      <c r="P880" s="109"/>
      <c r="Q880" s="109"/>
      <c r="R880" s="109"/>
      <c r="S880" s="109"/>
      <c r="T880" s="109"/>
      <c r="U880" s="109"/>
      <c r="V880" s="109"/>
      <c r="W880" s="109"/>
      <c r="X880" s="109"/>
      <c r="Y880" s="109"/>
      <c r="Z880" s="109"/>
    </row>
    <row r="881" ht="12.75" customHeight="1">
      <c r="A881" s="109"/>
      <c r="B881" s="109"/>
      <c r="C881" s="109"/>
      <c r="D881" s="109"/>
      <c r="E881" s="109"/>
      <c r="F881" s="154"/>
      <c r="G881" s="154"/>
      <c r="H881" s="109"/>
      <c r="I881" s="109"/>
      <c r="J881" s="109"/>
      <c r="K881" s="109"/>
      <c r="L881" s="109"/>
      <c r="M881" s="109"/>
      <c r="N881" s="109"/>
      <c r="O881" s="109"/>
      <c r="P881" s="109"/>
      <c r="Q881" s="109"/>
      <c r="R881" s="109"/>
      <c r="S881" s="109"/>
      <c r="T881" s="109"/>
      <c r="U881" s="109"/>
      <c r="V881" s="109"/>
      <c r="W881" s="109"/>
      <c r="X881" s="109"/>
      <c r="Y881" s="109"/>
      <c r="Z881" s="109"/>
    </row>
    <row r="882" ht="12.75" customHeight="1">
      <c r="A882" s="109"/>
      <c r="B882" s="109"/>
      <c r="C882" s="109"/>
      <c r="D882" s="109"/>
      <c r="E882" s="109"/>
      <c r="F882" s="154"/>
      <c r="G882" s="154"/>
      <c r="H882" s="109"/>
      <c r="I882" s="109"/>
      <c r="J882" s="109"/>
      <c r="K882" s="109"/>
      <c r="L882" s="109"/>
      <c r="M882" s="109"/>
      <c r="N882" s="109"/>
      <c r="O882" s="109"/>
      <c r="P882" s="109"/>
      <c r="Q882" s="109"/>
      <c r="R882" s="109"/>
      <c r="S882" s="109"/>
      <c r="T882" s="109"/>
      <c r="U882" s="109"/>
      <c r="V882" s="109"/>
      <c r="W882" s="109"/>
      <c r="X882" s="109"/>
      <c r="Y882" s="109"/>
      <c r="Z882" s="109"/>
    </row>
    <row r="883" ht="12.75" customHeight="1">
      <c r="A883" s="109"/>
      <c r="B883" s="109"/>
      <c r="C883" s="109"/>
      <c r="D883" s="109"/>
      <c r="E883" s="109"/>
      <c r="F883" s="154"/>
      <c r="G883" s="154"/>
      <c r="H883" s="109"/>
      <c r="I883" s="109"/>
      <c r="J883" s="109"/>
      <c r="K883" s="109"/>
      <c r="L883" s="109"/>
      <c r="M883" s="109"/>
      <c r="N883" s="109"/>
      <c r="O883" s="109"/>
      <c r="P883" s="109"/>
      <c r="Q883" s="109"/>
      <c r="R883" s="109"/>
      <c r="S883" s="109"/>
      <c r="T883" s="109"/>
      <c r="U883" s="109"/>
      <c r="V883" s="109"/>
      <c r="W883" s="109"/>
      <c r="X883" s="109"/>
      <c r="Y883" s="109"/>
      <c r="Z883" s="109"/>
    </row>
    <row r="884" ht="12.75" customHeight="1">
      <c r="A884" s="109"/>
      <c r="B884" s="109"/>
      <c r="C884" s="109"/>
      <c r="D884" s="109"/>
      <c r="E884" s="109"/>
      <c r="F884" s="154"/>
      <c r="G884" s="154"/>
      <c r="H884" s="109"/>
      <c r="I884" s="109"/>
      <c r="J884" s="109"/>
      <c r="K884" s="109"/>
      <c r="L884" s="109"/>
      <c r="M884" s="109"/>
      <c r="N884" s="109"/>
      <c r="O884" s="109"/>
      <c r="P884" s="109"/>
      <c r="Q884" s="109"/>
      <c r="R884" s="109"/>
      <c r="S884" s="109"/>
      <c r="T884" s="109"/>
      <c r="U884" s="109"/>
      <c r="V884" s="109"/>
      <c r="W884" s="109"/>
      <c r="X884" s="109"/>
      <c r="Y884" s="109"/>
      <c r="Z884" s="109"/>
    </row>
    <row r="885" ht="12.75" customHeight="1">
      <c r="A885" s="109"/>
      <c r="B885" s="109"/>
      <c r="C885" s="109"/>
      <c r="D885" s="109"/>
      <c r="E885" s="109"/>
      <c r="F885" s="154"/>
      <c r="G885" s="154"/>
      <c r="H885" s="109"/>
      <c r="I885" s="109"/>
      <c r="J885" s="109"/>
      <c r="K885" s="109"/>
      <c r="L885" s="109"/>
      <c r="M885" s="109"/>
      <c r="N885" s="109"/>
      <c r="O885" s="109"/>
      <c r="P885" s="109"/>
      <c r="Q885" s="109"/>
      <c r="R885" s="109"/>
      <c r="S885" s="109"/>
      <c r="T885" s="109"/>
      <c r="U885" s="109"/>
      <c r="V885" s="109"/>
      <c r="W885" s="109"/>
      <c r="X885" s="109"/>
      <c r="Y885" s="109"/>
      <c r="Z885" s="109"/>
    </row>
    <row r="886" ht="12.75" customHeight="1">
      <c r="A886" s="109"/>
      <c r="B886" s="109"/>
      <c r="C886" s="109"/>
      <c r="D886" s="109"/>
      <c r="E886" s="109"/>
      <c r="F886" s="154"/>
      <c r="G886" s="154"/>
      <c r="H886" s="109"/>
      <c r="I886" s="109"/>
      <c r="J886" s="109"/>
      <c r="K886" s="109"/>
      <c r="L886" s="109"/>
      <c r="M886" s="109"/>
      <c r="N886" s="109"/>
      <c r="O886" s="109"/>
      <c r="P886" s="109"/>
      <c r="Q886" s="109"/>
      <c r="R886" s="109"/>
      <c r="S886" s="109"/>
      <c r="T886" s="109"/>
      <c r="U886" s="109"/>
      <c r="V886" s="109"/>
      <c r="W886" s="109"/>
      <c r="X886" s="109"/>
      <c r="Y886" s="109"/>
      <c r="Z886" s="109"/>
    </row>
    <row r="887" ht="12.75" customHeight="1">
      <c r="A887" s="109"/>
      <c r="B887" s="109"/>
      <c r="C887" s="109"/>
      <c r="D887" s="109"/>
      <c r="E887" s="109"/>
      <c r="F887" s="154"/>
      <c r="G887" s="154"/>
      <c r="H887" s="109"/>
      <c r="I887" s="109"/>
      <c r="J887" s="109"/>
      <c r="K887" s="109"/>
      <c r="L887" s="109"/>
      <c r="M887" s="109"/>
      <c r="N887" s="109"/>
      <c r="O887" s="109"/>
      <c r="P887" s="109"/>
      <c r="Q887" s="109"/>
      <c r="R887" s="109"/>
      <c r="S887" s="109"/>
      <c r="T887" s="109"/>
      <c r="U887" s="109"/>
      <c r="V887" s="109"/>
      <c r="W887" s="109"/>
      <c r="X887" s="109"/>
      <c r="Y887" s="109"/>
      <c r="Z887" s="109"/>
    </row>
    <row r="888" ht="12.75" customHeight="1">
      <c r="A888" s="109"/>
      <c r="B888" s="109"/>
      <c r="C888" s="109"/>
      <c r="D888" s="109"/>
      <c r="E888" s="109"/>
      <c r="F888" s="154"/>
      <c r="G888" s="154"/>
      <c r="H888" s="109"/>
      <c r="I888" s="109"/>
      <c r="J888" s="109"/>
      <c r="K888" s="109"/>
      <c r="L888" s="109"/>
      <c r="M888" s="109"/>
      <c r="N888" s="109"/>
      <c r="O888" s="109"/>
      <c r="P888" s="109"/>
      <c r="Q888" s="109"/>
      <c r="R888" s="109"/>
      <c r="S888" s="109"/>
      <c r="T888" s="109"/>
      <c r="U888" s="109"/>
      <c r="V888" s="109"/>
      <c r="W888" s="109"/>
      <c r="X888" s="109"/>
      <c r="Y888" s="109"/>
      <c r="Z888" s="109"/>
    </row>
    <row r="889" ht="12.75" customHeight="1">
      <c r="A889" s="109"/>
      <c r="B889" s="109"/>
      <c r="C889" s="109"/>
      <c r="D889" s="109"/>
      <c r="E889" s="109"/>
      <c r="F889" s="154"/>
      <c r="G889" s="154"/>
      <c r="H889" s="109"/>
      <c r="I889" s="109"/>
      <c r="J889" s="109"/>
      <c r="K889" s="109"/>
      <c r="L889" s="109"/>
      <c r="M889" s="109"/>
      <c r="N889" s="109"/>
      <c r="O889" s="109"/>
      <c r="P889" s="109"/>
      <c r="Q889" s="109"/>
      <c r="R889" s="109"/>
      <c r="S889" s="109"/>
      <c r="T889" s="109"/>
      <c r="U889" s="109"/>
      <c r="V889" s="109"/>
      <c r="W889" s="109"/>
      <c r="X889" s="109"/>
      <c r="Y889" s="109"/>
      <c r="Z889" s="109"/>
    </row>
    <row r="890" ht="12.75" customHeight="1">
      <c r="A890" s="109"/>
      <c r="B890" s="109"/>
      <c r="C890" s="109"/>
      <c r="D890" s="109"/>
      <c r="E890" s="109"/>
      <c r="F890" s="154"/>
      <c r="G890" s="154"/>
      <c r="H890" s="109"/>
      <c r="I890" s="109"/>
      <c r="J890" s="109"/>
      <c r="K890" s="109"/>
      <c r="L890" s="109"/>
      <c r="M890" s="109"/>
      <c r="N890" s="109"/>
      <c r="O890" s="109"/>
      <c r="P890" s="109"/>
      <c r="Q890" s="109"/>
      <c r="R890" s="109"/>
      <c r="S890" s="109"/>
      <c r="T890" s="109"/>
      <c r="U890" s="109"/>
      <c r="V890" s="109"/>
      <c r="W890" s="109"/>
      <c r="X890" s="109"/>
      <c r="Y890" s="109"/>
      <c r="Z890" s="109"/>
    </row>
    <row r="891" ht="12.75" customHeight="1">
      <c r="A891" s="109"/>
      <c r="B891" s="109"/>
      <c r="C891" s="109"/>
      <c r="D891" s="109"/>
      <c r="E891" s="109"/>
      <c r="F891" s="154"/>
      <c r="G891" s="154"/>
      <c r="H891" s="109"/>
      <c r="I891" s="109"/>
      <c r="J891" s="109"/>
      <c r="K891" s="109"/>
      <c r="L891" s="109"/>
      <c r="M891" s="109"/>
      <c r="N891" s="109"/>
      <c r="O891" s="109"/>
      <c r="P891" s="109"/>
      <c r="Q891" s="109"/>
      <c r="R891" s="109"/>
      <c r="S891" s="109"/>
      <c r="T891" s="109"/>
      <c r="U891" s="109"/>
      <c r="V891" s="109"/>
      <c r="W891" s="109"/>
      <c r="X891" s="109"/>
      <c r="Y891" s="109"/>
      <c r="Z891" s="109"/>
    </row>
    <row r="892" ht="12.75" customHeight="1">
      <c r="A892" s="109"/>
      <c r="B892" s="109"/>
      <c r="C892" s="109"/>
      <c r="D892" s="109"/>
      <c r="E892" s="109"/>
      <c r="F892" s="154"/>
      <c r="G892" s="154"/>
      <c r="H892" s="109"/>
      <c r="I892" s="109"/>
      <c r="J892" s="109"/>
      <c r="K892" s="109"/>
      <c r="L892" s="109"/>
      <c r="M892" s="109"/>
      <c r="N892" s="109"/>
      <c r="O892" s="109"/>
      <c r="P892" s="109"/>
      <c r="Q892" s="109"/>
      <c r="R892" s="109"/>
      <c r="S892" s="109"/>
      <c r="T892" s="109"/>
      <c r="U892" s="109"/>
      <c r="V892" s="109"/>
      <c r="W892" s="109"/>
      <c r="X892" s="109"/>
      <c r="Y892" s="109"/>
      <c r="Z892" s="109"/>
    </row>
    <row r="893" ht="12.75" customHeight="1">
      <c r="A893" s="109"/>
      <c r="B893" s="109"/>
      <c r="C893" s="109"/>
      <c r="D893" s="109"/>
      <c r="E893" s="109"/>
      <c r="F893" s="154"/>
      <c r="G893" s="154"/>
      <c r="H893" s="109"/>
      <c r="I893" s="109"/>
      <c r="J893" s="109"/>
      <c r="K893" s="109"/>
      <c r="L893" s="109"/>
      <c r="M893" s="109"/>
      <c r="N893" s="109"/>
      <c r="O893" s="109"/>
      <c r="P893" s="109"/>
      <c r="Q893" s="109"/>
      <c r="R893" s="109"/>
      <c r="S893" s="109"/>
      <c r="T893" s="109"/>
      <c r="U893" s="109"/>
      <c r="V893" s="109"/>
      <c r="W893" s="109"/>
      <c r="X893" s="109"/>
      <c r="Y893" s="109"/>
      <c r="Z893" s="109"/>
    </row>
    <row r="894" ht="12.75" customHeight="1">
      <c r="A894" s="109"/>
      <c r="B894" s="109"/>
      <c r="C894" s="109"/>
      <c r="D894" s="109"/>
      <c r="E894" s="109"/>
      <c r="F894" s="154"/>
      <c r="G894" s="154"/>
      <c r="H894" s="109"/>
      <c r="I894" s="109"/>
      <c r="J894" s="109"/>
      <c r="K894" s="109"/>
      <c r="L894" s="109"/>
      <c r="M894" s="109"/>
      <c r="N894" s="109"/>
      <c r="O894" s="109"/>
      <c r="P894" s="109"/>
      <c r="Q894" s="109"/>
      <c r="R894" s="109"/>
      <c r="S894" s="109"/>
      <c r="T894" s="109"/>
      <c r="U894" s="109"/>
      <c r="V894" s="109"/>
      <c r="W894" s="109"/>
      <c r="X894" s="109"/>
      <c r="Y894" s="109"/>
      <c r="Z894" s="109"/>
    </row>
    <row r="895" ht="12.75" customHeight="1">
      <c r="A895" s="109"/>
      <c r="B895" s="109"/>
      <c r="C895" s="109"/>
      <c r="D895" s="109"/>
      <c r="E895" s="109"/>
      <c r="F895" s="154"/>
      <c r="G895" s="154"/>
      <c r="H895" s="109"/>
      <c r="I895" s="109"/>
      <c r="J895" s="109"/>
      <c r="K895" s="109"/>
      <c r="L895" s="109"/>
      <c r="M895" s="109"/>
      <c r="N895" s="109"/>
      <c r="O895" s="109"/>
      <c r="P895" s="109"/>
      <c r="Q895" s="109"/>
      <c r="R895" s="109"/>
      <c r="S895" s="109"/>
      <c r="T895" s="109"/>
      <c r="U895" s="109"/>
      <c r="V895" s="109"/>
      <c r="W895" s="109"/>
      <c r="X895" s="109"/>
      <c r="Y895" s="109"/>
      <c r="Z895" s="109"/>
    </row>
    <row r="896" ht="12.75" customHeight="1">
      <c r="A896" s="109"/>
      <c r="B896" s="109"/>
      <c r="C896" s="109"/>
      <c r="D896" s="109"/>
      <c r="E896" s="109"/>
      <c r="F896" s="154"/>
      <c r="G896" s="154"/>
      <c r="H896" s="109"/>
      <c r="I896" s="109"/>
      <c r="J896" s="109"/>
      <c r="K896" s="109"/>
      <c r="L896" s="109"/>
      <c r="M896" s="109"/>
      <c r="N896" s="109"/>
      <c r="O896" s="109"/>
      <c r="P896" s="109"/>
      <c r="Q896" s="109"/>
      <c r="R896" s="109"/>
      <c r="S896" s="109"/>
      <c r="T896" s="109"/>
      <c r="U896" s="109"/>
      <c r="V896" s="109"/>
      <c r="W896" s="109"/>
      <c r="X896" s="109"/>
      <c r="Y896" s="109"/>
      <c r="Z896" s="109"/>
    </row>
    <row r="897" ht="12.75" customHeight="1">
      <c r="A897" s="109"/>
      <c r="B897" s="109"/>
      <c r="C897" s="109"/>
      <c r="D897" s="109"/>
      <c r="E897" s="109"/>
      <c r="F897" s="154"/>
      <c r="G897" s="154"/>
      <c r="H897" s="109"/>
      <c r="I897" s="109"/>
      <c r="J897" s="109"/>
      <c r="K897" s="109"/>
      <c r="L897" s="109"/>
      <c r="M897" s="109"/>
      <c r="N897" s="109"/>
      <c r="O897" s="109"/>
      <c r="P897" s="109"/>
      <c r="Q897" s="109"/>
      <c r="R897" s="109"/>
      <c r="S897" s="109"/>
      <c r="T897" s="109"/>
      <c r="U897" s="109"/>
      <c r="V897" s="109"/>
      <c r="W897" s="109"/>
      <c r="X897" s="109"/>
      <c r="Y897" s="109"/>
      <c r="Z897" s="109"/>
    </row>
    <row r="898" ht="12.75" customHeight="1">
      <c r="A898" s="109"/>
      <c r="B898" s="109"/>
      <c r="C898" s="109"/>
      <c r="D898" s="109"/>
      <c r="E898" s="109"/>
      <c r="F898" s="154"/>
      <c r="G898" s="154"/>
      <c r="H898" s="109"/>
      <c r="I898" s="109"/>
      <c r="J898" s="109"/>
      <c r="K898" s="109"/>
      <c r="L898" s="109"/>
      <c r="M898" s="109"/>
      <c r="N898" s="109"/>
      <c r="O898" s="109"/>
      <c r="P898" s="109"/>
      <c r="Q898" s="109"/>
      <c r="R898" s="109"/>
      <c r="S898" s="109"/>
      <c r="T898" s="109"/>
      <c r="U898" s="109"/>
      <c r="V898" s="109"/>
      <c r="W898" s="109"/>
      <c r="X898" s="109"/>
      <c r="Y898" s="109"/>
      <c r="Z898" s="109"/>
    </row>
    <row r="899" ht="12.75" customHeight="1">
      <c r="A899" s="109"/>
      <c r="B899" s="109"/>
      <c r="C899" s="109"/>
      <c r="D899" s="109"/>
      <c r="E899" s="109"/>
      <c r="F899" s="154"/>
      <c r="G899" s="154"/>
      <c r="H899" s="109"/>
      <c r="I899" s="109"/>
      <c r="J899" s="109"/>
      <c r="K899" s="109"/>
      <c r="L899" s="109"/>
      <c r="M899" s="109"/>
      <c r="N899" s="109"/>
      <c r="O899" s="109"/>
      <c r="P899" s="109"/>
      <c r="Q899" s="109"/>
      <c r="R899" s="109"/>
      <c r="S899" s="109"/>
      <c r="T899" s="109"/>
      <c r="U899" s="109"/>
      <c r="V899" s="109"/>
      <c r="W899" s="109"/>
      <c r="X899" s="109"/>
      <c r="Y899" s="109"/>
      <c r="Z899" s="109"/>
    </row>
    <row r="900" ht="12.75" customHeight="1">
      <c r="A900" s="109"/>
      <c r="B900" s="109"/>
      <c r="C900" s="109"/>
      <c r="D900" s="109"/>
      <c r="E900" s="109"/>
      <c r="F900" s="154"/>
      <c r="G900" s="154"/>
      <c r="H900" s="109"/>
      <c r="I900" s="109"/>
      <c r="J900" s="109"/>
      <c r="K900" s="109"/>
      <c r="L900" s="109"/>
      <c r="M900" s="109"/>
      <c r="N900" s="109"/>
      <c r="O900" s="109"/>
      <c r="P900" s="109"/>
      <c r="Q900" s="109"/>
      <c r="R900" s="109"/>
      <c r="S900" s="109"/>
      <c r="T900" s="109"/>
      <c r="U900" s="109"/>
      <c r="V900" s="109"/>
      <c r="W900" s="109"/>
      <c r="X900" s="109"/>
      <c r="Y900" s="109"/>
      <c r="Z900" s="109"/>
    </row>
    <row r="901" ht="12.75" customHeight="1">
      <c r="A901" s="109"/>
      <c r="B901" s="109"/>
      <c r="C901" s="109"/>
      <c r="D901" s="109"/>
      <c r="E901" s="109"/>
      <c r="F901" s="154"/>
      <c r="G901" s="154"/>
      <c r="H901" s="109"/>
      <c r="I901" s="109"/>
      <c r="J901" s="109"/>
      <c r="K901" s="109"/>
      <c r="L901" s="109"/>
      <c r="M901" s="109"/>
      <c r="N901" s="109"/>
      <c r="O901" s="109"/>
      <c r="P901" s="109"/>
      <c r="Q901" s="109"/>
      <c r="R901" s="109"/>
      <c r="S901" s="109"/>
      <c r="T901" s="109"/>
      <c r="U901" s="109"/>
      <c r="V901" s="109"/>
      <c r="W901" s="109"/>
      <c r="X901" s="109"/>
      <c r="Y901" s="109"/>
      <c r="Z901" s="109"/>
    </row>
    <row r="902" ht="12.75" customHeight="1">
      <c r="A902" s="109"/>
      <c r="B902" s="109"/>
      <c r="C902" s="109"/>
      <c r="D902" s="109"/>
      <c r="E902" s="109"/>
      <c r="F902" s="154"/>
      <c r="G902" s="154"/>
      <c r="H902" s="109"/>
      <c r="I902" s="109"/>
      <c r="J902" s="109"/>
      <c r="K902" s="109"/>
      <c r="L902" s="109"/>
      <c r="M902" s="109"/>
      <c r="N902" s="109"/>
      <c r="O902" s="109"/>
      <c r="P902" s="109"/>
      <c r="Q902" s="109"/>
      <c r="R902" s="109"/>
      <c r="S902" s="109"/>
      <c r="T902" s="109"/>
      <c r="U902" s="109"/>
      <c r="V902" s="109"/>
      <c r="W902" s="109"/>
      <c r="X902" s="109"/>
      <c r="Y902" s="109"/>
      <c r="Z902" s="109"/>
    </row>
    <row r="903" ht="12.75" customHeight="1">
      <c r="A903" s="109"/>
      <c r="B903" s="109"/>
      <c r="C903" s="109"/>
      <c r="D903" s="109"/>
      <c r="E903" s="109"/>
      <c r="F903" s="154"/>
      <c r="G903" s="154"/>
      <c r="H903" s="109"/>
      <c r="I903" s="109"/>
      <c r="J903" s="109"/>
      <c r="K903" s="109"/>
      <c r="L903" s="109"/>
      <c r="M903" s="109"/>
      <c r="N903" s="109"/>
      <c r="O903" s="109"/>
      <c r="P903" s="109"/>
      <c r="Q903" s="109"/>
      <c r="R903" s="109"/>
      <c r="S903" s="109"/>
      <c r="T903" s="109"/>
      <c r="U903" s="109"/>
      <c r="V903" s="109"/>
      <c r="W903" s="109"/>
      <c r="X903" s="109"/>
      <c r="Y903" s="109"/>
      <c r="Z903" s="109"/>
    </row>
    <row r="904" ht="12.75" customHeight="1">
      <c r="A904" s="109"/>
      <c r="B904" s="109"/>
      <c r="C904" s="109"/>
      <c r="D904" s="109"/>
      <c r="E904" s="109"/>
      <c r="F904" s="154"/>
      <c r="G904" s="154"/>
      <c r="H904" s="109"/>
      <c r="I904" s="109"/>
      <c r="J904" s="109"/>
      <c r="K904" s="109"/>
      <c r="L904" s="109"/>
      <c r="M904" s="109"/>
      <c r="N904" s="109"/>
      <c r="O904" s="109"/>
      <c r="P904" s="109"/>
      <c r="Q904" s="109"/>
      <c r="R904" s="109"/>
      <c r="S904" s="109"/>
      <c r="T904" s="109"/>
      <c r="U904" s="109"/>
      <c r="V904" s="109"/>
      <c r="W904" s="109"/>
      <c r="X904" s="109"/>
      <c r="Y904" s="109"/>
      <c r="Z904" s="109"/>
    </row>
    <row r="905" ht="12.75" customHeight="1">
      <c r="A905" s="109"/>
      <c r="B905" s="109"/>
      <c r="C905" s="109"/>
      <c r="D905" s="109"/>
      <c r="E905" s="109"/>
      <c r="F905" s="154"/>
      <c r="G905" s="154"/>
      <c r="H905" s="109"/>
      <c r="I905" s="109"/>
      <c r="J905" s="109"/>
      <c r="K905" s="109"/>
      <c r="L905" s="109"/>
      <c r="M905" s="109"/>
      <c r="N905" s="109"/>
      <c r="O905" s="109"/>
      <c r="P905" s="109"/>
      <c r="Q905" s="109"/>
      <c r="R905" s="109"/>
      <c r="S905" s="109"/>
      <c r="T905" s="109"/>
      <c r="U905" s="109"/>
      <c r="V905" s="109"/>
      <c r="W905" s="109"/>
      <c r="X905" s="109"/>
      <c r="Y905" s="109"/>
      <c r="Z905" s="109"/>
    </row>
    <row r="906" ht="12.75" customHeight="1">
      <c r="A906" s="109"/>
      <c r="B906" s="109"/>
      <c r="C906" s="109"/>
      <c r="D906" s="109"/>
      <c r="E906" s="109"/>
      <c r="F906" s="154"/>
      <c r="G906" s="154"/>
      <c r="H906" s="109"/>
      <c r="I906" s="109"/>
      <c r="J906" s="109"/>
      <c r="K906" s="109"/>
      <c r="L906" s="109"/>
      <c r="M906" s="109"/>
      <c r="N906" s="109"/>
      <c r="O906" s="109"/>
      <c r="P906" s="109"/>
      <c r="Q906" s="109"/>
      <c r="R906" s="109"/>
      <c r="S906" s="109"/>
      <c r="T906" s="109"/>
      <c r="U906" s="109"/>
      <c r="V906" s="109"/>
      <c r="W906" s="109"/>
      <c r="X906" s="109"/>
      <c r="Y906" s="109"/>
      <c r="Z906" s="109"/>
    </row>
    <row r="907" ht="12.75" customHeight="1">
      <c r="A907" s="109"/>
      <c r="B907" s="109"/>
      <c r="C907" s="109"/>
      <c r="D907" s="109"/>
      <c r="E907" s="109"/>
      <c r="F907" s="154"/>
      <c r="G907" s="154"/>
      <c r="H907" s="109"/>
      <c r="I907" s="109"/>
      <c r="J907" s="109"/>
      <c r="K907" s="109"/>
      <c r="L907" s="109"/>
      <c r="M907" s="109"/>
      <c r="N907" s="109"/>
      <c r="O907" s="109"/>
      <c r="P907" s="109"/>
      <c r="Q907" s="109"/>
      <c r="R907" s="109"/>
      <c r="S907" s="109"/>
      <c r="T907" s="109"/>
      <c r="U907" s="109"/>
      <c r="V907" s="109"/>
      <c r="W907" s="109"/>
      <c r="X907" s="109"/>
      <c r="Y907" s="109"/>
      <c r="Z907" s="109"/>
    </row>
    <row r="908" ht="12.75" customHeight="1">
      <c r="A908" s="109"/>
      <c r="B908" s="109"/>
      <c r="C908" s="109"/>
      <c r="D908" s="109"/>
      <c r="E908" s="109"/>
      <c r="F908" s="154"/>
      <c r="G908" s="154"/>
      <c r="H908" s="109"/>
      <c r="I908" s="109"/>
      <c r="J908" s="109"/>
      <c r="K908" s="109"/>
      <c r="L908" s="109"/>
      <c r="M908" s="109"/>
      <c r="N908" s="109"/>
      <c r="O908" s="109"/>
      <c r="P908" s="109"/>
      <c r="Q908" s="109"/>
      <c r="R908" s="109"/>
      <c r="S908" s="109"/>
      <c r="T908" s="109"/>
      <c r="U908" s="109"/>
      <c r="V908" s="109"/>
      <c r="W908" s="109"/>
      <c r="X908" s="109"/>
      <c r="Y908" s="109"/>
      <c r="Z908" s="109"/>
    </row>
    <row r="909" ht="12.75" customHeight="1">
      <c r="A909" s="109"/>
      <c r="B909" s="109"/>
      <c r="C909" s="109"/>
      <c r="D909" s="109"/>
      <c r="E909" s="109"/>
      <c r="F909" s="154"/>
      <c r="G909" s="154"/>
      <c r="H909" s="109"/>
      <c r="I909" s="109"/>
      <c r="J909" s="109"/>
      <c r="K909" s="109"/>
      <c r="L909" s="109"/>
      <c r="M909" s="109"/>
      <c r="N909" s="109"/>
      <c r="O909" s="109"/>
      <c r="P909" s="109"/>
      <c r="Q909" s="109"/>
      <c r="R909" s="109"/>
      <c r="S909" s="109"/>
      <c r="T909" s="109"/>
      <c r="U909" s="109"/>
      <c r="V909" s="109"/>
      <c r="W909" s="109"/>
      <c r="X909" s="109"/>
      <c r="Y909" s="109"/>
      <c r="Z909" s="109"/>
    </row>
    <row r="910" ht="12.75" customHeight="1">
      <c r="A910" s="109"/>
      <c r="B910" s="109"/>
      <c r="C910" s="109"/>
      <c r="D910" s="109"/>
      <c r="E910" s="109"/>
      <c r="F910" s="154"/>
      <c r="G910" s="154"/>
      <c r="H910" s="109"/>
      <c r="I910" s="109"/>
      <c r="J910" s="109"/>
      <c r="K910" s="109"/>
      <c r="L910" s="109"/>
      <c r="M910" s="109"/>
      <c r="N910" s="109"/>
      <c r="O910" s="109"/>
      <c r="P910" s="109"/>
      <c r="Q910" s="109"/>
      <c r="R910" s="109"/>
      <c r="S910" s="109"/>
      <c r="T910" s="109"/>
      <c r="U910" s="109"/>
      <c r="V910" s="109"/>
      <c r="W910" s="109"/>
      <c r="X910" s="109"/>
      <c r="Y910" s="109"/>
      <c r="Z910" s="109"/>
    </row>
    <row r="911" ht="12.75" customHeight="1">
      <c r="A911" s="109"/>
      <c r="B911" s="109"/>
      <c r="C911" s="109"/>
      <c r="D911" s="109"/>
      <c r="E911" s="109"/>
      <c r="F911" s="154"/>
      <c r="G911" s="154"/>
      <c r="H911" s="109"/>
      <c r="I911" s="109"/>
      <c r="J911" s="109"/>
      <c r="K911" s="109"/>
      <c r="L911" s="109"/>
      <c r="M911" s="109"/>
      <c r="N911" s="109"/>
      <c r="O911" s="109"/>
      <c r="P911" s="109"/>
      <c r="Q911" s="109"/>
      <c r="R911" s="109"/>
      <c r="S911" s="109"/>
      <c r="T911" s="109"/>
      <c r="U911" s="109"/>
      <c r="V911" s="109"/>
      <c r="W911" s="109"/>
      <c r="X911" s="109"/>
      <c r="Y911" s="109"/>
      <c r="Z911" s="109"/>
    </row>
    <row r="912" ht="12.75" customHeight="1">
      <c r="A912" s="109"/>
      <c r="B912" s="109"/>
      <c r="C912" s="109"/>
      <c r="D912" s="109"/>
      <c r="E912" s="109"/>
      <c r="F912" s="154"/>
      <c r="G912" s="154"/>
      <c r="H912" s="109"/>
      <c r="I912" s="109"/>
      <c r="J912" s="109"/>
      <c r="K912" s="109"/>
      <c r="L912" s="109"/>
      <c r="M912" s="109"/>
      <c r="N912" s="109"/>
      <c r="O912" s="109"/>
      <c r="P912" s="109"/>
      <c r="Q912" s="109"/>
      <c r="R912" s="109"/>
      <c r="S912" s="109"/>
      <c r="T912" s="109"/>
      <c r="U912" s="109"/>
      <c r="V912" s="109"/>
      <c r="W912" s="109"/>
      <c r="X912" s="109"/>
      <c r="Y912" s="109"/>
      <c r="Z912" s="109"/>
    </row>
    <row r="913" ht="12.75" customHeight="1">
      <c r="A913" s="109"/>
      <c r="B913" s="109"/>
      <c r="C913" s="109"/>
      <c r="D913" s="109"/>
      <c r="E913" s="109"/>
      <c r="F913" s="154"/>
      <c r="G913" s="154"/>
      <c r="H913" s="109"/>
      <c r="I913" s="109"/>
      <c r="J913" s="109"/>
      <c r="K913" s="109"/>
      <c r="L913" s="109"/>
      <c r="M913" s="109"/>
      <c r="N913" s="109"/>
      <c r="O913" s="109"/>
      <c r="P913" s="109"/>
      <c r="Q913" s="109"/>
      <c r="R913" s="109"/>
      <c r="S913" s="109"/>
      <c r="T913" s="109"/>
      <c r="U913" s="109"/>
      <c r="V913" s="109"/>
      <c r="W913" s="109"/>
      <c r="X913" s="109"/>
      <c r="Y913" s="109"/>
      <c r="Z913" s="109"/>
    </row>
    <row r="914" ht="12.75" customHeight="1">
      <c r="A914" s="109"/>
      <c r="B914" s="109"/>
      <c r="C914" s="109"/>
      <c r="D914" s="109"/>
      <c r="E914" s="109"/>
      <c r="F914" s="154"/>
      <c r="G914" s="154"/>
      <c r="H914" s="109"/>
      <c r="I914" s="109"/>
      <c r="J914" s="109"/>
      <c r="K914" s="109"/>
      <c r="L914" s="109"/>
      <c r="M914" s="109"/>
      <c r="N914" s="109"/>
      <c r="O914" s="109"/>
      <c r="P914" s="109"/>
      <c r="Q914" s="109"/>
      <c r="R914" s="109"/>
      <c r="S914" s="109"/>
      <c r="T914" s="109"/>
      <c r="U914" s="109"/>
      <c r="V914" s="109"/>
      <c r="W914" s="109"/>
      <c r="X914" s="109"/>
      <c r="Y914" s="109"/>
      <c r="Z914" s="109"/>
    </row>
    <row r="915" ht="12.75" customHeight="1">
      <c r="A915" s="109"/>
      <c r="B915" s="109"/>
      <c r="C915" s="109"/>
      <c r="D915" s="109"/>
      <c r="E915" s="109"/>
      <c r="F915" s="154"/>
      <c r="G915" s="154"/>
      <c r="H915" s="109"/>
      <c r="I915" s="109"/>
      <c r="J915" s="109"/>
      <c r="K915" s="109"/>
      <c r="L915" s="109"/>
      <c r="M915" s="109"/>
      <c r="N915" s="109"/>
      <c r="O915" s="109"/>
      <c r="P915" s="109"/>
      <c r="Q915" s="109"/>
      <c r="R915" s="109"/>
      <c r="S915" s="109"/>
      <c r="T915" s="109"/>
      <c r="U915" s="109"/>
      <c r="V915" s="109"/>
      <c r="W915" s="109"/>
      <c r="X915" s="109"/>
      <c r="Y915" s="109"/>
      <c r="Z915" s="109"/>
    </row>
    <row r="916" ht="12.75" customHeight="1">
      <c r="A916" s="109"/>
      <c r="B916" s="109"/>
      <c r="C916" s="109"/>
      <c r="D916" s="109"/>
      <c r="E916" s="109"/>
      <c r="F916" s="154"/>
      <c r="G916" s="154"/>
      <c r="H916" s="109"/>
      <c r="I916" s="109"/>
      <c r="J916" s="109"/>
      <c r="K916" s="109"/>
      <c r="L916" s="109"/>
      <c r="M916" s="109"/>
      <c r="N916" s="109"/>
      <c r="O916" s="109"/>
      <c r="P916" s="109"/>
      <c r="Q916" s="109"/>
      <c r="R916" s="109"/>
      <c r="S916" s="109"/>
      <c r="T916" s="109"/>
      <c r="U916" s="109"/>
      <c r="V916" s="109"/>
      <c r="W916" s="109"/>
      <c r="X916" s="109"/>
      <c r="Y916" s="109"/>
      <c r="Z916" s="109"/>
    </row>
    <row r="917" ht="12.75" customHeight="1">
      <c r="A917" s="109"/>
      <c r="B917" s="109"/>
      <c r="C917" s="109"/>
      <c r="D917" s="109"/>
      <c r="E917" s="109"/>
      <c r="F917" s="154"/>
      <c r="G917" s="154"/>
      <c r="H917" s="109"/>
      <c r="I917" s="109"/>
      <c r="J917" s="109"/>
      <c r="K917" s="109"/>
      <c r="L917" s="109"/>
      <c r="M917" s="109"/>
      <c r="N917" s="109"/>
      <c r="O917" s="109"/>
      <c r="P917" s="109"/>
      <c r="Q917" s="109"/>
      <c r="R917" s="109"/>
      <c r="S917" s="109"/>
      <c r="T917" s="109"/>
      <c r="U917" s="109"/>
      <c r="V917" s="109"/>
      <c r="W917" s="109"/>
      <c r="X917" s="109"/>
      <c r="Y917" s="109"/>
      <c r="Z917" s="109"/>
    </row>
    <row r="918" ht="12.75" customHeight="1">
      <c r="A918" s="109"/>
      <c r="B918" s="109"/>
      <c r="C918" s="109"/>
      <c r="D918" s="109"/>
      <c r="E918" s="109"/>
      <c r="F918" s="154"/>
      <c r="G918" s="154"/>
      <c r="H918" s="109"/>
      <c r="I918" s="109"/>
      <c r="J918" s="109"/>
      <c r="K918" s="109"/>
      <c r="L918" s="109"/>
      <c r="M918" s="109"/>
      <c r="N918" s="109"/>
      <c r="O918" s="109"/>
      <c r="P918" s="109"/>
      <c r="Q918" s="109"/>
      <c r="R918" s="109"/>
      <c r="S918" s="109"/>
      <c r="T918" s="109"/>
      <c r="U918" s="109"/>
      <c r="V918" s="109"/>
      <c r="W918" s="109"/>
      <c r="X918" s="109"/>
      <c r="Y918" s="109"/>
      <c r="Z918" s="109"/>
    </row>
    <row r="919" ht="12.75" customHeight="1">
      <c r="A919" s="109"/>
      <c r="B919" s="109"/>
      <c r="C919" s="109"/>
      <c r="D919" s="109"/>
      <c r="E919" s="109"/>
      <c r="F919" s="154"/>
      <c r="G919" s="154"/>
      <c r="H919" s="109"/>
      <c r="I919" s="109"/>
      <c r="J919" s="109"/>
      <c r="K919" s="109"/>
      <c r="L919" s="109"/>
      <c r="M919" s="109"/>
      <c r="N919" s="109"/>
      <c r="O919" s="109"/>
      <c r="P919" s="109"/>
      <c r="Q919" s="109"/>
      <c r="R919" s="109"/>
      <c r="S919" s="109"/>
      <c r="T919" s="109"/>
      <c r="U919" s="109"/>
      <c r="V919" s="109"/>
      <c r="W919" s="109"/>
      <c r="X919" s="109"/>
      <c r="Y919" s="109"/>
      <c r="Z919" s="109"/>
    </row>
    <row r="920" ht="12.75" customHeight="1">
      <c r="A920" s="109"/>
      <c r="B920" s="109"/>
      <c r="C920" s="109"/>
      <c r="D920" s="109"/>
      <c r="E920" s="109"/>
      <c r="F920" s="154"/>
      <c r="G920" s="154"/>
      <c r="H920" s="109"/>
      <c r="I920" s="109"/>
      <c r="J920" s="109"/>
      <c r="K920" s="109"/>
      <c r="L920" s="109"/>
      <c r="M920" s="109"/>
      <c r="N920" s="109"/>
      <c r="O920" s="109"/>
      <c r="P920" s="109"/>
      <c r="Q920" s="109"/>
      <c r="R920" s="109"/>
      <c r="S920" s="109"/>
      <c r="T920" s="109"/>
      <c r="U920" s="109"/>
      <c r="V920" s="109"/>
      <c r="W920" s="109"/>
      <c r="X920" s="109"/>
      <c r="Y920" s="109"/>
      <c r="Z920" s="109"/>
    </row>
    <row r="921" ht="12.75" customHeight="1">
      <c r="A921" s="109"/>
      <c r="B921" s="109"/>
      <c r="C921" s="109"/>
      <c r="D921" s="109"/>
      <c r="E921" s="109"/>
      <c r="F921" s="154"/>
      <c r="G921" s="154"/>
      <c r="H921" s="109"/>
      <c r="I921" s="109"/>
      <c r="J921" s="109"/>
      <c r="K921" s="109"/>
      <c r="L921" s="109"/>
      <c r="M921" s="109"/>
      <c r="N921" s="109"/>
      <c r="O921" s="109"/>
      <c r="P921" s="109"/>
      <c r="Q921" s="109"/>
      <c r="R921" s="109"/>
      <c r="S921" s="109"/>
      <c r="T921" s="109"/>
      <c r="U921" s="109"/>
      <c r="V921" s="109"/>
      <c r="W921" s="109"/>
      <c r="X921" s="109"/>
      <c r="Y921" s="109"/>
      <c r="Z921" s="109"/>
    </row>
    <row r="922" ht="12.75" customHeight="1">
      <c r="A922" s="109"/>
      <c r="B922" s="109"/>
      <c r="C922" s="109"/>
      <c r="D922" s="109"/>
      <c r="E922" s="109"/>
      <c r="F922" s="154"/>
      <c r="G922" s="154"/>
      <c r="H922" s="109"/>
      <c r="I922" s="109"/>
      <c r="J922" s="109"/>
      <c r="K922" s="109"/>
      <c r="L922" s="109"/>
      <c r="M922" s="109"/>
      <c r="N922" s="109"/>
      <c r="O922" s="109"/>
      <c r="P922" s="109"/>
      <c r="Q922" s="109"/>
      <c r="R922" s="109"/>
      <c r="S922" s="109"/>
      <c r="T922" s="109"/>
      <c r="U922" s="109"/>
      <c r="V922" s="109"/>
      <c r="W922" s="109"/>
      <c r="X922" s="109"/>
      <c r="Y922" s="109"/>
      <c r="Z922" s="109"/>
    </row>
    <row r="923" ht="12.75" customHeight="1">
      <c r="A923" s="109"/>
      <c r="B923" s="109"/>
      <c r="C923" s="109"/>
      <c r="D923" s="109"/>
      <c r="E923" s="109"/>
      <c r="F923" s="154"/>
      <c r="G923" s="154"/>
      <c r="H923" s="109"/>
      <c r="I923" s="109"/>
      <c r="J923" s="109"/>
      <c r="K923" s="109"/>
      <c r="L923" s="109"/>
      <c r="M923" s="109"/>
      <c r="N923" s="109"/>
      <c r="O923" s="109"/>
      <c r="P923" s="109"/>
      <c r="Q923" s="109"/>
      <c r="R923" s="109"/>
      <c r="S923" s="109"/>
      <c r="T923" s="109"/>
      <c r="U923" s="109"/>
      <c r="V923" s="109"/>
      <c r="W923" s="109"/>
      <c r="X923" s="109"/>
      <c r="Y923" s="109"/>
      <c r="Z923" s="109"/>
    </row>
    <row r="924" ht="12.75" customHeight="1">
      <c r="A924" s="109"/>
      <c r="B924" s="109"/>
      <c r="C924" s="109"/>
      <c r="D924" s="109"/>
      <c r="E924" s="109"/>
      <c r="F924" s="154"/>
      <c r="G924" s="154"/>
      <c r="H924" s="109"/>
      <c r="I924" s="109"/>
      <c r="J924" s="109"/>
      <c r="K924" s="109"/>
      <c r="L924" s="109"/>
      <c r="M924" s="109"/>
      <c r="N924" s="109"/>
      <c r="O924" s="109"/>
      <c r="P924" s="109"/>
      <c r="Q924" s="109"/>
      <c r="R924" s="109"/>
      <c r="S924" s="109"/>
      <c r="T924" s="109"/>
      <c r="U924" s="109"/>
      <c r="V924" s="109"/>
      <c r="W924" s="109"/>
      <c r="X924" s="109"/>
      <c r="Y924" s="109"/>
      <c r="Z924" s="109"/>
    </row>
    <row r="925" ht="12.75" customHeight="1">
      <c r="A925" s="109"/>
      <c r="B925" s="109"/>
      <c r="C925" s="109"/>
      <c r="D925" s="109"/>
      <c r="E925" s="109"/>
      <c r="F925" s="154"/>
      <c r="G925" s="154"/>
      <c r="H925" s="109"/>
      <c r="I925" s="109"/>
      <c r="J925" s="109"/>
      <c r="K925" s="109"/>
      <c r="L925" s="109"/>
      <c r="M925" s="109"/>
      <c r="N925" s="109"/>
      <c r="O925" s="109"/>
      <c r="P925" s="109"/>
      <c r="Q925" s="109"/>
      <c r="R925" s="109"/>
      <c r="S925" s="109"/>
      <c r="T925" s="109"/>
      <c r="U925" s="109"/>
      <c r="V925" s="109"/>
      <c r="W925" s="109"/>
      <c r="X925" s="109"/>
      <c r="Y925" s="109"/>
      <c r="Z925" s="109"/>
    </row>
    <row r="926" ht="12.75" customHeight="1">
      <c r="A926" s="109"/>
      <c r="B926" s="109"/>
      <c r="C926" s="109"/>
      <c r="D926" s="109"/>
      <c r="E926" s="109"/>
      <c r="F926" s="154"/>
      <c r="G926" s="154"/>
      <c r="H926" s="109"/>
      <c r="I926" s="109"/>
      <c r="J926" s="109"/>
      <c r="K926" s="109"/>
      <c r="L926" s="109"/>
      <c r="M926" s="109"/>
      <c r="N926" s="109"/>
      <c r="O926" s="109"/>
      <c r="P926" s="109"/>
      <c r="Q926" s="109"/>
      <c r="R926" s="109"/>
      <c r="S926" s="109"/>
      <c r="T926" s="109"/>
      <c r="U926" s="109"/>
      <c r="V926" s="109"/>
      <c r="W926" s="109"/>
      <c r="X926" s="109"/>
      <c r="Y926" s="109"/>
      <c r="Z926" s="109"/>
    </row>
    <row r="927" ht="12.75" customHeight="1">
      <c r="A927" s="109"/>
      <c r="B927" s="109"/>
      <c r="C927" s="109"/>
      <c r="D927" s="109"/>
      <c r="E927" s="109"/>
      <c r="F927" s="154"/>
      <c r="G927" s="154"/>
      <c r="H927" s="109"/>
      <c r="I927" s="109"/>
      <c r="J927" s="109"/>
      <c r="K927" s="109"/>
      <c r="L927" s="109"/>
      <c r="M927" s="109"/>
      <c r="N927" s="109"/>
      <c r="O927" s="109"/>
      <c r="P927" s="109"/>
      <c r="Q927" s="109"/>
      <c r="R927" s="109"/>
      <c r="S927" s="109"/>
      <c r="T927" s="109"/>
      <c r="U927" s="109"/>
      <c r="V927" s="109"/>
      <c r="W927" s="109"/>
      <c r="X927" s="109"/>
      <c r="Y927" s="109"/>
      <c r="Z927" s="109"/>
    </row>
    <row r="928" ht="12.75" customHeight="1">
      <c r="A928" s="109"/>
      <c r="B928" s="109"/>
      <c r="C928" s="109"/>
      <c r="D928" s="109"/>
      <c r="E928" s="109"/>
      <c r="F928" s="154"/>
      <c r="G928" s="154"/>
      <c r="H928" s="109"/>
      <c r="I928" s="109"/>
      <c r="J928" s="109"/>
      <c r="K928" s="109"/>
      <c r="L928" s="109"/>
      <c r="M928" s="109"/>
      <c r="N928" s="109"/>
      <c r="O928" s="109"/>
      <c r="P928" s="109"/>
      <c r="Q928" s="109"/>
      <c r="R928" s="109"/>
      <c r="S928" s="109"/>
      <c r="T928" s="109"/>
      <c r="U928" s="109"/>
      <c r="V928" s="109"/>
      <c r="W928" s="109"/>
      <c r="X928" s="109"/>
      <c r="Y928" s="109"/>
      <c r="Z928" s="109"/>
    </row>
    <row r="929" ht="12.75" customHeight="1">
      <c r="A929" s="109"/>
      <c r="B929" s="109"/>
      <c r="C929" s="109"/>
      <c r="D929" s="109"/>
      <c r="E929" s="109"/>
      <c r="F929" s="154"/>
      <c r="G929" s="154"/>
      <c r="H929" s="109"/>
      <c r="I929" s="109"/>
      <c r="J929" s="109"/>
      <c r="K929" s="109"/>
      <c r="L929" s="109"/>
      <c r="M929" s="109"/>
      <c r="N929" s="109"/>
      <c r="O929" s="109"/>
      <c r="P929" s="109"/>
      <c r="Q929" s="109"/>
      <c r="R929" s="109"/>
      <c r="S929" s="109"/>
      <c r="T929" s="109"/>
      <c r="U929" s="109"/>
      <c r="V929" s="109"/>
      <c r="W929" s="109"/>
      <c r="X929" s="109"/>
      <c r="Y929" s="109"/>
      <c r="Z929" s="109"/>
    </row>
    <row r="930" ht="12.75" customHeight="1">
      <c r="A930" s="109"/>
      <c r="B930" s="109"/>
      <c r="C930" s="109"/>
      <c r="D930" s="109"/>
      <c r="E930" s="109"/>
      <c r="F930" s="154"/>
      <c r="G930" s="154"/>
      <c r="H930" s="109"/>
      <c r="I930" s="109"/>
      <c r="J930" s="109"/>
      <c r="K930" s="109"/>
      <c r="L930" s="109"/>
      <c r="M930" s="109"/>
      <c r="N930" s="109"/>
      <c r="O930" s="109"/>
      <c r="P930" s="109"/>
      <c r="Q930" s="109"/>
      <c r="R930" s="109"/>
      <c r="S930" s="109"/>
      <c r="T930" s="109"/>
      <c r="U930" s="109"/>
      <c r="V930" s="109"/>
      <c r="W930" s="109"/>
      <c r="X930" s="109"/>
      <c r="Y930" s="109"/>
      <c r="Z930" s="109"/>
    </row>
    <row r="931" ht="12.75" customHeight="1">
      <c r="A931" s="109"/>
      <c r="B931" s="109"/>
      <c r="C931" s="109"/>
      <c r="D931" s="109"/>
      <c r="E931" s="109"/>
      <c r="F931" s="154"/>
      <c r="G931" s="154"/>
      <c r="H931" s="109"/>
      <c r="I931" s="109"/>
      <c r="J931" s="109"/>
      <c r="K931" s="109"/>
      <c r="L931" s="109"/>
      <c r="M931" s="109"/>
      <c r="N931" s="109"/>
      <c r="O931" s="109"/>
      <c r="P931" s="109"/>
      <c r="Q931" s="109"/>
      <c r="R931" s="109"/>
      <c r="S931" s="109"/>
      <c r="T931" s="109"/>
      <c r="U931" s="109"/>
      <c r="V931" s="109"/>
      <c r="W931" s="109"/>
      <c r="X931" s="109"/>
      <c r="Y931" s="109"/>
      <c r="Z931" s="109"/>
    </row>
    <row r="932" ht="12.75" customHeight="1">
      <c r="A932" s="109"/>
      <c r="B932" s="109"/>
      <c r="C932" s="109"/>
      <c r="D932" s="109"/>
      <c r="E932" s="109"/>
      <c r="F932" s="154"/>
      <c r="G932" s="154"/>
      <c r="H932" s="109"/>
      <c r="I932" s="109"/>
      <c r="J932" s="109"/>
      <c r="K932" s="109"/>
      <c r="L932" s="109"/>
      <c r="M932" s="109"/>
      <c r="N932" s="109"/>
      <c r="O932" s="109"/>
      <c r="P932" s="109"/>
      <c r="Q932" s="109"/>
      <c r="R932" s="109"/>
      <c r="S932" s="109"/>
      <c r="T932" s="109"/>
      <c r="U932" s="109"/>
      <c r="V932" s="109"/>
      <c r="W932" s="109"/>
      <c r="X932" s="109"/>
      <c r="Y932" s="109"/>
      <c r="Z932" s="109"/>
    </row>
    <row r="933" ht="12.75" customHeight="1">
      <c r="A933" s="109"/>
      <c r="B933" s="109"/>
      <c r="C933" s="109"/>
      <c r="D933" s="109"/>
      <c r="E933" s="109"/>
      <c r="F933" s="154"/>
      <c r="G933" s="154"/>
      <c r="H933" s="109"/>
      <c r="I933" s="109"/>
      <c r="J933" s="109"/>
      <c r="K933" s="109"/>
      <c r="L933" s="109"/>
      <c r="M933" s="109"/>
      <c r="N933" s="109"/>
      <c r="O933" s="109"/>
      <c r="P933" s="109"/>
      <c r="Q933" s="109"/>
      <c r="R933" s="109"/>
      <c r="S933" s="109"/>
      <c r="T933" s="109"/>
      <c r="U933" s="109"/>
      <c r="V933" s="109"/>
      <c r="W933" s="109"/>
      <c r="X933" s="109"/>
      <c r="Y933" s="109"/>
      <c r="Z933" s="109"/>
    </row>
    <row r="934" ht="12.75" customHeight="1">
      <c r="A934" s="109"/>
      <c r="B934" s="109"/>
      <c r="C934" s="109"/>
      <c r="D934" s="109"/>
      <c r="E934" s="109"/>
      <c r="F934" s="154"/>
      <c r="G934" s="154"/>
      <c r="H934" s="109"/>
      <c r="I934" s="109"/>
      <c r="J934" s="109"/>
      <c r="K934" s="109"/>
      <c r="L934" s="109"/>
      <c r="M934" s="109"/>
      <c r="N934" s="109"/>
      <c r="O934" s="109"/>
      <c r="P934" s="109"/>
      <c r="Q934" s="109"/>
      <c r="R934" s="109"/>
      <c r="S934" s="109"/>
      <c r="T934" s="109"/>
      <c r="U934" s="109"/>
      <c r="V934" s="109"/>
      <c r="W934" s="109"/>
      <c r="X934" s="109"/>
      <c r="Y934" s="109"/>
      <c r="Z934" s="109"/>
    </row>
    <row r="935" ht="12.75" customHeight="1">
      <c r="A935" s="109"/>
      <c r="B935" s="109"/>
      <c r="C935" s="109"/>
      <c r="D935" s="109"/>
      <c r="E935" s="109"/>
      <c r="F935" s="154"/>
      <c r="G935" s="154"/>
      <c r="H935" s="109"/>
      <c r="I935" s="109"/>
      <c r="J935" s="109"/>
      <c r="K935" s="109"/>
      <c r="L935" s="109"/>
      <c r="M935" s="109"/>
      <c r="N935" s="109"/>
      <c r="O935" s="109"/>
      <c r="P935" s="109"/>
      <c r="Q935" s="109"/>
      <c r="R935" s="109"/>
      <c r="S935" s="109"/>
      <c r="T935" s="109"/>
      <c r="U935" s="109"/>
      <c r="V935" s="109"/>
      <c r="W935" s="109"/>
      <c r="X935" s="109"/>
      <c r="Y935" s="109"/>
      <c r="Z935" s="109"/>
    </row>
    <row r="936" ht="12.75" customHeight="1">
      <c r="A936" s="109"/>
      <c r="B936" s="109"/>
      <c r="C936" s="109"/>
      <c r="D936" s="109"/>
      <c r="E936" s="109"/>
      <c r="F936" s="154"/>
      <c r="G936" s="154"/>
      <c r="H936" s="109"/>
      <c r="I936" s="109"/>
      <c r="J936" s="109"/>
      <c r="K936" s="109"/>
      <c r="L936" s="109"/>
      <c r="M936" s="109"/>
      <c r="N936" s="109"/>
      <c r="O936" s="109"/>
      <c r="P936" s="109"/>
      <c r="Q936" s="109"/>
      <c r="R936" s="109"/>
      <c r="S936" s="109"/>
      <c r="T936" s="109"/>
      <c r="U936" s="109"/>
      <c r="V936" s="109"/>
      <c r="W936" s="109"/>
      <c r="X936" s="109"/>
      <c r="Y936" s="109"/>
      <c r="Z936" s="109"/>
    </row>
    <row r="937" ht="12.75" customHeight="1">
      <c r="A937" s="109"/>
      <c r="B937" s="109"/>
      <c r="C937" s="109"/>
      <c r="D937" s="109"/>
      <c r="E937" s="109"/>
      <c r="F937" s="154"/>
      <c r="G937" s="154"/>
      <c r="H937" s="109"/>
      <c r="I937" s="109"/>
      <c r="J937" s="109"/>
      <c r="K937" s="109"/>
      <c r="L937" s="109"/>
      <c r="M937" s="109"/>
      <c r="N937" s="109"/>
      <c r="O937" s="109"/>
      <c r="P937" s="109"/>
      <c r="Q937" s="109"/>
      <c r="R937" s="109"/>
      <c r="S937" s="109"/>
      <c r="T937" s="109"/>
      <c r="U937" s="109"/>
      <c r="V937" s="109"/>
      <c r="W937" s="109"/>
      <c r="X937" s="109"/>
      <c r="Y937" s="109"/>
      <c r="Z937" s="109"/>
    </row>
    <row r="938" ht="12.75" customHeight="1">
      <c r="A938" s="109"/>
      <c r="B938" s="109"/>
      <c r="C938" s="109"/>
      <c r="D938" s="109"/>
      <c r="E938" s="109"/>
      <c r="F938" s="154"/>
      <c r="G938" s="154"/>
      <c r="H938" s="109"/>
      <c r="I938" s="109"/>
      <c r="J938" s="109"/>
      <c r="K938" s="109"/>
      <c r="L938" s="109"/>
      <c r="M938" s="109"/>
      <c r="N938" s="109"/>
      <c r="O938" s="109"/>
      <c r="P938" s="109"/>
      <c r="Q938" s="109"/>
      <c r="R938" s="109"/>
      <c r="S938" s="109"/>
      <c r="T938" s="109"/>
      <c r="U938" s="109"/>
      <c r="V938" s="109"/>
      <c r="W938" s="109"/>
      <c r="X938" s="109"/>
      <c r="Y938" s="109"/>
      <c r="Z938" s="109"/>
    </row>
    <row r="939" ht="12.75" customHeight="1">
      <c r="A939" s="109"/>
      <c r="B939" s="109"/>
      <c r="C939" s="109"/>
      <c r="D939" s="109"/>
      <c r="E939" s="109"/>
      <c r="F939" s="154"/>
      <c r="G939" s="154"/>
      <c r="H939" s="109"/>
      <c r="I939" s="109"/>
      <c r="J939" s="109"/>
      <c r="K939" s="109"/>
      <c r="L939" s="109"/>
      <c r="M939" s="109"/>
      <c r="N939" s="109"/>
      <c r="O939" s="109"/>
      <c r="P939" s="109"/>
      <c r="Q939" s="109"/>
      <c r="R939" s="109"/>
      <c r="S939" s="109"/>
      <c r="T939" s="109"/>
      <c r="U939" s="109"/>
      <c r="V939" s="109"/>
      <c r="W939" s="109"/>
      <c r="X939" s="109"/>
      <c r="Y939" s="109"/>
      <c r="Z939" s="109"/>
    </row>
    <row r="940" ht="12.75" customHeight="1">
      <c r="A940" s="109"/>
      <c r="B940" s="109"/>
      <c r="C940" s="109"/>
      <c r="D940" s="109"/>
      <c r="E940" s="109"/>
      <c r="F940" s="154"/>
      <c r="G940" s="154"/>
      <c r="H940" s="109"/>
      <c r="I940" s="109"/>
      <c r="J940" s="109"/>
      <c r="K940" s="109"/>
      <c r="L940" s="109"/>
      <c r="M940" s="109"/>
      <c r="N940" s="109"/>
      <c r="O940" s="109"/>
      <c r="P940" s="109"/>
      <c r="Q940" s="109"/>
      <c r="R940" s="109"/>
      <c r="S940" s="109"/>
      <c r="T940" s="109"/>
      <c r="U940" s="109"/>
      <c r="V940" s="109"/>
      <c r="W940" s="109"/>
      <c r="X940" s="109"/>
      <c r="Y940" s="109"/>
      <c r="Z940" s="109"/>
    </row>
    <row r="941" ht="12.75" customHeight="1">
      <c r="A941" s="109"/>
      <c r="B941" s="109"/>
      <c r="C941" s="109"/>
      <c r="D941" s="109"/>
      <c r="E941" s="109"/>
      <c r="F941" s="154"/>
      <c r="G941" s="154"/>
      <c r="H941" s="109"/>
      <c r="I941" s="109"/>
      <c r="J941" s="109"/>
      <c r="K941" s="109"/>
      <c r="L941" s="109"/>
      <c r="M941" s="109"/>
      <c r="N941" s="109"/>
      <c r="O941" s="109"/>
      <c r="P941" s="109"/>
      <c r="Q941" s="109"/>
      <c r="R941" s="109"/>
      <c r="S941" s="109"/>
      <c r="T941" s="109"/>
      <c r="U941" s="109"/>
      <c r="V941" s="109"/>
      <c r="W941" s="109"/>
      <c r="X941" s="109"/>
      <c r="Y941" s="109"/>
      <c r="Z941" s="109"/>
    </row>
    <row r="942" ht="12.75" customHeight="1">
      <c r="A942" s="109"/>
      <c r="B942" s="109"/>
      <c r="C942" s="109"/>
      <c r="D942" s="109"/>
      <c r="E942" s="109"/>
      <c r="F942" s="154"/>
      <c r="G942" s="154"/>
      <c r="H942" s="109"/>
      <c r="I942" s="109"/>
      <c r="J942" s="109"/>
      <c r="K942" s="109"/>
      <c r="L942" s="109"/>
      <c r="M942" s="109"/>
      <c r="N942" s="109"/>
      <c r="O942" s="109"/>
      <c r="P942" s="109"/>
      <c r="Q942" s="109"/>
      <c r="R942" s="109"/>
      <c r="S942" s="109"/>
      <c r="T942" s="109"/>
      <c r="U942" s="109"/>
      <c r="V942" s="109"/>
      <c r="W942" s="109"/>
      <c r="X942" s="109"/>
      <c r="Y942" s="109"/>
      <c r="Z942" s="109"/>
    </row>
    <row r="943" ht="12.75" customHeight="1">
      <c r="A943" s="109"/>
      <c r="B943" s="109"/>
      <c r="C943" s="109"/>
      <c r="D943" s="109"/>
      <c r="E943" s="109"/>
      <c r="F943" s="154"/>
      <c r="G943" s="154"/>
      <c r="H943" s="109"/>
      <c r="I943" s="109"/>
      <c r="J943" s="109"/>
      <c r="K943" s="109"/>
      <c r="L943" s="109"/>
      <c r="M943" s="109"/>
      <c r="N943" s="109"/>
      <c r="O943" s="109"/>
      <c r="P943" s="109"/>
      <c r="Q943" s="109"/>
      <c r="R943" s="109"/>
      <c r="S943" s="109"/>
      <c r="T943" s="109"/>
      <c r="U943" s="109"/>
      <c r="V943" s="109"/>
      <c r="W943" s="109"/>
      <c r="X943" s="109"/>
      <c r="Y943" s="109"/>
      <c r="Z943" s="109"/>
    </row>
    <row r="944" ht="12.75" customHeight="1">
      <c r="A944" s="109"/>
      <c r="B944" s="109"/>
      <c r="C944" s="109"/>
      <c r="D944" s="109"/>
      <c r="E944" s="109"/>
      <c r="F944" s="154"/>
      <c r="G944" s="154"/>
      <c r="H944" s="109"/>
      <c r="I944" s="109"/>
      <c r="J944" s="109"/>
      <c r="K944" s="109"/>
      <c r="L944" s="109"/>
      <c r="M944" s="109"/>
      <c r="N944" s="109"/>
      <c r="O944" s="109"/>
      <c r="P944" s="109"/>
      <c r="Q944" s="109"/>
      <c r="R944" s="109"/>
      <c r="S944" s="109"/>
      <c r="T944" s="109"/>
      <c r="U944" s="109"/>
      <c r="V944" s="109"/>
      <c r="W944" s="109"/>
      <c r="X944" s="109"/>
      <c r="Y944" s="109"/>
      <c r="Z944" s="109"/>
    </row>
    <row r="945" ht="12.75" customHeight="1">
      <c r="A945" s="109"/>
      <c r="B945" s="109"/>
      <c r="C945" s="109"/>
      <c r="D945" s="109"/>
      <c r="E945" s="109"/>
      <c r="F945" s="154"/>
      <c r="G945" s="154"/>
      <c r="H945" s="109"/>
      <c r="I945" s="109"/>
      <c r="J945" s="109"/>
      <c r="K945" s="109"/>
      <c r="L945" s="109"/>
      <c r="M945" s="109"/>
      <c r="N945" s="109"/>
      <c r="O945" s="109"/>
      <c r="P945" s="109"/>
      <c r="Q945" s="109"/>
      <c r="R945" s="109"/>
      <c r="S945" s="109"/>
      <c r="T945" s="109"/>
      <c r="U945" s="109"/>
      <c r="V945" s="109"/>
      <c r="W945" s="109"/>
      <c r="X945" s="109"/>
      <c r="Y945" s="109"/>
      <c r="Z945" s="109"/>
    </row>
    <row r="946" ht="12.75" customHeight="1">
      <c r="A946" s="109"/>
      <c r="B946" s="109"/>
      <c r="C946" s="109"/>
      <c r="D946" s="109"/>
      <c r="E946" s="109"/>
      <c r="F946" s="154"/>
      <c r="G946" s="154"/>
      <c r="H946" s="109"/>
      <c r="I946" s="109"/>
      <c r="J946" s="109"/>
      <c r="K946" s="109"/>
      <c r="L946" s="109"/>
      <c r="M946" s="109"/>
      <c r="N946" s="109"/>
      <c r="O946" s="109"/>
      <c r="P946" s="109"/>
      <c r="Q946" s="109"/>
      <c r="R946" s="109"/>
      <c r="S946" s="109"/>
      <c r="T946" s="109"/>
      <c r="U946" s="109"/>
      <c r="V946" s="109"/>
      <c r="W946" s="109"/>
      <c r="X946" s="109"/>
      <c r="Y946" s="109"/>
      <c r="Z946" s="109"/>
    </row>
    <row r="947" ht="12.75" customHeight="1">
      <c r="A947" s="109"/>
      <c r="B947" s="109"/>
      <c r="C947" s="109"/>
      <c r="D947" s="109"/>
      <c r="E947" s="109"/>
      <c r="F947" s="154"/>
      <c r="G947" s="154"/>
      <c r="H947" s="109"/>
      <c r="I947" s="109"/>
      <c r="J947" s="109"/>
      <c r="K947" s="109"/>
      <c r="L947" s="109"/>
      <c r="M947" s="109"/>
      <c r="N947" s="109"/>
      <c r="O947" s="109"/>
      <c r="P947" s="109"/>
      <c r="Q947" s="109"/>
      <c r="R947" s="109"/>
      <c r="S947" s="109"/>
      <c r="T947" s="109"/>
      <c r="U947" s="109"/>
      <c r="V947" s="109"/>
      <c r="W947" s="109"/>
      <c r="X947" s="109"/>
      <c r="Y947" s="109"/>
      <c r="Z947" s="109"/>
    </row>
    <row r="948" ht="12.75" customHeight="1">
      <c r="A948" s="109"/>
      <c r="B948" s="109"/>
      <c r="C948" s="109"/>
      <c r="D948" s="109"/>
      <c r="E948" s="109"/>
      <c r="F948" s="154"/>
      <c r="G948" s="154"/>
      <c r="H948" s="109"/>
      <c r="I948" s="109"/>
      <c r="J948" s="109"/>
      <c r="K948" s="109"/>
      <c r="L948" s="109"/>
      <c r="M948" s="109"/>
      <c r="N948" s="109"/>
      <c r="O948" s="109"/>
      <c r="P948" s="109"/>
      <c r="Q948" s="109"/>
      <c r="R948" s="109"/>
      <c r="S948" s="109"/>
      <c r="T948" s="109"/>
      <c r="U948" s="109"/>
      <c r="V948" s="109"/>
      <c r="W948" s="109"/>
      <c r="X948" s="109"/>
      <c r="Y948" s="109"/>
      <c r="Z948" s="109"/>
    </row>
    <row r="949" ht="12.75" customHeight="1">
      <c r="A949" s="109"/>
      <c r="B949" s="109"/>
      <c r="C949" s="109"/>
      <c r="D949" s="109"/>
      <c r="E949" s="109"/>
      <c r="F949" s="154"/>
      <c r="G949" s="154"/>
      <c r="H949" s="109"/>
      <c r="I949" s="109"/>
      <c r="J949" s="109"/>
      <c r="K949" s="109"/>
      <c r="L949" s="109"/>
      <c r="M949" s="109"/>
      <c r="N949" s="109"/>
      <c r="O949" s="109"/>
      <c r="P949" s="109"/>
      <c r="Q949" s="109"/>
      <c r="R949" s="109"/>
      <c r="S949" s="109"/>
      <c r="T949" s="109"/>
      <c r="U949" s="109"/>
      <c r="V949" s="109"/>
      <c r="W949" s="109"/>
      <c r="X949" s="109"/>
      <c r="Y949" s="109"/>
      <c r="Z949" s="109"/>
    </row>
    <row r="950" ht="12.75" customHeight="1">
      <c r="A950" s="109"/>
      <c r="B950" s="109"/>
      <c r="C950" s="109"/>
      <c r="D950" s="109"/>
      <c r="E950" s="109"/>
      <c r="F950" s="154"/>
      <c r="G950" s="154"/>
      <c r="H950" s="109"/>
      <c r="I950" s="109"/>
      <c r="J950" s="109"/>
      <c r="K950" s="109"/>
      <c r="L950" s="109"/>
      <c r="M950" s="109"/>
      <c r="N950" s="109"/>
      <c r="O950" s="109"/>
      <c r="P950" s="109"/>
      <c r="Q950" s="109"/>
      <c r="R950" s="109"/>
      <c r="S950" s="109"/>
      <c r="T950" s="109"/>
      <c r="U950" s="109"/>
      <c r="V950" s="109"/>
      <c r="W950" s="109"/>
      <c r="X950" s="109"/>
      <c r="Y950" s="109"/>
      <c r="Z950" s="109"/>
    </row>
    <row r="951" ht="12.75" customHeight="1">
      <c r="A951" s="109"/>
      <c r="B951" s="109"/>
      <c r="C951" s="109"/>
      <c r="D951" s="109"/>
      <c r="E951" s="109"/>
      <c r="F951" s="154"/>
      <c r="G951" s="154"/>
      <c r="H951" s="109"/>
      <c r="I951" s="109"/>
      <c r="J951" s="109"/>
      <c r="K951" s="109"/>
      <c r="L951" s="109"/>
      <c r="M951" s="109"/>
      <c r="N951" s="109"/>
      <c r="O951" s="109"/>
      <c r="P951" s="109"/>
      <c r="Q951" s="109"/>
      <c r="R951" s="109"/>
      <c r="S951" s="109"/>
      <c r="T951" s="109"/>
      <c r="U951" s="109"/>
      <c r="V951" s="109"/>
      <c r="W951" s="109"/>
      <c r="X951" s="109"/>
      <c r="Y951" s="109"/>
      <c r="Z951" s="109"/>
    </row>
    <row r="952" ht="12.75" customHeight="1">
      <c r="A952" s="109"/>
      <c r="B952" s="109"/>
      <c r="C952" s="109"/>
      <c r="D952" s="109"/>
      <c r="E952" s="109"/>
      <c r="F952" s="154"/>
      <c r="G952" s="154"/>
      <c r="H952" s="109"/>
      <c r="I952" s="109"/>
      <c r="J952" s="109"/>
      <c r="K952" s="109"/>
      <c r="L952" s="109"/>
      <c r="M952" s="109"/>
      <c r="N952" s="109"/>
      <c r="O952" s="109"/>
      <c r="P952" s="109"/>
      <c r="Q952" s="109"/>
      <c r="R952" s="109"/>
      <c r="S952" s="109"/>
      <c r="T952" s="109"/>
      <c r="U952" s="109"/>
      <c r="V952" s="109"/>
      <c r="W952" s="109"/>
      <c r="X952" s="109"/>
      <c r="Y952" s="109"/>
      <c r="Z952" s="109"/>
    </row>
    <row r="953" ht="12.75" customHeight="1">
      <c r="A953" s="109"/>
      <c r="B953" s="109"/>
      <c r="C953" s="109"/>
      <c r="D953" s="109"/>
      <c r="E953" s="109"/>
      <c r="F953" s="154"/>
      <c r="G953" s="154"/>
      <c r="H953" s="109"/>
      <c r="I953" s="109"/>
      <c r="J953" s="109"/>
      <c r="K953" s="109"/>
      <c r="L953" s="109"/>
      <c r="M953" s="109"/>
      <c r="N953" s="109"/>
      <c r="O953" s="109"/>
      <c r="P953" s="109"/>
      <c r="Q953" s="109"/>
      <c r="R953" s="109"/>
      <c r="S953" s="109"/>
      <c r="T953" s="109"/>
      <c r="U953" s="109"/>
      <c r="V953" s="109"/>
      <c r="W953" s="109"/>
      <c r="X953" s="109"/>
      <c r="Y953" s="109"/>
      <c r="Z953" s="109"/>
    </row>
    <row r="954" ht="12.75" customHeight="1">
      <c r="A954" s="109"/>
      <c r="B954" s="109"/>
      <c r="C954" s="109"/>
      <c r="D954" s="109"/>
      <c r="E954" s="109"/>
      <c r="F954" s="154"/>
      <c r="G954" s="154"/>
      <c r="H954" s="109"/>
      <c r="I954" s="109"/>
      <c r="J954" s="109"/>
      <c r="K954" s="109"/>
      <c r="L954" s="109"/>
      <c r="M954" s="109"/>
      <c r="N954" s="109"/>
      <c r="O954" s="109"/>
      <c r="P954" s="109"/>
      <c r="Q954" s="109"/>
      <c r="R954" s="109"/>
      <c r="S954" s="109"/>
      <c r="T954" s="109"/>
      <c r="U954" s="109"/>
      <c r="V954" s="109"/>
      <c r="W954" s="109"/>
      <c r="X954" s="109"/>
      <c r="Y954" s="109"/>
      <c r="Z954" s="109"/>
    </row>
    <row r="955" ht="12.75" customHeight="1">
      <c r="A955" s="109"/>
      <c r="B955" s="109"/>
      <c r="C955" s="109"/>
      <c r="D955" s="109"/>
      <c r="E955" s="109"/>
      <c r="F955" s="154"/>
      <c r="G955" s="154"/>
      <c r="H955" s="109"/>
      <c r="I955" s="109"/>
      <c r="J955" s="109"/>
      <c r="K955" s="109"/>
      <c r="L955" s="109"/>
      <c r="M955" s="109"/>
      <c r="N955" s="109"/>
      <c r="O955" s="109"/>
      <c r="P955" s="109"/>
      <c r="Q955" s="109"/>
      <c r="R955" s="109"/>
      <c r="S955" s="109"/>
      <c r="T955" s="109"/>
      <c r="U955" s="109"/>
      <c r="V955" s="109"/>
      <c r="W955" s="109"/>
      <c r="X955" s="109"/>
      <c r="Y955" s="109"/>
      <c r="Z955" s="109"/>
    </row>
    <row r="956" ht="12.75" customHeight="1">
      <c r="A956" s="109"/>
      <c r="B956" s="109"/>
      <c r="C956" s="109"/>
      <c r="D956" s="109"/>
      <c r="E956" s="109"/>
      <c r="F956" s="154"/>
      <c r="G956" s="154"/>
      <c r="H956" s="109"/>
      <c r="I956" s="109"/>
      <c r="J956" s="109"/>
      <c r="K956" s="109"/>
      <c r="L956" s="109"/>
      <c r="M956" s="109"/>
      <c r="N956" s="109"/>
      <c r="O956" s="109"/>
      <c r="P956" s="109"/>
      <c r="Q956" s="109"/>
      <c r="R956" s="109"/>
      <c r="S956" s="109"/>
      <c r="T956" s="109"/>
      <c r="U956" s="109"/>
      <c r="V956" s="109"/>
      <c r="W956" s="109"/>
      <c r="X956" s="109"/>
      <c r="Y956" s="109"/>
      <c r="Z956" s="109"/>
    </row>
    <row r="957" ht="12.75" customHeight="1">
      <c r="A957" s="109"/>
      <c r="B957" s="109"/>
      <c r="C957" s="109"/>
      <c r="D957" s="109"/>
      <c r="E957" s="109"/>
      <c r="F957" s="154"/>
      <c r="G957" s="154"/>
      <c r="H957" s="109"/>
      <c r="I957" s="109"/>
      <c r="J957" s="109"/>
      <c r="K957" s="109"/>
      <c r="L957" s="109"/>
      <c r="M957" s="109"/>
      <c r="N957" s="109"/>
      <c r="O957" s="109"/>
      <c r="P957" s="109"/>
      <c r="Q957" s="109"/>
      <c r="R957" s="109"/>
      <c r="S957" s="109"/>
      <c r="T957" s="109"/>
      <c r="U957" s="109"/>
      <c r="V957" s="109"/>
      <c r="W957" s="109"/>
      <c r="X957" s="109"/>
      <c r="Y957" s="109"/>
      <c r="Z957" s="109"/>
    </row>
    <row r="958" ht="12.75" customHeight="1">
      <c r="A958" s="109"/>
      <c r="B958" s="109"/>
      <c r="C958" s="109"/>
      <c r="D958" s="109"/>
      <c r="E958" s="109"/>
      <c r="F958" s="154"/>
      <c r="G958" s="154"/>
      <c r="H958" s="109"/>
      <c r="I958" s="109"/>
      <c r="J958" s="109"/>
      <c r="K958" s="109"/>
      <c r="L958" s="109"/>
      <c r="M958" s="109"/>
      <c r="N958" s="109"/>
      <c r="O958" s="109"/>
      <c r="P958" s="109"/>
      <c r="Q958" s="109"/>
      <c r="R958" s="109"/>
      <c r="S958" s="109"/>
      <c r="T958" s="109"/>
      <c r="U958" s="109"/>
      <c r="V958" s="109"/>
      <c r="W958" s="109"/>
      <c r="X958" s="109"/>
      <c r="Y958" s="109"/>
      <c r="Z958" s="109"/>
    </row>
    <row r="959" ht="12.75" customHeight="1">
      <c r="A959" s="109"/>
      <c r="B959" s="109"/>
      <c r="C959" s="109"/>
      <c r="D959" s="109"/>
      <c r="E959" s="109"/>
      <c r="F959" s="154"/>
      <c r="G959" s="154"/>
      <c r="H959" s="109"/>
      <c r="I959" s="109"/>
      <c r="J959" s="109"/>
      <c r="K959" s="109"/>
      <c r="L959" s="109"/>
      <c r="M959" s="109"/>
      <c r="N959" s="109"/>
      <c r="O959" s="109"/>
      <c r="P959" s="109"/>
      <c r="Q959" s="109"/>
      <c r="R959" s="109"/>
      <c r="S959" s="109"/>
      <c r="T959" s="109"/>
      <c r="U959" s="109"/>
      <c r="V959" s="109"/>
      <c r="W959" s="109"/>
      <c r="X959" s="109"/>
      <c r="Y959" s="109"/>
      <c r="Z959" s="109"/>
    </row>
    <row r="960" ht="12.75" customHeight="1">
      <c r="A960" s="109"/>
      <c r="B960" s="109"/>
      <c r="C960" s="109"/>
      <c r="D960" s="109"/>
      <c r="E960" s="109"/>
      <c r="F960" s="154"/>
      <c r="G960" s="154"/>
      <c r="H960" s="109"/>
      <c r="I960" s="109"/>
      <c r="J960" s="109"/>
      <c r="K960" s="109"/>
      <c r="L960" s="109"/>
      <c r="M960" s="109"/>
      <c r="N960" s="109"/>
      <c r="O960" s="109"/>
      <c r="P960" s="109"/>
      <c r="Q960" s="109"/>
      <c r="R960" s="109"/>
      <c r="S960" s="109"/>
      <c r="T960" s="109"/>
      <c r="U960" s="109"/>
      <c r="V960" s="109"/>
      <c r="W960" s="109"/>
      <c r="X960" s="109"/>
      <c r="Y960" s="109"/>
      <c r="Z960" s="109"/>
    </row>
    <row r="961" ht="12.75" customHeight="1">
      <c r="A961" s="109"/>
      <c r="B961" s="109"/>
      <c r="C961" s="109"/>
      <c r="D961" s="109"/>
      <c r="E961" s="109"/>
      <c r="F961" s="154"/>
      <c r="G961" s="154"/>
      <c r="H961" s="109"/>
      <c r="I961" s="109"/>
      <c r="J961" s="109"/>
      <c r="K961" s="109"/>
      <c r="L961" s="109"/>
      <c r="M961" s="109"/>
      <c r="N961" s="109"/>
      <c r="O961" s="109"/>
      <c r="P961" s="109"/>
      <c r="Q961" s="109"/>
      <c r="R961" s="109"/>
      <c r="S961" s="109"/>
      <c r="T961" s="109"/>
      <c r="U961" s="109"/>
      <c r="V961" s="109"/>
      <c r="W961" s="109"/>
      <c r="X961" s="109"/>
      <c r="Y961" s="109"/>
      <c r="Z961" s="109"/>
    </row>
    <row r="962" ht="12.75" customHeight="1">
      <c r="A962" s="109"/>
      <c r="B962" s="109"/>
      <c r="C962" s="109"/>
      <c r="D962" s="109"/>
      <c r="E962" s="109"/>
      <c r="F962" s="154"/>
      <c r="G962" s="154"/>
      <c r="H962" s="109"/>
      <c r="I962" s="109"/>
      <c r="J962" s="109"/>
      <c r="K962" s="109"/>
      <c r="L962" s="109"/>
      <c r="M962" s="109"/>
      <c r="N962" s="109"/>
      <c r="O962" s="109"/>
      <c r="P962" s="109"/>
      <c r="Q962" s="109"/>
      <c r="R962" s="109"/>
      <c r="S962" s="109"/>
      <c r="T962" s="109"/>
      <c r="U962" s="109"/>
      <c r="V962" s="109"/>
      <c r="W962" s="109"/>
      <c r="X962" s="109"/>
      <c r="Y962" s="109"/>
      <c r="Z962" s="109"/>
    </row>
    <row r="963" ht="12.75" customHeight="1">
      <c r="A963" s="109"/>
      <c r="B963" s="109"/>
      <c r="C963" s="109"/>
      <c r="D963" s="109"/>
      <c r="E963" s="109"/>
      <c r="F963" s="154"/>
      <c r="G963" s="154"/>
      <c r="H963" s="109"/>
      <c r="I963" s="109"/>
      <c r="J963" s="109"/>
      <c r="K963" s="109"/>
      <c r="L963" s="109"/>
      <c r="M963" s="109"/>
      <c r="N963" s="109"/>
      <c r="O963" s="109"/>
      <c r="P963" s="109"/>
      <c r="Q963" s="109"/>
      <c r="R963" s="109"/>
      <c r="S963" s="109"/>
      <c r="T963" s="109"/>
      <c r="U963" s="109"/>
      <c r="V963" s="109"/>
      <c r="W963" s="109"/>
      <c r="X963" s="109"/>
      <c r="Y963" s="109"/>
      <c r="Z963" s="109"/>
    </row>
    <row r="964" ht="12.75" customHeight="1">
      <c r="A964" s="109"/>
      <c r="B964" s="109"/>
      <c r="C964" s="109"/>
      <c r="D964" s="109"/>
      <c r="E964" s="109"/>
      <c r="F964" s="154"/>
      <c r="G964" s="154"/>
      <c r="H964" s="109"/>
      <c r="I964" s="109"/>
      <c r="J964" s="109"/>
      <c r="K964" s="109"/>
      <c r="L964" s="109"/>
      <c r="M964" s="109"/>
      <c r="N964" s="109"/>
      <c r="O964" s="109"/>
      <c r="P964" s="109"/>
      <c r="Q964" s="109"/>
      <c r="R964" s="109"/>
      <c r="S964" s="109"/>
      <c r="T964" s="109"/>
      <c r="U964" s="109"/>
      <c r="V964" s="109"/>
      <c r="W964" s="109"/>
      <c r="X964" s="109"/>
      <c r="Y964" s="109"/>
      <c r="Z964" s="109"/>
    </row>
    <row r="965" ht="12.75" customHeight="1">
      <c r="A965" s="109"/>
      <c r="B965" s="109"/>
      <c r="C965" s="109"/>
      <c r="D965" s="109"/>
      <c r="E965" s="109"/>
      <c r="F965" s="154"/>
      <c r="G965" s="154"/>
      <c r="H965" s="109"/>
      <c r="I965" s="109"/>
      <c r="J965" s="109"/>
      <c r="K965" s="109"/>
      <c r="L965" s="109"/>
      <c r="M965" s="109"/>
      <c r="N965" s="109"/>
      <c r="O965" s="109"/>
      <c r="P965" s="109"/>
      <c r="Q965" s="109"/>
      <c r="R965" s="109"/>
      <c r="S965" s="109"/>
      <c r="T965" s="109"/>
      <c r="U965" s="109"/>
      <c r="V965" s="109"/>
      <c r="W965" s="109"/>
      <c r="X965" s="109"/>
      <c r="Y965" s="109"/>
      <c r="Z965" s="109"/>
    </row>
    <row r="966" ht="12.75" customHeight="1">
      <c r="A966" s="109"/>
      <c r="B966" s="109"/>
      <c r="C966" s="109"/>
      <c r="D966" s="109"/>
      <c r="E966" s="109"/>
      <c r="F966" s="154"/>
      <c r="G966" s="154"/>
      <c r="H966" s="109"/>
      <c r="I966" s="109"/>
      <c r="J966" s="109"/>
      <c r="K966" s="109"/>
      <c r="L966" s="109"/>
      <c r="M966" s="109"/>
      <c r="N966" s="109"/>
      <c r="O966" s="109"/>
      <c r="P966" s="109"/>
      <c r="Q966" s="109"/>
      <c r="R966" s="109"/>
      <c r="S966" s="109"/>
      <c r="T966" s="109"/>
      <c r="U966" s="109"/>
      <c r="V966" s="109"/>
      <c r="W966" s="109"/>
      <c r="X966" s="109"/>
      <c r="Y966" s="109"/>
      <c r="Z966" s="109"/>
    </row>
    <row r="967" ht="12.75" customHeight="1">
      <c r="A967" s="109"/>
      <c r="B967" s="109"/>
      <c r="C967" s="109"/>
      <c r="D967" s="109"/>
      <c r="E967" s="109"/>
      <c r="F967" s="154"/>
      <c r="G967" s="154"/>
      <c r="H967" s="109"/>
      <c r="I967" s="109"/>
      <c r="J967" s="109"/>
      <c r="K967" s="109"/>
      <c r="L967" s="109"/>
      <c r="M967" s="109"/>
      <c r="N967" s="109"/>
      <c r="O967" s="109"/>
      <c r="P967" s="109"/>
      <c r="Q967" s="109"/>
      <c r="R967" s="109"/>
      <c r="S967" s="109"/>
      <c r="T967" s="109"/>
      <c r="U967" s="109"/>
      <c r="V967" s="109"/>
      <c r="W967" s="109"/>
      <c r="X967" s="109"/>
      <c r="Y967" s="109"/>
      <c r="Z967" s="109"/>
    </row>
    <row r="968" ht="12.75" customHeight="1">
      <c r="A968" s="109"/>
      <c r="B968" s="109"/>
      <c r="C968" s="109"/>
      <c r="D968" s="109"/>
      <c r="E968" s="109"/>
      <c r="F968" s="154"/>
      <c r="G968" s="154"/>
      <c r="H968" s="109"/>
      <c r="I968" s="109"/>
      <c r="J968" s="109"/>
      <c r="K968" s="109"/>
      <c r="L968" s="109"/>
      <c r="M968" s="109"/>
      <c r="N968" s="109"/>
      <c r="O968" s="109"/>
      <c r="P968" s="109"/>
      <c r="Q968" s="109"/>
      <c r="R968" s="109"/>
      <c r="S968" s="109"/>
      <c r="T968" s="109"/>
      <c r="U968" s="109"/>
      <c r="V968" s="109"/>
      <c r="W968" s="109"/>
      <c r="X968" s="109"/>
      <c r="Y968" s="109"/>
      <c r="Z968" s="109"/>
    </row>
    <row r="969" ht="12.75" customHeight="1">
      <c r="A969" s="109"/>
      <c r="B969" s="109"/>
      <c r="C969" s="109"/>
      <c r="D969" s="109"/>
      <c r="E969" s="109"/>
      <c r="F969" s="154"/>
      <c r="G969" s="154"/>
      <c r="H969" s="109"/>
      <c r="I969" s="109"/>
      <c r="J969" s="109"/>
      <c r="K969" s="109"/>
      <c r="L969" s="109"/>
      <c r="M969" s="109"/>
      <c r="N969" s="109"/>
      <c r="O969" s="109"/>
      <c r="P969" s="109"/>
      <c r="Q969" s="109"/>
      <c r="R969" s="109"/>
      <c r="S969" s="109"/>
      <c r="T969" s="109"/>
      <c r="U969" s="109"/>
      <c r="V969" s="109"/>
      <c r="W969" s="109"/>
      <c r="X969" s="109"/>
      <c r="Y969" s="109"/>
      <c r="Z969" s="109"/>
    </row>
    <row r="970" ht="12.75" customHeight="1">
      <c r="A970" s="109"/>
      <c r="B970" s="109"/>
      <c r="C970" s="109"/>
      <c r="D970" s="109"/>
      <c r="E970" s="109"/>
      <c r="F970" s="154"/>
      <c r="G970" s="154"/>
      <c r="H970" s="109"/>
      <c r="I970" s="109"/>
      <c r="J970" s="109"/>
      <c r="K970" s="109"/>
      <c r="L970" s="109"/>
      <c r="M970" s="109"/>
      <c r="N970" s="109"/>
      <c r="O970" s="109"/>
      <c r="P970" s="109"/>
      <c r="Q970" s="109"/>
      <c r="R970" s="109"/>
      <c r="S970" s="109"/>
      <c r="T970" s="109"/>
      <c r="U970" s="109"/>
      <c r="V970" s="109"/>
      <c r="W970" s="109"/>
      <c r="X970" s="109"/>
      <c r="Y970" s="109"/>
      <c r="Z970" s="109"/>
    </row>
    <row r="971" ht="12.75" customHeight="1">
      <c r="A971" s="109"/>
      <c r="B971" s="109"/>
      <c r="C971" s="109"/>
      <c r="D971" s="109"/>
      <c r="E971" s="109"/>
      <c r="F971" s="154"/>
      <c r="G971" s="154"/>
      <c r="H971" s="109"/>
      <c r="I971" s="109"/>
      <c r="J971" s="109"/>
      <c r="K971" s="109"/>
      <c r="L971" s="109"/>
      <c r="M971" s="109"/>
      <c r="N971" s="109"/>
      <c r="O971" s="109"/>
      <c r="P971" s="109"/>
      <c r="Q971" s="109"/>
      <c r="R971" s="109"/>
      <c r="S971" s="109"/>
      <c r="T971" s="109"/>
      <c r="U971" s="109"/>
      <c r="V971" s="109"/>
      <c r="W971" s="109"/>
      <c r="X971" s="109"/>
      <c r="Y971" s="109"/>
      <c r="Z971" s="109"/>
    </row>
    <row r="972" ht="12.75" customHeight="1">
      <c r="A972" s="109"/>
      <c r="B972" s="109"/>
      <c r="C972" s="109"/>
      <c r="D972" s="109"/>
      <c r="E972" s="109"/>
      <c r="F972" s="154"/>
      <c r="G972" s="154"/>
      <c r="H972" s="109"/>
      <c r="I972" s="109"/>
      <c r="J972" s="109"/>
      <c r="K972" s="109"/>
      <c r="L972" s="109"/>
      <c r="M972" s="109"/>
      <c r="N972" s="109"/>
      <c r="O972" s="109"/>
      <c r="P972" s="109"/>
      <c r="Q972" s="109"/>
      <c r="R972" s="109"/>
      <c r="S972" s="109"/>
      <c r="T972" s="109"/>
      <c r="U972" s="109"/>
      <c r="V972" s="109"/>
      <c r="W972" s="109"/>
      <c r="X972" s="109"/>
      <c r="Y972" s="109"/>
      <c r="Z972" s="109"/>
    </row>
    <row r="973" ht="12.75" customHeight="1">
      <c r="A973" s="109"/>
      <c r="B973" s="109"/>
      <c r="C973" s="109"/>
      <c r="D973" s="109"/>
      <c r="E973" s="109"/>
      <c r="F973" s="154"/>
      <c r="G973" s="154"/>
      <c r="H973" s="109"/>
      <c r="I973" s="109"/>
      <c r="J973" s="109"/>
      <c r="K973" s="109"/>
      <c r="L973" s="109"/>
      <c r="M973" s="109"/>
      <c r="N973" s="109"/>
      <c r="O973" s="109"/>
      <c r="P973" s="109"/>
      <c r="Q973" s="109"/>
      <c r="R973" s="109"/>
      <c r="S973" s="109"/>
      <c r="T973" s="109"/>
      <c r="U973" s="109"/>
      <c r="V973" s="109"/>
      <c r="W973" s="109"/>
      <c r="X973" s="109"/>
      <c r="Y973" s="109"/>
      <c r="Z973" s="109"/>
    </row>
    <row r="974" ht="12.75" customHeight="1">
      <c r="A974" s="109"/>
      <c r="B974" s="109"/>
      <c r="C974" s="109"/>
      <c r="D974" s="109"/>
      <c r="E974" s="109"/>
      <c r="F974" s="154"/>
      <c r="G974" s="154"/>
      <c r="H974" s="109"/>
      <c r="I974" s="109"/>
      <c r="J974" s="109"/>
      <c r="K974" s="109"/>
      <c r="L974" s="109"/>
      <c r="M974" s="109"/>
      <c r="N974" s="109"/>
      <c r="O974" s="109"/>
      <c r="P974" s="109"/>
      <c r="Q974" s="109"/>
      <c r="R974" s="109"/>
      <c r="S974" s="109"/>
      <c r="T974" s="109"/>
      <c r="U974" s="109"/>
      <c r="V974" s="109"/>
      <c r="W974" s="109"/>
      <c r="X974" s="109"/>
      <c r="Y974" s="109"/>
      <c r="Z974" s="109"/>
    </row>
    <row r="975" ht="12.75" customHeight="1">
      <c r="A975" s="109"/>
      <c r="B975" s="109"/>
      <c r="C975" s="109"/>
      <c r="D975" s="109"/>
      <c r="E975" s="109"/>
      <c r="F975" s="154"/>
      <c r="G975" s="154"/>
      <c r="H975" s="109"/>
      <c r="I975" s="109"/>
      <c r="J975" s="109"/>
      <c r="K975" s="109"/>
      <c r="L975" s="109"/>
      <c r="M975" s="109"/>
      <c r="N975" s="109"/>
      <c r="O975" s="109"/>
      <c r="P975" s="109"/>
      <c r="Q975" s="109"/>
      <c r="R975" s="109"/>
      <c r="S975" s="109"/>
      <c r="T975" s="109"/>
      <c r="U975" s="109"/>
      <c r="V975" s="109"/>
      <c r="W975" s="109"/>
      <c r="X975" s="109"/>
      <c r="Y975" s="109"/>
      <c r="Z975" s="109"/>
    </row>
    <row r="976" ht="12.75" customHeight="1">
      <c r="A976" s="109"/>
      <c r="B976" s="109"/>
      <c r="C976" s="109"/>
      <c r="D976" s="109"/>
      <c r="E976" s="109"/>
      <c r="F976" s="154"/>
      <c r="G976" s="154"/>
      <c r="H976" s="109"/>
      <c r="I976" s="109"/>
      <c r="J976" s="109"/>
      <c r="K976" s="109"/>
      <c r="L976" s="109"/>
      <c r="M976" s="109"/>
      <c r="N976" s="109"/>
      <c r="O976" s="109"/>
      <c r="P976" s="109"/>
      <c r="Q976" s="109"/>
      <c r="R976" s="109"/>
      <c r="S976" s="109"/>
      <c r="T976" s="109"/>
      <c r="U976" s="109"/>
      <c r="V976" s="109"/>
      <c r="W976" s="109"/>
      <c r="X976" s="109"/>
      <c r="Y976" s="109"/>
      <c r="Z976" s="109"/>
    </row>
    <row r="977" ht="12.75" customHeight="1">
      <c r="A977" s="109"/>
      <c r="B977" s="109"/>
      <c r="C977" s="109"/>
      <c r="D977" s="109"/>
      <c r="E977" s="109"/>
      <c r="F977" s="154"/>
      <c r="G977" s="154"/>
      <c r="H977" s="109"/>
      <c r="I977" s="109"/>
      <c r="J977" s="109"/>
      <c r="K977" s="109"/>
      <c r="L977" s="109"/>
      <c r="M977" s="109"/>
      <c r="N977" s="109"/>
      <c r="O977" s="109"/>
      <c r="P977" s="109"/>
      <c r="Q977" s="109"/>
      <c r="R977" s="109"/>
      <c r="S977" s="109"/>
      <c r="T977" s="109"/>
      <c r="U977" s="109"/>
      <c r="V977" s="109"/>
      <c r="W977" s="109"/>
      <c r="X977" s="109"/>
      <c r="Y977" s="109"/>
      <c r="Z977" s="109"/>
    </row>
    <row r="978" ht="12.75" customHeight="1">
      <c r="A978" s="109"/>
      <c r="B978" s="109"/>
      <c r="C978" s="109"/>
      <c r="D978" s="109"/>
      <c r="E978" s="109"/>
      <c r="F978" s="154"/>
      <c r="G978" s="154"/>
      <c r="H978" s="109"/>
      <c r="I978" s="109"/>
      <c r="J978" s="109"/>
      <c r="K978" s="109"/>
      <c r="L978" s="109"/>
      <c r="M978" s="109"/>
      <c r="N978" s="109"/>
      <c r="O978" s="109"/>
      <c r="P978" s="109"/>
      <c r="Q978" s="109"/>
      <c r="R978" s="109"/>
      <c r="S978" s="109"/>
      <c r="T978" s="109"/>
      <c r="U978" s="109"/>
      <c r="V978" s="109"/>
      <c r="W978" s="109"/>
      <c r="X978" s="109"/>
      <c r="Y978" s="109"/>
      <c r="Z978" s="109"/>
    </row>
    <row r="979" ht="12.75" customHeight="1">
      <c r="A979" s="109"/>
      <c r="B979" s="109"/>
      <c r="C979" s="109"/>
      <c r="D979" s="109"/>
      <c r="E979" s="109"/>
      <c r="F979" s="154"/>
      <c r="G979" s="154"/>
      <c r="H979" s="109"/>
      <c r="I979" s="109"/>
      <c r="J979" s="109"/>
      <c r="K979" s="109"/>
      <c r="L979" s="109"/>
      <c r="M979" s="109"/>
      <c r="N979" s="109"/>
      <c r="O979" s="109"/>
      <c r="P979" s="109"/>
      <c r="Q979" s="109"/>
      <c r="R979" s="109"/>
      <c r="S979" s="109"/>
      <c r="T979" s="109"/>
      <c r="U979" s="109"/>
      <c r="V979" s="109"/>
      <c r="W979" s="109"/>
      <c r="X979" s="109"/>
      <c r="Y979" s="109"/>
      <c r="Z979" s="109"/>
    </row>
    <row r="980" ht="12.75" customHeight="1">
      <c r="A980" s="109"/>
      <c r="B980" s="109"/>
      <c r="C980" s="109"/>
      <c r="D980" s="109"/>
      <c r="E980" s="109"/>
      <c r="F980" s="154"/>
      <c r="G980" s="154"/>
      <c r="H980" s="109"/>
      <c r="I980" s="109"/>
      <c r="J980" s="109"/>
      <c r="K980" s="109"/>
      <c r="L980" s="109"/>
      <c r="M980" s="109"/>
      <c r="N980" s="109"/>
      <c r="O980" s="109"/>
      <c r="P980" s="109"/>
      <c r="Q980" s="109"/>
      <c r="R980" s="109"/>
      <c r="S980" s="109"/>
      <c r="T980" s="109"/>
      <c r="U980" s="109"/>
      <c r="V980" s="109"/>
      <c r="W980" s="109"/>
      <c r="X980" s="109"/>
      <c r="Y980" s="109"/>
      <c r="Z980" s="109"/>
    </row>
    <row r="981" ht="12.75" customHeight="1">
      <c r="A981" s="109"/>
      <c r="B981" s="109"/>
      <c r="C981" s="109"/>
      <c r="D981" s="109"/>
      <c r="E981" s="109"/>
      <c r="F981" s="154"/>
      <c r="G981" s="154"/>
      <c r="H981" s="109"/>
      <c r="I981" s="109"/>
      <c r="J981" s="109"/>
      <c r="K981" s="109"/>
      <c r="L981" s="109"/>
      <c r="M981" s="109"/>
      <c r="N981" s="109"/>
      <c r="O981" s="109"/>
      <c r="P981" s="109"/>
      <c r="Q981" s="109"/>
      <c r="R981" s="109"/>
      <c r="S981" s="109"/>
      <c r="T981" s="109"/>
      <c r="U981" s="109"/>
      <c r="V981" s="109"/>
      <c r="W981" s="109"/>
      <c r="X981" s="109"/>
      <c r="Y981" s="109"/>
      <c r="Z981" s="109"/>
    </row>
    <row r="982" ht="12.75" customHeight="1">
      <c r="A982" s="109"/>
      <c r="B982" s="109"/>
      <c r="C982" s="109"/>
      <c r="D982" s="109"/>
      <c r="E982" s="109"/>
      <c r="F982" s="154"/>
      <c r="G982" s="154"/>
      <c r="H982" s="109"/>
      <c r="I982" s="109"/>
      <c r="J982" s="109"/>
      <c r="K982" s="109"/>
      <c r="L982" s="109"/>
      <c r="M982" s="109"/>
      <c r="N982" s="109"/>
      <c r="O982" s="109"/>
      <c r="P982" s="109"/>
      <c r="Q982" s="109"/>
      <c r="R982" s="109"/>
      <c r="S982" s="109"/>
      <c r="T982" s="109"/>
      <c r="U982" s="109"/>
      <c r="V982" s="109"/>
      <c r="W982" s="109"/>
      <c r="X982" s="109"/>
      <c r="Y982" s="109"/>
      <c r="Z982" s="109"/>
    </row>
    <row r="983" ht="12.75" customHeight="1">
      <c r="A983" s="109"/>
      <c r="B983" s="109"/>
      <c r="C983" s="109"/>
      <c r="D983" s="109"/>
      <c r="E983" s="109"/>
      <c r="F983" s="154"/>
      <c r="G983" s="154"/>
      <c r="H983" s="109"/>
      <c r="I983" s="109"/>
      <c r="J983" s="109"/>
      <c r="K983" s="109"/>
      <c r="L983" s="109"/>
      <c r="M983" s="109"/>
      <c r="N983" s="109"/>
      <c r="O983" s="109"/>
      <c r="P983" s="109"/>
      <c r="Q983" s="109"/>
      <c r="R983" s="109"/>
      <c r="S983" s="109"/>
      <c r="T983" s="109"/>
      <c r="U983" s="109"/>
      <c r="V983" s="109"/>
      <c r="W983" s="109"/>
      <c r="X983" s="109"/>
      <c r="Y983" s="109"/>
      <c r="Z983" s="109"/>
    </row>
    <row r="984" ht="12.75" customHeight="1">
      <c r="A984" s="109"/>
      <c r="B984" s="109"/>
      <c r="C984" s="109"/>
      <c r="D984" s="109"/>
      <c r="E984" s="109"/>
      <c r="F984" s="154"/>
      <c r="G984" s="154"/>
      <c r="H984" s="109"/>
      <c r="I984" s="109"/>
      <c r="J984" s="109"/>
      <c r="K984" s="109"/>
      <c r="L984" s="109"/>
      <c r="M984" s="109"/>
      <c r="N984" s="109"/>
      <c r="O984" s="109"/>
      <c r="P984" s="109"/>
      <c r="Q984" s="109"/>
      <c r="R984" s="109"/>
      <c r="S984" s="109"/>
      <c r="T984" s="109"/>
      <c r="U984" s="109"/>
      <c r="V984" s="109"/>
      <c r="W984" s="109"/>
      <c r="X984" s="109"/>
      <c r="Y984" s="109"/>
      <c r="Z984" s="109"/>
    </row>
    <row r="985" ht="12.75" customHeight="1">
      <c r="A985" s="109"/>
      <c r="B985" s="109"/>
      <c r="C985" s="109"/>
      <c r="D985" s="109"/>
      <c r="E985" s="109"/>
      <c r="F985" s="154"/>
      <c r="G985" s="154"/>
      <c r="H985" s="109"/>
      <c r="I985" s="109"/>
      <c r="J985" s="109"/>
      <c r="K985" s="109"/>
      <c r="L985" s="109"/>
      <c r="M985" s="109"/>
      <c r="N985" s="109"/>
      <c r="O985" s="109"/>
      <c r="P985" s="109"/>
      <c r="Q985" s="109"/>
      <c r="R985" s="109"/>
      <c r="S985" s="109"/>
      <c r="T985" s="109"/>
      <c r="U985" s="109"/>
      <c r="V985" s="109"/>
      <c r="W985" s="109"/>
      <c r="X985" s="109"/>
      <c r="Y985" s="109"/>
      <c r="Z985" s="109"/>
    </row>
    <row r="986" ht="12.75" customHeight="1">
      <c r="A986" s="109"/>
      <c r="B986" s="109"/>
      <c r="C986" s="109"/>
      <c r="D986" s="109"/>
      <c r="E986" s="109"/>
      <c r="F986" s="154"/>
      <c r="G986" s="154"/>
      <c r="H986" s="109"/>
      <c r="I986" s="109"/>
      <c r="J986" s="109"/>
      <c r="K986" s="109"/>
      <c r="L986" s="109"/>
      <c r="M986" s="109"/>
      <c r="N986" s="109"/>
      <c r="O986" s="109"/>
      <c r="P986" s="109"/>
      <c r="Q986" s="109"/>
      <c r="R986" s="109"/>
      <c r="S986" s="109"/>
      <c r="T986" s="109"/>
      <c r="U986" s="109"/>
      <c r="V986" s="109"/>
      <c r="W986" s="109"/>
      <c r="X986" s="109"/>
      <c r="Y986" s="109"/>
      <c r="Z986" s="109"/>
    </row>
    <row r="987" ht="12.75" customHeight="1">
      <c r="A987" s="109"/>
      <c r="B987" s="109"/>
      <c r="C987" s="109"/>
      <c r="D987" s="109"/>
      <c r="E987" s="109"/>
      <c r="F987" s="154"/>
      <c r="G987" s="154"/>
      <c r="H987" s="109"/>
      <c r="I987" s="109"/>
      <c r="J987" s="109"/>
      <c r="K987" s="109"/>
      <c r="L987" s="109"/>
      <c r="M987" s="109"/>
      <c r="N987" s="109"/>
      <c r="O987" s="109"/>
      <c r="P987" s="109"/>
      <c r="Q987" s="109"/>
      <c r="R987" s="109"/>
      <c r="S987" s="109"/>
      <c r="T987" s="109"/>
      <c r="U987" s="109"/>
      <c r="V987" s="109"/>
      <c r="W987" s="109"/>
      <c r="X987" s="109"/>
      <c r="Y987" s="109"/>
      <c r="Z987" s="109"/>
    </row>
    <row r="988" ht="12.75" customHeight="1">
      <c r="A988" s="109"/>
      <c r="B988" s="109"/>
      <c r="C988" s="109"/>
      <c r="D988" s="109"/>
      <c r="E988" s="109"/>
      <c r="F988" s="154"/>
      <c r="G988" s="154"/>
      <c r="H988" s="109"/>
      <c r="I988" s="109"/>
      <c r="J988" s="109"/>
      <c r="K988" s="109"/>
      <c r="L988" s="109"/>
      <c r="M988" s="109"/>
      <c r="N988" s="109"/>
      <c r="O988" s="109"/>
      <c r="P988" s="109"/>
      <c r="Q988" s="109"/>
      <c r="R988" s="109"/>
      <c r="S988" s="109"/>
      <c r="T988" s="109"/>
      <c r="U988" s="109"/>
      <c r="V988" s="109"/>
      <c r="W988" s="109"/>
      <c r="X988" s="109"/>
      <c r="Y988" s="109"/>
      <c r="Z988" s="109"/>
    </row>
    <row r="989" ht="12.75" customHeight="1">
      <c r="A989" s="109"/>
      <c r="B989" s="109"/>
      <c r="C989" s="109"/>
      <c r="D989" s="109"/>
      <c r="E989" s="109"/>
      <c r="F989" s="154"/>
      <c r="G989" s="154"/>
      <c r="H989" s="109"/>
      <c r="I989" s="109"/>
      <c r="J989" s="109"/>
      <c r="K989" s="109"/>
      <c r="L989" s="109"/>
      <c r="M989" s="109"/>
      <c r="N989" s="109"/>
      <c r="O989" s="109"/>
      <c r="P989" s="109"/>
      <c r="Q989" s="109"/>
      <c r="R989" s="109"/>
      <c r="S989" s="109"/>
      <c r="T989" s="109"/>
      <c r="U989" s="109"/>
      <c r="V989" s="109"/>
      <c r="W989" s="109"/>
      <c r="X989" s="109"/>
      <c r="Y989" s="109"/>
      <c r="Z989" s="109"/>
    </row>
    <row r="990" ht="12.75" customHeight="1">
      <c r="A990" s="109"/>
      <c r="B990" s="109"/>
      <c r="C990" s="109"/>
      <c r="D990" s="109"/>
      <c r="E990" s="109"/>
      <c r="F990" s="154"/>
      <c r="G990" s="154"/>
      <c r="H990" s="109"/>
      <c r="I990" s="109"/>
      <c r="J990" s="109"/>
      <c r="K990" s="109"/>
      <c r="L990" s="109"/>
      <c r="M990" s="109"/>
      <c r="N990" s="109"/>
      <c r="O990" s="109"/>
      <c r="P990" s="109"/>
      <c r="Q990" s="109"/>
      <c r="R990" s="109"/>
      <c r="S990" s="109"/>
      <c r="T990" s="109"/>
      <c r="U990" s="109"/>
      <c r="V990" s="109"/>
      <c r="W990" s="109"/>
      <c r="X990" s="109"/>
      <c r="Y990" s="109"/>
      <c r="Z990" s="109"/>
    </row>
    <row r="991" ht="12.75" customHeight="1">
      <c r="A991" s="109"/>
      <c r="B991" s="109"/>
      <c r="C991" s="109"/>
      <c r="D991" s="109"/>
      <c r="E991" s="109"/>
      <c r="F991" s="154"/>
      <c r="G991" s="154"/>
      <c r="H991" s="109"/>
      <c r="I991" s="109"/>
      <c r="J991" s="109"/>
      <c r="K991" s="109"/>
      <c r="L991" s="109"/>
      <c r="M991" s="109"/>
      <c r="N991" s="109"/>
      <c r="O991" s="109"/>
      <c r="P991" s="109"/>
      <c r="Q991" s="109"/>
      <c r="R991" s="109"/>
      <c r="S991" s="109"/>
      <c r="T991" s="109"/>
      <c r="U991" s="109"/>
      <c r="V991" s="109"/>
      <c r="W991" s="109"/>
      <c r="X991" s="109"/>
      <c r="Y991" s="109"/>
      <c r="Z991" s="109"/>
    </row>
    <row r="992" ht="12.75" customHeight="1">
      <c r="A992" s="109"/>
      <c r="B992" s="109"/>
      <c r="C992" s="109"/>
      <c r="D992" s="109"/>
      <c r="E992" s="109"/>
      <c r="F992" s="154"/>
      <c r="G992" s="154"/>
      <c r="H992" s="109"/>
      <c r="I992" s="109"/>
      <c r="J992" s="109"/>
      <c r="K992" s="109"/>
      <c r="L992" s="109"/>
      <c r="M992" s="109"/>
      <c r="N992" s="109"/>
      <c r="O992" s="109"/>
      <c r="P992" s="109"/>
      <c r="Q992" s="109"/>
      <c r="R992" s="109"/>
      <c r="S992" s="109"/>
      <c r="T992" s="109"/>
      <c r="U992" s="109"/>
      <c r="V992" s="109"/>
      <c r="W992" s="109"/>
      <c r="X992" s="109"/>
      <c r="Y992" s="109"/>
      <c r="Z992" s="109"/>
    </row>
    <row r="993" ht="12.75" customHeight="1">
      <c r="A993" s="109"/>
      <c r="B993" s="109"/>
      <c r="C993" s="109"/>
      <c r="D993" s="109"/>
      <c r="E993" s="109"/>
      <c r="F993" s="154"/>
      <c r="G993" s="154"/>
      <c r="H993" s="109"/>
      <c r="I993" s="109"/>
      <c r="J993" s="109"/>
      <c r="K993" s="109"/>
      <c r="L993" s="109"/>
      <c r="M993" s="109"/>
      <c r="N993" s="109"/>
      <c r="O993" s="109"/>
      <c r="P993" s="109"/>
      <c r="Q993" s="109"/>
      <c r="R993" s="109"/>
      <c r="S993" s="109"/>
      <c r="T993" s="109"/>
      <c r="U993" s="109"/>
      <c r="V993" s="109"/>
      <c r="W993" s="109"/>
      <c r="X993" s="109"/>
      <c r="Y993" s="109"/>
      <c r="Z993" s="109"/>
    </row>
    <row r="994" ht="12.75" customHeight="1">
      <c r="A994" s="109"/>
      <c r="B994" s="109"/>
      <c r="C994" s="109"/>
      <c r="D994" s="109"/>
      <c r="E994" s="109"/>
      <c r="F994" s="154"/>
      <c r="G994" s="154"/>
      <c r="H994" s="109"/>
      <c r="I994" s="109"/>
      <c r="J994" s="109"/>
      <c r="K994" s="109"/>
      <c r="L994" s="109"/>
      <c r="M994" s="109"/>
      <c r="N994" s="109"/>
      <c r="O994" s="109"/>
      <c r="P994" s="109"/>
      <c r="Q994" s="109"/>
      <c r="R994" s="109"/>
      <c r="S994" s="109"/>
      <c r="T994" s="109"/>
      <c r="U994" s="109"/>
      <c r="V994" s="109"/>
      <c r="W994" s="109"/>
      <c r="X994" s="109"/>
      <c r="Y994" s="109"/>
      <c r="Z994" s="109"/>
    </row>
    <row r="995" ht="12.75" customHeight="1">
      <c r="A995" s="109"/>
      <c r="B995" s="109"/>
      <c r="C995" s="109"/>
      <c r="D995" s="109"/>
      <c r="E995" s="109"/>
      <c r="F995" s="154"/>
      <c r="G995" s="154"/>
      <c r="H995" s="109"/>
      <c r="I995" s="109"/>
      <c r="J995" s="109"/>
      <c r="K995" s="109"/>
      <c r="L995" s="109"/>
      <c r="M995" s="109"/>
      <c r="N995" s="109"/>
      <c r="O995" s="109"/>
      <c r="P995" s="109"/>
      <c r="Q995" s="109"/>
      <c r="R995" s="109"/>
      <c r="S995" s="109"/>
      <c r="T995" s="109"/>
      <c r="U995" s="109"/>
      <c r="V995" s="109"/>
      <c r="W995" s="109"/>
      <c r="X995" s="109"/>
      <c r="Y995" s="109"/>
      <c r="Z995" s="109"/>
    </row>
    <row r="996" ht="12.75" customHeight="1">
      <c r="A996" s="109"/>
      <c r="B996" s="109"/>
      <c r="C996" s="109"/>
      <c r="D996" s="109"/>
      <c r="E996" s="109"/>
      <c r="F996" s="154"/>
      <c r="G996" s="154"/>
      <c r="H996" s="109"/>
      <c r="I996" s="109"/>
      <c r="J996" s="109"/>
      <c r="K996" s="109"/>
      <c r="L996" s="109"/>
      <c r="M996" s="109"/>
      <c r="N996" s="109"/>
      <c r="O996" s="109"/>
      <c r="P996" s="109"/>
      <c r="Q996" s="109"/>
      <c r="R996" s="109"/>
      <c r="S996" s="109"/>
      <c r="T996" s="109"/>
      <c r="U996" s="109"/>
      <c r="V996" s="109"/>
      <c r="W996" s="109"/>
      <c r="X996" s="109"/>
      <c r="Y996" s="109"/>
      <c r="Z996" s="109"/>
    </row>
    <row r="997" ht="12.75" customHeight="1">
      <c r="A997" s="109"/>
      <c r="B997" s="109"/>
      <c r="C997" s="109"/>
      <c r="D997" s="109"/>
      <c r="E997" s="109"/>
      <c r="F997" s="154"/>
      <c r="G997" s="154"/>
      <c r="H997" s="109"/>
      <c r="I997" s="109"/>
      <c r="J997" s="109"/>
      <c r="K997" s="109"/>
      <c r="L997" s="109"/>
      <c r="M997" s="109"/>
      <c r="N997" s="109"/>
      <c r="O997" s="109"/>
      <c r="P997" s="109"/>
      <c r="Q997" s="109"/>
      <c r="R997" s="109"/>
      <c r="S997" s="109"/>
      <c r="T997" s="109"/>
      <c r="U997" s="109"/>
      <c r="V997" s="109"/>
      <c r="W997" s="109"/>
      <c r="X997" s="109"/>
      <c r="Y997" s="109"/>
      <c r="Z997" s="109"/>
    </row>
    <row r="998" ht="12.75" customHeight="1">
      <c r="A998" s="109"/>
      <c r="B998" s="109"/>
      <c r="C998" s="109"/>
      <c r="D998" s="109"/>
      <c r="E998" s="109"/>
      <c r="F998" s="154"/>
      <c r="G998" s="154"/>
      <c r="H998" s="109"/>
      <c r="I998" s="109"/>
      <c r="J998" s="109"/>
      <c r="K998" s="109"/>
      <c r="L998" s="109"/>
      <c r="M998" s="109"/>
      <c r="N998" s="109"/>
      <c r="O998" s="109"/>
      <c r="P998" s="109"/>
      <c r="Q998" s="109"/>
      <c r="R998" s="109"/>
      <c r="S998" s="109"/>
      <c r="T998" s="109"/>
      <c r="U998" s="109"/>
      <c r="V998" s="109"/>
      <c r="W998" s="109"/>
      <c r="X998" s="109"/>
      <c r="Y998" s="109"/>
      <c r="Z998" s="109"/>
    </row>
    <row r="999" ht="12.75" customHeight="1">
      <c r="A999" s="109"/>
      <c r="B999" s="109"/>
      <c r="C999" s="109"/>
      <c r="D999" s="109"/>
      <c r="E999" s="109"/>
      <c r="F999" s="154"/>
      <c r="G999" s="154"/>
      <c r="H999" s="109"/>
      <c r="I999" s="109"/>
      <c r="J999" s="109"/>
      <c r="K999" s="109"/>
      <c r="L999" s="109"/>
      <c r="M999" s="109"/>
      <c r="N999" s="109"/>
      <c r="O999" s="109"/>
      <c r="P999" s="109"/>
      <c r="Q999" s="109"/>
      <c r="R999" s="109"/>
      <c r="S999" s="109"/>
      <c r="T999" s="109"/>
      <c r="U999" s="109"/>
      <c r="V999" s="109"/>
      <c r="W999" s="109"/>
      <c r="X999" s="109"/>
      <c r="Y999" s="109"/>
      <c r="Z999" s="109"/>
    </row>
    <row r="1000" ht="12.75" customHeight="1">
      <c r="A1000" s="109"/>
      <c r="B1000" s="109"/>
      <c r="C1000" s="109"/>
      <c r="D1000" s="109"/>
      <c r="E1000" s="109"/>
      <c r="F1000" s="154"/>
      <c r="G1000" s="154"/>
      <c r="H1000" s="109"/>
      <c r="I1000" s="109"/>
      <c r="J1000" s="109"/>
      <c r="K1000" s="109"/>
      <c r="L1000" s="109"/>
      <c r="M1000" s="109"/>
      <c r="N1000" s="109"/>
      <c r="O1000" s="109"/>
      <c r="P1000" s="109"/>
      <c r="Q1000" s="109"/>
      <c r="R1000" s="109"/>
      <c r="S1000" s="109"/>
      <c r="T1000" s="109"/>
      <c r="U1000" s="109"/>
      <c r="V1000" s="109"/>
      <c r="W1000" s="109"/>
      <c r="X1000" s="109"/>
      <c r="Y1000" s="109"/>
      <c r="Z1000" s="109"/>
    </row>
  </sheetData>
  <hyperlinks>
    <hyperlink r:id="rId1" ref="K15"/>
    <hyperlink r:id="rId2" ref="K16"/>
    <hyperlink r:id="rId3" ref="K17"/>
    <hyperlink r:id="rId4" ref="K18"/>
    <hyperlink r:id="rId5" ref="K19"/>
    <hyperlink r:id="rId6" ref="K20"/>
    <hyperlink r:id="rId7" ref="K21"/>
    <hyperlink r:id="rId8" ref="K22"/>
    <hyperlink r:id="rId9" ref="K23"/>
    <hyperlink r:id="rId10" ref="K25"/>
    <hyperlink r:id="rId11" ref="K26"/>
  </hyperlinks>
  <printOptions/>
  <pageMargins bottom="0.75" footer="0.0" header="0.0" left="0.7" right="0.7" top="0.75"/>
  <pageSetup orientation="landscape"/>
  <drawing r:id="rId1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1" width="8.71"/>
    <col customWidth="1" min="2" max="2" width="30.14"/>
    <col customWidth="1" min="3" max="3" width="10.86"/>
    <col customWidth="1" min="4" max="4" width="21.71"/>
    <col customWidth="1" min="5" max="5" width="7.29"/>
    <col customWidth="1" min="6" max="6" width="8.71"/>
    <col customWidth="1" min="7" max="7" width="16.57"/>
    <col customWidth="1" min="8" max="8" width="21.71"/>
    <col customWidth="1" min="9" max="9" width="18.57"/>
    <col customWidth="1" min="10" max="10" width="18.29"/>
    <col customWidth="1" min="11" max="11" width="69.0"/>
    <col customWidth="1" min="12" max="13" width="8.71"/>
    <col customWidth="1" min="14" max="16" width="12.43"/>
    <col customWidth="1" min="17" max="17" width="10.0"/>
    <col customWidth="1" min="18" max="26" width="8.71"/>
  </cols>
  <sheetData>
    <row r="1" ht="14.25" customHeight="1">
      <c r="A1" s="157" t="s">
        <v>1144</v>
      </c>
      <c r="B1" s="157" t="s">
        <v>1145</v>
      </c>
      <c r="C1" s="157" t="s">
        <v>1146</v>
      </c>
      <c r="D1" s="157" t="s">
        <v>1147</v>
      </c>
      <c r="E1" s="157" t="s">
        <v>1148</v>
      </c>
      <c r="F1" s="158" t="s">
        <v>1018</v>
      </c>
      <c r="G1" s="157" t="s">
        <v>1149</v>
      </c>
      <c r="H1" s="157" t="s">
        <v>1019</v>
      </c>
      <c r="I1" s="157" t="s">
        <v>177</v>
      </c>
      <c r="J1" s="157" t="s">
        <v>174</v>
      </c>
      <c r="K1" s="157" t="s">
        <v>218</v>
      </c>
      <c r="L1" s="157" t="s">
        <v>1150</v>
      </c>
      <c r="M1" s="157" t="s">
        <v>1151</v>
      </c>
      <c r="N1" s="159" t="s">
        <v>1152</v>
      </c>
      <c r="O1" s="160"/>
      <c r="P1" s="160"/>
      <c r="Q1" s="161"/>
    </row>
    <row r="2" ht="14.25" customHeight="1">
      <c r="A2" s="157"/>
      <c r="B2" s="157"/>
      <c r="C2" s="162"/>
      <c r="D2" s="162"/>
      <c r="E2" s="162"/>
      <c r="F2" s="162"/>
      <c r="G2" s="163"/>
      <c r="H2" s="162"/>
      <c r="I2" s="164"/>
      <c r="J2" s="164"/>
      <c r="K2" s="164"/>
      <c r="L2" s="164"/>
      <c r="M2" s="164"/>
      <c r="N2" s="165">
        <v>45170.0</v>
      </c>
      <c r="O2" s="165">
        <v>45200.0</v>
      </c>
      <c r="P2" s="165">
        <v>45231.0</v>
      </c>
      <c r="Q2" s="165">
        <v>45261.0</v>
      </c>
    </row>
    <row r="3" ht="14.25" customHeight="1">
      <c r="A3" s="166">
        <v>1.0</v>
      </c>
      <c r="B3" s="167" t="s">
        <v>1153</v>
      </c>
      <c r="C3" s="168" t="s">
        <v>1154</v>
      </c>
      <c r="D3" s="168" t="s">
        <v>1155</v>
      </c>
      <c r="E3" s="169">
        <v>0.05</v>
      </c>
      <c r="F3" s="170" t="s">
        <v>1156</v>
      </c>
      <c r="G3" s="126"/>
      <c r="H3" s="126"/>
      <c r="I3" s="167"/>
      <c r="J3" s="171" t="s">
        <v>1157</v>
      </c>
      <c r="K3" s="167" t="s">
        <v>1158</v>
      </c>
      <c r="L3" s="167" t="s">
        <v>1159</v>
      </c>
      <c r="M3" s="167" t="s">
        <v>1160</v>
      </c>
      <c r="N3" s="172">
        <v>1011600.0</v>
      </c>
      <c r="O3" s="172">
        <v>428100.0</v>
      </c>
      <c r="P3" s="172">
        <v>266500.0</v>
      </c>
      <c r="Q3" s="172">
        <v>84000.0</v>
      </c>
      <c r="R3" s="173"/>
      <c r="S3" s="173"/>
      <c r="T3" s="173"/>
      <c r="U3" s="173"/>
      <c r="V3" s="173"/>
      <c r="W3" s="173"/>
      <c r="X3" s="173"/>
      <c r="Y3" s="173"/>
      <c r="Z3" s="173"/>
    </row>
    <row r="4" ht="14.25" customHeight="1">
      <c r="A4" s="166">
        <v>2.0</v>
      </c>
      <c r="B4" s="167" t="s">
        <v>1161</v>
      </c>
      <c r="C4" s="168" t="s">
        <v>1162</v>
      </c>
      <c r="D4" s="168" t="s">
        <v>1163</v>
      </c>
      <c r="E4" s="169">
        <v>0.1</v>
      </c>
      <c r="F4" s="174" t="s">
        <v>1091</v>
      </c>
      <c r="G4" s="174" t="s">
        <v>1164</v>
      </c>
      <c r="H4" s="126" t="s">
        <v>1165</v>
      </c>
      <c r="I4" s="167" t="s">
        <v>1166</v>
      </c>
      <c r="J4" s="167"/>
      <c r="K4" s="167" t="s">
        <v>1167</v>
      </c>
      <c r="L4" s="167"/>
      <c r="M4" s="167" t="s">
        <v>1168</v>
      </c>
      <c r="N4" s="172">
        <v>1666000.0</v>
      </c>
      <c r="O4" s="172">
        <v>1402350.0</v>
      </c>
      <c r="P4" s="172">
        <v>2462100.0</v>
      </c>
      <c r="Q4" s="172">
        <v>3143500.0</v>
      </c>
      <c r="R4" s="173"/>
      <c r="S4" s="173"/>
      <c r="T4" s="173"/>
      <c r="U4" s="173"/>
      <c r="V4" s="173"/>
      <c r="W4" s="173"/>
      <c r="X4" s="173"/>
      <c r="Y4" s="173"/>
      <c r="Z4" s="173"/>
    </row>
    <row r="5" ht="14.25" customHeight="1">
      <c r="A5" s="166">
        <v>3.0</v>
      </c>
      <c r="B5" s="167" t="s">
        <v>1169</v>
      </c>
      <c r="C5" s="168" t="s">
        <v>1170</v>
      </c>
      <c r="D5" s="168" t="s">
        <v>1171</v>
      </c>
      <c r="E5" s="169">
        <v>0.05</v>
      </c>
      <c r="F5" s="167" t="s">
        <v>1172</v>
      </c>
      <c r="G5" s="171" t="s">
        <v>1173</v>
      </c>
      <c r="H5" s="167" t="s">
        <v>1174</v>
      </c>
      <c r="I5" s="167"/>
      <c r="J5" s="171" t="s">
        <v>1175</v>
      </c>
      <c r="K5" s="167" t="s">
        <v>1176</v>
      </c>
      <c r="L5" s="167"/>
      <c r="M5" s="167" t="s">
        <v>1160</v>
      </c>
      <c r="N5" s="172">
        <v>133000.0</v>
      </c>
      <c r="O5" s="172">
        <v>650650.0</v>
      </c>
      <c r="P5" s="172">
        <v>283900.0</v>
      </c>
      <c r="Q5" s="172">
        <v>1026000.0</v>
      </c>
      <c r="R5" s="173"/>
      <c r="S5" s="173"/>
      <c r="T5" s="173"/>
      <c r="U5" s="173"/>
      <c r="V5" s="173"/>
      <c r="W5" s="173"/>
      <c r="X5" s="173"/>
      <c r="Y5" s="173"/>
      <c r="Z5" s="173"/>
    </row>
    <row r="6" ht="14.25" customHeight="1">
      <c r="A6" s="166">
        <v>4.0</v>
      </c>
      <c r="B6" s="167" t="s">
        <v>1177</v>
      </c>
      <c r="C6" s="168" t="s">
        <v>1178</v>
      </c>
      <c r="D6" s="168" t="s">
        <v>1179</v>
      </c>
      <c r="E6" s="169">
        <v>0.05</v>
      </c>
      <c r="F6" s="170" t="s">
        <v>1156</v>
      </c>
      <c r="G6" s="126"/>
      <c r="H6" s="126"/>
      <c r="I6" s="126" t="s">
        <v>1180</v>
      </c>
      <c r="J6" s="167"/>
      <c r="K6" s="167" t="s">
        <v>1181</v>
      </c>
      <c r="L6" s="167"/>
      <c r="M6" s="167" t="s">
        <v>1182</v>
      </c>
      <c r="N6" s="172">
        <v>236000.0</v>
      </c>
      <c r="O6" s="172">
        <v>490250.0</v>
      </c>
      <c r="P6" s="172">
        <v>183100.0</v>
      </c>
      <c r="Q6" s="172">
        <v>268000.0</v>
      </c>
      <c r="R6" s="173"/>
      <c r="S6" s="173"/>
      <c r="T6" s="173"/>
      <c r="U6" s="173"/>
      <c r="V6" s="173"/>
      <c r="W6" s="173"/>
      <c r="X6" s="173"/>
      <c r="Y6" s="173"/>
      <c r="Z6" s="173"/>
    </row>
    <row r="7" ht="14.25" customHeight="1">
      <c r="A7" s="166">
        <v>5.0</v>
      </c>
      <c r="B7" s="167" t="s">
        <v>1183</v>
      </c>
      <c r="C7" s="168" t="s">
        <v>1184</v>
      </c>
      <c r="D7" s="168" t="s">
        <v>1185</v>
      </c>
      <c r="E7" s="169">
        <v>0.05</v>
      </c>
      <c r="F7" s="167" t="s">
        <v>1186</v>
      </c>
      <c r="G7" s="171" t="s">
        <v>1187</v>
      </c>
      <c r="H7" s="167" t="s">
        <v>1185</v>
      </c>
      <c r="I7" s="171" t="s">
        <v>1188</v>
      </c>
      <c r="J7" s="171" t="s">
        <v>1189</v>
      </c>
      <c r="K7" s="167" t="s">
        <v>1190</v>
      </c>
      <c r="L7" s="167"/>
      <c r="M7" s="167" t="s">
        <v>1160</v>
      </c>
      <c r="N7" s="172">
        <v>0.0</v>
      </c>
      <c r="O7" s="172">
        <v>71600.0</v>
      </c>
      <c r="P7" s="172">
        <v>193000.0</v>
      </c>
      <c r="Q7" s="172">
        <v>38000.0</v>
      </c>
      <c r="R7" s="173"/>
      <c r="S7" s="173"/>
      <c r="T7" s="173"/>
      <c r="U7" s="173"/>
      <c r="V7" s="173"/>
      <c r="W7" s="173"/>
      <c r="X7" s="173"/>
      <c r="Y7" s="173"/>
      <c r="Z7" s="173"/>
    </row>
    <row r="8" ht="14.25" customHeight="1">
      <c r="A8" s="166">
        <v>6.0</v>
      </c>
      <c r="B8" s="167" t="s">
        <v>1191</v>
      </c>
      <c r="C8" s="168" t="s">
        <v>1192</v>
      </c>
      <c r="D8" s="168" t="s">
        <v>1193</v>
      </c>
      <c r="E8" s="169">
        <v>0.05</v>
      </c>
      <c r="F8" s="167"/>
      <c r="G8" s="167"/>
      <c r="H8" s="167"/>
      <c r="I8" s="167"/>
      <c r="J8" s="167"/>
      <c r="K8" s="167" t="s">
        <v>1194</v>
      </c>
      <c r="L8" s="167"/>
      <c r="M8" s="167" t="s">
        <v>1195</v>
      </c>
      <c r="N8" s="172">
        <v>0.0</v>
      </c>
      <c r="O8" s="172">
        <v>87300.0</v>
      </c>
      <c r="P8" s="172"/>
      <c r="Q8" s="172">
        <v>0.0</v>
      </c>
      <c r="R8" s="173"/>
      <c r="S8" s="173"/>
      <c r="T8" s="173"/>
      <c r="U8" s="173"/>
      <c r="V8" s="173"/>
      <c r="W8" s="173"/>
      <c r="X8" s="173"/>
      <c r="Y8" s="173"/>
      <c r="Z8" s="173"/>
    </row>
    <row r="9" ht="14.25" customHeight="1">
      <c r="A9" s="166">
        <v>7.0</v>
      </c>
      <c r="B9" s="167" t="s">
        <v>1196</v>
      </c>
      <c r="C9" s="168" t="s">
        <v>1197</v>
      </c>
      <c r="D9" s="168" t="s">
        <v>1198</v>
      </c>
      <c r="E9" s="169">
        <v>0.1</v>
      </c>
      <c r="F9" s="174" t="s">
        <v>1091</v>
      </c>
      <c r="G9" s="171" t="s">
        <v>1199</v>
      </c>
      <c r="H9" s="167" t="s">
        <v>1200</v>
      </c>
      <c r="I9" s="175"/>
      <c r="J9" s="175"/>
      <c r="K9" s="167" t="s">
        <v>1201</v>
      </c>
      <c r="L9" s="167"/>
      <c r="M9" s="167"/>
      <c r="N9" s="172"/>
      <c r="O9" s="172">
        <v>874000.0</v>
      </c>
      <c r="P9" s="172"/>
      <c r="Q9" s="172">
        <v>5238500.0</v>
      </c>
      <c r="R9" s="173"/>
      <c r="S9" s="173"/>
      <c r="T9" s="173"/>
      <c r="U9" s="173"/>
      <c r="V9" s="173"/>
      <c r="W9" s="173"/>
      <c r="X9" s="173"/>
      <c r="Y9" s="173"/>
      <c r="Z9" s="173"/>
    </row>
    <row r="10" ht="14.25" customHeight="1">
      <c r="A10" s="166">
        <v>8.0</v>
      </c>
      <c r="B10" s="167" t="s">
        <v>1202</v>
      </c>
      <c r="C10" s="168" t="s">
        <v>1203</v>
      </c>
      <c r="D10" s="168" t="s">
        <v>1204</v>
      </c>
      <c r="E10" s="169">
        <v>0.05</v>
      </c>
      <c r="F10" s="168"/>
      <c r="G10" s="167"/>
      <c r="H10" s="167"/>
      <c r="I10" s="168"/>
      <c r="J10" s="167"/>
      <c r="K10" s="168" t="s">
        <v>1205</v>
      </c>
      <c r="L10" s="167"/>
      <c r="M10" s="167"/>
      <c r="N10" s="172"/>
      <c r="O10" s="172">
        <v>15500.0</v>
      </c>
      <c r="P10" s="172"/>
      <c r="Q10" s="172">
        <v>0.0</v>
      </c>
      <c r="R10" s="173"/>
      <c r="S10" s="173"/>
      <c r="T10" s="173"/>
      <c r="U10" s="173"/>
      <c r="V10" s="173"/>
      <c r="W10" s="173"/>
      <c r="X10" s="173"/>
      <c r="Y10" s="173"/>
      <c r="Z10" s="173"/>
    </row>
    <row r="11" ht="14.25" customHeight="1">
      <c r="A11" s="166">
        <v>9.0</v>
      </c>
      <c r="B11" s="167" t="s">
        <v>1206</v>
      </c>
      <c r="C11" s="166"/>
      <c r="D11" s="167" t="s">
        <v>1207</v>
      </c>
      <c r="E11" s="169">
        <v>0.05</v>
      </c>
      <c r="F11" s="174" t="s">
        <v>1091</v>
      </c>
      <c r="G11" s="171" t="s">
        <v>1208</v>
      </c>
      <c r="H11" s="167" t="s">
        <v>1207</v>
      </c>
      <c r="I11" s="167"/>
      <c r="J11" s="171" t="s">
        <v>1209</v>
      </c>
      <c r="K11" s="167" t="s">
        <v>1210</v>
      </c>
      <c r="L11" s="167"/>
      <c r="M11" s="167"/>
      <c r="N11" s="172"/>
      <c r="O11" s="172"/>
      <c r="P11" s="172">
        <v>225500.0</v>
      </c>
      <c r="Q11" s="172">
        <v>57000.0</v>
      </c>
      <c r="R11" s="173"/>
      <c r="S11" s="173"/>
      <c r="T11" s="173"/>
      <c r="U11" s="173"/>
      <c r="V11" s="173"/>
      <c r="W11" s="173"/>
      <c r="X11" s="173"/>
      <c r="Y11" s="173"/>
      <c r="Z11" s="173"/>
    </row>
    <row r="12" ht="14.25" customHeight="1">
      <c r="A12" s="166">
        <v>10.0</v>
      </c>
      <c r="B12" s="167" t="s">
        <v>1211</v>
      </c>
      <c r="C12" s="176"/>
      <c r="D12" s="166"/>
      <c r="E12" s="177">
        <v>0.05</v>
      </c>
      <c r="F12" s="167"/>
      <c r="G12" s="167"/>
      <c r="H12" s="167"/>
      <c r="I12" s="167"/>
      <c r="J12" s="167"/>
      <c r="K12" s="167" t="s">
        <v>1212</v>
      </c>
      <c r="L12" s="167"/>
      <c r="M12" s="167"/>
      <c r="N12" s="178"/>
      <c r="O12" s="178"/>
      <c r="P12" s="178">
        <v>789200.0</v>
      </c>
      <c r="Q12" s="178">
        <v>1831000.0</v>
      </c>
      <c r="R12" s="173"/>
      <c r="S12" s="173"/>
      <c r="T12" s="173"/>
      <c r="U12" s="173"/>
      <c r="V12" s="173"/>
      <c r="W12" s="173"/>
      <c r="X12" s="173"/>
      <c r="Y12" s="173"/>
      <c r="Z12" s="173"/>
    </row>
    <row r="13" ht="14.25" customHeight="1">
      <c r="A13" s="166">
        <v>11.0</v>
      </c>
      <c r="B13" s="167" t="s">
        <v>1213</v>
      </c>
      <c r="C13" s="166"/>
      <c r="D13" s="166"/>
      <c r="E13" s="177">
        <v>0.05</v>
      </c>
      <c r="F13" s="167"/>
      <c r="G13" s="167"/>
      <c r="H13" s="167"/>
      <c r="I13" s="167"/>
      <c r="J13" s="167"/>
      <c r="K13" s="167" t="s">
        <v>1214</v>
      </c>
      <c r="L13" s="167"/>
      <c r="M13" s="167"/>
      <c r="N13" s="172"/>
      <c r="O13" s="172"/>
      <c r="P13" s="172"/>
      <c r="Q13" s="172">
        <v>125000.0</v>
      </c>
      <c r="R13" s="173"/>
      <c r="S13" s="173"/>
      <c r="T13" s="173"/>
      <c r="U13" s="173"/>
      <c r="V13" s="173"/>
      <c r="W13" s="173"/>
      <c r="X13" s="173"/>
      <c r="Y13" s="173"/>
      <c r="Z13" s="173"/>
    </row>
    <row r="14" ht="14.25" customHeight="1">
      <c r="A14" s="166">
        <v>12.0</v>
      </c>
      <c r="B14" s="167" t="s">
        <v>1215</v>
      </c>
      <c r="C14" s="168" t="s">
        <v>1216</v>
      </c>
      <c r="D14" s="166" t="s">
        <v>1217</v>
      </c>
      <c r="E14" s="169">
        <v>0.1</v>
      </c>
      <c r="F14" s="174" t="s">
        <v>1083</v>
      </c>
      <c r="G14" s="171" t="s">
        <v>1218</v>
      </c>
      <c r="H14" s="167" t="s">
        <v>1219</v>
      </c>
      <c r="I14" s="171" t="s">
        <v>1220</v>
      </c>
      <c r="J14" s="171" t="s">
        <v>1221</v>
      </c>
      <c r="K14" s="167" t="s">
        <v>1222</v>
      </c>
      <c r="L14" s="167"/>
      <c r="M14" s="167"/>
      <c r="N14" s="172"/>
      <c r="O14" s="172"/>
      <c r="P14" s="172"/>
      <c r="Q14" s="172">
        <v>2245500.0</v>
      </c>
      <c r="R14" s="173"/>
      <c r="S14" s="173"/>
      <c r="T14" s="173"/>
      <c r="U14" s="173"/>
      <c r="V14" s="173"/>
      <c r="W14" s="173"/>
      <c r="X14" s="173"/>
      <c r="Y14" s="173"/>
      <c r="Z14" s="173"/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N1:Q1"/>
  </mergeCells>
  <printOptions/>
  <pageMargins bottom="0.75" footer="0.0" header="0.0" left="0.7" right="0.7" top="0.75"/>
  <pageSetup orientation="landscape"/>
  <drawing r:id="rId2"/>
  <legacyDrawing r:id="rId3"/>
</worksheet>
</file>